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drawings/drawing2.xml" ContentType="application/vnd.openxmlformats-officedocument.drawing+xml"/>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drawings/drawing3.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drawings/drawing4.xml" ContentType="application/vnd.openxmlformats-officedocument.drawing+xml"/>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drawings/drawing5.xml" ContentType="application/vnd.openxmlformats-officedocument.drawing+xml"/>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drawings/drawing6.xml" ContentType="application/vnd.openxmlformats-officedocument.drawing+xml"/>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drawings/drawing9.xml" ContentType="application/vnd.openxmlformats-officedocument.drawingml.chartshapes+xml"/>
  <Override PartName="/xl/comments3.xml" ContentType="application/vnd.openxmlformats-officedocument.spreadsheetml.comments+xml"/>
  <Override PartName="/xl/drawings/drawing10.xml" ContentType="application/vnd.openxmlformats-officedocument.drawing+xml"/>
  <Override PartName="/xl/charts/chart3.xml" ContentType="application/vnd.openxmlformats-officedocument.drawingml.chart+xml"/>
  <Override PartName="/xl/drawings/drawing11.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7.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
    </mc:Choice>
  </mc:AlternateContent>
  <xr:revisionPtr revIDLastSave="13" documentId="13_ncr:1_{6D713BEE-21C2-4C6B-AD95-91D624743F76}" xr6:coauthVersionLast="47" xr6:coauthVersionMax="47" xr10:uidLastSave="{26006A19-7A45-40D3-B491-EA23A0CA5F58}"/>
  <bookViews>
    <workbookView xWindow="53880" yWindow="-120" windowWidth="29040" windowHeight="15720" tabRatio="827" firstSheet="20" activeTab="29" xr2:uid="{00000000-000D-0000-FFFF-FFFF00000000}"/>
  </bookViews>
  <sheets>
    <sheet name="ANSv6.0-Commodities" sheetId="1" state="veryHidden" r:id="rId1"/>
    <sheet name="Readme" sheetId="106" r:id="rId2"/>
    <sheet name="Commodities" sheetId="10" r:id="rId3"/>
    <sheet name="ANSv6.0-Technologies" sheetId="2" state="veryHidden" r:id="rId4"/>
    <sheet name="ANSv6.0-Constraints" sheetId="7" state="veryHidden" r:id="rId5"/>
    <sheet name="ANSv6.0-CommData" sheetId="4" state="veryHidden" r:id="rId6"/>
    <sheet name="ANSv6.0-TechData" sheetId="3" state="veryHidden" r:id="rId7"/>
    <sheet name="ANSv6.0-ConstrData" sheetId="8" state="veryHidden" r:id="rId8"/>
    <sheet name="Technologies" sheetId="11" r:id="rId9"/>
    <sheet name="CommData" sheetId="42" r:id="rId10"/>
    <sheet name="TechData" sheetId="14" r:id="rId11"/>
    <sheet name="NewTech" sheetId="109" r:id="rId12"/>
    <sheet name="TechData_Resid_EMIS" sheetId="107" r:id="rId13"/>
    <sheet name="zzTechData_ALM_EMIS" sheetId="88" r:id="rId14"/>
    <sheet name="TechData_HDV_EMIS" sheetId="75" r:id="rId15"/>
    <sheet name="NewEmisData" sheetId="105" r:id="rId16"/>
    <sheet name="RegionalDMDNYC" sheetId="65" r:id="rId17"/>
    <sheet name="TransDemand" sheetId="66" r:id="rId18"/>
    <sheet name="AEO Data" sheetId="76" r:id="rId19"/>
    <sheet name="NYCTranscalc" sheetId="67" r:id="rId20"/>
    <sheet name="Population NYC" sheetId="68" r:id="rId21"/>
    <sheet name="Rail&amp;Bus" sheetId="78" r:id="rId22"/>
    <sheet name="Transcalc" sheetId="98" r:id="rId23"/>
    <sheet name="Pop" sheetId="95" r:id="rId24"/>
    <sheet name="GHG Reports" sheetId="103" r:id="rId25"/>
    <sheet name="Raw emissions" sheetId="73" r:id="rId26"/>
    <sheet name="Resid Emissions" sheetId="85" r:id="rId27"/>
    <sheet name="2015 GHG" sheetId="101" r:id="rId28"/>
    <sheet name="2010 GHG" sheetId="94" r:id="rId29"/>
    <sheet name="TRP" sheetId="100" r:id="rId30"/>
    <sheet name="THS" sheetId="97" r:id="rId31"/>
    <sheet name="TM" sheetId="102" r:id="rId32"/>
    <sheet name="TB" sheetId="96" r:id="rId33"/>
    <sheet name="TSW" sheetId="93" r:id="rId34"/>
    <sheet name="New Emissions" sheetId="74" r:id="rId35"/>
    <sheet name="Tier3Phase-in" sheetId="87" r:id="rId36"/>
    <sheet name="Raw Resid emissions" sheetId="84" r:id="rId37"/>
    <sheet name="Air&amp;Marine" sheetId="80" r:id="rId38"/>
    <sheet name="Freight" sheetId="79" r:id="rId39"/>
    <sheet name="Trucks" sheetId="82" r:id="rId40"/>
    <sheet name="Rail&amp;Bus2" sheetId="83" r:id="rId41"/>
    <sheet name="Conv Factors" sheetId="20" r:id="rId42"/>
  </sheets>
  <externalReferences>
    <externalReference r:id="rId43"/>
    <externalReference r:id="rId44"/>
  </externalReferences>
  <definedNames>
    <definedName name="__HDV50">#REF!</definedName>
    <definedName name="__LDV50">#REF!</definedName>
    <definedName name="_1995_Implicit_GDP_Deflator" localSheetId="26">#REF!</definedName>
    <definedName name="_1995_Implicit_GDP_Deflator" localSheetId="31">#REF!</definedName>
    <definedName name="_1995_Implicit_GDP_Deflator" localSheetId="13">#REF!</definedName>
    <definedName name="_1995_Implicit_GDP_Deflator">#REF!</definedName>
    <definedName name="_2001_Implicit_GDP_Deflator" localSheetId="26">#REF!</definedName>
    <definedName name="_2001_Implicit_GDP_Deflator" localSheetId="31">#REF!</definedName>
    <definedName name="_2001_Implicit_GDP_Deflator" localSheetId="13">#REF!</definedName>
    <definedName name="_2001_Implicit_GDP_Deflator">#REF!</definedName>
    <definedName name="_xlnm._FilterDatabase" localSheetId="27" hidden="1">'2015 GHG'!$A$4:$AM$4</definedName>
    <definedName name="_xlnm._FilterDatabase" localSheetId="10" hidden="1">TechData!$A$6:$AX$32</definedName>
    <definedName name="_HDV50" localSheetId="26">#REF!</definedName>
    <definedName name="_HDV50" localSheetId="31">#REF!</definedName>
    <definedName name="_HDV50" localSheetId="13">#REF!</definedName>
    <definedName name="_HDV50">#REF!</definedName>
    <definedName name="_LDV50" localSheetId="26">#REF!</definedName>
    <definedName name="_LDV50" localSheetId="31">#REF!</definedName>
    <definedName name="_LDV50" localSheetId="13">#REF!</definedName>
    <definedName name="_LDV50">#REF!</definedName>
    <definedName name="Age_of_car" localSheetId="26">#REF!</definedName>
    <definedName name="Age_of_car" localSheetId="31">#REF!</definedName>
    <definedName name="Age_of_car" localSheetId="13">#REF!</definedName>
    <definedName name="Age_of_car">#REF!</definedName>
    <definedName name="avg_water_heater_PJ" localSheetId="1">'[1]AEO HW'!$B$33</definedName>
    <definedName name="avg_water_heater_PJ">'[2]AEO HW'!$B$33</definedName>
    <definedName name="btu_per_watthr" localSheetId="26">#REF!</definedName>
    <definedName name="btu_per_watthr" localSheetId="31">#REF!</definedName>
    <definedName name="btu_per_watthr" localSheetId="13">#REF!</definedName>
    <definedName name="btu_per_watthr">#REF!</definedName>
    <definedName name="conv" localSheetId="26">#REF!</definedName>
    <definedName name="conv" localSheetId="31">#REF!</definedName>
    <definedName name="conv" localSheetId="13">#REF!</definedName>
    <definedName name="conv">#REF!</definedName>
    <definedName name="days_per_year" localSheetId="26">#REF!</definedName>
    <definedName name="days_per_year" localSheetId="31">#REF!</definedName>
    <definedName name="days_per_year" localSheetId="13">#REF!</definedName>
    <definedName name="days_per_year">#REF!</definedName>
    <definedName name="Diesel_Car_CO" localSheetId="26">#REF!</definedName>
    <definedName name="Diesel_Car_CO" localSheetId="31">#REF!</definedName>
    <definedName name="Diesel_Car_CO" localSheetId="13">#REF!</definedName>
    <definedName name="Diesel_Car_CO">#REF!</definedName>
    <definedName name="Diesel_Car_Nox" localSheetId="26">#REF!</definedName>
    <definedName name="Diesel_Car_Nox" localSheetId="31">#REF!</definedName>
    <definedName name="Diesel_Car_Nox" localSheetId="13">#REF!</definedName>
    <definedName name="Diesel_Car_Nox">#REF!</definedName>
    <definedName name="Diesel_Car_PM" localSheetId="26">#REF!</definedName>
    <definedName name="Diesel_Car_PM" localSheetId="31">#REF!</definedName>
    <definedName name="Diesel_Car_PM" localSheetId="13">#REF!</definedName>
    <definedName name="Diesel_Car_PM">#REF!</definedName>
    <definedName name="Diesel_Car_VOCs" localSheetId="26">#REF!</definedName>
    <definedName name="Diesel_Car_VOCs" localSheetId="31">#REF!</definedName>
    <definedName name="Diesel_Car_VOCs" localSheetId="13">#REF!</definedName>
    <definedName name="Diesel_Car_VOCs">#REF!</definedName>
    <definedName name="Diesel_HDT_CO" localSheetId="26">#REF!</definedName>
    <definedName name="Diesel_HDT_CO" localSheetId="31">#REF!</definedName>
    <definedName name="Diesel_HDT_CO" localSheetId="13">#REF!</definedName>
    <definedName name="Diesel_HDT_CO">#REF!</definedName>
    <definedName name="Diesel_HDT_NOx" localSheetId="26">#REF!</definedName>
    <definedName name="Diesel_HDT_NOx" localSheetId="31">#REF!</definedName>
    <definedName name="Diesel_HDT_NOx" localSheetId="13">#REF!</definedName>
    <definedName name="Diesel_HDT_NOx">#REF!</definedName>
    <definedName name="Diesel_HDT_PM" localSheetId="26">#REF!</definedName>
    <definedName name="Diesel_HDT_PM" localSheetId="31">#REF!</definedName>
    <definedName name="Diesel_HDT_PM" localSheetId="13">#REF!</definedName>
    <definedName name="Diesel_HDT_PM">#REF!</definedName>
    <definedName name="Diesel_HDT_SO2" localSheetId="26">#REF!</definedName>
    <definedName name="Diesel_HDT_SO2" localSheetId="31">#REF!</definedName>
    <definedName name="Diesel_HDT_SO2" localSheetId="13">#REF!</definedName>
    <definedName name="Diesel_HDT_SO2">#REF!</definedName>
    <definedName name="Diesel_HDT_VOCs" localSheetId="26">#REF!</definedName>
    <definedName name="Diesel_HDT_VOCs" localSheetId="31">#REF!</definedName>
    <definedName name="Diesel_HDT_VOCs" localSheetId="13">#REF!</definedName>
    <definedName name="Diesel_HDT_VOCs">#REF!</definedName>
    <definedName name="Diesel_LDT_CO" localSheetId="26">#REF!</definedName>
    <definedName name="Diesel_LDT_CO" localSheetId="31">#REF!</definedName>
    <definedName name="Diesel_LDT_CO" localSheetId="13">#REF!</definedName>
    <definedName name="Diesel_LDT_CO">#REF!</definedName>
    <definedName name="Diesel_LDT_Nox" localSheetId="26">#REF!</definedName>
    <definedName name="Diesel_LDT_Nox" localSheetId="31">#REF!</definedName>
    <definedName name="Diesel_LDT_Nox" localSheetId="13">#REF!</definedName>
    <definedName name="Diesel_LDT_Nox">#REF!</definedName>
    <definedName name="Diesel_LDT_PM" localSheetId="26">#REF!</definedName>
    <definedName name="Diesel_LDT_PM" localSheetId="31">#REF!</definedName>
    <definedName name="Diesel_LDT_PM" localSheetId="13">#REF!</definedName>
    <definedName name="Diesel_LDT_PM">#REF!</definedName>
    <definedName name="Diesel_LDT_VOCs" localSheetId="26">#REF!</definedName>
    <definedName name="Diesel_LDT_VOCs" localSheetId="31">#REF!</definedName>
    <definedName name="Diesel_LDT_VOCs" localSheetId="13">#REF!</definedName>
    <definedName name="Diesel_LDT_VOCs">#REF!</definedName>
    <definedName name="dollar____per__m" localSheetId="26">#REF!</definedName>
    <definedName name="dollar____per__m" localSheetId="31">#REF!</definedName>
    <definedName name="dollar____per__m" localSheetId="13">#REF!</definedName>
    <definedName name="dollar____per__m">#REF!</definedName>
    <definedName name="Gas_Car_CO" localSheetId="26">#REF!</definedName>
    <definedName name="Gas_Car_CO" localSheetId="31">#REF!</definedName>
    <definedName name="Gas_Car_CO" localSheetId="13">#REF!</definedName>
    <definedName name="Gas_Car_CO">#REF!</definedName>
    <definedName name="Gas_Car_Nox" localSheetId="26">#REF!</definedName>
    <definedName name="Gas_Car_Nox" localSheetId="31">#REF!</definedName>
    <definedName name="Gas_Car_Nox" localSheetId="13">#REF!</definedName>
    <definedName name="Gas_Car_Nox">#REF!</definedName>
    <definedName name="Gas_Car_PM" localSheetId="26">#REF!</definedName>
    <definedName name="Gas_Car_PM" localSheetId="31">#REF!</definedName>
    <definedName name="Gas_Car_PM" localSheetId="13">#REF!</definedName>
    <definedName name="Gas_Car_PM">#REF!</definedName>
    <definedName name="Gas_Car_VOC" localSheetId="26">#REF!</definedName>
    <definedName name="Gas_Car_VOC" localSheetId="31">#REF!</definedName>
    <definedName name="Gas_Car_VOC" localSheetId="13">#REF!</definedName>
    <definedName name="Gas_Car_VOC">#REF!</definedName>
    <definedName name="Gas_HDT_CO" localSheetId="26">#REF!</definedName>
    <definedName name="Gas_HDT_CO" localSheetId="31">#REF!</definedName>
    <definedName name="Gas_HDT_CO" localSheetId="13">#REF!</definedName>
    <definedName name="Gas_HDT_CO">#REF!</definedName>
    <definedName name="Gas_HDT_NOx" localSheetId="26">#REF!</definedName>
    <definedName name="Gas_HDT_NOx" localSheetId="31">#REF!</definedName>
    <definedName name="Gas_HDT_NOx" localSheetId="13">#REF!</definedName>
    <definedName name="Gas_HDT_NOx">#REF!</definedName>
    <definedName name="Gas_HDT_PM" localSheetId="26">#REF!</definedName>
    <definedName name="Gas_HDT_PM" localSheetId="31">#REF!</definedName>
    <definedName name="Gas_HDT_PM" localSheetId="13">#REF!</definedName>
    <definedName name="Gas_HDT_PM">#REF!</definedName>
    <definedName name="Gas_HDT_SO2" localSheetId="26">#REF!</definedName>
    <definedName name="Gas_HDT_SO2" localSheetId="31">#REF!</definedName>
    <definedName name="Gas_HDT_SO2" localSheetId="13">#REF!</definedName>
    <definedName name="Gas_HDT_SO2">#REF!</definedName>
    <definedName name="Gas_HDT_VOCs" localSheetId="26">#REF!</definedName>
    <definedName name="Gas_HDT_VOCs" localSheetId="31">#REF!</definedName>
    <definedName name="Gas_HDT_VOCs" localSheetId="13">#REF!</definedName>
    <definedName name="Gas_HDT_VOCs">#REF!</definedName>
    <definedName name="Gas_LDT_CO" localSheetId="26">#REF!</definedName>
    <definedName name="Gas_LDT_CO" localSheetId="31">#REF!</definedName>
    <definedName name="Gas_LDT_CO" localSheetId="13">#REF!</definedName>
    <definedName name="Gas_LDT_CO">#REF!</definedName>
    <definedName name="Gas_LDT_NOx" localSheetId="26">#REF!</definedName>
    <definedName name="Gas_LDT_NOx" localSheetId="31">#REF!</definedName>
    <definedName name="Gas_LDT_NOx" localSheetId="13">#REF!</definedName>
    <definedName name="Gas_LDT_NOx">#REF!</definedName>
    <definedName name="Gas_LDT_PM" localSheetId="26">#REF!</definedName>
    <definedName name="Gas_LDT_PM" localSheetId="31">#REF!</definedName>
    <definedName name="Gas_LDT_PM" localSheetId="13">#REF!</definedName>
    <definedName name="Gas_LDT_PM">#REF!</definedName>
    <definedName name="Gas_LDT_VOCs" localSheetId="26">#REF!</definedName>
    <definedName name="Gas_LDT_VOCs" localSheetId="31">#REF!</definedName>
    <definedName name="Gas_LDT_VOCs" localSheetId="13">#REF!</definedName>
    <definedName name="Gas_LDT_VOCs">#REF!</definedName>
    <definedName name="hours_per_day" localSheetId="26">#REF!</definedName>
    <definedName name="hours_per_day" localSheetId="31">#REF!</definedName>
    <definedName name="hours_per_day" localSheetId="13">#REF!</definedName>
    <definedName name="hours_per_day">#REF!</definedName>
    <definedName name="j_per_btu" localSheetId="26">#REF!</definedName>
    <definedName name="j_per_btu" localSheetId="31">#REF!</definedName>
    <definedName name="j_per_btu" localSheetId="13">#REF!</definedName>
    <definedName name="j_per_btu">#REF!</definedName>
    <definedName name="j_per_pj" localSheetId="26">#REF!</definedName>
    <definedName name="j_per_pj" localSheetId="31">#REF!</definedName>
    <definedName name="j_per_pj" localSheetId="13">#REF!</definedName>
    <definedName name="j_per_pj">#REF!</definedName>
    <definedName name="joules_per_btu" localSheetId="1">[1]Conversions!$D$5</definedName>
    <definedName name="joules_per_btu">[2]Conversions!$D$5</definedName>
    <definedName name="kwhr_per_j" localSheetId="26">#REF!</definedName>
    <definedName name="kwhr_per_j" localSheetId="31">#REF!</definedName>
    <definedName name="kwhr_per_j" localSheetId="13">#REF!</definedName>
    <definedName name="kwhr_per_j">#REF!</definedName>
    <definedName name="unit_per_million_unit" localSheetId="26">#REF!</definedName>
    <definedName name="unit_per_million_unit" localSheetId="31">#REF!</definedName>
    <definedName name="unit_per_million_unit" localSheetId="13">#REF!</definedName>
    <definedName name="unit_per_million_unit">#REF!</definedName>
  </definedNames>
  <calcPr calcId="191028"/>
  <pivotCaches>
    <pivotCache cacheId="0" r:id="rId45"/>
    <pivotCache cacheId="1" r:id="rId46"/>
    <pivotCache cacheId="2" r:id="rId47"/>
    <pivotCache cacheId="3" r:id="rId4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9" i="66" l="1"/>
  <c r="G33" i="66"/>
  <c r="B23" i="97"/>
  <c r="H7" i="97" l="1"/>
  <c r="B16" i="97"/>
  <c r="C16" i="97" s="1"/>
  <c r="B24" i="97"/>
  <c r="K44" i="101"/>
  <c r="D11" i="67"/>
  <c r="D83" i="66"/>
  <c r="D91" i="66" s="1"/>
  <c r="D26" i="66"/>
  <c r="D22" i="66"/>
  <c r="E26" i="66"/>
  <c r="K43" i="101"/>
  <c r="K42" i="101"/>
  <c r="E7" i="42"/>
  <c r="E98" i="66"/>
  <c r="D95" i="66"/>
  <c r="D96" i="66"/>
  <c r="C96" i="66" s="1"/>
  <c r="D98" i="66"/>
  <c r="K20" i="14" l="1"/>
  <c r="F3" i="102" s="1"/>
  <c r="K19" i="14"/>
  <c r="F4" i="102" s="1"/>
  <c r="K18" i="14"/>
  <c r="F5" i="102" s="1"/>
  <c r="G5" i="102" s="1"/>
  <c r="L3" i="102"/>
  <c r="L4" i="102" s="1"/>
  <c r="L6" i="102" s="1"/>
  <c r="C3" i="102" l="1"/>
  <c r="I3" i="100" l="1"/>
  <c r="J3" i="100" s="1"/>
  <c r="E69" i="66"/>
  <c r="C69" i="66"/>
  <c r="C10" i="65"/>
  <c r="E22" i="42" s="1"/>
  <c r="H59" i="83"/>
  <c r="L29" i="14" s="1"/>
  <c r="M29" i="14" s="1"/>
  <c r="N29" i="14" s="1"/>
  <c r="L28" i="14"/>
  <c r="BA33" i="14"/>
  <c r="AF33" i="14"/>
  <c r="V33" i="14"/>
  <c r="W33" i="14" s="1"/>
  <c r="X33" i="14" s="1"/>
  <c r="Y33" i="14" s="1"/>
  <c r="Z33" i="14" s="1"/>
  <c r="AA33" i="14" s="1"/>
  <c r="AB33" i="14" s="1"/>
  <c r="AC33" i="14" s="1"/>
  <c r="AD33" i="14" s="1"/>
  <c r="AE33" i="14" s="1"/>
  <c r="K33" i="14"/>
  <c r="E33" i="14"/>
  <c r="E160" i="109" s="1"/>
  <c r="E161" i="109" s="1"/>
  <c r="E162" i="109" s="1"/>
  <c r="C33" i="14"/>
  <c r="D28" i="11" s="1"/>
  <c r="B33" i="14"/>
  <c r="C28" i="11" s="1"/>
  <c r="A33" i="14"/>
  <c r="B28" i="11" s="1"/>
  <c r="B10" i="11"/>
  <c r="B12" i="11"/>
  <c r="D13" i="11"/>
  <c r="B14" i="11"/>
  <c r="B15" i="11"/>
  <c r="B19" i="11"/>
  <c r="B22" i="11"/>
  <c r="B23" i="11"/>
  <c r="B26" i="11"/>
  <c r="B27" i="11"/>
  <c r="B147" i="109"/>
  <c r="C147" i="109"/>
  <c r="L147" i="109"/>
  <c r="L148" i="109" s="1"/>
  <c r="M147" i="109"/>
  <c r="M148" i="109" s="1"/>
  <c r="N147" i="109"/>
  <c r="N148" i="109" s="1"/>
  <c r="O147" i="109"/>
  <c r="P147" i="109"/>
  <c r="P148" i="109" s="1"/>
  <c r="Q147" i="109"/>
  <c r="Q148" i="109" s="1"/>
  <c r="V147" i="109"/>
  <c r="V148" i="109" s="1"/>
  <c r="W147" i="109"/>
  <c r="W148" i="109" s="1"/>
  <c r="B148" i="109"/>
  <c r="C148" i="109"/>
  <c r="E148" i="109"/>
  <c r="F148" i="109"/>
  <c r="G148" i="109"/>
  <c r="H148" i="109"/>
  <c r="I148" i="109"/>
  <c r="J148" i="109"/>
  <c r="O148" i="109"/>
  <c r="AZ148" i="109"/>
  <c r="B149" i="109"/>
  <c r="C149" i="109"/>
  <c r="K149" i="109"/>
  <c r="K150" i="109" s="1"/>
  <c r="V149" i="109"/>
  <c r="V150" i="109" s="1"/>
  <c r="X149" i="109"/>
  <c r="Y149" i="109" s="1"/>
  <c r="Z149" i="109" s="1"/>
  <c r="AF149" i="109"/>
  <c r="AF150" i="109" s="1"/>
  <c r="AZ149" i="109"/>
  <c r="AZ150" i="109" s="1"/>
  <c r="B150" i="109"/>
  <c r="C150" i="109"/>
  <c r="E150" i="109"/>
  <c r="F150" i="109"/>
  <c r="G150" i="109"/>
  <c r="H150" i="109"/>
  <c r="I150" i="109"/>
  <c r="J150" i="109"/>
  <c r="B151" i="109"/>
  <c r="C151" i="109"/>
  <c r="K151" i="109"/>
  <c r="K152" i="109" s="1"/>
  <c r="V151" i="109"/>
  <c r="V152" i="109" s="1"/>
  <c r="W151" i="109"/>
  <c r="W152" i="109" s="1"/>
  <c r="X151" i="109"/>
  <c r="X152" i="109" s="1"/>
  <c r="AF151" i="109"/>
  <c r="AF152" i="109" s="1"/>
  <c r="AZ151" i="109"/>
  <c r="AZ152" i="109" s="1"/>
  <c r="B152" i="109"/>
  <c r="C152" i="109"/>
  <c r="E152" i="109"/>
  <c r="F152" i="109"/>
  <c r="H152" i="109"/>
  <c r="I152" i="109"/>
  <c r="J152" i="109"/>
  <c r="B153" i="109"/>
  <c r="C153" i="109"/>
  <c r="K153" i="109"/>
  <c r="V153" i="109"/>
  <c r="W153" i="109" s="1"/>
  <c r="X153" i="109" s="1"/>
  <c r="Y153" i="109" s="1"/>
  <c r="Z153" i="109" s="1"/>
  <c r="AA153" i="109" s="1"/>
  <c r="AB153" i="109" s="1"/>
  <c r="AC153" i="109" s="1"/>
  <c r="AD153" i="109" s="1"/>
  <c r="AE153" i="109" s="1"/>
  <c r="AF153" i="109"/>
  <c r="AZ153" i="109"/>
  <c r="B154" i="109"/>
  <c r="C154" i="109"/>
  <c r="E154" i="109"/>
  <c r="L154" i="109"/>
  <c r="M154" i="109"/>
  <c r="N154" i="109"/>
  <c r="O154" i="109"/>
  <c r="P154" i="109"/>
  <c r="Q154" i="109"/>
  <c r="R154" i="109" s="1"/>
  <c r="S154" i="109" s="1"/>
  <c r="T154" i="109" s="1"/>
  <c r="U154" i="109" s="1"/>
  <c r="V154" i="109"/>
  <c r="W154" i="109" s="1"/>
  <c r="X154" i="109" s="1"/>
  <c r="Y154" i="109" s="1"/>
  <c r="Z154" i="109" s="1"/>
  <c r="AA154" i="109" s="1"/>
  <c r="AB154" i="109" s="1"/>
  <c r="AC154" i="109" s="1"/>
  <c r="AD154" i="109" s="1"/>
  <c r="AE154" i="109" s="1"/>
  <c r="AF154" i="109"/>
  <c r="AZ154" i="109"/>
  <c r="B155" i="109"/>
  <c r="C155" i="109"/>
  <c r="K155" i="109"/>
  <c r="V155" i="109"/>
  <c r="W155" i="109" s="1"/>
  <c r="X155" i="109" s="1"/>
  <c r="Y155" i="109" s="1"/>
  <c r="Z155" i="109" s="1"/>
  <c r="AA155" i="109" s="1"/>
  <c r="AB155" i="109" s="1"/>
  <c r="AC155" i="109" s="1"/>
  <c r="AD155" i="109" s="1"/>
  <c r="AE155" i="109" s="1"/>
  <c r="AF155" i="109"/>
  <c r="AZ155" i="109"/>
  <c r="A156" i="109"/>
  <c r="B156" i="109"/>
  <c r="C156" i="109"/>
  <c r="K156" i="109"/>
  <c r="V156" i="109"/>
  <c r="W156" i="109" s="1"/>
  <c r="X156" i="109" s="1"/>
  <c r="Y156" i="109" s="1"/>
  <c r="Z156" i="109" s="1"/>
  <c r="AA156" i="109" s="1"/>
  <c r="AB156" i="109" s="1"/>
  <c r="AC156" i="109" s="1"/>
  <c r="AD156" i="109" s="1"/>
  <c r="AE156" i="109" s="1"/>
  <c r="AF156" i="109"/>
  <c r="AZ156" i="109"/>
  <c r="A157" i="109"/>
  <c r="B157" i="109"/>
  <c r="C157" i="109"/>
  <c r="E157" i="109"/>
  <c r="E158" i="109" s="1"/>
  <c r="E159" i="109" s="1"/>
  <c r="K157" i="109"/>
  <c r="V157" i="109"/>
  <c r="W157" i="109"/>
  <c r="X157" i="109" s="1"/>
  <c r="Y157" i="109" s="1"/>
  <c r="Z157" i="109" s="1"/>
  <c r="AA157" i="109" s="1"/>
  <c r="AB157" i="109" s="1"/>
  <c r="AC157" i="109" s="1"/>
  <c r="AD157" i="109" s="1"/>
  <c r="AE157" i="109" s="1"/>
  <c r="AF157" i="109"/>
  <c r="AZ157" i="109"/>
  <c r="A158" i="109"/>
  <c r="B158" i="109"/>
  <c r="C158" i="109"/>
  <c r="K158" i="109"/>
  <c r="V158" i="109"/>
  <c r="W158" i="109" s="1"/>
  <c r="X158" i="109" s="1"/>
  <c r="Y158" i="109" s="1"/>
  <c r="Z158" i="109" s="1"/>
  <c r="AA158" i="109" s="1"/>
  <c r="AB158" i="109" s="1"/>
  <c r="AC158" i="109" s="1"/>
  <c r="AD158" i="109" s="1"/>
  <c r="AE158" i="109" s="1"/>
  <c r="AF158" i="109"/>
  <c r="AZ158" i="109"/>
  <c r="A159" i="109"/>
  <c r="B159" i="109"/>
  <c r="C159" i="109"/>
  <c r="H159" i="109"/>
  <c r="K159" i="109"/>
  <c r="V159" i="109"/>
  <c r="W159" i="109" s="1"/>
  <c r="X159" i="109" s="1"/>
  <c r="Y159" i="109" s="1"/>
  <c r="Z159" i="109" s="1"/>
  <c r="AA159" i="109" s="1"/>
  <c r="AB159" i="109" s="1"/>
  <c r="AC159" i="109" s="1"/>
  <c r="AD159" i="109" s="1"/>
  <c r="AE159" i="109" s="1"/>
  <c r="AF159" i="109"/>
  <c r="AZ159" i="109"/>
  <c r="A160" i="109"/>
  <c r="B160" i="109"/>
  <c r="C160" i="109"/>
  <c r="K160" i="109"/>
  <c r="V160" i="109"/>
  <c r="W160" i="109"/>
  <c r="X160" i="109" s="1"/>
  <c r="Y160" i="109" s="1"/>
  <c r="Z160" i="109" s="1"/>
  <c r="AA160" i="109" s="1"/>
  <c r="AB160" i="109" s="1"/>
  <c r="AC160" i="109" s="1"/>
  <c r="AD160" i="109" s="1"/>
  <c r="AE160" i="109" s="1"/>
  <c r="AF160" i="109"/>
  <c r="AZ160" i="109"/>
  <c r="A161" i="109"/>
  <c r="B161" i="109"/>
  <c r="C161" i="109"/>
  <c r="K161" i="109"/>
  <c r="V161" i="109"/>
  <c r="W161" i="109"/>
  <c r="X161" i="109"/>
  <c r="Y161" i="109" s="1"/>
  <c r="Z161" i="109" s="1"/>
  <c r="AA161" i="109" s="1"/>
  <c r="AB161" i="109" s="1"/>
  <c r="AC161" i="109" s="1"/>
  <c r="AD161" i="109" s="1"/>
  <c r="AE161" i="109" s="1"/>
  <c r="AF161" i="109"/>
  <c r="AZ161" i="109"/>
  <c r="A162" i="109"/>
  <c r="B162" i="109"/>
  <c r="C162" i="109"/>
  <c r="H162" i="109"/>
  <c r="K162" i="109"/>
  <c r="V162" i="109"/>
  <c r="W162" i="109" s="1"/>
  <c r="X162" i="109" s="1"/>
  <c r="Y162" i="109" s="1"/>
  <c r="Z162" i="109" s="1"/>
  <c r="AA162" i="109" s="1"/>
  <c r="AB162" i="109" s="1"/>
  <c r="AC162" i="109" s="1"/>
  <c r="AD162" i="109" s="1"/>
  <c r="AE162" i="109" s="1"/>
  <c r="AF162" i="109"/>
  <c r="AZ162" i="109"/>
  <c r="B143" i="109"/>
  <c r="C143" i="109"/>
  <c r="E143" i="109"/>
  <c r="L143" i="109"/>
  <c r="M143" i="109" s="1"/>
  <c r="V143" i="109"/>
  <c r="W143" i="109" s="1"/>
  <c r="X143" i="109" s="1"/>
  <c r="Y143" i="109" s="1"/>
  <c r="Z143" i="109" s="1"/>
  <c r="AA143" i="109" s="1"/>
  <c r="AB143" i="109" s="1"/>
  <c r="AC143" i="109" s="1"/>
  <c r="AD143" i="109" s="1"/>
  <c r="AE143" i="109" s="1"/>
  <c r="AF143" i="109"/>
  <c r="G144" i="109"/>
  <c r="G143" i="109" s="1"/>
  <c r="A142" i="109"/>
  <c r="B142" i="109"/>
  <c r="C142" i="109"/>
  <c r="V142" i="109"/>
  <c r="W142" i="109" s="1"/>
  <c r="X142" i="109" s="1"/>
  <c r="Y142" i="109" s="1"/>
  <c r="Z142" i="109" s="1"/>
  <c r="AA142" i="109" s="1"/>
  <c r="AB142" i="109" s="1"/>
  <c r="AC142" i="109" s="1"/>
  <c r="AD142" i="109" s="1"/>
  <c r="AE142" i="109" s="1"/>
  <c r="AF142" i="109"/>
  <c r="B90" i="109"/>
  <c r="C90" i="109"/>
  <c r="E90" i="109"/>
  <c r="F90" i="109"/>
  <c r="B91" i="109"/>
  <c r="C91" i="109"/>
  <c r="E91" i="109"/>
  <c r="F91" i="109"/>
  <c r="B92" i="109"/>
  <c r="C92" i="109"/>
  <c r="E92" i="109"/>
  <c r="F92" i="109"/>
  <c r="B93" i="109"/>
  <c r="C93" i="109"/>
  <c r="E93" i="109"/>
  <c r="F93" i="109"/>
  <c r="B94" i="109"/>
  <c r="C94" i="109"/>
  <c r="E94" i="109"/>
  <c r="F94" i="109"/>
  <c r="B95" i="109"/>
  <c r="C95" i="109"/>
  <c r="E95" i="109"/>
  <c r="F95" i="109"/>
  <c r="A96" i="109"/>
  <c r="B96" i="109"/>
  <c r="C96" i="109"/>
  <c r="E96" i="109"/>
  <c r="F96" i="109"/>
  <c r="AF96" i="109"/>
  <c r="AZ96" i="109"/>
  <c r="I96" i="109" s="1"/>
  <c r="B97" i="109"/>
  <c r="C97" i="109"/>
  <c r="E97" i="109"/>
  <c r="F97" i="109"/>
  <c r="AF97" i="109"/>
  <c r="AZ97" i="109"/>
  <c r="I97" i="109" s="1"/>
  <c r="B98" i="109"/>
  <c r="C98" i="109"/>
  <c r="E98" i="109"/>
  <c r="F98" i="109"/>
  <c r="I98" i="109"/>
  <c r="A99" i="109"/>
  <c r="B99" i="109"/>
  <c r="C99" i="109"/>
  <c r="E99" i="109"/>
  <c r="F99" i="109"/>
  <c r="H99" i="109"/>
  <c r="H100" i="109" s="1"/>
  <c r="V99" i="109"/>
  <c r="V100" i="109" s="1"/>
  <c r="AF99" i="109"/>
  <c r="AZ99" i="109"/>
  <c r="AZ100" i="109" s="1"/>
  <c r="I100" i="109" s="1"/>
  <c r="B100" i="109"/>
  <c r="C100" i="109"/>
  <c r="E100" i="109"/>
  <c r="F100" i="109"/>
  <c r="AF100" i="109"/>
  <c r="A101" i="109"/>
  <c r="B101" i="109"/>
  <c r="C101" i="109"/>
  <c r="E101" i="109"/>
  <c r="F101" i="109"/>
  <c r="I101" i="109"/>
  <c r="V101" i="109"/>
  <c r="AF101" i="109"/>
  <c r="A102" i="109"/>
  <c r="B102" i="109"/>
  <c r="C102" i="109"/>
  <c r="E102" i="109"/>
  <c r="F102" i="109"/>
  <c r="W102" i="109"/>
  <c r="X102" i="109" s="1"/>
  <c r="Y102" i="109" s="1"/>
  <c r="Z102" i="109" s="1"/>
  <c r="AA102" i="109" s="1"/>
  <c r="AB102" i="109" s="1"/>
  <c r="AC102" i="109" s="1"/>
  <c r="AD102" i="109" s="1"/>
  <c r="AE102" i="109" s="1"/>
  <c r="AF102" i="109"/>
  <c r="AZ102" i="109"/>
  <c r="I102" i="109" s="1"/>
  <c r="A103" i="109"/>
  <c r="B103" i="109"/>
  <c r="C103" i="109"/>
  <c r="E103" i="109"/>
  <c r="F103" i="109"/>
  <c r="I103" i="109"/>
  <c r="Y103" i="109"/>
  <c r="Z103" i="109" s="1"/>
  <c r="AA103" i="109" s="1"/>
  <c r="AB103" i="109"/>
  <c r="AC103" i="109" s="1"/>
  <c r="AD103" i="109" s="1"/>
  <c r="AE103" i="109" s="1"/>
  <c r="A104" i="109"/>
  <c r="B104" i="109"/>
  <c r="C104" i="109"/>
  <c r="E104" i="109"/>
  <c r="F104" i="109"/>
  <c r="H104" i="109"/>
  <c r="W104" i="109"/>
  <c r="X104" i="109" s="1"/>
  <c r="Y104" i="109"/>
  <c r="Z104" i="109" s="1"/>
  <c r="AA104" i="109" s="1"/>
  <c r="AB104" i="109" s="1"/>
  <c r="AC104" i="109" s="1"/>
  <c r="AD104" i="109" s="1"/>
  <c r="AE104" i="109" s="1"/>
  <c r="AF104" i="109"/>
  <c r="AZ104" i="109"/>
  <c r="I104" i="109" s="1"/>
  <c r="A105" i="109"/>
  <c r="B105" i="109"/>
  <c r="C105" i="109"/>
  <c r="E105" i="109"/>
  <c r="F105" i="109"/>
  <c r="H105" i="109"/>
  <c r="M105" i="109"/>
  <c r="N105" i="109" s="1"/>
  <c r="O105" i="109"/>
  <c r="P105" i="109" s="1"/>
  <c r="Q105" i="109" s="1"/>
  <c r="R105" i="109"/>
  <c r="S105" i="109" s="1"/>
  <c r="T105" i="109" s="1"/>
  <c r="U105" i="109" s="1"/>
  <c r="W105" i="109"/>
  <c r="X105" i="109" s="1"/>
  <c r="Y105" i="109"/>
  <c r="Z105" i="109"/>
  <c r="AA105" i="109" s="1"/>
  <c r="AB105" i="109"/>
  <c r="AC105" i="109" s="1"/>
  <c r="AD105" i="109" s="1"/>
  <c r="AE105" i="109" s="1"/>
  <c r="AF105" i="109"/>
  <c r="AZ105" i="109"/>
  <c r="I105" i="109" s="1"/>
  <c r="B106" i="109"/>
  <c r="C106" i="109"/>
  <c r="E106" i="109"/>
  <c r="F106" i="109"/>
  <c r="I106" i="109"/>
  <c r="K106" i="109"/>
  <c r="V106" i="109"/>
  <c r="AF106" i="109"/>
  <c r="B107" i="109"/>
  <c r="C107" i="109"/>
  <c r="E107" i="109"/>
  <c r="F107" i="109"/>
  <c r="M107" i="109"/>
  <c r="N107" i="109" s="1"/>
  <c r="O107" i="109" s="1"/>
  <c r="P107" i="109" s="1"/>
  <c r="Q107" i="109" s="1"/>
  <c r="R107" i="109" s="1"/>
  <c r="S107" i="109" s="1"/>
  <c r="T107" i="109" s="1"/>
  <c r="U107" i="109" s="1"/>
  <c r="W107" i="109"/>
  <c r="X107" i="109" s="1"/>
  <c r="Y107" i="109" s="1"/>
  <c r="Z107" i="109" s="1"/>
  <c r="AA107" i="109" s="1"/>
  <c r="AB107" i="109" s="1"/>
  <c r="AC107" i="109" s="1"/>
  <c r="AD107" i="109" s="1"/>
  <c r="AE107" i="109" s="1"/>
  <c r="AF107" i="109"/>
  <c r="AZ107" i="109"/>
  <c r="I107" i="109" s="1"/>
  <c r="B108" i="109"/>
  <c r="C108" i="109"/>
  <c r="E108" i="109"/>
  <c r="E109" i="109" s="1"/>
  <c r="E110" i="109" s="1"/>
  <c r="F108" i="109"/>
  <c r="I108" i="109"/>
  <c r="O108" i="109"/>
  <c r="P108" i="109" s="1"/>
  <c r="Q108" i="109" s="1"/>
  <c r="R108" i="109"/>
  <c r="S108" i="109" s="1"/>
  <c r="T108" i="109" s="1"/>
  <c r="U108" i="109" s="1"/>
  <c r="Y108" i="109"/>
  <c r="Z108" i="109" s="1"/>
  <c r="AA108" i="109" s="1"/>
  <c r="AB108" i="109"/>
  <c r="AC108" i="109" s="1"/>
  <c r="AD108" i="109" s="1"/>
  <c r="AE108" i="109" s="1"/>
  <c r="B109" i="109"/>
  <c r="C109" i="109"/>
  <c r="F109" i="109"/>
  <c r="I109" i="109"/>
  <c r="M109" i="109"/>
  <c r="N109" i="109" s="1"/>
  <c r="O109" i="109"/>
  <c r="P109" i="109" s="1"/>
  <c r="Q109" i="109" s="1"/>
  <c r="R109" i="109" s="1"/>
  <c r="S109" i="109" s="1"/>
  <c r="T109" i="109" s="1"/>
  <c r="U109" i="109" s="1"/>
  <c r="W109" i="109"/>
  <c r="X109" i="109" s="1"/>
  <c r="Y109" i="109"/>
  <c r="Z109" i="109" s="1"/>
  <c r="AA109" i="109" s="1"/>
  <c r="AB109" i="109" s="1"/>
  <c r="AC109" i="109" s="1"/>
  <c r="AD109" i="109" s="1"/>
  <c r="AE109" i="109" s="1"/>
  <c r="B110" i="109"/>
  <c r="C110" i="109"/>
  <c r="F110" i="109"/>
  <c r="I110" i="109"/>
  <c r="M110" i="109"/>
  <c r="N110" i="109" s="1"/>
  <c r="O110" i="109"/>
  <c r="P110" i="109" s="1"/>
  <c r="Q110" i="109" s="1"/>
  <c r="R110" i="109"/>
  <c r="S110" i="109" s="1"/>
  <c r="T110" i="109" s="1"/>
  <c r="U110" i="109" s="1"/>
  <c r="W110" i="109"/>
  <c r="X110" i="109" s="1"/>
  <c r="Y110" i="109"/>
  <c r="Z110" i="109" s="1"/>
  <c r="AA110" i="109" s="1"/>
  <c r="AB110" i="109"/>
  <c r="AC110" i="109" s="1"/>
  <c r="AD110" i="109" s="1"/>
  <c r="AE110" i="109" s="1"/>
  <c r="A111" i="109"/>
  <c r="B111" i="109"/>
  <c r="C111" i="109"/>
  <c r="E111" i="109"/>
  <c r="F111" i="109"/>
  <c r="I111" i="109"/>
  <c r="V111" i="109"/>
  <c r="AF111" i="109"/>
  <c r="A112" i="109"/>
  <c r="B112" i="109"/>
  <c r="C112" i="109"/>
  <c r="E112" i="109"/>
  <c r="F112" i="109"/>
  <c r="W112" i="109"/>
  <c r="W113" i="109" s="1"/>
  <c r="AF112" i="109"/>
  <c r="AF113" i="109" s="1"/>
  <c r="AZ112" i="109"/>
  <c r="I112" i="109" s="1"/>
  <c r="B113" i="109"/>
  <c r="C113" i="109"/>
  <c r="E113" i="109"/>
  <c r="F113" i="109"/>
  <c r="J113" i="109"/>
  <c r="A114" i="109"/>
  <c r="B114" i="109"/>
  <c r="C114" i="109"/>
  <c r="E114" i="109"/>
  <c r="F114" i="109"/>
  <c r="I114" i="109"/>
  <c r="Y114" i="109"/>
  <c r="Y115" i="109" s="1"/>
  <c r="AB114" i="109"/>
  <c r="AB115" i="109" s="1"/>
  <c r="A115" i="109"/>
  <c r="B115" i="109"/>
  <c r="C115" i="109"/>
  <c r="E115" i="109"/>
  <c r="F115" i="109"/>
  <c r="J115" i="109"/>
  <c r="AF115" i="109"/>
  <c r="AZ115" i="109"/>
  <c r="I115" i="109" s="1"/>
  <c r="A116" i="109"/>
  <c r="B116" i="109"/>
  <c r="C116" i="109"/>
  <c r="E116" i="109"/>
  <c r="F116" i="109"/>
  <c r="I116" i="109"/>
  <c r="I117" i="109" s="1"/>
  <c r="W116" i="109"/>
  <c r="X116" i="109" s="1"/>
  <c r="X117" i="109" s="1"/>
  <c r="Y116" i="109"/>
  <c r="Z116" i="109" s="1"/>
  <c r="AB116" i="109"/>
  <c r="AB117" i="109" s="1"/>
  <c r="AC116" i="109"/>
  <c r="AD116" i="109" s="1"/>
  <c r="AF116" i="109"/>
  <c r="AF117" i="109" s="1"/>
  <c r="B117" i="109"/>
  <c r="C117" i="109"/>
  <c r="E117" i="109"/>
  <c r="F117" i="109"/>
  <c r="H117" i="109"/>
  <c r="J117" i="109"/>
  <c r="AZ117" i="109"/>
  <c r="B118" i="109"/>
  <c r="C118" i="109"/>
  <c r="E118" i="109"/>
  <c r="F118" i="109"/>
  <c r="I118" i="109"/>
  <c r="W118" i="109"/>
  <c r="X118" i="109" s="1"/>
  <c r="Y118" i="109"/>
  <c r="Z118" i="109" s="1"/>
  <c r="AA118" i="109" s="1"/>
  <c r="AB118" i="109"/>
  <c r="AC118" i="109" s="1"/>
  <c r="AD118" i="109" s="1"/>
  <c r="AE118" i="109" s="1"/>
  <c r="AF118" i="109"/>
  <c r="B119" i="109"/>
  <c r="C119" i="109"/>
  <c r="E119" i="109"/>
  <c r="F119" i="109"/>
  <c r="K119" i="109"/>
  <c r="AF119" i="109"/>
  <c r="AZ119" i="109"/>
  <c r="I119" i="109" s="1"/>
  <c r="B120" i="109"/>
  <c r="C120" i="109"/>
  <c r="E120" i="109"/>
  <c r="F120" i="109"/>
  <c r="K120" i="109"/>
  <c r="AF120" i="109"/>
  <c r="AZ120" i="109"/>
  <c r="I120" i="109" s="1"/>
  <c r="B121" i="109"/>
  <c r="C121" i="109"/>
  <c r="E121" i="109"/>
  <c r="F121" i="109"/>
  <c r="K121" i="109"/>
  <c r="V121" i="109"/>
  <c r="AF121" i="109"/>
  <c r="AZ121" i="109"/>
  <c r="I121" i="109" s="1"/>
  <c r="B122" i="109"/>
  <c r="C122" i="109"/>
  <c r="E122" i="109"/>
  <c r="F122" i="109"/>
  <c r="M122" i="109"/>
  <c r="N122" i="109"/>
  <c r="O122" i="109" s="1"/>
  <c r="P122" i="109" s="1"/>
  <c r="Q122" i="109" s="1"/>
  <c r="R122" i="109" s="1"/>
  <c r="S122" i="109" s="1"/>
  <c r="T122" i="109" s="1"/>
  <c r="U122" i="109" s="1"/>
  <c r="W122" i="109"/>
  <c r="X122" i="109"/>
  <c r="Y122" i="109" s="1"/>
  <c r="Z122" i="109" s="1"/>
  <c r="AA122" i="109" s="1"/>
  <c r="AB122" i="109" s="1"/>
  <c r="AC122" i="109" s="1"/>
  <c r="AD122" i="109" s="1"/>
  <c r="AE122" i="109" s="1"/>
  <c r="AF122" i="109"/>
  <c r="AZ122" i="109"/>
  <c r="I122" i="109" s="1"/>
  <c r="B123" i="109"/>
  <c r="C123" i="109"/>
  <c r="E123" i="109"/>
  <c r="F123" i="109"/>
  <c r="O123" i="109"/>
  <c r="P123" i="109" s="1"/>
  <c r="Q123" i="109" s="1"/>
  <c r="R123" i="109"/>
  <c r="S123" i="109" s="1"/>
  <c r="T123" i="109" s="1"/>
  <c r="U123" i="109" s="1"/>
  <c r="Y123" i="109"/>
  <c r="Z123" i="109" s="1"/>
  <c r="AA123" i="109" s="1"/>
  <c r="AB123" i="109"/>
  <c r="AC123" i="109" s="1"/>
  <c r="AD123" i="109" s="1"/>
  <c r="AE123" i="109" s="1"/>
  <c r="AZ123" i="109"/>
  <c r="I123" i="109" s="1"/>
  <c r="B124" i="109"/>
  <c r="C124" i="109"/>
  <c r="E124" i="109"/>
  <c r="F124" i="109"/>
  <c r="H124" i="109"/>
  <c r="M124" i="109"/>
  <c r="N124" i="109" s="1"/>
  <c r="O124" i="109"/>
  <c r="P124" i="109" s="1"/>
  <c r="Q124" i="109" s="1"/>
  <c r="R124" i="109"/>
  <c r="S124" i="109" s="1"/>
  <c r="T124" i="109" s="1"/>
  <c r="U124" i="109" s="1"/>
  <c r="W124" i="109"/>
  <c r="X124" i="109" s="1"/>
  <c r="Y124" i="109"/>
  <c r="Z124" i="109" s="1"/>
  <c r="AA124" i="109" s="1"/>
  <c r="AB124" i="109"/>
  <c r="AC124" i="109" s="1"/>
  <c r="AD124" i="109" s="1"/>
  <c r="AE124" i="109" s="1"/>
  <c r="AF124" i="109"/>
  <c r="AZ124" i="109"/>
  <c r="I124" i="109" s="1"/>
  <c r="B125" i="109"/>
  <c r="C125" i="109"/>
  <c r="E125" i="109"/>
  <c r="F125" i="109"/>
  <c r="M125" i="109"/>
  <c r="N125" i="109" s="1"/>
  <c r="O125" i="109"/>
  <c r="P125" i="109" s="1"/>
  <c r="Q125" i="109" s="1"/>
  <c r="R125" i="109"/>
  <c r="S125" i="109" s="1"/>
  <c r="T125" i="109" s="1"/>
  <c r="U125" i="109" s="1"/>
  <c r="W125" i="109"/>
  <c r="X125" i="109" s="1"/>
  <c r="Y125" i="109"/>
  <c r="Z125" i="109" s="1"/>
  <c r="AA125" i="109" s="1"/>
  <c r="AB125" i="109"/>
  <c r="AC125" i="109" s="1"/>
  <c r="AD125" i="109" s="1"/>
  <c r="AE125" i="109" s="1"/>
  <c r="AF125" i="109"/>
  <c r="AZ125" i="109"/>
  <c r="I125" i="109" s="1"/>
  <c r="B126" i="109"/>
  <c r="C126" i="109"/>
  <c r="E126" i="109"/>
  <c r="F126" i="109"/>
  <c r="H126" i="109"/>
  <c r="M126" i="109"/>
  <c r="N126" i="109" s="1"/>
  <c r="O126" i="109"/>
  <c r="P126" i="109" s="1"/>
  <c r="Q126" i="109" s="1"/>
  <c r="R126" i="109"/>
  <c r="S126" i="109" s="1"/>
  <c r="T126" i="109" s="1"/>
  <c r="U126" i="109" s="1"/>
  <c r="W126" i="109"/>
  <c r="X126" i="109" s="1"/>
  <c r="Y126" i="109"/>
  <c r="Z126" i="109" s="1"/>
  <c r="AA126" i="109" s="1"/>
  <c r="AB126" i="109"/>
  <c r="AC126" i="109" s="1"/>
  <c r="AD126" i="109" s="1"/>
  <c r="AE126" i="109" s="1"/>
  <c r="AF126" i="109"/>
  <c r="AZ126" i="109"/>
  <c r="I126" i="109" s="1"/>
  <c r="B127" i="109"/>
  <c r="C127" i="109"/>
  <c r="E127" i="109"/>
  <c r="F127" i="109"/>
  <c r="M127" i="109"/>
  <c r="N127" i="109" s="1"/>
  <c r="O127" i="109"/>
  <c r="P127" i="109" s="1"/>
  <c r="Q127" i="109" s="1"/>
  <c r="R127" i="109"/>
  <c r="S127" i="109" s="1"/>
  <c r="T127" i="109" s="1"/>
  <c r="U127" i="109" s="1"/>
  <c r="W127" i="109"/>
  <c r="X127" i="109" s="1"/>
  <c r="Y127" i="109"/>
  <c r="Z127" i="109" s="1"/>
  <c r="AA127" i="109" s="1"/>
  <c r="AB127" i="109"/>
  <c r="AC127" i="109" s="1"/>
  <c r="AD127" i="109" s="1"/>
  <c r="AE127" i="109" s="1"/>
  <c r="AF127" i="109"/>
  <c r="AZ127" i="109"/>
  <c r="I127" i="109" s="1"/>
  <c r="B128" i="109"/>
  <c r="C128" i="109"/>
  <c r="E128" i="109"/>
  <c r="F128" i="109"/>
  <c r="K128" i="109"/>
  <c r="V128" i="109"/>
  <c r="AF128" i="109"/>
  <c r="AZ128" i="109"/>
  <c r="I128" i="109" s="1"/>
  <c r="B129" i="109"/>
  <c r="C129" i="109"/>
  <c r="E129" i="109"/>
  <c r="F129" i="109"/>
  <c r="M129" i="109"/>
  <c r="N129" i="109"/>
  <c r="O129" i="109" s="1"/>
  <c r="P129" i="109" s="1"/>
  <c r="Q129" i="109" s="1"/>
  <c r="R129" i="109" s="1"/>
  <c r="S129" i="109" s="1"/>
  <c r="T129" i="109" s="1"/>
  <c r="U129" i="109" s="1"/>
  <c r="W129" i="109"/>
  <c r="X129" i="109"/>
  <c r="Y129" i="109" s="1"/>
  <c r="Z129" i="109" s="1"/>
  <c r="AA129" i="109" s="1"/>
  <c r="AB129" i="109" s="1"/>
  <c r="AC129" i="109" s="1"/>
  <c r="AD129" i="109" s="1"/>
  <c r="AE129" i="109" s="1"/>
  <c r="AF129" i="109"/>
  <c r="AZ129" i="109"/>
  <c r="I129" i="109" s="1"/>
  <c r="B130" i="109"/>
  <c r="C130" i="109"/>
  <c r="E130" i="109"/>
  <c r="F130" i="109"/>
  <c r="O130" i="109"/>
  <c r="P130" i="109" s="1"/>
  <c r="Q130" i="109" s="1"/>
  <c r="R130" i="109"/>
  <c r="S130" i="109" s="1"/>
  <c r="T130" i="109" s="1"/>
  <c r="U130" i="109" s="1"/>
  <c r="Y130" i="109"/>
  <c r="Z130" i="109" s="1"/>
  <c r="AA130" i="109" s="1"/>
  <c r="AB130" i="109"/>
  <c r="AC130" i="109" s="1"/>
  <c r="AD130" i="109" s="1"/>
  <c r="AE130" i="109" s="1"/>
  <c r="AZ130" i="109"/>
  <c r="I130" i="109" s="1"/>
  <c r="B131" i="109"/>
  <c r="C131" i="109"/>
  <c r="E131" i="109"/>
  <c r="F131" i="109"/>
  <c r="M131" i="109"/>
  <c r="N131" i="109" s="1"/>
  <c r="O131" i="109"/>
  <c r="P131" i="109" s="1"/>
  <c r="Q131" i="109" s="1"/>
  <c r="R131" i="109"/>
  <c r="S131" i="109" s="1"/>
  <c r="T131" i="109" s="1"/>
  <c r="U131" i="109" s="1"/>
  <c r="W131" i="109"/>
  <c r="X131" i="109" s="1"/>
  <c r="Y131" i="109"/>
  <c r="Z131" i="109" s="1"/>
  <c r="AA131" i="109" s="1"/>
  <c r="AB131" i="109"/>
  <c r="AC131" i="109" s="1"/>
  <c r="AD131" i="109" s="1"/>
  <c r="AE131" i="109" s="1"/>
  <c r="AF131" i="109"/>
  <c r="AZ131" i="109"/>
  <c r="I131" i="109" s="1"/>
  <c r="B132" i="109"/>
  <c r="C132" i="109"/>
  <c r="E132" i="109"/>
  <c r="F132" i="109"/>
  <c r="M132" i="109"/>
  <c r="N132" i="109" s="1"/>
  <c r="O132" i="109"/>
  <c r="P132" i="109" s="1"/>
  <c r="Q132" i="109" s="1"/>
  <c r="R132" i="109"/>
  <c r="S132" i="109" s="1"/>
  <c r="T132" i="109" s="1"/>
  <c r="U132" i="109" s="1"/>
  <c r="W132" i="109"/>
  <c r="X132" i="109" s="1"/>
  <c r="Y132" i="109"/>
  <c r="Z132" i="109" s="1"/>
  <c r="AA132" i="109" s="1"/>
  <c r="AB132" i="109"/>
  <c r="AC132" i="109" s="1"/>
  <c r="AD132" i="109" s="1"/>
  <c r="AE132" i="109" s="1"/>
  <c r="AF132" i="109"/>
  <c r="B133" i="109"/>
  <c r="C133" i="109"/>
  <c r="E133" i="109"/>
  <c r="F133" i="109"/>
  <c r="M133" i="109"/>
  <c r="N133" i="109" s="1"/>
  <c r="O133" i="109"/>
  <c r="P133" i="109" s="1"/>
  <c r="Q133" i="109" s="1"/>
  <c r="R133" i="109"/>
  <c r="S133" i="109" s="1"/>
  <c r="T133" i="109" s="1"/>
  <c r="U133" i="109" s="1"/>
  <c r="W133" i="109"/>
  <c r="X133" i="109" s="1"/>
  <c r="Y133" i="109"/>
  <c r="Z133" i="109" s="1"/>
  <c r="AA133" i="109" s="1"/>
  <c r="AB133" i="109"/>
  <c r="AC133" i="109" s="1"/>
  <c r="AD133" i="109" s="1"/>
  <c r="AE133" i="109" s="1"/>
  <c r="AF133" i="109"/>
  <c r="B134" i="109"/>
  <c r="C134" i="109"/>
  <c r="E134" i="109"/>
  <c r="F134" i="109"/>
  <c r="M134" i="109"/>
  <c r="N134" i="109" s="1"/>
  <c r="O134" i="109"/>
  <c r="P134" i="109" s="1"/>
  <c r="Q134" i="109" s="1"/>
  <c r="R134" i="109"/>
  <c r="S134" i="109" s="1"/>
  <c r="T134" i="109" s="1"/>
  <c r="U134" i="109" s="1"/>
  <c r="W134" i="109"/>
  <c r="X134" i="109" s="1"/>
  <c r="Y134" i="109"/>
  <c r="Z134" i="109" s="1"/>
  <c r="AA134" i="109" s="1"/>
  <c r="AB134" i="109"/>
  <c r="AC134" i="109" s="1"/>
  <c r="AD134" i="109" s="1"/>
  <c r="AE134" i="109" s="1"/>
  <c r="AF134" i="109"/>
  <c r="B135" i="109"/>
  <c r="C135" i="109"/>
  <c r="E135" i="109"/>
  <c r="F135" i="109"/>
  <c r="K135" i="109"/>
  <c r="V135" i="109"/>
  <c r="AF135" i="109"/>
  <c r="B136" i="109"/>
  <c r="C136" i="109"/>
  <c r="E136" i="109"/>
  <c r="F136" i="109"/>
  <c r="M136" i="109"/>
  <c r="N136" i="109" s="1"/>
  <c r="O136" i="109"/>
  <c r="P136" i="109" s="1"/>
  <c r="Q136" i="109" s="1"/>
  <c r="R136" i="109"/>
  <c r="S136" i="109" s="1"/>
  <c r="T136" i="109" s="1"/>
  <c r="U136" i="109" s="1"/>
  <c r="W136" i="109"/>
  <c r="X136" i="109" s="1"/>
  <c r="Y136" i="109"/>
  <c r="Z136" i="109" s="1"/>
  <c r="AA136" i="109" s="1"/>
  <c r="AB136" i="109"/>
  <c r="AC136" i="109" s="1"/>
  <c r="AD136" i="109" s="1"/>
  <c r="AE136" i="109" s="1"/>
  <c r="AF136" i="109"/>
  <c r="B137" i="109"/>
  <c r="C137" i="109"/>
  <c r="E137" i="109"/>
  <c r="F137" i="109"/>
  <c r="M137" i="109"/>
  <c r="N137" i="109" s="1"/>
  <c r="O137" i="109"/>
  <c r="P137" i="109" s="1"/>
  <c r="Q137" i="109" s="1"/>
  <c r="R137" i="109"/>
  <c r="S137" i="109" s="1"/>
  <c r="T137" i="109" s="1"/>
  <c r="U137" i="109" s="1"/>
  <c r="W137" i="109"/>
  <c r="X137" i="109" s="1"/>
  <c r="Y137" i="109"/>
  <c r="Z137" i="109" s="1"/>
  <c r="AA137" i="109" s="1"/>
  <c r="AB137" i="109"/>
  <c r="AC137" i="109" s="1"/>
  <c r="AD137" i="109" s="1"/>
  <c r="AE137" i="109" s="1"/>
  <c r="AF137" i="109"/>
  <c r="B138" i="109"/>
  <c r="C138" i="109"/>
  <c r="E138" i="109"/>
  <c r="F138" i="109"/>
  <c r="M138" i="109"/>
  <c r="N138" i="109" s="1"/>
  <c r="O138" i="109"/>
  <c r="P138" i="109" s="1"/>
  <c r="Q138" i="109" s="1"/>
  <c r="R138" i="109"/>
  <c r="S138" i="109" s="1"/>
  <c r="T138" i="109" s="1"/>
  <c r="U138" i="109" s="1"/>
  <c r="W138" i="109"/>
  <c r="X138" i="109" s="1"/>
  <c r="Y138" i="109"/>
  <c r="Z138" i="109" s="1"/>
  <c r="AA138" i="109" s="1"/>
  <c r="AB138" i="109"/>
  <c r="AC138" i="109" s="1"/>
  <c r="AD138" i="109" s="1"/>
  <c r="AE138" i="109" s="1"/>
  <c r="AF138" i="109"/>
  <c r="B139" i="109"/>
  <c r="C139" i="109"/>
  <c r="E139" i="109"/>
  <c r="F139" i="109"/>
  <c r="M139" i="109"/>
  <c r="N139" i="109" s="1"/>
  <c r="O139" i="109"/>
  <c r="P139" i="109" s="1"/>
  <c r="Q139" i="109" s="1"/>
  <c r="R139" i="109"/>
  <c r="S139" i="109" s="1"/>
  <c r="T139" i="109" s="1"/>
  <c r="U139" i="109" s="1"/>
  <c r="W139" i="109"/>
  <c r="X139" i="109"/>
  <c r="Y139" i="109"/>
  <c r="Z139" i="109" s="1"/>
  <c r="AA139" i="109" s="1"/>
  <c r="AB139" i="109"/>
  <c r="AC139" i="109" s="1"/>
  <c r="AD139" i="109" s="1"/>
  <c r="AE139" i="109" s="1"/>
  <c r="AF139" i="109"/>
  <c r="B140" i="109"/>
  <c r="C140" i="109"/>
  <c r="E140" i="109"/>
  <c r="F140" i="109"/>
  <c r="M140" i="109"/>
  <c r="N140" i="109" s="1"/>
  <c r="O140" i="109"/>
  <c r="P140" i="109" s="1"/>
  <c r="Q140" i="109" s="1"/>
  <c r="R140" i="109"/>
  <c r="S140" i="109" s="1"/>
  <c r="T140" i="109" s="1"/>
  <c r="U140" i="109" s="1"/>
  <c r="W140" i="109"/>
  <c r="X140" i="109" s="1"/>
  <c r="Y140" i="109"/>
  <c r="Z140" i="109" s="1"/>
  <c r="AA140" i="109" s="1"/>
  <c r="AB140" i="109"/>
  <c r="AC140" i="109" s="1"/>
  <c r="AD140" i="109" s="1"/>
  <c r="AE140" i="109" s="1"/>
  <c r="AF140" i="109"/>
  <c r="A67" i="109"/>
  <c r="B67" i="109"/>
  <c r="E67" i="109"/>
  <c r="F67" i="109"/>
  <c r="I67" i="109"/>
  <c r="K67" i="109"/>
  <c r="V67" i="109"/>
  <c r="AF67" i="109"/>
  <c r="A68" i="109"/>
  <c r="B68" i="109"/>
  <c r="E68" i="109"/>
  <c r="F68" i="109"/>
  <c r="I68" i="109"/>
  <c r="M68" i="109"/>
  <c r="N68" i="109"/>
  <c r="O68" i="109" s="1"/>
  <c r="P68" i="109" s="1"/>
  <c r="Q68" i="109" s="1"/>
  <c r="R68" i="109" s="1"/>
  <c r="S68" i="109" s="1"/>
  <c r="T68" i="109" s="1"/>
  <c r="U68" i="109" s="1"/>
  <c r="W68" i="109"/>
  <c r="X68" i="109"/>
  <c r="Y68" i="109"/>
  <c r="Z68" i="109" s="1"/>
  <c r="AA68" i="109" s="1"/>
  <c r="AB68" i="109" s="1"/>
  <c r="AC68" i="109" s="1"/>
  <c r="AD68" i="109" s="1"/>
  <c r="AE68" i="109" s="1"/>
  <c r="AF68" i="109"/>
  <c r="A69" i="109"/>
  <c r="B69" i="109"/>
  <c r="E69" i="109"/>
  <c r="F69" i="109"/>
  <c r="I69" i="109"/>
  <c r="K69" i="109"/>
  <c r="Y69" i="109"/>
  <c r="Z69" i="109" s="1"/>
  <c r="AA69" i="109" s="1"/>
  <c r="AB69" i="109" s="1"/>
  <c r="AC69" i="109" s="1"/>
  <c r="AD69" i="109" s="1"/>
  <c r="AE69" i="109" s="1"/>
  <c r="AF69" i="109"/>
  <c r="A70" i="109"/>
  <c r="B70" i="109"/>
  <c r="E70" i="109"/>
  <c r="F70" i="109"/>
  <c r="H70" i="109"/>
  <c r="M70" i="109"/>
  <c r="N70" i="109" s="1"/>
  <c r="O70" i="109"/>
  <c r="P70" i="109" s="1"/>
  <c r="Q70" i="109" s="1"/>
  <c r="R70" i="109"/>
  <c r="S70" i="109" s="1"/>
  <c r="T70" i="109" s="1"/>
  <c r="U70" i="109" s="1"/>
  <c r="W70" i="109"/>
  <c r="X70" i="109" s="1"/>
  <c r="Y70" i="109"/>
  <c r="Z70" i="109" s="1"/>
  <c r="AA70" i="109" s="1"/>
  <c r="AB70" i="109"/>
  <c r="AC70" i="109" s="1"/>
  <c r="AD70" i="109" s="1"/>
  <c r="AE70" i="109" s="1"/>
  <c r="AF70" i="109"/>
  <c r="AZ70" i="109"/>
  <c r="I70" i="109" s="1"/>
  <c r="A71" i="109"/>
  <c r="B71" i="109"/>
  <c r="E71" i="109"/>
  <c r="F71" i="109"/>
  <c r="I71" i="109"/>
  <c r="V71" i="109"/>
  <c r="AF71" i="109"/>
  <c r="A72" i="109"/>
  <c r="B72" i="109"/>
  <c r="E72" i="109"/>
  <c r="F72" i="109"/>
  <c r="I72" i="109"/>
  <c r="M72" i="109"/>
  <c r="N72" i="109"/>
  <c r="O72" i="109" s="1"/>
  <c r="P72" i="109" s="1"/>
  <c r="Q72" i="109" s="1"/>
  <c r="R72" i="109" s="1"/>
  <c r="S72" i="109" s="1"/>
  <c r="T72" i="109" s="1"/>
  <c r="U72" i="109" s="1"/>
  <c r="W72" i="109"/>
  <c r="X72" i="109"/>
  <c r="Y72" i="109" s="1"/>
  <c r="Z72" i="109" s="1"/>
  <c r="AA72" i="109" s="1"/>
  <c r="AB72" i="109" s="1"/>
  <c r="AC72" i="109" s="1"/>
  <c r="AD72" i="109" s="1"/>
  <c r="AE72" i="109" s="1"/>
  <c r="AF72" i="109"/>
  <c r="AF73" i="109" s="1"/>
  <c r="AF74" i="109" s="1"/>
  <c r="A73" i="109"/>
  <c r="B73" i="109"/>
  <c r="E73" i="109"/>
  <c r="F73" i="109"/>
  <c r="I73" i="109"/>
  <c r="K73" i="109"/>
  <c r="Y73" i="109"/>
  <c r="Z73" i="109" s="1"/>
  <c r="AA73" i="109" s="1"/>
  <c r="AB73" i="109" s="1"/>
  <c r="AC73" i="109" s="1"/>
  <c r="AD73" i="109" s="1"/>
  <c r="AE73" i="109" s="1"/>
  <c r="A74" i="109"/>
  <c r="B74" i="109"/>
  <c r="E74" i="109"/>
  <c r="F74" i="109"/>
  <c r="I74" i="109"/>
  <c r="M74" i="109"/>
  <c r="N74" i="109" s="1"/>
  <c r="O74" i="109"/>
  <c r="P74" i="109" s="1"/>
  <c r="Q74" i="109" s="1"/>
  <c r="R74" i="109"/>
  <c r="S74" i="109" s="1"/>
  <c r="T74" i="109" s="1"/>
  <c r="U74" i="109" s="1"/>
  <c r="W74" i="109"/>
  <c r="X74" i="109" s="1"/>
  <c r="Y74" i="109"/>
  <c r="Z74" i="109" s="1"/>
  <c r="AA74" i="109" s="1"/>
  <c r="AB74" i="109"/>
  <c r="AC74" i="109" s="1"/>
  <c r="AD74" i="109" s="1"/>
  <c r="AE74" i="109" s="1"/>
  <c r="A75" i="109"/>
  <c r="B75" i="109"/>
  <c r="E75" i="109"/>
  <c r="F75" i="109"/>
  <c r="H75" i="109"/>
  <c r="M75" i="109"/>
  <c r="N75" i="109" s="1"/>
  <c r="O75" i="109"/>
  <c r="P75" i="109" s="1"/>
  <c r="Q75" i="109" s="1"/>
  <c r="R75" i="109"/>
  <c r="S75" i="109" s="1"/>
  <c r="T75" i="109" s="1"/>
  <c r="U75" i="109" s="1"/>
  <c r="W75" i="109"/>
  <c r="X75" i="109" s="1"/>
  <c r="Y75" i="109"/>
  <c r="Z75" i="109"/>
  <c r="AA75" i="109" s="1"/>
  <c r="AB75" i="109"/>
  <c r="AC75" i="109" s="1"/>
  <c r="AD75" i="109" s="1"/>
  <c r="AE75" i="109" s="1"/>
  <c r="AF75" i="109"/>
  <c r="AZ75" i="109"/>
  <c r="I75" i="109" s="1"/>
  <c r="B76" i="109"/>
  <c r="E76" i="109"/>
  <c r="F76" i="109"/>
  <c r="I76" i="109"/>
  <c r="K76" i="109"/>
  <c r="V76" i="109"/>
  <c r="AF76" i="109"/>
  <c r="B77" i="109"/>
  <c r="E77" i="109"/>
  <c r="F77" i="109"/>
  <c r="I77" i="109"/>
  <c r="M77" i="109"/>
  <c r="N77" i="109"/>
  <c r="O77" i="109" s="1"/>
  <c r="P77" i="109" s="1"/>
  <c r="Q77" i="109" s="1"/>
  <c r="R77" i="109" s="1"/>
  <c r="S77" i="109" s="1"/>
  <c r="T77" i="109" s="1"/>
  <c r="U77" i="109" s="1"/>
  <c r="W77" i="109"/>
  <c r="X77" i="109"/>
  <c r="Y77" i="109" s="1"/>
  <c r="Z77" i="109" s="1"/>
  <c r="AA77" i="109" s="1"/>
  <c r="AB77" i="109" s="1"/>
  <c r="AC77" i="109" s="1"/>
  <c r="AD77" i="109" s="1"/>
  <c r="AE77" i="109" s="1"/>
  <c r="AF77" i="109"/>
  <c r="AF78" i="109" s="1"/>
  <c r="AF79" i="109" s="1"/>
  <c r="B78" i="109"/>
  <c r="E78" i="109"/>
  <c r="F78" i="109"/>
  <c r="I78" i="109"/>
  <c r="K78" i="109"/>
  <c r="Y78" i="109"/>
  <c r="Z78" i="109"/>
  <c r="AA78" i="109" s="1"/>
  <c r="AB78" i="109" s="1"/>
  <c r="AC78" i="109" s="1"/>
  <c r="AD78" i="109" s="1"/>
  <c r="AE78" i="109" s="1"/>
  <c r="B79" i="109"/>
  <c r="C79" i="109"/>
  <c r="E79" i="109"/>
  <c r="F79" i="109"/>
  <c r="H79" i="109"/>
  <c r="I79" i="109"/>
  <c r="M79" i="109"/>
  <c r="N79" i="109" s="1"/>
  <c r="O79" i="109"/>
  <c r="P79" i="109" s="1"/>
  <c r="Q79" i="109" s="1"/>
  <c r="R79" i="109"/>
  <c r="S79" i="109" s="1"/>
  <c r="T79" i="109" s="1"/>
  <c r="U79" i="109" s="1"/>
  <c r="W79" i="109"/>
  <c r="X79" i="109" s="1"/>
  <c r="Y79" i="109"/>
  <c r="Z79" i="109" s="1"/>
  <c r="AA79" i="109" s="1"/>
  <c r="AB79" i="109"/>
  <c r="AC79" i="109" s="1"/>
  <c r="AD79" i="109" s="1"/>
  <c r="AE79" i="109" s="1"/>
  <c r="B80" i="109"/>
  <c r="C80" i="109"/>
  <c r="E80" i="109"/>
  <c r="F80" i="109"/>
  <c r="H80" i="109"/>
  <c r="I80" i="109"/>
  <c r="M80" i="109"/>
  <c r="N80" i="109" s="1"/>
  <c r="O80" i="109"/>
  <c r="P80" i="109" s="1"/>
  <c r="Q80" i="109" s="1"/>
  <c r="R80" i="109"/>
  <c r="S80" i="109" s="1"/>
  <c r="T80" i="109" s="1"/>
  <c r="U80" i="109" s="1"/>
  <c r="W80" i="109"/>
  <c r="X80" i="109" s="1"/>
  <c r="Y80" i="109"/>
  <c r="Z80" i="109" s="1"/>
  <c r="AA80" i="109" s="1"/>
  <c r="AB80" i="109"/>
  <c r="AC80" i="109" s="1"/>
  <c r="AD80" i="109" s="1"/>
  <c r="AE80" i="109" s="1"/>
  <c r="AF80" i="109"/>
  <c r="A81" i="109"/>
  <c r="B81" i="109"/>
  <c r="E81" i="109"/>
  <c r="F81" i="109"/>
  <c r="I81" i="109"/>
  <c r="K81" i="109"/>
  <c r="V81" i="109"/>
  <c r="AF81" i="109"/>
  <c r="A82" i="109"/>
  <c r="B82" i="109"/>
  <c r="E82" i="109"/>
  <c r="F82" i="109"/>
  <c r="I82" i="109"/>
  <c r="M82" i="109"/>
  <c r="N82" i="109"/>
  <c r="O82" i="109" s="1"/>
  <c r="P82" i="109" s="1"/>
  <c r="Q82" i="109" s="1"/>
  <c r="R82" i="109" s="1"/>
  <c r="S82" i="109" s="1"/>
  <c r="T82" i="109" s="1"/>
  <c r="U82" i="109" s="1"/>
  <c r="W82" i="109"/>
  <c r="X82" i="109"/>
  <c r="Y82" i="109" s="1"/>
  <c r="Z82" i="109" s="1"/>
  <c r="AA82" i="109" s="1"/>
  <c r="AB82" i="109" s="1"/>
  <c r="AC82" i="109" s="1"/>
  <c r="AD82" i="109" s="1"/>
  <c r="AE82" i="109" s="1"/>
  <c r="AF82" i="109"/>
  <c r="AF83" i="109" s="1"/>
  <c r="A83" i="109"/>
  <c r="B83" i="109"/>
  <c r="E83" i="109"/>
  <c r="F83" i="109"/>
  <c r="I83" i="109"/>
  <c r="K83" i="109"/>
  <c r="Y83" i="109"/>
  <c r="Z83" i="109" s="1"/>
  <c r="AA83" i="109" s="1"/>
  <c r="AB83" i="109" s="1"/>
  <c r="AC83" i="109" s="1"/>
  <c r="AD83" i="109" s="1"/>
  <c r="AE83" i="109" s="1"/>
  <c r="A84" i="109"/>
  <c r="B84" i="109"/>
  <c r="E84" i="109"/>
  <c r="F84" i="109"/>
  <c r="H84" i="109"/>
  <c r="I84" i="109"/>
  <c r="M84" i="109"/>
  <c r="N84" i="109" s="1"/>
  <c r="O84" i="109"/>
  <c r="P84" i="109" s="1"/>
  <c r="Q84" i="109" s="1"/>
  <c r="R84" i="109"/>
  <c r="S84" i="109" s="1"/>
  <c r="T84" i="109" s="1"/>
  <c r="U84" i="109" s="1"/>
  <c r="W84" i="109"/>
  <c r="X84" i="109" s="1"/>
  <c r="Y84" i="109"/>
  <c r="Z84" i="109" s="1"/>
  <c r="AA84" i="109" s="1"/>
  <c r="AB84" i="109"/>
  <c r="AC84" i="109" s="1"/>
  <c r="AD84" i="109" s="1"/>
  <c r="AE84" i="109" s="1"/>
  <c r="AF84" i="109"/>
  <c r="B85" i="109"/>
  <c r="E85" i="109"/>
  <c r="F85" i="109"/>
  <c r="I85" i="109"/>
  <c r="K85" i="109"/>
  <c r="V85" i="109"/>
  <c r="AF85" i="109"/>
  <c r="B86" i="109"/>
  <c r="E86" i="109"/>
  <c r="F86" i="109"/>
  <c r="I86" i="109"/>
  <c r="M86" i="109"/>
  <c r="N86" i="109"/>
  <c r="O86" i="109" s="1"/>
  <c r="P86" i="109" s="1"/>
  <c r="Q86" i="109" s="1"/>
  <c r="R86" i="109" s="1"/>
  <c r="S86" i="109" s="1"/>
  <c r="T86" i="109" s="1"/>
  <c r="U86" i="109" s="1"/>
  <c r="W86" i="109"/>
  <c r="X86" i="109"/>
  <c r="Y86" i="109" s="1"/>
  <c r="Z86" i="109" s="1"/>
  <c r="AA86" i="109" s="1"/>
  <c r="AB86" i="109" s="1"/>
  <c r="AC86" i="109" s="1"/>
  <c r="AD86" i="109" s="1"/>
  <c r="AE86" i="109" s="1"/>
  <c r="AF86" i="109"/>
  <c r="AF87" i="109" s="1"/>
  <c r="B87" i="109"/>
  <c r="E87" i="109"/>
  <c r="F87" i="109"/>
  <c r="I87" i="109"/>
  <c r="K87" i="109"/>
  <c r="Y87" i="109"/>
  <c r="Z87" i="109" s="1"/>
  <c r="AA87" i="109" s="1"/>
  <c r="AB87" i="109" s="1"/>
  <c r="AC87" i="109" s="1"/>
  <c r="AD87" i="109" s="1"/>
  <c r="AE87" i="109" s="1"/>
  <c r="B88" i="109"/>
  <c r="E88" i="109"/>
  <c r="F88" i="109"/>
  <c r="H88" i="109"/>
  <c r="I88" i="109"/>
  <c r="M88" i="109"/>
  <c r="N88" i="109" s="1"/>
  <c r="O88" i="109"/>
  <c r="P88" i="109" s="1"/>
  <c r="Q88" i="109" s="1"/>
  <c r="R88" i="109"/>
  <c r="S88" i="109" s="1"/>
  <c r="T88" i="109" s="1"/>
  <c r="U88" i="109" s="1"/>
  <c r="W88" i="109"/>
  <c r="X88" i="109" s="1"/>
  <c r="Y88" i="109"/>
  <c r="Z88" i="109" s="1"/>
  <c r="AA88" i="109" s="1"/>
  <c r="AB88" i="109"/>
  <c r="AC88" i="109" s="1"/>
  <c r="AD88" i="109" s="1"/>
  <c r="AE88" i="109" s="1"/>
  <c r="AF88" i="109"/>
  <c r="B37" i="109"/>
  <c r="F37" i="109"/>
  <c r="K37" i="109"/>
  <c r="V37" i="109"/>
  <c r="W37" i="109" s="1"/>
  <c r="AF37" i="109"/>
  <c r="AZ37" i="109"/>
  <c r="I37" i="109" s="1"/>
  <c r="B38" i="109"/>
  <c r="F38" i="109"/>
  <c r="M38" i="109"/>
  <c r="N38" i="109"/>
  <c r="O38" i="109" s="1"/>
  <c r="P38" i="109" s="1"/>
  <c r="Q38" i="109" s="1"/>
  <c r="R38" i="109" s="1"/>
  <c r="S38" i="109" s="1"/>
  <c r="T38" i="109" s="1"/>
  <c r="U38" i="109" s="1"/>
  <c r="W38" i="109"/>
  <c r="X38" i="109"/>
  <c r="Y38" i="109" s="1"/>
  <c r="Z38" i="109" s="1"/>
  <c r="AA38" i="109" s="1"/>
  <c r="AB38" i="109" s="1"/>
  <c r="AC38" i="109" s="1"/>
  <c r="AD38" i="109" s="1"/>
  <c r="AE38" i="109" s="1"/>
  <c r="AF38" i="109"/>
  <c r="AF39" i="109" s="1"/>
  <c r="AZ38" i="109"/>
  <c r="I38" i="109" s="1"/>
  <c r="B39" i="109"/>
  <c r="F39" i="109"/>
  <c r="I39" i="109"/>
  <c r="O39" i="109"/>
  <c r="P39" i="109" s="1"/>
  <c r="Q39" i="109" s="1"/>
  <c r="R39" i="109"/>
  <c r="S39" i="109" s="1"/>
  <c r="T39" i="109" s="1"/>
  <c r="U39" i="109" s="1"/>
  <c r="Y39" i="109"/>
  <c r="Z39" i="109" s="1"/>
  <c r="AA39" i="109" s="1"/>
  <c r="AB39" i="109"/>
  <c r="AC39" i="109" s="1"/>
  <c r="AD39" i="109" s="1"/>
  <c r="AE39" i="109" s="1"/>
  <c r="B40" i="109"/>
  <c r="F40" i="109"/>
  <c r="H40" i="109"/>
  <c r="M40" i="109"/>
  <c r="N40" i="109" s="1"/>
  <c r="O40" i="109"/>
  <c r="P40" i="109" s="1"/>
  <c r="Q40" i="109" s="1"/>
  <c r="R40" i="109" s="1"/>
  <c r="S40" i="109" s="1"/>
  <c r="T40" i="109" s="1"/>
  <c r="U40" i="109" s="1"/>
  <c r="W40" i="109"/>
  <c r="X40" i="109" s="1"/>
  <c r="Y40" i="109"/>
  <c r="Z40" i="109" s="1"/>
  <c r="AA40" i="109" s="1"/>
  <c r="AB40" i="109" s="1"/>
  <c r="AC40" i="109" s="1"/>
  <c r="AD40" i="109" s="1"/>
  <c r="AE40" i="109" s="1"/>
  <c r="AF40" i="109"/>
  <c r="AZ40" i="109"/>
  <c r="I40" i="109" s="1"/>
  <c r="B41" i="109"/>
  <c r="F41" i="109"/>
  <c r="H41" i="109"/>
  <c r="M41" i="109"/>
  <c r="N41" i="109" s="1"/>
  <c r="O41" i="109"/>
  <c r="P41" i="109" s="1"/>
  <c r="Q41" i="109" s="1"/>
  <c r="R41" i="109"/>
  <c r="S41" i="109" s="1"/>
  <c r="T41" i="109" s="1"/>
  <c r="U41" i="109" s="1"/>
  <c r="W41" i="109"/>
  <c r="X41" i="109" s="1"/>
  <c r="Y41" i="109"/>
  <c r="Z41" i="109" s="1"/>
  <c r="AA41" i="109" s="1"/>
  <c r="AB41" i="109"/>
  <c r="AC41" i="109" s="1"/>
  <c r="AD41" i="109" s="1"/>
  <c r="AE41" i="109" s="1"/>
  <c r="AF41" i="109"/>
  <c r="AZ41" i="109"/>
  <c r="I41" i="109" s="1"/>
  <c r="B42" i="109"/>
  <c r="F42" i="109"/>
  <c r="I42" i="109"/>
  <c r="K42" i="109"/>
  <c r="V42" i="109"/>
  <c r="AF42" i="109"/>
  <c r="B43" i="109"/>
  <c r="F43" i="109"/>
  <c r="M43" i="109"/>
  <c r="N43" i="109"/>
  <c r="O43" i="109" s="1"/>
  <c r="P43" i="109" s="1"/>
  <c r="Q43" i="109" s="1"/>
  <c r="R43" i="109" s="1"/>
  <c r="S43" i="109" s="1"/>
  <c r="T43" i="109" s="1"/>
  <c r="U43" i="109" s="1"/>
  <c r="W43" i="109"/>
  <c r="X43" i="109"/>
  <c r="Y43" i="109" s="1"/>
  <c r="Z43" i="109" s="1"/>
  <c r="AA43" i="109" s="1"/>
  <c r="AB43" i="109" s="1"/>
  <c r="AC43" i="109" s="1"/>
  <c r="AD43" i="109" s="1"/>
  <c r="AE43" i="109" s="1"/>
  <c r="AF43" i="109"/>
  <c r="AF44" i="109" s="1"/>
  <c r="AZ43" i="109"/>
  <c r="I43" i="109" s="1"/>
  <c r="B44" i="109"/>
  <c r="F44" i="109"/>
  <c r="I44" i="109"/>
  <c r="K44" i="109"/>
  <c r="Y44" i="109"/>
  <c r="Z44" i="109" s="1"/>
  <c r="AA44" i="109" s="1"/>
  <c r="AB44" i="109" s="1"/>
  <c r="AC44" i="109" s="1"/>
  <c r="AD44" i="109" s="1"/>
  <c r="AE44" i="109" s="1"/>
  <c r="B45" i="109"/>
  <c r="F45" i="109"/>
  <c r="H45" i="109"/>
  <c r="M45" i="109"/>
  <c r="N45" i="109" s="1"/>
  <c r="O45" i="109"/>
  <c r="P45" i="109" s="1"/>
  <c r="Q45" i="109" s="1"/>
  <c r="R45" i="109"/>
  <c r="S45" i="109" s="1"/>
  <c r="T45" i="109" s="1"/>
  <c r="U45" i="109" s="1"/>
  <c r="W45" i="109"/>
  <c r="X45" i="109" s="1"/>
  <c r="Y45" i="109"/>
  <c r="Z45" i="109" s="1"/>
  <c r="AA45" i="109" s="1"/>
  <c r="AB45" i="109"/>
  <c r="AC45" i="109" s="1"/>
  <c r="AD45" i="109" s="1"/>
  <c r="AE45" i="109" s="1"/>
  <c r="AF45" i="109"/>
  <c r="AZ45" i="109"/>
  <c r="I45" i="109" s="1"/>
  <c r="B46" i="109"/>
  <c r="F46" i="109"/>
  <c r="I46" i="109"/>
  <c r="K46" i="109"/>
  <c r="V46" i="109"/>
  <c r="AF46" i="109"/>
  <c r="B47" i="109"/>
  <c r="F47" i="109"/>
  <c r="M47" i="109"/>
  <c r="N47" i="109"/>
  <c r="O47" i="109" s="1"/>
  <c r="P47" i="109" s="1"/>
  <c r="Q47" i="109" s="1"/>
  <c r="R47" i="109" s="1"/>
  <c r="S47" i="109" s="1"/>
  <c r="T47" i="109" s="1"/>
  <c r="U47" i="109" s="1"/>
  <c r="W47" i="109"/>
  <c r="X47" i="109"/>
  <c r="Y47" i="109" s="1"/>
  <c r="Z47" i="109" s="1"/>
  <c r="AA47" i="109" s="1"/>
  <c r="AB47" i="109" s="1"/>
  <c r="AC47" i="109" s="1"/>
  <c r="AD47" i="109" s="1"/>
  <c r="AE47" i="109" s="1"/>
  <c r="AF47" i="109"/>
  <c r="AZ47" i="109"/>
  <c r="I47" i="109" s="1"/>
  <c r="B48" i="109"/>
  <c r="F48" i="109"/>
  <c r="I48" i="109"/>
  <c r="K48" i="109"/>
  <c r="Y48" i="109"/>
  <c r="Z48" i="109" s="1"/>
  <c r="AA48" i="109" s="1"/>
  <c r="AB48" i="109" s="1"/>
  <c r="AC48" i="109" s="1"/>
  <c r="AD48" i="109" s="1"/>
  <c r="AE48" i="109" s="1"/>
  <c r="AF48" i="109"/>
  <c r="B49" i="109"/>
  <c r="F49" i="109"/>
  <c r="I49" i="109"/>
  <c r="M49" i="109"/>
  <c r="N49" i="109" s="1"/>
  <c r="O49" i="109"/>
  <c r="P49" i="109" s="1"/>
  <c r="Q49" i="109" s="1"/>
  <c r="R49" i="109"/>
  <c r="S49" i="109" s="1"/>
  <c r="T49" i="109" s="1"/>
  <c r="U49" i="109" s="1"/>
  <c r="W49" i="109"/>
  <c r="X49" i="109" s="1"/>
  <c r="Y49" i="109"/>
  <c r="Z49" i="109" s="1"/>
  <c r="AA49" i="109" s="1"/>
  <c r="AB49" i="109"/>
  <c r="AC49" i="109" s="1"/>
  <c r="AD49" i="109" s="1"/>
  <c r="AE49" i="109" s="1"/>
  <c r="AF49" i="109"/>
  <c r="B50" i="109"/>
  <c r="E50" i="109"/>
  <c r="F50" i="109"/>
  <c r="I50" i="109"/>
  <c r="K50" i="109"/>
  <c r="V50" i="109"/>
  <c r="AF50" i="109"/>
  <c r="B51" i="109"/>
  <c r="E51" i="109"/>
  <c r="F51" i="109"/>
  <c r="M51" i="109"/>
  <c r="N51" i="109"/>
  <c r="O51" i="109" s="1"/>
  <c r="P51" i="109" s="1"/>
  <c r="Q51" i="109" s="1"/>
  <c r="R51" i="109" s="1"/>
  <c r="S51" i="109" s="1"/>
  <c r="T51" i="109" s="1"/>
  <c r="U51" i="109" s="1"/>
  <c r="W51" i="109"/>
  <c r="X51" i="109"/>
  <c r="Y51" i="109" s="1"/>
  <c r="Z51" i="109" s="1"/>
  <c r="AA51" i="109" s="1"/>
  <c r="AB51" i="109" s="1"/>
  <c r="AC51" i="109" s="1"/>
  <c r="AD51" i="109" s="1"/>
  <c r="AE51" i="109" s="1"/>
  <c r="AF51" i="109"/>
  <c r="AF52" i="109" s="1"/>
  <c r="AZ51" i="109"/>
  <c r="I51" i="109" s="1"/>
  <c r="B52" i="109"/>
  <c r="E52" i="109"/>
  <c r="F52" i="109"/>
  <c r="I52" i="109"/>
  <c r="O52" i="109"/>
  <c r="P52" i="109" s="1"/>
  <c r="Q52" i="109" s="1"/>
  <c r="R52" i="109"/>
  <c r="S52" i="109" s="1"/>
  <c r="T52" i="109" s="1"/>
  <c r="U52" i="109" s="1"/>
  <c r="Y52" i="109"/>
  <c r="Z52" i="109" s="1"/>
  <c r="AA52" i="109" s="1"/>
  <c r="AB52" i="109"/>
  <c r="AC52" i="109" s="1"/>
  <c r="AD52" i="109" s="1"/>
  <c r="AE52" i="109" s="1"/>
  <c r="B53" i="109"/>
  <c r="E53" i="109"/>
  <c r="F53" i="109"/>
  <c r="I53" i="109"/>
  <c r="M53" i="109"/>
  <c r="N53" i="109" s="1"/>
  <c r="O53" i="109"/>
  <c r="P53" i="109" s="1"/>
  <c r="Q53" i="109" s="1"/>
  <c r="R53" i="109"/>
  <c r="S53" i="109" s="1"/>
  <c r="T53" i="109" s="1"/>
  <c r="U53" i="109" s="1"/>
  <c r="W53" i="109"/>
  <c r="X53" i="109" s="1"/>
  <c r="Y53" i="109"/>
  <c r="Z53" i="109" s="1"/>
  <c r="AA53" i="109" s="1"/>
  <c r="AB53" i="109"/>
  <c r="AC53" i="109" s="1"/>
  <c r="AD53" i="109" s="1"/>
  <c r="AE53" i="109" s="1"/>
  <c r="AF53" i="109"/>
  <c r="B54" i="109"/>
  <c r="E54" i="109"/>
  <c r="F54" i="109"/>
  <c r="I54" i="109"/>
  <c r="M54" i="109"/>
  <c r="N54" i="109" s="1"/>
  <c r="O54" i="109"/>
  <c r="P54" i="109" s="1"/>
  <c r="Q54" i="109" s="1"/>
  <c r="R54" i="109"/>
  <c r="S54" i="109" s="1"/>
  <c r="T54" i="109" s="1"/>
  <c r="U54" i="109" s="1"/>
  <c r="W54" i="109"/>
  <c r="X54" i="109" s="1"/>
  <c r="Y54" i="109"/>
  <c r="Z54" i="109" s="1"/>
  <c r="AA54" i="109" s="1"/>
  <c r="AB54" i="109"/>
  <c r="AC54" i="109" s="1"/>
  <c r="AD54" i="109" s="1"/>
  <c r="AE54" i="109" s="1"/>
  <c r="AF54" i="109"/>
  <c r="B55" i="109"/>
  <c r="F55" i="109"/>
  <c r="I55" i="109"/>
  <c r="K55" i="109"/>
  <c r="V55" i="109"/>
  <c r="AF55" i="109"/>
  <c r="B56" i="109"/>
  <c r="F56" i="109"/>
  <c r="M56" i="109"/>
  <c r="N56" i="109"/>
  <c r="O56" i="109" s="1"/>
  <c r="P56" i="109" s="1"/>
  <c r="Q56" i="109" s="1"/>
  <c r="R56" i="109" s="1"/>
  <c r="S56" i="109" s="1"/>
  <c r="T56" i="109" s="1"/>
  <c r="U56" i="109" s="1"/>
  <c r="W56" i="109"/>
  <c r="X56" i="109"/>
  <c r="Y56" i="109" s="1"/>
  <c r="Z56" i="109" s="1"/>
  <c r="AA56" i="109" s="1"/>
  <c r="AB56" i="109" s="1"/>
  <c r="AC56" i="109" s="1"/>
  <c r="AD56" i="109" s="1"/>
  <c r="AE56" i="109" s="1"/>
  <c r="AF56" i="109"/>
  <c r="AF57" i="109" s="1"/>
  <c r="AF58" i="109" s="1"/>
  <c r="AF59" i="109" s="1"/>
  <c r="AZ56" i="109"/>
  <c r="I56" i="109" s="1"/>
  <c r="B57" i="109"/>
  <c r="F57" i="109"/>
  <c r="I57" i="109"/>
  <c r="O57" i="109"/>
  <c r="P57" i="109" s="1"/>
  <c r="Q57" i="109" s="1"/>
  <c r="R57" i="109"/>
  <c r="S57" i="109" s="1"/>
  <c r="T57" i="109" s="1"/>
  <c r="U57" i="109" s="1"/>
  <c r="Y57" i="109"/>
  <c r="Z57" i="109" s="1"/>
  <c r="AA57" i="109" s="1"/>
  <c r="AB57" i="109"/>
  <c r="AC57" i="109" s="1"/>
  <c r="AD57" i="109" s="1"/>
  <c r="AE57" i="109" s="1"/>
  <c r="B58" i="109"/>
  <c r="F58" i="109"/>
  <c r="I58" i="109"/>
  <c r="M58" i="109"/>
  <c r="N58" i="109" s="1"/>
  <c r="O58" i="109"/>
  <c r="P58" i="109" s="1"/>
  <c r="Q58" i="109" s="1"/>
  <c r="R58" i="109"/>
  <c r="S58" i="109" s="1"/>
  <c r="T58" i="109" s="1"/>
  <c r="U58" i="109" s="1"/>
  <c r="W58" i="109"/>
  <c r="X58" i="109" s="1"/>
  <c r="Y58" i="109"/>
  <c r="Z58" i="109" s="1"/>
  <c r="AA58" i="109" s="1"/>
  <c r="AB58" i="109"/>
  <c r="AC58" i="109" s="1"/>
  <c r="AD58" i="109" s="1"/>
  <c r="AE58" i="109" s="1"/>
  <c r="B59" i="109"/>
  <c r="F59" i="109"/>
  <c r="I59" i="109"/>
  <c r="M59" i="109"/>
  <c r="N59" i="109" s="1"/>
  <c r="O59" i="109"/>
  <c r="P59" i="109" s="1"/>
  <c r="Q59" i="109" s="1"/>
  <c r="R59" i="109"/>
  <c r="S59" i="109" s="1"/>
  <c r="T59" i="109" s="1"/>
  <c r="U59" i="109" s="1"/>
  <c r="W59" i="109"/>
  <c r="X59" i="109" s="1"/>
  <c r="Y59" i="109"/>
  <c r="Z59" i="109" s="1"/>
  <c r="AA59" i="109" s="1"/>
  <c r="AB59" i="109"/>
  <c r="AC59" i="109" s="1"/>
  <c r="AD59" i="109" s="1"/>
  <c r="AE59" i="109" s="1"/>
  <c r="B60" i="109"/>
  <c r="E60" i="109"/>
  <c r="F60" i="109"/>
  <c r="I60" i="109"/>
  <c r="K60" i="109"/>
  <c r="V60" i="109"/>
  <c r="AF60" i="109"/>
  <c r="B61" i="109"/>
  <c r="E61" i="109"/>
  <c r="F61" i="109"/>
  <c r="M61" i="109"/>
  <c r="N61" i="109"/>
  <c r="O61" i="109" s="1"/>
  <c r="P61" i="109" s="1"/>
  <c r="Q61" i="109" s="1"/>
  <c r="R61" i="109" s="1"/>
  <c r="S61" i="109" s="1"/>
  <c r="T61" i="109" s="1"/>
  <c r="U61" i="109" s="1"/>
  <c r="W61" i="109"/>
  <c r="X61" i="109"/>
  <c r="Y61" i="109" s="1"/>
  <c r="Z61" i="109" s="1"/>
  <c r="AA61" i="109" s="1"/>
  <c r="AB61" i="109" s="1"/>
  <c r="AC61" i="109" s="1"/>
  <c r="AD61" i="109" s="1"/>
  <c r="AE61" i="109" s="1"/>
  <c r="AF61" i="109"/>
  <c r="AF62" i="109" s="1"/>
  <c r="AF63" i="109" s="1"/>
  <c r="AF64" i="109" s="1"/>
  <c r="AZ61" i="109"/>
  <c r="I61" i="109" s="1"/>
  <c r="B62" i="109"/>
  <c r="E62" i="109"/>
  <c r="F62" i="109"/>
  <c r="I62" i="109"/>
  <c r="O62" i="109"/>
  <c r="P62" i="109"/>
  <c r="Q62" i="109" s="1"/>
  <c r="R62" i="109"/>
  <c r="S62" i="109" s="1"/>
  <c r="T62" i="109" s="1"/>
  <c r="U62" i="109" s="1"/>
  <c r="Y62" i="109"/>
  <c r="Z62" i="109" s="1"/>
  <c r="AA62" i="109" s="1"/>
  <c r="AB62" i="109"/>
  <c r="AC62" i="109" s="1"/>
  <c r="AD62" i="109" s="1"/>
  <c r="AE62" i="109" s="1"/>
  <c r="B63" i="109"/>
  <c r="E63" i="109"/>
  <c r="F63" i="109"/>
  <c r="I63" i="109"/>
  <c r="M63" i="109"/>
  <c r="N63" i="109" s="1"/>
  <c r="O63" i="109"/>
  <c r="P63" i="109" s="1"/>
  <c r="Q63" i="109" s="1"/>
  <c r="R63" i="109"/>
  <c r="S63" i="109" s="1"/>
  <c r="T63" i="109" s="1"/>
  <c r="U63" i="109" s="1"/>
  <c r="W63" i="109"/>
  <c r="X63" i="109" s="1"/>
  <c r="Y63" i="109"/>
  <c r="Z63" i="109" s="1"/>
  <c r="AA63" i="109" s="1"/>
  <c r="AB63" i="109"/>
  <c r="AC63" i="109" s="1"/>
  <c r="AD63" i="109" s="1"/>
  <c r="AE63" i="109" s="1"/>
  <c r="B64" i="109"/>
  <c r="E64" i="109"/>
  <c r="F64" i="109"/>
  <c r="I64" i="109"/>
  <c r="M64" i="109"/>
  <c r="N64" i="109" s="1"/>
  <c r="O64" i="109"/>
  <c r="P64" i="109" s="1"/>
  <c r="Q64" i="109" s="1"/>
  <c r="R64" i="109"/>
  <c r="S64" i="109" s="1"/>
  <c r="T64" i="109" s="1"/>
  <c r="U64" i="109" s="1"/>
  <c r="W64" i="109"/>
  <c r="X64" i="109" s="1"/>
  <c r="Y64" i="109"/>
  <c r="Z64" i="109" s="1"/>
  <c r="AA64" i="109" s="1"/>
  <c r="AB64" i="109"/>
  <c r="AC64" i="109" s="1"/>
  <c r="AD64" i="109" s="1"/>
  <c r="AE64" i="109" s="1"/>
  <c r="B65" i="109"/>
  <c r="E65" i="109"/>
  <c r="F65" i="109"/>
  <c r="H65" i="109"/>
  <c r="O65" i="109"/>
  <c r="P65" i="109" s="1"/>
  <c r="Q65" i="109" s="1"/>
  <c r="R65" i="109"/>
  <c r="S65" i="109" s="1"/>
  <c r="T65" i="109" s="1"/>
  <c r="U65" i="109" s="1"/>
  <c r="Y65" i="109"/>
  <c r="Z65" i="109" s="1"/>
  <c r="AA65" i="109" s="1"/>
  <c r="AB65" i="109"/>
  <c r="AC65" i="109" s="1"/>
  <c r="AD65" i="109" s="1"/>
  <c r="AE65" i="109" s="1"/>
  <c r="AF65" i="109"/>
  <c r="AZ65" i="109"/>
  <c r="I65" i="109" s="1"/>
  <c r="A17" i="109"/>
  <c r="B17" i="109"/>
  <c r="C17" i="109"/>
  <c r="E17" i="109"/>
  <c r="I17" i="109"/>
  <c r="K17" i="109"/>
  <c r="V17" i="109"/>
  <c r="AF17" i="109"/>
  <c r="A18" i="109"/>
  <c r="B18" i="109"/>
  <c r="C18" i="109"/>
  <c r="E18" i="109"/>
  <c r="M18" i="109"/>
  <c r="N18" i="109"/>
  <c r="O18" i="109" s="1"/>
  <c r="P18" i="109" s="1"/>
  <c r="Q18" i="109" s="1"/>
  <c r="R18" i="109" s="1"/>
  <c r="S18" i="109" s="1"/>
  <c r="T18" i="109" s="1"/>
  <c r="U18" i="109" s="1"/>
  <c r="W18" i="109"/>
  <c r="X18" i="109"/>
  <c r="Y18" i="109" s="1"/>
  <c r="Z18" i="109" s="1"/>
  <c r="AA18" i="109" s="1"/>
  <c r="AB18" i="109" s="1"/>
  <c r="AC18" i="109" s="1"/>
  <c r="AD18" i="109" s="1"/>
  <c r="AE18" i="109" s="1"/>
  <c r="AF18" i="109"/>
  <c r="AZ18" i="109"/>
  <c r="I18" i="109" s="1"/>
  <c r="A19" i="109"/>
  <c r="B19" i="109"/>
  <c r="C19" i="109"/>
  <c r="E19" i="109"/>
  <c r="I19" i="109"/>
  <c r="K19" i="109"/>
  <c r="Y19" i="109"/>
  <c r="X19" i="109" s="1"/>
  <c r="W19" i="109" s="1"/>
  <c r="AF19" i="109"/>
  <c r="A20" i="109"/>
  <c r="B20" i="109"/>
  <c r="C20" i="109"/>
  <c r="E20" i="109"/>
  <c r="H20" i="109"/>
  <c r="M20" i="109"/>
  <c r="N20" i="109" s="1"/>
  <c r="O20" i="109"/>
  <c r="P20" i="109" s="1"/>
  <c r="Q20" i="109" s="1"/>
  <c r="R20" i="109"/>
  <c r="S20" i="109" s="1"/>
  <c r="T20" i="109" s="1"/>
  <c r="U20" i="109" s="1"/>
  <c r="W20" i="109"/>
  <c r="X20" i="109" s="1"/>
  <c r="Y20" i="109"/>
  <c r="Z20" i="109" s="1"/>
  <c r="AA20" i="109" s="1"/>
  <c r="AB20" i="109"/>
  <c r="AC20" i="109" s="1"/>
  <c r="AD20" i="109" s="1"/>
  <c r="AE20" i="109" s="1"/>
  <c r="AF20" i="109"/>
  <c r="AZ20" i="109"/>
  <c r="I20" i="109" s="1"/>
  <c r="A21" i="109"/>
  <c r="B21" i="109"/>
  <c r="C21" i="109"/>
  <c r="E21" i="109"/>
  <c r="H21" i="109"/>
  <c r="M21" i="109"/>
  <c r="N21" i="109" s="1"/>
  <c r="O21" i="109"/>
  <c r="P21" i="109" s="1"/>
  <c r="Q21" i="109" s="1"/>
  <c r="R21" i="109"/>
  <c r="S21" i="109" s="1"/>
  <c r="T21" i="109" s="1"/>
  <c r="U21" i="109" s="1"/>
  <c r="W21" i="109"/>
  <c r="X21" i="109" s="1"/>
  <c r="Y21" i="109"/>
  <c r="Z21" i="109" s="1"/>
  <c r="AA21" i="109" s="1"/>
  <c r="AB21" i="109"/>
  <c r="AC21" i="109" s="1"/>
  <c r="AD21" i="109" s="1"/>
  <c r="AE21" i="109" s="1"/>
  <c r="AF21" i="109"/>
  <c r="AZ21" i="109"/>
  <c r="I21" i="109" s="1"/>
  <c r="B22" i="109"/>
  <c r="C22" i="109"/>
  <c r="I22" i="109"/>
  <c r="K22" i="109"/>
  <c r="V22" i="109"/>
  <c r="AF22" i="109"/>
  <c r="B23" i="109"/>
  <c r="C23" i="109"/>
  <c r="M23" i="109"/>
  <c r="N23" i="109"/>
  <c r="O23" i="109" s="1"/>
  <c r="P23" i="109" s="1"/>
  <c r="Q23" i="109" s="1"/>
  <c r="R23" i="109" s="1"/>
  <c r="S23" i="109" s="1"/>
  <c r="T23" i="109" s="1"/>
  <c r="U23" i="109" s="1"/>
  <c r="W23" i="109"/>
  <c r="X23" i="109"/>
  <c r="Y23" i="109" s="1"/>
  <c r="Z23" i="109" s="1"/>
  <c r="AA23" i="109" s="1"/>
  <c r="AB23" i="109" s="1"/>
  <c r="AC23" i="109" s="1"/>
  <c r="AD23" i="109" s="1"/>
  <c r="AE23" i="109" s="1"/>
  <c r="AF23" i="109"/>
  <c r="AZ23" i="109"/>
  <c r="I23" i="109" s="1"/>
  <c r="B24" i="109"/>
  <c r="C24" i="109"/>
  <c r="I24" i="109"/>
  <c r="K24" i="109"/>
  <c r="Y24" i="109"/>
  <c r="Z24" i="109" s="1"/>
  <c r="AA24" i="109" s="1"/>
  <c r="AB24" i="109" s="1"/>
  <c r="AC24" i="109" s="1"/>
  <c r="AD24" i="109" s="1"/>
  <c r="AE24" i="109" s="1"/>
  <c r="AF24" i="109"/>
  <c r="B25" i="109"/>
  <c r="C25" i="109"/>
  <c r="I25" i="109"/>
  <c r="M25" i="109"/>
  <c r="N25" i="109" s="1"/>
  <c r="O25" i="109"/>
  <c r="P25" i="109" s="1"/>
  <c r="Q25" i="109" s="1"/>
  <c r="R25" i="109"/>
  <c r="S25" i="109" s="1"/>
  <c r="T25" i="109" s="1"/>
  <c r="U25" i="109" s="1"/>
  <c r="W25" i="109"/>
  <c r="X25" i="109" s="1"/>
  <c r="Y25" i="109"/>
  <c r="Z25" i="109" s="1"/>
  <c r="AA25" i="109" s="1"/>
  <c r="AB25" i="109"/>
  <c r="AC25" i="109" s="1"/>
  <c r="AD25" i="109" s="1"/>
  <c r="AE25" i="109" s="1"/>
  <c r="AF25" i="109"/>
  <c r="B26" i="109"/>
  <c r="C26" i="109"/>
  <c r="I26" i="109"/>
  <c r="M26" i="109"/>
  <c r="N26" i="109" s="1"/>
  <c r="O26" i="109"/>
  <c r="P26" i="109" s="1"/>
  <c r="Q26" i="109" s="1"/>
  <c r="R26" i="109"/>
  <c r="S26" i="109" s="1"/>
  <c r="T26" i="109" s="1"/>
  <c r="U26" i="109" s="1"/>
  <c r="W26" i="109"/>
  <c r="X26" i="109" s="1"/>
  <c r="Y26" i="109"/>
  <c r="Z26" i="109" s="1"/>
  <c r="AA26" i="109" s="1"/>
  <c r="AB26" i="109"/>
  <c r="AC26" i="109" s="1"/>
  <c r="AD26" i="109" s="1"/>
  <c r="AE26" i="109" s="1"/>
  <c r="AF26" i="109"/>
  <c r="A27" i="109"/>
  <c r="B27" i="109"/>
  <c r="C27" i="109"/>
  <c r="E27" i="109"/>
  <c r="I27" i="109"/>
  <c r="K27" i="109"/>
  <c r="V27" i="109"/>
  <c r="AF27" i="109"/>
  <c r="A28" i="109"/>
  <c r="B28" i="109"/>
  <c r="C28" i="109"/>
  <c r="E28" i="109"/>
  <c r="M28" i="109"/>
  <c r="N28" i="109"/>
  <c r="O28" i="109" s="1"/>
  <c r="P28" i="109" s="1"/>
  <c r="Q28" i="109" s="1"/>
  <c r="R28" i="109" s="1"/>
  <c r="S28" i="109" s="1"/>
  <c r="T28" i="109" s="1"/>
  <c r="U28" i="109" s="1"/>
  <c r="W28" i="109"/>
  <c r="X28" i="109"/>
  <c r="Y28" i="109" s="1"/>
  <c r="Z28" i="109" s="1"/>
  <c r="AA28" i="109" s="1"/>
  <c r="AB28" i="109" s="1"/>
  <c r="AC28" i="109" s="1"/>
  <c r="AD28" i="109" s="1"/>
  <c r="AE28" i="109" s="1"/>
  <c r="AF28" i="109"/>
  <c r="AZ28" i="109"/>
  <c r="I28" i="109" s="1"/>
  <c r="A29" i="109"/>
  <c r="B29" i="109"/>
  <c r="C29" i="109"/>
  <c r="E29" i="109"/>
  <c r="I29" i="109"/>
  <c r="K29" i="109"/>
  <c r="Y29" i="109"/>
  <c r="Z29" i="109" s="1"/>
  <c r="AA29" i="109" s="1"/>
  <c r="AB29" i="109" s="1"/>
  <c r="AC29" i="109" s="1"/>
  <c r="AD29" i="109" s="1"/>
  <c r="AE29" i="109" s="1"/>
  <c r="AF29" i="109"/>
  <c r="A30" i="109"/>
  <c r="B30" i="109"/>
  <c r="C30" i="109"/>
  <c r="E30" i="109"/>
  <c r="H30" i="109"/>
  <c r="M30" i="109"/>
  <c r="N30" i="109" s="1"/>
  <c r="O30" i="109"/>
  <c r="P30" i="109" s="1"/>
  <c r="Q30" i="109" s="1"/>
  <c r="R30" i="109"/>
  <c r="S30" i="109" s="1"/>
  <c r="T30" i="109" s="1"/>
  <c r="U30" i="109" s="1"/>
  <c r="W30" i="109"/>
  <c r="X30" i="109" s="1"/>
  <c r="Y30" i="109"/>
  <c r="Z30" i="109" s="1"/>
  <c r="AA30" i="109" s="1"/>
  <c r="AB30" i="109"/>
  <c r="AC30" i="109" s="1"/>
  <c r="AD30" i="109" s="1"/>
  <c r="AE30" i="109" s="1"/>
  <c r="AF30" i="109"/>
  <c r="AZ30" i="109"/>
  <c r="I30" i="109" s="1"/>
  <c r="A31" i="109"/>
  <c r="B31" i="109"/>
  <c r="C31" i="109"/>
  <c r="E31" i="109"/>
  <c r="M31" i="109"/>
  <c r="N31" i="109" s="1"/>
  <c r="O31" i="109"/>
  <c r="P31" i="109" s="1"/>
  <c r="Q31" i="109" s="1"/>
  <c r="R31" i="109"/>
  <c r="S31" i="109" s="1"/>
  <c r="T31" i="109" s="1"/>
  <c r="U31" i="109" s="1"/>
  <c r="W31" i="109"/>
  <c r="X31" i="109" s="1"/>
  <c r="Y31" i="109"/>
  <c r="Z31" i="109" s="1"/>
  <c r="AA31" i="109" s="1"/>
  <c r="AB31" i="109"/>
  <c r="AC31" i="109" s="1"/>
  <c r="AD31" i="109" s="1"/>
  <c r="AE31" i="109" s="1"/>
  <c r="AF31" i="109"/>
  <c r="AZ31" i="109"/>
  <c r="I31" i="109" s="1"/>
  <c r="A32" i="109"/>
  <c r="B32" i="109"/>
  <c r="C32" i="109"/>
  <c r="E32" i="109"/>
  <c r="H32" i="109"/>
  <c r="K32" i="109"/>
  <c r="V32" i="109"/>
  <c r="V33" i="109" s="1"/>
  <c r="W32" i="109"/>
  <c r="X32" i="109" s="1"/>
  <c r="Y32" i="109"/>
  <c r="Z32" i="109" s="1"/>
  <c r="AA32" i="109" s="1"/>
  <c r="AB32" i="109"/>
  <c r="AC32" i="109" s="1"/>
  <c r="AD32" i="109" s="1"/>
  <c r="AE32" i="109" s="1"/>
  <c r="AF32" i="109"/>
  <c r="AZ32" i="109"/>
  <c r="I32" i="109" s="1"/>
  <c r="A33" i="109"/>
  <c r="B33" i="109"/>
  <c r="C33" i="109"/>
  <c r="E33" i="109"/>
  <c r="H33" i="109"/>
  <c r="K33" i="109"/>
  <c r="W33" i="109"/>
  <c r="X33" i="109" s="1"/>
  <c r="Y33" i="109"/>
  <c r="Z33" i="109" s="1"/>
  <c r="AA33" i="109" s="1"/>
  <c r="AB33" i="109"/>
  <c r="AC33" i="109" s="1"/>
  <c r="AD33" i="109" s="1"/>
  <c r="AE33" i="109" s="1"/>
  <c r="AF33" i="109"/>
  <c r="AZ33" i="109"/>
  <c r="I33" i="109" s="1"/>
  <c r="A34" i="109"/>
  <c r="B34" i="109"/>
  <c r="C34" i="109"/>
  <c r="A35" i="109"/>
  <c r="B35" i="109"/>
  <c r="C35" i="109"/>
  <c r="AF15" i="109"/>
  <c r="V15" i="109"/>
  <c r="W15" i="109" s="1"/>
  <c r="X15" i="109" s="1"/>
  <c r="Y15" i="109" s="1"/>
  <c r="Z15" i="109" s="1"/>
  <c r="AA15" i="109" s="1"/>
  <c r="AB15" i="109" s="1"/>
  <c r="AC15" i="109" s="1"/>
  <c r="AD15" i="109" s="1"/>
  <c r="AE15" i="109" s="1"/>
  <c r="I15" i="109"/>
  <c r="C15" i="109"/>
  <c r="B15" i="109"/>
  <c r="AZ14" i="109"/>
  <c r="I14" i="109" s="1"/>
  <c r="AF14" i="109"/>
  <c r="V14" i="109"/>
  <c r="W14" i="109" s="1"/>
  <c r="X14" i="109" s="1"/>
  <c r="Y14" i="109" s="1"/>
  <c r="Z14" i="109" s="1"/>
  <c r="AA14" i="109" s="1"/>
  <c r="AB14" i="109" s="1"/>
  <c r="AC14" i="109" s="1"/>
  <c r="AD14" i="109" s="1"/>
  <c r="AE14" i="109" s="1"/>
  <c r="K14" i="109"/>
  <c r="H14" i="109"/>
  <c r="E14" i="109"/>
  <c r="B14" i="109"/>
  <c r="A14" i="109"/>
  <c r="AZ13" i="109"/>
  <c r="I13" i="109" s="1"/>
  <c r="AF13" i="109"/>
  <c r="V13" i="109"/>
  <c r="W13" i="109" s="1"/>
  <c r="X13" i="109" s="1"/>
  <c r="Y13" i="109" s="1"/>
  <c r="Z13" i="109" s="1"/>
  <c r="AA13" i="109" s="1"/>
  <c r="AB13" i="109" s="1"/>
  <c r="AC13" i="109" s="1"/>
  <c r="AD13" i="109" s="1"/>
  <c r="AE13" i="109" s="1"/>
  <c r="K13" i="109"/>
  <c r="H13" i="109"/>
  <c r="E13" i="109"/>
  <c r="B13" i="109"/>
  <c r="A13" i="109"/>
  <c r="AZ12" i="109"/>
  <c r="I12" i="109" s="1"/>
  <c r="AF12" i="109"/>
  <c r="V12" i="109"/>
  <c r="W12" i="109" s="1"/>
  <c r="X12" i="109" s="1"/>
  <c r="Y12" i="109" s="1"/>
  <c r="Z12" i="109" s="1"/>
  <c r="AA12" i="109" s="1"/>
  <c r="AB12" i="109" s="1"/>
  <c r="AC12" i="109" s="1"/>
  <c r="AD12" i="109" s="1"/>
  <c r="AE12" i="109" s="1"/>
  <c r="K12" i="109"/>
  <c r="H12" i="109"/>
  <c r="E12" i="109"/>
  <c r="B12" i="109"/>
  <c r="A12" i="109"/>
  <c r="AZ11" i="109"/>
  <c r="I11" i="109" s="1"/>
  <c r="AF11" i="109"/>
  <c r="V11" i="109"/>
  <c r="W11" i="109" s="1"/>
  <c r="X11" i="109" s="1"/>
  <c r="Y11" i="109" s="1"/>
  <c r="Z11" i="109" s="1"/>
  <c r="AA11" i="109" s="1"/>
  <c r="AB11" i="109" s="1"/>
  <c r="AC11" i="109" s="1"/>
  <c r="AD11" i="109" s="1"/>
  <c r="AE11" i="109" s="1"/>
  <c r="K11" i="109"/>
  <c r="H11" i="109"/>
  <c r="E11" i="109"/>
  <c r="B11" i="109"/>
  <c r="A11" i="109"/>
  <c r="AZ10" i="109"/>
  <c r="I10" i="109" s="1"/>
  <c r="AF10" i="109"/>
  <c r="V10" i="109"/>
  <c r="W10" i="109" s="1"/>
  <c r="X10" i="109" s="1"/>
  <c r="Y10" i="109" s="1"/>
  <c r="Z10" i="109" s="1"/>
  <c r="AA10" i="109" s="1"/>
  <c r="AB10" i="109" s="1"/>
  <c r="AC10" i="109" s="1"/>
  <c r="AD10" i="109" s="1"/>
  <c r="AE10" i="109" s="1"/>
  <c r="K10" i="109"/>
  <c r="H10" i="109"/>
  <c r="E10" i="109"/>
  <c r="B10" i="109"/>
  <c r="A10" i="109"/>
  <c r="AZ9" i="109"/>
  <c r="I9" i="109" s="1"/>
  <c r="AF9" i="109"/>
  <c r="V9" i="109"/>
  <c r="W9" i="109" s="1"/>
  <c r="X9" i="109" s="1"/>
  <c r="Y9" i="109" s="1"/>
  <c r="Z9" i="109" s="1"/>
  <c r="AA9" i="109" s="1"/>
  <c r="AB9" i="109" s="1"/>
  <c r="AC9" i="109" s="1"/>
  <c r="AD9" i="109" s="1"/>
  <c r="AE9" i="109" s="1"/>
  <c r="K9" i="109"/>
  <c r="H9" i="109"/>
  <c r="E9" i="109"/>
  <c r="B9" i="109"/>
  <c r="A9" i="109"/>
  <c r="AZ8" i="109"/>
  <c r="I8" i="109" s="1"/>
  <c r="AF8" i="109"/>
  <c r="V8" i="109"/>
  <c r="W8" i="109" s="1"/>
  <c r="X8" i="109" s="1"/>
  <c r="Y8" i="109" s="1"/>
  <c r="Z8" i="109" s="1"/>
  <c r="AA8" i="109" s="1"/>
  <c r="AB8" i="109" s="1"/>
  <c r="AC8" i="109" s="1"/>
  <c r="AD8" i="109" s="1"/>
  <c r="AE8" i="109" s="1"/>
  <c r="K8" i="109"/>
  <c r="H8" i="109"/>
  <c r="E8" i="109"/>
  <c r="B8" i="109"/>
  <c r="A8" i="109"/>
  <c r="B34" i="11"/>
  <c r="B35" i="11"/>
  <c r="B36" i="11"/>
  <c r="B37" i="11"/>
  <c r="B38" i="11"/>
  <c r="C38" i="11"/>
  <c r="B39" i="11"/>
  <c r="C39" i="11"/>
  <c r="B40" i="11"/>
  <c r="B41" i="11"/>
  <c r="B42" i="11"/>
  <c r="B33" i="11"/>
  <c r="C42" i="11"/>
  <c r="C41" i="11"/>
  <c r="C40" i="11"/>
  <c r="C37" i="11"/>
  <c r="C36" i="11"/>
  <c r="C35" i="11"/>
  <c r="C34" i="11"/>
  <c r="C33" i="11"/>
  <c r="N142" i="109" l="1"/>
  <c r="O29" i="14"/>
  <c r="P29" i="14" s="1"/>
  <c r="Q29" i="14" s="1"/>
  <c r="R29" i="14" s="1"/>
  <c r="S29" i="14" s="1"/>
  <c r="T29" i="14" s="1"/>
  <c r="U29" i="14" s="1"/>
  <c r="L142" i="109"/>
  <c r="X112" i="109"/>
  <c r="Y112" i="109" s="1"/>
  <c r="Z112" i="109" s="1"/>
  <c r="W149" i="109"/>
  <c r="W150" i="109" s="1"/>
  <c r="R147" i="109"/>
  <c r="X150" i="109"/>
  <c r="AA149" i="109"/>
  <c r="Z150" i="109"/>
  <c r="Y151" i="109"/>
  <c r="X147" i="109"/>
  <c r="Z114" i="109"/>
  <c r="AA114" i="109" s="1"/>
  <c r="AA115" i="109" s="1"/>
  <c r="AZ132" i="109"/>
  <c r="I132" i="109" s="1"/>
  <c r="W99" i="109"/>
  <c r="W100" i="109" s="1"/>
  <c r="Y150" i="109"/>
  <c r="I99" i="109"/>
  <c r="W117" i="109"/>
  <c r="Y117" i="109"/>
  <c r="N143" i="109"/>
  <c r="Z117" i="109"/>
  <c r="AA116" i="109"/>
  <c r="AA117" i="109" s="1"/>
  <c r="AC114" i="109"/>
  <c r="Z19" i="109"/>
  <c r="AA19" i="109" s="1"/>
  <c r="AB19" i="109" s="1"/>
  <c r="AC19" i="109" s="1"/>
  <c r="AD19" i="109" s="1"/>
  <c r="AE19" i="109" s="1"/>
  <c r="AE116" i="109"/>
  <c r="AE117" i="109" s="1"/>
  <c r="AD117" i="109"/>
  <c r="X99" i="109"/>
  <c r="AZ133" i="109"/>
  <c r="AZ113" i="109"/>
  <c r="I113" i="109" s="1"/>
  <c r="AC117" i="109"/>
  <c r="X113" i="109"/>
  <c r="P6" i="107"/>
  <c r="R6" i="107"/>
  <c r="K11" i="107"/>
  <c r="K12" i="107"/>
  <c r="K13" i="107"/>
  <c r="K10" i="107"/>
  <c r="EL6" i="75"/>
  <c r="EM6" i="75"/>
  <c r="EN6" i="75"/>
  <c r="EO6" i="75"/>
  <c r="EP6" i="75"/>
  <c r="EQ6" i="75"/>
  <c r="ER6" i="75"/>
  <c r="ES6" i="75"/>
  <c r="ET6" i="75"/>
  <c r="EU6" i="75"/>
  <c r="EW6" i="75"/>
  <c r="EX6" i="75"/>
  <c r="EV6" i="75" s="1"/>
  <c r="EY6" i="75"/>
  <c r="EZ6" i="75"/>
  <c r="FA6" i="75"/>
  <c r="FB6" i="75"/>
  <c r="FC6" i="75"/>
  <c r="FD6" i="75"/>
  <c r="FE6" i="75"/>
  <c r="FF6" i="75"/>
  <c r="FG6" i="75"/>
  <c r="FH6" i="75"/>
  <c r="FI6" i="75"/>
  <c r="FJ6" i="75"/>
  <c r="FK6" i="75"/>
  <c r="FL6" i="75"/>
  <c r="FM6" i="75"/>
  <c r="FN6" i="75"/>
  <c r="FO6" i="75"/>
  <c r="FP6" i="75"/>
  <c r="FQ6" i="75"/>
  <c r="FR6" i="75"/>
  <c r="FS6" i="75"/>
  <c r="FT6" i="75"/>
  <c r="FU6" i="75"/>
  <c r="FV6" i="75"/>
  <c r="FW6" i="75"/>
  <c r="FX6" i="75"/>
  <c r="FY6" i="75"/>
  <c r="FZ6" i="75"/>
  <c r="GA6" i="75"/>
  <c r="GB6" i="75"/>
  <c r="GC6" i="75"/>
  <c r="GD6" i="75"/>
  <c r="GE6" i="75"/>
  <c r="GF6" i="75"/>
  <c r="GG6" i="75"/>
  <c r="GH6" i="75"/>
  <c r="GI6" i="75"/>
  <c r="GJ6" i="75"/>
  <c r="GK6" i="75"/>
  <c r="GL6" i="75"/>
  <c r="GM6" i="75"/>
  <c r="Y113" i="109" l="1"/>
  <c r="R148" i="109"/>
  <c r="S147" i="109"/>
  <c r="Z115" i="109"/>
  <c r="X148" i="109"/>
  <c r="Y147" i="109"/>
  <c r="Y152" i="109"/>
  <c r="Z151" i="109"/>
  <c r="AB149" i="109"/>
  <c r="AA150" i="109"/>
  <c r="AC115" i="109"/>
  <c r="AD114" i="109"/>
  <c r="Y99" i="109"/>
  <c r="X100" i="109"/>
  <c r="I133" i="109"/>
  <c r="AZ134" i="109"/>
  <c r="AA112" i="109"/>
  <c r="Z113" i="109"/>
  <c r="D12" i="107"/>
  <c r="E12" i="107"/>
  <c r="F12" i="107"/>
  <c r="D13" i="107"/>
  <c r="F13" i="107"/>
  <c r="D14" i="107"/>
  <c r="AE14" i="107"/>
  <c r="AF14" i="107" s="1"/>
  <c r="AC14" i="107"/>
  <c r="AD14" i="107" s="1"/>
  <c r="AA14" i="107"/>
  <c r="AB14" i="107" s="1"/>
  <c r="S14" i="107"/>
  <c r="Q14" i="107"/>
  <c r="H14" i="107"/>
  <c r="AH14" i="107" s="1"/>
  <c r="G14" i="107"/>
  <c r="AG14" i="107" s="1"/>
  <c r="AE13" i="107"/>
  <c r="AF13" i="107" s="1"/>
  <c r="AC13" i="107"/>
  <c r="AD13" i="107" s="1"/>
  <c r="AA13" i="107"/>
  <c r="AB13" i="107" s="1"/>
  <c r="Y13" i="107"/>
  <c r="Z13" i="107" s="1"/>
  <c r="W13" i="107"/>
  <c r="X13" i="107" s="1"/>
  <c r="U13" i="107"/>
  <c r="V13" i="107" s="1"/>
  <c r="S13" i="107"/>
  <c r="Q13" i="107"/>
  <c r="R13" i="107" s="1"/>
  <c r="M13" i="107"/>
  <c r="AM13" i="107" s="1"/>
  <c r="L13" i="107"/>
  <c r="AL13" i="107" s="1"/>
  <c r="G13" i="107"/>
  <c r="AG13" i="107" s="1"/>
  <c r="AK13" i="107" s="1"/>
  <c r="AE12" i="107"/>
  <c r="AF12" i="107" s="1"/>
  <c r="AC12" i="107"/>
  <c r="AD12" i="107" s="1"/>
  <c r="AA12" i="107"/>
  <c r="AB12" i="107" s="1"/>
  <c r="Y12" i="107"/>
  <c r="Z12" i="107" s="1"/>
  <c r="W12" i="107"/>
  <c r="X12" i="107" s="1"/>
  <c r="U12" i="107"/>
  <c r="V12" i="107" s="1"/>
  <c r="S12" i="107"/>
  <c r="Q12" i="107"/>
  <c r="M12" i="107"/>
  <c r="AM12" i="107" s="1"/>
  <c r="L12" i="107"/>
  <c r="AL12" i="107" s="1"/>
  <c r="G12" i="107"/>
  <c r="AG12" i="107" s="1"/>
  <c r="AK12" i="107" s="1"/>
  <c r="AE11" i="107"/>
  <c r="AF11" i="107" s="1"/>
  <c r="AC11" i="107"/>
  <c r="AD11" i="107" s="1"/>
  <c r="AA11" i="107"/>
  <c r="AB11" i="107" s="1"/>
  <c r="Y11" i="107"/>
  <c r="Z11" i="107" s="1"/>
  <c r="W11" i="107"/>
  <c r="X11" i="107" s="1"/>
  <c r="U11" i="107"/>
  <c r="V11" i="107" s="1"/>
  <c r="S11" i="107"/>
  <c r="Q11" i="107"/>
  <c r="R11" i="107" s="1"/>
  <c r="M11" i="107"/>
  <c r="AM11" i="107" s="1"/>
  <c r="L11" i="107"/>
  <c r="AL11" i="107" s="1"/>
  <c r="G11" i="107"/>
  <c r="AG11" i="107" s="1"/>
  <c r="AK11" i="107" s="1"/>
  <c r="F11" i="107"/>
  <c r="E11" i="107"/>
  <c r="D11" i="107"/>
  <c r="AE10" i="107"/>
  <c r="AF10" i="107" s="1"/>
  <c r="AC10" i="107"/>
  <c r="AD10" i="107" s="1"/>
  <c r="AA10" i="107"/>
  <c r="AB10" i="107" s="1"/>
  <c r="Y10" i="107"/>
  <c r="Z10" i="107" s="1"/>
  <c r="W10" i="107"/>
  <c r="X10" i="107" s="1"/>
  <c r="U10" i="107"/>
  <c r="V10" i="107" s="1"/>
  <c r="S10" i="107"/>
  <c r="Q10" i="107"/>
  <c r="M10" i="107"/>
  <c r="N10" i="107" s="1"/>
  <c r="L10" i="107"/>
  <c r="AL10" i="107" s="1"/>
  <c r="G10" i="107"/>
  <c r="AG10" i="107" s="1"/>
  <c r="AK10" i="107" s="1"/>
  <c r="F10" i="107"/>
  <c r="D10" i="107"/>
  <c r="T147" i="109" l="1"/>
  <c r="S148" i="109"/>
  <c r="AC149" i="109"/>
  <c r="AB150" i="109"/>
  <c r="Z152" i="109"/>
  <c r="AA151" i="109"/>
  <c r="Y148" i="109"/>
  <c r="Z147" i="109"/>
  <c r="AE114" i="109"/>
  <c r="AE115" i="109" s="1"/>
  <c r="AD115" i="109"/>
  <c r="AB112" i="109"/>
  <c r="AA113" i="109"/>
  <c r="AZ135" i="109"/>
  <c r="I134" i="109"/>
  <c r="Z99" i="109"/>
  <c r="Y100" i="109"/>
  <c r="AQ13" i="107"/>
  <c r="AR13" i="107" s="1"/>
  <c r="AS12" i="107"/>
  <c r="AT12" i="107" s="1"/>
  <c r="T12" i="107"/>
  <c r="AS11" i="107"/>
  <c r="AT11" i="107" s="1"/>
  <c r="T11" i="107"/>
  <c r="AS13" i="107"/>
  <c r="AT13" i="107" s="1"/>
  <c r="T13" i="107"/>
  <c r="AS10" i="107"/>
  <c r="AT10" i="107" s="1"/>
  <c r="T10" i="107"/>
  <c r="AS14" i="107"/>
  <c r="AT14" i="107" s="1"/>
  <c r="T14" i="107"/>
  <c r="AQ10" i="107"/>
  <c r="AR10" i="107" s="1"/>
  <c r="R10" i="107"/>
  <c r="AQ12" i="107"/>
  <c r="AR12" i="107" s="1"/>
  <c r="R12" i="107"/>
  <c r="AQ14" i="107"/>
  <c r="AR14" i="107" s="1"/>
  <c r="R14" i="107"/>
  <c r="N11" i="107"/>
  <c r="O11" i="107" s="1"/>
  <c r="AQ11" i="107"/>
  <c r="AR11" i="107" s="1"/>
  <c r="N12" i="107"/>
  <c r="O12" i="107" s="1"/>
  <c r="O10" i="107"/>
  <c r="AN10" i="107"/>
  <c r="I14" i="107"/>
  <c r="N13" i="107"/>
  <c r="AM10" i="107"/>
  <c r="T148" i="109" l="1"/>
  <c r="U147" i="109"/>
  <c r="U148" i="109" s="1"/>
  <c r="Z148" i="109"/>
  <c r="AA147" i="109"/>
  <c r="AA152" i="109"/>
  <c r="AB151" i="109"/>
  <c r="AD149" i="109"/>
  <c r="AC150" i="109"/>
  <c r="AA99" i="109"/>
  <c r="Z100" i="109"/>
  <c r="I135" i="109"/>
  <c r="AZ136" i="109"/>
  <c r="AC112" i="109"/>
  <c r="AB113" i="109"/>
  <c r="AN11" i="107"/>
  <c r="AO12" i="107"/>
  <c r="AP12" i="107" s="1"/>
  <c r="P12" i="107"/>
  <c r="AO11" i="107"/>
  <c r="AP11" i="107" s="1"/>
  <c r="P11" i="107"/>
  <c r="AN12" i="107"/>
  <c r="AO10" i="107"/>
  <c r="AP10" i="107" s="1"/>
  <c r="P10" i="107"/>
  <c r="O13" i="107"/>
  <c r="AN13" i="107"/>
  <c r="AI14" i="107"/>
  <c r="J14" i="107"/>
  <c r="AE149" i="109" l="1"/>
  <c r="AE150" i="109" s="1"/>
  <c r="AD150" i="109"/>
  <c r="AB152" i="109"/>
  <c r="AC151" i="109"/>
  <c r="AA148" i="109"/>
  <c r="AB147" i="109"/>
  <c r="AD112" i="109"/>
  <c r="AC113" i="109"/>
  <c r="I136" i="109"/>
  <c r="AZ137" i="109"/>
  <c r="AA100" i="109"/>
  <c r="AB99" i="109"/>
  <c r="AO13" i="107"/>
  <c r="AP13" i="107" s="1"/>
  <c r="P13" i="107"/>
  <c r="AJ14" i="107"/>
  <c r="AK14" i="107" s="1"/>
  <c r="K14" i="107"/>
  <c r="C70" i="20"/>
  <c r="C62"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B14" i="20"/>
  <c r="H62" i="83"/>
  <c r="A62" i="83"/>
  <c r="H61" i="83"/>
  <c r="H60" i="83"/>
  <c r="G60" i="83"/>
  <c r="F60" i="83"/>
  <c r="A44" i="83"/>
  <c r="A40" i="83"/>
  <c r="A37" i="83"/>
  <c r="A34" i="83"/>
  <c r="A33" i="83"/>
  <c r="A31" i="83"/>
  <c r="A30" i="83"/>
  <c r="A27" i="83"/>
  <c r="A24" i="83"/>
  <c r="A23" i="83"/>
  <c r="A21" i="83"/>
  <c r="A20" i="83"/>
  <c r="A17" i="83"/>
  <c r="A14" i="83"/>
  <c r="W13" i="83"/>
  <c r="V13" i="83"/>
  <c r="U13" i="83"/>
  <c r="T13" i="83"/>
  <c r="O13" i="83"/>
  <c r="N13" i="83"/>
  <c r="M13" i="83"/>
  <c r="L13" i="83"/>
  <c r="A13" i="83"/>
  <c r="W12" i="83"/>
  <c r="V12" i="83"/>
  <c r="U12" i="83"/>
  <c r="T12" i="83"/>
  <c r="O12" i="83"/>
  <c r="N12" i="83"/>
  <c r="M12" i="83"/>
  <c r="L12" i="83"/>
  <c r="W11" i="83"/>
  <c r="V11" i="83"/>
  <c r="U11" i="83"/>
  <c r="O11" i="83"/>
  <c r="N11" i="83"/>
  <c r="M11" i="83"/>
  <c r="A11" i="83"/>
  <c r="W10" i="83"/>
  <c r="V10" i="83"/>
  <c r="U10" i="83"/>
  <c r="T10" i="83"/>
  <c r="O10" i="83"/>
  <c r="N10" i="83"/>
  <c r="M10" i="83"/>
  <c r="L10" i="83"/>
  <c r="A10" i="83"/>
  <c r="W9" i="83"/>
  <c r="V9" i="83"/>
  <c r="U9" i="83"/>
  <c r="T9" i="83"/>
  <c r="O9" i="83"/>
  <c r="N9" i="83"/>
  <c r="M9" i="83"/>
  <c r="L9" i="83"/>
  <c r="I9" i="83"/>
  <c r="H9" i="83"/>
  <c r="A9" i="83"/>
  <c r="W8" i="83"/>
  <c r="V8" i="83"/>
  <c r="U8" i="83"/>
  <c r="O8" i="83"/>
  <c r="N8" i="83"/>
  <c r="M8" i="83"/>
  <c r="I8" i="83"/>
  <c r="H8" i="83"/>
  <c r="G8" i="83"/>
  <c r="A8" i="83"/>
  <c r="W7" i="83"/>
  <c r="V7" i="83"/>
  <c r="U7" i="83"/>
  <c r="T7" i="83"/>
  <c r="O7" i="83"/>
  <c r="N7" i="83"/>
  <c r="M7" i="83"/>
  <c r="L7" i="83"/>
  <c r="I7" i="83"/>
  <c r="H7" i="83"/>
  <c r="A7" i="83"/>
  <c r="E223" i="82"/>
  <c r="E222" i="82"/>
  <c r="E221" i="82"/>
  <c r="A221" i="82"/>
  <c r="E220" i="82"/>
  <c r="E219" i="82"/>
  <c r="E218" i="82"/>
  <c r="A218" i="82"/>
  <c r="E217" i="82"/>
  <c r="E216" i="82"/>
  <c r="E215" i="82"/>
  <c r="A215" i="82"/>
  <c r="E214" i="82"/>
  <c r="E213" i="82"/>
  <c r="E212" i="82"/>
  <c r="A212" i="82"/>
  <c r="E211" i="82"/>
  <c r="E210" i="82"/>
  <c r="E209" i="82"/>
  <c r="A209" i="82"/>
  <c r="E208" i="82"/>
  <c r="A208" i="82"/>
  <c r="H207" i="82"/>
  <c r="G207" i="82"/>
  <c r="E207" i="82"/>
  <c r="A207" i="82"/>
  <c r="H206" i="82"/>
  <c r="G206" i="82"/>
  <c r="E206" i="82"/>
  <c r="A206" i="82"/>
  <c r="A203" i="82"/>
  <c r="A200" i="82"/>
  <c r="A197" i="82"/>
  <c r="A194" i="82"/>
  <c r="A192" i="82"/>
  <c r="H191" i="82"/>
  <c r="E190" i="82"/>
  <c r="A190" i="82"/>
  <c r="E189" i="82"/>
  <c r="A189" i="82"/>
  <c r="A186" i="82"/>
  <c r="A183" i="82"/>
  <c r="A180" i="82"/>
  <c r="A177" i="82"/>
  <c r="A175" i="82"/>
  <c r="N174" i="82"/>
  <c r="M174" i="82"/>
  <c r="L174" i="82"/>
  <c r="K174" i="82"/>
  <c r="N173" i="82"/>
  <c r="M173" i="82"/>
  <c r="L173" i="82"/>
  <c r="K173" i="82"/>
  <c r="A173" i="82"/>
  <c r="N172" i="82"/>
  <c r="M172" i="82"/>
  <c r="A172" i="82"/>
  <c r="N171" i="82"/>
  <c r="M171" i="82"/>
  <c r="L171" i="82"/>
  <c r="N170" i="82"/>
  <c r="M170" i="82"/>
  <c r="L170" i="82"/>
  <c r="K170" i="82"/>
  <c r="G166" i="82"/>
  <c r="F166" i="82"/>
  <c r="A166" i="82"/>
  <c r="I165" i="82"/>
  <c r="G165" i="82"/>
  <c r="A165" i="82"/>
  <c r="I164" i="82"/>
  <c r="G164" i="82"/>
  <c r="A164" i="82"/>
  <c r="I163" i="82"/>
  <c r="G163" i="82"/>
  <c r="A163" i="82"/>
  <c r="G162" i="82"/>
  <c r="A162" i="82"/>
  <c r="A159" i="82"/>
  <c r="A156" i="82"/>
  <c r="A154" i="82"/>
  <c r="F153" i="82"/>
  <c r="A152" i="82"/>
  <c r="A151" i="82"/>
  <c r="H150" i="82"/>
  <c r="H149" i="82"/>
  <c r="H148" i="82"/>
  <c r="H147" i="82"/>
  <c r="H146" i="82"/>
  <c r="H145" i="82"/>
  <c r="H144" i="82"/>
  <c r="A144" i="82"/>
  <c r="H143" i="82"/>
  <c r="H142" i="82"/>
  <c r="A142" i="82"/>
  <c r="H141" i="82"/>
  <c r="A141" i="82"/>
  <c r="H140" i="82"/>
  <c r="H139" i="82"/>
  <c r="H138" i="82"/>
  <c r="A138" i="82"/>
  <c r="A136" i="82"/>
  <c r="A134" i="82"/>
  <c r="N132" i="82"/>
  <c r="M132" i="82"/>
  <c r="L132" i="82"/>
  <c r="K132" i="82"/>
  <c r="A132" i="82"/>
  <c r="N131" i="82"/>
  <c r="A131" i="82"/>
  <c r="H122" i="82"/>
  <c r="G122" i="82"/>
  <c r="H121" i="82"/>
  <c r="G121" i="82"/>
  <c r="H120" i="82"/>
  <c r="G120" i="82"/>
  <c r="H119" i="82"/>
  <c r="G119" i="82"/>
  <c r="U83" i="82"/>
  <c r="T83" i="82"/>
  <c r="S83" i="82"/>
  <c r="R83" i="82"/>
  <c r="N83" i="82"/>
  <c r="M83" i="82"/>
  <c r="L83" i="82"/>
  <c r="K83" i="82"/>
  <c r="U82" i="82"/>
  <c r="T82" i="82"/>
  <c r="S82" i="82"/>
  <c r="R82" i="82"/>
  <c r="N82" i="82"/>
  <c r="M82" i="82"/>
  <c r="L82" i="82"/>
  <c r="K82" i="82"/>
  <c r="U81" i="82"/>
  <c r="T81" i="82"/>
  <c r="S81" i="82"/>
  <c r="R81" i="82"/>
  <c r="N81" i="82"/>
  <c r="M81" i="82"/>
  <c r="L81" i="82"/>
  <c r="K81" i="82"/>
  <c r="U80" i="82"/>
  <c r="T80" i="82"/>
  <c r="S80" i="82"/>
  <c r="N80" i="82"/>
  <c r="M80" i="82"/>
  <c r="L80" i="82"/>
  <c r="E80" i="82"/>
  <c r="U79" i="82"/>
  <c r="T79" i="82"/>
  <c r="S79" i="82"/>
  <c r="R79" i="82"/>
  <c r="N79" i="82"/>
  <c r="M79" i="82"/>
  <c r="L79" i="82"/>
  <c r="K79" i="82"/>
  <c r="U78" i="82"/>
  <c r="T78" i="82"/>
  <c r="S78" i="82"/>
  <c r="N78" i="82"/>
  <c r="M78" i="82"/>
  <c r="L78" i="82"/>
  <c r="U77" i="82"/>
  <c r="T77" i="82"/>
  <c r="S77" i="82"/>
  <c r="R77" i="82"/>
  <c r="N77" i="82"/>
  <c r="M77" i="82"/>
  <c r="L77" i="82"/>
  <c r="K77" i="82"/>
  <c r="T21" i="82"/>
  <c r="S21" i="82"/>
  <c r="O21" i="82"/>
  <c r="N21" i="82"/>
  <c r="T20" i="82"/>
  <c r="S20" i="82"/>
  <c r="R20" i="82"/>
  <c r="Q20" i="82"/>
  <c r="O20" i="82"/>
  <c r="N20" i="82"/>
  <c r="M20" i="82"/>
  <c r="L20" i="82"/>
  <c r="T19" i="82"/>
  <c r="S19" i="82"/>
  <c r="R19" i="82"/>
  <c r="Q19" i="82"/>
  <c r="O19" i="82"/>
  <c r="N19" i="82"/>
  <c r="M19" i="82"/>
  <c r="L19" i="82"/>
  <c r="T18" i="82"/>
  <c r="S18" i="82"/>
  <c r="R18" i="82"/>
  <c r="Q18" i="82"/>
  <c r="O18" i="82"/>
  <c r="N18" i="82"/>
  <c r="M18" i="82"/>
  <c r="L18" i="82"/>
  <c r="T17" i="82"/>
  <c r="S17" i="82"/>
  <c r="R17" i="82"/>
  <c r="Q17" i="82"/>
  <c r="O17" i="82"/>
  <c r="N17" i="82"/>
  <c r="M17" i="82"/>
  <c r="L17" i="82"/>
  <c r="T16" i="82"/>
  <c r="S16" i="82"/>
  <c r="R16" i="82"/>
  <c r="O16" i="82"/>
  <c r="N16" i="82"/>
  <c r="M16" i="82"/>
  <c r="T15" i="82"/>
  <c r="S15" i="82"/>
  <c r="O15" i="82"/>
  <c r="T14" i="82"/>
  <c r="S14" i="82"/>
  <c r="R14" i="82"/>
  <c r="Q14" i="82"/>
  <c r="O14" i="82"/>
  <c r="N14" i="82"/>
  <c r="M14" i="82"/>
  <c r="L14" i="82"/>
  <c r="T13" i="82"/>
  <c r="S13" i="82"/>
  <c r="R13" i="82"/>
  <c r="O13" i="82"/>
  <c r="N13" i="82"/>
  <c r="M13" i="82"/>
  <c r="S12" i="82"/>
  <c r="R12" i="82"/>
  <c r="N12" i="82"/>
  <c r="M12" i="82"/>
  <c r="T11" i="82"/>
  <c r="S11" i="82"/>
  <c r="R11" i="82"/>
  <c r="Q11" i="82"/>
  <c r="O11" i="82"/>
  <c r="N11" i="82"/>
  <c r="M11" i="82"/>
  <c r="L11" i="82"/>
  <c r="V93" i="79"/>
  <c r="C91" i="79"/>
  <c r="Y81" i="79"/>
  <c r="M81" i="79"/>
  <c r="G81" i="79"/>
  <c r="Y80" i="79"/>
  <c r="X80" i="79"/>
  <c r="N80" i="79"/>
  <c r="G80" i="79"/>
  <c r="F80" i="79"/>
  <c r="D80" i="79"/>
  <c r="B80" i="79"/>
  <c r="Y79" i="79"/>
  <c r="X79" i="79"/>
  <c r="N79" i="79"/>
  <c r="G79" i="79"/>
  <c r="F79" i="79"/>
  <c r="Y78" i="79"/>
  <c r="X78" i="79"/>
  <c r="N78" i="79"/>
  <c r="G78" i="79"/>
  <c r="F78" i="79"/>
  <c r="Y77" i="79"/>
  <c r="X77" i="79"/>
  <c r="N77" i="79"/>
  <c r="G77" i="79"/>
  <c r="F77" i="79"/>
  <c r="Y76" i="79"/>
  <c r="X76" i="79"/>
  <c r="N76" i="79"/>
  <c r="G76" i="79"/>
  <c r="F76" i="79"/>
  <c r="Y75" i="79"/>
  <c r="X75" i="79"/>
  <c r="N75" i="79"/>
  <c r="G75" i="79"/>
  <c r="F75" i="79"/>
  <c r="Y74" i="79"/>
  <c r="X74" i="79"/>
  <c r="N74" i="79"/>
  <c r="G74" i="79"/>
  <c r="F74" i="79"/>
  <c r="Y73" i="79"/>
  <c r="X73" i="79"/>
  <c r="N73" i="79"/>
  <c r="G73" i="79"/>
  <c r="F73" i="79"/>
  <c r="Y72" i="79"/>
  <c r="X72" i="79"/>
  <c r="N72" i="79"/>
  <c r="G72" i="79"/>
  <c r="F72" i="79"/>
  <c r="Y71" i="79"/>
  <c r="X71" i="79"/>
  <c r="N71" i="79"/>
  <c r="G71" i="79"/>
  <c r="F71" i="79"/>
  <c r="Y70" i="79"/>
  <c r="X70" i="79"/>
  <c r="N70" i="79"/>
  <c r="G70" i="79"/>
  <c r="F70" i="79"/>
  <c r="Y69" i="79"/>
  <c r="X69" i="79"/>
  <c r="N69" i="79"/>
  <c r="G69" i="79"/>
  <c r="F69" i="79"/>
  <c r="Y68" i="79"/>
  <c r="X68" i="79"/>
  <c r="N68" i="79"/>
  <c r="G68" i="79"/>
  <c r="F68" i="79"/>
  <c r="Y67" i="79"/>
  <c r="X67" i="79"/>
  <c r="N67" i="79"/>
  <c r="G67" i="79"/>
  <c r="F67" i="79"/>
  <c r="Y66" i="79"/>
  <c r="X66" i="79"/>
  <c r="N66" i="79"/>
  <c r="G66" i="79"/>
  <c r="F66" i="79"/>
  <c r="Y65" i="79"/>
  <c r="X65" i="79"/>
  <c r="N65" i="79"/>
  <c r="G65" i="79"/>
  <c r="F65" i="79"/>
  <c r="Y64" i="79"/>
  <c r="X64" i="79"/>
  <c r="N64" i="79"/>
  <c r="G64" i="79"/>
  <c r="F64" i="79"/>
  <c r="Y63" i="79"/>
  <c r="X63" i="79"/>
  <c r="N63" i="79"/>
  <c r="G63" i="79"/>
  <c r="F63" i="79"/>
  <c r="Y62" i="79"/>
  <c r="X62" i="79"/>
  <c r="N62" i="79"/>
  <c r="G62" i="79"/>
  <c r="F62" i="79"/>
  <c r="Y61" i="79"/>
  <c r="X61" i="79"/>
  <c r="N61" i="79"/>
  <c r="G61" i="79"/>
  <c r="F61" i="79"/>
  <c r="Y60" i="79"/>
  <c r="X60" i="79"/>
  <c r="N60" i="79"/>
  <c r="G60" i="79"/>
  <c r="F60" i="79"/>
  <c r="Y59" i="79"/>
  <c r="X59" i="79"/>
  <c r="N59" i="79"/>
  <c r="G59" i="79"/>
  <c r="F59" i="79"/>
  <c r="Y58" i="79"/>
  <c r="X58" i="79"/>
  <c r="N58" i="79"/>
  <c r="G58" i="79"/>
  <c r="F58" i="79"/>
  <c r="Y57" i="79"/>
  <c r="X57" i="79"/>
  <c r="N57" i="79"/>
  <c r="G57" i="79"/>
  <c r="F57" i="79"/>
  <c r="Y56" i="79"/>
  <c r="X56" i="79"/>
  <c r="N56" i="79"/>
  <c r="G56" i="79"/>
  <c r="F56" i="79"/>
  <c r="Y55" i="79"/>
  <c r="X55" i="79"/>
  <c r="N55" i="79"/>
  <c r="G55" i="79"/>
  <c r="F55" i="79"/>
  <c r="Y54" i="79"/>
  <c r="X54" i="79"/>
  <c r="N54" i="79"/>
  <c r="G54" i="79"/>
  <c r="F54" i="79"/>
  <c r="Y53" i="79"/>
  <c r="X53" i="79"/>
  <c r="N53" i="79"/>
  <c r="G53" i="79"/>
  <c r="F53" i="79"/>
  <c r="Y52" i="79"/>
  <c r="X52" i="79"/>
  <c r="N52" i="79"/>
  <c r="G52" i="79"/>
  <c r="F52" i="79"/>
  <c r="Y51" i="79"/>
  <c r="X51" i="79"/>
  <c r="N51" i="79"/>
  <c r="G51" i="79"/>
  <c r="F51" i="79"/>
  <c r="Y50" i="79"/>
  <c r="X50" i="79"/>
  <c r="N50" i="79"/>
  <c r="G50" i="79"/>
  <c r="F50" i="79"/>
  <c r="Y49" i="79"/>
  <c r="X49" i="79"/>
  <c r="N49" i="79"/>
  <c r="G49" i="79"/>
  <c r="F49" i="79"/>
  <c r="Y48" i="79"/>
  <c r="X48" i="79"/>
  <c r="N48" i="79"/>
  <c r="G48" i="79"/>
  <c r="F48" i="79"/>
  <c r="Y47" i="79"/>
  <c r="X47" i="79"/>
  <c r="N47" i="79"/>
  <c r="G47" i="79"/>
  <c r="F47" i="79"/>
  <c r="Y46" i="79"/>
  <c r="X46" i="79"/>
  <c r="N46" i="79"/>
  <c r="G46" i="79"/>
  <c r="F46" i="79"/>
  <c r="Y45" i="79"/>
  <c r="X45" i="79"/>
  <c r="N45" i="79"/>
  <c r="G45" i="79"/>
  <c r="F45" i="79"/>
  <c r="Y44" i="79"/>
  <c r="X44" i="79"/>
  <c r="N44" i="79"/>
  <c r="G44" i="79"/>
  <c r="F44" i="79"/>
  <c r="Y43" i="79"/>
  <c r="X43" i="79"/>
  <c r="N43" i="79"/>
  <c r="G43" i="79"/>
  <c r="F43" i="79"/>
  <c r="Y42" i="79"/>
  <c r="X42" i="79"/>
  <c r="N42" i="79"/>
  <c r="G42" i="79"/>
  <c r="F42" i="79"/>
  <c r="Y41" i="79"/>
  <c r="X41" i="79"/>
  <c r="N41" i="79"/>
  <c r="G41" i="79"/>
  <c r="F41" i="79"/>
  <c r="Y40" i="79"/>
  <c r="X40" i="79"/>
  <c r="N40" i="79"/>
  <c r="M40" i="79"/>
  <c r="G40" i="79"/>
  <c r="F40" i="79"/>
  <c r="Y39" i="79"/>
  <c r="X39" i="79"/>
  <c r="N39" i="79"/>
  <c r="G39" i="79"/>
  <c r="F39" i="79"/>
  <c r="Y38" i="79"/>
  <c r="X38" i="79"/>
  <c r="N38" i="79"/>
  <c r="G38" i="79"/>
  <c r="F38" i="79"/>
  <c r="Y37" i="79"/>
  <c r="X37" i="79"/>
  <c r="N37" i="79"/>
  <c r="G37" i="79"/>
  <c r="F37" i="79"/>
  <c r="Y36" i="79"/>
  <c r="X36" i="79"/>
  <c r="N36" i="79"/>
  <c r="G36" i="79"/>
  <c r="F36" i="79"/>
  <c r="Y35" i="79"/>
  <c r="X35" i="79"/>
  <c r="N35" i="79"/>
  <c r="G35" i="79"/>
  <c r="F35" i="79"/>
  <c r="Y34" i="79"/>
  <c r="X34" i="79"/>
  <c r="N34" i="79"/>
  <c r="G34" i="79"/>
  <c r="F34" i="79"/>
  <c r="Y33" i="79"/>
  <c r="X33" i="79"/>
  <c r="N33" i="79"/>
  <c r="G33" i="79"/>
  <c r="F33" i="79"/>
  <c r="Y32" i="79"/>
  <c r="X32" i="79"/>
  <c r="N32" i="79"/>
  <c r="G32" i="79"/>
  <c r="F32" i="79"/>
  <c r="Y31" i="79"/>
  <c r="X31" i="79"/>
  <c r="N31" i="79"/>
  <c r="G31" i="79"/>
  <c r="F31" i="79"/>
  <c r="Y30" i="79"/>
  <c r="X30" i="79"/>
  <c r="N30" i="79"/>
  <c r="G30" i="79"/>
  <c r="F30" i="79"/>
  <c r="Y29" i="79"/>
  <c r="X29" i="79"/>
  <c r="N29" i="79"/>
  <c r="G29" i="79"/>
  <c r="F29" i="79"/>
  <c r="E23" i="79"/>
  <c r="D23" i="79"/>
  <c r="C23" i="79"/>
  <c r="E22" i="79"/>
  <c r="D22" i="79"/>
  <c r="C22" i="79"/>
  <c r="E21" i="79"/>
  <c r="D21" i="79"/>
  <c r="C21" i="79"/>
  <c r="E20" i="79"/>
  <c r="D20" i="79"/>
  <c r="C20" i="79"/>
  <c r="E19" i="79"/>
  <c r="D19" i="79"/>
  <c r="C19" i="79"/>
  <c r="E18" i="79"/>
  <c r="D18" i="79"/>
  <c r="C18" i="79"/>
  <c r="E17" i="79"/>
  <c r="D17" i="79"/>
  <c r="C17" i="79"/>
  <c r="E16" i="79"/>
  <c r="D16" i="79"/>
  <c r="C16" i="79"/>
  <c r="E15" i="79"/>
  <c r="D15" i="79"/>
  <c r="C15" i="79"/>
  <c r="H12" i="79"/>
  <c r="G12" i="79"/>
  <c r="O11" i="79"/>
  <c r="N11" i="79"/>
  <c r="M11" i="79"/>
  <c r="L11" i="79"/>
  <c r="K11" i="79"/>
  <c r="J11" i="79"/>
  <c r="H11" i="79"/>
  <c r="G11" i="79"/>
  <c r="F11" i="79"/>
  <c r="G10" i="79"/>
  <c r="G9" i="79"/>
  <c r="G8" i="79"/>
  <c r="G7" i="79"/>
  <c r="G6" i="79"/>
  <c r="O5" i="79"/>
  <c r="N5" i="79"/>
  <c r="M5" i="79"/>
  <c r="L5" i="79"/>
  <c r="K5" i="79"/>
  <c r="J5" i="79"/>
  <c r="H5" i="79"/>
  <c r="G5" i="79"/>
  <c r="S71" i="80"/>
  <c r="S65" i="80"/>
  <c r="R65" i="80"/>
  <c r="P65" i="80"/>
  <c r="O65" i="80"/>
  <c r="L52" i="80"/>
  <c r="K52" i="80"/>
  <c r="L51" i="80"/>
  <c r="K51" i="80"/>
  <c r="B40" i="80"/>
  <c r="A40" i="80"/>
  <c r="B39" i="80"/>
  <c r="A39" i="80"/>
  <c r="B38" i="80"/>
  <c r="A38" i="80"/>
  <c r="B37" i="80"/>
  <c r="C47" i="80" s="1"/>
  <c r="A37" i="80"/>
  <c r="B35" i="80"/>
  <c r="A35" i="80"/>
  <c r="B34" i="80"/>
  <c r="A34" i="80"/>
  <c r="B33" i="80"/>
  <c r="A33" i="80"/>
  <c r="B32" i="80"/>
  <c r="C46" i="80" s="1"/>
  <c r="A32" i="80"/>
  <c r="J18" i="80"/>
  <c r="I18" i="80"/>
  <c r="H18" i="80"/>
  <c r="G18" i="80"/>
  <c r="J17" i="80"/>
  <c r="I17" i="80"/>
  <c r="K16" i="80"/>
  <c r="K15" i="80"/>
  <c r="A15" i="80"/>
  <c r="K14" i="80"/>
  <c r="R13" i="80"/>
  <c r="K13" i="80"/>
  <c r="A13" i="80"/>
  <c r="R12" i="80"/>
  <c r="K12" i="80"/>
  <c r="A12" i="80"/>
  <c r="R11" i="80"/>
  <c r="K11" i="80"/>
  <c r="A11" i="80"/>
  <c r="R10" i="80"/>
  <c r="K10" i="80"/>
  <c r="R9" i="80"/>
  <c r="K9" i="80"/>
  <c r="A9" i="80"/>
  <c r="R8" i="80"/>
  <c r="K8" i="80"/>
  <c r="A8" i="80"/>
  <c r="R7" i="80"/>
  <c r="K7" i="80"/>
  <c r="A7" i="80"/>
  <c r="R6" i="80"/>
  <c r="A6" i="80"/>
  <c r="R5" i="80"/>
  <c r="AW52" i="84"/>
  <c r="AW51" i="84"/>
  <c r="AW50" i="84"/>
  <c r="AW49" i="84"/>
  <c r="AW48" i="84"/>
  <c r="AW47" i="84"/>
  <c r="AW46" i="84"/>
  <c r="AW45" i="84"/>
  <c r="AW44" i="84"/>
  <c r="AW43" i="84"/>
  <c r="AW42" i="84"/>
  <c r="AW41" i="84"/>
  <c r="AW40" i="84"/>
  <c r="AW39" i="84"/>
  <c r="AW38" i="84"/>
  <c r="AW37" i="84"/>
  <c r="AW36" i="84"/>
  <c r="AW35" i="84"/>
  <c r="AW34" i="84"/>
  <c r="AW33" i="84"/>
  <c r="AW32" i="84"/>
  <c r="AW31" i="84"/>
  <c r="AW30" i="84"/>
  <c r="AW29" i="84"/>
  <c r="AW28" i="84"/>
  <c r="AW27" i="84"/>
  <c r="AW26" i="84"/>
  <c r="AW25" i="84"/>
  <c r="AW24" i="84"/>
  <c r="AW23" i="84"/>
  <c r="AW22" i="84"/>
  <c r="AW21" i="84"/>
  <c r="AW20" i="84"/>
  <c r="AW19" i="84"/>
  <c r="AW18" i="84"/>
  <c r="AW17" i="84"/>
  <c r="AW16" i="84"/>
  <c r="AW15" i="84"/>
  <c r="AW14" i="84"/>
  <c r="AW13" i="84"/>
  <c r="AW12" i="84"/>
  <c r="AW11" i="84"/>
  <c r="AW10" i="84"/>
  <c r="AW9" i="84"/>
  <c r="AW8" i="84"/>
  <c r="AW7" i="84"/>
  <c r="AW6" i="84"/>
  <c r="F61" i="87"/>
  <c r="E61" i="87"/>
  <c r="D61" i="87"/>
  <c r="C61" i="87"/>
  <c r="B61" i="87"/>
  <c r="F60" i="87"/>
  <c r="E60" i="87"/>
  <c r="D60" i="87"/>
  <c r="C60" i="87"/>
  <c r="B60" i="87"/>
  <c r="F59" i="87"/>
  <c r="E59" i="87"/>
  <c r="D59" i="87"/>
  <c r="C59" i="87"/>
  <c r="B59" i="87"/>
  <c r="F58" i="87"/>
  <c r="E58" i="87"/>
  <c r="D58" i="87"/>
  <c r="C58" i="87"/>
  <c r="B58" i="87"/>
  <c r="F57" i="87"/>
  <c r="E57" i="87"/>
  <c r="D57" i="87"/>
  <c r="C57" i="87"/>
  <c r="B57" i="87"/>
  <c r="F56" i="87"/>
  <c r="E56" i="87"/>
  <c r="D56" i="87"/>
  <c r="C56" i="87"/>
  <c r="B56" i="87"/>
  <c r="F55" i="87"/>
  <c r="E55" i="87"/>
  <c r="D55" i="87"/>
  <c r="C55" i="87"/>
  <c r="B55" i="87"/>
  <c r="F54" i="87"/>
  <c r="E54" i="87"/>
  <c r="D54" i="87"/>
  <c r="C54" i="87"/>
  <c r="B54" i="87"/>
  <c r="F53" i="87"/>
  <c r="E53" i="87"/>
  <c r="D53" i="87"/>
  <c r="C53" i="87"/>
  <c r="B53" i="87"/>
  <c r="F52" i="87"/>
  <c r="E52" i="87"/>
  <c r="D52" i="87"/>
  <c r="C52" i="87"/>
  <c r="B52" i="87"/>
  <c r="F51" i="87"/>
  <c r="E51" i="87"/>
  <c r="D51" i="87"/>
  <c r="C51" i="87"/>
  <c r="B51" i="87"/>
  <c r="F50" i="87"/>
  <c r="E50" i="87"/>
  <c r="D50" i="87"/>
  <c r="C50" i="87"/>
  <c r="B50" i="87"/>
  <c r="F49" i="87"/>
  <c r="E49" i="87"/>
  <c r="D49" i="87"/>
  <c r="C49" i="87"/>
  <c r="B49" i="87"/>
  <c r="F48" i="87"/>
  <c r="E48" i="87"/>
  <c r="D48" i="87"/>
  <c r="C48" i="87"/>
  <c r="B48" i="87"/>
  <c r="F47" i="87"/>
  <c r="E47" i="87"/>
  <c r="D47" i="87"/>
  <c r="C47" i="87"/>
  <c r="B47" i="87"/>
  <c r="F46" i="87"/>
  <c r="E46" i="87"/>
  <c r="D46" i="87"/>
  <c r="C46" i="87"/>
  <c r="B46" i="87"/>
  <c r="F45" i="87"/>
  <c r="E45" i="87"/>
  <c r="D45" i="87"/>
  <c r="C45" i="87"/>
  <c r="B45" i="87"/>
  <c r="F44" i="87"/>
  <c r="E44" i="87"/>
  <c r="D44" i="87"/>
  <c r="C44" i="87"/>
  <c r="B44" i="87"/>
  <c r="F43" i="87"/>
  <c r="E43" i="87"/>
  <c r="D43" i="87"/>
  <c r="C43" i="87"/>
  <c r="B43" i="87"/>
  <c r="F42" i="87"/>
  <c r="E42" i="87"/>
  <c r="D42" i="87"/>
  <c r="C42" i="87"/>
  <c r="B42" i="87"/>
  <c r="F41" i="87"/>
  <c r="E41" i="87"/>
  <c r="D41" i="87"/>
  <c r="C41" i="87"/>
  <c r="F40" i="87"/>
  <c r="E40" i="87"/>
  <c r="D40" i="87"/>
  <c r="C40" i="87"/>
  <c r="F39" i="87"/>
  <c r="E39" i="87"/>
  <c r="D39" i="87"/>
  <c r="C39" i="87"/>
  <c r="F38" i="87"/>
  <c r="E38" i="87"/>
  <c r="D38" i="87"/>
  <c r="C38" i="87"/>
  <c r="F37" i="87"/>
  <c r="E37" i="87"/>
  <c r="D37" i="87"/>
  <c r="C37" i="87"/>
  <c r="F36" i="87"/>
  <c r="E36" i="87"/>
  <c r="D36" i="87"/>
  <c r="C36" i="87"/>
  <c r="F35" i="87"/>
  <c r="E35" i="87"/>
  <c r="D35" i="87"/>
  <c r="F34" i="87"/>
  <c r="E34" i="87"/>
  <c r="D34" i="87"/>
  <c r="F33" i="87"/>
  <c r="E33" i="87"/>
  <c r="D33" i="87"/>
  <c r="F32" i="87"/>
  <c r="E32" i="87"/>
  <c r="D32" i="87"/>
  <c r="C32" i="87"/>
  <c r="F31" i="87"/>
  <c r="E31" i="87"/>
  <c r="D31" i="87"/>
  <c r="C31" i="87"/>
  <c r="F30" i="87"/>
  <c r="E30" i="87"/>
  <c r="D30" i="87"/>
  <c r="C30" i="87"/>
  <c r="F29" i="87"/>
  <c r="E29" i="87"/>
  <c r="D29" i="87"/>
  <c r="C29" i="87"/>
  <c r="F28" i="87"/>
  <c r="E28" i="87"/>
  <c r="D28" i="87"/>
  <c r="C28" i="87"/>
  <c r="F27" i="87"/>
  <c r="E27" i="87"/>
  <c r="D27" i="87"/>
  <c r="C27" i="87"/>
  <c r="C26" i="87"/>
  <c r="G20" i="87"/>
  <c r="G19" i="87"/>
  <c r="P18" i="87"/>
  <c r="O18" i="87"/>
  <c r="N18" i="87"/>
  <c r="M18" i="87"/>
  <c r="L18" i="87"/>
  <c r="K18" i="87"/>
  <c r="J18" i="87"/>
  <c r="G18" i="87"/>
  <c r="P17" i="87"/>
  <c r="O17" i="87"/>
  <c r="N17" i="87"/>
  <c r="M17" i="87"/>
  <c r="L17" i="87"/>
  <c r="K17" i="87"/>
  <c r="J17" i="87"/>
  <c r="G17" i="87"/>
  <c r="P16" i="87"/>
  <c r="O16" i="87"/>
  <c r="N16" i="87"/>
  <c r="M16" i="87"/>
  <c r="L16" i="87"/>
  <c r="K16" i="87"/>
  <c r="J16" i="87"/>
  <c r="G16" i="87"/>
  <c r="P15" i="87"/>
  <c r="O15" i="87"/>
  <c r="N15" i="87"/>
  <c r="M15" i="87"/>
  <c r="L15" i="87"/>
  <c r="K15" i="87"/>
  <c r="J15" i="87"/>
  <c r="G15" i="87"/>
  <c r="P14" i="87"/>
  <c r="O14" i="87"/>
  <c r="N14" i="87"/>
  <c r="M14" i="87"/>
  <c r="L14" i="87"/>
  <c r="K14" i="87"/>
  <c r="J14" i="87"/>
  <c r="G14" i="87"/>
  <c r="P13" i="87"/>
  <c r="O13" i="87"/>
  <c r="N13" i="87"/>
  <c r="M13" i="87"/>
  <c r="L13" i="87"/>
  <c r="K13" i="87"/>
  <c r="J13" i="87"/>
  <c r="G13" i="87"/>
  <c r="P12" i="87"/>
  <c r="O12" i="87"/>
  <c r="N12" i="87"/>
  <c r="M12" i="87"/>
  <c r="L12" i="87"/>
  <c r="K12" i="87"/>
  <c r="J12" i="87"/>
  <c r="G12" i="87"/>
  <c r="G11" i="87"/>
  <c r="G10" i="87"/>
  <c r="G9" i="87"/>
  <c r="G8" i="87"/>
  <c r="Q7" i="87"/>
  <c r="P7" i="87"/>
  <c r="O7" i="87"/>
  <c r="N7" i="87"/>
  <c r="M7" i="87"/>
  <c r="L7" i="87"/>
  <c r="K7" i="87"/>
  <c r="G7" i="87"/>
  <c r="G6" i="87"/>
  <c r="CM129" i="74"/>
  <c r="CL129" i="74"/>
  <c r="CK129" i="74"/>
  <c r="CJ129" i="74"/>
  <c r="CI129" i="74"/>
  <c r="CH129" i="74"/>
  <c r="CG129" i="74"/>
  <c r="CF129" i="74"/>
  <c r="CE129" i="74"/>
  <c r="CD129" i="74"/>
  <c r="CC129" i="74"/>
  <c r="CB129" i="74"/>
  <c r="B129" i="74"/>
  <c r="A129" i="74"/>
  <c r="CM128" i="74"/>
  <c r="CL128" i="74"/>
  <c r="CK128" i="74"/>
  <c r="CJ128" i="74"/>
  <c r="CI128" i="74"/>
  <c r="CH128" i="74"/>
  <c r="CG128" i="74"/>
  <c r="CF128" i="74"/>
  <c r="CE128" i="74"/>
  <c r="CD128" i="74"/>
  <c r="CC128" i="74"/>
  <c r="CB128" i="74"/>
  <c r="B128" i="74"/>
  <c r="A128" i="74"/>
  <c r="CM125" i="74"/>
  <c r="CL125" i="74"/>
  <c r="CK125" i="74"/>
  <c r="CJ125" i="74"/>
  <c r="CI125" i="74"/>
  <c r="CH125" i="74"/>
  <c r="CG125" i="74"/>
  <c r="CF125" i="74"/>
  <c r="CE125" i="74"/>
  <c r="CD125" i="74"/>
  <c r="CC125" i="74"/>
  <c r="CB125" i="74"/>
  <c r="B125" i="74"/>
  <c r="A125" i="74"/>
  <c r="CM124" i="74"/>
  <c r="CL124" i="74"/>
  <c r="CK124" i="74"/>
  <c r="CJ124" i="74"/>
  <c r="CI124" i="74"/>
  <c r="CH124" i="74"/>
  <c r="CG124" i="74"/>
  <c r="CF124" i="74"/>
  <c r="CE124" i="74"/>
  <c r="CD124" i="74"/>
  <c r="CC124" i="74"/>
  <c r="CB124" i="74"/>
  <c r="B124" i="74"/>
  <c r="A124" i="74"/>
  <c r="CM123" i="74"/>
  <c r="CL123" i="74"/>
  <c r="CK123" i="74"/>
  <c r="CJ123" i="74"/>
  <c r="CI123" i="74"/>
  <c r="CH123" i="74"/>
  <c r="CG123" i="74"/>
  <c r="CF123" i="74"/>
  <c r="CE123" i="74"/>
  <c r="CD123" i="74"/>
  <c r="CC123" i="74"/>
  <c r="CB123" i="74"/>
  <c r="B123" i="74"/>
  <c r="A123" i="74"/>
  <c r="CM122" i="74"/>
  <c r="CL122" i="74"/>
  <c r="CK122" i="74"/>
  <c r="CJ122" i="74"/>
  <c r="CI122" i="74"/>
  <c r="CH122" i="74"/>
  <c r="CG122" i="74"/>
  <c r="CF122" i="74"/>
  <c r="CE122" i="74"/>
  <c r="CD122" i="74"/>
  <c r="CC122" i="74"/>
  <c r="CB122" i="74"/>
  <c r="B122" i="74"/>
  <c r="A122" i="74"/>
  <c r="CM121" i="74"/>
  <c r="CL121" i="74"/>
  <c r="CK121" i="74"/>
  <c r="CJ121" i="74"/>
  <c r="CI121" i="74"/>
  <c r="CH121" i="74"/>
  <c r="CG121" i="74"/>
  <c r="CF121" i="74"/>
  <c r="CE121" i="74"/>
  <c r="CD121" i="74"/>
  <c r="CC121" i="74"/>
  <c r="CB121" i="74"/>
  <c r="B121" i="74"/>
  <c r="A121" i="74"/>
  <c r="CM120" i="74"/>
  <c r="CL120" i="74"/>
  <c r="CK120" i="74"/>
  <c r="CJ120" i="74"/>
  <c r="CI120" i="74"/>
  <c r="CH120" i="74"/>
  <c r="CG120" i="74"/>
  <c r="CF120" i="74"/>
  <c r="CE120" i="74"/>
  <c r="CD120" i="74"/>
  <c r="CC120" i="74"/>
  <c r="CB120" i="74"/>
  <c r="B120" i="74"/>
  <c r="A120" i="74"/>
  <c r="CM119" i="74"/>
  <c r="CL119" i="74"/>
  <c r="CK119" i="74"/>
  <c r="CJ119" i="74"/>
  <c r="CI119" i="74"/>
  <c r="CH119" i="74"/>
  <c r="CG119" i="74"/>
  <c r="CF119" i="74"/>
  <c r="CE119" i="74"/>
  <c r="CD119" i="74"/>
  <c r="CC119" i="74"/>
  <c r="CB119" i="74"/>
  <c r="B119" i="74"/>
  <c r="A119" i="74"/>
  <c r="CA118" i="74"/>
  <c r="BZ118" i="74"/>
  <c r="BY118" i="74"/>
  <c r="BX118" i="74"/>
  <c r="BW118" i="74"/>
  <c r="BV118" i="74"/>
  <c r="BU118" i="74"/>
  <c r="BT118" i="74"/>
  <c r="BS118" i="74"/>
  <c r="BR118" i="74"/>
  <c r="BQ118" i="74"/>
  <c r="BP118" i="74"/>
  <c r="BO118" i="74"/>
  <c r="BN118" i="74"/>
  <c r="BM118" i="74"/>
  <c r="BL118" i="74"/>
  <c r="BK118" i="74"/>
  <c r="BJ118" i="74"/>
  <c r="BI118" i="74"/>
  <c r="BH118" i="74"/>
  <c r="BG118" i="74"/>
  <c r="BF118" i="74"/>
  <c r="BE118" i="74"/>
  <c r="BD118" i="74"/>
  <c r="BC118" i="74"/>
  <c r="BB118" i="74"/>
  <c r="BA118" i="74"/>
  <c r="AZ118" i="74"/>
  <c r="AY118" i="74"/>
  <c r="AX118" i="74"/>
  <c r="AW118" i="74"/>
  <c r="AV118" i="74"/>
  <c r="AU118" i="74"/>
  <c r="AT118" i="74"/>
  <c r="AS118" i="74"/>
  <c r="AR118" i="74"/>
  <c r="AQ118" i="74"/>
  <c r="AP118" i="74"/>
  <c r="AO118" i="74"/>
  <c r="AN118" i="74"/>
  <c r="AM118" i="74"/>
  <c r="AL118" i="74"/>
  <c r="AK118" i="74"/>
  <c r="AJ118" i="74"/>
  <c r="AI118" i="74"/>
  <c r="AH118" i="74"/>
  <c r="AG118" i="74"/>
  <c r="AF118" i="74"/>
  <c r="AE118" i="74"/>
  <c r="AD118" i="74"/>
  <c r="AC118" i="74"/>
  <c r="AB118" i="74"/>
  <c r="AA118" i="74"/>
  <c r="Z118" i="74"/>
  <c r="Y118" i="74"/>
  <c r="X118" i="74"/>
  <c r="W118" i="74"/>
  <c r="V118" i="74"/>
  <c r="U118" i="74"/>
  <c r="T118" i="74"/>
  <c r="S118" i="74"/>
  <c r="R118" i="74"/>
  <c r="Q118" i="74"/>
  <c r="P118" i="74"/>
  <c r="O118" i="74"/>
  <c r="N118" i="74"/>
  <c r="M118" i="74"/>
  <c r="D118" i="74"/>
  <c r="C118" i="74"/>
  <c r="B118" i="74"/>
  <c r="A118" i="74"/>
  <c r="CA117" i="74"/>
  <c r="BZ117" i="74"/>
  <c r="BY117" i="74"/>
  <c r="BX117" i="74"/>
  <c r="BW117" i="74"/>
  <c r="BV117" i="74"/>
  <c r="BU117" i="74"/>
  <c r="BT117" i="74"/>
  <c r="BS117" i="74"/>
  <c r="BR117" i="74"/>
  <c r="BQ117" i="74"/>
  <c r="BP117" i="74"/>
  <c r="BO117" i="74"/>
  <c r="BN117" i="74"/>
  <c r="BM117" i="74"/>
  <c r="BL117" i="74"/>
  <c r="BK117" i="74"/>
  <c r="BJ117" i="74"/>
  <c r="BI117" i="74"/>
  <c r="BH117" i="74"/>
  <c r="BG117" i="74"/>
  <c r="BF117" i="74"/>
  <c r="BE117" i="74"/>
  <c r="BD117" i="74"/>
  <c r="BC117" i="74"/>
  <c r="BB117" i="74"/>
  <c r="BA117" i="74"/>
  <c r="AZ117" i="74"/>
  <c r="AY117" i="74"/>
  <c r="AX117" i="74"/>
  <c r="AW117" i="74"/>
  <c r="AV117" i="74"/>
  <c r="AU117" i="74"/>
  <c r="AT117" i="74"/>
  <c r="AS117" i="74"/>
  <c r="AR117" i="74"/>
  <c r="AQ117" i="74"/>
  <c r="AP117" i="74"/>
  <c r="AO117" i="74"/>
  <c r="AN117" i="74"/>
  <c r="AM117" i="74"/>
  <c r="AL117" i="74"/>
  <c r="AK117" i="74"/>
  <c r="AJ117" i="74"/>
  <c r="AI117" i="74"/>
  <c r="AH117" i="74"/>
  <c r="AG117" i="74"/>
  <c r="AF117" i="74"/>
  <c r="AE117" i="74"/>
  <c r="AD117" i="74"/>
  <c r="AC117" i="74"/>
  <c r="AB117" i="74"/>
  <c r="AA117" i="74"/>
  <c r="Z117" i="74"/>
  <c r="Y117" i="74"/>
  <c r="X117" i="74"/>
  <c r="W117" i="74"/>
  <c r="V117" i="74"/>
  <c r="U117" i="74"/>
  <c r="T117" i="74"/>
  <c r="S117" i="74"/>
  <c r="R117" i="74"/>
  <c r="Q117" i="74"/>
  <c r="P117" i="74"/>
  <c r="O117" i="74"/>
  <c r="N117" i="74"/>
  <c r="M117" i="74"/>
  <c r="D117" i="74"/>
  <c r="C117" i="74"/>
  <c r="B117" i="74"/>
  <c r="A117" i="74"/>
  <c r="CA116" i="74"/>
  <c r="BZ116" i="74"/>
  <c r="BY116" i="74"/>
  <c r="BX116" i="74"/>
  <c r="BW116" i="74"/>
  <c r="BV116" i="74"/>
  <c r="BU116" i="74"/>
  <c r="BT116" i="74"/>
  <c r="BS116" i="74"/>
  <c r="BR116" i="74"/>
  <c r="BQ116" i="74"/>
  <c r="BP116" i="74"/>
  <c r="BO116" i="74"/>
  <c r="BN116" i="74"/>
  <c r="BM116" i="74"/>
  <c r="BL116" i="74"/>
  <c r="BK116" i="74"/>
  <c r="BJ116" i="74"/>
  <c r="BI116" i="74"/>
  <c r="BH116" i="74"/>
  <c r="BG116" i="74"/>
  <c r="BF116" i="74"/>
  <c r="BE116" i="74"/>
  <c r="BD116" i="74"/>
  <c r="BC116" i="74"/>
  <c r="BB116" i="74"/>
  <c r="BA116" i="74"/>
  <c r="AZ116" i="74"/>
  <c r="AY116" i="74"/>
  <c r="AX116" i="74"/>
  <c r="AW116" i="74"/>
  <c r="AV116" i="74"/>
  <c r="AU116" i="74"/>
  <c r="AT116" i="74"/>
  <c r="AS116" i="74"/>
  <c r="AR116" i="74"/>
  <c r="AQ116" i="74"/>
  <c r="AP116" i="74"/>
  <c r="AO116" i="74"/>
  <c r="AN116" i="74"/>
  <c r="AM116" i="74"/>
  <c r="AL116" i="74"/>
  <c r="AK116" i="74"/>
  <c r="AJ116" i="74"/>
  <c r="AI116" i="74"/>
  <c r="AH116" i="74"/>
  <c r="AG116" i="74"/>
  <c r="AF116" i="74"/>
  <c r="AE116" i="74"/>
  <c r="AD116" i="74"/>
  <c r="AC116" i="74"/>
  <c r="AB116" i="74"/>
  <c r="AA116" i="74"/>
  <c r="Z116" i="74"/>
  <c r="Y116" i="74"/>
  <c r="X116" i="74"/>
  <c r="W116" i="74"/>
  <c r="V116" i="74"/>
  <c r="U116" i="74"/>
  <c r="T116" i="74"/>
  <c r="S116" i="74"/>
  <c r="R116" i="74"/>
  <c r="Q116" i="74"/>
  <c r="P116" i="74"/>
  <c r="O116" i="74"/>
  <c r="N116" i="74"/>
  <c r="M116" i="74"/>
  <c r="D116" i="74"/>
  <c r="C116" i="74"/>
  <c r="B116" i="74"/>
  <c r="A116" i="74"/>
  <c r="CA115" i="74"/>
  <c r="BZ115" i="74"/>
  <c r="BY115" i="74"/>
  <c r="BX115" i="74"/>
  <c r="BW115" i="74"/>
  <c r="BV115" i="74"/>
  <c r="BU115" i="74"/>
  <c r="BT115" i="74"/>
  <c r="BS115" i="74"/>
  <c r="BR115" i="74"/>
  <c r="BQ115" i="74"/>
  <c r="BP115" i="74"/>
  <c r="BO115" i="74"/>
  <c r="BN115" i="74"/>
  <c r="BM115" i="74"/>
  <c r="BL115" i="74"/>
  <c r="BK115" i="74"/>
  <c r="BJ115" i="74"/>
  <c r="BI115" i="74"/>
  <c r="BH115" i="74"/>
  <c r="BG115" i="74"/>
  <c r="BF115" i="74"/>
  <c r="BE115" i="74"/>
  <c r="BD115" i="74"/>
  <c r="BC115" i="74"/>
  <c r="BB115" i="74"/>
  <c r="BA115" i="74"/>
  <c r="AZ115" i="74"/>
  <c r="AY115" i="74"/>
  <c r="AX115" i="74"/>
  <c r="AW115" i="74"/>
  <c r="AV115" i="74"/>
  <c r="AU115" i="74"/>
  <c r="AT115" i="74"/>
  <c r="AS115" i="74"/>
  <c r="AR115" i="74"/>
  <c r="AQ115" i="74"/>
  <c r="AP115" i="74"/>
  <c r="AO115" i="74"/>
  <c r="AN115" i="74"/>
  <c r="AM115" i="74"/>
  <c r="AL115" i="74"/>
  <c r="AK115" i="74"/>
  <c r="AJ115" i="74"/>
  <c r="AI115" i="74"/>
  <c r="AH115" i="74"/>
  <c r="AG115" i="74"/>
  <c r="AF115" i="74"/>
  <c r="AE115" i="74"/>
  <c r="AD115" i="74"/>
  <c r="AC115" i="74"/>
  <c r="AB115" i="74"/>
  <c r="AA115" i="74"/>
  <c r="Z115" i="74"/>
  <c r="Y115" i="74"/>
  <c r="X115" i="74"/>
  <c r="W115" i="74"/>
  <c r="V115" i="74"/>
  <c r="U115" i="74"/>
  <c r="T115" i="74"/>
  <c r="S115" i="74"/>
  <c r="R115" i="74"/>
  <c r="Q115" i="74"/>
  <c r="P115" i="74"/>
  <c r="O115" i="74"/>
  <c r="N115" i="74"/>
  <c r="M115" i="74"/>
  <c r="D115" i="74"/>
  <c r="C115" i="74"/>
  <c r="B115" i="74"/>
  <c r="A115" i="74"/>
  <c r="CA114" i="74"/>
  <c r="BZ114" i="74"/>
  <c r="BY114" i="74"/>
  <c r="BX114" i="74"/>
  <c r="BW114" i="74"/>
  <c r="BV114" i="74"/>
  <c r="BU114" i="74"/>
  <c r="BT114" i="74"/>
  <c r="BS114" i="74"/>
  <c r="BR114" i="74"/>
  <c r="BQ114" i="74"/>
  <c r="BP114" i="74"/>
  <c r="BO114" i="74"/>
  <c r="BN114" i="74"/>
  <c r="BM114" i="74"/>
  <c r="BL114" i="74"/>
  <c r="BK114" i="74"/>
  <c r="BJ114" i="74"/>
  <c r="BI114" i="74"/>
  <c r="BH114" i="74"/>
  <c r="BG114" i="74"/>
  <c r="BF114" i="74"/>
  <c r="BE114" i="74"/>
  <c r="BD114" i="74"/>
  <c r="BC114" i="74"/>
  <c r="BB114" i="74"/>
  <c r="BA114" i="74"/>
  <c r="AZ114" i="74"/>
  <c r="AY114" i="74"/>
  <c r="AX114" i="74"/>
  <c r="AW114" i="74"/>
  <c r="AV114" i="74"/>
  <c r="AU114" i="74"/>
  <c r="AT114" i="74"/>
  <c r="AS114" i="74"/>
  <c r="AR114" i="74"/>
  <c r="AQ114" i="74"/>
  <c r="AP114" i="74"/>
  <c r="AO114" i="74"/>
  <c r="AN114" i="74"/>
  <c r="AM114" i="74"/>
  <c r="AL114" i="74"/>
  <c r="AK114" i="74"/>
  <c r="AJ114" i="74"/>
  <c r="AI114" i="74"/>
  <c r="AH114" i="74"/>
  <c r="AG114" i="74"/>
  <c r="AF114" i="74"/>
  <c r="AE114" i="74"/>
  <c r="AD114" i="74"/>
  <c r="AC114" i="74"/>
  <c r="AB114" i="74"/>
  <c r="AA114" i="74"/>
  <c r="Z114" i="74"/>
  <c r="Y114" i="74"/>
  <c r="X114" i="74"/>
  <c r="W114" i="74"/>
  <c r="V114" i="74"/>
  <c r="U114" i="74"/>
  <c r="T114" i="74"/>
  <c r="S114" i="74"/>
  <c r="R114" i="74"/>
  <c r="Q114" i="74"/>
  <c r="P114" i="74"/>
  <c r="O114" i="74"/>
  <c r="N114" i="74"/>
  <c r="M114" i="74"/>
  <c r="D114" i="74"/>
  <c r="C114" i="74"/>
  <c r="B114" i="74"/>
  <c r="A114" i="74"/>
  <c r="CA113" i="74"/>
  <c r="BZ113" i="74"/>
  <c r="BY113" i="74"/>
  <c r="BX113" i="74"/>
  <c r="BW113" i="74"/>
  <c r="BV113" i="74"/>
  <c r="BU113" i="74"/>
  <c r="BT113" i="74"/>
  <c r="BS113" i="74"/>
  <c r="BR113" i="74"/>
  <c r="BQ113" i="74"/>
  <c r="BP113" i="74"/>
  <c r="BO113" i="74"/>
  <c r="BN113" i="74"/>
  <c r="BM113" i="74"/>
  <c r="BL113" i="74"/>
  <c r="BK113" i="74"/>
  <c r="BJ113" i="74"/>
  <c r="BI113" i="74"/>
  <c r="BH113" i="74"/>
  <c r="BG113" i="74"/>
  <c r="BF113" i="74"/>
  <c r="BE113" i="74"/>
  <c r="BD113" i="74"/>
  <c r="BC113" i="74"/>
  <c r="BB113" i="74"/>
  <c r="BA113" i="74"/>
  <c r="AZ113" i="74"/>
  <c r="AY113" i="74"/>
  <c r="AX113" i="74"/>
  <c r="AW113" i="74"/>
  <c r="AV113" i="74"/>
  <c r="AU113" i="74"/>
  <c r="AT113" i="74"/>
  <c r="AS113" i="74"/>
  <c r="AR113" i="74"/>
  <c r="AQ113" i="74"/>
  <c r="AP113" i="74"/>
  <c r="AO113" i="74"/>
  <c r="AN113" i="74"/>
  <c r="AM113" i="74"/>
  <c r="AL113" i="74"/>
  <c r="AK113" i="74"/>
  <c r="AJ113" i="74"/>
  <c r="AI113" i="74"/>
  <c r="AH113" i="74"/>
  <c r="AG113" i="74"/>
  <c r="AF113" i="74"/>
  <c r="AE113" i="74"/>
  <c r="AD113" i="74"/>
  <c r="AC113" i="74"/>
  <c r="AB113" i="74"/>
  <c r="AA113" i="74"/>
  <c r="Z113" i="74"/>
  <c r="Y113" i="74"/>
  <c r="X113" i="74"/>
  <c r="W113" i="74"/>
  <c r="V113" i="74"/>
  <c r="U113" i="74"/>
  <c r="T113" i="74"/>
  <c r="S113" i="74"/>
  <c r="R113" i="74"/>
  <c r="Q113" i="74"/>
  <c r="P113" i="74"/>
  <c r="O113" i="74"/>
  <c r="N113" i="74"/>
  <c r="M113" i="74"/>
  <c r="D113" i="74"/>
  <c r="C113" i="74"/>
  <c r="B113" i="74"/>
  <c r="A113" i="74"/>
  <c r="CA112" i="74"/>
  <c r="BZ112" i="74"/>
  <c r="BY112" i="74"/>
  <c r="BX112" i="74"/>
  <c r="BW112" i="74"/>
  <c r="BV112" i="74"/>
  <c r="BU112" i="74"/>
  <c r="BT112" i="74"/>
  <c r="BS112" i="74"/>
  <c r="BR112" i="74"/>
  <c r="BQ112" i="74"/>
  <c r="BP112" i="74"/>
  <c r="BO112" i="74"/>
  <c r="BN112" i="74"/>
  <c r="BM112" i="74"/>
  <c r="BL112" i="74"/>
  <c r="BK112" i="74"/>
  <c r="BJ112" i="74"/>
  <c r="BI112" i="74"/>
  <c r="BH112" i="74"/>
  <c r="BG112" i="74"/>
  <c r="BF112" i="74"/>
  <c r="BE112" i="74"/>
  <c r="BD112" i="74"/>
  <c r="BC112" i="74"/>
  <c r="BB112" i="74"/>
  <c r="BA112" i="74"/>
  <c r="AZ112" i="74"/>
  <c r="AY112" i="74"/>
  <c r="AX112" i="74"/>
  <c r="AW112" i="74"/>
  <c r="AV112" i="74"/>
  <c r="AU112" i="74"/>
  <c r="AT112" i="74"/>
  <c r="AS112" i="74"/>
  <c r="AR112" i="74"/>
  <c r="AQ112" i="74"/>
  <c r="AP112" i="74"/>
  <c r="AO112" i="74"/>
  <c r="AN112" i="74"/>
  <c r="AM112" i="74"/>
  <c r="AL112" i="74"/>
  <c r="AK112" i="74"/>
  <c r="AJ112" i="74"/>
  <c r="AI112" i="74"/>
  <c r="AH112" i="74"/>
  <c r="AG112" i="74"/>
  <c r="AF112" i="74"/>
  <c r="AE112" i="74"/>
  <c r="AD112" i="74"/>
  <c r="AC112" i="74"/>
  <c r="AB112" i="74"/>
  <c r="AA112" i="74"/>
  <c r="Z112" i="74"/>
  <c r="Y112" i="74"/>
  <c r="X112" i="74"/>
  <c r="W112" i="74"/>
  <c r="V112" i="74"/>
  <c r="U112" i="74"/>
  <c r="T112" i="74"/>
  <c r="S112" i="74"/>
  <c r="R112" i="74"/>
  <c r="Q112" i="74"/>
  <c r="P112" i="74"/>
  <c r="O112" i="74"/>
  <c r="N112" i="74"/>
  <c r="M112" i="74"/>
  <c r="D112" i="74"/>
  <c r="C112" i="74"/>
  <c r="B112" i="74"/>
  <c r="A112" i="74"/>
  <c r="CA111" i="74"/>
  <c r="BZ111" i="74"/>
  <c r="BY111" i="74"/>
  <c r="BX111" i="74"/>
  <c r="BW111" i="74"/>
  <c r="BV111" i="74"/>
  <c r="BU111" i="74"/>
  <c r="BT111" i="74"/>
  <c r="BS111" i="74"/>
  <c r="BR111" i="74"/>
  <c r="BQ111" i="74"/>
  <c r="BP111" i="74"/>
  <c r="BO111" i="74"/>
  <c r="BN111" i="74"/>
  <c r="BM111" i="74"/>
  <c r="BL111" i="74"/>
  <c r="BK111" i="74"/>
  <c r="BJ111" i="74"/>
  <c r="BI111" i="74"/>
  <c r="BH111" i="74"/>
  <c r="BG111" i="74"/>
  <c r="BF111" i="74"/>
  <c r="BE111" i="74"/>
  <c r="BD111" i="74"/>
  <c r="BC111" i="74"/>
  <c r="BB111" i="74"/>
  <c r="BA111" i="74"/>
  <c r="AZ111" i="74"/>
  <c r="AY111" i="74"/>
  <c r="AX111" i="74"/>
  <c r="AW111" i="74"/>
  <c r="AV111" i="74"/>
  <c r="AU111" i="74"/>
  <c r="AT111" i="74"/>
  <c r="AS111" i="74"/>
  <c r="AR111" i="74"/>
  <c r="AQ111" i="74"/>
  <c r="AP111" i="74"/>
  <c r="AO111" i="74"/>
  <c r="AN111" i="74"/>
  <c r="AM111" i="74"/>
  <c r="AL111" i="74"/>
  <c r="AK111" i="74"/>
  <c r="AJ111" i="74"/>
  <c r="AI111" i="74"/>
  <c r="AH111" i="74"/>
  <c r="AG111" i="74"/>
  <c r="AF111" i="74"/>
  <c r="AE111" i="74"/>
  <c r="AD111" i="74"/>
  <c r="AC111" i="74"/>
  <c r="AB111" i="74"/>
  <c r="AA111" i="74"/>
  <c r="Z111" i="74"/>
  <c r="Y111" i="74"/>
  <c r="X111" i="74"/>
  <c r="W111" i="74"/>
  <c r="V111" i="74"/>
  <c r="U111" i="74"/>
  <c r="T111" i="74"/>
  <c r="S111" i="74"/>
  <c r="R111" i="74"/>
  <c r="Q111" i="74"/>
  <c r="P111" i="74"/>
  <c r="O111" i="74"/>
  <c r="N111" i="74"/>
  <c r="M111" i="74"/>
  <c r="D111" i="74"/>
  <c r="C111" i="74"/>
  <c r="CA110" i="74"/>
  <c r="BZ110" i="74"/>
  <c r="BY110" i="74"/>
  <c r="BX110" i="74"/>
  <c r="BW110" i="74"/>
  <c r="BV110" i="74"/>
  <c r="BU110" i="74"/>
  <c r="BT110" i="74"/>
  <c r="BS110" i="74"/>
  <c r="BR110" i="74"/>
  <c r="BQ110" i="74"/>
  <c r="BP110" i="74"/>
  <c r="BO110" i="74"/>
  <c r="BN110" i="74"/>
  <c r="BM110" i="74"/>
  <c r="BL110" i="74"/>
  <c r="BK110" i="74"/>
  <c r="BJ110" i="74"/>
  <c r="BI110" i="74"/>
  <c r="BH110" i="74"/>
  <c r="BG110" i="74"/>
  <c r="BF110" i="74"/>
  <c r="BE110" i="74"/>
  <c r="BD110" i="74"/>
  <c r="BC110" i="74"/>
  <c r="BB110" i="74"/>
  <c r="BA110" i="74"/>
  <c r="AZ110" i="74"/>
  <c r="AY110" i="74"/>
  <c r="AX110" i="74"/>
  <c r="AW110" i="74"/>
  <c r="AV110" i="74"/>
  <c r="AU110" i="74"/>
  <c r="AT110" i="74"/>
  <c r="AS110" i="74"/>
  <c r="AR110" i="74"/>
  <c r="AQ110" i="74"/>
  <c r="AP110" i="74"/>
  <c r="AO110" i="74"/>
  <c r="AN110" i="74"/>
  <c r="AM110" i="74"/>
  <c r="AL110" i="74"/>
  <c r="AK110" i="74"/>
  <c r="AJ110" i="74"/>
  <c r="AI110" i="74"/>
  <c r="AH110" i="74"/>
  <c r="AG110" i="74"/>
  <c r="AF110" i="74"/>
  <c r="AE110" i="74"/>
  <c r="AD110" i="74"/>
  <c r="AC110" i="74"/>
  <c r="AB110" i="74"/>
  <c r="AA110" i="74"/>
  <c r="Z110" i="74"/>
  <c r="Y110" i="74"/>
  <c r="X110" i="74"/>
  <c r="W110" i="74"/>
  <c r="V110" i="74"/>
  <c r="U110" i="74"/>
  <c r="T110" i="74"/>
  <c r="S110" i="74"/>
  <c r="R110" i="74"/>
  <c r="Q110" i="74"/>
  <c r="P110" i="74"/>
  <c r="O110" i="74"/>
  <c r="N110" i="74"/>
  <c r="M110" i="74"/>
  <c r="D110" i="74"/>
  <c r="C110" i="74"/>
  <c r="CA109" i="74"/>
  <c r="BZ109" i="74"/>
  <c r="BY109" i="74"/>
  <c r="BX109" i="74"/>
  <c r="BW109" i="74"/>
  <c r="BV109" i="74"/>
  <c r="BU109" i="74"/>
  <c r="BT109" i="74"/>
  <c r="BS109" i="74"/>
  <c r="BR109" i="74"/>
  <c r="BQ109" i="74"/>
  <c r="BP109" i="74"/>
  <c r="BO109" i="74"/>
  <c r="BN109" i="74"/>
  <c r="BM109" i="74"/>
  <c r="BL109" i="74"/>
  <c r="BK109" i="74"/>
  <c r="BJ109" i="74"/>
  <c r="BI109" i="74"/>
  <c r="BH109" i="74"/>
  <c r="BG109" i="74"/>
  <c r="BF109" i="74"/>
  <c r="BE109" i="74"/>
  <c r="BD109" i="74"/>
  <c r="BC109" i="74"/>
  <c r="BB109" i="74"/>
  <c r="BA109" i="74"/>
  <c r="AZ109" i="74"/>
  <c r="AY109" i="74"/>
  <c r="AX109" i="74"/>
  <c r="AW109" i="74"/>
  <c r="AV109" i="74"/>
  <c r="AU109" i="74"/>
  <c r="AT109" i="74"/>
  <c r="AS109" i="74"/>
  <c r="AR109" i="74"/>
  <c r="AQ109" i="74"/>
  <c r="AP109" i="74"/>
  <c r="AO109" i="74"/>
  <c r="AN109" i="74"/>
  <c r="AM109" i="74"/>
  <c r="AL109" i="74"/>
  <c r="AK109" i="74"/>
  <c r="AJ109" i="74"/>
  <c r="AI109" i="74"/>
  <c r="AH109" i="74"/>
  <c r="AG109" i="74"/>
  <c r="AF109" i="74"/>
  <c r="AE109" i="74"/>
  <c r="AD109" i="74"/>
  <c r="AC109" i="74"/>
  <c r="AB109" i="74"/>
  <c r="AA109" i="74"/>
  <c r="Z109" i="74"/>
  <c r="Y109" i="74"/>
  <c r="X109" i="74"/>
  <c r="W109" i="74"/>
  <c r="V109" i="74"/>
  <c r="U109" i="74"/>
  <c r="T109" i="74"/>
  <c r="S109" i="74"/>
  <c r="R109" i="74"/>
  <c r="Q109" i="74"/>
  <c r="P109" i="74"/>
  <c r="O109" i="74"/>
  <c r="N109" i="74"/>
  <c r="M109" i="74"/>
  <c r="D109" i="74"/>
  <c r="C109" i="74"/>
  <c r="CA108" i="74"/>
  <c r="BZ108" i="74"/>
  <c r="BY108" i="74"/>
  <c r="BX108" i="74"/>
  <c r="BW108" i="74"/>
  <c r="BV108" i="74"/>
  <c r="BU108" i="74"/>
  <c r="BT108" i="74"/>
  <c r="BS108" i="74"/>
  <c r="BR108" i="74"/>
  <c r="BQ108" i="74"/>
  <c r="BP108" i="74"/>
  <c r="BO108" i="74"/>
  <c r="BN108" i="74"/>
  <c r="BM108" i="74"/>
  <c r="BL108" i="74"/>
  <c r="BK108" i="74"/>
  <c r="BJ108" i="74"/>
  <c r="BI108" i="74"/>
  <c r="BH108" i="74"/>
  <c r="BG108" i="74"/>
  <c r="BF108" i="74"/>
  <c r="BE108" i="74"/>
  <c r="BD108" i="74"/>
  <c r="BC108" i="74"/>
  <c r="BB108" i="74"/>
  <c r="BA108" i="74"/>
  <c r="AZ108" i="74"/>
  <c r="AY108" i="74"/>
  <c r="AX108" i="74"/>
  <c r="AW108" i="74"/>
  <c r="AV108" i="74"/>
  <c r="AU108" i="74"/>
  <c r="AT108" i="74"/>
  <c r="AS108" i="74"/>
  <c r="AR108" i="74"/>
  <c r="AQ108" i="74"/>
  <c r="AP108" i="74"/>
  <c r="AO108" i="74"/>
  <c r="AN108" i="74"/>
  <c r="AM108" i="74"/>
  <c r="AL108" i="74"/>
  <c r="AK108" i="74"/>
  <c r="AJ108" i="74"/>
  <c r="AI108" i="74"/>
  <c r="AH108" i="74"/>
  <c r="AG108" i="74"/>
  <c r="AF108" i="74"/>
  <c r="AE108" i="74"/>
  <c r="AD108" i="74"/>
  <c r="AC108" i="74"/>
  <c r="AB108" i="74"/>
  <c r="AA108" i="74"/>
  <c r="Z108" i="74"/>
  <c r="Y108" i="74"/>
  <c r="X108" i="74"/>
  <c r="W108" i="74"/>
  <c r="V108" i="74"/>
  <c r="U108" i="74"/>
  <c r="T108" i="74"/>
  <c r="S108" i="74"/>
  <c r="R108" i="74"/>
  <c r="Q108" i="74"/>
  <c r="P108" i="74"/>
  <c r="O108" i="74"/>
  <c r="N108" i="74"/>
  <c r="M108" i="74"/>
  <c r="D108" i="74"/>
  <c r="C108" i="74"/>
  <c r="CA107" i="74"/>
  <c r="BZ107" i="74"/>
  <c r="BY107" i="74"/>
  <c r="BX107" i="74"/>
  <c r="BW107" i="74"/>
  <c r="BV107" i="74"/>
  <c r="BU107" i="74"/>
  <c r="BT107" i="74"/>
  <c r="BS107" i="74"/>
  <c r="BR107" i="74"/>
  <c r="BQ107" i="74"/>
  <c r="BP107" i="74"/>
  <c r="BO107" i="74"/>
  <c r="BN107" i="74"/>
  <c r="BM107" i="74"/>
  <c r="BL107" i="74"/>
  <c r="BK107" i="74"/>
  <c r="BJ107" i="74"/>
  <c r="BI107" i="74"/>
  <c r="BH107" i="74"/>
  <c r="BG107" i="74"/>
  <c r="BF107" i="74"/>
  <c r="BE107" i="74"/>
  <c r="BD107" i="74"/>
  <c r="BC107" i="74"/>
  <c r="BB107" i="74"/>
  <c r="BA107" i="74"/>
  <c r="AZ107" i="74"/>
  <c r="AY107" i="74"/>
  <c r="AX107" i="74"/>
  <c r="AW107" i="74"/>
  <c r="AV107" i="74"/>
  <c r="AU107" i="74"/>
  <c r="AT107" i="74"/>
  <c r="AS107" i="74"/>
  <c r="AR107" i="74"/>
  <c r="AQ107" i="74"/>
  <c r="AP107" i="74"/>
  <c r="AO107" i="74"/>
  <c r="AN107" i="74"/>
  <c r="AM107" i="74"/>
  <c r="AL107" i="74"/>
  <c r="AK107" i="74"/>
  <c r="AJ107" i="74"/>
  <c r="AI107" i="74"/>
  <c r="AH107" i="74"/>
  <c r="AG107" i="74"/>
  <c r="AF107" i="74"/>
  <c r="AE107" i="74"/>
  <c r="AD107" i="74"/>
  <c r="AC107" i="74"/>
  <c r="AB107" i="74"/>
  <c r="AA107" i="74"/>
  <c r="Z107" i="74"/>
  <c r="Y107" i="74"/>
  <c r="X107" i="74"/>
  <c r="W107" i="74"/>
  <c r="V107" i="74"/>
  <c r="U107" i="74"/>
  <c r="T107" i="74"/>
  <c r="S107" i="74"/>
  <c r="R107" i="74"/>
  <c r="Q107" i="74"/>
  <c r="P107" i="74"/>
  <c r="O107" i="74"/>
  <c r="N107" i="74"/>
  <c r="M107" i="74"/>
  <c r="D107" i="74"/>
  <c r="C107" i="74"/>
  <c r="CA106" i="74"/>
  <c r="BZ106" i="74"/>
  <c r="BY106" i="74"/>
  <c r="BX106" i="74"/>
  <c r="BW106" i="74"/>
  <c r="BV106" i="74"/>
  <c r="BU106" i="74"/>
  <c r="BT106" i="74"/>
  <c r="BS106" i="74"/>
  <c r="BR106" i="74"/>
  <c r="BQ106" i="74"/>
  <c r="BP106" i="74"/>
  <c r="BO106" i="74"/>
  <c r="BN106" i="74"/>
  <c r="BM106" i="74"/>
  <c r="BL106" i="74"/>
  <c r="BK106" i="74"/>
  <c r="BJ106" i="74"/>
  <c r="BI106" i="74"/>
  <c r="BH106" i="74"/>
  <c r="BG106" i="74"/>
  <c r="BF106" i="74"/>
  <c r="BE106" i="74"/>
  <c r="BD106" i="74"/>
  <c r="BC106" i="74"/>
  <c r="BB106" i="74"/>
  <c r="BA106" i="74"/>
  <c r="AZ106" i="74"/>
  <c r="AY106" i="74"/>
  <c r="AX106" i="74"/>
  <c r="AW106" i="74"/>
  <c r="AV106" i="74"/>
  <c r="AU106" i="74"/>
  <c r="AT106" i="74"/>
  <c r="AS106" i="74"/>
  <c r="AR106" i="74"/>
  <c r="AQ106" i="74"/>
  <c r="AP106" i="74"/>
  <c r="AO106" i="74"/>
  <c r="AN106" i="74"/>
  <c r="AM106" i="74"/>
  <c r="AL106" i="74"/>
  <c r="AK106" i="74"/>
  <c r="AJ106" i="74"/>
  <c r="AI106" i="74"/>
  <c r="AH106" i="74"/>
  <c r="AG106" i="74"/>
  <c r="AF106" i="74"/>
  <c r="AE106" i="74"/>
  <c r="AD106" i="74"/>
  <c r="AC106" i="74"/>
  <c r="AB106" i="74"/>
  <c r="AA106" i="74"/>
  <c r="Z106" i="74"/>
  <c r="Y106" i="74"/>
  <c r="X106" i="74"/>
  <c r="W106" i="74"/>
  <c r="V106" i="74"/>
  <c r="U106" i="74"/>
  <c r="T106" i="74"/>
  <c r="S106" i="74"/>
  <c r="R106" i="74"/>
  <c r="Q106" i="74"/>
  <c r="P106" i="74"/>
  <c r="O106" i="74"/>
  <c r="N106" i="74"/>
  <c r="M106" i="74"/>
  <c r="D106" i="74"/>
  <c r="C106" i="74"/>
  <c r="CA105" i="74"/>
  <c r="BZ105" i="74"/>
  <c r="BY105" i="74"/>
  <c r="BX105" i="74"/>
  <c r="BW105" i="74"/>
  <c r="BV105" i="74"/>
  <c r="BU105" i="74"/>
  <c r="BT105" i="74"/>
  <c r="BS105" i="74"/>
  <c r="BR105" i="74"/>
  <c r="BQ105" i="74"/>
  <c r="BP105" i="74"/>
  <c r="BO105" i="74"/>
  <c r="BN105" i="74"/>
  <c r="BM105" i="74"/>
  <c r="BL105" i="74"/>
  <c r="BK105" i="74"/>
  <c r="BJ105" i="74"/>
  <c r="BI105" i="74"/>
  <c r="BH105" i="74"/>
  <c r="BG105" i="74"/>
  <c r="BF105" i="74"/>
  <c r="BE105" i="74"/>
  <c r="BD105" i="74"/>
  <c r="BC105" i="74"/>
  <c r="BB105" i="74"/>
  <c r="BA105" i="74"/>
  <c r="AZ105" i="74"/>
  <c r="AY105" i="74"/>
  <c r="AX105" i="74"/>
  <c r="AW105" i="74"/>
  <c r="AV105" i="74"/>
  <c r="AU105" i="74"/>
  <c r="AT105" i="74"/>
  <c r="AS105" i="74"/>
  <c r="AR105" i="74"/>
  <c r="AQ105" i="74"/>
  <c r="AP105" i="74"/>
  <c r="AO105" i="74"/>
  <c r="AN105" i="74"/>
  <c r="AM105" i="74"/>
  <c r="AL105" i="74"/>
  <c r="AK105" i="74"/>
  <c r="AJ105" i="74"/>
  <c r="AI105" i="74"/>
  <c r="AH105" i="74"/>
  <c r="AG105" i="74"/>
  <c r="AF105" i="74"/>
  <c r="AE105" i="74"/>
  <c r="AD105" i="74"/>
  <c r="AC105" i="74"/>
  <c r="AB105" i="74"/>
  <c r="AA105" i="74"/>
  <c r="Z105" i="74"/>
  <c r="Y105" i="74"/>
  <c r="X105" i="74"/>
  <c r="W105" i="74"/>
  <c r="V105" i="74"/>
  <c r="U105" i="74"/>
  <c r="T105" i="74"/>
  <c r="S105" i="74"/>
  <c r="R105" i="74"/>
  <c r="Q105" i="74"/>
  <c r="P105" i="74"/>
  <c r="O105" i="74"/>
  <c r="N105" i="74"/>
  <c r="M105" i="74"/>
  <c r="D105" i="74"/>
  <c r="C105" i="74"/>
  <c r="CA104" i="74"/>
  <c r="BZ104" i="74"/>
  <c r="BY104" i="74"/>
  <c r="BX104" i="74"/>
  <c r="BW104" i="74"/>
  <c r="BV104" i="74"/>
  <c r="BU104" i="74"/>
  <c r="BT104" i="74"/>
  <c r="BS104" i="74"/>
  <c r="BR104" i="74"/>
  <c r="BQ104" i="74"/>
  <c r="BP104" i="74"/>
  <c r="BO104" i="74"/>
  <c r="BN104" i="74"/>
  <c r="BM104" i="74"/>
  <c r="BL104" i="74"/>
  <c r="BK104" i="74"/>
  <c r="BJ104" i="74"/>
  <c r="BI104" i="74"/>
  <c r="BH104" i="74"/>
  <c r="BG104" i="74"/>
  <c r="BF104" i="74"/>
  <c r="BE104" i="74"/>
  <c r="BD104" i="74"/>
  <c r="BC104" i="74"/>
  <c r="BB104" i="74"/>
  <c r="BA104" i="74"/>
  <c r="AZ104" i="74"/>
  <c r="AY104" i="74"/>
  <c r="AX104" i="74"/>
  <c r="AW104" i="74"/>
  <c r="AV104" i="74"/>
  <c r="AU104" i="74"/>
  <c r="AT104" i="74"/>
  <c r="AS104" i="74"/>
  <c r="AR104" i="74"/>
  <c r="AQ104" i="74"/>
  <c r="AP104" i="74"/>
  <c r="AO104" i="74"/>
  <c r="AN104" i="74"/>
  <c r="AM104" i="74"/>
  <c r="AL104" i="74"/>
  <c r="AK104" i="74"/>
  <c r="AJ104" i="74"/>
  <c r="AI104" i="74"/>
  <c r="AH104" i="74"/>
  <c r="AG104" i="74"/>
  <c r="AF104" i="74"/>
  <c r="AE104" i="74"/>
  <c r="AD104" i="74"/>
  <c r="AC104" i="74"/>
  <c r="AB104" i="74"/>
  <c r="AA104" i="74"/>
  <c r="Z104" i="74"/>
  <c r="Y104" i="74"/>
  <c r="X104" i="74"/>
  <c r="W104" i="74"/>
  <c r="V104" i="74"/>
  <c r="U104" i="74"/>
  <c r="T104" i="74"/>
  <c r="S104" i="74"/>
  <c r="R104" i="74"/>
  <c r="Q104" i="74"/>
  <c r="P104" i="74"/>
  <c r="O104" i="74"/>
  <c r="N104" i="74"/>
  <c r="M104" i="74"/>
  <c r="D104" i="74"/>
  <c r="C104" i="74"/>
  <c r="CA103" i="74"/>
  <c r="BZ103" i="74"/>
  <c r="BY103" i="74"/>
  <c r="BX103" i="74"/>
  <c r="BW103" i="74"/>
  <c r="BV103" i="74"/>
  <c r="BU103" i="74"/>
  <c r="BT103" i="74"/>
  <c r="BS103" i="74"/>
  <c r="BR103" i="74"/>
  <c r="BQ103" i="74"/>
  <c r="BP103" i="74"/>
  <c r="BO103" i="74"/>
  <c r="BN103" i="74"/>
  <c r="BM103" i="74"/>
  <c r="BL103" i="74"/>
  <c r="BK103" i="74"/>
  <c r="BJ103" i="74"/>
  <c r="BI103" i="74"/>
  <c r="BH103" i="74"/>
  <c r="BG103" i="74"/>
  <c r="BF103" i="74"/>
  <c r="BE103" i="74"/>
  <c r="BD103" i="74"/>
  <c r="BC103" i="74"/>
  <c r="BB103" i="74"/>
  <c r="BA103" i="74"/>
  <c r="AZ103" i="74"/>
  <c r="AY103" i="74"/>
  <c r="AX103" i="74"/>
  <c r="AW103" i="74"/>
  <c r="AV103" i="74"/>
  <c r="AU103" i="74"/>
  <c r="AT103" i="74"/>
  <c r="AS103" i="74"/>
  <c r="AR103" i="74"/>
  <c r="AQ103" i="74"/>
  <c r="AP103" i="74"/>
  <c r="AO103" i="74"/>
  <c r="AN103" i="74"/>
  <c r="AM103" i="74"/>
  <c r="AL103" i="74"/>
  <c r="AK103" i="74"/>
  <c r="AJ103" i="74"/>
  <c r="AI103" i="74"/>
  <c r="AH103" i="74"/>
  <c r="AG103" i="74"/>
  <c r="AF103" i="74"/>
  <c r="AE103" i="74"/>
  <c r="AD103" i="74"/>
  <c r="AC103" i="74"/>
  <c r="AB103" i="74"/>
  <c r="AA103" i="74"/>
  <c r="Z103" i="74"/>
  <c r="Y103" i="74"/>
  <c r="X103" i="74"/>
  <c r="W103" i="74"/>
  <c r="V103" i="74"/>
  <c r="U103" i="74"/>
  <c r="T103" i="74"/>
  <c r="S103" i="74"/>
  <c r="R103" i="74"/>
  <c r="Q103" i="74"/>
  <c r="P103" i="74"/>
  <c r="O103" i="74"/>
  <c r="N103" i="74"/>
  <c r="M103" i="74"/>
  <c r="L103" i="74"/>
  <c r="K103" i="74"/>
  <c r="J103" i="74"/>
  <c r="I103" i="74"/>
  <c r="H103" i="74"/>
  <c r="G103" i="74"/>
  <c r="F103" i="74"/>
  <c r="E103" i="74"/>
  <c r="D103" i="74"/>
  <c r="C103" i="74"/>
  <c r="B103" i="74"/>
  <c r="A103" i="74"/>
  <c r="CA102" i="74"/>
  <c r="BZ102" i="74"/>
  <c r="BY102" i="74"/>
  <c r="BX102" i="74"/>
  <c r="BW102" i="74"/>
  <c r="BV102" i="74"/>
  <c r="BU102" i="74"/>
  <c r="BT102" i="74"/>
  <c r="BS102" i="74"/>
  <c r="BR102" i="74"/>
  <c r="BQ102" i="74"/>
  <c r="BP102" i="74"/>
  <c r="BO102" i="74"/>
  <c r="BN102" i="74"/>
  <c r="BM102" i="74"/>
  <c r="BL102" i="74"/>
  <c r="BK102" i="74"/>
  <c r="BJ102" i="74"/>
  <c r="BI102" i="74"/>
  <c r="BH102" i="74"/>
  <c r="BG102" i="74"/>
  <c r="BF102" i="74"/>
  <c r="BE102" i="74"/>
  <c r="BD102" i="74"/>
  <c r="BC102" i="74"/>
  <c r="BB102" i="74"/>
  <c r="BA102" i="74"/>
  <c r="AZ102" i="74"/>
  <c r="AY102" i="74"/>
  <c r="AX102" i="74"/>
  <c r="AW102" i="74"/>
  <c r="AV102" i="74"/>
  <c r="AU102" i="74"/>
  <c r="AT102" i="74"/>
  <c r="AS102" i="74"/>
  <c r="AR102" i="74"/>
  <c r="AQ102" i="74"/>
  <c r="AP102" i="74"/>
  <c r="AO102" i="74"/>
  <c r="AN102" i="74"/>
  <c r="AM102" i="74"/>
  <c r="AL102" i="74"/>
  <c r="AK102" i="74"/>
  <c r="AJ102" i="74"/>
  <c r="AI102" i="74"/>
  <c r="AH102" i="74"/>
  <c r="AG102" i="74"/>
  <c r="AF102" i="74"/>
  <c r="AE102" i="74"/>
  <c r="AD102" i="74"/>
  <c r="AC102" i="74"/>
  <c r="AB102" i="74"/>
  <c r="AA102" i="74"/>
  <c r="Z102" i="74"/>
  <c r="Y102" i="74"/>
  <c r="X102" i="74"/>
  <c r="W102" i="74"/>
  <c r="V102" i="74"/>
  <c r="U102" i="74"/>
  <c r="T102" i="74"/>
  <c r="S102" i="74"/>
  <c r="R102" i="74"/>
  <c r="Q102" i="74"/>
  <c r="P102" i="74"/>
  <c r="O102" i="74"/>
  <c r="N102" i="74"/>
  <c r="M102" i="74"/>
  <c r="L102" i="74"/>
  <c r="K102" i="74"/>
  <c r="J102" i="74"/>
  <c r="I102" i="74"/>
  <c r="H102" i="74"/>
  <c r="G102" i="74"/>
  <c r="F102" i="74"/>
  <c r="E102" i="74"/>
  <c r="D102" i="74"/>
  <c r="C102" i="74"/>
  <c r="B102" i="74"/>
  <c r="A102" i="74"/>
  <c r="CA101" i="74"/>
  <c r="BZ101" i="74"/>
  <c r="BY101" i="74"/>
  <c r="BX101" i="74"/>
  <c r="BW101" i="74"/>
  <c r="BV101" i="74"/>
  <c r="BU101" i="74"/>
  <c r="BT101" i="74"/>
  <c r="BS101" i="74"/>
  <c r="BR101" i="74"/>
  <c r="BQ101" i="74"/>
  <c r="BP101" i="74"/>
  <c r="BO101" i="74"/>
  <c r="BN101" i="74"/>
  <c r="BM101" i="74"/>
  <c r="BL101" i="74"/>
  <c r="BK101" i="74"/>
  <c r="BJ101" i="74"/>
  <c r="BI101" i="74"/>
  <c r="BH101" i="74"/>
  <c r="BG101" i="74"/>
  <c r="BF101" i="74"/>
  <c r="BE101" i="74"/>
  <c r="BD101" i="74"/>
  <c r="BC101" i="74"/>
  <c r="BB101" i="74"/>
  <c r="BA101" i="74"/>
  <c r="AZ101" i="74"/>
  <c r="AY101" i="74"/>
  <c r="AX101" i="74"/>
  <c r="AW101" i="74"/>
  <c r="AV101" i="74"/>
  <c r="AU101" i="74"/>
  <c r="AT101" i="74"/>
  <c r="AS101" i="74"/>
  <c r="AR101" i="74"/>
  <c r="AQ101" i="74"/>
  <c r="AP101" i="74"/>
  <c r="AO101" i="74"/>
  <c r="AN101" i="74"/>
  <c r="AM101" i="74"/>
  <c r="AL101" i="74"/>
  <c r="AK101" i="74"/>
  <c r="AJ101" i="74"/>
  <c r="AI101" i="74"/>
  <c r="AH101" i="74"/>
  <c r="AG101" i="74"/>
  <c r="AF101" i="74"/>
  <c r="AE101" i="74"/>
  <c r="AD101" i="74"/>
  <c r="AC101" i="74"/>
  <c r="AB101" i="74"/>
  <c r="AA101" i="74"/>
  <c r="Z101" i="74"/>
  <c r="Y101" i="74"/>
  <c r="X101" i="74"/>
  <c r="W101" i="74"/>
  <c r="V101" i="74"/>
  <c r="U101" i="74"/>
  <c r="T101" i="74"/>
  <c r="S101" i="74"/>
  <c r="R101" i="74"/>
  <c r="Q101" i="74"/>
  <c r="P101" i="74"/>
  <c r="O101" i="74"/>
  <c r="N101" i="74"/>
  <c r="M101" i="74"/>
  <c r="L101" i="74"/>
  <c r="K101" i="74"/>
  <c r="J101" i="74"/>
  <c r="I101" i="74"/>
  <c r="H101" i="74"/>
  <c r="G101" i="74"/>
  <c r="F101" i="74"/>
  <c r="E101" i="74"/>
  <c r="D101" i="74"/>
  <c r="C101" i="74"/>
  <c r="B101" i="74"/>
  <c r="A101" i="74"/>
  <c r="CA100" i="74"/>
  <c r="BZ100" i="74"/>
  <c r="BY100" i="74"/>
  <c r="BX100" i="74"/>
  <c r="BW100" i="74"/>
  <c r="BV100" i="74"/>
  <c r="BU100" i="74"/>
  <c r="BT100" i="74"/>
  <c r="BS100" i="74"/>
  <c r="BR100" i="74"/>
  <c r="BQ100" i="74"/>
  <c r="BP100" i="74"/>
  <c r="BO100" i="74"/>
  <c r="BN100" i="74"/>
  <c r="BM100" i="74"/>
  <c r="BL100" i="74"/>
  <c r="BK100" i="74"/>
  <c r="BJ100" i="74"/>
  <c r="BI100" i="74"/>
  <c r="BH100" i="74"/>
  <c r="BG100" i="74"/>
  <c r="BF100" i="74"/>
  <c r="BE100" i="74"/>
  <c r="BD100" i="74"/>
  <c r="BC100" i="74"/>
  <c r="BB100" i="74"/>
  <c r="BA100" i="74"/>
  <c r="AZ100" i="74"/>
  <c r="AY100" i="74"/>
  <c r="AX100" i="74"/>
  <c r="AW100" i="74"/>
  <c r="AV100" i="74"/>
  <c r="AU100" i="74"/>
  <c r="AT100" i="74"/>
  <c r="AS100" i="74"/>
  <c r="AR100" i="74"/>
  <c r="AQ100" i="74"/>
  <c r="AP100" i="74"/>
  <c r="AO100" i="74"/>
  <c r="AN100" i="74"/>
  <c r="AM100" i="74"/>
  <c r="AL100" i="74"/>
  <c r="AK100" i="74"/>
  <c r="AJ100" i="74"/>
  <c r="AI100" i="74"/>
  <c r="AH100" i="74"/>
  <c r="AG100" i="74"/>
  <c r="AF100" i="74"/>
  <c r="AE100" i="74"/>
  <c r="AD100" i="74"/>
  <c r="AC100" i="74"/>
  <c r="AB100" i="74"/>
  <c r="AA100" i="74"/>
  <c r="Z100" i="74"/>
  <c r="Y100" i="74"/>
  <c r="X100" i="74"/>
  <c r="W100" i="74"/>
  <c r="V100" i="74"/>
  <c r="U100" i="74"/>
  <c r="T100" i="74"/>
  <c r="S100" i="74"/>
  <c r="R100" i="74"/>
  <c r="Q100" i="74"/>
  <c r="P100" i="74"/>
  <c r="O100" i="74"/>
  <c r="N100" i="74"/>
  <c r="M100" i="74"/>
  <c r="L100" i="74"/>
  <c r="K100" i="74"/>
  <c r="J100" i="74"/>
  <c r="I100" i="74"/>
  <c r="H100" i="74"/>
  <c r="G100" i="74"/>
  <c r="F100" i="74"/>
  <c r="E100" i="74"/>
  <c r="D100" i="74"/>
  <c r="C100" i="74"/>
  <c r="B100" i="74"/>
  <c r="A100" i="74"/>
  <c r="CA99" i="74"/>
  <c r="BZ99" i="74"/>
  <c r="BY99" i="74"/>
  <c r="BX99" i="74"/>
  <c r="BW99" i="74"/>
  <c r="BV99" i="74"/>
  <c r="BU99" i="74"/>
  <c r="BT99" i="74"/>
  <c r="BS99" i="74"/>
  <c r="BR99" i="74"/>
  <c r="BQ99" i="74"/>
  <c r="BP99" i="74"/>
  <c r="BO99" i="74"/>
  <c r="BN99" i="74"/>
  <c r="BM99" i="74"/>
  <c r="BL99" i="74"/>
  <c r="BK99" i="74"/>
  <c r="BJ99" i="74"/>
  <c r="BI99" i="74"/>
  <c r="BH99" i="74"/>
  <c r="BG99" i="74"/>
  <c r="BF99" i="74"/>
  <c r="BE99" i="74"/>
  <c r="BD99" i="74"/>
  <c r="BC99" i="74"/>
  <c r="BB99" i="74"/>
  <c r="BA99" i="74"/>
  <c r="AZ99" i="74"/>
  <c r="AY99" i="74"/>
  <c r="AX99" i="74"/>
  <c r="AW99" i="74"/>
  <c r="AV99" i="74"/>
  <c r="AU99" i="74"/>
  <c r="AT99" i="74"/>
  <c r="AS99" i="74"/>
  <c r="AR99" i="74"/>
  <c r="AQ99" i="74"/>
  <c r="AP99" i="74"/>
  <c r="AO99" i="74"/>
  <c r="AN99" i="74"/>
  <c r="AM99" i="74"/>
  <c r="AL99" i="74"/>
  <c r="AK99" i="74"/>
  <c r="AJ99" i="74"/>
  <c r="AI99" i="74"/>
  <c r="AH99" i="74"/>
  <c r="AG99" i="74"/>
  <c r="AF99" i="74"/>
  <c r="AE99" i="74"/>
  <c r="AD99" i="74"/>
  <c r="AC99" i="74"/>
  <c r="AB99" i="74"/>
  <c r="AA99" i="74"/>
  <c r="Z99" i="74"/>
  <c r="Y99" i="74"/>
  <c r="X99" i="74"/>
  <c r="W99" i="74"/>
  <c r="V99" i="74"/>
  <c r="U99" i="74"/>
  <c r="T99" i="74"/>
  <c r="S99" i="74"/>
  <c r="R99" i="74"/>
  <c r="Q99" i="74"/>
  <c r="P99" i="74"/>
  <c r="O99" i="74"/>
  <c r="N99" i="74"/>
  <c r="M99" i="74"/>
  <c r="L99" i="74"/>
  <c r="K99" i="74"/>
  <c r="J99" i="74"/>
  <c r="I99" i="74"/>
  <c r="H99" i="74"/>
  <c r="G99" i="74"/>
  <c r="F99" i="74"/>
  <c r="E99" i="74"/>
  <c r="D99" i="74"/>
  <c r="C99" i="74"/>
  <c r="B99" i="74"/>
  <c r="A99" i="74"/>
  <c r="CA98" i="74"/>
  <c r="BZ98" i="74"/>
  <c r="BY98" i="74"/>
  <c r="BX98" i="74"/>
  <c r="BW98" i="74"/>
  <c r="BV98" i="74"/>
  <c r="BU98" i="74"/>
  <c r="BT98" i="74"/>
  <c r="BS98" i="74"/>
  <c r="BR98" i="74"/>
  <c r="BQ98" i="74"/>
  <c r="BP98" i="74"/>
  <c r="BO98" i="74"/>
  <c r="BN98" i="74"/>
  <c r="BM98" i="74"/>
  <c r="BL98" i="74"/>
  <c r="BK98" i="74"/>
  <c r="BJ98" i="74"/>
  <c r="BI98" i="74"/>
  <c r="BH98" i="74"/>
  <c r="BG98" i="74"/>
  <c r="BF98" i="74"/>
  <c r="BE98" i="74"/>
  <c r="BD98" i="74"/>
  <c r="BC98" i="74"/>
  <c r="BB98" i="74"/>
  <c r="BA98" i="74"/>
  <c r="AZ98" i="74"/>
  <c r="AY98" i="74"/>
  <c r="AX98" i="74"/>
  <c r="AW98" i="74"/>
  <c r="AV98" i="74"/>
  <c r="AU98" i="74"/>
  <c r="AT98" i="74"/>
  <c r="AS98" i="74"/>
  <c r="AR98" i="74"/>
  <c r="AQ98" i="74"/>
  <c r="AP98" i="74"/>
  <c r="AO98" i="74"/>
  <c r="AN98" i="74"/>
  <c r="AM98" i="74"/>
  <c r="AL98" i="74"/>
  <c r="AK98" i="74"/>
  <c r="AJ98" i="74"/>
  <c r="AI98" i="74"/>
  <c r="AH98" i="74"/>
  <c r="AG98" i="74"/>
  <c r="AF98" i="74"/>
  <c r="AE98" i="74"/>
  <c r="AD98" i="74"/>
  <c r="AC98" i="74"/>
  <c r="AB98" i="74"/>
  <c r="AA98" i="74"/>
  <c r="Z98" i="74"/>
  <c r="Y98" i="74"/>
  <c r="X98" i="74"/>
  <c r="W98" i="74"/>
  <c r="V98" i="74"/>
  <c r="U98" i="74"/>
  <c r="T98" i="74"/>
  <c r="S98" i="74"/>
  <c r="R98" i="74"/>
  <c r="Q98" i="74"/>
  <c r="P98" i="74"/>
  <c r="O98" i="74"/>
  <c r="N98" i="74"/>
  <c r="M98" i="74"/>
  <c r="L98" i="74"/>
  <c r="K98" i="74"/>
  <c r="J98" i="74"/>
  <c r="I98" i="74"/>
  <c r="H98" i="74"/>
  <c r="G98" i="74"/>
  <c r="F98" i="74"/>
  <c r="E98" i="74"/>
  <c r="D98" i="74"/>
  <c r="C98" i="74"/>
  <c r="B98" i="74"/>
  <c r="A98" i="74"/>
  <c r="CA97" i="74"/>
  <c r="BZ97" i="74"/>
  <c r="BY97" i="74"/>
  <c r="BX97" i="74"/>
  <c r="BW97" i="74"/>
  <c r="BV97" i="74"/>
  <c r="BU97" i="74"/>
  <c r="BT97" i="74"/>
  <c r="BS97" i="74"/>
  <c r="BR97" i="74"/>
  <c r="BQ97" i="74"/>
  <c r="BP97" i="74"/>
  <c r="BO97" i="74"/>
  <c r="BN97" i="74"/>
  <c r="BM97" i="74"/>
  <c r="BL97" i="74"/>
  <c r="BK97" i="74"/>
  <c r="BJ97" i="74"/>
  <c r="BI97" i="74"/>
  <c r="BH97" i="74"/>
  <c r="BG97" i="74"/>
  <c r="BF97" i="74"/>
  <c r="BE97" i="74"/>
  <c r="BD97" i="74"/>
  <c r="BC97" i="74"/>
  <c r="BB97" i="74"/>
  <c r="BA97" i="74"/>
  <c r="AZ97" i="74"/>
  <c r="AY97" i="74"/>
  <c r="AX97" i="74"/>
  <c r="AW97" i="74"/>
  <c r="AV97" i="74"/>
  <c r="AU97" i="74"/>
  <c r="AT97" i="74"/>
  <c r="AS97" i="74"/>
  <c r="AR97" i="74"/>
  <c r="AQ97" i="74"/>
  <c r="AP97" i="74"/>
  <c r="AO97" i="74"/>
  <c r="AN97" i="74"/>
  <c r="AM97" i="74"/>
  <c r="AL97" i="74"/>
  <c r="AK97" i="74"/>
  <c r="AJ97" i="74"/>
  <c r="AI97" i="74"/>
  <c r="AH97" i="74"/>
  <c r="AG97" i="74"/>
  <c r="AF97" i="74"/>
  <c r="AE97" i="74"/>
  <c r="AD97" i="74"/>
  <c r="AC97" i="74"/>
  <c r="AB97" i="74"/>
  <c r="AA97" i="74"/>
  <c r="Z97" i="74"/>
  <c r="Y97" i="74"/>
  <c r="X97" i="74"/>
  <c r="W97" i="74"/>
  <c r="V97" i="74"/>
  <c r="U97" i="74"/>
  <c r="T97" i="74"/>
  <c r="S97" i="74"/>
  <c r="R97" i="74"/>
  <c r="Q97" i="74"/>
  <c r="P97" i="74"/>
  <c r="O97" i="74"/>
  <c r="N97" i="74"/>
  <c r="M97" i="74"/>
  <c r="L97" i="74"/>
  <c r="K97" i="74"/>
  <c r="J97" i="74"/>
  <c r="I97" i="74"/>
  <c r="H97" i="74"/>
  <c r="G97" i="74"/>
  <c r="F97" i="74"/>
  <c r="E97" i="74"/>
  <c r="D97" i="74"/>
  <c r="C97" i="74"/>
  <c r="B97" i="74"/>
  <c r="A97" i="74"/>
  <c r="CA96" i="74"/>
  <c r="BZ96" i="74"/>
  <c r="BY96" i="74"/>
  <c r="BX96" i="74"/>
  <c r="BW96" i="74"/>
  <c r="BV96" i="74"/>
  <c r="BU96" i="74"/>
  <c r="BT96" i="74"/>
  <c r="BS96" i="74"/>
  <c r="BR96" i="74"/>
  <c r="BQ96" i="74"/>
  <c r="BP96" i="74"/>
  <c r="BO96" i="74"/>
  <c r="BN96" i="74"/>
  <c r="BM96" i="74"/>
  <c r="BL96" i="74"/>
  <c r="BK96" i="74"/>
  <c r="BJ96" i="74"/>
  <c r="BI96" i="74"/>
  <c r="BH96" i="74"/>
  <c r="BG96" i="74"/>
  <c r="BF96" i="74"/>
  <c r="BE96" i="74"/>
  <c r="BD96" i="74"/>
  <c r="BC96" i="74"/>
  <c r="BB96" i="74"/>
  <c r="BA96" i="74"/>
  <c r="AZ96" i="74"/>
  <c r="AY96" i="74"/>
  <c r="AX96" i="74"/>
  <c r="AW96" i="74"/>
  <c r="AV96" i="74"/>
  <c r="AU96" i="74"/>
  <c r="AT96" i="74"/>
  <c r="AS96" i="74"/>
  <c r="AR96" i="74"/>
  <c r="AQ96" i="74"/>
  <c r="AP96" i="74"/>
  <c r="AO96" i="74"/>
  <c r="AN96" i="74"/>
  <c r="AM96" i="74"/>
  <c r="AL96" i="74"/>
  <c r="AK96" i="74"/>
  <c r="AJ96" i="74"/>
  <c r="AI96" i="74"/>
  <c r="AH96" i="74"/>
  <c r="AG96" i="74"/>
  <c r="AF96" i="74"/>
  <c r="AE96" i="74"/>
  <c r="AD96" i="74"/>
  <c r="AC96" i="74"/>
  <c r="AB96" i="74"/>
  <c r="AA96" i="74"/>
  <c r="Z96" i="74"/>
  <c r="Y96" i="74"/>
  <c r="X96" i="74"/>
  <c r="W96" i="74"/>
  <c r="V96" i="74"/>
  <c r="U96" i="74"/>
  <c r="T96" i="74"/>
  <c r="S96" i="74"/>
  <c r="R96" i="74"/>
  <c r="Q96" i="74"/>
  <c r="P96" i="74"/>
  <c r="O96" i="74"/>
  <c r="N96" i="74"/>
  <c r="M96" i="74"/>
  <c r="L96" i="74"/>
  <c r="K96" i="74"/>
  <c r="J96" i="74"/>
  <c r="I96" i="74"/>
  <c r="H96" i="74"/>
  <c r="G96" i="74"/>
  <c r="F96" i="74"/>
  <c r="E96" i="74"/>
  <c r="D96" i="74"/>
  <c r="C96" i="74"/>
  <c r="B96" i="74"/>
  <c r="A96" i="74"/>
  <c r="CA95" i="74"/>
  <c r="BZ95" i="74"/>
  <c r="BY95" i="74"/>
  <c r="BX95" i="74"/>
  <c r="BW95" i="74"/>
  <c r="BV95" i="74"/>
  <c r="BU95" i="74"/>
  <c r="BT95" i="74"/>
  <c r="BS95" i="74"/>
  <c r="BR95" i="74"/>
  <c r="BQ95" i="74"/>
  <c r="BP95" i="74"/>
  <c r="BO95" i="74"/>
  <c r="BN95" i="74"/>
  <c r="BM95" i="74"/>
  <c r="BL95" i="74"/>
  <c r="BK95" i="74"/>
  <c r="BJ95" i="74"/>
  <c r="BI95" i="74"/>
  <c r="BH95" i="74"/>
  <c r="BG95" i="74"/>
  <c r="BF95" i="74"/>
  <c r="BE95" i="74"/>
  <c r="BD95" i="74"/>
  <c r="BC95" i="74"/>
  <c r="BB95" i="74"/>
  <c r="BA95" i="74"/>
  <c r="AZ95" i="74"/>
  <c r="AY95" i="74"/>
  <c r="AX95" i="74"/>
  <c r="AW95" i="74"/>
  <c r="AV95" i="74"/>
  <c r="AU95" i="74"/>
  <c r="AT95" i="74"/>
  <c r="AS95" i="74"/>
  <c r="AR95" i="74"/>
  <c r="AQ95" i="74"/>
  <c r="AP95" i="74"/>
  <c r="AO95" i="74"/>
  <c r="AN95" i="74"/>
  <c r="AM95" i="74"/>
  <c r="AL95" i="74"/>
  <c r="AK95" i="74"/>
  <c r="AJ95" i="74"/>
  <c r="AI95" i="74"/>
  <c r="AH95" i="74"/>
  <c r="AG95" i="74"/>
  <c r="AF95" i="74"/>
  <c r="AE95" i="74"/>
  <c r="AD95" i="74"/>
  <c r="AC95" i="74"/>
  <c r="AB95" i="74"/>
  <c r="AA95" i="74"/>
  <c r="Z95" i="74"/>
  <c r="Y95" i="74"/>
  <c r="X95" i="74"/>
  <c r="W95" i="74"/>
  <c r="V95" i="74"/>
  <c r="U95" i="74"/>
  <c r="T95" i="74"/>
  <c r="S95" i="74"/>
  <c r="R95" i="74"/>
  <c r="Q95" i="74"/>
  <c r="P95" i="74"/>
  <c r="O95" i="74"/>
  <c r="N95" i="74"/>
  <c r="M95" i="74"/>
  <c r="L95" i="74"/>
  <c r="K95" i="74"/>
  <c r="J95" i="74"/>
  <c r="I95" i="74"/>
  <c r="H95" i="74"/>
  <c r="G95" i="74"/>
  <c r="F95" i="74"/>
  <c r="E95" i="74"/>
  <c r="D95" i="74"/>
  <c r="C95" i="74"/>
  <c r="B95" i="74"/>
  <c r="A95" i="74"/>
  <c r="CA94" i="74"/>
  <c r="BZ94" i="74"/>
  <c r="BY94" i="74"/>
  <c r="BX94" i="74"/>
  <c r="BW94" i="74"/>
  <c r="BV94" i="74"/>
  <c r="BU94" i="74"/>
  <c r="BT94" i="74"/>
  <c r="BS94" i="74"/>
  <c r="BR94" i="74"/>
  <c r="BQ94" i="74"/>
  <c r="BP94" i="74"/>
  <c r="BO94" i="74"/>
  <c r="BN94" i="74"/>
  <c r="BM94" i="74"/>
  <c r="BL94" i="74"/>
  <c r="BK94" i="74"/>
  <c r="BJ94" i="74"/>
  <c r="BI94" i="74"/>
  <c r="BH94" i="74"/>
  <c r="BG94" i="74"/>
  <c r="BF94" i="74"/>
  <c r="BE94" i="74"/>
  <c r="BD94" i="74"/>
  <c r="BC94" i="74"/>
  <c r="BB94" i="74"/>
  <c r="BA94" i="74"/>
  <c r="AZ94" i="74"/>
  <c r="AY94" i="74"/>
  <c r="AX94" i="74"/>
  <c r="AW94" i="74"/>
  <c r="AV94" i="74"/>
  <c r="AU94" i="74"/>
  <c r="AT94" i="74"/>
  <c r="AS94" i="74"/>
  <c r="AR94" i="74"/>
  <c r="AQ94" i="74"/>
  <c r="AP94" i="74"/>
  <c r="AO94" i="74"/>
  <c r="AN94" i="74"/>
  <c r="AM94" i="74"/>
  <c r="AL94" i="74"/>
  <c r="AK94" i="74"/>
  <c r="AJ94" i="74"/>
  <c r="AI94" i="74"/>
  <c r="AH94" i="74"/>
  <c r="AG94" i="74"/>
  <c r="AF94" i="74"/>
  <c r="AE94" i="74"/>
  <c r="AD94" i="74"/>
  <c r="AC94" i="74"/>
  <c r="AB94" i="74"/>
  <c r="AA94" i="74"/>
  <c r="Z94" i="74"/>
  <c r="Y94" i="74"/>
  <c r="X94" i="74"/>
  <c r="W94" i="74"/>
  <c r="V94" i="74"/>
  <c r="U94" i="74"/>
  <c r="T94" i="74"/>
  <c r="S94" i="74"/>
  <c r="R94" i="74"/>
  <c r="Q94" i="74"/>
  <c r="P94" i="74"/>
  <c r="O94" i="74"/>
  <c r="N94" i="74"/>
  <c r="M94" i="74"/>
  <c r="L94" i="74"/>
  <c r="K94" i="74"/>
  <c r="J94" i="74"/>
  <c r="I94" i="74"/>
  <c r="H94" i="74"/>
  <c r="G94" i="74"/>
  <c r="F94" i="74"/>
  <c r="E94" i="74"/>
  <c r="D94" i="74"/>
  <c r="C94" i="74"/>
  <c r="B94" i="74"/>
  <c r="A94" i="74"/>
  <c r="CA93" i="74"/>
  <c r="BZ93" i="74"/>
  <c r="BY93" i="74"/>
  <c r="BX93" i="74"/>
  <c r="BW93" i="74"/>
  <c r="BV93" i="74"/>
  <c r="BU93" i="74"/>
  <c r="BT93" i="74"/>
  <c r="BS93" i="74"/>
  <c r="BR93" i="74"/>
  <c r="BQ93" i="74"/>
  <c r="BP93" i="74"/>
  <c r="BO93" i="74"/>
  <c r="BN93" i="74"/>
  <c r="BM93" i="74"/>
  <c r="BL93" i="74"/>
  <c r="BK93" i="74"/>
  <c r="BJ93" i="74"/>
  <c r="BI93" i="74"/>
  <c r="BH93" i="74"/>
  <c r="BG93" i="74"/>
  <c r="BF93" i="74"/>
  <c r="BE93" i="74"/>
  <c r="BD93" i="74"/>
  <c r="BC93" i="74"/>
  <c r="BB93" i="74"/>
  <c r="BA93" i="74"/>
  <c r="AZ93" i="74"/>
  <c r="AY93" i="74"/>
  <c r="AX93" i="74"/>
  <c r="AW93" i="74"/>
  <c r="AV93" i="74"/>
  <c r="AU93" i="74"/>
  <c r="AT93" i="74"/>
  <c r="AS93" i="74"/>
  <c r="AR93" i="74"/>
  <c r="AQ93" i="74"/>
  <c r="AP93" i="74"/>
  <c r="AO93" i="74"/>
  <c r="AN93" i="74"/>
  <c r="AM93" i="74"/>
  <c r="AL93" i="74"/>
  <c r="AK93" i="74"/>
  <c r="AJ93" i="74"/>
  <c r="AI93" i="74"/>
  <c r="AH93" i="74"/>
  <c r="AG93" i="74"/>
  <c r="AF93" i="74"/>
  <c r="AE93" i="74"/>
  <c r="AD93" i="74"/>
  <c r="AC93" i="74"/>
  <c r="AB93" i="74"/>
  <c r="AA93" i="74"/>
  <c r="Z93" i="74"/>
  <c r="Y93" i="74"/>
  <c r="X93" i="74"/>
  <c r="W93" i="74"/>
  <c r="V93" i="74"/>
  <c r="U93" i="74"/>
  <c r="T93" i="74"/>
  <c r="S93" i="74"/>
  <c r="R93" i="74"/>
  <c r="Q93" i="74"/>
  <c r="P93" i="74"/>
  <c r="O93" i="74"/>
  <c r="N93" i="74"/>
  <c r="M93" i="74"/>
  <c r="L93" i="74"/>
  <c r="K93" i="74"/>
  <c r="J93" i="74"/>
  <c r="I93" i="74"/>
  <c r="H93" i="74"/>
  <c r="G93" i="74"/>
  <c r="F93" i="74"/>
  <c r="E93" i="74"/>
  <c r="D93" i="74"/>
  <c r="C93" i="74"/>
  <c r="B93" i="74"/>
  <c r="A93" i="74"/>
  <c r="CA92" i="74"/>
  <c r="BZ92" i="74"/>
  <c r="BY92" i="74"/>
  <c r="BX92" i="74"/>
  <c r="BW92" i="74"/>
  <c r="BV92" i="74"/>
  <c r="BU92" i="74"/>
  <c r="BT92" i="74"/>
  <c r="BS92" i="74"/>
  <c r="BR92" i="74"/>
  <c r="BQ92" i="74"/>
  <c r="BP92" i="74"/>
  <c r="BO92" i="74"/>
  <c r="BN92" i="74"/>
  <c r="BM92" i="74"/>
  <c r="BL92" i="74"/>
  <c r="BK92" i="74"/>
  <c r="BJ92" i="74"/>
  <c r="BI92" i="74"/>
  <c r="BH92" i="74"/>
  <c r="BG92" i="74"/>
  <c r="BF92" i="74"/>
  <c r="BE92" i="74"/>
  <c r="BD92" i="74"/>
  <c r="BC92" i="74"/>
  <c r="BB92" i="74"/>
  <c r="BA92" i="74"/>
  <c r="AZ92" i="74"/>
  <c r="AY92" i="74"/>
  <c r="AX92" i="74"/>
  <c r="AW92" i="74"/>
  <c r="AV92" i="74"/>
  <c r="AU92" i="74"/>
  <c r="AT92" i="74"/>
  <c r="AS92" i="74"/>
  <c r="AR92" i="74"/>
  <c r="AQ92" i="74"/>
  <c r="AP92" i="74"/>
  <c r="AO92" i="74"/>
  <c r="AN92" i="74"/>
  <c r="AM92" i="74"/>
  <c r="AL92" i="74"/>
  <c r="AK92" i="74"/>
  <c r="AJ92" i="74"/>
  <c r="AI92" i="74"/>
  <c r="AH92" i="74"/>
  <c r="AG92" i="74"/>
  <c r="AF92" i="74"/>
  <c r="AE92" i="74"/>
  <c r="AD92" i="74"/>
  <c r="AC92" i="74"/>
  <c r="AB92" i="74"/>
  <c r="AA92" i="74"/>
  <c r="Z92" i="74"/>
  <c r="Y92" i="74"/>
  <c r="X92" i="74"/>
  <c r="W92" i="74"/>
  <c r="V92" i="74"/>
  <c r="U92" i="74"/>
  <c r="T92" i="74"/>
  <c r="S92" i="74"/>
  <c r="R92" i="74"/>
  <c r="Q92" i="74"/>
  <c r="P92" i="74"/>
  <c r="O92" i="74"/>
  <c r="N92" i="74"/>
  <c r="M92" i="74"/>
  <c r="L92" i="74"/>
  <c r="K92" i="74"/>
  <c r="J92" i="74"/>
  <c r="I92" i="74"/>
  <c r="H92" i="74"/>
  <c r="G92" i="74"/>
  <c r="F92" i="74"/>
  <c r="E92" i="74"/>
  <c r="D92" i="74"/>
  <c r="C92" i="74"/>
  <c r="B92" i="74"/>
  <c r="A92" i="74"/>
  <c r="CA91" i="74"/>
  <c r="BZ91" i="74"/>
  <c r="BY91" i="74"/>
  <c r="BX91" i="74"/>
  <c r="BW91" i="74"/>
  <c r="BV91" i="74"/>
  <c r="BU91" i="74"/>
  <c r="BT91" i="74"/>
  <c r="BS91" i="74"/>
  <c r="BR91" i="74"/>
  <c r="BQ91" i="74"/>
  <c r="BP91" i="74"/>
  <c r="BO91" i="74"/>
  <c r="BN91" i="74"/>
  <c r="BM91" i="74"/>
  <c r="BL91" i="74"/>
  <c r="BK91" i="74"/>
  <c r="BJ91" i="74"/>
  <c r="BI91" i="74"/>
  <c r="BH91" i="74"/>
  <c r="BG91" i="74"/>
  <c r="BF91" i="74"/>
  <c r="BE91" i="74"/>
  <c r="BD91" i="74"/>
  <c r="BC91" i="74"/>
  <c r="BB91" i="74"/>
  <c r="BA91" i="74"/>
  <c r="AZ91" i="74"/>
  <c r="AY91" i="74"/>
  <c r="AX91" i="74"/>
  <c r="AW91" i="74"/>
  <c r="AV91" i="74"/>
  <c r="AU91" i="74"/>
  <c r="AT91" i="74"/>
  <c r="AS91" i="74"/>
  <c r="AR91" i="74"/>
  <c r="AQ91" i="74"/>
  <c r="AP91" i="74"/>
  <c r="AO91" i="74"/>
  <c r="AN91" i="74"/>
  <c r="AM91" i="74"/>
  <c r="AL91" i="74"/>
  <c r="AK91" i="74"/>
  <c r="AJ91" i="74"/>
  <c r="AI91" i="74"/>
  <c r="AH91" i="74"/>
  <c r="AG91" i="74"/>
  <c r="AF91" i="74"/>
  <c r="AE91" i="74"/>
  <c r="AD91" i="74"/>
  <c r="AC91" i="74"/>
  <c r="AB91" i="74"/>
  <c r="AA91" i="74"/>
  <c r="Z91" i="74"/>
  <c r="Y91" i="74"/>
  <c r="X91" i="74"/>
  <c r="W91" i="74"/>
  <c r="V91" i="74"/>
  <c r="U91" i="74"/>
  <c r="T91" i="74"/>
  <c r="S91" i="74"/>
  <c r="R91" i="74"/>
  <c r="Q91" i="74"/>
  <c r="P91" i="74"/>
  <c r="O91" i="74"/>
  <c r="N91" i="74"/>
  <c r="M91" i="74"/>
  <c r="L91" i="74"/>
  <c r="K91" i="74"/>
  <c r="J91" i="74"/>
  <c r="I91" i="74"/>
  <c r="H91" i="74"/>
  <c r="G91" i="74"/>
  <c r="F91" i="74"/>
  <c r="E91" i="74"/>
  <c r="D91" i="74"/>
  <c r="C91" i="74"/>
  <c r="B91" i="74"/>
  <c r="A91" i="74"/>
  <c r="CA90" i="74"/>
  <c r="BZ90" i="74"/>
  <c r="BY90" i="74"/>
  <c r="BX90" i="74"/>
  <c r="BW90" i="74"/>
  <c r="BV90" i="74"/>
  <c r="BU90" i="74"/>
  <c r="BT90" i="74"/>
  <c r="BS90" i="74"/>
  <c r="BR90" i="74"/>
  <c r="BQ90" i="74"/>
  <c r="BP90" i="74"/>
  <c r="BO90" i="74"/>
  <c r="BN90" i="74"/>
  <c r="BM90" i="74"/>
  <c r="BL90" i="74"/>
  <c r="BK90" i="74"/>
  <c r="BJ90" i="74"/>
  <c r="BI90" i="74"/>
  <c r="BH90" i="74"/>
  <c r="BG90" i="74"/>
  <c r="BF90" i="74"/>
  <c r="BE90" i="74"/>
  <c r="BD90" i="74"/>
  <c r="BC90" i="74"/>
  <c r="BB90" i="74"/>
  <c r="BA90" i="74"/>
  <c r="AZ90" i="74"/>
  <c r="AY90" i="74"/>
  <c r="AX90" i="74"/>
  <c r="AW90" i="74"/>
  <c r="AV90" i="74"/>
  <c r="AU90" i="74"/>
  <c r="AT90" i="74"/>
  <c r="AS90" i="74"/>
  <c r="AR90" i="74"/>
  <c r="AQ90" i="74"/>
  <c r="AP90" i="74"/>
  <c r="AO90" i="74"/>
  <c r="AN90" i="74"/>
  <c r="AM90" i="74"/>
  <c r="AL90" i="74"/>
  <c r="AK90" i="74"/>
  <c r="AJ90" i="74"/>
  <c r="AI90" i="74"/>
  <c r="AH90" i="74"/>
  <c r="AG90" i="74"/>
  <c r="AF90" i="74"/>
  <c r="AE90" i="74"/>
  <c r="AD90" i="74"/>
  <c r="AC90" i="74"/>
  <c r="AB90" i="74"/>
  <c r="AA90" i="74"/>
  <c r="Z90" i="74"/>
  <c r="Y90" i="74"/>
  <c r="X90" i="74"/>
  <c r="W90" i="74"/>
  <c r="V90" i="74"/>
  <c r="U90" i="74"/>
  <c r="T90" i="74"/>
  <c r="S90" i="74"/>
  <c r="R90" i="74"/>
  <c r="Q90" i="74"/>
  <c r="P90" i="74"/>
  <c r="O90" i="74"/>
  <c r="N90" i="74"/>
  <c r="M90" i="74"/>
  <c r="L90" i="74"/>
  <c r="K90" i="74"/>
  <c r="J90" i="74"/>
  <c r="I90" i="74"/>
  <c r="H90" i="74"/>
  <c r="G90" i="74"/>
  <c r="F90" i="74"/>
  <c r="E90" i="74"/>
  <c r="D90" i="74"/>
  <c r="C90" i="74"/>
  <c r="B90" i="74"/>
  <c r="A90" i="74"/>
  <c r="CA89" i="74"/>
  <c r="BZ89" i="74"/>
  <c r="BY89" i="74"/>
  <c r="BX89" i="74"/>
  <c r="BW89" i="74"/>
  <c r="BV89" i="74"/>
  <c r="BU89" i="74"/>
  <c r="BT89" i="74"/>
  <c r="BS89" i="74"/>
  <c r="BR89" i="74"/>
  <c r="BQ89" i="74"/>
  <c r="BP89" i="74"/>
  <c r="BO89" i="74"/>
  <c r="BN89" i="74"/>
  <c r="BM89" i="74"/>
  <c r="BL89" i="74"/>
  <c r="BK89" i="74"/>
  <c r="BJ89" i="74"/>
  <c r="BI89" i="74"/>
  <c r="BH89" i="74"/>
  <c r="BG89" i="74"/>
  <c r="BF89" i="74"/>
  <c r="BE89" i="74"/>
  <c r="BD89" i="74"/>
  <c r="BC89" i="74"/>
  <c r="BB89" i="74"/>
  <c r="BA89" i="74"/>
  <c r="AZ89" i="74"/>
  <c r="AY89" i="74"/>
  <c r="AX89" i="74"/>
  <c r="AW89" i="74"/>
  <c r="AV89" i="74"/>
  <c r="AU89" i="74"/>
  <c r="AT89" i="74"/>
  <c r="AS89" i="74"/>
  <c r="AR89" i="74"/>
  <c r="AQ89" i="74"/>
  <c r="AP89" i="74"/>
  <c r="AO89" i="74"/>
  <c r="AN89" i="74"/>
  <c r="AM89" i="74"/>
  <c r="AL89" i="74"/>
  <c r="AK89" i="74"/>
  <c r="AJ89" i="74"/>
  <c r="AI89" i="74"/>
  <c r="AH89" i="74"/>
  <c r="AG89" i="74"/>
  <c r="AF89" i="74"/>
  <c r="AE89" i="74"/>
  <c r="AD89" i="74"/>
  <c r="AC89" i="74"/>
  <c r="AB89" i="74"/>
  <c r="AA89" i="74"/>
  <c r="Z89" i="74"/>
  <c r="Y89" i="74"/>
  <c r="X89" i="74"/>
  <c r="W89" i="74"/>
  <c r="V89" i="74"/>
  <c r="U89" i="74"/>
  <c r="T89" i="74"/>
  <c r="S89" i="74"/>
  <c r="R89" i="74"/>
  <c r="Q89" i="74"/>
  <c r="P89" i="74"/>
  <c r="O89" i="74"/>
  <c r="N89" i="74"/>
  <c r="M89" i="74"/>
  <c r="L89" i="74"/>
  <c r="K89" i="74"/>
  <c r="J89" i="74"/>
  <c r="I89" i="74"/>
  <c r="H89" i="74"/>
  <c r="G89" i="74"/>
  <c r="F89" i="74"/>
  <c r="E89" i="74"/>
  <c r="D89" i="74"/>
  <c r="C89" i="74"/>
  <c r="B89" i="74"/>
  <c r="A89" i="74"/>
  <c r="CA88" i="74"/>
  <c r="BZ88" i="74"/>
  <c r="BY88" i="74"/>
  <c r="BX88" i="74"/>
  <c r="BW88" i="74"/>
  <c r="BV88" i="74"/>
  <c r="BU88" i="74"/>
  <c r="BT88" i="74"/>
  <c r="BS88" i="74"/>
  <c r="BR88" i="74"/>
  <c r="BQ88" i="74"/>
  <c r="BP88" i="74"/>
  <c r="BO88" i="74"/>
  <c r="BN88" i="74"/>
  <c r="BM88" i="74"/>
  <c r="BL88" i="74"/>
  <c r="BK88" i="74"/>
  <c r="BJ88" i="74"/>
  <c r="BI88" i="74"/>
  <c r="BH88" i="74"/>
  <c r="BG88" i="74"/>
  <c r="BF88" i="74"/>
  <c r="BE88" i="74"/>
  <c r="BD88" i="74"/>
  <c r="BC88" i="74"/>
  <c r="BB88" i="74"/>
  <c r="BA88" i="74"/>
  <c r="AZ88" i="74"/>
  <c r="AY88" i="74"/>
  <c r="AX88" i="74"/>
  <c r="AW88" i="74"/>
  <c r="AV88" i="74"/>
  <c r="AU88" i="74"/>
  <c r="AT88" i="74"/>
  <c r="AS88" i="74"/>
  <c r="AR88" i="74"/>
  <c r="AQ88" i="74"/>
  <c r="AP88" i="74"/>
  <c r="AO88" i="74"/>
  <c r="AN88" i="74"/>
  <c r="AM88" i="74"/>
  <c r="AL88" i="74"/>
  <c r="AK88" i="74"/>
  <c r="AJ88" i="74"/>
  <c r="AI88" i="74"/>
  <c r="AH88" i="74"/>
  <c r="AG88" i="74"/>
  <c r="AF88" i="74"/>
  <c r="AE88" i="74"/>
  <c r="AD88" i="74"/>
  <c r="AC88" i="74"/>
  <c r="AB88" i="74"/>
  <c r="AA88" i="74"/>
  <c r="Z88" i="74"/>
  <c r="Y88" i="74"/>
  <c r="X88" i="74"/>
  <c r="W88" i="74"/>
  <c r="V88" i="74"/>
  <c r="U88" i="74"/>
  <c r="T88" i="74"/>
  <c r="S88" i="74"/>
  <c r="R88" i="74"/>
  <c r="Q88" i="74"/>
  <c r="P88" i="74"/>
  <c r="O88" i="74"/>
  <c r="N88" i="74"/>
  <c r="M88" i="74"/>
  <c r="L88" i="74"/>
  <c r="K88" i="74"/>
  <c r="J88" i="74"/>
  <c r="I88" i="74"/>
  <c r="H88" i="74"/>
  <c r="G88" i="74"/>
  <c r="F88" i="74"/>
  <c r="E88" i="74"/>
  <c r="D88" i="74"/>
  <c r="C88" i="74"/>
  <c r="B88" i="74"/>
  <c r="A88" i="74"/>
  <c r="CA87" i="74"/>
  <c r="BZ87" i="74"/>
  <c r="BY87" i="74"/>
  <c r="BX87" i="74"/>
  <c r="BW87" i="74"/>
  <c r="BV87" i="74"/>
  <c r="BU87" i="74"/>
  <c r="BT87" i="74"/>
  <c r="BS87" i="74"/>
  <c r="BR87" i="74"/>
  <c r="BQ87" i="74"/>
  <c r="BP87" i="74"/>
  <c r="BO87" i="74"/>
  <c r="BN87" i="74"/>
  <c r="BM87" i="74"/>
  <c r="BL87" i="74"/>
  <c r="BK87" i="74"/>
  <c r="BJ87" i="74"/>
  <c r="BI87" i="74"/>
  <c r="BH87" i="74"/>
  <c r="BG87" i="74"/>
  <c r="BF87" i="74"/>
  <c r="BE87" i="74"/>
  <c r="BD87" i="74"/>
  <c r="BC87" i="74"/>
  <c r="BB87" i="74"/>
  <c r="BA87" i="74"/>
  <c r="AZ87" i="74"/>
  <c r="AY87" i="74"/>
  <c r="AX87" i="74"/>
  <c r="AW87" i="74"/>
  <c r="AV87" i="74"/>
  <c r="AU87" i="74"/>
  <c r="AT87" i="74"/>
  <c r="AS87" i="74"/>
  <c r="AR87" i="74"/>
  <c r="AQ87" i="74"/>
  <c r="AP87" i="74"/>
  <c r="AO87" i="74"/>
  <c r="AN87" i="74"/>
  <c r="AM87" i="74"/>
  <c r="AL87" i="74"/>
  <c r="AK87" i="74"/>
  <c r="AJ87" i="74"/>
  <c r="AI87" i="74"/>
  <c r="AH87" i="74"/>
  <c r="AG87" i="74"/>
  <c r="AF87" i="74"/>
  <c r="AE87" i="74"/>
  <c r="AD87" i="74"/>
  <c r="AC87" i="74"/>
  <c r="AB87" i="74"/>
  <c r="AA87" i="74"/>
  <c r="Z87" i="74"/>
  <c r="Y87" i="74"/>
  <c r="X87" i="74"/>
  <c r="W87" i="74"/>
  <c r="V87" i="74"/>
  <c r="U87" i="74"/>
  <c r="T87" i="74"/>
  <c r="S87" i="74"/>
  <c r="R87" i="74"/>
  <c r="Q87" i="74"/>
  <c r="P87" i="74"/>
  <c r="O87" i="74"/>
  <c r="N87" i="74"/>
  <c r="M87" i="74"/>
  <c r="L87" i="74"/>
  <c r="K87" i="74"/>
  <c r="J87" i="74"/>
  <c r="I87" i="74"/>
  <c r="H87" i="74"/>
  <c r="G87" i="74"/>
  <c r="F87" i="74"/>
  <c r="E87" i="74"/>
  <c r="D87" i="74"/>
  <c r="C87" i="74"/>
  <c r="B87" i="74"/>
  <c r="A87" i="74"/>
  <c r="CA86" i="74"/>
  <c r="BZ86" i="74"/>
  <c r="BY86" i="74"/>
  <c r="BX86" i="74"/>
  <c r="BW86" i="74"/>
  <c r="BV86" i="74"/>
  <c r="BU86" i="74"/>
  <c r="BT86" i="74"/>
  <c r="BS86" i="74"/>
  <c r="BR86" i="74"/>
  <c r="BQ86" i="74"/>
  <c r="BP86" i="74"/>
  <c r="BO86" i="74"/>
  <c r="BN86" i="74"/>
  <c r="BM86" i="74"/>
  <c r="BL86" i="74"/>
  <c r="BK86" i="74"/>
  <c r="BJ86" i="74"/>
  <c r="BI86" i="74"/>
  <c r="BH86" i="74"/>
  <c r="BG86" i="74"/>
  <c r="BF86" i="74"/>
  <c r="BE86" i="74"/>
  <c r="BD86" i="74"/>
  <c r="BC86" i="74"/>
  <c r="BB86" i="74"/>
  <c r="BA86" i="74"/>
  <c r="AZ86" i="74"/>
  <c r="AY86" i="74"/>
  <c r="AX86" i="74"/>
  <c r="AW86" i="74"/>
  <c r="AV86" i="74"/>
  <c r="AU86" i="74"/>
  <c r="AT86" i="74"/>
  <c r="AS86" i="74"/>
  <c r="AR86" i="74"/>
  <c r="AQ86" i="74"/>
  <c r="AP86" i="74"/>
  <c r="AO86" i="74"/>
  <c r="AN86" i="74"/>
  <c r="AM86" i="74"/>
  <c r="AL86" i="74"/>
  <c r="AK86" i="74"/>
  <c r="AJ86" i="74"/>
  <c r="AI86" i="74"/>
  <c r="AH86" i="74"/>
  <c r="AG86" i="74"/>
  <c r="AF86" i="74"/>
  <c r="AE86" i="74"/>
  <c r="AD86" i="74"/>
  <c r="AC86" i="74"/>
  <c r="AB86" i="74"/>
  <c r="AA86" i="74"/>
  <c r="Z86" i="74"/>
  <c r="Y86" i="74"/>
  <c r="X86" i="74"/>
  <c r="W86" i="74"/>
  <c r="V86" i="74"/>
  <c r="U86" i="74"/>
  <c r="T86" i="74"/>
  <c r="S86" i="74"/>
  <c r="R86" i="74"/>
  <c r="Q86" i="74"/>
  <c r="P86" i="74"/>
  <c r="O86" i="74"/>
  <c r="N86" i="74"/>
  <c r="M86" i="74"/>
  <c r="L86" i="74"/>
  <c r="K86" i="74"/>
  <c r="J86" i="74"/>
  <c r="I86" i="74"/>
  <c r="H86" i="74"/>
  <c r="G86" i="74"/>
  <c r="F86" i="74"/>
  <c r="E86" i="74"/>
  <c r="D86" i="74"/>
  <c r="C86" i="74"/>
  <c r="B86" i="74"/>
  <c r="A86" i="74"/>
  <c r="CA85" i="74"/>
  <c r="BZ85" i="74"/>
  <c r="BY85" i="74"/>
  <c r="BX85" i="74"/>
  <c r="BW85" i="74"/>
  <c r="BV85" i="74"/>
  <c r="BU85" i="74"/>
  <c r="BT85" i="74"/>
  <c r="BS85" i="74"/>
  <c r="BR85" i="74"/>
  <c r="BQ85" i="74"/>
  <c r="BP85" i="74"/>
  <c r="BO85" i="74"/>
  <c r="BN85" i="74"/>
  <c r="BM85" i="74"/>
  <c r="BL85" i="74"/>
  <c r="BK85" i="74"/>
  <c r="BJ85" i="74"/>
  <c r="BI85" i="74"/>
  <c r="BH85" i="74"/>
  <c r="BG85" i="74"/>
  <c r="BF85" i="74"/>
  <c r="BE85" i="74"/>
  <c r="BD85" i="74"/>
  <c r="BC85" i="74"/>
  <c r="BB85" i="74"/>
  <c r="BA85" i="74"/>
  <c r="AZ85" i="74"/>
  <c r="AY85" i="74"/>
  <c r="AX85" i="74"/>
  <c r="AW85" i="74"/>
  <c r="AV85" i="74"/>
  <c r="AU85" i="74"/>
  <c r="AT85" i="74"/>
  <c r="AS85" i="74"/>
  <c r="AR85" i="74"/>
  <c r="AQ85" i="74"/>
  <c r="AP85" i="74"/>
  <c r="AO85" i="74"/>
  <c r="AN85" i="74"/>
  <c r="AM85" i="74"/>
  <c r="AL85" i="74"/>
  <c r="AK85" i="74"/>
  <c r="AJ85" i="74"/>
  <c r="AI85" i="74"/>
  <c r="AH85" i="74"/>
  <c r="AG85" i="74"/>
  <c r="AF85" i="74"/>
  <c r="AE85" i="74"/>
  <c r="AD85" i="74"/>
  <c r="AC85" i="74"/>
  <c r="AB85" i="74"/>
  <c r="AA85" i="74"/>
  <c r="Z85" i="74"/>
  <c r="Y85" i="74"/>
  <c r="X85" i="74"/>
  <c r="W85" i="74"/>
  <c r="V85" i="74"/>
  <c r="U85" i="74"/>
  <c r="T85" i="74"/>
  <c r="S85" i="74"/>
  <c r="R85" i="74"/>
  <c r="Q85" i="74"/>
  <c r="P85" i="74"/>
  <c r="O85" i="74"/>
  <c r="N85" i="74"/>
  <c r="M85" i="74"/>
  <c r="L85" i="74"/>
  <c r="K85" i="74"/>
  <c r="J85" i="74"/>
  <c r="I85" i="74"/>
  <c r="H85" i="74"/>
  <c r="G85" i="74"/>
  <c r="F85" i="74"/>
  <c r="E85" i="74"/>
  <c r="D85" i="74"/>
  <c r="C85" i="74"/>
  <c r="B85" i="74"/>
  <c r="A85" i="74"/>
  <c r="CA84" i="74"/>
  <c r="BZ84" i="74"/>
  <c r="BY84" i="74"/>
  <c r="BX84" i="74"/>
  <c r="BW84" i="74"/>
  <c r="BV84" i="74"/>
  <c r="BU84" i="74"/>
  <c r="BT84" i="74"/>
  <c r="BS84" i="74"/>
  <c r="BR84" i="74"/>
  <c r="BQ84" i="74"/>
  <c r="BP84" i="74"/>
  <c r="BO84" i="74"/>
  <c r="BN84" i="74"/>
  <c r="BM84" i="74"/>
  <c r="BL84" i="74"/>
  <c r="BK84" i="74"/>
  <c r="BJ84" i="74"/>
  <c r="BI84" i="74"/>
  <c r="BH84" i="74"/>
  <c r="BG84" i="74"/>
  <c r="BF84" i="74"/>
  <c r="BE84" i="74"/>
  <c r="BD84" i="74"/>
  <c r="BC84" i="74"/>
  <c r="BB84" i="74"/>
  <c r="BA84" i="74"/>
  <c r="AZ84" i="74"/>
  <c r="AY84" i="74"/>
  <c r="AX84" i="74"/>
  <c r="AW84" i="74"/>
  <c r="AV84" i="74"/>
  <c r="AU84" i="74"/>
  <c r="AT84" i="74"/>
  <c r="AS84" i="74"/>
  <c r="AR84" i="74"/>
  <c r="AQ84" i="74"/>
  <c r="AP84" i="74"/>
  <c r="AO84" i="74"/>
  <c r="AN84" i="74"/>
  <c r="AM84" i="74"/>
  <c r="AL84" i="74"/>
  <c r="AK84" i="74"/>
  <c r="AJ84" i="74"/>
  <c r="AI84" i="74"/>
  <c r="AH84" i="74"/>
  <c r="AG84" i="74"/>
  <c r="AF84" i="74"/>
  <c r="AE84" i="74"/>
  <c r="AD84" i="74"/>
  <c r="AC84" i="74"/>
  <c r="AB84" i="74"/>
  <c r="AA84" i="74"/>
  <c r="Z84" i="74"/>
  <c r="Y84" i="74"/>
  <c r="X84" i="74"/>
  <c r="W84" i="74"/>
  <c r="V84" i="74"/>
  <c r="U84" i="74"/>
  <c r="T84" i="74"/>
  <c r="S84" i="74"/>
  <c r="R84" i="74"/>
  <c r="Q84" i="74"/>
  <c r="P84" i="74"/>
  <c r="O84" i="74"/>
  <c r="N84" i="74"/>
  <c r="M84" i="74"/>
  <c r="L84" i="74"/>
  <c r="K84" i="74"/>
  <c r="J84" i="74"/>
  <c r="I84" i="74"/>
  <c r="H84" i="74"/>
  <c r="G84" i="74"/>
  <c r="F84" i="74"/>
  <c r="E84" i="74"/>
  <c r="D84" i="74"/>
  <c r="C84" i="74"/>
  <c r="B84" i="74"/>
  <c r="A84" i="74"/>
  <c r="CA83" i="74"/>
  <c r="BZ83" i="74"/>
  <c r="BY83" i="74"/>
  <c r="BX83" i="74"/>
  <c r="BW83" i="74"/>
  <c r="BV83" i="74"/>
  <c r="BU83" i="74"/>
  <c r="BT83" i="74"/>
  <c r="BS83" i="74"/>
  <c r="BR83" i="74"/>
  <c r="BQ83" i="74"/>
  <c r="BP83" i="74"/>
  <c r="BO83" i="74"/>
  <c r="BN83" i="74"/>
  <c r="BM83" i="74"/>
  <c r="BL83" i="74"/>
  <c r="BK83" i="74"/>
  <c r="BJ83" i="74"/>
  <c r="BI83" i="74"/>
  <c r="BH83" i="74"/>
  <c r="BG83" i="74"/>
  <c r="BF83" i="74"/>
  <c r="BE83" i="74"/>
  <c r="BD83" i="74"/>
  <c r="BC83" i="74"/>
  <c r="BB83" i="74"/>
  <c r="BA83" i="74"/>
  <c r="AZ83" i="74"/>
  <c r="AY83" i="74"/>
  <c r="AX83" i="74"/>
  <c r="AW83" i="74"/>
  <c r="AV83" i="74"/>
  <c r="AU83" i="74"/>
  <c r="AT83" i="74"/>
  <c r="AS83" i="74"/>
  <c r="AR83" i="74"/>
  <c r="AQ83" i="74"/>
  <c r="AP83" i="74"/>
  <c r="AO83" i="74"/>
  <c r="AN83" i="74"/>
  <c r="AM83" i="74"/>
  <c r="AL83" i="74"/>
  <c r="AK83" i="74"/>
  <c r="AJ83" i="74"/>
  <c r="AI83" i="74"/>
  <c r="AH83" i="74"/>
  <c r="AG83" i="74"/>
  <c r="AF83" i="74"/>
  <c r="AE83" i="74"/>
  <c r="AD83" i="74"/>
  <c r="AC83" i="74"/>
  <c r="AB83" i="74"/>
  <c r="AA83" i="74"/>
  <c r="Z83" i="74"/>
  <c r="Y83" i="74"/>
  <c r="X83" i="74"/>
  <c r="W83" i="74"/>
  <c r="V83" i="74"/>
  <c r="U83" i="74"/>
  <c r="T83" i="74"/>
  <c r="S83" i="74"/>
  <c r="R83" i="74"/>
  <c r="Q83" i="74"/>
  <c r="P83" i="74"/>
  <c r="O83" i="74"/>
  <c r="N83" i="74"/>
  <c r="M83" i="74"/>
  <c r="L83" i="74"/>
  <c r="K83" i="74"/>
  <c r="J83" i="74"/>
  <c r="I83" i="74"/>
  <c r="H83" i="74"/>
  <c r="G83" i="74"/>
  <c r="F83" i="74"/>
  <c r="E83" i="74"/>
  <c r="D83" i="74"/>
  <c r="C83" i="74"/>
  <c r="B83" i="74"/>
  <c r="A83" i="74"/>
  <c r="CA82" i="74"/>
  <c r="BZ82" i="74"/>
  <c r="BY82" i="74"/>
  <c r="BX82" i="74"/>
  <c r="BW82" i="74"/>
  <c r="BV82" i="74"/>
  <c r="BU82" i="74"/>
  <c r="BT82" i="74"/>
  <c r="BS82" i="74"/>
  <c r="BR82" i="74"/>
  <c r="BQ82" i="74"/>
  <c r="BP82" i="74"/>
  <c r="BO82" i="74"/>
  <c r="BN82" i="74"/>
  <c r="BM82" i="74"/>
  <c r="BL82" i="74"/>
  <c r="BK82" i="74"/>
  <c r="BJ82" i="74"/>
  <c r="BI82" i="74"/>
  <c r="BH82" i="74"/>
  <c r="BG82" i="74"/>
  <c r="BF82" i="74"/>
  <c r="BE82" i="74"/>
  <c r="BD82" i="74"/>
  <c r="BC82" i="74"/>
  <c r="BB82" i="74"/>
  <c r="BA82" i="74"/>
  <c r="AZ82" i="74"/>
  <c r="AY82" i="74"/>
  <c r="AX82" i="74"/>
  <c r="AW82" i="74"/>
  <c r="AV82" i="74"/>
  <c r="AU82" i="74"/>
  <c r="AT82" i="74"/>
  <c r="AS82" i="74"/>
  <c r="AR82" i="74"/>
  <c r="AQ82" i="74"/>
  <c r="AP82" i="74"/>
  <c r="AO82" i="74"/>
  <c r="AN82" i="74"/>
  <c r="AM82" i="74"/>
  <c r="AL82" i="74"/>
  <c r="AK82" i="74"/>
  <c r="AJ82" i="74"/>
  <c r="AI82" i="74"/>
  <c r="AH82" i="74"/>
  <c r="AG82" i="74"/>
  <c r="AF82" i="74"/>
  <c r="AE82" i="74"/>
  <c r="AD82" i="74"/>
  <c r="AC82" i="74"/>
  <c r="AB82" i="74"/>
  <c r="AA82" i="74"/>
  <c r="Z82" i="74"/>
  <c r="Y82" i="74"/>
  <c r="X82" i="74"/>
  <c r="W82" i="74"/>
  <c r="V82" i="74"/>
  <c r="U82" i="74"/>
  <c r="T82" i="74"/>
  <c r="S82" i="74"/>
  <c r="R82" i="74"/>
  <c r="Q82" i="74"/>
  <c r="P82" i="74"/>
  <c r="O82" i="74"/>
  <c r="N82" i="74"/>
  <c r="M82" i="74"/>
  <c r="L82" i="74"/>
  <c r="K82" i="74"/>
  <c r="J82" i="74"/>
  <c r="I82" i="74"/>
  <c r="H82" i="74"/>
  <c r="G82" i="74"/>
  <c r="F82" i="74"/>
  <c r="E82" i="74"/>
  <c r="D82" i="74"/>
  <c r="C82" i="74"/>
  <c r="B82" i="74"/>
  <c r="A82" i="74"/>
  <c r="CA81" i="74"/>
  <c r="BZ81" i="74"/>
  <c r="BY81" i="74"/>
  <c r="BX81" i="74"/>
  <c r="BW81" i="74"/>
  <c r="BV81" i="74"/>
  <c r="BU81" i="74"/>
  <c r="BT81" i="74"/>
  <c r="BS81" i="74"/>
  <c r="BR81" i="74"/>
  <c r="BQ81" i="74"/>
  <c r="BP81" i="74"/>
  <c r="BO81" i="74"/>
  <c r="BN81" i="74"/>
  <c r="BM81" i="74"/>
  <c r="BL81" i="74"/>
  <c r="BK81" i="74"/>
  <c r="BJ81" i="74"/>
  <c r="BI81" i="74"/>
  <c r="BH81" i="74"/>
  <c r="BG81" i="74"/>
  <c r="BF81" i="74"/>
  <c r="BE81" i="74"/>
  <c r="BD81" i="74"/>
  <c r="BC81" i="74"/>
  <c r="BB81" i="74"/>
  <c r="BA81" i="74"/>
  <c r="AZ81" i="74"/>
  <c r="AY81" i="74"/>
  <c r="AX81" i="74"/>
  <c r="AW81" i="74"/>
  <c r="AV81" i="74"/>
  <c r="AU81" i="74"/>
  <c r="AT81" i="74"/>
  <c r="AS81" i="74"/>
  <c r="AR81" i="74"/>
  <c r="AQ81" i="74"/>
  <c r="AP81" i="74"/>
  <c r="AO81" i="74"/>
  <c r="AN81" i="74"/>
  <c r="AM81" i="74"/>
  <c r="AL81" i="74"/>
  <c r="AK81" i="74"/>
  <c r="AJ81" i="74"/>
  <c r="AI81" i="74"/>
  <c r="AH81" i="74"/>
  <c r="AG81" i="74"/>
  <c r="AF81" i="74"/>
  <c r="AE81" i="74"/>
  <c r="AD81" i="74"/>
  <c r="AC81" i="74"/>
  <c r="AB81" i="74"/>
  <c r="AA81" i="74"/>
  <c r="Z81" i="74"/>
  <c r="Y81" i="74"/>
  <c r="X81" i="74"/>
  <c r="W81" i="74"/>
  <c r="V81" i="74"/>
  <c r="U81" i="74"/>
  <c r="T81" i="74"/>
  <c r="S81" i="74"/>
  <c r="R81" i="74"/>
  <c r="Q81" i="74"/>
  <c r="P81" i="74"/>
  <c r="O81" i="74"/>
  <c r="N81" i="74"/>
  <c r="M81" i="74"/>
  <c r="L81" i="74"/>
  <c r="K81" i="74"/>
  <c r="J81" i="74"/>
  <c r="I81" i="74"/>
  <c r="H81" i="74"/>
  <c r="G81" i="74"/>
  <c r="F81" i="74"/>
  <c r="E81" i="74"/>
  <c r="D81" i="74"/>
  <c r="C81" i="74"/>
  <c r="B81" i="74"/>
  <c r="A81" i="74"/>
  <c r="CA80" i="74"/>
  <c r="BZ80" i="74"/>
  <c r="BY80" i="74"/>
  <c r="BX80" i="74"/>
  <c r="BW80" i="74"/>
  <c r="BV80" i="74"/>
  <c r="BU80" i="74"/>
  <c r="BT80" i="74"/>
  <c r="BS80" i="74"/>
  <c r="BR80" i="74"/>
  <c r="BQ80" i="74"/>
  <c r="BP80" i="74"/>
  <c r="BO80" i="74"/>
  <c r="BN80" i="74"/>
  <c r="BM80" i="74"/>
  <c r="BL80" i="74"/>
  <c r="BK80" i="74"/>
  <c r="BJ80" i="74"/>
  <c r="BI80" i="74"/>
  <c r="BH80" i="74"/>
  <c r="BG80" i="74"/>
  <c r="BF80" i="74"/>
  <c r="BE80" i="74"/>
  <c r="BD80" i="74"/>
  <c r="BC80" i="74"/>
  <c r="BB80" i="74"/>
  <c r="BA80" i="74"/>
  <c r="AZ80" i="74"/>
  <c r="AY80" i="74"/>
  <c r="AX80" i="74"/>
  <c r="AW80" i="74"/>
  <c r="AV80" i="74"/>
  <c r="AU80" i="74"/>
  <c r="AT80" i="74"/>
  <c r="AS80" i="74"/>
  <c r="AR80" i="74"/>
  <c r="AQ80" i="74"/>
  <c r="AP80" i="74"/>
  <c r="AO80" i="74"/>
  <c r="AN80" i="74"/>
  <c r="AM80" i="74"/>
  <c r="AL80" i="74"/>
  <c r="AK80" i="74"/>
  <c r="AJ80" i="74"/>
  <c r="AI80" i="74"/>
  <c r="AH80" i="74"/>
  <c r="AG80" i="74"/>
  <c r="AF80" i="74"/>
  <c r="AE80" i="74"/>
  <c r="AD80" i="74"/>
  <c r="AC80" i="74"/>
  <c r="AB80" i="74"/>
  <c r="AA80" i="74"/>
  <c r="Z80" i="74"/>
  <c r="Y80" i="74"/>
  <c r="X80" i="74"/>
  <c r="W80" i="74"/>
  <c r="V80" i="74"/>
  <c r="U80" i="74"/>
  <c r="T80" i="74"/>
  <c r="S80" i="74"/>
  <c r="R80" i="74"/>
  <c r="Q80" i="74"/>
  <c r="P80" i="74"/>
  <c r="O80" i="74"/>
  <c r="N80" i="74"/>
  <c r="M80" i="74"/>
  <c r="L80" i="74"/>
  <c r="K80" i="74"/>
  <c r="J80" i="74"/>
  <c r="I80" i="74"/>
  <c r="H80" i="74"/>
  <c r="G80" i="74"/>
  <c r="F80" i="74"/>
  <c r="E80" i="74"/>
  <c r="D80" i="74"/>
  <c r="C80" i="74"/>
  <c r="B80" i="74"/>
  <c r="A80" i="74"/>
  <c r="CA79" i="74"/>
  <c r="BZ79" i="74"/>
  <c r="BY79" i="74"/>
  <c r="BX79" i="74"/>
  <c r="BW79" i="74"/>
  <c r="BV79" i="74"/>
  <c r="BU79" i="74"/>
  <c r="BT79" i="74"/>
  <c r="BS79" i="74"/>
  <c r="BR79" i="74"/>
  <c r="BQ79" i="74"/>
  <c r="BP79" i="74"/>
  <c r="BO79" i="74"/>
  <c r="BN79" i="74"/>
  <c r="BM79" i="74"/>
  <c r="BL79" i="74"/>
  <c r="BK79" i="74"/>
  <c r="BJ79" i="74"/>
  <c r="BI79" i="74"/>
  <c r="BH79" i="74"/>
  <c r="BG79" i="74"/>
  <c r="BF79" i="74"/>
  <c r="BE79" i="74"/>
  <c r="BD79" i="74"/>
  <c r="BC79" i="74"/>
  <c r="BB79" i="74"/>
  <c r="BA79" i="74"/>
  <c r="AZ79" i="74"/>
  <c r="AY79" i="74"/>
  <c r="AX79" i="74"/>
  <c r="AW79" i="74"/>
  <c r="AV79" i="74"/>
  <c r="AU79" i="74"/>
  <c r="AT79" i="74"/>
  <c r="AS79" i="74"/>
  <c r="AR79" i="74"/>
  <c r="AQ79" i="74"/>
  <c r="AP79" i="74"/>
  <c r="AO79" i="74"/>
  <c r="AN79" i="74"/>
  <c r="AM79" i="74"/>
  <c r="AL79" i="74"/>
  <c r="AK79" i="74"/>
  <c r="AJ79" i="74"/>
  <c r="AI79" i="74"/>
  <c r="AH79" i="74"/>
  <c r="AG79" i="74"/>
  <c r="AF79" i="74"/>
  <c r="AE79" i="74"/>
  <c r="AD79" i="74"/>
  <c r="AC79" i="74"/>
  <c r="AB79" i="74"/>
  <c r="AA79" i="74"/>
  <c r="Z79" i="74"/>
  <c r="Y79" i="74"/>
  <c r="X79" i="74"/>
  <c r="W79" i="74"/>
  <c r="V79" i="74"/>
  <c r="U79" i="74"/>
  <c r="T79" i="74"/>
  <c r="S79" i="74"/>
  <c r="R79" i="74"/>
  <c r="Q79" i="74"/>
  <c r="P79" i="74"/>
  <c r="O79" i="74"/>
  <c r="N79" i="74"/>
  <c r="M79" i="74"/>
  <c r="L79" i="74"/>
  <c r="K79" i="74"/>
  <c r="J79" i="74"/>
  <c r="I79" i="74"/>
  <c r="H79" i="74"/>
  <c r="G79" i="74"/>
  <c r="F79" i="74"/>
  <c r="E79" i="74"/>
  <c r="D79" i="74"/>
  <c r="C79" i="74"/>
  <c r="B79" i="74"/>
  <c r="A79" i="74"/>
  <c r="CA78" i="74"/>
  <c r="BZ78" i="74"/>
  <c r="BY78" i="74"/>
  <c r="BX78" i="74"/>
  <c r="BW78" i="74"/>
  <c r="BV78" i="74"/>
  <c r="BU78" i="74"/>
  <c r="BT78" i="74"/>
  <c r="BS78" i="74"/>
  <c r="BR78" i="74"/>
  <c r="BQ78" i="74"/>
  <c r="BP78" i="74"/>
  <c r="BO78" i="74"/>
  <c r="BN78" i="74"/>
  <c r="BM78" i="74"/>
  <c r="BL78" i="74"/>
  <c r="BK78" i="74"/>
  <c r="BJ78" i="74"/>
  <c r="BI78" i="74"/>
  <c r="BH78" i="74"/>
  <c r="BG78" i="74"/>
  <c r="BF78" i="74"/>
  <c r="BE78" i="74"/>
  <c r="BD78" i="74"/>
  <c r="BC78" i="74"/>
  <c r="BB78" i="74"/>
  <c r="BA78" i="74"/>
  <c r="AZ78" i="74"/>
  <c r="AY78" i="74"/>
  <c r="AX78" i="74"/>
  <c r="AW78" i="74"/>
  <c r="AV78" i="74"/>
  <c r="AU78" i="74"/>
  <c r="AT78" i="74"/>
  <c r="AS78" i="74"/>
  <c r="AR78" i="74"/>
  <c r="AQ78" i="74"/>
  <c r="AP78" i="74"/>
  <c r="AO78" i="74"/>
  <c r="AN78" i="74"/>
  <c r="AM78" i="74"/>
  <c r="AL78" i="74"/>
  <c r="AK78" i="74"/>
  <c r="AJ78" i="74"/>
  <c r="AI78" i="74"/>
  <c r="AH78" i="74"/>
  <c r="AG78" i="74"/>
  <c r="AF78" i="74"/>
  <c r="AE78" i="74"/>
  <c r="AD78" i="74"/>
  <c r="AC78" i="74"/>
  <c r="AB78" i="74"/>
  <c r="AA78" i="74"/>
  <c r="Z78" i="74"/>
  <c r="Y78" i="74"/>
  <c r="X78" i="74"/>
  <c r="W78" i="74"/>
  <c r="V78" i="74"/>
  <c r="U78" i="74"/>
  <c r="T78" i="74"/>
  <c r="S78" i="74"/>
  <c r="R78" i="74"/>
  <c r="Q78" i="74"/>
  <c r="P78" i="74"/>
  <c r="O78" i="74"/>
  <c r="N78" i="74"/>
  <c r="M78" i="74"/>
  <c r="L78" i="74"/>
  <c r="K78" i="74"/>
  <c r="J78" i="74"/>
  <c r="I78" i="74"/>
  <c r="H78" i="74"/>
  <c r="G78" i="74"/>
  <c r="F78" i="74"/>
  <c r="E78" i="74"/>
  <c r="D78" i="74"/>
  <c r="C78" i="74"/>
  <c r="B78" i="74"/>
  <c r="A78" i="74"/>
  <c r="CA77" i="74"/>
  <c r="BZ77" i="74"/>
  <c r="BY77" i="74"/>
  <c r="BX77" i="74"/>
  <c r="BW77" i="74"/>
  <c r="BV77" i="74"/>
  <c r="BU77" i="74"/>
  <c r="BT77" i="74"/>
  <c r="BS77" i="74"/>
  <c r="BR77" i="74"/>
  <c r="BQ77" i="74"/>
  <c r="BP77" i="74"/>
  <c r="BO77" i="74"/>
  <c r="BN77" i="74"/>
  <c r="BM77" i="74"/>
  <c r="BL77" i="74"/>
  <c r="BK77" i="74"/>
  <c r="BJ77" i="74"/>
  <c r="BI77" i="74"/>
  <c r="BH77" i="74"/>
  <c r="BG77" i="74"/>
  <c r="BF77" i="74"/>
  <c r="BE77" i="74"/>
  <c r="BD77" i="74"/>
  <c r="BC77" i="74"/>
  <c r="BB77" i="74"/>
  <c r="BA77" i="74"/>
  <c r="AZ77" i="74"/>
  <c r="AY77" i="74"/>
  <c r="AX77" i="74"/>
  <c r="AW77" i="74"/>
  <c r="AV77" i="74"/>
  <c r="AU77" i="74"/>
  <c r="AT77" i="74"/>
  <c r="AS77" i="74"/>
  <c r="AR77" i="74"/>
  <c r="AQ77" i="74"/>
  <c r="AP77" i="74"/>
  <c r="AO77" i="74"/>
  <c r="AN77" i="74"/>
  <c r="AM77" i="74"/>
  <c r="AL77" i="74"/>
  <c r="AK77" i="74"/>
  <c r="AJ77" i="74"/>
  <c r="AI77" i="74"/>
  <c r="AH77" i="74"/>
  <c r="AG77" i="74"/>
  <c r="AF77" i="74"/>
  <c r="AE77" i="74"/>
  <c r="AD77" i="74"/>
  <c r="AC77" i="74"/>
  <c r="AB77" i="74"/>
  <c r="AA77" i="74"/>
  <c r="Z77" i="74"/>
  <c r="Y77" i="74"/>
  <c r="X77" i="74"/>
  <c r="W77" i="74"/>
  <c r="V77" i="74"/>
  <c r="U77" i="74"/>
  <c r="T77" i="74"/>
  <c r="S77" i="74"/>
  <c r="R77" i="74"/>
  <c r="Q77" i="74"/>
  <c r="P77" i="74"/>
  <c r="O77" i="74"/>
  <c r="N77" i="74"/>
  <c r="M77" i="74"/>
  <c r="L77" i="74"/>
  <c r="K77" i="74"/>
  <c r="J77" i="74"/>
  <c r="I77" i="74"/>
  <c r="H77" i="74"/>
  <c r="G77" i="74"/>
  <c r="F77" i="74"/>
  <c r="E77" i="74"/>
  <c r="D77" i="74"/>
  <c r="C77" i="74"/>
  <c r="B77" i="74"/>
  <c r="A77" i="74"/>
  <c r="CA76" i="74"/>
  <c r="BZ76" i="74"/>
  <c r="BY76" i="74"/>
  <c r="BX76" i="74"/>
  <c r="BW76" i="74"/>
  <c r="BV76" i="74"/>
  <c r="BU76" i="74"/>
  <c r="BT76" i="74"/>
  <c r="BS76" i="74"/>
  <c r="BR76" i="74"/>
  <c r="BQ76" i="74"/>
  <c r="BP76" i="74"/>
  <c r="BO76" i="74"/>
  <c r="BN76" i="74"/>
  <c r="BM76" i="74"/>
  <c r="BL76" i="74"/>
  <c r="BK76" i="74"/>
  <c r="BJ76" i="74"/>
  <c r="BI76" i="74"/>
  <c r="BH76" i="74"/>
  <c r="BG76" i="74"/>
  <c r="BF76" i="74"/>
  <c r="BE76" i="74"/>
  <c r="BD76" i="74"/>
  <c r="BC76" i="74"/>
  <c r="BB76" i="74"/>
  <c r="BA76" i="74"/>
  <c r="AZ76" i="74"/>
  <c r="AY76" i="74"/>
  <c r="AX76" i="74"/>
  <c r="AW76" i="74"/>
  <c r="AV76" i="74"/>
  <c r="AU76" i="74"/>
  <c r="AT76" i="74"/>
  <c r="AS76" i="74"/>
  <c r="AR76" i="74"/>
  <c r="AQ76" i="74"/>
  <c r="AP76" i="74"/>
  <c r="AO76" i="74"/>
  <c r="AN76" i="74"/>
  <c r="AM76" i="74"/>
  <c r="AL76" i="74"/>
  <c r="AK76" i="74"/>
  <c r="AJ76" i="74"/>
  <c r="AI76" i="74"/>
  <c r="AH76" i="74"/>
  <c r="AG76" i="74"/>
  <c r="AF76" i="74"/>
  <c r="AE76" i="74"/>
  <c r="AD76" i="74"/>
  <c r="AC76" i="74"/>
  <c r="AB76" i="74"/>
  <c r="AA76" i="74"/>
  <c r="Z76" i="74"/>
  <c r="Y76" i="74"/>
  <c r="X76" i="74"/>
  <c r="W76" i="74"/>
  <c r="V76" i="74"/>
  <c r="U76" i="74"/>
  <c r="T76" i="74"/>
  <c r="S76" i="74"/>
  <c r="R76" i="74"/>
  <c r="Q76" i="74"/>
  <c r="P76" i="74"/>
  <c r="O76" i="74"/>
  <c r="N76" i="74"/>
  <c r="M76" i="74"/>
  <c r="L76" i="74"/>
  <c r="K76" i="74"/>
  <c r="J76" i="74"/>
  <c r="I76" i="74"/>
  <c r="H76" i="74"/>
  <c r="G76" i="74"/>
  <c r="F76" i="74"/>
  <c r="E76" i="74"/>
  <c r="D76" i="74"/>
  <c r="C76" i="74"/>
  <c r="B76" i="74"/>
  <c r="A76" i="74"/>
  <c r="CA75" i="74"/>
  <c r="BZ75" i="74"/>
  <c r="BY75" i="74"/>
  <c r="BX75" i="74"/>
  <c r="BW75" i="74"/>
  <c r="BV75" i="74"/>
  <c r="BU75" i="74"/>
  <c r="BT75" i="74"/>
  <c r="BS75" i="74"/>
  <c r="BR75" i="74"/>
  <c r="BQ75" i="74"/>
  <c r="BP75" i="74"/>
  <c r="BO75" i="74"/>
  <c r="BN75" i="74"/>
  <c r="BM75" i="74"/>
  <c r="BL75" i="74"/>
  <c r="BK75" i="74"/>
  <c r="BJ75" i="74"/>
  <c r="BI75" i="74"/>
  <c r="BH75" i="74"/>
  <c r="BG75" i="74"/>
  <c r="BF75" i="74"/>
  <c r="BE75" i="74"/>
  <c r="BD75" i="74"/>
  <c r="BC75" i="74"/>
  <c r="BB75" i="74"/>
  <c r="BA75" i="74"/>
  <c r="AZ75" i="74"/>
  <c r="AY75" i="74"/>
  <c r="AX75" i="74"/>
  <c r="AW75" i="74"/>
  <c r="AV75" i="74"/>
  <c r="AU75" i="74"/>
  <c r="AT75" i="74"/>
  <c r="AS75" i="74"/>
  <c r="AR75" i="74"/>
  <c r="AQ75" i="74"/>
  <c r="AP75" i="74"/>
  <c r="AO75" i="74"/>
  <c r="AN75" i="74"/>
  <c r="AM75" i="74"/>
  <c r="AL75" i="74"/>
  <c r="AK75" i="74"/>
  <c r="AJ75" i="74"/>
  <c r="AI75" i="74"/>
  <c r="AH75" i="74"/>
  <c r="AG75" i="74"/>
  <c r="AF75" i="74"/>
  <c r="AE75" i="74"/>
  <c r="AD75" i="74"/>
  <c r="AC75" i="74"/>
  <c r="AB75" i="74"/>
  <c r="AA75" i="74"/>
  <c r="Z75" i="74"/>
  <c r="Y75" i="74"/>
  <c r="X75" i="74"/>
  <c r="W75" i="74"/>
  <c r="V75" i="74"/>
  <c r="U75" i="74"/>
  <c r="T75" i="74"/>
  <c r="S75" i="74"/>
  <c r="R75" i="74"/>
  <c r="Q75" i="74"/>
  <c r="P75" i="74"/>
  <c r="O75" i="74"/>
  <c r="N75" i="74"/>
  <c r="M75" i="74"/>
  <c r="L75" i="74"/>
  <c r="K75" i="74"/>
  <c r="J75" i="74"/>
  <c r="I75" i="74"/>
  <c r="H75" i="74"/>
  <c r="G75" i="74"/>
  <c r="F75" i="74"/>
  <c r="E75" i="74"/>
  <c r="D75" i="74"/>
  <c r="C75" i="74"/>
  <c r="B75" i="74"/>
  <c r="A75" i="74"/>
  <c r="CA74" i="74"/>
  <c r="BZ74" i="74"/>
  <c r="BY74" i="74"/>
  <c r="BX74" i="74"/>
  <c r="BW74" i="74"/>
  <c r="BV74" i="74"/>
  <c r="BU74" i="74"/>
  <c r="BT74" i="74"/>
  <c r="BS74" i="74"/>
  <c r="BR74" i="74"/>
  <c r="BQ74" i="74"/>
  <c r="BP74" i="74"/>
  <c r="BO74" i="74"/>
  <c r="BN74" i="74"/>
  <c r="BM74" i="74"/>
  <c r="BL74" i="74"/>
  <c r="BK74" i="74"/>
  <c r="BJ74" i="74"/>
  <c r="BI74" i="74"/>
  <c r="BH74" i="74"/>
  <c r="BG74" i="74"/>
  <c r="BF74" i="74"/>
  <c r="BE74" i="74"/>
  <c r="BD74" i="74"/>
  <c r="BC74" i="74"/>
  <c r="BB74" i="74"/>
  <c r="BA74" i="74"/>
  <c r="AZ74" i="74"/>
  <c r="AY74" i="74"/>
  <c r="AX74" i="74"/>
  <c r="AW74" i="74"/>
  <c r="AV74" i="74"/>
  <c r="AU74" i="74"/>
  <c r="AT74" i="74"/>
  <c r="AS74" i="74"/>
  <c r="AR74" i="74"/>
  <c r="AQ74" i="74"/>
  <c r="AP74" i="74"/>
  <c r="AO74" i="74"/>
  <c r="AN74" i="74"/>
  <c r="AM74" i="74"/>
  <c r="AL74" i="74"/>
  <c r="AK74" i="74"/>
  <c r="AJ74" i="74"/>
  <c r="AI74" i="74"/>
  <c r="AH74" i="74"/>
  <c r="AG74" i="74"/>
  <c r="AF74" i="74"/>
  <c r="AE74" i="74"/>
  <c r="AD74" i="74"/>
  <c r="AC74" i="74"/>
  <c r="AB74" i="74"/>
  <c r="AA74" i="74"/>
  <c r="Z74" i="74"/>
  <c r="Y74" i="74"/>
  <c r="X74" i="74"/>
  <c r="W74" i="74"/>
  <c r="V74" i="74"/>
  <c r="U74" i="74"/>
  <c r="T74" i="74"/>
  <c r="S74" i="74"/>
  <c r="R74" i="74"/>
  <c r="Q74" i="74"/>
  <c r="P74" i="74"/>
  <c r="O74" i="74"/>
  <c r="N74" i="74"/>
  <c r="M74" i="74"/>
  <c r="L74" i="74"/>
  <c r="K74" i="74"/>
  <c r="J74" i="74"/>
  <c r="I74" i="74"/>
  <c r="H74" i="74"/>
  <c r="G74" i="74"/>
  <c r="F74" i="74"/>
  <c r="E74" i="74"/>
  <c r="D74" i="74"/>
  <c r="C74" i="74"/>
  <c r="B74" i="74"/>
  <c r="A74" i="74"/>
  <c r="CA73" i="74"/>
  <c r="BZ73" i="74"/>
  <c r="BY73" i="74"/>
  <c r="BX73" i="74"/>
  <c r="BW73" i="74"/>
  <c r="BV73" i="74"/>
  <c r="BU73" i="74"/>
  <c r="BT73" i="74"/>
  <c r="BS73" i="74"/>
  <c r="BR73" i="74"/>
  <c r="BQ73" i="74"/>
  <c r="BP73" i="74"/>
  <c r="BO73" i="74"/>
  <c r="BN73" i="74"/>
  <c r="BM73" i="74"/>
  <c r="BL73" i="74"/>
  <c r="BK73" i="74"/>
  <c r="BJ73" i="74"/>
  <c r="BI73" i="74"/>
  <c r="BH73" i="74"/>
  <c r="BG73" i="74"/>
  <c r="BF73" i="74"/>
  <c r="BE73" i="74"/>
  <c r="BD73" i="74"/>
  <c r="BC73" i="74"/>
  <c r="BB73" i="74"/>
  <c r="BA73" i="74"/>
  <c r="AZ73" i="74"/>
  <c r="AY73" i="74"/>
  <c r="AX73" i="74"/>
  <c r="AW73" i="74"/>
  <c r="AV73" i="74"/>
  <c r="AU73" i="74"/>
  <c r="AT73" i="74"/>
  <c r="AS73" i="74"/>
  <c r="AR73" i="74"/>
  <c r="AQ73" i="74"/>
  <c r="AP73" i="74"/>
  <c r="AO73" i="74"/>
  <c r="AN73" i="74"/>
  <c r="AM73" i="74"/>
  <c r="AL73" i="74"/>
  <c r="AK73" i="74"/>
  <c r="AJ73" i="74"/>
  <c r="AI73" i="74"/>
  <c r="AH73" i="74"/>
  <c r="AG73" i="74"/>
  <c r="AF73" i="74"/>
  <c r="AE73" i="74"/>
  <c r="AD73" i="74"/>
  <c r="AC73" i="74"/>
  <c r="AB73" i="74"/>
  <c r="AA73" i="74"/>
  <c r="Z73" i="74"/>
  <c r="Y73" i="74"/>
  <c r="X73" i="74"/>
  <c r="W73" i="74"/>
  <c r="V73" i="74"/>
  <c r="U73" i="74"/>
  <c r="T73" i="74"/>
  <c r="S73" i="74"/>
  <c r="R73" i="74"/>
  <c r="Q73" i="74"/>
  <c r="P73" i="74"/>
  <c r="O73" i="74"/>
  <c r="N73" i="74"/>
  <c r="M73" i="74"/>
  <c r="L73" i="74"/>
  <c r="K73" i="74"/>
  <c r="J73" i="74"/>
  <c r="I73" i="74"/>
  <c r="H73" i="74"/>
  <c r="G73" i="74"/>
  <c r="F73" i="74"/>
  <c r="E73" i="74"/>
  <c r="D73" i="74"/>
  <c r="C73" i="74"/>
  <c r="B73" i="74"/>
  <c r="A73" i="74"/>
  <c r="CA72" i="74"/>
  <c r="BZ72" i="74"/>
  <c r="BY72" i="74"/>
  <c r="BX72" i="74"/>
  <c r="BW72" i="74"/>
  <c r="BV72" i="74"/>
  <c r="BU72" i="74"/>
  <c r="BT72" i="74"/>
  <c r="BS72" i="74"/>
  <c r="BR72" i="74"/>
  <c r="BQ72" i="74"/>
  <c r="BP72" i="74"/>
  <c r="BO72" i="74"/>
  <c r="BN72" i="74"/>
  <c r="BM72" i="74"/>
  <c r="BL72" i="74"/>
  <c r="BK72" i="74"/>
  <c r="BJ72" i="74"/>
  <c r="BI72" i="74"/>
  <c r="BH72" i="74"/>
  <c r="BG72" i="74"/>
  <c r="BF72" i="74"/>
  <c r="BE72" i="74"/>
  <c r="BD72" i="74"/>
  <c r="BC72" i="74"/>
  <c r="BB72" i="74"/>
  <c r="BA72" i="74"/>
  <c r="AZ72" i="74"/>
  <c r="AY72" i="74"/>
  <c r="AX72" i="74"/>
  <c r="AW72" i="74"/>
  <c r="AV72" i="74"/>
  <c r="AU72" i="74"/>
  <c r="AT72" i="74"/>
  <c r="AS72" i="74"/>
  <c r="AR72" i="74"/>
  <c r="AQ72" i="74"/>
  <c r="AP72" i="74"/>
  <c r="AO72" i="74"/>
  <c r="AN72" i="74"/>
  <c r="AM72" i="74"/>
  <c r="AL72" i="74"/>
  <c r="AK72" i="74"/>
  <c r="AJ72" i="74"/>
  <c r="AI72" i="74"/>
  <c r="AH72" i="74"/>
  <c r="AG72" i="74"/>
  <c r="AF72" i="74"/>
  <c r="AE72" i="74"/>
  <c r="AD72" i="74"/>
  <c r="AC72" i="74"/>
  <c r="AB72" i="74"/>
  <c r="AA72" i="74"/>
  <c r="Z72" i="74"/>
  <c r="Y72" i="74"/>
  <c r="X72" i="74"/>
  <c r="W72" i="74"/>
  <c r="V72" i="74"/>
  <c r="U72" i="74"/>
  <c r="T72" i="74"/>
  <c r="S72" i="74"/>
  <c r="R72" i="74"/>
  <c r="Q72" i="74"/>
  <c r="P72" i="74"/>
  <c r="O72" i="74"/>
  <c r="N72" i="74"/>
  <c r="M72" i="74"/>
  <c r="L72" i="74"/>
  <c r="K72" i="74"/>
  <c r="J72" i="74"/>
  <c r="I72" i="74"/>
  <c r="H72" i="74"/>
  <c r="G72" i="74"/>
  <c r="F72" i="74"/>
  <c r="E72" i="74"/>
  <c r="D72" i="74"/>
  <c r="C72" i="74"/>
  <c r="B72" i="74"/>
  <c r="A72" i="74"/>
  <c r="CA71" i="74"/>
  <c r="BZ71" i="74"/>
  <c r="BY71" i="74"/>
  <c r="BX71" i="74"/>
  <c r="BW71" i="74"/>
  <c r="BV71" i="74"/>
  <c r="BU71" i="74"/>
  <c r="BT71" i="74"/>
  <c r="BS71" i="74"/>
  <c r="BR71" i="74"/>
  <c r="BQ71" i="74"/>
  <c r="BP71" i="74"/>
  <c r="BO71" i="74"/>
  <c r="BN71" i="74"/>
  <c r="BM71" i="74"/>
  <c r="BL71" i="74"/>
  <c r="BK71" i="74"/>
  <c r="BJ71" i="74"/>
  <c r="BI71" i="74"/>
  <c r="BH71" i="74"/>
  <c r="BG71" i="74"/>
  <c r="BF71" i="74"/>
  <c r="BE71" i="74"/>
  <c r="BD71" i="74"/>
  <c r="BC71" i="74"/>
  <c r="BB71" i="74"/>
  <c r="BA71" i="74"/>
  <c r="AZ71" i="74"/>
  <c r="AY71" i="74"/>
  <c r="AX71" i="74"/>
  <c r="AW71" i="74"/>
  <c r="AV71" i="74"/>
  <c r="AU71" i="74"/>
  <c r="AT71" i="74"/>
  <c r="AS71" i="74"/>
  <c r="AR71" i="74"/>
  <c r="AQ71" i="74"/>
  <c r="AP71" i="74"/>
  <c r="AO71" i="74"/>
  <c r="AN71" i="74"/>
  <c r="AM71" i="74"/>
  <c r="AL71" i="74"/>
  <c r="AK71" i="74"/>
  <c r="AJ71" i="74"/>
  <c r="AI71" i="74"/>
  <c r="AH71" i="74"/>
  <c r="AG71" i="74"/>
  <c r="AF71" i="74"/>
  <c r="AE71" i="74"/>
  <c r="AD71" i="74"/>
  <c r="AC71" i="74"/>
  <c r="AB71" i="74"/>
  <c r="AA71" i="74"/>
  <c r="Z71" i="74"/>
  <c r="Y71" i="74"/>
  <c r="X71" i="74"/>
  <c r="W71" i="74"/>
  <c r="V71" i="74"/>
  <c r="U71" i="74"/>
  <c r="T71" i="74"/>
  <c r="S71" i="74"/>
  <c r="R71" i="74"/>
  <c r="Q71" i="74"/>
  <c r="P71" i="74"/>
  <c r="O71" i="74"/>
  <c r="N71" i="74"/>
  <c r="M71" i="74"/>
  <c r="L71" i="74"/>
  <c r="K71" i="74"/>
  <c r="J71" i="74"/>
  <c r="I71" i="74"/>
  <c r="H71" i="74"/>
  <c r="G71" i="74"/>
  <c r="F71" i="74"/>
  <c r="E71" i="74"/>
  <c r="D71" i="74"/>
  <c r="C71" i="74"/>
  <c r="B71" i="74"/>
  <c r="A71" i="74"/>
  <c r="CA70" i="74"/>
  <c r="BZ70" i="74"/>
  <c r="BY70" i="74"/>
  <c r="BX70" i="74"/>
  <c r="BW70" i="74"/>
  <c r="BV70" i="74"/>
  <c r="BU70" i="74"/>
  <c r="BT70" i="74"/>
  <c r="BS70" i="74"/>
  <c r="BR70" i="74"/>
  <c r="BQ70" i="74"/>
  <c r="BP70" i="74"/>
  <c r="BO70" i="74"/>
  <c r="BN70" i="74"/>
  <c r="BM70" i="74"/>
  <c r="BL70" i="74"/>
  <c r="BK70" i="74"/>
  <c r="BJ70" i="74"/>
  <c r="BI70" i="74"/>
  <c r="BH70" i="74"/>
  <c r="BG70" i="74"/>
  <c r="BF70" i="74"/>
  <c r="BE70" i="74"/>
  <c r="BD70" i="74"/>
  <c r="BC70" i="74"/>
  <c r="BB70" i="74"/>
  <c r="BA70" i="74"/>
  <c r="AZ70" i="74"/>
  <c r="AY70" i="74"/>
  <c r="AX70" i="74"/>
  <c r="AW70" i="74"/>
  <c r="AV70" i="74"/>
  <c r="AU70" i="74"/>
  <c r="AT70" i="74"/>
  <c r="AS70" i="74"/>
  <c r="AR70" i="74"/>
  <c r="AQ70" i="74"/>
  <c r="AP70" i="74"/>
  <c r="AO70" i="74"/>
  <c r="AN70" i="74"/>
  <c r="AM70" i="74"/>
  <c r="AL70" i="74"/>
  <c r="AK70" i="74"/>
  <c r="AJ70" i="74"/>
  <c r="AI70" i="74"/>
  <c r="AH70" i="74"/>
  <c r="AG70" i="74"/>
  <c r="AF70" i="74"/>
  <c r="AE70" i="74"/>
  <c r="AD70" i="74"/>
  <c r="AC70" i="74"/>
  <c r="AB70" i="74"/>
  <c r="AA70" i="74"/>
  <c r="Z70" i="74"/>
  <c r="Y70" i="74"/>
  <c r="X70" i="74"/>
  <c r="W70" i="74"/>
  <c r="V70" i="74"/>
  <c r="U70" i="74"/>
  <c r="T70" i="74"/>
  <c r="S70" i="74"/>
  <c r="R70" i="74"/>
  <c r="Q70" i="74"/>
  <c r="P70" i="74"/>
  <c r="O70" i="74"/>
  <c r="N70" i="74"/>
  <c r="M70" i="74"/>
  <c r="L70" i="74"/>
  <c r="K70" i="74"/>
  <c r="J70" i="74"/>
  <c r="I70" i="74"/>
  <c r="H70" i="74"/>
  <c r="G70" i="74"/>
  <c r="F70" i="74"/>
  <c r="E70" i="74"/>
  <c r="D70" i="74"/>
  <c r="C70" i="74"/>
  <c r="B70" i="74"/>
  <c r="A70" i="74"/>
  <c r="CA69" i="74"/>
  <c r="BZ69" i="74"/>
  <c r="BY69" i="74"/>
  <c r="BX69" i="74"/>
  <c r="BW69" i="74"/>
  <c r="BV69" i="74"/>
  <c r="BU69" i="74"/>
  <c r="BT69" i="74"/>
  <c r="BS69" i="74"/>
  <c r="BR69" i="74"/>
  <c r="BQ69" i="74"/>
  <c r="BP69" i="74"/>
  <c r="BO69" i="74"/>
  <c r="BN69" i="74"/>
  <c r="BM69" i="74"/>
  <c r="BL69" i="74"/>
  <c r="BK69" i="74"/>
  <c r="BJ69" i="74"/>
  <c r="BI69" i="74"/>
  <c r="BH69" i="74"/>
  <c r="BG69" i="74"/>
  <c r="BF69" i="74"/>
  <c r="BE69" i="74"/>
  <c r="BD69" i="74"/>
  <c r="BC69" i="74"/>
  <c r="BB69" i="74"/>
  <c r="BA69" i="74"/>
  <c r="AZ69" i="74"/>
  <c r="AY69" i="74"/>
  <c r="AX69" i="74"/>
  <c r="AW69" i="74"/>
  <c r="AV69" i="74"/>
  <c r="AU69" i="74"/>
  <c r="AT69" i="74"/>
  <c r="AS69" i="74"/>
  <c r="AR69" i="74"/>
  <c r="AQ69" i="74"/>
  <c r="AP69" i="74"/>
  <c r="AO69" i="74"/>
  <c r="AN69" i="74"/>
  <c r="AM69" i="74"/>
  <c r="AL69" i="74"/>
  <c r="AK69" i="74"/>
  <c r="AJ69" i="74"/>
  <c r="AI69" i="74"/>
  <c r="AH69" i="74"/>
  <c r="AG69" i="74"/>
  <c r="AF69" i="74"/>
  <c r="AE69" i="74"/>
  <c r="AD69" i="74"/>
  <c r="AC69" i="74"/>
  <c r="AB69" i="74"/>
  <c r="AA69" i="74"/>
  <c r="Z69" i="74"/>
  <c r="Y69" i="74"/>
  <c r="X69" i="74"/>
  <c r="W69" i="74"/>
  <c r="V69" i="74"/>
  <c r="U69" i="74"/>
  <c r="T69" i="74"/>
  <c r="S69" i="74"/>
  <c r="R69" i="74"/>
  <c r="Q69" i="74"/>
  <c r="P69" i="74"/>
  <c r="O69" i="74"/>
  <c r="N69" i="74"/>
  <c r="M69" i="74"/>
  <c r="L69" i="74"/>
  <c r="K69" i="74"/>
  <c r="J69" i="74"/>
  <c r="I69" i="74"/>
  <c r="H69" i="74"/>
  <c r="G69" i="74"/>
  <c r="F69" i="74"/>
  <c r="E69" i="74"/>
  <c r="D69" i="74"/>
  <c r="C69" i="74"/>
  <c r="B69" i="74"/>
  <c r="A69" i="74"/>
  <c r="CA68" i="74"/>
  <c r="BZ68" i="74"/>
  <c r="BY68" i="74"/>
  <c r="BX68" i="74"/>
  <c r="BW68" i="74"/>
  <c r="BV68" i="74"/>
  <c r="BU68" i="74"/>
  <c r="BT68" i="74"/>
  <c r="BS68" i="74"/>
  <c r="BR68" i="74"/>
  <c r="BQ68" i="74"/>
  <c r="BP68" i="74"/>
  <c r="BO68" i="74"/>
  <c r="BN68" i="74"/>
  <c r="BM68" i="74"/>
  <c r="BL68" i="74"/>
  <c r="BK68" i="74"/>
  <c r="BJ68" i="74"/>
  <c r="BI68" i="74"/>
  <c r="BH68" i="74"/>
  <c r="BG68" i="74"/>
  <c r="BF68" i="74"/>
  <c r="BE68" i="74"/>
  <c r="BD68" i="74"/>
  <c r="BC68" i="74"/>
  <c r="BB68" i="74"/>
  <c r="BA68" i="74"/>
  <c r="AZ68" i="74"/>
  <c r="AY68" i="74"/>
  <c r="AX68" i="74"/>
  <c r="AW68" i="74"/>
  <c r="AV68" i="74"/>
  <c r="AU68" i="74"/>
  <c r="AT68" i="74"/>
  <c r="AS68" i="74"/>
  <c r="AR68" i="74"/>
  <c r="AQ68" i="74"/>
  <c r="AP68" i="74"/>
  <c r="AO68" i="74"/>
  <c r="AN68" i="74"/>
  <c r="AM68" i="74"/>
  <c r="AL68" i="74"/>
  <c r="AK68" i="74"/>
  <c r="AJ68" i="74"/>
  <c r="AI68" i="74"/>
  <c r="AH68" i="74"/>
  <c r="AG68" i="74"/>
  <c r="AF68" i="74"/>
  <c r="AE68" i="74"/>
  <c r="AD68" i="74"/>
  <c r="AC68" i="74"/>
  <c r="AB68" i="74"/>
  <c r="AA68" i="74"/>
  <c r="Z68" i="74"/>
  <c r="Y68" i="74"/>
  <c r="X68" i="74"/>
  <c r="W68" i="74"/>
  <c r="V68" i="74"/>
  <c r="U68" i="74"/>
  <c r="T68" i="74"/>
  <c r="S68" i="74"/>
  <c r="R68" i="74"/>
  <c r="Q68" i="74"/>
  <c r="P68" i="74"/>
  <c r="O68" i="74"/>
  <c r="N68" i="74"/>
  <c r="M68" i="74"/>
  <c r="L68" i="74"/>
  <c r="K68" i="74"/>
  <c r="J68" i="74"/>
  <c r="I68" i="74"/>
  <c r="H68" i="74"/>
  <c r="G68" i="74"/>
  <c r="F68" i="74"/>
  <c r="E68" i="74"/>
  <c r="D68" i="74"/>
  <c r="C68" i="74"/>
  <c r="B68" i="74"/>
  <c r="A68" i="74"/>
  <c r="CA67" i="74"/>
  <c r="BZ67" i="74"/>
  <c r="BY67" i="74"/>
  <c r="BX67" i="74"/>
  <c r="BW67" i="74"/>
  <c r="BV67" i="74"/>
  <c r="BU67" i="74"/>
  <c r="BT67" i="74"/>
  <c r="BS67" i="74"/>
  <c r="BR67" i="74"/>
  <c r="BQ67" i="74"/>
  <c r="BP67" i="74"/>
  <c r="BO67" i="74"/>
  <c r="BN67" i="74"/>
  <c r="BM67" i="74"/>
  <c r="BL67" i="74"/>
  <c r="BK67" i="74"/>
  <c r="BJ67" i="74"/>
  <c r="BI67" i="74"/>
  <c r="BH67" i="74"/>
  <c r="BG67" i="74"/>
  <c r="BF67" i="74"/>
  <c r="BE67" i="74"/>
  <c r="BD67" i="74"/>
  <c r="BC67" i="74"/>
  <c r="BB67" i="74"/>
  <c r="BA67" i="74"/>
  <c r="AZ67" i="74"/>
  <c r="AY67" i="74"/>
  <c r="AX67" i="74"/>
  <c r="AW67" i="74"/>
  <c r="AV67" i="74"/>
  <c r="AU67" i="74"/>
  <c r="AT67" i="74"/>
  <c r="AS67" i="74"/>
  <c r="AR67" i="74"/>
  <c r="AQ67" i="74"/>
  <c r="AP67" i="74"/>
  <c r="AO67" i="74"/>
  <c r="AN67" i="74"/>
  <c r="AM67" i="74"/>
  <c r="AL67" i="74"/>
  <c r="AK67" i="74"/>
  <c r="AJ67" i="74"/>
  <c r="AI67" i="74"/>
  <c r="AH67" i="74"/>
  <c r="AG67" i="74"/>
  <c r="AF67" i="74"/>
  <c r="AE67" i="74"/>
  <c r="AD67" i="74"/>
  <c r="AC67" i="74"/>
  <c r="AB67" i="74"/>
  <c r="AA67" i="74"/>
  <c r="Z67" i="74"/>
  <c r="Y67" i="74"/>
  <c r="X67" i="74"/>
  <c r="W67" i="74"/>
  <c r="V67" i="74"/>
  <c r="U67" i="74"/>
  <c r="T67" i="74"/>
  <c r="S67" i="74"/>
  <c r="R67" i="74"/>
  <c r="Q67" i="74"/>
  <c r="P67" i="74"/>
  <c r="O67" i="74"/>
  <c r="N67" i="74"/>
  <c r="M67" i="74"/>
  <c r="L67" i="74"/>
  <c r="K67" i="74"/>
  <c r="J67" i="74"/>
  <c r="I67" i="74"/>
  <c r="H67" i="74"/>
  <c r="G67" i="74"/>
  <c r="F67" i="74"/>
  <c r="E67" i="74"/>
  <c r="D67" i="74"/>
  <c r="C67" i="74"/>
  <c r="A67" i="74"/>
  <c r="CA66" i="74"/>
  <c r="BZ66" i="74"/>
  <c r="BY66" i="74"/>
  <c r="BX66" i="74"/>
  <c r="BW66" i="74"/>
  <c r="BV66" i="74"/>
  <c r="BU66" i="74"/>
  <c r="BT66" i="74"/>
  <c r="BS66" i="74"/>
  <c r="BR66" i="74"/>
  <c r="BQ66" i="74"/>
  <c r="BP66" i="74"/>
  <c r="BO66" i="74"/>
  <c r="BN66" i="74"/>
  <c r="BM66" i="74"/>
  <c r="BL66" i="74"/>
  <c r="BK66" i="74"/>
  <c r="BJ66" i="74"/>
  <c r="BI66" i="74"/>
  <c r="BH66" i="74"/>
  <c r="BG66" i="74"/>
  <c r="BF66" i="74"/>
  <c r="BE66" i="74"/>
  <c r="BD66" i="74"/>
  <c r="BC66" i="74"/>
  <c r="BB66" i="74"/>
  <c r="BA66" i="74"/>
  <c r="AZ66" i="74"/>
  <c r="AY66" i="74"/>
  <c r="AX66" i="74"/>
  <c r="AW66" i="74"/>
  <c r="AV66" i="74"/>
  <c r="AU66" i="74"/>
  <c r="AT66" i="74"/>
  <c r="AS66" i="74"/>
  <c r="AR66" i="74"/>
  <c r="AQ66" i="74"/>
  <c r="AP66" i="74"/>
  <c r="AO66" i="74"/>
  <c r="AN66" i="74"/>
  <c r="AM66" i="74"/>
  <c r="AL66" i="74"/>
  <c r="AK66" i="74"/>
  <c r="AJ66" i="74"/>
  <c r="AI66" i="74"/>
  <c r="AH66" i="74"/>
  <c r="AG66" i="74"/>
  <c r="AF66" i="74"/>
  <c r="AE66" i="74"/>
  <c r="AD66" i="74"/>
  <c r="AC66" i="74"/>
  <c r="AB66" i="74"/>
  <c r="AA66" i="74"/>
  <c r="Z66" i="74"/>
  <c r="Y66" i="74"/>
  <c r="X66" i="74"/>
  <c r="W66" i="74"/>
  <c r="V66" i="74"/>
  <c r="U66" i="74"/>
  <c r="T66" i="74"/>
  <c r="S66" i="74"/>
  <c r="R66" i="74"/>
  <c r="Q66" i="74"/>
  <c r="P66" i="74"/>
  <c r="O66" i="74"/>
  <c r="N66" i="74"/>
  <c r="M66" i="74"/>
  <c r="L66" i="74"/>
  <c r="K66" i="74"/>
  <c r="J66" i="74"/>
  <c r="I66" i="74"/>
  <c r="H66" i="74"/>
  <c r="G66" i="74"/>
  <c r="F66" i="74"/>
  <c r="E66" i="74"/>
  <c r="D66" i="74"/>
  <c r="C66" i="74"/>
  <c r="A66" i="74"/>
  <c r="CA65" i="74"/>
  <c r="BZ65" i="74"/>
  <c r="BY65" i="74"/>
  <c r="BX65" i="74"/>
  <c r="BW65" i="74"/>
  <c r="BV65" i="74"/>
  <c r="BU65" i="74"/>
  <c r="BT65" i="74"/>
  <c r="BS65" i="74"/>
  <c r="BR65" i="74"/>
  <c r="BQ65" i="74"/>
  <c r="BP65" i="74"/>
  <c r="BO65" i="74"/>
  <c r="BN65" i="74"/>
  <c r="BM65" i="74"/>
  <c r="BL65" i="74"/>
  <c r="BK65" i="74"/>
  <c r="BJ65" i="74"/>
  <c r="BI65" i="74"/>
  <c r="BH65" i="74"/>
  <c r="BG65" i="74"/>
  <c r="BF65" i="74"/>
  <c r="BE65" i="74"/>
  <c r="BD65" i="74"/>
  <c r="BC65" i="74"/>
  <c r="BB65" i="74"/>
  <c r="BA65" i="74"/>
  <c r="AZ65" i="74"/>
  <c r="AY65" i="74"/>
  <c r="AX65" i="74"/>
  <c r="AW65" i="74"/>
  <c r="AV65" i="74"/>
  <c r="AU65" i="74"/>
  <c r="AT65" i="74"/>
  <c r="AS65" i="74"/>
  <c r="AR65" i="74"/>
  <c r="AQ65" i="74"/>
  <c r="AP65" i="74"/>
  <c r="AO65" i="74"/>
  <c r="AN65" i="74"/>
  <c r="AM65" i="74"/>
  <c r="AL65" i="74"/>
  <c r="AK65" i="74"/>
  <c r="AJ65" i="74"/>
  <c r="AI65" i="74"/>
  <c r="AH65" i="74"/>
  <c r="AG65" i="74"/>
  <c r="AF65" i="74"/>
  <c r="AE65" i="74"/>
  <c r="AD65" i="74"/>
  <c r="AC65" i="74"/>
  <c r="AB65" i="74"/>
  <c r="AA65" i="74"/>
  <c r="Z65" i="74"/>
  <c r="Y65" i="74"/>
  <c r="X65" i="74"/>
  <c r="W65" i="74"/>
  <c r="V65" i="74"/>
  <c r="U65" i="74"/>
  <c r="T65" i="74"/>
  <c r="S65" i="74"/>
  <c r="R65" i="74"/>
  <c r="Q65" i="74"/>
  <c r="P65" i="74"/>
  <c r="O65" i="74"/>
  <c r="N65" i="74"/>
  <c r="M65" i="74"/>
  <c r="L65" i="74"/>
  <c r="K65" i="74"/>
  <c r="J65" i="74"/>
  <c r="I65" i="74"/>
  <c r="H65" i="74"/>
  <c r="G65" i="74"/>
  <c r="F65" i="74"/>
  <c r="E65" i="74"/>
  <c r="D65" i="74"/>
  <c r="C65" i="74"/>
  <c r="A65" i="74"/>
  <c r="CA64" i="74"/>
  <c r="BZ64" i="74"/>
  <c r="BY64" i="74"/>
  <c r="BX64" i="74"/>
  <c r="BW64" i="74"/>
  <c r="BV64" i="74"/>
  <c r="BU64" i="74"/>
  <c r="BT64" i="74"/>
  <c r="BS64" i="74"/>
  <c r="BR64" i="74"/>
  <c r="BQ64" i="74"/>
  <c r="BP64" i="74"/>
  <c r="BO64" i="74"/>
  <c r="BN64" i="74"/>
  <c r="BM64" i="74"/>
  <c r="BL64" i="74"/>
  <c r="BK64" i="74"/>
  <c r="BJ64" i="74"/>
  <c r="BI64" i="74"/>
  <c r="BH64" i="74"/>
  <c r="BG64" i="74"/>
  <c r="BF64" i="74"/>
  <c r="BE64" i="74"/>
  <c r="BD64" i="74"/>
  <c r="BC64" i="74"/>
  <c r="BB64" i="74"/>
  <c r="BA64" i="74"/>
  <c r="AZ64" i="74"/>
  <c r="AY64" i="74"/>
  <c r="AX64" i="74"/>
  <c r="AW64" i="74"/>
  <c r="AV64" i="74"/>
  <c r="AU64" i="74"/>
  <c r="AT64" i="74"/>
  <c r="AS64" i="74"/>
  <c r="AR64" i="74"/>
  <c r="AQ64" i="74"/>
  <c r="AP64" i="74"/>
  <c r="AO64" i="74"/>
  <c r="AN64" i="74"/>
  <c r="AM64" i="74"/>
  <c r="AL64" i="74"/>
  <c r="AK64" i="74"/>
  <c r="AJ64" i="74"/>
  <c r="AI64" i="74"/>
  <c r="AH64" i="74"/>
  <c r="AG64" i="74"/>
  <c r="AF64" i="74"/>
  <c r="AE64" i="74"/>
  <c r="AD64" i="74"/>
  <c r="AC64" i="74"/>
  <c r="AB64" i="74"/>
  <c r="AA64" i="74"/>
  <c r="Z64" i="74"/>
  <c r="Y64" i="74"/>
  <c r="X64" i="74"/>
  <c r="W64" i="74"/>
  <c r="V64" i="74"/>
  <c r="U64" i="74"/>
  <c r="T64" i="74"/>
  <c r="S64" i="74"/>
  <c r="R64" i="74"/>
  <c r="Q64" i="74"/>
  <c r="P64" i="74"/>
  <c r="O64" i="74"/>
  <c r="N64" i="74"/>
  <c r="M64" i="74"/>
  <c r="L64" i="74"/>
  <c r="K64" i="74"/>
  <c r="J64" i="74"/>
  <c r="I64" i="74"/>
  <c r="H64" i="74"/>
  <c r="G64" i="74"/>
  <c r="F64" i="74"/>
  <c r="E64" i="74"/>
  <c r="D64" i="74"/>
  <c r="C64" i="74"/>
  <c r="A64" i="74"/>
  <c r="CA63" i="74"/>
  <c r="BZ63" i="74"/>
  <c r="BY63" i="74"/>
  <c r="BX63" i="74"/>
  <c r="BW63" i="74"/>
  <c r="BV63" i="74"/>
  <c r="BU63" i="74"/>
  <c r="BT63" i="74"/>
  <c r="BS63" i="74"/>
  <c r="BR63" i="74"/>
  <c r="BQ63" i="74"/>
  <c r="BP63" i="74"/>
  <c r="BO63" i="74"/>
  <c r="BN63" i="74"/>
  <c r="BM63" i="74"/>
  <c r="BL63" i="74"/>
  <c r="BK63" i="74"/>
  <c r="BJ63" i="74"/>
  <c r="BI63" i="74"/>
  <c r="BH63" i="74"/>
  <c r="BG63" i="74"/>
  <c r="BF63" i="74"/>
  <c r="BE63" i="74"/>
  <c r="BD63" i="74"/>
  <c r="BC63" i="74"/>
  <c r="BB63" i="74"/>
  <c r="BA63" i="74"/>
  <c r="AZ63" i="74"/>
  <c r="AY63" i="74"/>
  <c r="AX63" i="74"/>
  <c r="AW63" i="74"/>
  <c r="AV63" i="74"/>
  <c r="AU63" i="74"/>
  <c r="AT63" i="74"/>
  <c r="AS63" i="74"/>
  <c r="AR63" i="74"/>
  <c r="AQ63" i="74"/>
  <c r="AP63" i="74"/>
  <c r="AO63" i="74"/>
  <c r="AN63" i="74"/>
  <c r="AM63" i="74"/>
  <c r="AL63" i="74"/>
  <c r="AK63" i="74"/>
  <c r="AJ63" i="74"/>
  <c r="AI63" i="74"/>
  <c r="AH63" i="74"/>
  <c r="AG63" i="74"/>
  <c r="AF63" i="74"/>
  <c r="AE63" i="74"/>
  <c r="AD63" i="74"/>
  <c r="AC63" i="74"/>
  <c r="AB63" i="74"/>
  <c r="AA63" i="74"/>
  <c r="Z63" i="74"/>
  <c r="Y63" i="74"/>
  <c r="X63" i="74"/>
  <c r="W63" i="74"/>
  <c r="V63" i="74"/>
  <c r="U63" i="74"/>
  <c r="T63" i="74"/>
  <c r="S63" i="74"/>
  <c r="R63" i="74"/>
  <c r="Q63" i="74"/>
  <c r="P63" i="74"/>
  <c r="O63" i="74"/>
  <c r="N63" i="74"/>
  <c r="M63" i="74"/>
  <c r="L63" i="74"/>
  <c r="K63" i="74"/>
  <c r="J63" i="74"/>
  <c r="I63" i="74"/>
  <c r="H63" i="74"/>
  <c r="G63" i="74"/>
  <c r="F63" i="74"/>
  <c r="E63" i="74"/>
  <c r="D63" i="74"/>
  <c r="C63" i="74"/>
  <c r="A63" i="74"/>
  <c r="CA62" i="74"/>
  <c r="BZ62" i="74"/>
  <c r="BY62" i="74"/>
  <c r="BX62" i="74"/>
  <c r="BW62" i="74"/>
  <c r="BV62" i="74"/>
  <c r="BU62" i="74"/>
  <c r="BT62" i="74"/>
  <c r="BS62" i="74"/>
  <c r="BR62" i="74"/>
  <c r="BQ62" i="74"/>
  <c r="BP62" i="74"/>
  <c r="BO62" i="74"/>
  <c r="BN62" i="74"/>
  <c r="BM62" i="74"/>
  <c r="BL62" i="74"/>
  <c r="BK62" i="74"/>
  <c r="BJ62" i="74"/>
  <c r="BI62" i="74"/>
  <c r="BH62" i="74"/>
  <c r="BG62" i="74"/>
  <c r="BF62" i="74"/>
  <c r="BE62" i="74"/>
  <c r="BD62" i="74"/>
  <c r="BC62" i="74"/>
  <c r="BB62" i="74"/>
  <c r="BA62" i="74"/>
  <c r="AZ62" i="74"/>
  <c r="AY62" i="74"/>
  <c r="AX62" i="74"/>
  <c r="AW62" i="74"/>
  <c r="AV62" i="74"/>
  <c r="AU62" i="74"/>
  <c r="AT62" i="74"/>
  <c r="AS62" i="74"/>
  <c r="AR62" i="74"/>
  <c r="AQ62" i="74"/>
  <c r="AP62" i="74"/>
  <c r="AO62" i="74"/>
  <c r="AN62" i="74"/>
  <c r="AM62" i="74"/>
  <c r="AL62" i="74"/>
  <c r="AK62" i="74"/>
  <c r="AJ62" i="74"/>
  <c r="AI62" i="74"/>
  <c r="AH62" i="74"/>
  <c r="AG62" i="74"/>
  <c r="AF62" i="74"/>
  <c r="AE62" i="74"/>
  <c r="AD62" i="74"/>
  <c r="AC62" i="74"/>
  <c r="AB62" i="74"/>
  <c r="AA62" i="74"/>
  <c r="Z62" i="74"/>
  <c r="Y62" i="74"/>
  <c r="X62" i="74"/>
  <c r="W62" i="74"/>
  <c r="V62" i="74"/>
  <c r="U62" i="74"/>
  <c r="T62" i="74"/>
  <c r="S62" i="74"/>
  <c r="R62" i="74"/>
  <c r="Q62" i="74"/>
  <c r="P62" i="74"/>
  <c r="O62" i="74"/>
  <c r="N62" i="74"/>
  <c r="M62" i="74"/>
  <c r="L62" i="74"/>
  <c r="K62" i="74"/>
  <c r="J62" i="74"/>
  <c r="I62" i="74"/>
  <c r="H62" i="74"/>
  <c r="G62" i="74"/>
  <c r="F62" i="74"/>
  <c r="E62" i="74"/>
  <c r="D62" i="74"/>
  <c r="C62" i="74"/>
  <c r="A62" i="74"/>
  <c r="CA61" i="74"/>
  <c r="BZ61" i="74"/>
  <c r="BY61" i="74"/>
  <c r="BX61" i="74"/>
  <c r="BW61" i="74"/>
  <c r="BV61" i="74"/>
  <c r="BU61" i="74"/>
  <c r="BT61" i="74"/>
  <c r="BS61" i="74"/>
  <c r="BR61" i="74"/>
  <c r="BQ61" i="74"/>
  <c r="BP61" i="74"/>
  <c r="BO61" i="74"/>
  <c r="BN61" i="74"/>
  <c r="BM61" i="74"/>
  <c r="BL61" i="74"/>
  <c r="BK61" i="74"/>
  <c r="BJ61" i="74"/>
  <c r="BI61" i="74"/>
  <c r="BH61" i="74"/>
  <c r="BG61" i="74"/>
  <c r="BF61" i="74"/>
  <c r="BE61" i="74"/>
  <c r="BD61" i="74"/>
  <c r="BC61" i="74"/>
  <c r="BB61" i="74"/>
  <c r="BA61" i="74"/>
  <c r="AZ61" i="74"/>
  <c r="AY61" i="74"/>
  <c r="AX61" i="74"/>
  <c r="AW61" i="74"/>
  <c r="AV61" i="74"/>
  <c r="AU61" i="74"/>
  <c r="AT61" i="74"/>
  <c r="AS61" i="74"/>
  <c r="AR61" i="74"/>
  <c r="AQ61" i="74"/>
  <c r="AP61" i="74"/>
  <c r="AO61" i="74"/>
  <c r="AN61" i="74"/>
  <c r="AM61" i="74"/>
  <c r="AL61" i="74"/>
  <c r="AK61" i="74"/>
  <c r="AJ61" i="74"/>
  <c r="AI61" i="74"/>
  <c r="AH61" i="74"/>
  <c r="AG61" i="74"/>
  <c r="AF61" i="74"/>
  <c r="AE61" i="74"/>
  <c r="AD61" i="74"/>
  <c r="AC61" i="74"/>
  <c r="AB61" i="74"/>
  <c r="AA61" i="74"/>
  <c r="Z61" i="74"/>
  <c r="Y61" i="74"/>
  <c r="X61" i="74"/>
  <c r="W61" i="74"/>
  <c r="V61" i="74"/>
  <c r="U61" i="74"/>
  <c r="T61" i="74"/>
  <c r="S61" i="74"/>
  <c r="R61" i="74"/>
  <c r="Q61" i="74"/>
  <c r="P61" i="74"/>
  <c r="O61" i="74"/>
  <c r="N61" i="74"/>
  <c r="M61" i="74"/>
  <c r="L61" i="74"/>
  <c r="K61" i="74"/>
  <c r="J61" i="74"/>
  <c r="I61" i="74"/>
  <c r="H61" i="74"/>
  <c r="G61" i="74"/>
  <c r="F61" i="74"/>
  <c r="E61" i="74"/>
  <c r="D61" i="74"/>
  <c r="C61" i="74"/>
  <c r="A61" i="74"/>
  <c r="CA60" i="74"/>
  <c r="BZ60" i="74"/>
  <c r="BY60" i="74"/>
  <c r="BX60" i="74"/>
  <c r="BW60" i="74"/>
  <c r="BV60" i="74"/>
  <c r="BU60" i="74"/>
  <c r="BT60" i="74"/>
  <c r="BS60" i="74"/>
  <c r="BR60" i="74"/>
  <c r="BQ60" i="74"/>
  <c r="BP60" i="74"/>
  <c r="BO60" i="74"/>
  <c r="BN60" i="74"/>
  <c r="BM60" i="74"/>
  <c r="BL60" i="74"/>
  <c r="BK60" i="74"/>
  <c r="BJ60" i="74"/>
  <c r="BI60" i="74"/>
  <c r="BH60" i="74"/>
  <c r="BG60" i="74"/>
  <c r="BF60" i="74"/>
  <c r="BE60" i="74"/>
  <c r="BD60" i="74"/>
  <c r="BC60" i="74"/>
  <c r="BB60" i="74"/>
  <c r="BA60" i="74"/>
  <c r="AZ60" i="74"/>
  <c r="AY60" i="74"/>
  <c r="AX60" i="74"/>
  <c r="AW60" i="74"/>
  <c r="AV60" i="74"/>
  <c r="AU60" i="74"/>
  <c r="AT60" i="74"/>
  <c r="AS60" i="74"/>
  <c r="AR60" i="74"/>
  <c r="AQ60" i="74"/>
  <c r="AP60" i="74"/>
  <c r="AO60" i="74"/>
  <c r="AN60" i="74"/>
  <c r="AM60" i="74"/>
  <c r="AL60" i="74"/>
  <c r="AK60" i="74"/>
  <c r="AJ60" i="74"/>
  <c r="AI60" i="74"/>
  <c r="AH60" i="74"/>
  <c r="AG60" i="74"/>
  <c r="AF60" i="74"/>
  <c r="AE60" i="74"/>
  <c r="AD60" i="74"/>
  <c r="AC60" i="74"/>
  <c r="AB60" i="74"/>
  <c r="AA60" i="74"/>
  <c r="Z60" i="74"/>
  <c r="Y60" i="74"/>
  <c r="X60" i="74"/>
  <c r="W60" i="74"/>
  <c r="V60" i="74"/>
  <c r="U60" i="74"/>
  <c r="T60" i="74"/>
  <c r="S60" i="74"/>
  <c r="R60" i="74"/>
  <c r="Q60" i="74"/>
  <c r="P60" i="74"/>
  <c r="O60" i="74"/>
  <c r="N60" i="74"/>
  <c r="M60" i="74"/>
  <c r="L60" i="74"/>
  <c r="K60" i="74"/>
  <c r="J60" i="74"/>
  <c r="I60" i="74"/>
  <c r="H60" i="74"/>
  <c r="G60" i="74"/>
  <c r="F60" i="74"/>
  <c r="E60" i="74"/>
  <c r="D60" i="74"/>
  <c r="C60" i="74"/>
  <c r="A60" i="74"/>
  <c r="CA59" i="74"/>
  <c r="BZ59" i="74"/>
  <c r="BY59" i="74"/>
  <c r="BX59" i="74"/>
  <c r="BW59" i="74"/>
  <c r="BV59" i="74"/>
  <c r="BU59" i="74"/>
  <c r="BT59" i="74"/>
  <c r="BS59" i="74"/>
  <c r="BR59" i="74"/>
  <c r="BQ59" i="74"/>
  <c r="BP59" i="74"/>
  <c r="BO59" i="74"/>
  <c r="BN59" i="74"/>
  <c r="BM59" i="74"/>
  <c r="BL59" i="74"/>
  <c r="BK59" i="74"/>
  <c r="BJ59" i="74"/>
  <c r="BI59" i="74"/>
  <c r="BH59" i="74"/>
  <c r="BG59" i="74"/>
  <c r="BF59" i="74"/>
  <c r="BE59" i="74"/>
  <c r="BD59" i="74"/>
  <c r="BC59" i="74"/>
  <c r="BB59" i="74"/>
  <c r="BA59" i="74"/>
  <c r="AZ59" i="74"/>
  <c r="AY59" i="74"/>
  <c r="AX59" i="74"/>
  <c r="AW59" i="74"/>
  <c r="AV59" i="74"/>
  <c r="AU59" i="74"/>
  <c r="AT59" i="74"/>
  <c r="AS59" i="74"/>
  <c r="AR59" i="74"/>
  <c r="AQ59" i="74"/>
  <c r="AP59" i="74"/>
  <c r="AO59" i="74"/>
  <c r="AN59" i="74"/>
  <c r="AM59" i="74"/>
  <c r="AL59" i="74"/>
  <c r="AK59" i="74"/>
  <c r="AJ59" i="74"/>
  <c r="AI59" i="74"/>
  <c r="AH59" i="74"/>
  <c r="AG59" i="74"/>
  <c r="AF59" i="74"/>
  <c r="AE59" i="74"/>
  <c r="AD59" i="74"/>
  <c r="AC59" i="74"/>
  <c r="AB59" i="74"/>
  <c r="AA59" i="74"/>
  <c r="Z59" i="74"/>
  <c r="Y59" i="74"/>
  <c r="X59" i="74"/>
  <c r="W59" i="74"/>
  <c r="V59" i="74"/>
  <c r="U59" i="74"/>
  <c r="T59" i="74"/>
  <c r="S59" i="74"/>
  <c r="R59" i="74"/>
  <c r="Q59" i="74"/>
  <c r="P59" i="74"/>
  <c r="O59" i="74"/>
  <c r="N59" i="74"/>
  <c r="M59" i="74"/>
  <c r="L59" i="74"/>
  <c r="K59" i="74"/>
  <c r="J59" i="74"/>
  <c r="I59" i="74"/>
  <c r="H59" i="74"/>
  <c r="G59" i="74"/>
  <c r="F59" i="74"/>
  <c r="E59" i="74"/>
  <c r="D59" i="74"/>
  <c r="C59" i="74"/>
  <c r="B59" i="74"/>
  <c r="A59" i="74"/>
  <c r="CA58" i="74"/>
  <c r="BZ58" i="74"/>
  <c r="BY58" i="74"/>
  <c r="BX58" i="74"/>
  <c r="BW58" i="74"/>
  <c r="BV58" i="74"/>
  <c r="BU58" i="74"/>
  <c r="BT58" i="74"/>
  <c r="BS58" i="74"/>
  <c r="BR58" i="74"/>
  <c r="BQ58" i="74"/>
  <c r="BP58" i="74"/>
  <c r="BO58" i="74"/>
  <c r="BN58" i="74"/>
  <c r="BM58" i="74"/>
  <c r="BL58" i="74"/>
  <c r="BK58" i="74"/>
  <c r="BJ58" i="74"/>
  <c r="BI58" i="74"/>
  <c r="BH58" i="74"/>
  <c r="BG58" i="74"/>
  <c r="BF58" i="74"/>
  <c r="BE58" i="74"/>
  <c r="BD58" i="74"/>
  <c r="BC58" i="74"/>
  <c r="BB58" i="74"/>
  <c r="BA58" i="74"/>
  <c r="AZ58" i="74"/>
  <c r="AY58" i="74"/>
  <c r="AX58" i="74"/>
  <c r="AW58" i="74"/>
  <c r="AV58" i="74"/>
  <c r="AU58" i="74"/>
  <c r="AT58" i="74"/>
  <c r="AS58" i="74"/>
  <c r="AR58" i="74"/>
  <c r="AQ58" i="74"/>
  <c r="AP58" i="74"/>
  <c r="AO58" i="74"/>
  <c r="AN58" i="74"/>
  <c r="AM58" i="74"/>
  <c r="AL58" i="74"/>
  <c r="AK58" i="74"/>
  <c r="AJ58" i="74"/>
  <c r="AI58" i="74"/>
  <c r="AH58" i="74"/>
  <c r="AG58" i="74"/>
  <c r="AF58" i="74"/>
  <c r="AE58" i="74"/>
  <c r="AD58" i="74"/>
  <c r="AC58" i="74"/>
  <c r="AB58" i="74"/>
  <c r="AA58" i="74"/>
  <c r="Z58" i="74"/>
  <c r="Y58" i="74"/>
  <c r="X58" i="74"/>
  <c r="W58" i="74"/>
  <c r="V58" i="74"/>
  <c r="U58" i="74"/>
  <c r="T58" i="74"/>
  <c r="S58" i="74"/>
  <c r="R58" i="74"/>
  <c r="Q58" i="74"/>
  <c r="P58" i="74"/>
  <c r="O58" i="74"/>
  <c r="N58" i="74"/>
  <c r="M58" i="74"/>
  <c r="L58" i="74"/>
  <c r="K58" i="74"/>
  <c r="J58" i="74"/>
  <c r="I58" i="74"/>
  <c r="H58" i="74"/>
  <c r="G58" i="74"/>
  <c r="F58" i="74"/>
  <c r="E58" i="74"/>
  <c r="D58" i="74"/>
  <c r="C58" i="74"/>
  <c r="B58" i="74"/>
  <c r="A58" i="74"/>
  <c r="CA57" i="74"/>
  <c r="BZ57" i="74"/>
  <c r="BY57" i="74"/>
  <c r="BX57" i="74"/>
  <c r="BW57" i="74"/>
  <c r="BV57" i="74"/>
  <c r="BU57" i="74"/>
  <c r="BT57" i="74"/>
  <c r="BS57" i="74"/>
  <c r="BR57" i="74"/>
  <c r="BQ57" i="74"/>
  <c r="BP57" i="74"/>
  <c r="BO57" i="74"/>
  <c r="BN57" i="74"/>
  <c r="BM57" i="74"/>
  <c r="BL57" i="74"/>
  <c r="BK57" i="74"/>
  <c r="BJ57" i="74"/>
  <c r="BI57" i="74"/>
  <c r="BH57" i="74"/>
  <c r="BG57" i="74"/>
  <c r="BF57" i="74"/>
  <c r="BE57" i="74"/>
  <c r="BD57" i="74"/>
  <c r="BC57" i="74"/>
  <c r="BB57" i="74"/>
  <c r="BA57" i="74"/>
  <c r="AZ57" i="74"/>
  <c r="AY57" i="74"/>
  <c r="AX57" i="74"/>
  <c r="AW57" i="74"/>
  <c r="AV57" i="74"/>
  <c r="AU57" i="74"/>
  <c r="AT57" i="74"/>
  <c r="AS57" i="74"/>
  <c r="AR57" i="74"/>
  <c r="AQ57" i="74"/>
  <c r="AP57" i="74"/>
  <c r="AO57" i="74"/>
  <c r="AN57" i="74"/>
  <c r="AM57" i="74"/>
  <c r="AL57" i="74"/>
  <c r="AK57" i="74"/>
  <c r="AJ57" i="74"/>
  <c r="AI57" i="74"/>
  <c r="AH57" i="74"/>
  <c r="AG57" i="74"/>
  <c r="AF57" i="74"/>
  <c r="AE57" i="74"/>
  <c r="AD57" i="74"/>
  <c r="AC57" i="74"/>
  <c r="AB57" i="74"/>
  <c r="AA57" i="74"/>
  <c r="Z57" i="74"/>
  <c r="Y57" i="74"/>
  <c r="X57" i="74"/>
  <c r="W57" i="74"/>
  <c r="V57" i="74"/>
  <c r="U57" i="74"/>
  <c r="T57" i="74"/>
  <c r="S57" i="74"/>
  <c r="R57" i="74"/>
  <c r="Q57" i="74"/>
  <c r="P57" i="74"/>
  <c r="O57" i="74"/>
  <c r="N57" i="74"/>
  <c r="M57" i="74"/>
  <c r="L57" i="74"/>
  <c r="K57" i="74"/>
  <c r="J57" i="74"/>
  <c r="I57" i="74"/>
  <c r="H57" i="74"/>
  <c r="G57" i="74"/>
  <c r="F57" i="74"/>
  <c r="E57" i="74"/>
  <c r="D57" i="74"/>
  <c r="C57" i="74"/>
  <c r="A57" i="74"/>
  <c r="CA56" i="74"/>
  <c r="BZ56" i="74"/>
  <c r="BY56" i="74"/>
  <c r="BX56" i="74"/>
  <c r="BW56" i="74"/>
  <c r="BV56" i="74"/>
  <c r="BU56" i="74"/>
  <c r="BT56" i="74"/>
  <c r="BS56" i="74"/>
  <c r="BR56" i="74"/>
  <c r="BQ56" i="74"/>
  <c r="BP56" i="74"/>
  <c r="BO56" i="74"/>
  <c r="BN56" i="74"/>
  <c r="BM56" i="74"/>
  <c r="BL56" i="74"/>
  <c r="BK56" i="74"/>
  <c r="BJ56" i="74"/>
  <c r="BI56" i="74"/>
  <c r="BH56" i="74"/>
  <c r="BG56" i="74"/>
  <c r="BF56" i="74"/>
  <c r="BE56" i="74"/>
  <c r="BD56" i="74"/>
  <c r="BC56" i="74"/>
  <c r="BB56" i="74"/>
  <c r="BA56" i="74"/>
  <c r="AZ56" i="74"/>
  <c r="AY56" i="74"/>
  <c r="AX56" i="74"/>
  <c r="AW56" i="74"/>
  <c r="AV56" i="74"/>
  <c r="AU56" i="74"/>
  <c r="AT56" i="74"/>
  <c r="AS56" i="74"/>
  <c r="AR56" i="74"/>
  <c r="AQ56" i="74"/>
  <c r="AP56" i="74"/>
  <c r="AO56" i="74"/>
  <c r="AN56" i="74"/>
  <c r="AM56" i="74"/>
  <c r="AL56" i="74"/>
  <c r="AK56" i="74"/>
  <c r="AJ56" i="74"/>
  <c r="AI56" i="74"/>
  <c r="AH56" i="74"/>
  <c r="AG56" i="74"/>
  <c r="AF56" i="74"/>
  <c r="AE56" i="74"/>
  <c r="AD56" i="74"/>
  <c r="AC56" i="74"/>
  <c r="AB56" i="74"/>
  <c r="AA56" i="74"/>
  <c r="Z56" i="74"/>
  <c r="Y56" i="74"/>
  <c r="X56" i="74"/>
  <c r="W56" i="74"/>
  <c r="V56" i="74"/>
  <c r="U56" i="74"/>
  <c r="T56" i="74"/>
  <c r="S56" i="74"/>
  <c r="R56" i="74"/>
  <c r="Q56" i="74"/>
  <c r="P56" i="74"/>
  <c r="O56" i="74"/>
  <c r="N56" i="74"/>
  <c r="M56" i="74"/>
  <c r="L56" i="74"/>
  <c r="K56" i="74"/>
  <c r="J56" i="74"/>
  <c r="I56" i="74"/>
  <c r="H56" i="74"/>
  <c r="G56" i="74"/>
  <c r="F56" i="74"/>
  <c r="E56" i="74"/>
  <c r="D56" i="74"/>
  <c r="C56" i="74"/>
  <c r="A56" i="74"/>
  <c r="CA55" i="74"/>
  <c r="BZ55" i="74"/>
  <c r="BY55" i="74"/>
  <c r="BX55" i="74"/>
  <c r="BW55" i="74"/>
  <c r="BV55" i="74"/>
  <c r="BU55" i="74"/>
  <c r="BT55" i="74"/>
  <c r="BS55" i="74"/>
  <c r="BR55" i="74"/>
  <c r="BQ55" i="74"/>
  <c r="BP55" i="74"/>
  <c r="BO55" i="74"/>
  <c r="BN55" i="74"/>
  <c r="BM55" i="74"/>
  <c r="BL55" i="74"/>
  <c r="BK55" i="74"/>
  <c r="BJ55" i="74"/>
  <c r="BI55" i="74"/>
  <c r="BH55" i="74"/>
  <c r="BG55" i="74"/>
  <c r="BF55" i="74"/>
  <c r="BE55" i="74"/>
  <c r="BD55" i="74"/>
  <c r="BC55" i="74"/>
  <c r="BB55" i="74"/>
  <c r="BA55" i="74"/>
  <c r="AZ55" i="74"/>
  <c r="AY55" i="74"/>
  <c r="AX55" i="74"/>
  <c r="AW55" i="74"/>
  <c r="AV55" i="74"/>
  <c r="AU55" i="74"/>
  <c r="AT55" i="74"/>
  <c r="AS55" i="74"/>
  <c r="AR55" i="74"/>
  <c r="AQ55" i="74"/>
  <c r="AP55" i="74"/>
  <c r="AO55" i="74"/>
  <c r="AN55" i="74"/>
  <c r="AM55" i="74"/>
  <c r="AL55" i="74"/>
  <c r="AK55" i="74"/>
  <c r="AJ55" i="74"/>
  <c r="AI55" i="74"/>
  <c r="AH55" i="74"/>
  <c r="AG55" i="74"/>
  <c r="AF55" i="74"/>
  <c r="AE55" i="74"/>
  <c r="AD55" i="74"/>
  <c r="AC55" i="74"/>
  <c r="AB55" i="74"/>
  <c r="AA55" i="74"/>
  <c r="Z55" i="74"/>
  <c r="Y55" i="74"/>
  <c r="X55" i="74"/>
  <c r="W55" i="74"/>
  <c r="V55" i="74"/>
  <c r="U55" i="74"/>
  <c r="T55" i="74"/>
  <c r="S55" i="74"/>
  <c r="R55" i="74"/>
  <c r="Q55" i="74"/>
  <c r="P55" i="74"/>
  <c r="O55" i="74"/>
  <c r="N55" i="74"/>
  <c r="M55" i="74"/>
  <c r="L55" i="74"/>
  <c r="K55" i="74"/>
  <c r="J55" i="74"/>
  <c r="I55" i="74"/>
  <c r="H55" i="74"/>
  <c r="G55" i="74"/>
  <c r="F55" i="74"/>
  <c r="E55" i="74"/>
  <c r="D55" i="74"/>
  <c r="C55" i="74"/>
  <c r="A55" i="74"/>
  <c r="CA54" i="74"/>
  <c r="BZ54" i="74"/>
  <c r="BY54" i="74"/>
  <c r="BX54" i="74"/>
  <c r="BW54" i="74"/>
  <c r="BV54" i="74"/>
  <c r="BU54" i="74"/>
  <c r="BT54" i="74"/>
  <c r="BS54" i="74"/>
  <c r="BR54" i="74"/>
  <c r="BQ54" i="74"/>
  <c r="BP54" i="74"/>
  <c r="BO54" i="74"/>
  <c r="BN54" i="74"/>
  <c r="BM54" i="74"/>
  <c r="BL54" i="74"/>
  <c r="BK54" i="74"/>
  <c r="BJ54" i="74"/>
  <c r="BI54" i="74"/>
  <c r="BH54" i="74"/>
  <c r="BG54" i="74"/>
  <c r="BF54" i="74"/>
  <c r="BE54" i="74"/>
  <c r="BD54" i="74"/>
  <c r="BC54" i="74"/>
  <c r="BB54" i="74"/>
  <c r="BA54" i="74"/>
  <c r="AZ54" i="74"/>
  <c r="AY54" i="74"/>
  <c r="AX54" i="74"/>
  <c r="AW54" i="74"/>
  <c r="AV54" i="74"/>
  <c r="AU54" i="74"/>
  <c r="AT54" i="74"/>
  <c r="AS54" i="74"/>
  <c r="AR54" i="74"/>
  <c r="AQ54" i="74"/>
  <c r="AP54" i="74"/>
  <c r="AO54" i="74"/>
  <c r="AN54" i="74"/>
  <c r="AM54" i="74"/>
  <c r="AL54" i="74"/>
  <c r="AK54" i="74"/>
  <c r="AJ54" i="74"/>
  <c r="AI54" i="74"/>
  <c r="AH54" i="74"/>
  <c r="AG54" i="74"/>
  <c r="AF54" i="74"/>
  <c r="AE54" i="74"/>
  <c r="AD54" i="74"/>
  <c r="AC54" i="74"/>
  <c r="AB54" i="74"/>
  <c r="AA54" i="74"/>
  <c r="Z54" i="74"/>
  <c r="Y54" i="74"/>
  <c r="X54" i="74"/>
  <c r="W54" i="74"/>
  <c r="V54" i="74"/>
  <c r="U54" i="74"/>
  <c r="T54" i="74"/>
  <c r="S54" i="74"/>
  <c r="R54" i="74"/>
  <c r="Q54" i="74"/>
  <c r="P54" i="74"/>
  <c r="O54" i="74"/>
  <c r="N54" i="74"/>
  <c r="M54" i="74"/>
  <c r="L54" i="74"/>
  <c r="K54" i="74"/>
  <c r="J54" i="74"/>
  <c r="I54" i="74"/>
  <c r="H54" i="74"/>
  <c r="G54" i="74"/>
  <c r="F54" i="74"/>
  <c r="E54" i="74"/>
  <c r="D54" i="74"/>
  <c r="C54" i="74"/>
  <c r="A54" i="74"/>
  <c r="CA53" i="74"/>
  <c r="BZ53" i="74"/>
  <c r="BY53" i="74"/>
  <c r="BX53" i="74"/>
  <c r="BW53" i="74"/>
  <c r="BV53" i="74"/>
  <c r="BU53" i="74"/>
  <c r="BT53" i="74"/>
  <c r="BS53" i="74"/>
  <c r="BR53" i="74"/>
  <c r="BQ53" i="74"/>
  <c r="BP53" i="74"/>
  <c r="BO53" i="74"/>
  <c r="BN53" i="74"/>
  <c r="BM53" i="74"/>
  <c r="BL53" i="74"/>
  <c r="BK53" i="74"/>
  <c r="BJ53" i="74"/>
  <c r="BI53" i="74"/>
  <c r="BH53" i="74"/>
  <c r="BG53" i="74"/>
  <c r="BF53" i="74"/>
  <c r="BE53" i="74"/>
  <c r="BD53" i="74"/>
  <c r="BC53" i="74"/>
  <c r="BB53" i="74"/>
  <c r="BA53" i="74"/>
  <c r="AZ53" i="74"/>
  <c r="AY53" i="74"/>
  <c r="AX53" i="74"/>
  <c r="AW53" i="74"/>
  <c r="AV53" i="74"/>
  <c r="AU53" i="74"/>
  <c r="AT53" i="74"/>
  <c r="AS53" i="74"/>
  <c r="AR53" i="74"/>
  <c r="AQ53" i="74"/>
  <c r="AP53" i="74"/>
  <c r="AO53" i="74"/>
  <c r="AN53" i="74"/>
  <c r="AM53" i="74"/>
  <c r="AL53" i="74"/>
  <c r="AK53" i="74"/>
  <c r="AJ53" i="74"/>
  <c r="AI53" i="74"/>
  <c r="AH53" i="74"/>
  <c r="AG53" i="74"/>
  <c r="AF53" i="74"/>
  <c r="AE53" i="74"/>
  <c r="AD53" i="74"/>
  <c r="AC53" i="74"/>
  <c r="AB53" i="74"/>
  <c r="AA53" i="74"/>
  <c r="Z53" i="74"/>
  <c r="Y53" i="74"/>
  <c r="X53" i="74"/>
  <c r="W53" i="74"/>
  <c r="V53" i="74"/>
  <c r="U53" i="74"/>
  <c r="T53" i="74"/>
  <c r="S53" i="74"/>
  <c r="R53" i="74"/>
  <c r="Q53" i="74"/>
  <c r="P53" i="74"/>
  <c r="O53" i="74"/>
  <c r="N53" i="74"/>
  <c r="M53" i="74"/>
  <c r="L53" i="74"/>
  <c r="K53" i="74"/>
  <c r="J53" i="74"/>
  <c r="I53" i="74"/>
  <c r="H53" i="74"/>
  <c r="G53" i="74"/>
  <c r="F53" i="74"/>
  <c r="E53" i="74"/>
  <c r="D53" i="74"/>
  <c r="C53" i="74"/>
  <c r="A53" i="74"/>
  <c r="CA52" i="74"/>
  <c r="BZ52" i="74"/>
  <c r="BY52" i="74"/>
  <c r="BX52" i="74"/>
  <c r="BW52" i="74"/>
  <c r="BV52" i="74"/>
  <c r="BU52" i="74"/>
  <c r="BT52" i="74"/>
  <c r="BS52" i="74"/>
  <c r="BR52" i="74"/>
  <c r="BQ52" i="74"/>
  <c r="BP52" i="74"/>
  <c r="BO52" i="74"/>
  <c r="BN52" i="74"/>
  <c r="BM52" i="74"/>
  <c r="BL52" i="74"/>
  <c r="BK52" i="74"/>
  <c r="BJ52" i="74"/>
  <c r="BI52" i="74"/>
  <c r="BH52" i="74"/>
  <c r="BG52" i="74"/>
  <c r="BF52" i="74"/>
  <c r="BE52" i="74"/>
  <c r="BD52" i="74"/>
  <c r="BC52" i="74"/>
  <c r="BB52" i="74"/>
  <c r="BA52" i="74"/>
  <c r="AZ52" i="74"/>
  <c r="AY52" i="74"/>
  <c r="AX52" i="74"/>
  <c r="AW52" i="74"/>
  <c r="AV52" i="74"/>
  <c r="AU52" i="74"/>
  <c r="AT52" i="74"/>
  <c r="AS52" i="74"/>
  <c r="AR52" i="74"/>
  <c r="AQ52" i="74"/>
  <c r="AP52" i="74"/>
  <c r="AO52" i="74"/>
  <c r="AN52" i="74"/>
  <c r="AM52" i="74"/>
  <c r="AL52" i="74"/>
  <c r="AK52" i="74"/>
  <c r="AJ52" i="74"/>
  <c r="AI52" i="74"/>
  <c r="AH52" i="74"/>
  <c r="AG52" i="74"/>
  <c r="AF52" i="74"/>
  <c r="AE52" i="74"/>
  <c r="AD52" i="74"/>
  <c r="AC52" i="74"/>
  <c r="AB52" i="74"/>
  <c r="AA52" i="74"/>
  <c r="Z52" i="74"/>
  <c r="Y52" i="74"/>
  <c r="X52" i="74"/>
  <c r="W52" i="74"/>
  <c r="V52" i="74"/>
  <c r="U52" i="74"/>
  <c r="T52" i="74"/>
  <c r="S52" i="74"/>
  <c r="R52" i="74"/>
  <c r="Q52" i="74"/>
  <c r="P52" i="74"/>
  <c r="O52" i="74"/>
  <c r="N52" i="74"/>
  <c r="M52" i="74"/>
  <c r="L52" i="74"/>
  <c r="K52" i="74"/>
  <c r="J52" i="74"/>
  <c r="I52" i="74"/>
  <c r="H52" i="74"/>
  <c r="G52" i="74"/>
  <c r="F52" i="74"/>
  <c r="E52" i="74"/>
  <c r="D52" i="74"/>
  <c r="C52" i="74"/>
  <c r="A52" i="74"/>
  <c r="CA51" i="74"/>
  <c r="BZ51" i="74"/>
  <c r="BY51" i="74"/>
  <c r="BX51" i="74"/>
  <c r="BW51" i="74"/>
  <c r="BV51" i="74"/>
  <c r="BU51" i="74"/>
  <c r="BT51" i="74"/>
  <c r="BS51" i="74"/>
  <c r="BR51" i="74"/>
  <c r="BQ51" i="74"/>
  <c r="BP51" i="74"/>
  <c r="BO51" i="74"/>
  <c r="BN51" i="74"/>
  <c r="BM51" i="74"/>
  <c r="BL51" i="74"/>
  <c r="BK51" i="74"/>
  <c r="BJ51" i="74"/>
  <c r="BI51" i="74"/>
  <c r="BH51" i="74"/>
  <c r="BG51" i="74"/>
  <c r="BF51" i="74"/>
  <c r="BE51" i="74"/>
  <c r="BD51" i="74"/>
  <c r="BC51" i="74"/>
  <c r="BB51" i="74"/>
  <c r="BA51" i="74"/>
  <c r="AZ51" i="74"/>
  <c r="AY51" i="74"/>
  <c r="AX51" i="74"/>
  <c r="AW51" i="74"/>
  <c r="AV51" i="74"/>
  <c r="AU51" i="74"/>
  <c r="AT51" i="74"/>
  <c r="AS51" i="74"/>
  <c r="AR51" i="74"/>
  <c r="AQ51" i="74"/>
  <c r="AP51" i="74"/>
  <c r="AO51" i="74"/>
  <c r="AN51" i="74"/>
  <c r="AM51" i="74"/>
  <c r="AL51" i="74"/>
  <c r="AK51" i="74"/>
  <c r="AJ51" i="74"/>
  <c r="AI51" i="74"/>
  <c r="AH51" i="74"/>
  <c r="AG51" i="74"/>
  <c r="AF51" i="74"/>
  <c r="AE51" i="74"/>
  <c r="AD51" i="74"/>
  <c r="AC51" i="74"/>
  <c r="AB51" i="74"/>
  <c r="AA51" i="74"/>
  <c r="Z51" i="74"/>
  <c r="Y51" i="74"/>
  <c r="X51" i="74"/>
  <c r="W51" i="74"/>
  <c r="V51" i="74"/>
  <c r="U51" i="74"/>
  <c r="T51" i="74"/>
  <c r="S51" i="74"/>
  <c r="R51" i="74"/>
  <c r="Q51" i="74"/>
  <c r="P51" i="74"/>
  <c r="O51" i="74"/>
  <c r="N51" i="74"/>
  <c r="M51" i="74"/>
  <c r="L51" i="74"/>
  <c r="K51" i="74"/>
  <c r="J51" i="74"/>
  <c r="I51" i="74"/>
  <c r="H51" i="74"/>
  <c r="G51" i="74"/>
  <c r="F51" i="74"/>
  <c r="E51" i="74"/>
  <c r="D51" i="74"/>
  <c r="C51" i="74"/>
  <c r="A51" i="74"/>
  <c r="CA50" i="74"/>
  <c r="BZ50" i="74"/>
  <c r="BY50" i="74"/>
  <c r="BX50" i="74"/>
  <c r="BW50" i="74"/>
  <c r="BV50" i="74"/>
  <c r="BU50" i="74"/>
  <c r="BT50" i="74"/>
  <c r="BS50" i="74"/>
  <c r="BR50" i="74"/>
  <c r="BQ50" i="74"/>
  <c r="BP50" i="74"/>
  <c r="BO50" i="74"/>
  <c r="BN50" i="74"/>
  <c r="BM50" i="74"/>
  <c r="BL50" i="74"/>
  <c r="BK50" i="74"/>
  <c r="BJ50" i="74"/>
  <c r="BI50" i="74"/>
  <c r="BH50" i="74"/>
  <c r="BG50" i="74"/>
  <c r="BF50" i="74"/>
  <c r="BE50" i="74"/>
  <c r="BD50" i="74"/>
  <c r="BC50" i="74"/>
  <c r="BB50" i="74"/>
  <c r="BA50" i="74"/>
  <c r="AZ50" i="74"/>
  <c r="AY50" i="74"/>
  <c r="AX50" i="74"/>
  <c r="AW50" i="74"/>
  <c r="AV50" i="74"/>
  <c r="AU50" i="74"/>
  <c r="AT50" i="74"/>
  <c r="AS50" i="74"/>
  <c r="AR50" i="74"/>
  <c r="AQ50" i="74"/>
  <c r="AP50" i="74"/>
  <c r="AO50" i="74"/>
  <c r="AN50" i="74"/>
  <c r="AM50" i="74"/>
  <c r="AL50" i="74"/>
  <c r="AK50" i="74"/>
  <c r="AJ50" i="74"/>
  <c r="AI50" i="74"/>
  <c r="AH50" i="74"/>
  <c r="AG50" i="74"/>
  <c r="AF50" i="74"/>
  <c r="AE50" i="74"/>
  <c r="AD50" i="74"/>
  <c r="AC50" i="74"/>
  <c r="AB50" i="74"/>
  <c r="AA50" i="74"/>
  <c r="Z50" i="74"/>
  <c r="Y50" i="74"/>
  <c r="X50" i="74"/>
  <c r="W50" i="74"/>
  <c r="V50" i="74"/>
  <c r="U50" i="74"/>
  <c r="T50" i="74"/>
  <c r="S50" i="74"/>
  <c r="R50" i="74"/>
  <c r="Q50" i="74"/>
  <c r="P50" i="74"/>
  <c r="O50" i="74"/>
  <c r="N50" i="74"/>
  <c r="M50" i="74"/>
  <c r="L50" i="74"/>
  <c r="K50" i="74"/>
  <c r="J50" i="74"/>
  <c r="I50" i="74"/>
  <c r="H50" i="74"/>
  <c r="G50" i="74"/>
  <c r="F50" i="74"/>
  <c r="E50" i="74"/>
  <c r="D50" i="74"/>
  <c r="C50" i="74"/>
  <c r="A50" i="74"/>
  <c r="CA49" i="74"/>
  <c r="BZ49" i="74"/>
  <c r="BY49" i="74"/>
  <c r="BX49" i="74"/>
  <c r="BW49" i="74"/>
  <c r="BV49" i="74"/>
  <c r="BU49" i="74"/>
  <c r="BT49" i="74"/>
  <c r="BS49" i="74"/>
  <c r="BR49" i="74"/>
  <c r="BQ49" i="74"/>
  <c r="BP49" i="74"/>
  <c r="BO49" i="74"/>
  <c r="BN49" i="74"/>
  <c r="BM49" i="74"/>
  <c r="BL49" i="74"/>
  <c r="BK49" i="74"/>
  <c r="BJ49" i="74"/>
  <c r="BI49" i="74"/>
  <c r="BH49" i="74"/>
  <c r="BG49" i="74"/>
  <c r="BF49" i="74"/>
  <c r="BE49" i="74"/>
  <c r="BD49" i="74"/>
  <c r="BC49" i="74"/>
  <c r="BB49" i="74"/>
  <c r="BA49" i="74"/>
  <c r="AZ49" i="74"/>
  <c r="AY49" i="74"/>
  <c r="AX49" i="74"/>
  <c r="AW49" i="74"/>
  <c r="AV49" i="74"/>
  <c r="AU49" i="74"/>
  <c r="AT49" i="74"/>
  <c r="AS49" i="74"/>
  <c r="AR49" i="74"/>
  <c r="AQ49" i="74"/>
  <c r="AP49" i="74"/>
  <c r="AO49" i="74"/>
  <c r="AN49" i="74"/>
  <c r="AM49" i="74"/>
  <c r="AL49" i="74"/>
  <c r="AK49" i="74"/>
  <c r="AJ49" i="74"/>
  <c r="AI49" i="74"/>
  <c r="AH49" i="74"/>
  <c r="AG49" i="74"/>
  <c r="AF49" i="74"/>
  <c r="AE49" i="74"/>
  <c r="AD49" i="74"/>
  <c r="AC49" i="74"/>
  <c r="AB49" i="74"/>
  <c r="AA49" i="74"/>
  <c r="Z49" i="74"/>
  <c r="Y49" i="74"/>
  <c r="X49" i="74"/>
  <c r="W49" i="74"/>
  <c r="V49" i="74"/>
  <c r="U49" i="74"/>
  <c r="T49" i="74"/>
  <c r="S49" i="74"/>
  <c r="R49" i="74"/>
  <c r="Q49" i="74"/>
  <c r="P49" i="74"/>
  <c r="O49" i="74"/>
  <c r="N49" i="74"/>
  <c r="M49" i="74"/>
  <c r="L49" i="74"/>
  <c r="K49" i="74"/>
  <c r="J49" i="74"/>
  <c r="I49" i="74"/>
  <c r="H49" i="74"/>
  <c r="G49" i="74"/>
  <c r="F49" i="74"/>
  <c r="E49" i="74"/>
  <c r="D49" i="74"/>
  <c r="C49" i="74"/>
  <c r="A49" i="74"/>
  <c r="CA48" i="74"/>
  <c r="BZ48" i="74"/>
  <c r="BY48" i="74"/>
  <c r="BX48" i="74"/>
  <c r="BW48" i="74"/>
  <c r="BV48" i="74"/>
  <c r="BU48" i="74"/>
  <c r="BT48" i="74"/>
  <c r="BS48" i="74"/>
  <c r="BR48" i="74"/>
  <c r="BQ48" i="74"/>
  <c r="BP48" i="74"/>
  <c r="BO48" i="74"/>
  <c r="BN48" i="74"/>
  <c r="BM48" i="74"/>
  <c r="BL48" i="74"/>
  <c r="BK48" i="74"/>
  <c r="BJ48" i="74"/>
  <c r="BI48" i="74"/>
  <c r="BH48" i="74"/>
  <c r="BG48" i="74"/>
  <c r="BF48" i="74"/>
  <c r="BE48" i="74"/>
  <c r="BD48" i="74"/>
  <c r="BC48" i="74"/>
  <c r="BB48" i="74"/>
  <c r="BA48" i="74"/>
  <c r="AZ48" i="74"/>
  <c r="AY48" i="74"/>
  <c r="AX48" i="74"/>
  <c r="AW48" i="74"/>
  <c r="AV48" i="74"/>
  <c r="AU48" i="74"/>
  <c r="AT48" i="74"/>
  <c r="AS48" i="74"/>
  <c r="AR48" i="74"/>
  <c r="AQ48" i="74"/>
  <c r="AP48" i="74"/>
  <c r="AO48" i="74"/>
  <c r="AN48" i="74"/>
  <c r="AM48" i="74"/>
  <c r="AL48" i="74"/>
  <c r="AK48" i="74"/>
  <c r="AJ48" i="74"/>
  <c r="AI48" i="74"/>
  <c r="AH48" i="74"/>
  <c r="AG48" i="74"/>
  <c r="AF48" i="74"/>
  <c r="AE48" i="74"/>
  <c r="AD48" i="74"/>
  <c r="AC48" i="74"/>
  <c r="AB48" i="74"/>
  <c r="AA48" i="74"/>
  <c r="Z48" i="74"/>
  <c r="Y48" i="74"/>
  <c r="X48" i="74"/>
  <c r="W48" i="74"/>
  <c r="V48" i="74"/>
  <c r="U48" i="74"/>
  <c r="T48" i="74"/>
  <c r="S48" i="74"/>
  <c r="R48" i="74"/>
  <c r="Q48" i="74"/>
  <c r="P48" i="74"/>
  <c r="O48" i="74"/>
  <c r="N48" i="74"/>
  <c r="M48" i="74"/>
  <c r="L48" i="74"/>
  <c r="K48" i="74"/>
  <c r="J48" i="74"/>
  <c r="I48" i="74"/>
  <c r="H48" i="74"/>
  <c r="G48" i="74"/>
  <c r="F48" i="74"/>
  <c r="E48" i="74"/>
  <c r="D48" i="74"/>
  <c r="C48" i="74"/>
  <c r="A48" i="74"/>
  <c r="CA47" i="74"/>
  <c r="BZ47" i="74"/>
  <c r="BY47" i="74"/>
  <c r="BX47" i="74"/>
  <c r="BW47" i="74"/>
  <c r="BV47" i="74"/>
  <c r="BU47" i="74"/>
  <c r="BT47" i="74"/>
  <c r="BS47" i="74"/>
  <c r="BR47" i="74"/>
  <c r="BQ47" i="74"/>
  <c r="BP47" i="74"/>
  <c r="BO47" i="74"/>
  <c r="BN47" i="74"/>
  <c r="BM47" i="74"/>
  <c r="BL47" i="74"/>
  <c r="BK47" i="74"/>
  <c r="BJ47" i="74"/>
  <c r="BI47" i="74"/>
  <c r="BH47" i="74"/>
  <c r="BG47" i="74"/>
  <c r="BF47" i="74"/>
  <c r="BE47" i="74"/>
  <c r="BD47" i="74"/>
  <c r="BC47" i="74"/>
  <c r="BB47" i="74"/>
  <c r="BA47" i="74"/>
  <c r="AZ47" i="74"/>
  <c r="AY47" i="74"/>
  <c r="AX47" i="74"/>
  <c r="AW47" i="74"/>
  <c r="AV47" i="74"/>
  <c r="AU47" i="74"/>
  <c r="AT47" i="74"/>
  <c r="AS47" i="74"/>
  <c r="AR47" i="74"/>
  <c r="AQ47" i="74"/>
  <c r="AP47" i="74"/>
  <c r="AO47" i="74"/>
  <c r="AN47" i="74"/>
  <c r="AM47" i="74"/>
  <c r="AL47" i="74"/>
  <c r="AK47" i="74"/>
  <c r="AJ47" i="74"/>
  <c r="AI47" i="74"/>
  <c r="AH47" i="74"/>
  <c r="AG47" i="74"/>
  <c r="AF47" i="74"/>
  <c r="AE47" i="74"/>
  <c r="AD47" i="74"/>
  <c r="AC47" i="74"/>
  <c r="AB47" i="74"/>
  <c r="AA47" i="74"/>
  <c r="Z47" i="74"/>
  <c r="Y47" i="74"/>
  <c r="X47" i="74"/>
  <c r="W47" i="74"/>
  <c r="V47" i="74"/>
  <c r="U47" i="74"/>
  <c r="T47" i="74"/>
  <c r="S47" i="74"/>
  <c r="R47" i="74"/>
  <c r="Q47" i="74"/>
  <c r="P47" i="74"/>
  <c r="O47" i="74"/>
  <c r="N47" i="74"/>
  <c r="M47" i="74"/>
  <c r="L47" i="74"/>
  <c r="K47" i="74"/>
  <c r="J47" i="74"/>
  <c r="I47" i="74"/>
  <c r="H47" i="74"/>
  <c r="G47" i="74"/>
  <c r="F47" i="74"/>
  <c r="E47" i="74"/>
  <c r="D47" i="74"/>
  <c r="C47" i="74"/>
  <c r="A47" i="74"/>
  <c r="CA46" i="74"/>
  <c r="BZ46" i="74"/>
  <c r="BY46" i="74"/>
  <c r="BX46" i="74"/>
  <c r="BW46" i="74"/>
  <c r="BV46" i="74"/>
  <c r="BU46" i="74"/>
  <c r="BT46" i="74"/>
  <c r="BS46" i="74"/>
  <c r="BR46" i="74"/>
  <c r="BQ46" i="74"/>
  <c r="BP46" i="74"/>
  <c r="BO46" i="74"/>
  <c r="BN46" i="74"/>
  <c r="BM46" i="74"/>
  <c r="BL46" i="74"/>
  <c r="BK46" i="74"/>
  <c r="BJ46" i="74"/>
  <c r="BI46" i="74"/>
  <c r="BH46" i="74"/>
  <c r="BG46" i="74"/>
  <c r="BF46" i="74"/>
  <c r="BE46" i="74"/>
  <c r="BD46" i="74"/>
  <c r="BC46" i="74"/>
  <c r="BB46" i="74"/>
  <c r="BA46" i="74"/>
  <c r="AZ46" i="74"/>
  <c r="AY46" i="74"/>
  <c r="AX46" i="74"/>
  <c r="AW46" i="74"/>
  <c r="AV46" i="74"/>
  <c r="AU46" i="74"/>
  <c r="AT46" i="74"/>
  <c r="AS46" i="74"/>
  <c r="AR46" i="74"/>
  <c r="AQ46" i="74"/>
  <c r="AP46" i="74"/>
  <c r="AO46" i="74"/>
  <c r="AN46" i="74"/>
  <c r="AM46" i="74"/>
  <c r="AL46" i="74"/>
  <c r="AK46" i="74"/>
  <c r="AJ46" i="74"/>
  <c r="AI46" i="74"/>
  <c r="AH46" i="74"/>
  <c r="AG46" i="74"/>
  <c r="AF46" i="74"/>
  <c r="AE46" i="74"/>
  <c r="AD46" i="74"/>
  <c r="AC46" i="74"/>
  <c r="AB46" i="74"/>
  <c r="AA46" i="74"/>
  <c r="Z46" i="74"/>
  <c r="Y46" i="74"/>
  <c r="X46" i="74"/>
  <c r="W46" i="74"/>
  <c r="V46" i="74"/>
  <c r="U46" i="74"/>
  <c r="T46" i="74"/>
  <c r="S46" i="74"/>
  <c r="R46" i="74"/>
  <c r="Q46" i="74"/>
  <c r="P46" i="74"/>
  <c r="O46" i="74"/>
  <c r="N46" i="74"/>
  <c r="M46" i="74"/>
  <c r="L46" i="74"/>
  <c r="K46" i="74"/>
  <c r="J46" i="74"/>
  <c r="I46" i="74"/>
  <c r="H46" i="74"/>
  <c r="G46" i="74"/>
  <c r="F46" i="74"/>
  <c r="E46" i="74"/>
  <c r="D46" i="74"/>
  <c r="C46" i="74"/>
  <c r="A46" i="74"/>
  <c r="A45" i="74"/>
  <c r="CA44" i="74"/>
  <c r="BZ44" i="74"/>
  <c r="BY44" i="74"/>
  <c r="BX44" i="74"/>
  <c r="BW44" i="74"/>
  <c r="BV44" i="74"/>
  <c r="BU44" i="74"/>
  <c r="BT44" i="74"/>
  <c r="BS44" i="74"/>
  <c r="BR44" i="74"/>
  <c r="BQ44" i="74"/>
  <c r="BP44" i="74"/>
  <c r="BO44" i="74"/>
  <c r="BN44" i="74"/>
  <c r="BM44" i="74"/>
  <c r="BL44" i="74"/>
  <c r="BK44" i="74"/>
  <c r="BJ44" i="74"/>
  <c r="BI44" i="74"/>
  <c r="BH44" i="74"/>
  <c r="BG44" i="74"/>
  <c r="BF44" i="74"/>
  <c r="BE44" i="74"/>
  <c r="BD44" i="74"/>
  <c r="BC44" i="74"/>
  <c r="BB44" i="74"/>
  <c r="BA44" i="74"/>
  <c r="AZ44" i="74"/>
  <c r="AY44" i="74"/>
  <c r="AX44" i="74"/>
  <c r="AW44" i="74"/>
  <c r="AV44" i="74"/>
  <c r="AU44" i="74"/>
  <c r="AT44" i="74"/>
  <c r="AS44" i="74"/>
  <c r="AR44" i="74"/>
  <c r="AQ44" i="74"/>
  <c r="AP44" i="74"/>
  <c r="AO44" i="74"/>
  <c r="AN44" i="74"/>
  <c r="AM44" i="74"/>
  <c r="AL44" i="74"/>
  <c r="AK44" i="74"/>
  <c r="AJ44" i="74"/>
  <c r="AI44" i="74"/>
  <c r="AH44" i="74"/>
  <c r="AG44" i="74"/>
  <c r="AF44" i="74"/>
  <c r="AE44" i="74"/>
  <c r="AD44" i="74"/>
  <c r="AC44" i="74"/>
  <c r="AB44" i="74"/>
  <c r="AA44" i="74"/>
  <c r="Z44" i="74"/>
  <c r="Y44" i="74"/>
  <c r="X44" i="74"/>
  <c r="W44" i="74"/>
  <c r="V44" i="74"/>
  <c r="U44" i="74"/>
  <c r="T44" i="74"/>
  <c r="S44" i="74"/>
  <c r="R44" i="74"/>
  <c r="Q44" i="74"/>
  <c r="P44" i="74"/>
  <c r="O44" i="74"/>
  <c r="N44" i="74"/>
  <c r="M44" i="74"/>
  <c r="L44" i="74"/>
  <c r="K44" i="74"/>
  <c r="J44" i="74"/>
  <c r="I44" i="74"/>
  <c r="H44" i="74"/>
  <c r="G44" i="74"/>
  <c r="F44" i="74"/>
  <c r="E44" i="74"/>
  <c r="D44" i="74"/>
  <c r="C44" i="74"/>
  <c r="A44" i="74"/>
  <c r="CA43" i="74"/>
  <c r="BZ43" i="74"/>
  <c r="BY43" i="74"/>
  <c r="BX43" i="74"/>
  <c r="BW43" i="74"/>
  <c r="BV43" i="74"/>
  <c r="BU43" i="74"/>
  <c r="BT43" i="74"/>
  <c r="BS43" i="74"/>
  <c r="BR43" i="74"/>
  <c r="BQ43" i="74"/>
  <c r="BP43" i="74"/>
  <c r="BO43" i="74"/>
  <c r="BN43" i="74"/>
  <c r="BM43" i="74"/>
  <c r="BL43" i="74"/>
  <c r="BK43" i="74"/>
  <c r="BJ43" i="74"/>
  <c r="BI43" i="74"/>
  <c r="BH43" i="74"/>
  <c r="BG43" i="74"/>
  <c r="BF43" i="74"/>
  <c r="BE43" i="74"/>
  <c r="BD43" i="74"/>
  <c r="BC43" i="74"/>
  <c r="BB43" i="74"/>
  <c r="BA43" i="74"/>
  <c r="AZ43" i="74"/>
  <c r="AY43" i="74"/>
  <c r="AX43" i="74"/>
  <c r="AW43" i="74"/>
  <c r="AV43" i="74"/>
  <c r="AU43" i="74"/>
  <c r="AT43" i="74"/>
  <c r="AS43" i="74"/>
  <c r="AR43" i="74"/>
  <c r="AQ43" i="74"/>
  <c r="AP43" i="74"/>
  <c r="AO43" i="74"/>
  <c r="AN43" i="74"/>
  <c r="AM43" i="74"/>
  <c r="AL43" i="74"/>
  <c r="AK43" i="74"/>
  <c r="AJ43" i="74"/>
  <c r="AI43" i="74"/>
  <c r="AH43" i="74"/>
  <c r="AG43" i="74"/>
  <c r="AF43" i="74"/>
  <c r="AE43" i="74"/>
  <c r="AD43" i="74"/>
  <c r="AC43" i="74"/>
  <c r="AB43" i="74"/>
  <c r="AA43" i="74"/>
  <c r="Z43" i="74"/>
  <c r="Y43" i="74"/>
  <c r="X43" i="74"/>
  <c r="W43" i="74"/>
  <c r="V43" i="74"/>
  <c r="U43" i="74"/>
  <c r="T43" i="74"/>
  <c r="S43" i="74"/>
  <c r="R43" i="74"/>
  <c r="Q43" i="74"/>
  <c r="P43" i="74"/>
  <c r="O43" i="74"/>
  <c r="N43" i="74"/>
  <c r="M43" i="74"/>
  <c r="L43" i="74"/>
  <c r="K43" i="74"/>
  <c r="J43" i="74"/>
  <c r="I43" i="74"/>
  <c r="H43" i="74"/>
  <c r="G43" i="74"/>
  <c r="F43" i="74"/>
  <c r="E43" i="74"/>
  <c r="D43" i="74"/>
  <c r="C43" i="74"/>
  <c r="A43" i="74"/>
  <c r="CA42" i="74"/>
  <c r="BZ42" i="74"/>
  <c r="BY42" i="74"/>
  <c r="BX42" i="74"/>
  <c r="BW42" i="74"/>
  <c r="BV42" i="74"/>
  <c r="BU42" i="74"/>
  <c r="BT42" i="74"/>
  <c r="BS42" i="74"/>
  <c r="BR42" i="74"/>
  <c r="BQ42" i="74"/>
  <c r="BP42" i="74"/>
  <c r="BO42" i="74"/>
  <c r="BN42" i="74"/>
  <c r="BM42" i="74"/>
  <c r="BL42" i="74"/>
  <c r="BK42" i="74"/>
  <c r="BJ42" i="74"/>
  <c r="BI42" i="74"/>
  <c r="BH42" i="74"/>
  <c r="BG42" i="74"/>
  <c r="BF42" i="74"/>
  <c r="BE42" i="74"/>
  <c r="BD42" i="74"/>
  <c r="BC42" i="74"/>
  <c r="BB42" i="74"/>
  <c r="BA42" i="74"/>
  <c r="AZ42" i="74"/>
  <c r="AY42" i="74"/>
  <c r="AX42" i="74"/>
  <c r="AW42" i="74"/>
  <c r="AV42" i="74"/>
  <c r="AU42" i="74"/>
  <c r="AT42" i="74"/>
  <c r="AS42" i="74"/>
  <c r="AR42" i="74"/>
  <c r="AQ42" i="74"/>
  <c r="AP42" i="74"/>
  <c r="AO42" i="74"/>
  <c r="AN42" i="74"/>
  <c r="AM42" i="74"/>
  <c r="AL42" i="74"/>
  <c r="AK42" i="74"/>
  <c r="AJ42" i="74"/>
  <c r="AI42" i="74"/>
  <c r="AH42" i="74"/>
  <c r="AG42" i="74"/>
  <c r="AF42" i="74"/>
  <c r="AE42" i="74"/>
  <c r="AD42" i="74"/>
  <c r="AC42" i="74"/>
  <c r="AB42" i="74"/>
  <c r="AA42" i="74"/>
  <c r="Z42" i="74"/>
  <c r="Y42" i="74"/>
  <c r="X42" i="74"/>
  <c r="W42" i="74"/>
  <c r="V42" i="74"/>
  <c r="U42" i="74"/>
  <c r="T42" i="74"/>
  <c r="S42" i="74"/>
  <c r="R42" i="74"/>
  <c r="Q42" i="74"/>
  <c r="P42" i="74"/>
  <c r="O42" i="74"/>
  <c r="N42" i="74"/>
  <c r="M42" i="74"/>
  <c r="L42" i="74"/>
  <c r="K42" i="74"/>
  <c r="J42" i="74"/>
  <c r="I42" i="74"/>
  <c r="H42" i="74"/>
  <c r="G42" i="74"/>
  <c r="F42" i="74"/>
  <c r="E42" i="74"/>
  <c r="D42" i="74"/>
  <c r="C42" i="74"/>
  <c r="A42" i="74"/>
  <c r="CA41" i="74"/>
  <c r="BZ41" i="74"/>
  <c r="BY41" i="74"/>
  <c r="BX41" i="74"/>
  <c r="BW41" i="74"/>
  <c r="BV41" i="74"/>
  <c r="BU41" i="74"/>
  <c r="BT41" i="74"/>
  <c r="BS41" i="74"/>
  <c r="BR41" i="74"/>
  <c r="BQ41" i="74"/>
  <c r="BP41" i="74"/>
  <c r="BO41" i="74"/>
  <c r="BN41" i="74"/>
  <c r="BM41" i="74"/>
  <c r="BL41" i="74"/>
  <c r="BK41" i="74"/>
  <c r="BJ41" i="74"/>
  <c r="BI41" i="74"/>
  <c r="BH41" i="74"/>
  <c r="BG41" i="74"/>
  <c r="BF41" i="74"/>
  <c r="BE41" i="74"/>
  <c r="BD41" i="74"/>
  <c r="BC41" i="74"/>
  <c r="BB41" i="74"/>
  <c r="BA41" i="74"/>
  <c r="AZ41" i="74"/>
  <c r="AY41" i="74"/>
  <c r="AX41" i="74"/>
  <c r="AW41" i="74"/>
  <c r="AV41" i="74"/>
  <c r="AU41" i="74"/>
  <c r="AT41" i="74"/>
  <c r="AS41" i="74"/>
  <c r="AR41" i="74"/>
  <c r="AQ41" i="74"/>
  <c r="AP41" i="74"/>
  <c r="AO41" i="74"/>
  <c r="AN41" i="74"/>
  <c r="AM41" i="74"/>
  <c r="AL41" i="74"/>
  <c r="AK41" i="74"/>
  <c r="AJ41" i="74"/>
  <c r="AI41" i="74"/>
  <c r="AH41" i="74"/>
  <c r="AG41" i="74"/>
  <c r="AF41" i="74"/>
  <c r="AE41" i="74"/>
  <c r="AD41" i="74"/>
  <c r="AC41" i="74"/>
  <c r="AB41" i="74"/>
  <c r="AA41" i="74"/>
  <c r="Z41" i="74"/>
  <c r="Y41" i="74"/>
  <c r="X41" i="74"/>
  <c r="W41" i="74"/>
  <c r="V41" i="74"/>
  <c r="U41" i="74"/>
  <c r="T41" i="74"/>
  <c r="S41" i="74"/>
  <c r="R41" i="74"/>
  <c r="Q41" i="74"/>
  <c r="P41" i="74"/>
  <c r="O41" i="74"/>
  <c r="N41" i="74"/>
  <c r="M41" i="74"/>
  <c r="L41" i="74"/>
  <c r="K41" i="74"/>
  <c r="J41" i="74"/>
  <c r="I41" i="74"/>
  <c r="H41" i="74"/>
  <c r="G41" i="74"/>
  <c r="F41" i="74"/>
  <c r="E41" i="74"/>
  <c r="D41" i="74"/>
  <c r="C41" i="74"/>
  <c r="A41" i="74"/>
  <c r="CA40" i="74"/>
  <c r="BZ40" i="74"/>
  <c r="BY40" i="74"/>
  <c r="BX40" i="74"/>
  <c r="BW40" i="74"/>
  <c r="BV40" i="74"/>
  <c r="BU40" i="74"/>
  <c r="BT40" i="74"/>
  <c r="BS40" i="74"/>
  <c r="BR40" i="74"/>
  <c r="BQ40" i="74"/>
  <c r="BP40" i="74"/>
  <c r="BO40" i="74"/>
  <c r="BN40" i="74"/>
  <c r="BM40" i="74"/>
  <c r="BL40" i="74"/>
  <c r="BK40" i="74"/>
  <c r="BJ40" i="74"/>
  <c r="BI40" i="74"/>
  <c r="BH40" i="74"/>
  <c r="BG40" i="74"/>
  <c r="BF40" i="74"/>
  <c r="BE40" i="74"/>
  <c r="BD40" i="74"/>
  <c r="BC40" i="74"/>
  <c r="BB40" i="74"/>
  <c r="BA40" i="74"/>
  <c r="AZ40" i="74"/>
  <c r="AY40" i="74"/>
  <c r="AX40" i="74"/>
  <c r="AW40" i="74"/>
  <c r="AV40" i="74"/>
  <c r="AU40" i="74"/>
  <c r="AT40" i="74"/>
  <c r="AS40" i="74"/>
  <c r="AR40" i="74"/>
  <c r="AQ40" i="74"/>
  <c r="AP40" i="74"/>
  <c r="AO40" i="74"/>
  <c r="AN40" i="74"/>
  <c r="AM40" i="74"/>
  <c r="AL40" i="74"/>
  <c r="AK40" i="74"/>
  <c r="AJ40" i="74"/>
  <c r="AI40" i="74"/>
  <c r="AH40" i="74"/>
  <c r="AG40" i="74"/>
  <c r="AF40" i="74"/>
  <c r="AE40" i="74"/>
  <c r="AD40" i="74"/>
  <c r="AC40" i="74"/>
  <c r="AB40" i="74"/>
  <c r="AA40" i="74"/>
  <c r="Z40" i="74"/>
  <c r="Y40" i="74"/>
  <c r="X40" i="74"/>
  <c r="W40" i="74"/>
  <c r="V40" i="74"/>
  <c r="U40" i="74"/>
  <c r="T40" i="74"/>
  <c r="S40" i="74"/>
  <c r="R40" i="74"/>
  <c r="Q40" i="74"/>
  <c r="P40" i="74"/>
  <c r="O40" i="74"/>
  <c r="N40" i="74"/>
  <c r="M40" i="74"/>
  <c r="L40" i="74"/>
  <c r="K40" i="74"/>
  <c r="J40" i="74"/>
  <c r="I40" i="74"/>
  <c r="H40" i="74"/>
  <c r="G40" i="74"/>
  <c r="F40" i="74"/>
  <c r="E40" i="74"/>
  <c r="D40" i="74"/>
  <c r="C40" i="74"/>
  <c r="A40" i="74"/>
  <c r="CA39" i="74"/>
  <c r="BZ39" i="74"/>
  <c r="BY39" i="74"/>
  <c r="BX39" i="74"/>
  <c r="BW39" i="74"/>
  <c r="BV39" i="74"/>
  <c r="BU39" i="74"/>
  <c r="BT39" i="74"/>
  <c r="BS39" i="74"/>
  <c r="BR39" i="74"/>
  <c r="BQ39" i="74"/>
  <c r="BP39" i="74"/>
  <c r="BO39" i="74"/>
  <c r="BN39" i="74"/>
  <c r="BM39" i="74"/>
  <c r="BL39" i="74"/>
  <c r="BK39" i="74"/>
  <c r="BJ39" i="74"/>
  <c r="BI39" i="74"/>
  <c r="BH39" i="74"/>
  <c r="BG39" i="74"/>
  <c r="BF39" i="74"/>
  <c r="BE39" i="74"/>
  <c r="BD39" i="74"/>
  <c r="BC39" i="74"/>
  <c r="BB39" i="74"/>
  <c r="BA39" i="74"/>
  <c r="AZ39" i="74"/>
  <c r="AY39" i="74"/>
  <c r="AX39" i="74"/>
  <c r="AW39" i="74"/>
  <c r="AV39" i="74"/>
  <c r="AU39" i="74"/>
  <c r="AT39" i="74"/>
  <c r="AS39" i="74"/>
  <c r="AR39" i="74"/>
  <c r="AQ39" i="74"/>
  <c r="AP39" i="74"/>
  <c r="AO39" i="74"/>
  <c r="AN39" i="74"/>
  <c r="AM39" i="74"/>
  <c r="AL39" i="74"/>
  <c r="AK39" i="74"/>
  <c r="AJ39" i="74"/>
  <c r="AI39" i="74"/>
  <c r="AH39" i="74"/>
  <c r="AG39" i="74"/>
  <c r="AF39" i="74"/>
  <c r="AE39" i="74"/>
  <c r="AD39" i="74"/>
  <c r="AC39" i="74"/>
  <c r="AB39" i="74"/>
  <c r="AA39" i="74"/>
  <c r="Z39" i="74"/>
  <c r="Y39" i="74"/>
  <c r="X39" i="74"/>
  <c r="W39" i="74"/>
  <c r="V39" i="74"/>
  <c r="U39" i="74"/>
  <c r="T39" i="74"/>
  <c r="S39" i="74"/>
  <c r="R39" i="74"/>
  <c r="Q39" i="74"/>
  <c r="P39" i="74"/>
  <c r="O39" i="74"/>
  <c r="N39" i="74"/>
  <c r="M39" i="74"/>
  <c r="L39" i="74"/>
  <c r="K39" i="74"/>
  <c r="J39" i="74"/>
  <c r="I39" i="74"/>
  <c r="H39" i="74"/>
  <c r="G39" i="74"/>
  <c r="F39" i="74"/>
  <c r="E39" i="74"/>
  <c r="D39" i="74"/>
  <c r="C39" i="74"/>
  <c r="A39" i="74"/>
  <c r="CA38" i="74"/>
  <c r="BZ38" i="74"/>
  <c r="BY38" i="74"/>
  <c r="BX38" i="74"/>
  <c r="BW38" i="74"/>
  <c r="BV38" i="74"/>
  <c r="BU38" i="74"/>
  <c r="BT38" i="74"/>
  <c r="BS38" i="74"/>
  <c r="BR38" i="74"/>
  <c r="BQ38" i="74"/>
  <c r="BP38" i="74"/>
  <c r="BO38" i="74"/>
  <c r="BN38" i="74"/>
  <c r="BM38" i="74"/>
  <c r="BL38" i="74"/>
  <c r="BK38" i="74"/>
  <c r="BJ38" i="74"/>
  <c r="BI38" i="74"/>
  <c r="BH38" i="74"/>
  <c r="BG38" i="74"/>
  <c r="BF38" i="74"/>
  <c r="BE38" i="74"/>
  <c r="BD38" i="74"/>
  <c r="BC38" i="74"/>
  <c r="BB38" i="74"/>
  <c r="BA38" i="74"/>
  <c r="AZ38" i="74"/>
  <c r="AY38" i="74"/>
  <c r="AX38" i="74"/>
  <c r="AW38" i="74"/>
  <c r="AV38" i="74"/>
  <c r="AU38" i="74"/>
  <c r="AT38" i="74"/>
  <c r="AS38" i="74"/>
  <c r="AR38" i="74"/>
  <c r="AQ38" i="74"/>
  <c r="AP38" i="74"/>
  <c r="AO38" i="74"/>
  <c r="AN38" i="74"/>
  <c r="AM38" i="74"/>
  <c r="AL38" i="74"/>
  <c r="AK38" i="74"/>
  <c r="AJ38" i="74"/>
  <c r="AI38" i="74"/>
  <c r="AH38" i="74"/>
  <c r="AG38" i="74"/>
  <c r="AF38" i="74"/>
  <c r="AE38" i="74"/>
  <c r="AD38" i="74"/>
  <c r="AC38" i="74"/>
  <c r="AB38" i="74"/>
  <c r="AA38" i="74"/>
  <c r="Z38" i="74"/>
  <c r="Y38" i="74"/>
  <c r="X38" i="74"/>
  <c r="W38" i="74"/>
  <c r="V38" i="74"/>
  <c r="U38" i="74"/>
  <c r="T38" i="74"/>
  <c r="S38" i="74"/>
  <c r="R38" i="74"/>
  <c r="Q38" i="74"/>
  <c r="P38" i="74"/>
  <c r="O38" i="74"/>
  <c r="N38" i="74"/>
  <c r="M38" i="74"/>
  <c r="L38" i="74"/>
  <c r="K38" i="74"/>
  <c r="J38" i="74"/>
  <c r="I38" i="74"/>
  <c r="H38" i="74"/>
  <c r="G38" i="74"/>
  <c r="F38" i="74"/>
  <c r="E38" i="74"/>
  <c r="D38" i="74"/>
  <c r="C38" i="74"/>
  <c r="A38" i="74"/>
  <c r="CA37" i="74"/>
  <c r="BZ37" i="74"/>
  <c r="BY37" i="74"/>
  <c r="BX37" i="74"/>
  <c r="BW37" i="74"/>
  <c r="BV37" i="74"/>
  <c r="BU37" i="74"/>
  <c r="BT37" i="74"/>
  <c r="BS37" i="74"/>
  <c r="BR37" i="74"/>
  <c r="BQ37" i="74"/>
  <c r="BP37" i="74"/>
  <c r="BO37" i="74"/>
  <c r="BN37" i="74"/>
  <c r="BM37" i="74"/>
  <c r="BL37" i="74"/>
  <c r="BK37" i="74"/>
  <c r="BJ37" i="74"/>
  <c r="BI37" i="74"/>
  <c r="BH37" i="74"/>
  <c r="BG37" i="74"/>
  <c r="BF37" i="74"/>
  <c r="BE37" i="74"/>
  <c r="BD37" i="74"/>
  <c r="BC37" i="74"/>
  <c r="BB37" i="74"/>
  <c r="BA37" i="74"/>
  <c r="AZ37" i="74"/>
  <c r="AY37" i="74"/>
  <c r="AX37" i="74"/>
  <c r="AW37" i="74"/>
  <c r="AV37" i="74"/>
  <c r="AU37" i="74"/>
  <c r="AT37" i="74"/>
  <c r="AS37" i="74"/>
  <c r="AR37" i="74"/>
  <c r="AQ37" i="74"/>
  <c r="AP37" i="74"/>
  <c r="AO37" i="74"/>
  <c r="AN37" i="74"/>
  <c r="AM37" i="74"/>
  <c r="AL37" i="74"/>
  <c r="AK37" i="74"/>
  <c r="AJ37" i="74"/>
  <c r="AI37" i="74"/>
  <c r="AH37" i="74"/>
  <c r="AG37" i="74"/>
  <c r="AF37" i="74"/>
  <c r="AE37" i="74"/>
  <c r="AD37" i="74"/>
  <c r="AC37" i="74"/>
  <c r="AB37" i="74"/>
  <c r="AA37" i="74"/>
  <c r="Z37" i="74"/>
  <c r="Y37" i="74"/>
  <c r="X37" i="74"/>
  <c r="W37" i="74"/>
  <c r="V37" i="74"/>
  <c r="U37" i="74"/>
  <c r="T37" i="74"/>
  <c r="S37" i="74"/>
  <c r="R37" i="74"/>
  <c r="Q37" i="74"/>
  <c r="P37" i="74"/>
  <c r="O37" i="74"/>
  <c r="N37" i="74"/>
  <c r="M37" i="74"/>
  <c r="L37" i="74"/>
  <c r="K37" i="74"/>
  <c r="J37" i="74"/>
  <c r="I37" i="74"/>
  <c r="H37" i="74"/>
  <c r="G37" i="74"/>
  <c r="F37" i="74"/>
  <c r="E37" i="74"/>
  <c r="D37" i="74"/>
  <c r="C37" i="74"/>
  <c r="A37" i="74"/>
  <c r="CA36" i="74"/>
  <c r="BZ36" i="74"/>
  <c r="BY36" i="74"/>
  <c r="BX36" i="74"/>
  <c r="BW36" i="74"/>
  <c r="BV36" i="74"/>
  <c r="BU36" i="74"/>
  <c r="BT36" i="74"/>
  <c r="BS36" i="74"/>
  <c r="BR36" i="74"/>
  <c r="BQ36" i="74"/>
  <c r="BP36" i="74"/>
  <c r="BO36" i="74"/>
  <c r="BN36" i="74"/>
  <c r="BM36" i="74"/>
  <c r="BL36" i="74"/>
  <c r="BK36" i="74"/>
  <c r="BJ36" i="74"/>
  <c r="BI36" i="74"/>
  <c r="BH36" i="74"/>
  <c r="BG36" i="74"/>
  <c r="BF36" i="74"/>
  <c r="BE36" i="74"/>
  <c r="BD36" i="74"/>
  <c r="BC36" i="74"/>
  <c r="BB36" i="74"/>
  <c r="BA36" i="74"/>
  <c r="AZ36" i="74"/>
  <c r="AY36" i="74"/>
  <c r="AX36" i="74"/>
  <c r="AW36" i="74"/>
  <c r="AV36" i="74"/>
  <c r="AU36" i="74"/>
  <c r="AT36" i="74"/>
  <c r="AS36" i="74"/>
  <c r="AR36" i="74"/>
  <c r="AQ36" i="74"/>
  <c r="AP36" i="74"/>
  <c r="AO36" i="74"/>
  <c r="AN36" i="74"/>
  <c r="AM36" i="74"/>
  <c r="AL36" i="74"/>
  <c r="AK36" i="74"/>
  <c r="AJ36" i="74"/>
  <c r="AI36" i="74"/>
  <c r="AH36" i="74"/>
  <c r="AG36" i="74"/>
  <c r="AF36" i="74"/>
  <c r="AE36" i="74"/>
  <c r="AD36" i="74"/>
  <c r="AC36" i="74"/>
  <c r="AB36" i="74"/>
  <c r="AA36" i="74"/>
  <c r="Z36" i="74"/>
  <c r="Y36" i="74"/>
  <c r="X36" i="74"/>
  <c r="W36" i="74"/>
  <c r="V36" i="74"/>
  <c r="U36" i="74"/>
  <c r="T36" i="74"/>
  <c r="S36" i="74"/>
  <c r="R36" i="74"/>
  <c r="Q36" i="74"/>
  <c r="P36" i="74"/>
  <c r="O36" i="74"/>
  <c r="N36" i="74"/>
  <c r="M36" i="74"/>
  <c r="L36" i="74"/>
  <c r="K36" i="74"/>
  <c r="J36" i="74"/>
  <c r="I36" i="74"/>
  <c r="H36" i="74"/>
  <c r="G36" i="74"/>
  <c r="F36" i="74"/>
  <c r="E36" i="74"/>
  <c r="D36" i="74"/>
  <c r="C36" i="74"/>
  <c r="A36" i="74"/>
  <c r="CA35" i="74"/>
  <c r="BZ35" i="74"/>
  <c r="BY35" i="74"/>
  <c r="BX35" i="74"/>
  <c r="BW35" i="74"/>
  <c r="BV35" i="74"/>
  <c r="BU35" i="74"/>
  <c r="BT35" i="74"/>
  <c r="BS35" i="74"/>
  <c r="BR35" i="74"/>
  <c r="BQ35" i="74"/>
  <c r="BP35" i="74"/>
  <c r="BO35" i="74"/>
  <c r="BN35" i="74"/>
  <c r="BM35" i="74"/>
  <c r="BL35" i="74"/>
  <c r="BK35" i="74"/>
  <c r="BJ35" i="74"/>
  <c r="BI35" i="74"/>
  <c r="BH35" i="74"/>
  <c r="BG35" i="74"/>
  <c r="BF35" i="74"/>
  <c r="BE35" i="74"/>
  <c r="BD35" i="74"/>
  <c r="BC35" i="74"/>
  <c r="BB35" i="74"/>
  <c r="BA35" i="74"/>
  <c r="AZ35" i="74"/>
  <c r="AY35" i="74"/>
  <c r="AX35" i="74"/>
  <c r="AW35" i="74"/>
  <c r="AV35" i="74"/>
  <c r="AU35" i="74"/>
  <c r="AT35" i="74"/>
  <c r="AS35" i="74"/>
  <c r="AR35" i="74"/>
  <c r="AQ35" i="74"/>
  <c r="AP35" i="74"/>
  <c r="AO35" i="74"/>
  <c r="AN35" i="74"/>
  <c r="AM35" i="74"/>
  <c r="AL35" i="74"/>
  <c r="AK35" i="74"/>
  <c r="AJ35" i="74"/>
  <c r="AI35" i="74"/>
  <c r="AH35" i="74"/>
  <c r="AG35" i="74"/>
  <c r="AF35" i="74"/>
  <c r="AE35" i="74"/>
  <c r="AD35" i="74"/>
  <c r="AC35" i="74"/>
  <c r="AB35" i="74"/>
  <c r="AA35" i="74"/>
  <c r="Z35" i="74"/>
  <c r="Y35" i="74"/>
  <c r="X35" i="74"/>
  <c r="W35" i="74"/>
  <c r="V35" i="74"/>
  <c r="U35" i="74"/>
  <c r="T35" i="74"/>
  <c r="S35" i="74"/>
  <c r="R35" i="74"/>
  <c r="Q35" i="74"/>
  <c r="P35" i="74"/>
  <c r="O35" i="74"/>
  <c r="N35" i="74"/>
  <c r="M35" i="74"/>
  <c r="L35" i="74"/>
  <c r="K35" i="74"/>
  <c r="J35" i="74"/>
  <c r="I35" i="74"/>
  <c r="H35" i="74"/>
  <c r="G35" i="74"/>
  <c r="F35" i="74"/>
  <c r="E35" i="74"/>
  <c r="D35" i="74"/>
  <c r="C35" i="74"/>
  <c r="A35" i="74"/>
  <c r="CA34" i="74"/>
  <c r="BZ34" i="74"/>
  <c r="BY34" i="74"/>
  <c r="BX34" i="74"/>
  <c r="BW34" i="74"/>
  <c r="BV34" i="74"/>
  <c r="BU34" i="74"/>
  <c r="BT34" i="74"/>
  <c r="BS34" i="74"/>
  <c r="BR34" i="74"/>
  <c r="BQ34" i="74"/>
  <c r="BP34" i="74"/>
  <c r="BO34" i="74"/>
  <c r="BN34" i="74"/>
  <c r="BM34" i="74"/>
  <c r="BL34" i="74"/>
  <c r="BK34" i="74"/>
  <c r="BJ34" i="74"/>
  <c r="BI34" i="74"/>
  <c r="BH34" i="74"/>
  <c r="BG34" i="74"/>
  <c r="BF34" i="74"/>
  <c r="BE34" i="74"/>
  <c r="BD34" i="74"/>
  <c r="BC34" i="74"/>
  <c r="BB34" i="74"/>
  <c r="BA34" i="74"/>
  <c r="AZ34" i="74"/>
  <c r="AY34" i="74"/>
  <c r="AX34" i="74"/>
  <c r="AW34" i="74"/>
  <c r="AV34" i="74"/>
  <c r="AU34" i="74"/>
  <c r="AT34" i="74"/>
  <c r="AS34" i="74"/>
  <c r="AR34" i="74"/>
  <c r="AQ34" i="74"/>
  <c r="AP34" i="74"/>
  <c r="AO34" i="74"/>
  <c r="AN34" i="74"/>
  <c r="AM34" i="74"/>
  <c r="AL34" i="74"/>
  <c r="AK34" i="74"/>
  <c r="AJ34" i="74"/>
  <c r="AI34" i="74"/>
  <c r="AH34" i="74"/>
  <c r="AG34" i="74"/>
  <c r="AF34" i="74"/>
  <c r="AE34" i="74"/>
  <c r="AD34" i="74"/>
  <c r="AC34" i="74"/>
  <c r="AB34" i="74"/>
  <c r="AA34" i="74"/>
  <c r="Z34" i="74"/>
  <c r="Y34" i="74"/>
  <c r="X34" i="74"/>
  <c r="W34" i="74"/>
  <c r="V34" i="74"/>
  <c r="U34" i="74"/>
  <c r="T34" i="74"/>
  <c r="S34" i="74"/>
  <c r="R34" i="74"/>
  <c r="Q34" i="74"/>
  <c r="P34" i="74"/>
  <c r="O34" i="74"/>
  <c r="N34" i="74"/>
  <c r="M34" i="74"/>
  <c r="L34" i="74"/>
  <c r="K34" i="74"/>
  <c r="J34" i="74"/>
  <c r="I34" i="74"/>
  <c r="H34" i="74"/>
  <c r="G34" i="74"/>
  <c r="F34" i="74"/>
  <c r="E34" i="74"/>
  <c r="D34" i="74"/>
  <c r="C34" i="74"/>
  <c r="A34" i="74"/>
  <c r="CA33" i="74"/>
  <c r="BZ33" i="74"/>
  <c r="BY33" i="74"/>
  <c r="BX33" i="74"/>
  <c r="BW33" i="74"/>
  <c r="BV33" i="74"/>
  <c r="BU33" i="74"/>
  <c r="BT33" i="74"/>
  <c r="BS33" i="74"/>
  <c r="BR33" i="74"/>
  <c r="BQ33" i="74"/>
  <c r="BP33" i="74"/>
  <c r="BO33" i="74"/>
  <c r="BN33" i="74"/>
  <c r="BM33" i="74"/>
  <c r="BL33" i="74"/>
  <c r="BK33" i="74"/>
  <c r="BJ33" i="74"/>
  <c r="BI33" i="74"/>
  <c r="BH33" i="74"/>
  <c r="BG33" i="74"/>
  <c r="BF33" i="74"/>
  <c r="BE33" i="74"/>
  <c r="BD33" i="74"/>
  <c r="BC33" i="74"/>
  <c r="BB33" i="74"/>
  <c r="BA33" i="74"/>
  <c r="AZ33" i="74"/>
  <c r="AY33" i="74"/>
  <c r="AX33" i="74"/>
  <c r="AW33" i="74"/>
  <c r="AV33" i="74"/>
  <c r="AU33" i="74"/>
  <c r="AT33" i="74"/>
  <c r="AS33" i="74"/>
  <c r="AR33" i="74"/>
  <c r="AQ33" i="74"/>
  <c r="AP33" i="74"/>
  <c r="AO33" i="74"/>
  <c r="AN33" i="74"/>
  <c r="AM33" i="74"/>
  <c r="AL33" i="74"/>
  <c r="AK33" i="74"/>
  <c r="AJ33" i="74"/>
  <c r="AI33" i="74"/>
  <c r="AH33" i="74"/>
  <c r="AG33" i="74"/>
  <c r="AF33" i="74"/>
  <c r="AE33" i="74"/>
  <c r="AD33" i="74"/>
  <c r="AC33" i="74"/>
  <c r="AB33" i="74"/>
  <c r="AA33" i="74"/>
  <c r="Z33" i="74"/>
  <c r="Y33" i="74"/>
  <c r="X33" i="74"/>
  <c r="W33" i="74"/>
  <c r="V33" i="74"/>
  <c r="U33" i="74"/>
  <c r="T33" i="74"/>
  <c r="S33" i="74"/>
  <c r="R33" i="74"/>
  <c r="Q33" i="74"/>
  <c r="P33" i="74"/>
  <c r="O33" i="74"/>
  <c r="N33" i="74"/>
  <c r="M33" i="74"/>
  <c r="L33" i="74"/>
  <c r="K33" i="74"/>
  <c r="J33" i="74"/>
  <c r="I33" i="74"/>
  <c r="H33" i="74"/>
  <c r="G33" i="74"/>
  <c r="F33" i="74"/>
  <c r="E33" i="74"/>
  <c r="D33" i="74"/>
  <c r="C33" i="74"/>
  <c r="A33" i="74"/>
  <c r="CA32" i="74"/>
  <c r="BZ32" i="74"/>
  <c r="BY32" i="74"/>
  <c r="BX32" i="74"/>
  <c r="BW32" i="74"/>
  <c r="BV32" i="74"/>
  <c r="BU32" i="74"/>
  <c r="BT32" i="74"/>
  <c r="BS32" i="74"/>
  <c r="BR32" i="74"/>
  <c r="BQ32" i="74"/>
  <c r="BP32" i="74"/>
  <c r="BO32" i="74"/>
  <c r="BN32" i="74"/>
  <c r="BM32" i="74"/>
  <c r="BL32" i="74"/>
  <c r="BK32" i="74"/>
  <c r="BJ32" i="74"/>
  <c r="BI32" i="74"/>
  <c r="BH32" i="74"/>
  <c r="BG32" i="74"/>
  <c r="BF32" i="74"/>
  <c r="BE32" i="74"/>
  <c r="BD32" i="74"/>
  <c r="BC32" i="74"/>
  <c r="BB32" i="74"/>
  <c r="BA32" i="74"/>
  <c r="AZ32" i="74"/>
  <c r="AY32" i="74"/>
  <c r="AX32" i="74"/>
  <c r="AW32" i="74"/>
  <c r="AV32" i="74"/>
  <c r="AU32" i="74"/>
  <c r="AT32" i="74"/>
  <c r="AS32" i="74"/>
  <c r="AR32" i="74"/>
  <c r="AQ32" i="74"/>
  <c r="AP32" i="74"/>
  <c r="AO32" i="74"/>
  <c r="AN32" i="74"/>
  <c r="AM32" i="74"/>
  <c r="AL32" i="74"/>
  <c r="AK32" i="74"/>
  <c r="AJ32" i="74"/>
  <c r="AI32" i="74"/>
  <c r="AH32" i="74"/>
  <c r="AG32" i="74"/>
  <c r="AF32" i="74"/>
  <c r="AE32" i="74"/>
  <c r="AD32" i="74"/>
  <c r="AC32" i="74"/>
  <c r="AB32" i="74"/>
  <c r="AA32" i="74"/>
  <c r="Z32" i="74"/>
  <c r="Y32" i="74"/>
  <c r="X32" i="74"/>
  <c r="W32" i="74"/>
  <c r="V32" i="74"/>
  <c r="U32" i="74"/>
  <c r="T32" i="74"/>
  <c r="S32" i="74"/>
  <c r="R32" i="74"/>
  <c r="Q32" i="74"/>
  <c r="P32" i="74"/>
  <c r="O32" i="74"/>
  <c r="N32" i="74"/>
  <c r="M32" i="74"/>
  <c r="L32" i="74"/>
  <c r="K32" i="74"/>
  <c r="J32" i="74"/>
  <c r="I32" i="74"/>
  <c r="H32" i="74"/>
  <c r="G32" i="74"/>
  <c r="F32" i="74"/>
  <c r="E32" i="74"/>
  <c r="D32" i="74"/>
  <c r="C32" i="74"/>
  <c r="A32" i="74"/>
  <c r="CA31" i="74"/>
  <c r="BZ31" i="74"/>
  <c r="BY31" i="74"/>
  <c r="BX31" i="74"/>
  <c r="BW31" i="74"/>
  <c r="BV31" i="74"/>
  <c r="BU31" i="74"/>
  <c r="BT31" i="74"/>
  <c r="BS31" i="74"/>
  <c r="BR31" i="74"/>
  <c r="BQ31" i="74"/>
  <c r="BP31" i="74"/>
  <c r="BO31" i="74"/>
  <c r="BN31" i="74"/>
  <c r="BM31" i="74"/>
  <c r="BL31" i="74"/>
  <c r="BK31" i="74"/>
  <c r="BJ31" i="74"/>
  <c r="BI31" i="74"/>
  <c r="BH31" i="74"/>
  <c r="BG31" i="74"/>
  <c r="BF31" i="74"/>
  <c r="BE31" i="74"/>
  <c r="BD31" i="74"/>
  <c r="BC31" i="74"/>
  <c r="BB31" i="74"/>
  <c r="BA31" i="74"/>
  <c r="AZ31" i="74"/>
  <c r="AY31" i="74"/>
  <c r="AX31" i="74"/>
  <c r="AW31" i="74"/>
  <c r="AV31" i="74"/>
  <c r="AU31" i="74"/>
  <c r="AT31" i="74"/>
  <c r="AS31" i="74"/>
  <c r="AR31" i="74"/>
  <c r="AQ31" i="74"/>
  <c r="AP31" i="74"/>
  <c r="AO31" i="74"/>
  <c r="AN31" i="74"/>
  <c r="AM31" i="74"/>
  <c r="AL31" i="74"/>
  <c r="AK31" i="74"/>
  <c r="AJ31" i="74"/>
  <c r="AI31" i="74"/>
  <c r="AH31" i="74"/>
  <c r="AG31" i="74"/>
  <c r="AF31" i="74"/>
  <c r="AE31" i="74"/>
  <c r="AD31" i="74"/>
  <c r="AC31" i="74"/>
  <c r="AB31" i="74"/>
  <c r="AA31" i="74"/>
  <c r="Z31" i="74"/>
  <c r="Y31" i="74"/>
  <c r="X31" i="74"/>
  <c r="W31" i="74"/>
  <c r="V31" i="74"/>
  <c r="U31" i="74"/>
  <c r="T31" i="74"/>
  <c r="S31" i="74"/>
  <c r="R31" i="74"/>
  <c r="Q31" i="74"/>
  <c r="P31" i="74"/>
  <c r="O31" i="74"/>
  <c r="N31" i="74"/>
  <c r="M31" i="74"/>
  <c r="L31" i="74"/>
  <c r="K31" i="74"/>
  <c r="J31" i="74"/>
  <c r="I31" i="74"/>
  <c r="H31" i="74"/>
  <c r="G31" i="74"/>
  <c r="F31" i="74"/>
  <c r="E31" i="74"/>
  <c r="D31" i="74"/>
  <c r="C31" i="74"/>
  <c r="A31" i="74"/>
  <c r="CA30" i="74"/>
  <c r="BZ30" i="74"/>
  <c r="BY30" i="74"/>
  <c r="BX30" i="74"/>
  <c r="BW30" i="74"/>
  <c r="BV30" i="74"/>
  <c r="BU30" i="74"/>
  <c r="BT30" i="74"/>
  <c r="BS30" i="74"/>
  <c r="BR30" i="74"/>
  <c r="BQ30" i="74"/>
  <c r="BP30" i="74"/>
  <c r="BO30" i="74"/>
  <c r="BN30" i="74"/>
  <c r="BM30" i="74"/>
  <c r="BL30" i="74"/>
  <c r="BK30" i="74"/>
  <c r="BJ30" i="74"/>
  <c r="BI30" i="74"/>
  <c r="BH30" i="74"/>
  <c r="BG30" i="74"/>
  <c r="BF30" i="74"/>
  <c r="BE30" i="74"/>
  <c r="BD30" i="74"/>
  <c r="BC30" i="74"/>
  <c r="BB30" i="74"/>
  <c r="BA30" i="74"/>
  <c r="AZ30" i="74"/>
  <c r="AY30" i="74"/>
  <c r="AX30" i="74"/>
  <c r="AW30" i="74"/>
  <c r="AV30" i="74"/>
  <c r="AU30" i="74"/>
  <c r="AT30" i="74"/>
  <c r="AS30" i="74"/>
  <c r="AR30" i="74"/>
  <c r="AQ30" i="74"/>
  <c r="AP30" i="74"/>
  <c r="AO30" i="74"/>
  <c r="AN30" i="74"/>
  <c r="AM30" i="74"/>
  <c r="AL30" i="74"/>
  <c r="AK30" i="74"/>
  <c r="AJ30" i="74"/>
  <c r="AI30" i="74"/>
  <c r="AH30" i="74"/>
  <c r="AG30" i="74"/>
  <c r="AF30" i="74"/>
  <c r="AE30" i="74"/>
  <c r="AD30" i="74"/>
  <c r="AC30" i="74"/>
  <c r="AB30" i="74"/>
  <c r="AA30" i="74"/>
  <c r="Z30" i="74"/>
  <c r="Y30" i="74"/>
  <c r="X30" i="74"/>
  <c r="W30" i="74"/>
  <c r="V30" i="74"/>
  <c r="U30" i="74"/>
  <c r="T30" i="74"/>
  <c r="S30" i="74"/>
  <c r="R30" i="74"/>
  <c r="Q30" i="74"/>
  <c r="P30" i="74"/>
  <c r="O30" i="74"/>
  <c r="N30" i="74"/>
  <c r="M30" i="74"/>
  <c r="L30" i="74"/>
  <c r="K30" i="74"/>
  <c r="J30" i="74"/>
  <c r="I30" i="74"/>
  <c r="H30" i="74"/>
  <c r="G30" i="74"/>
  <c r="F30" i="74"/>
  <c r="E30" i="74"/>
  <c r="D30" i="74"/>
  <c r="C30" i="74"/>
  <c r="A30" i="74"/>
  <c r="CA29" i="74"/>
  <c r="BZ29" i="74"/>
  <c r="BY29" i="74"/>
  <c r="BX29" i="74"/>
  <c r="BW29" i="74"/>
  <c r="BV29" i="74"/>
  <c r="BU29" i="74"/>
  <c r="BT29" i="74"/>
  <c r="BS29" i="74"/>
  <c r="BR29" i="74"/>
  <c r="BQ29" i="74"/>
  <c r="BP29" i="74"/>
  <c r="BO29" i="74"/>
  <c r="BN29" i="74"/>
  <c r="BM29" i="74"/>
  <c r="BL29" i="74"/>
  <c r="BK29" i="74"/>
  <c r="BJ29" i="74"/>
  <c r="BI29" i="74"/>
  <c r="BH29" i="74"/>
  <c r="BG29" i="74"/>
  <c r="BF29" i="74"/>
  <c r="BE29" i="74"/>
  <c r="BD29" i="74"/>
  <c r="BC29" i="74"/>
  <c r="BB29" i="74"/>
  <c r="BA29" i="74"/>
  <c r="AZ29" i="74"/>
  <c r="AY29" i="74"/>
  <c r="AX29" i="74"/>
  <c r="AW29" i="74"/>
  <c r="AV29" i="74"/>
  <c r="AU29" i="74"/>
  <c r="AT29" i="74"/>
  <c r="AS29" i="74"/>
  <c r="AR29" i="74"/>
  <c r="AQ29" i="74"/>
  <c r="AP29" i="74"/>
  <c r="AO29" i="74"/>
  <c r="AN29" i="74"/>
  <c r="AM29" i="74"/>
  <c r="AL29" i="74"/>
  <c r="AK29" i="74"/>
  <c r="AJ29" i="74"/>
  <c r="AI29" i="74"/>
  <c r="AH29" i="74"/>
  <c r="AG29" i="74"/>
  <c r="AF29" i="74"/>
  <c r="AE29" i="74"/>
  <c r="AD29" i="74"/>
  <c r="AC29" i="74"/>
  <c r="AB29" i="74"/>
  <c r="AA29" i="74"/>
  <c r="Z29" i="74"/>
  <c r="Y29" i="74"/>
  <c r="X29" i="74"/>
  <c r="W29" i="74"/>
  <c r="V29" i="74"/>
  <c r="U29" i="74"/>
  <c r="T29" i="74"/>
  <c r="S29" i="74"/>
  <c r="R29" i="74"/>
  <c r="Q29" i="74"/>
  <c r="P29" i="74"/>
  <c r="O29" i="74"/>
  <c r="N29" i="74"/>
  <c r="M29" i="74"/>
  <c r="L29" i="74"/>
  <c r="K29" i="74"/>
  <c r="J29" i="74"/>
  <c r="I29" i="74"/>
  <c r="H29" i="74"/>
  <c r="G29" i="74"/>
  <c r="F29" i="74"/>
  <c r="E29" i="74"/>
  <c r="D29" i="74"/>
  <c r="C29" i="74"/>
  <c r="A29" i="74"/>
  <c r="CA28" i="74"/>
  <c r="BZ28" i="74"/>
  <c r="BY28" i="74"/>
  <c r="BX28" i="74"/>
  <c r="BW28" i="74"/>
  <c r="BV28" i="74"/>
  <c r="BU28" i="74"/>
  <c r="BT28" i="74"/>
  <c r="BS28" i="74"/>
  <c r="BR28" i="74"/>
  <c r="BQ28" i="74"/>
  <c r="BP28" i="74"/>
  <c r="BO28" i="74"/>
  <c r="BN28" i="74"/>
  <c r="BM28" i="74"/>
  <c r="BL28" i="74"/>
  <c r="BK28" i="74"/>
  <c r="BJ28" i="74"/>
  <c r="BI28" i="74"/>
  <c r="BH28" i="74"/>
  <c r="BG28" i="74"/>
  <c r="BF28" i="74"/>
  <c r="BE28" i="74"/>
  <c r="BD28" i="74"/>
  <c r="BC28" i="74"/>
  <c r="BB28" i="74"/>
  <c r="BA28" i="74"/>
  <c r="AZ28" i="74"/>
  <c r="AY28" i="74"/>
  <c r="AX28" i="74"/>
  <c r="AW28" i="74"/>
  <c r="AV28" i="74"/>
  <c r="AU28" i="74"/>
  <c r="AT28" i="74"/>
  <c r="AS28" i="74"/>
  <c r="AR28" i="74"/>
  <c r="AQ28" i="74"/>
  <c r="AP28" i="74"/>
  <c r="AO28" i="74"/>
  <c r="AN28" i="74"/>
  <c r="AM28" i="74"/>
  <c r="AL28" i="74"/>
  <c r="AK28" i="74"/>
  <c r="AJ28" i="74"/>
  <c r="AI28" i="74"/>
  <c r="AH28" i="74"/>
  <c r="AG28" i="74"/>
  <c r="AF28" i="74"/>
  <c r="AE28" i="74"/>
  <c r="AD28" i="74"/>
  <c r="AC28" i="74"/>
  <c r="AB28" i="74"/>
  <c r="AA28" i="74"/>
  <c r="Z28" i="74"/>
  <c r="Y28" i="74"/>
  <c r="X28" i="74"/>
  <c r="W28" i="74"/>
  <c r="V28" i="74"/>
  <c r="U28" i="74"/>
  <c r="T28" i="74"/>
  <c r="S28" i="74"/>
  <c r="R28" i="74"/>
  <c r="Q28" i="74"/>
  <c r="P28" i="74"/>
  <c r="O28" i="74"/>
  <c r="N28" i="74"/>
  <c r="M28" i="74"/>
  <c r="L28" i="74"/>
  <c r="K28" i="74"/>
  <c r="J28" i="74"/>
  <c r="I28" i="74"/>
  <c r="H28" i="74"/>
  <c r="G28" i="74"/>
  <c r="F28" i="74"/>
  <c r="E28" i="74"/>
  <c r="D28" i="74"/>
  <c r="C28" i="74"/>
  <c r="A28" i="74"/>
  <c r="CA27" i="74"/>
  <c r="BZ27" i="74"/>
  <c r="BY27" i="74"/>
  <c r="BX27" i="74"/>
  <c r="BW27" i="74"/>
  <c r="BV27" i="74"/>
  <c r="BU27" i="74"/>
  <c r="BT27" i="74"/>
  <c r="BS27" i="74"/>
  <c r="BR27" i="74"/>
  <c r="BQ27" i="74"/>
  <c r="BP27" i="74"/>
  <c r="BO27" i="74"/>
  <c r="BN27" i="74"/>
  <c r="BM27" i="74"/>
  <c r="BL27" i="74"/>
  <c r="BK27" i="74"/>
  <c r="BJ27" i="74"/>
  <c r="BI27" i="74"/>
  <c r="BH27" i="74"/>
  <c r="BG27" i="74"/>
  <c r="BF27" i="74"/>
  <c r="BE27" i="74"/>
  <c r="BD27" i="74"/>
  <c r="BC27" i="74"/>
  <c r="BB27" i="74"/>
  <c r="BA27" i="74"/>
  <c r="AZ27" i="74"/>
  <c r="AY27" i="74"/>
  <c r="AX27" i="74"/>
  <c r="AW27" i="74"/>
  <c r="AV27" i="74"/>
  <c r="AU27" i="74"/>
  <c r="AT27" i="74"/>
  <c r="AS27" i="74"/>
  <c r="AR27" i="74"/>
  <c r="AQ27" i="74"/>
  <c r="AP27" i="74"/>
  <c r="AO27" i="74"/>
  <c r="AN27" i="74"/>
  <c r="AM27" i="74"/>
  <c r="AL27" i="74"/>
  <c r="AK27" i="74"/>
  <c r="AJ27" i="74"/>
  <c r="AI27" i="74"/>
  <c r="AH27" i="74"/>
  <c r="AG27" i="74"/>
  <c r="AF27" i="74"/>
  <c r="AE27" i="74"/>
  <c r="AD27" i="74"/>
  <c r="AC27" i="74"/>
  <c r="AB27" i="74"/>
  <c r="AA27" i="74"/>
  <c r="Z27" i="74"/>
  <c r="Y27" i="74"/>
  <c r="X27" i="74"/>
  <c r="W27" i="74"/>
  <c r="V27" i="74"/>
  <c r="U27" i="74"/>
  <c r="T27" i="74"/>
  <c r="S27" i="74"/>
  <c r="R27" i="74"/>
  <c r="Q27" i="74"/>
  <c r="P27" i="74"/>
  <c r="O27" i="74"/>
  <c r="N27" i="74"/>
  <c r="M27" i="74"/>
  <c r="L27" i="74"/>
  <c r="K27" i="74"/>
  <c r="J27" i="74"/>
  <c r="I27" i="74"/>
  <c r="H27" i="74"/>
  <c r="G27" i="74"/>
  <c r="F27" i="74"/>
  <c r="E27" i="74"/>
  <c r="D27" i="74"/>
  <c r="C27" i="74"/>
  <c r="A27" i="74"/>
  <c r="CA26" i="74"/>
  <c r="BZ26" i="74"/>
  <c r="BY26" i="74"/>
  <c r="BX26" i="74"/>
  <c r="BW26" i="74"/>
  <c r="BV26" i="74"/>
  <c r="BU26" i="74"/>
  <c r="BT26" i="74"/>
  <c r="BS26" i="74"/>
  <c r="BR26" i="74"/>
  <c r="BQ26" i="74"/>
  <c r="BP26" i="74"/>
  <c r="BO26" i="74"/>
  <c r="BN26" i="74"/>
  <c r="BM26" i="74"/>
  <c r="BL26" i="74"/>
  <c r="BK26" i="74"/>
  <c r="BJ26" i="74"/>
  <c r="BI26" i="74"/>
  <c r="BH26" i="74"/>
  <c r="BG26" i="74"/>
  <c r="BF26" i="74"/>
  <c r="BE26" i="74"/>
  <c r="BD26" i="74"/>
  <c r="BC26" i="74"/>
  <c r="BB26" i="74"/>
  <c r="BA26" i="74"/>
  <c r="AZ26" i="74"/>
  <c r="AY26" i="74"/>
  <c r="AX26" i="74"/>
  <c r="AW26" i="74"/>
  <c r="AV26" i="74"/>
  <c r="AU26" i="74"/>
  <c r="AT26" i="74"/>
  <c r="AS26" i="74"/>
  <c r="AR26" i="74"/>
  <c r="AQ26" i="74"/>
  <c r="AP26" i="74"/>
  <c r="AO26" i="74"/>
  <c r="AN26" i="74"/>
  <c r="AM26" i="74"/>
  <c r="AL26" i="74"/>
  <c r="AK26" i="74"/>
  <c r="AJ26" i="74"/>
  <c r="AI26" i="74"/>
  <c r="AH26" i="74"/>
  <c r="AG26" i="74"/>
  <c r="AF26" i="74"/>
  <c r="AE26" i="74"/>
  <c r="AD26" i="74"/>
  <c r="AC26" i="74"/>
  <c r="AB26" i="74"/>
  <c r="AA26" i="74"/>
  <c r="Z26" i="74"/>
  <c r="Y26" i="74"/>
  <c r="X26" i="74"/>
  <c r="W26" i="74"/>
  <c r="V26" i="74"/>
  <c r="U26" i="74"/>
  <c r="T26" i="74"/>
  <c r="S26" i="74"/>
  <c r="R26" i="74"/>
  <c r="Q26" i="74"/>
  <c r="P26" i="74"/>
  <c r="O26" i="74"/>
  <c r="N26" i="74"/>
  <c r="M26" i="74"/>
  <c r="L26" i="74"/>
  <c r="K26" i="74"/>
  <c r="J26" i="74"/>
  <c r="I26" i="74"/>
  <c r="H26" i="74"/>
  <c r="G26" i="74"/>
  <c r="F26" i="74"/>
  <c r="E26" i="74"/>
  <c r="D26" i="74"/>
  <c r="C26" i="74"/>
  <c r="A26" i="74"/>
  <c r="CA25" i="74"/>
  <c r="BZ25" i="74"/>
  <c r="BY25" i="74"/>
  <c r="BX25" i="74"/>
  <c r="BW25" i="74"/>
  <c r="BV25" i="74"/>
  <c r="BU25" i="74"/>
  <c r="BT25" i="74"/>
  <c r="BS25" i="74"/>
  <c r="BR25" i="74"/>
  <c r="BQ25" i="74"/>
  <c r="BP25" i="74"/>
  <c r="BO25" i="74"/>
  <c r="BN25" i="74"/>
  <c r="BM25" i="74"/>
  <c r="BL25" i="74"/>
  <c r="BK25" i="74"/>
  <c r="BJ25" i="74"/>
  <c r="BI25" i="74"/>
  <c r="BH25" i="74"/>
  <c r="BG25" i="74"/>
  <c r="BF25" i="74"/>
  <c r="BE25" i="74"/>
  <c r="BD25" i="74"/>
  <c r="BC25" i="74"/>
  <c r="BB25" i="74"/>
  <c r="BA25" i="74"/>
  <c r="AZ25" i="74"/>
  <c r="AY25" i="74"/>
  <c r="AX25" i="74"/>
  <c r="AW25" i="74"/>
  <c r="AV25" i="74"/>
  <c r="AU25" i="74"/>
  <c r="AT25" i="74"/>
  <c r="AS25" i="74"/>
  <c r="AR25" i="74"/>
  <c r="AQ25" i="74"/>
  <c r="AP25" i="74"/>
  <c r="AO25" i="74"/>
  <c r="AN25" i="74"/>
  <c r="AM25" i="74"/>
  <c r="AL25" i="74"/>
  <c r="AK25" i="74"/>
  <c r="AJ25" i="74"/>
  <c r="AI25" i="74"/>
  <c r="AH25" i="74"/>
  <c r="AG25" i="74"/>
  <c r="AF25" i="74"/>
  <c r="AE25" i="74"/>
  <c r="AD25" i="74"/>
  <c r="AC25" i="74"/>
  <c r="AB25" i="74"/>
  <c r="AA25" i="74"/>
  <c r="Z25" i="74"/>
  <c r="Y25" i="74"/>
  <c r="X25" i="74"/>
  <c r="W25" i="74"/>
  <c r="V25" i="74"/>
  <c r="U25" i="74"/>
  <c r="T25" i="74"/>
  <c r="S25" i="74"/>
  <c r="R25" i="74"/>
  <c r="Q25" i="74"/>
  <c r="P25" i="74"/>
  <c r="O25" i="74"/>
  <c r="N25" i="74"/>
  <c r="M25" i="74"/>
  <c r="L25" i="74"/>
  <c r="K25" i="74"/>
  <c r="J25" i="74"/>
  <c r="I25" i="74"/>
  <c r="H25" i="74"/>
  <c r="G25" i="74"/>
  <c r="F25" i="74"/>
  <c r="E25" i="74"/>
  <c r="D25" i="74"/>
  <c r="C25" i="74"/>
  <c r="A25" i="74"/>
  <c r="CA24" i="74"/>
  <c r="BZ24" i="74"/>
  <c r="BY24" i="74"/>
  <c r="BX24" i="74"/>
  <c r="BW24" i="74"/>
  <c r="BV24" i="74"/>
  <c r="BU24" i="74"/>
  <c r="BT24" i="74"/>
  <c r="BS24" i="74"/>
  <c r="BR24" i="74"/>
  <c r="BQ24" i="74"/>
  <c r="BP24" i="74"/>
  <c r="BO24" i="74"/>
  <c r="BN24" i="74"/>
  <c r="BM24" i="74"/>
  <c r="BL24" i="74"/>
  <c r="BK24" i="74"/>
  <c r="BJ24" i="74"/>
  <c r="BI24" i="74"/>
  <c r="BH24" i="74"/>
  <c r="BG24" i="74"/>
  <c r="BF24" i="74"/>
  <c r="BE24" i="74"/>
  <c r="BD24" i="74"/>
  <c r="BC24" i="74"/>
  <c r="BB24" i="74"/>
  <c r="BA24" i="74"/>
  <c r="AZ24" i="74"/>
  <c r="AY24" i="74"/>
  <c r="AX24" i="74"/>
  <c r="AW24" i="74"/>
  <c r="AV24" i="74"/>
  <c r="AU24" i="74"/>
  <c r="AT24" i="74"/>
  <c r="AS24" i="74"/>
  <c r="AR24" i="74"/>
  <c r="AQ24" i="74"/>
  <c r="AP24" i="74"/>
  <c r="AO24" i="74"/>
  <c r="AN24" i="74"/>
  <c r="AM24" i="74"/>
  <c r="AL24" i="74"/>
  <c r="AK24" i="74"/>
  <c r="AJ24" i="74"/>
  <c r="AI24" i="74"/>
  <c r="AH24" i="74"/>
  <c r="AG24" i="74"/>
  <c r="AF24" i="74"/>
  <c r="AE24" i="74"/>
  <c r="AD24" i="74"/>
  <c r="AC24" i="74"/>
  <c r="AB24" i="74"/>
  <c r="AA24" i="74"/>
  <c r="Z24" i="74"/>
  <c r="Y24" i="74"/>
  <c r="X24" i="74"/>
  <c r="W24" i="74"/>
  <c r="V24" i="74"/>
  <c r="U24" i="74"/>
  <c r="T24" i="74"/>
  <c r="S24" i="74"/>
  <c r="R24" i="74"/>
  <c r="Q24" i="74"/>
  <c r="P24" i="74"/>
  <c r="O24" i="74"/>
  <c r="N24" i="74"/>
  <c r="M24" i="74"/>
  <c r="L24" i="74"/>
  <c r="K24" i="74"/>
  <c r="J24" i="74"/>
  <c r="I24" i="74"/>
  <c r="H24" i="74"/>
  <c r="G24" i="74"/>
  <c r="F24" i="74"/>
  <c r="E24" i="74"/>
  <c r="D24" i="74"/>
  <c r="C24" i="74"/>
  <c r="A24" i="74"/>
  <c r="CA21" i="74"/>
  <c r="BZ21" i="74"/>
  <c r="BY21" i="74"/>
  <c r="BX21" i="74"/>
  <c r="BW21" i="74"/>
  <c r="BV21" i="74"/>
  <c r="BU21" i="74"/>
  <c r="BT21" i="74"/>
  <c r="BS21" i="74"/>
  <c r="BR21" i="74"/>
  <c r="BQ21" i="74"/>
  <c r="BP21" i="74"/>
  <c r="BO21" i="74"/>
  <c r="BN21" i="74"/>
  <c r="BM21" i="74"/>
  <c r="BL21" i="74"/>
  <c r="BK21" i="74"/>
  <c r="BJ21" i="74"/>
  <c r="BI21" i="74"/>
  <c r="BH21" i="74"/>
  <c r="BG21" i="74"/>
  <c r="BF21" i="74"/>
  <c r="BE21" i="74"/>
  <c r="BD21" i="74"/>
  <c r="BC21" i="74"/>
  <c r="BB21" i="74"/>
  <c r="BA21" i="74"/>
  <c r="AZ21" i="74"/>
  <c r="AY21" i="74"/>
  <c r="AX21" i="74"/>
  <c r="AW21" i="74"/>
  <c r="AV21" i="74"/>
  <c r="AU21" i="74"/>
  <c r="AT21" i="74"/>
  <c r="AS21" i="74"/>
  <c r="AR21" i="74"/>
  <c r="AQ21" i="74"/>
  <c r="AP21" i="74"/>
  <c r="AO21" i="74"/>
  <c r="AN21" i="74"/>
  <c r="AM21" i="74"/>
  <c r="AL21" i="74"/>
  <c r="AK21" i="74"/>
  <c r="AJ21" i="74"/>
  <c r="AI21" i="74"/>
  <c r="AH21" i="74"/>
  <c r="AG21" i="74"/>
  <c r="AF21" i="74"/>
  <c r="AE21" i="74"/>
  <c r="AD21" i="74"/>
  <c r="AC21" i="74"/>
  <c r="AB21" i="74"/>
  <c r="AA21" i="74"/>
  <c r="Z21" i="74"/>
  <c r="Y21" i="74"/>
  <c r="X21" i="74"/>
  <c r="W21" i="74"/>
  <c r="V21" i="74"/>
  <c r="U21" i="74"/>
  <c r="T21" i="74"/>
  <c r="S21" i="74"/>
  <c r="R21" i="74"/>
  <c r="Q21" i="74"/>
  <c r="P21" i="74"/>
  <c r="O21" i="74"/>
  <c r="N21" i="74"/>
  <c r="M21" i="74"/>
  <c r="L21" i="74"/>
  <c r="K21" i="74"/>
  <c r="J21" i="74"/>
  <c r="I21" i="74"/>
  <c r="H21" i="74"/>
  <c r="G21" i="74"/>
  <c r="F21" i="74"/>
  <c r="E21" i="74"/>
  <c r="D21" i="74"/>
  <c r="C21" i="74"/>
  <c r="CA20" i="74"/>
  <c r="BZ20" i="74"/>
  <c r="BY20" i="74"/>
  <c r="BX20" i="74"/>
  <c r="BW20" i="74"/>
  <c r="BV20" i="74"/>
  <c r="BU20" i="74"/>
  <c r="BT20" i="74"/>
  <c r="BS20" i="74"/>
  <c r="BR20" i="74"/>
  <c r="BQ20" i="74"/>
  <c r="BP20" i="74"/>
  <c r="BO20" i="74"/>
  <c r="BN20" i="74"/>
  <c r="BM20" i="74"/>
  <c r="BL20" i="74"/>
  <c r="BK20" i="74"/>
  <c r="BJ20" i="74"/>
  <c r="BI20" i="74"/>
  <c r="BH20" i="74"/>
  <c r="BG20" i="74"/>
  <c r="BF20" i="74"/>
  <c r="BE20" i="74"/>
  <c r="BD20" i="74"/>
  <c r="BC20" i="74"/>
  <c r="BB20" i="74"/>
  <c r="BA20" i="74"/>
  <c r="AZ20" i="74"/>
  <c r="AY20" i="74"/>
  <c r="AX20" i="74"/>
  <c r="AW20" i="74"/>
  <c r="AV20" i="74"/>
  <c r="AU20" i="74"/>
  <c r="AT20" i="74"/>
  <c r="AS20" i="74"/>
  <c r="AR20" i="74"/>
  <c r="AQ20" i="74"/>
  <c r="AP20" i="74"/>
  <c r="AO20" i="74"/>
  <c r="AN20" i="74"/>
  <c r="AM20" i="74"/>
  <c r="AL20" i="74"/>
  <c r="AK20" i="74"/>
  <c r="AJ20" i="74"/>
  <c r="AI20" i="74"/>
  <c r="AH20" i="74"/>
  <c r="AG20" i="74"/>
  <c r="AF20" i="74"/>
  <c r="AE20" i="74"/>
  <c r="AD20" i="74"/>
  <c r="AC20" i="74"/>
  <c r="AB20" i="74"/>
  <c r="AA20" i="74"/>
  <c r="Z20" i="74"/>
  <c r="Y20" i="74"/>
  <c r="X20" i="74"/>
  <c r="W20" i="74"/>
  <c r="V20" i="74"/>
  <c r="U20" i="74"/>
  <c r="T20" i="74"/>
  <c r="S20" i="74"/>
  <c r="R20" i="74"/>
  <c r="Q20" i="74"/>
  <c r="P20" i="74"/>
  <c r="O20" i="74"/>
  <c r="N20" i="74"/>
  <c r="M20" i="74"/>
  <c r="L20" i="74"/>
  <c r="K20" i="74"/>
  <c r="J20" i="74"/>
  <c r="I20" i="74"/>
  <c r="H20" i="74"/>
  <c r="G20" i="74"/>
  <c r="F20" i="74"/>
  <c r="E20" i="74"/>
  <c r="D20" i="74"/>
  <c r="C20" i="74"/>
  <c r="CA19" i="74"/>
  <c r="BZ19" i="74"/>
  <c r="BY19" i="74"/>
  <c r="BX19" i="74"/>
  <c r="BW19" i="74"/>
  <c r="BV19" i="74"/>
  <c r="BU19" i="74"/>
  <c r="BT19" i="74"/>
  <c r="BS19" i="74"/>
  <c r="BR19" i="74"/>
  <c r="BQ19" i="74"/>
  <c r="BP19" i="74"/>
  <c r="BO19" i="74"/>
  <c r="BN19" i="74"/>
  <c r="BM19" i="74"/>
  <c r="BL19" i="74"/>
  <c r="BK19" i="74"/>
  <c r="BJ19" i="74"/>
  <c r="BI19" i="74"/>
  <c r="BH19" i="74"/>
  <c r="BG19" i="74"/>
  <c r="BF19" i="74"/>
  <c r="BE19" i="74"/>
  <c r="BD19" i="74"/>
  <c r="BC19" i="74"/>
  <c r="BB19" i="74"/>
  <c r="BA19" i="74"/>
  <c r="AZ19" i="74"/>
  <c r="AY19" i="74"/>
  <c r="AX19" i="74"/>
  <c r="AW19" i="74"/>
  <c r="AV19" i="74"/>
  <c r="AU19" i="74"/>
  <c r="AT19" i="74"/>
  <c r="AS19" i="74"/>
  <c r="AR19" i="74"/>
  <c r="AQ19" i="74"/>
  <c r="AP19" i="74"/>
  <c r="AO19" i="74"/>
  <c r="AN19" i="74"/>
  <c r="AM19" i="74"/>
  <c r="AL19" i="74"/>
  <c r="AK19" i="74"/>
  <c r="AJ19" i="74"/>
  <c r="AI19" i="74"/>
  <c r="AH19" i="74"/>
  <c r="AG19" i="74"/>
  <c r="AF19" i="74"/>
  <c r="AE19" i="74"/>
  <c r="AD19" i="74"/>
  <c r="AC19" i="74"/>
  <c r="AB19" i="74"/>
  <c r="AA19" i="74"/>
  <c r="Z19" i="74"/>
  <c r="Y19" i="74"/>
  <c r="X19" i="74"/>
  <c r="W19" i="74"/>
  <c r="V19" i="74"/>
  <c r="U19" i="74"/>
  <c r="T19" i="74"/>
  <c r="S19" i="74"/>
  <c r="R19" i="74"/>
  <c r="Q19" i="74"/>
  <c r="P19" i="74"/>
  <c r="O19" i="74"/>
  <c r="N19" i="74"/>
  <c r="M19" i="74"/>
  <c r="L19" i="74"/>
  <c r="K19" i="74"/>
  <c r="J19" i="74"/>
  <c r="I19" i="74"/>
  <c r="H19" i="74"/>
  <c r="G19" i="74"/>
  <c r="F19" i="74"/>
  <c r="E19" i="74"/>
  <c r="D19" i="74"/>
  <c r="C19" i="74"/>
  <c r="CA18" i="74"/>
  <c r="BZ18" i="74"/>
  <c r="BY18" i="74"/>
  <c r="BX18" i="74"/>
  <c r="BW18" i="74"/>
  <c r="BV18" i="74"/>
  <c r="BU18" i="74"/>
  <c r="BT18" i="74"/>
  <c r="BS18" i="74"/>
  <c r="BR18" i="74"/>
  <c r="BQ18" i="74"/>
  <c r="BP18" i="74"/>
  <c r="BO18" i="74"/>
  <c r="BN18" i="74"/>
  <c r="BM18" i="74"/>
  <c r="BL18" i="74"/>
  <c r="BK18" i="74"/>
  <c r="BJ18" i="74"/>
  <c r="BI18" i="74"/>
  <c r="BH18" i="74"/>
  <c r="BG18" i="74"/>
  <c r="BF18" i="74"/>
  <c r="BE18" i="74"/>
  <c r="BD18" i="74"/>
  <c r="BC18" i="74"/>
  <c r="BB18" i="74"/>
  <c r="BA18" i="74"/>
  <c r="AZ18" i="74"/>
  <c r="AY18" i="74"/>
  <c r="AX18" i="74"/>
  <c r="AW18" i="74"/>
  <c r="AV18" i="74"/>
  <c r="AU18" i="74"/>
  <c r="AT18" i="74"/>
  <c r="AS18" i="74"/>
  <c r="AR18" i="74"/>
  <c r="AQ18" i="74"/>
  <c r="AP18" i="74"/>
  <c r="AO18" i="74"/>
  <c r="AN18" i="74"/>
  <c r="AM18" i="74"/>
  <c r="AL18" i="74"/>
  <c r="AK18" i="74"/>
  <c r="AJ18" i="74"/>
  <c r="AI18" i="74"/>
  <c r="AH18" i="74"/>
  <c r="AG18" i="74"/>
  <c r="AF18" i="74"/>
  <c r="AE18" i="74"/>
  <c r="AD18" i="74"/>
  <c r="AC18" i="74"/>
  <c r="AB18" i="74"/>
  <c r="AA18" i="74"/>
  <c r="Z18" i="74"/>
  <c r="Y18" i="74"/>
  <c r="X18" i="74"/>
  <c r="W18" i="74"/>
  <c r="V18" i="74"/>
  <c r="U18" i="74"/>
  <c r="T18" i="74"/>
  <c r="S18" i="74"/>
  <c r="R18" i="74"/>
  <c r="Q18" i="74"/>
  <c r="P18" i="74"/>
  <c r="O18" i="74"/>
  <c r="N18" i="74"/>
  <c r="M18" i="74"/>
  <c r="L18" i="74"/>
  <c r="K18" i="74"/>
  <c r="J18" i="74"/>
  <c r="I18" i="74"/>
  <c r="H18" i="74"/>
  <c r="G18" i="74"/>
  <c r="F18" i="74"/>
  <c r="E18" i="74"/>
  <c r="D18" i="74"/>
  <c r="C18" i="74"/>
  <c r="CA17" i="74"/>
  <c r="BZ17" i="74"/>
  <c r="BY17" i="74"/>
  <c r="BX17" i="74"/>
  <c r="BW17" i="74"/>
  <c r="BV17" i="74"/>
  <c r="BU17" i="74"/>
  <c r="BT17" i="74"/>
  <c r="BS17" i="74"/>
  <c r="BR17" i="74"/>
  <c r="BQ17" i="74"/>
  <c r="BP17" i="74"/>
  <c r="BO17" i="74"/>
  <c r="BN17" i="74"/>
  <c r="BM17" i="74"/>
  <c r="BL17" i="74"/>
  <c r="BK17" i="74"/>
  <c r="BJ17" i="74"/>
  <c r="BI17" i="74"/>
  <c r="BH17" i="74"/>
  <c r="BG17" i="74"/>
  <c r="BF17" i="74"/>
  <c r="BE17" i="74"/>
  <c r="BD17" i="74"/>
  <c r="BC17" i="74"/>
  <c r="BB17" i="74"/>
  <c r="BA17" i="74"/>
  <c r="AZ17" i="74"/>
  <c r="AY17" i="74"/>
  <c r="AX17" i="74"/>
  <c r="AW17" i="74"/>
  <c r="AV17" i="74"/>
  <c r="AU17" i="74"/>
  <c r="AT17" i="74"/>
  <c r="AS17" i="74"/>
  <c r="AR17" i="74"/>
  <c r="AQ17" i="74"/>
  <c r="AP17" i="74"/>
  <c r="AO17" i="74"/>
  <c r="AN17" i="74"/>
  <c r="AM17" i="74"/>
  <c r="AL17" i="74"/>
  <c r="AK17" i="74"/>
  <c r="AJ17" i="74"/>
  <c r="AI17" i="74"/>
  <c r="AH17" i="74"/>
  <c r="AG17" i="74"/>
  <c r="AF17" i="74"/>
  <c r="AE17" i="74"/>
  <c r="AD17" i="74"/>
  <c r="AC17" i="74"/>
  <c r="AB17" i="74"/>
  <c r="AA17" i="74"/>
  <c r="Z17" i="74"/>
  <c r="Y17" i="74"/>
  <c r="X17" i="74"/>
  <c r="W17" i="74"/>
  <c r="V17" i="74"/>
  <c r="U17" i="74"/>
  <c r="T17" i="74"/>
  <c r="S17" i="74"/>
  <c r="R17" i="74"/>
  <c r="Q17" i="74"/>
  <c r="P17" i="74"/>
  <c r="O17" i="74"/>
  <c r="N17" i="74"/>
  <c r="M17" i="74"/>
  <c r="L17" i="74"/>
  <c r="K17" i="74"/>
  <c r="J17" i="74"/>
  <c r="I17" i="74"/>
  <c r="H17" i="74"/>
  <c r="G17" i="74"/>
  <c r="F17" i="74"/>
  <c r="E17" i="74"/>
  <c r="D17" i="74"/>
  <c r="C17" i="74"/>
  <c r="CA16" i="74"/>
  <c r="BZ16" i="74"/>
  <c r="BY16" i="74"/>
  <c r="BX16" i="74"/>
  <c r="BW16" i="74"/>
  <c r="BV16" i="74"/>
  <c r="BU16" i="74"/>
  <c r="BT16" i="74"/>
  <c r="BS16" i="74"/>
  <c r="BR16" i="74"/>
  <c r="BQ16" i="74"/>
  <c r="BP16" i="74"/>
  <c r="BO16" i="74"/>
  <c r="BN16" i="74"/>
  <c r="BM16" i="74"/>
  <c r="BL16" i="74"/>
  <c r="BK16" i="74"/>
  <c r="BJ16" i="74"/>
  <c r="BI16" i="74"/>
  <c r="BH16" i="74"/>
  <c r="BG16" i="74"/>
  <c r="BF16" i="74"/>
  <c r="BE16" i="74"/>
  <c r="BD16" i="74"/>
  <c r="BC16" i="74"/>
  <c r="BB16" i="74"/>
  <c r="BA16" i="74"/>
  <c r="AZ16" i="74"/>
  <c r="AY16" i="74"/>
  <c r="AX16" i="74"/>
  <c r="AW16" i="74"/>
  <c r="AV16" i="74"/>
  <c r="AU16" i="74"/>
  <c r="AT16" i="74"/>
  <c r="AS16" i="74"/>
  <c r="AR16" i="74"/>
  <c r="AQ16" i="74"/>
  <c r="AP16" i="74"/>
  <c r="AO16" i="74"/>
  <c r="AN16" i="74"/>
  <c r="AM16" i="74"/>
  <c r="AL16" i="74"/>
  <c r="AK16" i="74"/>
  <c r="AJ16" i="74"/>
  <c r="AI16" i="74"/>
  <c r="AH16" i="74"/>
  <c r="AG16" i="74"/>
  <c r="AF16" i="74"/>
  <c r="AE16" i="74"/>
  <c r="AD16" i="74"/>
  <c r="AC16" i="74"/>
  <c r="AB16" i="74"/>
  <c r="AA16" i="74"/>
  <c r="Z16" i="74"/>
  <c r="Y16" i="74"/>
  <c r="X16" i="74"/>
  <c r="W16" i="74"/>
  <c r="V16" i="74"/>
  <c r="U16" i="74"/>
  <c r="T16" i="74"/>
  <c r="S16" i="74"/>
  <c r="R16" i="74"/>
  <c r="Q16" i="74"/>
  <c r="P16" i="74"/>
  <c r="O16" i="74"/>
  <c r="N16" i="74"/>
  <c r="M16" i="74"/>
  <c r="L16" i="74"/>
  <c r="K16" i="74"/>
  <c r="J16" i="74"/>
  <c r="I16" i="74"/>
  <c r="H16" i="74"/>
  <c r="G16" i="74"/>
  <c r="F16" i="74"/>
  <c r="E16" i="74"/>
  <c r="D16" i="74"/>
  <c r="C16" i="74"/>
  <c r="CA15" i="74"/>
  <c r="BZ15" i="74"/>
  <c r="BY15" i="74"/>
  <c r="BX15" i="74"/>
  <c r="BW15" i="74"/>
  <c r="BV15" i="74"/>
  <c r="BU15" i="74"/>
  <c r="BT15" i="74"/>
  <c r="BS15" i="74"/>
  <c r="BR15" i="74"/>
  <c r="BQ15" i="74"/>
  <c r="BP15" i="74"/>
  <c r="BO15" i="74"/>
  <c r="BN15" i="74"/>
  <c r="BM15" i="74"/>
  <c r="BL15" i="74"/>
  <c r="BK15" i="74"/>
  <c r="BJ15" i="74"/>
  <c r="BI15" i="74"/>
  <c r="BH15" i="74"/>
  <c r="BG15" i="74"/>
  <c r="BF15" i="74"/>
  <c r="BE15" i="74"/>
  <c r="BD15" i="74"/>
  <c r="BC15" i="74"/>
  <c r="BB15" i="74"/>
  <c r="BA15" i="74"/>
  <c r="AZ15" i="74"/>
  <c r="AY15" i="74"/>
  <c r="AX15" i="74"/>
  <c r="AW15" i="74"/>
  <c r="AV15" i="74"/>
  <c r="AU15" i="74"/>
  <c r="AT15" i="74"/>
  <c r="AS15" i="74"/>
  <c r="AR15" i="74"/>
  <c r="AQ15" i="74"/>
  <c r="AP15" i="74"/>
  <c r="AO15" i="74"/>
  <c r="AN15" i="74"/>
  <c r="AM15" i="74"/>
  <c r="AL15" i="74"/>
  <c r="AK15" i="74"/>
  <c r="AJ15" i="74"/>
  <c r="AI15" i="74"/>
  <c r="AH15" i="74"/>
  <c r="AG15" i="74"/>
  <c r="AF15" i="74"/>
  <c r="AE15" i="74"/>
  <c r="AD15" i="74"/>
  <c r="AC15" i="74"/>
  <c r="AB15" i="74"/>
  <c r="AA15" i="74"/>
  <c r="Z15" i="74"/>
  <c r="Y15" i="74"/>
  <c r="X15" i="74"/>
  <c r="W15" i="74"/>
  <c r="V15" i="74"/>
  <c r="U15" i="74"/>
  <c r="T15" i="74"/>
  <c r="S15" i="74"/>
  <c r="R15" i="74"/>
  <c r="Q15" i="74"/>
  <c r="P15" i="74"/>
  <c r="O15" i="74"/>
  <c r="N15" i="74"/>
  <c r="M15" i="74"/>
  <c r="L15" i="74"/>
  <c r="K15" i="74"/>
  <c r="J15" i="74"/>
  <c r="I15" i="74"/>
  <c r="H15" i="74"/>
  <c r="G15" i="74"/>
  <c r="F15" i="74"/>
  <c r="E15" i="74"/>
  <c r="D15" i="74"/>
  <c r="C15" i="74"/>
  <c r="CA14" i="74"/>
  <c r="BZ14" i="74"/>
  <c r="BY14" i="74"/>
  <c r="BX14" i="74"/>
  <c r="BW14" i="74"/>
  <c r="BV14" i="74"/>
  <c r="BU14" i="74"/>
  <c r="BT14" i="74"/>
  <c r="BS14" i="74"/>
  <c r="BR14" i="74"/>
  <c r="BQ14" i="74"/>
  <c r="BP14" i="74"/>
  <c r="BO14" i="74"/>
  <c r="BN14" i="74"/>
  <c r="BM14" i="74"/>
  <c r="BL14" i="74"/>
  <c r="BK14" i="74"/>
  <c r="BJ14" i="74"/>
  <c r="BI14" i="74"/>
  <c r="BH14" i="74"/>
  <c r="BG14" i="74"/>
  <c r="BF14" i="74"/>
  <c r="BE14" i="74"/>
  <c r="BD14" i="74"/>
  <c r="BC14" i="74"/>
  <c r="BB14" i="74"/>
  <c r="BA14" i="74"/>
  <c r="AZ14" i="74"/>
  <c r="AY14" i="74"/>
  <c r="AX14" i="74"/>
  <c r="AW14" i="74"/>
  <c r="AV14" i="74"/>
  <c r="AU14" i="74"/>
  <c r="AT14" i="74"/>
  <c r="AS14" i="74"/>
  <c r="AR14" i="74"/>
  <c r="AQ14" i="74"/>
  <c r="AP14" i="74"/>
  <c r="AO14" i="74"/>
  <c r="AN14" i="74"/>
  <c r="AM14" i="74"/>
  <c r="AL14" i="74"/>
  <c r="AK14" i="74"/>
  <c r="AJ14" i="74"/>
  <c r="AI14" i="74"/>
  <c r="AH14" i="74"/>
  <c r="AG14" i="74"/>
  <c r="AF14" i="74"/>
  <c r="AE14" i="74"/>
  <c r="AD14" i="74"/>
  <c r="AC14" i="74"/>
  <c r="AB14" i="74"/>
  <c r="AA14" i="74"/>
  <c r="Z14" i="74"/>
  <c r="Y14" i="74"/>
  <c r="X14" i="74"/>
  <c r="W14" i="74"/>
  <c r="V14" i="74"/>
  <c r="U14" i="74"/>
  <c r="T14" i="74"/>
  <c r="S14" i="74"/>
  <c r="R14" i="74"/>
  <c r="Q14" i="74"/>
  <c r="P14" i="74"/>
  <c r="O14" i="74"/>
  <c r="N14" i="74"/>
  <c r="M14" i="74"/>
  <c r="L14" i="74"/>
  <c r="K14" i="74"/>
  <c r="J14" i="74"/>
  <c r="I14" i="74"/>
  <c r="H14" i="74"/>
  <c r="G14" i="74"/>
  <c r="F14" i="74"/>
  <c r="E14" i="74"/>
  <c r="D14" i="74"/>
  <c r="C14" i="74"/>
  <c r="CA13" i="74"/>
  <c r="BZ13" i="74"/>
  <c r="BY13" i="74"/>
  <c r="BX13" i="74"/>
  <c r="BW13" i="74"/>
  <c r="BV13" i="74"/>
  <c r="BU13" i="74"/>
  <c r="BT13" i="74"/>
  <c r="BS13" i="74"/>
  <c r="BR13" i="74"/>
  <c r="BQ13" i="74"/>
  <c r="BP13" i="74"/>
  <c r="BO13" i="74"/>
  <c r="BN13" i="74"/>
  <c r="BM13" i="74"/>
  <c r="BL13" i="74"/>
  <c r="BK13" i="74"/>
  <c r="BJ13" i="74"/>
  <c r="BI13" i="74"/>
  <c r="BH13" i="74"/>
  <c r="BG13" i="74"/>
  <c r="BF13" i="74"/>
  <c r="BE13" i="74"/>
  <c r="BD13" i="74"/>
  <c r="BC13" i="74"/>
  <c r="BB13" i="74"/>
  <c r="BA13" i="74"/>
  <c r="AZ13" i="74"/>
  <c r="AY13" i="74"/>
  <c r="AX13" i="74"/>
  <c r="AW13" i="74"/>
  <c r="AV13" i="74"/>
  <c r="AU13" i="74"/>
  <c r="AT13" i="74"/>
  <c r="AS13" i="74"/>
  <c r="AR13" i="74"/>
  <c r="AQ13" i="74"/>
  <c r="AP13" i="74"/>
  <c r="AO13" i="74"/>
  <c r="AN13" i="74"/>
  <c r="AM13" i="74"/>
  <c r="AL13" i="74"/>
  <c r="AK13" i="74"/>
  <c r="AJ13" i="74"/>
  <c r="AI13" i="74"/>
  <c r="AH13" i="74"/>
  <c r="AG13" i="74"/>
  <c r="AF13" i="74"/>
  <c r="AE13" i="74"/>
  <c r="AD13" i="74"/>
  <c r="AC13" i="74"/>
  <c r="AB13" i="74"/>
  <c r="AA13" i="74"/>
  <c r="Z13" i="74"/>
  <c r="Y13" i="74"/>
  <c r="X13" i="74"/>
  <c r="W13" i="74"/>
  <c r="V13" i="74"/>
  <c r="U13" i="74"/>
  <c r="T13" i="74"/>
  <c r="S13" i="74"/>
  <c r="R13" i="74"/>
  <c r="Q13" i="74"/>
  <c r="P13" i="74"/>
  <c r="O13" i="74"/>
  <c r="N13" i="74"/>
  <c r="M13" i="74"/>
  <c r="L13" i="74"/>
  <c r="K13" i="74"/>
  <c r="J13" i="74"/>
  <c r="I13" i="74"/>
  <c r="H13" i="74"/>
  <c r="G13" i="74"/>
  <c r="F13" i="74"/>
  <c r="E13" i="74"/>
  <c r="D13" i="74"/>
  <c r="C13" i="74"/>
  <c r="CA12" i="74"/>
  <c r="BZ12" i="74"/>
  <c r="BY12" i="74"/>
  <c r="BX12" i="74"/>
  <c r="BW12" i="74"/>
  <c r="BV12" i="74"/>
  <c r="BU12" i="74"/>
  <c r="BT12" i="74"/>
  <c r="BS12" i="74"/>
  <c r="BR12" i="74"/>
  <c r="BQ12" i="74"/>
  <c r="BP12" i="74"/>
  <c r="BO12" i="74"/>
  <c r="BN12" i="74"/>
  <c r="BM12" i="74"/>
  <c r="BL12" i="74"/>
  <c r="BK12" i="74"/>
  <c r="BJ12" i="74"/>
  <c r="BI12" i="74"/>
  <c r="BH12" i="74"/>
  <c r="BG12" i="74"/>
  <c r="BF12" i="74"/>
  <c r="BE12" i="74"/>
  <c r="BD12" i="74"/>
  <c r="BC12" i="74"/>
  <c r="BB12" i="74"/>
  <c r="BA12" i="74"/>
  <c r="AZ12" i="74"/>
  <c r="AY12" i="74"/>
  <c r="AX12" i="74"/>
  <c r="AW12" i="74"/>
  <c r="AV12" i="74"/>
  <c r="AU12" i="74"/>
  <c r="AT12" i="74"/>
  <c r="AS12" i="74"/>
  <c r="AR12" i="74"/>
  <c r="AQ12" i="74"/>
  <c r="AP12" i="74"/>
  <c r="AO12" i="74"/>
  <c r="AN12" i="74"/>
  <c r="AM12" i="74"/>
  <c r="AL12" i="74"/>
  <c r="AK12" i="74"/>
  <c r="AJ12" i="74"/>
  <c r="AI12" i="74"/>
  <c r="AH12" i="74"/>
  <c r="AG12" i="74"/>
  <c r="AF12" i="74"/>
  <c r="AE12" i="74"/>
  <c r="AD12" i="74"/>
  <c r="AC12" i="74"/>
  <c r="AB12" i="74"/>
  <c r="AA12" i="74"/>
  <c r="Z12" i="74"/>
  <c r="Y12" i="74"/>
  <c r="X12" i="74"/>
  <c r="W12" i="74"/>
  <c r="V12" i="74"/>
  <c r="U12" i="74"/>
  <c r="T12" i="74"/>
  <c r="S12" i="74"/>
  <c r="R12" i="74"/>
  <c r="Q12" i="74"/>
  <c r="P12" i="74"/>
  <c r="O12" i="74"/>
  <c r="N12" i="74"/>
  <c r="M12" i="74"/>
  <c r="L12" i="74"/>
  <c r="K12" i="74"/>
  <c r="J12" i="74"/>
  <c r="I12" i="74"/>
  <c r="H12" i="74"/>
  <c r="G12" i="74"/>
  <c r="F12" i="74"/>
  <c r="E12" i="74"/>
  <c r="D12" i="74"/>
  <c r="C12" i="74"/>
  <c r="CA11" i="74"/>
  <c r="BZ11" i="74"/>
  <c r="BY11" i="74"/>
  <c r="BX11" i="74"/>
  <c r="BW11" i="74"/>
  <c r="BV11" i="74"/>
  <c r="BU11" i="74"/>
  <c r="BT11" i="74"/>
  <c r="BS11" i="74"/>
  <c r="BR11" i="74"/>
  <c r="BQ11" i="74"/>
  <c r="BP11" i="74"/>
  <c r="BO11" i="74"/>
  <c r="BN11" i="74"/>
  <c r="BM11" i="74"/>
  <c r="BL11" i="74"/>
  <c r="BK11" i="74"/>
  <c r="BJ11" i="74"/>
  <c r="BI11" i="74"/>
  <c r="BH11" i="74"/>
  <c r="BG11" i="74"/>
  <c r="BF11" i="74"/>
  <c r="BE11" i="74"/>
  <c r="BD11" i="74"/>
  <c r="BC11" i="74"/>
  <c r="BB11" i="74"/>
  <c r="BA11" i="74"/>
  <c r="AZ11" i="74"/>
  <c r="AY11" i="74"/>
  <c r="AX11" i="74"/>
  <c r="AW11" i="74"/>
  <c r="AV11" i="74"/>
  <c r="AU11" i="74"/>
  <c r="AT11" i="74"/>
  <c r="AS11" i="74"/>
  <c r="AR11" i="74"/>
  <c r="AQ11" i="74"/>
  <c r="AP11" i="74"/>
  <c r="AO11" i="74"/>
  <c r="AN11" i="74"/>
  <c r="AM11" i="74"/>
  <c r="AL11" i="74"/>
  <c r="AK11" i="74"/>
  <c r="AJ11" i="74"/>
  <c r="AI11" i="74"/>
  <c r="AH11" i="74"/>
  <c r="AG11" i="74"/>
  <c r="AF11" i="74"/>
  <c r="AE11" i="74"/>
  <c r="AD11" i="74"/>
  <c r="AC11" i="74"/>
  <c r="AB11" i="74"/>
  <c r="AA11" i="74"/>
  <c r="Z11" i="74"/>
  <c r="Y11" i="74"/>
  <c r="X11" i="74"/>
  <c r="W11" i="74"/>
  <c r="V11" i="74"/>
  <c r="U11" i="74"/>
  <c r="T11" i="74"/>
  <c r="S11" i="74"/>
  <c r="R11" i="74"/>
  <c r="Q11" i="74"/>
  <c r="P11" i="74"/>
  <c r="O11" i="74"/>
  <c r="N11" i="74"/>
  <c r="M11" i="74"/>
  <c r="L11" i="74"/>
  <c r="K11" i="74"/>
  <c r="J11" i="74"/>
  <c r="I11" i="74"/>
  <c r="H11" i="74"/>
  <c r="G11" i="74"/>
  <c r="F11" i="74"/>
  <c r="E11" i="74"/>
  <c r="D11" i="74"/>
  <c r="C11" i="74"/>
  <c r="CA10" i="74"/>
  <c r="BZ10" i="74"/>
  <c r="BY10" i="74"/>
  <c r="BX10" i="74"/>
  <c r="BW10" i="74"/>
  <c r="BV10" i="74"/>
  <c r="BU10" i="74"/>
  <c r="BT10" i="74"/>
  <c r="BS10" i="74"/>
  <c r="BR10" i="74"/>
  <c r="BQ10" i="74"/>
  <c r="BP10" i="74"/>
  <c r="BO10" i="74"/>
  <c r="BN10" i="74"/>
  <c r="BM10" i="74"/>
  <c r="BL10" i="74"/>
  <c r="BK10" i="74"/>
  <c r="BJ10" i="74"/>
  <c r="BI10" i="74"/>
  <c r="BH10" i="74"/>
  <c r="BG10" i="74"/>
  <c r="BF10" i="74"/>
  <c r="BE10" i="74"/>
  <c r="BD10" i="74"/>
  <c r="BC10" i="74"/>
  <c r="BB10" i="74"/>
  <c r="BA10" i="74"/>
  <c r="AZ10" i="74"/>
  <c r="AY10" i="74"/>
  <c r="AX10" i="74"/>
  <c r="AW10" i="74"/>
  <c r="AV10" i="74"/>
  <c r="AU10" i="74"/>
  <c r="AT10" i="74"/>
  <c r="AS10" i="74"/>
  <c r="AR10" i="74"/>
  <c r="AQ10" i="74"/>
  <c r="AP10" i="74"/>
  <c r="AO10" i="74"/>
  <c r="AN10" i="74"/>
  <c r="AM10" i="74"/>
  <c r="AL10" i="74"/>
  <c r="AK10" i="74"/>
  <c r="AJ10" i="74"/>
  <c r="AI10" i="74"/>
  <c r="AH10" i="74"/>
  <c r="AG10" i="74"/>
  <c r="AF10" i="74"/>
  <c r="AE10" i="74"/>
  <c r="AD10" i="74"/>
  <c r="AC10" i="74"/>
  <c r="AB10" i="74"/>
  <c r="AA10" i="74"/>
  <c r="Z10" i="74"/>
  <c r="Y10" i="74"/>
  <c r="X10" i="74"/>
  <c r="W10" i="74"/>
  <c r="V10" i="74"/>
  <c r="U10" i="74"/>
  <c r="T10" i="74"/>
  <c r="S10" i="74"/>
  <c r="R10" i="74"/>
  <c r="Q10" i="74"/>
  <c r="P10" i="74"/>
  <c r="O10" i="74"/>
  <c r="N10" i="74"/>
  <c r="M10" i="74"/>
  <c r="L10" i="74"/>
  <c r="K10" i="74"/>
  <c r="J10" i="74"/>
  <c r="I10" i="74"/>
  <c r="H10" i="74"/>
  <c r="G10" i="74"/>
  <c r="F10" i="74"/>
  <c r="E10" i="74"/>
  <c r="D10" i="74"/>
  <c r="C10" i="74"/>
  <c r="CA9" i="74"/>
  <c r="BZ9" i="74"/>
  <c r="BY9" i="74"/>
  <c r="BX9" i="74"/>
  <c r="BW9" i="74"/>
  <c r="BV9" i="74"/>
  <c r="BU9" i="74"/>
  <c r="BT9" i="74"/>
  <c r="BS9" i="74"/>
  <c r="BR9" i="74"/>
  <c r="BQ9" i="74"/>
  <c r="BP9" i="74"/>
  <c r="BO9" i="74"/>
  <c r="BN9" i="74"/>
  <c r="BM9" i="74"/>
  <c r="BL9" i="74"/>
  <c r="BK9" i="74"/>
  <c r="BJ9" i="74"/>
  <c r="BI9" i="74"/>
  <c r="BH9" i="74"/>
  <c r="BG9" i="74"/>
  <c r="BF9" i="74"/>
  <c r="BE9" i="74"/>
  <c r="BD9" i="74"/>
  <c r="BC9" i="74"/>
  <c r="BB9" i="74"/>
  <c r="BA9" i="74"/>
  <c r="AZ9" i="74"/>
  <c r="AY9" i="74"/>
  <c r="AX9" i="74"/>
  <c r="AW9" i="74"/>
  <c r="AV9" i="74"/>
  <c r="AU9" i="74"/>
  <c r="AT9" i="74"/>
  <c r="AS9" i="74"/>
  <c r="AR9" i="74"/>
  <c r="AQ9" i="74"/>
  <c r="AP9" i="74"/>
  <c r="AO9" i="74"/>
  <c r="AN9" i="74"/>
  <c r="AM9" i="74"/>
  <c r="AL9" i="74"/>
  <c r="AK9" i="74"/>
  <c r="AJ9" i="74"/>
  <c r="AI9" i="74"/>
  <c r="AH9" i="74"/>
  <c r="AG9" i="74"/>
  <c r="AF9" i="74"/>
  <c r="AE9" i="74"/>
  <c r="AD9" i="74"/>
  <c r="AC9" i="74"/>
  <c r="AB9" i="74"/>
  <c r="AA9" i="74"/>
  <c r="Z9" i="74"/>
  <c r="Y9" i="74"/>
  <c r="X9" i="74"/>
  <c r="W9" i="74"/>
  <c r="V9" i="74"/>
  <c r="U9" i="74"/>
  <c r="T9" i="74"/>
  <c r="S9" i="74"/>
  <c r="R9" i="74"/>
  <c r="Q9" i="74"/>
  <c r="P9" i="74"/>
  <c r="O9" i="74"/>
  <c r="N9" i="74"/>
  <c r="M9" i="74"/>
  <c r="L9" i="74"/>
  <c r="K9" i="74"/>
  <c r="J9" i="74"/>
  <c r="I9" i="74"/>
  <c r="H9" i="74"/>
  <c r="G9" i="74"/>
  <c r="F9" i="74"/>
  <c r="E9" i="74"/>
  <c r="D9" i="74"/>
  <c r="C9" i="74"/>
  <c r="CA8" i="74"/>
  <c r="BZ8" i="74"/>
  <c r="BY8" i="74"/>
  <c r="BX8" i="74"/>
  <c r="BW8" i="74"/>
  <c r="BV8" i="74"/>
  <c r="BU8" i="74"/>
  <c r="BT8" i="74"/>
  <c r="BS8" i="74"/>
  <c r="BR8" i="74"/>
  <c r="BQ8" i="74"/>
  <c r="BP8" i="74"/>
  <c r="BO8" i="74"/>
  <c r="BN8" i="74"/>
  <c r="BM8" i="74"/>
  <c r="BL8" i="74"/>
  <c r="BK8" i="74"/>
  <c r="BJ8" i="74"/>
  <c r="BI8" i="74"/>
  <c r="BH8" i="74"/>
  <c r="BG8" i="74"/>
  <c r="BF8" i="74"/>
  <c r="BE8" i="74"/>
  <c r="BD8" i="74"/>
  <c r="BC8" i="74"/>
  <c r="BB8" i="74"/>
  <c r="BA8" i="74"/>
  <c r="AZ8" i="74"/>
  <c r="AY8" i="74"/>
  <c r="AX8" i="74"/>
  <c r="AW8" i="74"/>
  <c r="AV8" i="74"/>
  <c r="AU8" i="74"/>
  <c r="AT8" i="74"/>
  <c r="AS8" i="74"/>
  <c r="AR8" i="74"/>
  <c r="AQ8" i="74"/>
  <c r="AP8" i="74"/>
  <c r="AO8" i="74"/>
  <c r="AN8" i="74"/>
  <c r="AM8" i="74"/>
  <c r="AL8" i="74"/>
  <c r="AK8" i="74"/>
  <c r="AJ8" i="74"/>
  <c r="AI8" i="74"/>
  <c r="AH8" i="74"/>
  <c r="AG8" i="74"/>
  <c r="AF8" i="74"/>
  <c r="AE8" i="74"/>
  <c r="AD8" i="74"/>
  <c r="AC8" i="74"/>
  <c r="AB8" i="74"/>
  <c r="AA8" i="74"/>
  <c r="Z8" i="74"/>
  <c r="Y8" i="74"/>
  <c r="X8" i="74"/>
  <c r="W8" i="74"/>
  <c r="V8" i="74"/>
  <c r="U8" i="74"/>
  <c r="T8" i="74"/>
  <c r="S8" i="74"/>
  <c r="R8" i="74"/>
  <c r="Q8" i="74"/>
  <c r="P8" i="74"/>
  <c r="O8" i="74"/>
  <c r="N8" i="74"/>
  <c r="M8" i="74"/>
  <c r="L8" i="74"/>
  <c r="K8" i="74"/>
  <c r="J8" i="74"/>
  <c r="I8" i="74"/>
  <c r="H8" i="74"/>
  <c r="G8" i="74"/>
  <c r="F8" i="74"/>
  <c r="E8" i="74"/>
  <c r="D8" i="74"/>
  <c r="C8" i="74"/>
  <c r="D57" i="93"/>
  <c r="C57" i="93"/>
  <c r="E57" i="93" s="1"/>
  <c r="C60" i="93" s="1"/>
  <c r="C64" i="93" s="1"/>
  <c r="A45" i="93"/>
  <c r="D42" i="93"/>
  <c r="L37" i="93"/>
  <c r="K37" i="93"/>
  <c r="J37" i="93"/>
  <c r="I37" i="93"/>
  <c r="H37" i="93"/>
  <c r="G37" i="93"/>
  <c r="F37" i="93"/>
  <c r="E37" i="93"/>
  <c r="D37" i="93"/>
  <c r="B37" i="93"/>
  <c r="A37" i="93"/>
  <c r="L36" i="93"/>
  <c r="K36" i="93"/>
  <c r="J36" i="93"/>
  <c r="I36" i="93"/>
  <c r="H36" i="93"/>
  <c r="G36" i="93"/>
  <c r="F36" i="93"/>
  <c r="E36" i="93"/>
  <c r="D36" i="93"/>
  <c r="B36" i="93"/>
  <c r="A36" i="93"/>
  <c r="L33" i="93"/>
  <c r="K33" i="93"/>
  <c r="J33" i="93"/>
  <c r="I33" i="93"/>
  <c r="H33" i="93"/>
  <c r="G33" i="93"/>
  <c r="F33" i="93"/>
  <c r="E33" i="93"/>
  <c r="D33" i="93"/>
  <c r="C33" i="93"/>
  <c r="B33" i="93"/>
  <c r="L32" i="93"/>
  <c r="K32" i="93"/>
  <c r="J32" i="93"/>
  <c r="I32" i="93"/>
  <c r="H32" i="93"/>
  <c r="G32" i="93"/>
  <c r="F32" i="93"/>
  <c r="E32" i="93"/>
  <c r="D32" i="93"/>
  <c r="C32" i="93"/>
  <c r="J29" i="93"/>
  <c r="I29" i="93"/>
  <c r="H29" i="93"/>
  <c r="G29" i="93"/>
  <c r="F29" i="93"/>
  <c r="E29" i="93"/>
  <c r="D29" i="93"/>
  <c r="C29" i="93"/>
  <c r="B29" i="93"/>
  <c r="A29" i="93"/>
  <c r="J28" i="93"/>
  <c r="I28" i="93"/>
  <c r="H28" i="93"/>
  <c r="G28" i="93"/>
  <c r="F28" i="93"/>
  <c r="E28" i="93"/>
  <c r="D28" i="93"/>
  <c r="C28" i="93"/>
  <c r="B28" i="93"/>
  <c r="A28" i="93"/>
  <c r="K25" i="93"/>
  <c r="J25" i="93"/>
  <c r="I25" i="93"/>
  <c r="H25" i="93"/>
  <c r="G25" i="93"/>
  <c r="F25" i="93"/>
  <c r="E25" i="93"/>
  <c r="D25" i="93"/>
  <c r="C25" i="93"/>
  <c r="B25" i="93"/>
  <c r="K24" i="93"/>
  <c r="J24" i="93"/>
  <c r="I24" i="93"/>
  <c r="H24" i="93"/>
  <c r="G24" i="93"/>
  <c r="F24" i="93"/>
  <c r="E24" i="93"/>
  <c r="D24" i="93"/>
  <c r="C24" i="93"/>
  <c r="B24" i="93"/>
  <c r="K23" i="93"/>
  <c r="J23" i="93"/>
  <c r="I23" i="93"/>
  <c r="H23" i="93"/>
  <c r="G23" i="93"/>
  <c r="F23" i="93"/>
  <c r="E23" i="93"/>
  <c r="D23" i="93"/>
  <c r="C23" i="93"/>
  <c r="B23" i="93"/>
  <c r="K22" i="93"/>
  <c r="J22" i="93"/>
  <c r="I22" i="93"/>
  <c r="H22" i="93"/>
  <c r="G22" i="93"/>
  <c r="F22" i="93"/>
  <c r="E22" i="93"/>
  <c r="D22" i="93"/>
  <c r="C22" i="93"/>
  <c r="B22" i="93"/>
  <c r="K21" i="93"/>
  <c r="J21" i="93"/>
  <c r="I21" i="93"/>
  <c r="H21" i="93"/>
  <c r="G21" i="93"/>
  <c r="F21" i="93"/>
  <c r="E21" i="93"/>
  <c r="D21" i="93"/>
  <c r="C21" i="93"/>
  <c r="B21" i="93"/>
  <c r="K20" i="93"/>
  <c r="J20" i="93"/>
  <c r="I20" i="93"/>
  <c r="H20" i="93"/>
  <c r="G20" i="93"/>
  <c r="F20" i="93"/>
  <c r="E20" i="93"/>
  <c r="D20" i="93"/>
  <c r="C20" i="93"/>
  <c r="B20" i="93"/>
  <c r="B17" i="93"/>
  <c r="Q7" i="93"/>
  <c r="P7" i="93"/>
  <c r="O7" i="93"/>
  <c r="N7" i="93"/>
  <c r="M7" i="93"/>
  <c r="L7" i="93"/>
  <c r="K7" i="93"/>
  <c r="J7" i="93"/>
  <c r="I7" i="93"/>
  <c r="H7" i="93"/>
  <c r="G7" i="93"/>
  <c r="F7" i="93"/>
  <c r="E7" i="93"/>
  <c r="K19" i="96"/>
  <c r="J19" i="96"/>
  <c r="I19" i="96"/>
  <c r="H19" i="96"/>
  <c r="G19" i="96"/>
  <c r="F19" i="96"/>
  <c r="E19" i="96"/>
  <c r="D19" i="96"/>
  <c r="C19" i="96"/>
  <c r="B19" i="96"/>
  <c r="F10" i="96"/>
  <c r="J4" i="96"/>
  <c r="J3" i="96"/>
  <c r="J2" i="96"/>
  <c r="K21" i="102"/>
  <c r="J21" i="102"/>
  <c r="I21" i="102"/>
  <c r="H21" i="102"/>
  <c r="G21" i="102"/>
  <c r="F21" i="102"/>
  <c r="E21" i="102"/>
  <c r="D21" i="102"/>
  <c r="C21" i="102"/>
  <c r="B21" i="102"/>
  <c r="C5" i="102"/>
  <c r="B5" i="102"/>
  <c r="A5" i="102"/>
  <c r="C4" i="102"/>
  <c r="B4" i="102"/>
  <c r="A4" i="102"/>
  <c r="B3" i="102"/>
  <c r="A3" i="102"/>
  <c r="A2" i="102"/>
  <c r="B26" i="97"/>
  <c r="B25" i="97"/>
  <c r="D35" i="66" s="1"/>
  <c r="B22" i="97"/>
  <c r="B27" i="97" s="1"/>
  <c r="D16" i="97"/>
  <c r="E16" i="97" s="1"/>
  <c r="F16" i="97" s="1"/>
  <c r="G16" i="97" s="1"/>
  <c r="H16" i="97" s="1"/>
  <c r="I16" i="97" s="1"/>
  <c r="J16" i="97" s="1"/>
  <c r="K16" i="97" s="1"/>
  <c r="K15" i="97"/>
  <c r="J15" i="97"/>
  <c r="I15" i="97"/>
  <c r="H15" i="97"/>
  <c r="G15" i="97"/>
  <c r="F15" i="97"/>
  <c r="E15" i="97"/>
  <c r="D15" i="97"/>
  <c r="C15" i="97"/>
  <c r="B15" i="97"/>
  <c r="E2" i="97"/>
  <c r="D2" i="97"/>
  <c r="C2" i="97"/>
  <c r="B2" i="97"/>
  <c r="A2" i="97"/>
  <c r="E1" i="97"/>
  <c r="D1" i="97"/>
  <c r="C1" i="97"/>
  <c r="B1" i="97"/>
  <c r="K17" i="100"/>
  <c r="J17" i="100"/>
  <c r="I17" i="100"/>
  <c r="H17" i="100"/>
  <c r="G17" i="100"/>
  <c r="F17" i="100"/>
  <c r="E17" i="100"/>
  <c r="D17" i="100"/>
  <c r="C17" i="100"/>
  <c r="B17" i="100"/>
  <c r="D7" i="100"/>
  <c r="D6" i="100"/>
  <c r="H3" i="100"/>
  <c r="F3" i="100"/>
  <c r="E3" i="100"/>
  <c r="D3" i="100"/>
  <c r="C3" i="100"/>
  <c r="B3" i="100"/>
  <c r="A3" i="100"/>
  <c r="J2" i="100"/>
  <c r="I2" i="100"/>
  <c r="H2" i="100"/>
  <c r="G2" i="100"/>
  <c r="F2" i="100"/>
  <c r="E2" i="100"/>
  <c r="D2" i="100"/>
  <c r="C2" i="100"/>
  <c r="B2" i="100"/>
  <c r="A2" i="100"/>
  <c r="I1" i="100"/>
  <c r="H1" i="100"/>
  <c r="G1" i="100"/>
  <c r="F1" i="100"/>
  <c r="E1" i="100"/>
  <c r="D1" i="100"/>
  <c r="C1" i="100"/>
  <c r="B1" i="100"/>
  <c r="A1" i="100"/>
  <c r="I15" i="94"/>
  <c r="H15" i="94"/>
  <c r="G15" i="94"/>
  <c r="J115" i="103"/>
  <c r="D115" i="103"/>
  <c r="C115" i="103"/>
  <c r="I115" i="103" s="1"/>
  <c r="J113" i="103"/>
  <c r="I113" i="103"/>
  <c r="J109" i="103"/>
  <c r="I109" i="103"/>
  <c r="J108" i="103"/>
  <c r="I108" i="103"/>
  <c r="E107" i="103"/>
  <c r="D107" i="103"/>
  <c r="C2" i="102" s="1"/>
  <c r="C107" i="103"/>
  <c r="B2" i="102" s="1"/>
  <c r="J106" i="103"/>
  <c r="I106" i="103"/>
  <c r="J105" i="103"/>
  <c r="I105" i="103"/>
  <c r="J103" i="103"/>
  <c r="I103" i="103"/>
  <c r="J102" i="103"/>
  <c r="I102" i="103"/>
  <c r="J101" i="103"/>
  <c r="I101" i="103"/>
  <c r="J100" i="103"/>
  <c r="I100" i="103"/>
  <c r="I99" i="103"/>
  <c r="E99" i="103"/>
  <c r="F99" i="103" s="1"/>
  <c r="D99" i="103"/>
  <c r="J99" i="103" s="1"/>
  <c r="C99" i="103"/>
  <c r="E92" i="103"/>
  <c r="D92" i="103"/>
  <c r="J92" i="103" s="1"/>
  <c r="C92" i="103"/>
  <c r="F2" i="97" s="1"/>
  <c r="G5" i="97" s="1"/>
  <c r="G76" i="103"/>
  <c r="E76" i="103"/>
  <c r="G75" i="103"/>
  <c r="E75" i="103"/>
  <c r="G74" i="103"/>
  <c r="E74" i="103"/>
  <c r="G73" i="103"/>
  <c r="E73" i="103"/>
  <c r="B89" i="103" s="1"/>
  <c r="G72" i="103"/>
  <c r="E72" i="103"/>
  <c r="G71" i="103"/>
  <c r="E71" i="103"/>
  <c r="B79" i="103" s="1"/>
  <c r="I15" i="103"/>
  <c r="H15" i="103"/>
  <c r="G15" i="103"/>
  <c r="J14" i="103"/>
  <c r="J13" i="103"/>
  <c r="J12" i="103"/>
  <c r="J11" i="103"/>
  <c r="J10" i="103"/>
  <c r="J9" i="103"/>
  <c r="J8" i="103"/>
  <c r="J7" i="103"/>
  <c r="J6" i="103"/>
  <c r="J5" i="103"/>
  <c r="J4" i="103"/>
  <c r="J3" i="103"/>
  <c r="J2" i="103"/>
  <c r="J59" i="101"/>
  <c r="F59" i="101"/>
  <c r="K49" i="101"/>
  <c r="C49" i="101"/>
  <c r="N48" i="101"/>
  <c r="J48" i="101"/>
  <c r="F48" i="101"/>
  <c r="C43" i="101"/>
  <c r="N42" i="101"/>
  <c r="J42" i="101"/>
  <c r="F42" i="101"/>
  <c r="N41" i="101"/>
  <c r="J41" i="101"/>
  <c r="N40" i="101"/>
  <c r="J40" i="101"/>
  <c r="F40" i="101"/>
  <c r="N39" i="101"/>
  <c r="J39" i="101"/>
  <c r="F39" i="101"/>
  <c r="N38" i="101"/>
  <c r="J38" i="101"/>
  <c r="N37" i="101"/>
  <c r="J37" i="101"/>
  <c r="F37" i="101"/>
  <c r="N36" i="101"/>
  <c r="J36" i="101"/>
  <c r="F36" i="101"/>
  <c r="N35" i="101"/>
  <c r="J35" i="101"/>
  <c r="F35" i="101"/>
  <c r="N34" i="101"/>
  <c r="J34" i="101"/>
  <c r="F34" i="101"/>
  <c r="J30" i="101"/>
  <c r="F30" i="101"/>
  <c r="N29" i="101"/>
  <c r="J29" i="101"/>
  <c r="F29" i="101"/>
  <c r="N28" i="101"/>
  <c r="J28" i="101"/>
  <c r="F28" i="101"/>
  <c r="N27" i="101"/>
  <c r="J27" i="101"/>
  <c r="F27" i="101"/>
  <c r="N26" i="101"/>
  <c r="J26" i="101"/>
  <c r="F26" i="101"/>
  <c r="N25" i="101"/>
  <c r="J25" i="101"/>
  <c r="F25" i="101"/>
  <c r="N24" i="101"/>
  <c r="J24" i="101"/>
  <c r="F24" i="101"/>
  <c r="N23" i="101"/>
  <c r="J23" i="101"/>
  <c r="F23" i="101"/>
  <c r="N22" i="101"/>
  <c r="N21" i="101"/>
  <c r="J21" i="101"/>
  <c r="F21" i="101"/>
  <c r="N20" i="101"/>
  <c r="J20" i="101"/>
  <c r="F20" i="101"/>
  <c r="N19" i="101"/>
  <c r="J19" i="101"/>
  <c r="F19" i="101"/>
  <c r="N18" i="101"/>
  <c r="J18" i="101"/>
  <c r="F18" i="101"/>
  <c r="N17" i="101"/>
  <c r="J17" i="101"/>
  <c r="F17" i="101"/>
  <c r="N16" i="101"/>
  <c r="J16" i="101"/>
  <c r="F16" i="101"/>
  <c r="N15" i="101"/>
  <c r="J15" i="101"/>
  <c r="F15" i="101"/>
  <c r="N14" i="101"/>
  <c r="N13" i="101"/>
  <c r="J13" i="101"/>
  <c r="F13" i="101"/>
  <c r="N12" i="101"/>
  <c r="J12" i="101"/>
  <c r="F12" i="101"/>
  <c r="N11" i="101"/>
  <c r="J11" i="101"/>
  <c r="F11" i="101"/>
  <c r="N10" i="101"/>
  <c r="J10" i="101"/>
  <c r="F10" i="101"/>
  <c r="N9" i="101"/>
  <c r="J9" i="101"/>
  <c r="F9" i="101"/>
  <c r="N8" i="101"/>
  <c r="J8" i="101"/>
  <c r="F8" i="101"/>
  <c r="N7" i="101"/>
  <c r="J7" i="101"/>
  <c r="F7" i="101"/>
  <c r="AU21" i="85"/>
  <c r="AT21" i="85"/>
  <c r="AS21" i="85"/>
  <c r="AR21" i="85"/>
  <c r="AQ21" i="85"/>
  <c r="AP21" i="85"/>
  <c r="AO21" i="85"/>
  <c r="AN21" i="85"/>
  <c r="AM21" i="85"/>
  <c r="AL21" i="85"/>
  <c r="AK21" i="85"/>
  <c r="AJ21" i="85"/>
  <c r="AI21" i="85"/>
  <c r="AH21" i="85"/>
  <c r="AG21" i="85"/>
  <c r="AF21" i="85"/>
  <c r="AE21" i="85"/>
  <c r="AD21" i="85"/>
  <c r="AC21" i="85"/>
  <c r="AB21" i="85"/>
  <c r="AA21" i="85"/>
  <c r="Z21" i="85"/>
  <c r="Y21" i="85"/>
  <c r="X21" i="85"/>
  <c r="W21" i="85"/>
  <c r="V21" i="85"/>
  <c r="U21" i="85"/>
  <c r="T21" i="85"/>
  <c r="S21" i="85"/>
  <c r="R21" i="85"/>
  <c r="Q21" i="85"/>
  <c r="P21" i="85"/>
  <c r="O21" i="85"/>
  <c r="N21" i="85"/>
  <c r="M21" i="85"/>
  <c r="L21" i="85"/>
  <c r="K21" i="85"/>
  <c r="J21" i="85"/>
  <c r="I21" i="85"/>
  <c r="H21" i="85"/>
  <c r="G21" i="85"/>
  <c r="F21" i="85"/>
  <c r="E21" i="85"/>
  <c r="D21" i="85"/>
  <c r="C21" i="85"/>
  <c r="B21" i="85"/>
  <c r="A21" i="85"/>
  <c r="AZ20" i="85"/>
  <c r="AY20" i="85"/>
  <c r="AX20" i="85"/>
  <c r="AW20" i="85"/>
  <c r="AV20" i="85"/>
  <c r="AU20" i="85"/>
  <c r="AT20" i="85"/>
  <c r="AS20" i="85"/>
  <c r="AR20" i="85"/>
  <c r="AQ20" i="85"/>
  <c r="AP20" i="85"/>
  <c r="AO20" i="85"/>
  <c r="AN20" i="85"/>
  <c r="AM20" i="85"/>
  <c r="AL20" i="85"/>
  <c r="AK20" i="85"/>
  <c r="AJ20" i="85"/>
  <c r="AI20" i="85"/>
  <c r="AH20" i="85"/>
  <c r="AG20" i="85"/>
  <c r="AF20" i="85"/>
  <c r="AE20" i="85"/>
  <c r="AD20" i="85"/>
  <c r="AC20" i="85"/>
  <c r="AB20" i="85"/>
  <c r="AA20" i="85"/>
  <c r="Z20" i="85"/>
  <c r="Y20" i="85"/>
  <c r="X20" i="85"/>
  <c r="W20" i="85"/>
  <c r="V20" i="85"/>
  <c r="U20" i="85"/>
  <c r="T20" i="85"/>
  <c r="S20" i="85"/>
  <c r="R20" i="85"/>
  <c r="Q20" i="85"/>
  <c r="P20" i="85"/>
  <c r="O20" i="85"/>
  <c r="N20" i="85"/>
  <c r="M20" i="85"/>
  <c r="L20" i="85"/>
  <c r="K20" i="85"/>
  <c r="J20" i="85"/>
  <c r="I20" i="85"/>
  <c r="H20" i="85"/>
  <c r="G20" i="85"/>
  <c r="F20" i="85"/>
  <c r="E20" i="85"/>
  <c r="D20" i="85"/>
  <c r="C20" i="85"/>
  <c r="B20" i="85"/>
  <c r="A20" i="85"/>
  <c r="AU19" i="85"/>
  <c r="AT19" i="85"/>
  <c r="AS19" i="85"/>
  <c r="AR19" i="85"/>
  <c r="AQ19" i="85"/>
  <c r="AP19" i="85"/>
  <c r="AO19" i="85"/>
  <c r="AN19" i="85"/>
  <c r="AM19" i="85"/>
  <c r="AL19" i="85"/>
  <c r="AK19" i="85"/>
  <c r="AJ19" i="85"/>
  <c r="AI19" i="85"/>
  <c r="AH19" i="85"/>
  <c r="AG19" i="85"/>
  <c r="AF19" i="85"/>
  <c r="AE19" i="85"/>
  <c r="AD19" i="85"/>
  <c r="AC19" i="85"/>
  <c r="AB19" i="85"/>
  <c r="AA19" i="85"/>
  <c r="Z19" i="85"/>
  <c r="Y19" i="85"/>
  <c r="X19" i="85"/>
  <c r="W19" i="85"/>
  <c r="V19" i="85"/>
  <c r="U19" i="85"/>
  <c r="T19" i="85"/>
  <c r="S19" i="85"/>
  <c r="R19" i="85"/>
  <c r="Q19" i="85"/>
  <c r="P19" i="85"/>
  <c r="O19" i="85"/>
  <c r="N19" i="85"/>
  <c r="M19" i="85"/>
  <c r="L19" i="85"/>
  <c r="K19" i="85"/>
  <c r="J19" i="85"/>
  <c r="I19" i="85"/>
  <c r="H19" i="85"/>
  <c r="G19" i="85"/>
  <c r="F19" i="85"/>
  <c r="E19" i="85"/>
  <c r="D19" i="85"/>
  <c r="C19" i="85"/>
  <c r="B19" i="85"/>
  <c r="A19" i="85"/>
  <c r="AZ18" i="85"/>
  <c r="AY18" i="85"/>
  <c r="AX18" i="85"/>
  <c r="AW18" i="85"/>
  <c r="AV18" i="85"/>
  <c r="AU18" i="85"/>
  <c r="AT18" i="85"/>
  <c r="AS18" i="85"/>
  <c r="AR18" i="85"/>
  <c r="AQ18" i="85"/>
  <c r="AP18" i="85"/>
  <c r="AO18" i="85"/>
  <c r="AN18" i="85"/>
  <c r="AM18" i="85"/>
  <c r="AL18" i="85"/>
  <c r="AK18" i="85"/>
  <c r="AJ18" i="85"/>
  <c r="AI18" i="85"/>
  <c r="AH18" i="85"/>
  <c r="AG18" i="85"/>
  <c r="AF18" i="85"/>
  <c r="AE18" i="85"/>
  <c r="AD18" i="85"/>
  <c r="AC18" i="85"/>
  <c r="AB18" i="85"/>
  <c r="AA18" i="85"/>
  <c r="Z18" i="85"/>
  <c r="Y18" i="85"/>
  <c r="X18" i="85"/>
  <c r="W18" i="85"/>
  <c r="V18" i="85"/>
  <c r="U18" i="85"/>
  <c r="T18" i="85"/>
  <c r="S18" i="85"/>
  <c r="R18" i="85"/>
  <c r="Q18" i="85"/>
  <c r="P18" i="85"/>
  <c r="O18" i="85"/>
  <c r="N18" i="85"/>
  <c r="M18" i="85"/>
  <c r="L18" i="85"/>
  <c r="K18" i="85"/>
  <c r="J18" i="85"/>
  <c r="I18" i="85"/>
  <c r="H18" i="85"/>
  <c r="G18" i="85"/>
  <c r="F18" i="85"/>
  <c r="E18" i="85"/>
  <c r="D18" i="85"/>
  <c r="C18" i="85"/>
  <c r="B18" i="85"/>
  <c r="A18" i="85"/>
  <c r="AZ17" i="85"/>
  <c r="AY17" i="85"/>
  <c r="AX17" i="85"/>
  <c r="AW17" i="85"/>
  <c r="AV17" i="85"/>
  <c r="AU17" i="85"/>
  <c r="AT17" i="85"/>
  <c r="AS17" i="85"/>
  <c r="AR17" i="85"/>
  <c r="AQ17" i="85"/>
  <c r="AP17" i="85"/>
  <c r="AO17" i="85"/>
  <c r="AN17" i="85"/>
  <c r="AM17" i="85"/>
  <c r="AL17" i="85"/>
  <c r="AK17" i="85"/>
  <c r="AJ17" i="85"/>
  <c r="AI17" i="85"/>
  <c r="AH17" i="85"/>
  <c r="AG17" i="85"/>
  <c r="AF17" i="85"/>
  <c r="AE17" i="85"/>
  <c r="AD17" i="85"/>
  <c r="AC17" i="85"/>
  <c r="AB17" i="85"/>
  <c r="AA17" i="85"/>
  <c r="Z17" i="85"/>
  <c r="Y17" i="85"/>
  <c r="X17" i="85"/>
  <c r="W17" i="85"/>
  <c r="V17" i="85"/>
  <c r="U17" i="85"/>
  <c r="T17" i="85"/>
  <c r="S17" i="85"/>
  <c r="R17" i="85"/>
  <c r="Q17" i="85"/>
  <c r="P17" i="85"/>
  <c r="O17" i="85"/>
  <c r="N17" i="85"/>
  <c r="M17" i="85"/>
  <c r="L17" i="85"/>
  <c r="K17" i="85"/>
  <c r="J17" i="85"/>
  <c r="I17" i="85"/>
  <c r="H17" i="85"/>
  <c r="G17" i="85"/>
  <c r="F17" i="85"/>
  <c r="E17" i="85"/>
  <c r="D17" i="85"/>
  <c r="C17" i="85"/>
  <c r="B17" i="85"/>
  <c r="A17" i="85"/>
  <c r="AZ16" i="85"/>
  <c r="AY16" i="85"/>
  <c r="AX16" i="85"/>
  <c r="AW16" i="85"/>
  <c r="AV16" i="85"/>
  <c r="AU16" i="85"/>
  <c r="AT16" i="85"/>
  <c r="AS16" i="85"/>
  <c r="AR16" i="85"/>
  <c r="AQ16" i="85"/>
  <c r="AP16" i="85"/>
  <c r="AO16" i="85"/>
  <c r="AN16" i="85"/>
  <c r="AM16" i="85"/>
  <c r="AL16" i="85"/>
  <c r="AK16" i="85"/>
  <c r="AJ16" i="85"/>
  <c r="AI16" i="85"/>
  <c r="AH16" i="85"/>
  <c r="AG16" i="85"/>
  <c r="AF16" i="85"/>
  <c r="AE16" i="85"/>
  <c r="AD16" i="85"/>
  <c r="AC16" i="85"/>
  <c r="AB16" i="85"/>
  <c r="AA16" i="85"/>
  <c r="Z16" i="85"/>
  <c r="Y16" i="85"/>
  <c r="X16" i="85"/>
  <c r="W16" i="85"/>
  <c r="V16" i="85"/>
  <c r="U16" i="85"/>
  <c r="T16" i="85"/>
  <c r="S16" i="85"/>
  <c r="R16" i="85"/>
  <c r="Q16" i="85"/>
  <c r="P16" i="85"/>
  <c r="O16" i="85"/>
  <c r="N16" i="85"/>
  <c r="M16" i="85"/>
  <c r="L16" i="85"/>
  <c r="K16" i="85"/>
  <c r="J16" i="85"/>
  <c r="I16" i="85"/>
  <c r="H16" i="85"/>
  <c r="G16" i="85"/>
  <c r="F16" i="85"/>
  <c r="E16" i="85"/>
  <c r="D16" i="85"/>
  <c r="C16" i="85"/>
  <c r="B16" i="85"/>
  <c r="A16" i="85"/>
  <c r="AU15" i="85"/>
  <c r="AT15" i="85"/>
  <c r="AS15" i="85"/>
  <c r="AR15" i="85"/>
  <c r="AQ15" i="85"/>
  <c r="AP15" i="85"/>
  <c r="AO15" i="85"/>
  <c r="AN15" i="85"/>
  <c r="AM15" i="85"/>
  <c r="AL15" i="85"/>
  <c r="AK15" i="85"/>
  <c r="AJ15" i="85"/>
  <c r="AI15" i="85"/>
  <c r="AH15" i="85"/>
  <c r="AG15" i="85"/>
  <c r="AF15" i="85"/>
  <c r="AE15" i="85"/>
  <c r="AD15" i="85"/>
  <c r="AC15" i="85"/>
  <c r="AB15" i="85"/>
  <c r="AA15" i="85"/>
  <c r="Z15" i="85"/>
  <c r="Y15" i="85"/>
  <c r="X15" i="85"/>
  <c r="W15" i="85"/>
  <c r="V15" i="85"/>
  <c r="U15" i="85"/>
  <c r="T15" i="85"/>
  <c r="S15" i="85"/>
  <c r="R15" i="85"/>
  <c r="Q15" i="85"/>
  <c r="P15" i="85"/>
  <c r="O15" i="85"/>
  <c r="N15" i="85"/>
  <c r="M15" i="85"/>
  <c r="L15" i="85"/>
  <c r="K15" i="85"/>
  <c r="J15" i="85"/>
  <c r="I15" i="85"/>
  <c r="H15" i="85"/>
  <c r="G15" i="85"/>
  <c r="F15" i="85"/>
  <c r="E15" i="85"/>
  <c r="D15" i="85"/>
  <c r="C15" i="85"/>
  <c r="A15" i="85"/>
  <c r="AZ14" i="85"/>
  <c r="AY14" i="85"/>
  <c r="AX14" i="85"/>
  <c r="AW14" i="85"/>
  <c r="AV14" i="85"/>
  <c r="AU14" i="85"/>
  <c r="AT14" i="85"/>
  <c r="AS14" i="85"/>
  <c r="AR14" i="85"/>
  <c r="AQ14" i="85"/>
  <c r="AP14" i="85"/>
  <c r="AO14" i="85"/>
  <c r="AN14" i="85"/>
  <c r="AM14" i="85"/>
  <c r="AL14" i="85"/>
  <c r="AK14" i="85"/>
  <c r="AJ14" i="85"/>
  <c r="AI14" i="85"/>
  <c r="AH14" i="85"/>
  <c r="AG14" i="85"/>
  <c r="AF14" i="85"/>
  <c r="AE14" i="85"/>
  <c r="AD14" i="85"/>
  <c r="AC14" i="85"/>
  <c r="AB14" i="85"/>
  <c r="AA14" i="85"/>
  <c r="Z14" i="85"/>
  <c r="Y14" i="85"/>
  <c r="X14" i="85"/>
  <c r="W14" i="85"/>
  <c r="V14" i="85"/>
  <c r="U14" i="85"/>
  <c r="T14" i="85"/>
  <c r="S14" i="85"/>
  <c r="R14" i="85"/>
  <c r="Q14" i="85"/>
  <c r="P14" i="85"/>
  <c r="O14" i="85"/>
  <c r="N14" i="85"/>
  <c r="M14" i="85"/>
  <c r="L14" i="85"/>
  <c r="K14" i="85"/>
  <c r="J14" i="85"/>
  <c r="I14" i="85"/>
  <c r="H14" i="85"/>
  <c r="G14" i="85"/>
  <c r="F14" i="85"/>
  <c r="E14" i="85"/>
  <c r="D14" i="85"/>
  <c r="C14" i="85"/>
  <c r="A14" i="85"/>
  <c r="AZ13" i="85"/>
  <c r="AY13" i="85"/>
  <c r="AX13" i="85"/>
  <c r="AW13" i="85"/>
  <c r="AV13" i="85"/>
  <c r="AU13" i="85"/>
  <c r="AT13" i="85"/>
  <c r="AS13" i="85"/>
  <c r="AR13" i="85"/>
  <c r="AQ13" i="85"/>
  <c r="AP13" i="85"/>
  <c r="AO13" i="85"/>
  <c r="AN13" i="85"/>
  <c r="AM13" i="85"/>
  <c r="AL13" i="85"/>
  <c r="AK13" i="85"/>
  <c r="AJ13" i="85"/>
  <c r="AI13" i="85"/>
  <c r="AH13" i="85"/>
  <c r="AG13" i="85"/>
  <c r="AF13" i="85"/>
  <c r="AE13" i="85"/>
  <c r="AD13" i="85"/>
  <c r="AC13" i="85"/>
  <c r="AB13" i="85"/>
  <c r="AA13" i="85"/>
  <c r="Z13" i="85"/>
  <c r="Y13" i="85"/>
  <c r="X13" i="85"/>
  <c r="W13" i="85"/>
  <c r="V13" i="85"/>
  <c r="U13" i="85"/>
  <c r="T13" i="85"/>
  <c r="S13" i="85"/>
  <c r="R13" i="85"/>
  <c r="Q13" i="85"/>
  <c r="P13" i="85"/>
  <c r="O13" i="85"/>
  <c r="N13" i="85"/>
  <c r="M13" i="85"/>
  <c r="L13" i="85"/>
  <c r="K13" i="85"/>
  <c r="J13" i="85"/>
  <c r="I13" i="85"/>
  <c r="H13" i="85"/>
  <c r="G13" i="85"/>
  <c r="F13" i="85"/>
  <c r="E13" i="85"/>
  <c r="D13" i="85"/>
  <c r="C13" i="85"/>
  <c r="A13" i="85"/>
  <c r="AZ12" i="85"/>
  <c r="AY12" i="85"/>
  <c r="AX12" i="85"/>
  <c r="AW12" i="85"/>
  <c r="AV12" i="85"/>
  <c r="AU12" i="85"/>
  <c r="AT12" i="85"/>
  <c r="AS12" i="85"/>
  <c r="AR12" i="85"/>
  <c r="AQ12" i="85"/>
  <c r="AP12" i="85"/>
  <c r="AO12" i="85"/>
  <c r="AN12" i="85"/>
  <c r="AM12" i="85"/>
  <c r="AL12" i="85"/>
  <c r="AK12" i="85"/>
  <c r="AJ12" i="85"/>
  <c r="AI12" i="85"/>
  <c r="AH12" i="85"/>
  <c r="AG12" i="85"/>
  <c r="AF12" i="85"/>
  <c r="AE12" i="85"/>
  <c r="AD12" i="85"/>
  <c r="AC12" i="85"/>
  <c r="AB12" i="85"/>
  <c r="AA12" i="85"/>
  <c r="Z12" i="85"/>
  <c r="Y12" i="85"/>
  <c r="X12" i="85"/>
  <c r="W12" i="85"/>
  <c r="V12" i="85"/>
  <c r="U12" i="85"/>
  <c r="T12" i="85"/>
  <c r="S12" i="85"/>
  <c r="R12" i="85"/>
  <c r="Q12" i="85"/>
  <c r="P12" i="85"/>
  <c r="O12" i="85"/>
  <c r="N12" i="85"/>
  <c r="M12" i="85"/>
  <c r="L12" i="85"/>
  <c r="K12" i="85"/>
  <c r="J12" i="85"/>
  <c r="I12" i="85"/>
  <c r="H12" i="85"/>
  <c r="G12" i="85"/>
  <c r="F12" i="85"/>
  <c r="E12" i="85"/>
  <c r="D12" i="85"/>
  <c r="C12" i="85"/>
  <c r="A12" i="85"/>
  <c r="AZ11" i="85"/>
  <c r="AY11" i="85"/>
  <c r="AX11" i="85"/>
  <c r="AW11" i="85"/>
  <c r="AV11" i="85"/>
  <c r="AU11" i="85"/>
  <c r="AT11" i="85"/>
  <c r="AS11" i="85"/>
  <c r="AR11" i="85"/>
  <c r="AQ11" i="85"/>
  <c r="AP11" i="85"/>
  <c r="AO11" i="85"/>
  <c r="AN11" i="85"/>
  <c r="AM11" i="85"/>
  <c r="AL11" i="85"/>
  <c r="AK11" i="85"/>
  <c r="AJ11" i="85"/>
  <c r="AI11" i="85"/>
  <c r="AH11" i="85"/>
  <c r="AG11" i="85"/>
  <c r="AF11" i="85"/>
  <c r="AE11" i="85"/>
  <c r="AD11" i="85"/>
  <c r="AC11" i="85"/>
  <c r="AB11" i="85"/>
  <c r="AA11" i="85"/>
  <c r="Z11" i="85"/>
  <c r="Y11" i="85"/>
  <c r="X11" i="85"/>
  <c r="W11" i="85"/>
  <c r="V11" i="85"/>
  <c r="U11" i="85"/>
  <c r="T11" i="85"/>
  <c r="S11" i="85"/>
  <c r="R11" i="85"/>
  <c r="Q11" i="85"/>
  <c r="P11" i="85"/>
  <c r="O11" i="85"/>
  <c r="N11" i="85"/>
  <c r="M11" i="85"/>
  <c r="L11" i="85"/>
  <c r="K11" i="85"/>
  <c r="J11" i="85"/>
  <c r="I11" i="85"/>
  <c r="H11" i="85"/>
  <c r="G11" i="85"/>
  <c r="F11" i="85"/>
  <c r="E11" i="85"/>
  <c r="D11" i="85"/>
  <c r="C11" i="85"/>
  <c r="B11" i="85"/>
  <c r="A11" i="85"/>
  <c r="AZ10" i="85"/>
  <c r="AY10" i="85"/>
  <c r="AX10" i="85"/>
  <c r="AW10" i="85"/>
  <c r="AV10" i="85"/>
  <c r="AU10" i="85"/>
  <c r="AT10" i="85"/>
  <c r="AS10" i="85"/>
  <c r="AR10" i="85"/>
  <c r="AQ10" i="85"/>
  <c r="AP10" i="85"/>
  <c r="AO10" i="85"/>
  <c r="AN10" i="85"/>
  <c r="AM10" i="85"/>
  <c r="AL10" i="85"/>
  <c r="AK10" i="85"/>
  <c r="AJ10" i="85"/>
  <c r="AI10" i="85"/>
  <c r="AH10" i="85"/>
  <c r="AG10" i="85"/>
  <c r="AF10" i="85"/>
  <c r="AE10" i="85"/>
  <c r="AD10" i="85"/>
  <c r="AC10" i="85"/>
  <c r="AB10" i="85"/>
  <c r="AA10" i="85"/>
  <c r="Z10" i="85"/>
  <c r="Y10" i="85"/>
  <c r="X10" i="85"/>
  <c r="W10" i="85"/>
  <c r="V10" i="85"/>
  <c r="U10" i="85"/>
  <c r="T10" i="85"/>
  <c r="S10" i="85"/>
  <c r="R10" i="85"/>
  <c r="Q10" i="85"/>
  <c r="P10" i="85"/>
  <c r="O10" i="85"/>
  <c r="N10" i="85"/>
  <c r="M10" i="85"/>
  <c r="L10" i="85"/>
  <c r="K10" i="85"/>
  <c r="J10" i="85"/>
  <c r="I10" i="85"/>
  <c r="H10" i="85"/>
  <c r="G10" i="85"/>
  <c r="F10" i="85"/>
  <c r="E10" i="85"/>
  <c r="D10" i="85"/>
  <c r="C10" i="85"/>
  <c r="B10" i="85"/>
  <c r="A10" i="85"/>
  <c r="AZ9" i="85"/>
  <c r="AY9" i="85"/>
  <c r="AX9" i="85"/>
  <c r="AW9" i="85"/>
  <c r="AV9" i="85"/>
  <c r="AU9" i="85"/>
  <c r="AT9" i="85"/>
  <c r="AS9" i="85"/>
  <c r="AR9" i="85"/>
  <c r="AQ9" i="85"/>
  <c r="AP9" i="85"/>
  <c r="AO9" i="85"/>
  <c r="AN9" i="85"/>
  <c r="AM9" i="85"/>
  <c r="AL9" i="85"/>
  <c r="AK9" i="85"/>
  <c r="AJ9" i="85"/>
  <c r="AI9" i="85"/>
  <c r="AH9" i="85"/>
  <c r="AG9" i="85"/>
  <c r="AF9" i="85"/>
  <c r="AE9" i="85"/>
  <c r="AD9" i="85"/>
  <c r="AC9" i="85"/>
  <c r="AB9" i="85"/>
  <c r="AA9" i="85"/>
  <c r="Z9" i="85"/>
  <c r="Y9" i="85"/>
  <c r="X9" i="85"/>
  <c r="W9" i="85"/>
  <c r="V9" i="85"/>
  <c r="U9" i="85"/>
  <c r="T9" i="85"/>
  <c r="S9" i="85"/>
  <c r="R9" i="85"/>
  <c r="Q9" i="85"/>
  <c r="P9" i="85"/>
  <c r="O9" i="85"/>
  <c r="N9" i="85"/>
  <c r="M9" i="85"/>
  <c r="L9" i="85"/>
  <c r="K9" i="85"/>
  <c r="J9" i="85"/>
  <c r="I9" i="85"/>
  <c r="H9" i="85"/>
  <c r="G9" i="85"/>
  <c r="F9" i="85"/>
  <c r="E9" i="85"/>
  <c r="D9" i="85"/>
  <c r="C9" i="85"/>
  <c r="B9" i="85"/>
  <c r="AZ8" i="85"/>
  <c r="AY8" i="85"/>
  <c r="AX8" i="85"/>
  <c r="AW8" i="85"/>
  <c r="AV8" i="85"/>
  <c r="AU8" i="85"/>
  <c r="AT8" i="85"/>
  <c r="AS8" i="85"/>
  <c r="AR8" i="85"/>
  <c r="AQ8" i="85"/>
  <c r="AP8" i="85"/>
  <c r="AO8" i="85"/>
  <c r="AN8" i="85"/>
  <c r="AM8" i="85"/>
  <c r="AL8" i="85"/>
  <c r="AK8" i="85"/>
  <c r="AJ8" i="85"/>
  <c r="AI8" i="85"/>
  <c r="AH8" i="85"/>
  <c r="AG8" i="85"/>
  <c r="AF8" i="85"/>
  <c r="AE8" i="85"/>
  <c r="AD8" i="85"/>
  <c r="AC8" i="85"/>
  <c r="AB8" i="85"/>
  <c r="AA8" i="85"/>
  <c r="Z8" i="85"/>
  <c r="Y8" i="85"/>
  <c r="X8" i="85"/>
  <c r="W8" i="85"/>
  <c r="V8" i="85"/>
  <c r="U8" i="85"/>
  <c r="T8" i="85"/>
  <c r="S8" i="85"/>
  <c r="R8" i="85"/>
  <c r="Q8" i="85"/>
  <c r="P8" i="85"/>
  <c r="O8" i="85"/>
  <c r="N8" i="85"/>
  <c r="M8" i="85"/>
  <c r="L8" i="85"/>
  <c r="K8" i="85"/>
  <c r="J8" i="85"/>
  <c r="I8" i="85"/>
  <c r="H8" i="85"/>
  <c r="G8" i="85"/>
  <c r="F8" i="85"/>
  <c r="E8" i="85"/>
  <c r="D8" i="85"/>
  <c r="C8" i="85"/>
  <c r="AZ7" i="85"/>
  <c r="AY7" i="85"/>
  <c r="AX7" i="85"/>
  <c r="AW7" i="85"/>
  <c r="AV7" i="85"/>
  <c r="AU7" i="85"/>
  <c r="AT7" i="85"/>
  <c r="AS7" i="85"/>
  <c r="AR7" i="85"/>
  <c r="AQ7" i="85"/>
  <c r="AP7" i="85"/>
  <c r="AO7" i="85"/>
  <c r="AN7" i="85"/>
  <c r="AM7" i="85"/>
  <c r="AL7" i="85"/>
  <c r="AK7" i="85"/>
  <c r="AJ7" i="85"/>
  <c r="AI7" i="85"/>
  <c r="AH7" i="85"/>
  <c r="AG7" i="85"/>
  <c r="AF7" i="85"/>
  <c r="AE7" i="85"/>
  <c r="AD7" i="85"/>
  <c r="AC7" i="85"/>
  <c r="AB7" i="85"/>
  <c r="AA7" i="85"/>
  <c r="Z7" i="85"/>
  <c r="Y7" i="85"/>
  <c r="X7" i="85"/>
  <c r="W7" i="85"/>
  <c r="V7" i="85"/>
  <c r="U7" i="85"/>
  <c r="T7" i="85"/>
  <c r="S7" i="85"/>
  <c r="R7" i="85"/>
  <c r="Q7" i="85"/>
  <c r="P7" i="85"/>
  <c r="O7" i="85"/>
  <c r="N7" i="85"/>
  <c r="M7" i="85"/>
  <c r="L7" i="85"/>
  <c r="K7" i="85"/>
  <c r="J7" i="85"/>
  <c r="I7" i="85"/>
  <c r="H7" i="85"/>
  <c r="G7" i="85"/>
  <c r="F7" i="85"/>
  <c r="E7" i="85"/>
  <c r="D7" i="85"/>
  <c r="C7" i="85"/>
  <c r="AU6" i="85"/>
  <c r="AT6" i="85"/>
  <c r="AS6" i="85"/>
  <c r="AR6" i="85"/>
  <c r="AQ6" i="85"/>
  <c r="AP6" i="85"/>
  <c r="AO6" i="85"/>
  <c r="AN6" i="85"/>
  <c r="AM6" i="85"/>
  <c r="AL6" i="85"/>
  <c r="AK6" i="85"/>
  <c r="AJ6" i="85"/>
  <c r="AI6" i="85"/>
  <c r="AH6" i="85"/>
  <c r="AG6" i="85"/>
  <c r="AF6" i="85"/>
  <c r="AE6" i="85"/>
  <c r="AD6" i="85"/>
  <c r="AC6" i="85"/>
  <c r="AB6" i="85"/>
  <c r="AA6" i="85"/>
  <c r="Z6" i="85"/>
  <c r="Y6" i="85"/>
  <c r="X6" i="85"/>
  <c r="W6" i="85"/>
  <c r="V6" i="85"/>
  <c r="U6" i="85"/>
  <c r="T6" i="85"/>
  <c r="S6" i="85"/>
  <c r="R6" i="85"/>
  <c r="Q6" i="85"/>
  <c r="P6" i="85"/>
  <c r="O6" i="85"/>
  <c r="N6" i="85"/>
  <c r="M6" i="85"/>
  <c r="L6" i="85"/>
  <c r="K6" i="85"/>
  <c r="J6" i="85"/>
  <c r="I6" i="85"/>
  <c r="H6" i="85"/>
  <c r="G6" i="85"/>
  <c r="F6" i="85"/>
  <c r="E6" i="85"/>
  <c r="D6" i="85"/>
  <c r="C6" i="85"/>
  <c r="AU5" i="85"/>
  <c r="AT5" i="85"/>
  <c r="AS5" i="85"/>
  <c r="AR5" i="85"/>
  <c r="AQ5" i="85"/>
  <c r="AP5" i="85"/>
  <c r="AO5" i="85"/>
  <c r="AN5" i="85"/>
  <c r="AM5" i="85"/>
  <c r="AL5" i="85"/>
  <c r="AK5" i="85"/>
  <c r="AJ5" i="85"/>
  <c r="AI5" i="85"/>
  <c r="AH5" i="85"/>
  <c r="AG5" i="85"/>
  <c r="AF5" i="85"/>
  <c r="AE5" i="85"/>
  <c r="AD5" i="85"/>
  <c r="AC5" i="85"/>
  <c r="AB5" i="85"/>
  <c r="AA5" i="85"/>
  <c r="Z5" i="85"/>
  <c r="Y5" i="85"/>
  <c r="X5" i="85"/>
  <c r="W5" i="85"/>
  <c r="V5" i="85"/>
  <c r="U5" i="85"/>
  <c r="T5" i="85"/>
  <c r="S5" i="85"/>
  <c r="R5" i="85"/>
  <c r="Q5" i="85"/>
  <c r="P5" i="85"/>
  <c r="O5" i="85"/>
  <c r="N5" i="85"/>
  <c r="M5" i="85"/>
  <c r="L5" i="85"/>
  <c r="K5" i="85"/>
  <c r="J5" i="85"/>
  <c r="I5" i="85"/>
  <c r="H5" i="85"/>
  <c r="G5" i="85"/>
  <c r="F5" i="85"/>
  <c r="E5" i="85"/>
  <c r="D5" i="85"/>
  <c r="C5" i="85"/>
  <c r="C80" i="73"/>
  <c r="B79" i="73"/>
  <c r="B78" i="73"/>
  <c r="AC74" i="73"/>
  <c r="AB74" i="73"/>
  <c r="AA74" i="73"/>
  <c r="AC73" i="73"/>
  <c r="AB73" i="73"/>
  <c r="AA73" i="73"/>
  <c r="AC71" i="73"/>
  <c r="AB71" i="73"/>
  <c r="AA71" i="73"/>
  <c r="AC70" i="73"/>
  <c r="AB70" i="73"/>
  <c r="AA70" i="73"/>
  <c r="AC69" i="73"/>
  <c r="AB69" i="73"/>
  <c r="Y69" i="73"/>
  <c r="P69" i="73"/>
  <c r="M69" i="73"/>
  <c r="J69" i="73"/>
  <c r="D69" i="73"/>
  <c r="AC68" i="73"/>
  <c r="AB68" i="73"/>
  <c r="Y68" i="73"/>
  <c r="P68" i="73"/>
  <c r="M68" i="73"/>
  <c r="J68" i="73"/>
  <c r="D68" i="73"/>
  <c r="AC67" i="73"/>
  <c r="AB67" i="73"/>
  <c r="AA67" i="73"/>
  <c r="AL63" i="73"/>
  <c r="AK63" i="73"/>
  <c r="AJ63" i="73"/>
  <c r="AI63" i="73"/>
  <c r="AH63" i="73"/>
  <c r="AG63" i="73"/>
  <c r="W63" i="73"/>
  <c r="V63" i="73"/>
  <c r="T63" i="73"/>
  <c r="S63" i="73"/>
  <c r="AL62" i="73"/>
  <c r="AK62" i="73"/>
  <c r="AJ62" i="73"/>
  <c r="AI62" i="73"/>
  <c r="AH62" i="73"/>
  <c r="AG62" i="73"/>
  <c r="W62" i="73"/>
  <c r="V62" i="73"/>
  <c r="T62" i="73"/>
  <c r="S62" i="73"/>
  <c r="AL60" i="73"/>
  <c r="AK60" i="73"/>
  <c r="AJ60" i="73"/>
  <c r="AI60" i="73"/>
  <c r="AH60" i="73"/>
  <c r="AG60" i="73"/>
  <c r="X60" i="73"/>
  <c r="U60" i="73"/>
  <c r="R60" i="73"/>
  <c r="AL59" i="73"/>
  <c r="AK59" i="73"/>
  <c r="AJ59" i="73"/>
  <c r="AI59" i="73"/>
  <c r="AH59" i="73"/>
  <c r="AG59" i="73"/>
  <c r="E59" i="73"/>
  <c r="D59" i="73"/>
  <c r="AL58" i="73"/>
  <c r="AK58" i="73"/>
  <c r="AJ58" i="73"/>
  <c r="AI58" i="73"/>
  <c r="AH58" i="73"/>
  <c r="AG58" i="73"/>
  <c r="E58" i="73"/>
  <c r="D58" i="73"/>
  <c r="AL57" i="73"/>
  <c r="AK57" i="73"/>
  <c r="AJ57" i="73"/>
  <c r="AI57" i="73"/>
  <c r="AH57" i="73"/>
  <c r="AG57" i="73"/>
  <c r="E57" i="73"/>
  <c r="D57" i="73"/>
  <c r="AM54" i="73"/>
  <c r="AI54" i="73"/>
  <c r="AH54" i="73"/>
  <c r="AG54" i="73"/>
  <c r="AM53" i="73"/>
  <c r="AI53" i="73"/>
  <c r="AH53" i="73"/>
  <c r="AG53" i="73"/>
  <c r="AM52" i="73"/>
  <c r="AI52" i="73"/>
  <c r="AH52" i="73"/>
  <c r="AG52" i="73"/>
  <c r="AM51" i="73"/>
  <c r="AI51" i="73"/>
  <c r="AH51" i="73"/>
  <c r="AG51" i="73"/>
  <c r="AM50" i="73"/>
  <c r="AI50" i="73"/>
  <c r="AH50" i="73"/>
  <c r="AG50" i="73"/>
  <c r="AM49" i="73"/>
  <c r="AI49" i="73"/>
  <c r="AH49" i="73"/>
  <c r="AG49" i="73"/>
  <c r="AM48" i="73"/>
  <c r="AI48" i="73"/>
  <c r="AH48" i="73"/>
  <c r="AG48" i="73"/>
  <c r="AM47" i="73"/>
  <c r="AI47" i="73"/>
  <c r="AH47" i="73"/>
  <c r="AG47" i="73"/>
  <c r="AM46" i="73"/>
  <c r="AI46" i="73"/>
  <c r="AH46" i="73"/>
  <c r="AG46" i="73"/>
  <c r="AM45" i="73"/>
  <c r="AI45" i="73"/>
  <c r="AH45" i="73"/>
  <c r="AG45" i="73"/>
  <c r="AM44" i="73"/>
  <c r="AI44" i="73"/>
  <c r="AH44" i="73"/>
  <c r="AG44" i="73"/>
  <c r="AM43" i="73"/>
  <c r="AI43" i="73"/>
  <c r="AH43" i="73"/>
  <c r="AG43" i="73"/>
  <c r="AM42" i="73"/>
  <c r="AI42" i="73"/>
  <c r="AH42" i="73"/>
  <c r="AG42" i="73"/>
  <c r="AM41" i="73"/>
  <c r="AI41" i="73"/>
  <c r="AH41" i="73"/>
  <c r="AG41" i="73"/>
  <c r="AM40" i="73"/>
  <c r="AI40" i="73"/>
  <c r="AH40" i="73"/>
  <c r="AG40" i="73"/>
  <c r="AM39" i="73"/>
  <c r="AI39" i="73"/>
  <c r="AH39" i="73"/>
  <c r="AG39" i="73"/>
  <c r="AM38" i="73"/>
  <c r="AI38" i="73"/>
  <c r="AH38" i="73"/>
  <c r="AG38" i="73"/>
  <c r="AM37" i="73"/>
  <c r="AI37" i="73"/>
  <c r="AH37" i="73"/>
  <c r="AG37" i="73"/>
  <c r="AM36" i="73"/>
  <c r="AI36" i="73"/>
  <c r="AH36" i="73"/>
  <c r="AG36" i="73"/>
  <c r="AM35" i="73"/>
  <c r="AI35" i="73"/>
  <c r="AH35" i="73"/>
  <c r="AG35" i="73"/>
  <c r="AM34" i="73"/>
  <c r="AI34" i="73"/>
  <c r="AH34" i="73"/>
  <c r="AG34" i="73"/>
  <c r="AM33" i="73"/>
  <c r="AI33" i="73"/>
  <c r="AH33" i="73"/>
  <c r="AG33" i="73"/>
  <c r="AM32" i="73"/>
  <c r="AI32" i="73"/>
  <c r="AH32" i="73"/>
  <c r="AG32" i="73"/>
  <c r="AM31" i="73"/>
  <c r="AI31" i="73"/>
  <c r="AH31" i="73"/>
  <c r="AG31" i="73"/>
  <c r="AM30" i="73"/>
  <c r="AI30" i="73"/>
  <c r="AH30" i="73"/>
  <c r="AG30" i="73"/>
  <c r="AM29" i="73"/>
  <c r="AI29" i="73"/>
  <c r="AH29" i="73"/>
  <c r="AG29" i="73"/>
  <c r="AM28" i="73"/>
  <c r="AI28" i="73"/>
  <c r="AH28" i="73"/>
  <c r="AG28" i="73"/>
  <c r="AM27" i="73"/>
  <c r="AI27" i="73"/>
  <c r="AH27" i="73"/>
  <c r="AG27" i="73"/>
  <c r="AM26" i="73"/>
  <c r="AI26" i="73"/>
  <c r="AH26" i="73"/>
  <c r="AG26" i="73"/>
  <c r="AM25" i="73"/>
  <c r="AI25" i="73"/>
  <c r="AH25" i="73"/>
  <c r="AG25" i="73"/>
  <c r="AM24" i="73"/>
  <c r="AI24" i="73"/>
  <c r="AH24" i="73"/>
  <c r="AG24" i="73"/>
  <c r="AM23" i="73"/>
  <c r="AI23" i="73"/>
  <c r="AH23" i="73"/>
  <c r="AG23" i="73"/>
  <c r="AM22" i="73"/>
  <c r="AI22" i="73"/>
  <c r="AH22" i="73"/>
  <c r="AG22" i="73"/>
  <c r="AM21" i="73"/>
  <c r="AI21" i="73"/>
  <c r="AH21" i="73"/>
  <c r="AG21" i="73"/>
  <c r="AM20" i="73"/>
  <c r="AI20" i="73"/>
  <c r="AH20" i="73"/>
  <c r="AG20" i="73"/>
  <c r="AM19" i="73"/>
  <c r="AI19" i="73"/>
  <c r="AH19" i="73"/>
  <c r="AG19" i="73"/>
  <c r="AM18" i="73"/>
  <c r="AI18" i="73"/>
  <c r="AH18" i="73"/>
  <c r="AG18" i="73"/>
  <c r="AM17" i="73"/>
  <c r="AI17" i="73"/>
  <c r="AH17" i="73"/>
  <c r="AG17" i="73"/>
  <c r="AM16" i="73"/>
  <c r="AI16" i="73"/>
  <c r="AH16" i="73"/>
  <c r="AG16" i="73"/>
  <c r="AM15" i="73"/>
  <c r="AI15" i="73"/>
  <c r="AH15" i="73"/>
  <c r="AG15" i="73"/>
  <c r="AM14" i="73"/>
  <c r="AI14" i="73"/>
  <c r="AH14" i="73"/>
  <c r="AG14" i="73"/>
  <c r="AM13" i="73"/>
  <c r="AI13" i="73"/>
  <c r="AH13" i="73"/>
  <c r="AG13" i="73"/>
  <c r="AM12" i="73"/>
  <c r="AI12" i="73"/>
  <c r="AH12" i="73"/>
  <c r="AG12" i="73"/>
  <c r="AM11" i="73"/>
  <c r="AI11" i="73"/>
  <c r="AH11" i="73"/>
  <c r="AG11" i="73"/>
  <c r="AM10" i="73"/>
  <c r="AI10" i="73"/>
  <c r="AH10" i="73"/>
  <c r="AG10" i="73"/>
  <c r="AM9" i="73"/>
  <c r="AI9" i="73"/>
  <c r="AH9" i="73"/>
  <c r="AG9" i="73"/>
  <c r="AM8" i="73"/>
  <c r="AI8" i="73"/>
  <c r="AH8" i="73"/>
  <c r="AG8" i="73"/>
  <c r="N54" i="95"/>
  <c r="M54" i="95"/>
  <c r="L54" i="95"/>
  <c r="K54" i="95"/>
  <c r="J54" i="95"/>
  <c r="I54" i="95"/>
  <c r="H54" i="95"/>
  <c r="G54" i="95"/>
  <c r="F54" i="95"/>
  <c r="E54" i="95"/>
  <c r="N45" i="95"/>
  <c r="M45" i="95"/>
  <c r="L45" i="95"/>
  <c r="K45" i="95"/>
  <c r="J45" i="95"/>
  <c r="I45" i="95"/>
  <c r="H45" i="95"/>
  <c r="G45" i="95"/>
  <c r="F45" i="95"/>
  <c r="E45" i="95"/>
  <c r="D45" i="95"/>
  <c r="C45" i="95"/>
  <c r="N44" i="95"/>
  <c r="M44" i="95"/>
  <c r="L44" i="95"/>
  <c r="K44" i="95"/>
  <c r="J44" i="95"/>
  <c r="I44" i="95"/>
  <c r="H44" i="95"/>
  <c r="G44" i="95"/>
  <c r="F44" i="95"/>
  <c r="E44" i="95"/>
  <c r="D44" i="95"/>
  <c r="C44" i="95"/>
  <c r="N31" i="95"/>
  <c r="M31" i="95"/>
  <c r="L31" i="95"/>
  <c r="K31" i="95"/>
  <c r="J31" i="95"/>
  <c r="I31" i="95"/>
  <c r="H31" i="95"/>
  <c r="G31" i="95"/>
  <c r="F31" i="95"/>
  <c r="E31" i="95"/>
  <c r="D31" i="95"/>
  <c r="C31" i="95"/>
  <c r="N18" i="95"/>
  <c r="M18" i="95"/>
  <c r="L18" i="95"/>
  <c r="K18" i="95"/>
  <c r="J18" i="95"/>
  <c r="I18" i="95"/>
  <c r="H18" i="95"/>
  <c r="G18" i="95"/>
  <c r="F18" i="95"/>
  <c r="E18" i="95"/>
  <c r="D18" i="95"/>
  <c r="C18" i="95"/>
  <c r="C33" i="98"/>
  <c r="M32" i="98"/>
  <c r="L32" i="98"/>
  <c r="K32" i="98"/>
  <c r="J32" i="98"/>
  <c r="I32" i="98"/>
  <c r="H32" i="98"/>
  <c r="G32" i="98"/>
  <c r="F32" i="98"/>
  <c r="E32" i="98"/>
  <c r="D32" i="98"/>
  <c r="C32" i="98"/>
  <c r="M30" i="98"/>
  <c r="L30" i="98"/>
  <c r="K30" i="98"/>
  <c r="J30" i="98"/>
  <c r="I30" i="98"/>
  <c r="H30" i="98"/>
  <c r="G30" i="98"/>
  <c r="F30" i="98"/>
  <c r="E30" i="98"/>
  <c r="D30" i="98"/>
  <c r="C30" i="98"/>
  <c r="M29" i="98"/>
  <c r="L29" i="98"/>
  <c r="K29" i="98"/>
  <c r="J29" i="98"/>
  <c r="I29" i="98"/>
  <c r="H29" i="98"/>
  <c r="G29" i="98"/>
  <c r="F29" i="98"/>
  <c r="E29" i="98"/>
  <c r="D29" i="98"/>
  <c r="C29" i="98"/>
  <c r="L23" i="98"/>
  <c r="K23" i="98"/>
  <c r="J23" i="98"/>
  <c r="I23" i="98"/>
  <c r="H23" i="98"/>
  <c r="G23" i="98"/>
  <c r="F23" i="98"/>
  <c r="E23" i="98"/>
  <c r="D23" i="98"/>
  <c r="C23" i="98"/>
  <c r="L22" i="98"/>
  <c r="K22" i="98"/>
  <c r="J22" i="98"/>
  <c r="I22" i="98"/>
  <c r="H22" i="98"/>
  <c r="G22" i="98"/>
  <c r="F22" i="98"/>
  <c r="E22" i="98"/>
  <c r="D22" i="98"/>
  <c r="C22" i="98"/>
  <c r="L21" i="98"/>
  <c r="K21" i="98"/>
  <c r="J21" i="98"/>
  <c r="I21" i="98"/>
  <c r="H21" i="98"/>
  <c r="G21" i="98"/>
  <c r="F21" i="98"/>
  <c r="E21" i="98"/>
  <c r="D21" i="98"/>
  <c r="C21" i="98"/>
  <c r="L20" i="98"/>
  <c r="K20" i="98"/>
  <c r="J20" i="98"/>
  <c r="I20" i="98"/>
  <c r="H20" i="98"/>
  <c r="G20" i="98"/>
  <c r="F20" i="98"/>
  <c r="E20" i="98"/>
  <c r="D20" i="98"/>
  <c r="C20" i="98"/>
  <c r="I19" i="98"/>
  <c r="H19" i="98"/>
  <c r="G19" i="98"/>
  <c r="F19" i="98"/>
  <c r="E19" i="98"/>
  <c r="D19" i="98"/>
  <c r="C19" i="98"/>
  <c r="L18" i="98"/>
  <c r="K18" i="98"/>
  <c r="J18" i="98"/>
  <c r="I18" i="98"/>
  <c r="H18" i="98"/>
  <c r="G18" i="98"/>
  <c r="F18" i="98"/>
  <c r="E18" i="98"/>
  <c r="D18" i="98"/>
  <c r="C18" i="98"/>
  <c r="M12" i="98"/>
  <c r="L12" i="98"/>
  <c r="K12" i="98"/>
  <c r="J12" i="98"/>
  <c r="I12" i="98"/>
  <c r="H12" i="98"/>
  <c r="G12" i="98"/>
  <c r="F12" i="98"/>
  <c r="E12" i="98"/>
  <c r="D12" i="98"/>
  <c r="C12" i="98"/>
  <c r="M11" i="98"/>
  <c r="L11" i="98"/>
  <c r="K11" i="98"/>
  <c r="J11" i="98"/>
  <c r="I11" i="98"/>
  <c r="H11" i="98"/>
  <c r="G11" i="98"/>
  <c r="F11" i="98"/>
  <c r="E11" i="98"/>
  <c r="D11" i="98"/>
  <c r="C11" i="98"/>
  <c r="M10" i="98"/>
  <c r="L10" i="98"/>
  <c r="K10" i="98"/>
  <c r="J10" i="98"/>
  <c r="I10" i="98"/>
  <c r="H10" i="98"/>
  <c r="G10" i="98"/>
  <c r="F10" i="98"/>
  <c r="E10" i="98"/>
  <c r="D10" i="98"/>
  <c r="C10" i="98"/>
  <c r="M9" i="98"/>
  <c r="L9" i="98"/>
  <c r="K9" i="98"/>
  <c r="J9" i="98"/>
  <c r="I9" i="98"/>
  <c r="H9" i="98"/>
  <c r="G9" i="98"/>
  <c r="F9" i="98"/>
  <c r="E9" i="98"/>
  <c r="D9" i="98"/>
  <c r="C9" i="98"/>
  <c r="M8" i="98"/>
  <c r="L8" i="98"/>
  <c r="K8" i="98"/>
  <c r="J8" i="98"/>
  <c r="I8" i="98"/>
  <c r="H8" i="98"/>
  <c r="G8" i="98"/>
  <c r="F8" i="98"/>
  <c r="E8" i="98"/>
  <c r="D8" i="98"/>
  <c r="C8" i="98"/>
  <c r="M7" i="98"/>
  <c r="L7" i="98"/>
  <c r="K7" i="98"/>
  <c r="J7" i="98"/>
  <c r="I7" i="98"/>
  <c r="H7" i="98"/>
  <c r="G7" i="98"/>
  <c r="F7" i="98"/>
  <c r="E7" i="98"/>
  <c r="D7" i="98"/>
  <c r="C7" i="98"/>
  <c r="M5" i="98"/>
  <c r="L5" i="98"/>
  <c r="K5" i="98"/>
  <c r="J5" i="98"/>
  <c r="I5" i="98"/>
  <c r="H5" i="98"/>
  <c r="G5" i="98"/>
  <c r="F5" i="98"/>
  <c r="E5" i="98"/>
  <c r="D5" i="98"/>
  <c r="C5" i="98"/>
  <c r="I302" i="78"/>
  <c r="I301" i="78"/>
  <c r="I300" i="78"/>
  <c r="J299" i="78"/>
  <c r="H299" i="78"/>
  <c r="G299" i="78"/>
  <c r="E299" i="78"/>
  <c r="D299" i="78"/>
  <c r="J298" i="78"/>
  <c r="H298" i="78"/>
  <c r="G298" i="78"/>
  <c r="E298" i="78"/>
  <c r="D298" i="78"/>
  <c r="C298" i="78"/>
  <c r="J297" i="78"/>
  <c r="H297" i="78"/>
  <c r="G297" i="78"/>
  <c r="E297" i="78"/>
  <c r="D297" i="78"/>
  <c r="C297" i="78"/>
  <c r="J296" i="78"/>
  <c r="H296" i="78"/>
  <c r="G296" i="78"/>
  <c r="E296" i="78"/>
  <c r="D296" i="78"/>
  <c r="C296" i="78"/>
  <c r="J295" i="78"/>
  <c r="H295" i="78"/>
  <c r="G295" i="78"/>
  <c r="E295" i="78"/>
  <c r="D295" i="78"/>
  <c r="C295" i="78"/>
  <c r="N294" i="78"/>
  <c r="J294" i="78"/>
  <c r="H294" i="78"/>
  <c r="G294" i="78"/>
  <c r="E294" i="78"/>
  <c r="D294" i="78"/>
  <c r="C294" i="78"/>
  <c r="N293" i="78"/>
  <c r="J293" i="78"/>
  <c r="H293" i="78"/>
  <c r="G293" i="78"/>
  <c r="E293" i="78"/>
  <c r="D293" i="78"/>
  <c r="C293" i="78"/>
  <c r="J292" i="78"/>
  <c r="H292" i="78"/>
  <c r="G292" i="78"/>
  <c r="E292" i="78"/>
  <c r="D292" i="78"/>
  <c r="C292" i="78"/>
  <c r="O291" i="78"/>
  <c r="J291" i="78"/>
  <c r="H291" i="78"/>
  <c r="G291" i="78"/>
  <c r="E291" i="78"/>
  <c r="D291" i="78"/>
  <c r="C291" i="78"/>
  <c r="J290" i="78"/>
  <c r="H290" i="78"/>
  <c r="G290" i="78"/>
  <c r="E290" i="78"/>
  <c r="D290" i="78"/>
  <c r="C290" i="78"/>
  <c r="J289" i="78"/>
  <c r="H289" i="78"/>
  <c r="G289" i="78"/>
  <c r="E289" i="78"/>
  <c r="D289" i="78"/>
  <c r="C289" i="78"/>
  <c r="J288" i="78"/>
  <c r="H288" i="78"/>
  <c r="G288" i="78"/>
  <c r="E288" i="78"/>
  <c r="D288" i="78"/>
  <c r="C288" i="78"/>
  <c r="J287" i="78"/>
  <c r="H287" i="78"/>
  <c r="G287" i="78"/>
  <c r="E287" i="78"/>
  <c r="D287" i="78"/>
  <c r="C287" i="78"/>
  <c r="J286" i="78"/>
  <c r="H286" i="78"/>
  <c r="G286" i="78"/>
  <c r="E286" i="78"/>
  <c r="D286" i="78"/>
  <c r="C286" i="78"/>
  <c r="J285" i="78"/>
  <c r="H285" i="78"/>
  <c r="G285" i="78"/>
  <c r="E285" i="78"/>
  <c r="D285" i="78"/>
  <c r="C285" i="78"/>
  <c r="J284" i="78"/>
  <c r="H284" i="78"/>
  <c r="G284" i="78"/>
  <c r="E284" i="78"/>
  <c r="D284" i="78"/>
  <c r="C284" i="78"/>
  <c r="J283" i="78"/>
  <c r="H283" i="78"/>
  <c r="G283" i="78"/>
  <c r="E283" i="78"/>
  <c r="D283" i="78"/>
  <c r="C283" i="78"/>
  <c r="J282" i="78"/>
  <c r="H282" i="78"/>
  <c r="G282" i="78"/>
  <c r="E282" i="78"/>
  <c r="D282" i="78"/>
  <c r="C282" i="78"/>
  <c r="J281" i="78"/>
  <c r="H281" i="78"/>
  <c r="G281" i="78"/>
  <c r="E281" i="78"/>
  <c r="D281" i="78"/>
  <c r="C281" i="78"/>
  <c r="J280" i="78"/>
  <c r="H280" i="78"/>
  <c r="G280" i="78"/>
  <c r="E280" i="78"/>
  <c r="D280" i="78"/>
  <c r="C280" i="78"/>
  <c r="J279" i="78"/>
  <c r="H279" i="78"/>
  <c r="G279" i="78"/>
  <c r="E279" i="78"/>
  <c r="D279" i="78"/>
  <c r="C279" i="78"/>
  <c r="O278" i="78"/>
  <c r="J278" i="78"/>
  <c r="H278" i="78"/>
  <c r="G278" i="78"/>
  <c r="E278" i="78"/>
  <c r="D278" i="78"/>
  <c r="C278" i="78"/>
  <c r="O277" i="78"/>
  <c r="J277" i="78"/>
  <c r="H277" i="78"/>
  <c r="G277" i="78"/>
  <c r="E277" i="78"/>
  <c r="D277" i="78"/>
  <c r="C277" i="78"/>
  <c r="J276" i="78"/>
  <c r="H276" i="78"/>
  <c r="G276" i="78"/>
  <c r="E276" i="78"/>
  <c r="D276" i="78"/>
  <c r="C276" i="78"/>
  <c r="J275" i="78"/>
  <c r="H275" i="78"/>
  <c r="G275" i="78"/>
  <c r="E275" i="78"/>
  <c r="D275" i="78"/>
  <c r="C275" i="78"/>
  <c r="J274" i="78"/>
  <c r="H274" i="78"/>
  <c r="G274" i="78"/>
  <c r="E274" i="78"/>
  <c r="D274" i="78"/>
  <c r="C274" i="78"/>
  <c r="O273" i="78"/>
  <c r="J273" i="78"/>
  <c r="H273" i="78"/>
  <c r="G273" i="78"/>
  <c r="E273" i="78"/>
  <c r="D273" i="78"/>
  <c r="C273" i="78"/>
  <c r="J272" i="78"/>
  <c r="H272" i="78"/>
  <c r="G272" i="78"/>
  <c r="E272" i="78"/>
  <c r="D272" i="78"/>
  <c r="C272" i="78"/>
  <c r="J271" i="78"/>
  <c r="H271" i="78"/>
  <c r="G271" i="78"/>
  <c r="E271" i="78"/>
  <c r="D271" i="78"/>
  <c r="C271" i="78"/>
  <c r="O270" i="78"/>
  <c r="J270" i="78"/>
  <c r="H270" i="78"/>
  <c r="G270" i="78"/>
  <c r="E270" i="78"/>
  <c r="D270" i="78"/>
  <c r="C270" i="78"/>
  <c r="J269" i="78"/>
  <c r="H269" i="78"/>
  <c r="G269" i="78"/>
  <c r="E269" i="78"/>
  <c r="D269" i="78"/>
  <c r="C269" i="78"/>
  <c r="J268" i="78"/>
  <c r="H268" i="78"/>
  <c r="G268" i="78"/>
  <c r="E268" i="78"/>
  <c r="D268" i="78"/>
  <c r="C268" i="78"/>
  <c r="J267" i="78"/>
  <c r="H267" i="78"/>
  <c r="G267" i="78"/>
  <c r="E267" i="78"/>
  <c r="D267" i="78"/>
  <c r="C267" i="78"/>
  <c r="J266" i="78"/>
  <c r="H266" i="78"/>
  <c r="G266" i="78"/>
  <c r="E266" i="78"/>
  <c r="D266" i="78"/>
  <c r="C266" i="78"/>
  <c r="J265" i="78"/>
  <c r="H265" i="78"/>
  <c r="G265" i="78"/>
  <c r="E265" i="78"/>
  <c r="D265" i="78"/>
  <c r="C265" i="78"/>
  <c r="J264" i="78"/>
  <c r="H264" i="78"/>
  <c r="G264" i="78"/>
  <c r="E264" i="78"/>
  <c r="D264" i="78"/>
  <c r="C264" i="78"/>
  <c r="J263" i="78"/>
  <c r="H263" i="78"/>
  <c r="G263" i="78"/>
  <c r="E263" i="78"/>
  <c r="D263" i="78"/>
  <c r="C263" i="78"/>
  <c r="J262" i="78"/>
  <c r="H262" i="78"/>
  <c r="G262" i="78"/>
  <c r="E262" i="78"/>
  <c r="D262" i="78"/>
  <c r="C262" i="78"/>
  <c r="J261" i="78"/>
  <c r="H261" i="78"/>
  <c r="G261" i="78"/>
  <c r="E261" i="78"/>
  <c r="D261" i="78"/>
  <c r="C261" i="78"/>
  <c r="J260" i="78"/>
  <c r="H260" i="78"/>
  <c r="G260" i="78"/>
  <c r="E260" i="78"/>
  <c r="D260" i="78"/>
  <c r="C260" i="78"/>
  <c r="J259" i="78"/>
  <c r="H259" i="78"/>
  <c r="G259" i="78"/>
  <c r="E259" i="78"/>
  <c r="D259" i="78"/>
  <c r="C259" i="78"/>
  <c r="J258" i="78"/>
  <c r="H258" i="78"/>
  <c r="G258" i="78"/>
  <c r="E258" i="78"/>
  <c r="D258" i="78"/>
  <c r="C258" i="78"/>
  <c r="J257" i="78"/>
  <c r="H257" i="78"/>
  <c r="G257" i="78"/>
  <c r="E257" i="78"/>
  <c r="D257" i="78"/>
  <c r="C257" i="78"/>
  <c r="M256" i="78"/>
  <c r="J256" i="78"/>
  <c r="H256" i="78"/>
  <c r="G256" i="78"/>
  <c r="E256" i="78"/>
  <c r="D256" i="78"/>
  <c r="C256" i="78"/>
  <c r="M255" i="78"/>
  <c r="J255" i="78"/>
  <c r="H255" i="78"/>
  <c r="G255" i="78"/>
  <c r="E255" i="78"/>
  <c r="D255" i="78"/>
  <c r="C255" i="78"/>
  <c r="J254" i="78"/>
  <c r="H254" i="78"/>
  <c r="G254" i="78"/>
  <c r="E254" i="78"/>
  <c r="D254" i="78"/>
  <c r="C254" i="78"/>
  <c r="J253" i="78"/>
  <c r="H253" i="78"/>
  <c r="G253" i="78"/>
  <c r="E253" i="78"/>
  <c r="D253" i="78"/>
  <c r="C253" i="78"/>
  <c r="N252" i="78"/>
  <c r="J252" i="78"/>
  <c r="H252" i="78"/>
  <c r="G252" i="78"/>
  <c r="E252" i="78"/>
  <c r="D252" i="78"/>
  <c r="C252" i="78"/>
  <c r="J251" i="78"/>
  <c r="H251" i="78"/>
  <c r="G251" i="78"/>
  <c r="E251" i="78"/>
  <c r="D251" i="78"/>
  <c r="C251" i="78"/>
  <c r="N250" i="78"/>
  <c r="J250" i="78"/>
  <c r="H250" i="78"/>
  <c r="G250" i="78"/>
  <c r="E250" i="78"/>
  <c r="D250" i="78"/>
  <c r="C250" i="78"/>
  <c r="J249" i="78"/>
  <c r="H249" i="78"/>
  <c r="G249" i="78"/>
  <c r="E249" i="78"/>
  <c r="D249" i="78"/>
  <c r="C249" i="78"/>
  <c r="J248" i="78"/>
  <c r="H248" i="78"/>
  <c r="G248" i="78"/>
  <c r="E248" i="78"/>
  <c r="D248" i="78"/>
  <c r="C248" i="78"/>
  <c r="M240" i="78"/>
  <c r="J240" i="78"/>
  <c r="D236" i="78"/>
  <c r="D235" i="78"/>
  <c r="D234" i="78"/>
  <c r="G233" i="78"/>
  <c r="D233" i="78"/>
  <c r="J232" i="78"/>
  <c r="G232" i="78"/>
  <c r="D232" i="78"/>
  <c r="G231" i="78"/>
  <c r="D231" i="78"/>
  <c r="G230" i="78"/>
  <c r="D230" i="78"/>
  <c r="G229" i="78"/>
  <c r="D229" i="78"/>
  <c r="D228" i="78"/>
  <c r="K227" i="78"/>
  <c r="M219" i="78"/>
  <c r="M218" i="78"/>
  <c r="N216" i="78"/>
  <c r="M216" i="78"/>
  <c r="L216" i="78"/>
  <c r="K216" i="78"/>
  <c r="J216" i="78"/>
  <c r="I216" i="78"/>
  <c r="H216" i="78"/>
  <c r="G216" i="78"/>
  <c r="F216" i="78"/>
  <c r="E216" i="78"/>
  <c r="D216" i="78"/>
  <c r="C216" i="78"/>
  <c r="M202" i="78"/>
  <c r="M201" i="78"/>
  <c r="M200" i="78"/>
  <c r="M199" i="78"/>
  <c r="O198" i="78"/>
  <c r="N198" i="78"/>
  <c r="M198" i="78"/>
  <c r="L198" i="78"/>
  <c r="K198" i="78"/>
  <c r="J198" i="78"/>
  <c r="I198" i="78"/>
  <c r="H198" i="78"/>
  <c r="G198" i="78"/>
  <c r="F198" i="78"/>
  <c r="E198" i="78"/>
  <c r="D198" i="78"/>
  <c r="C198" i="78"/>
  <c r="O197" i="78"/>
  <c r="N197" i="78"/>
  <c r="M197" i="78"/>
  <c r="L197" i="78"/>
  <c r="K197" i="78"/>
  <c r="J197" i="78"/>
  <c r="H197" i="78"/>
  <c r="G197" i="78"/>
  <c r="F197" i="78"/>
  <c r="E197" i="78"/>
  <c r="D197" i="78"/>
  <c r="C197" i="78"/>
  <c r="O196" i="78"/>
  <c r="N196" i="78"/>
  <c r="M196" i="78"/>
  <c r="L196" i="78"/>
  <c r="K196" i="78"/>
  <c r="J196" i="78"/>
  <c r="H196" i="78"/>
  <c r="G196" i="78"/>
  <c r="F196" i="78"/>
  <c r="E196" i="78"/>
  <c r="D196" i="78"/>
  <c r="C196" i="78"/>
  <c r="M189" i="78"/>
  <c r="M188" i="78"/>
  <c r="M187" i="78"/>
  <c r="C187" i="78"/>
  <c r="C186" i="78"/>
  <c r="C185" i="78"/>
  <c r="F177" i="78"/>
  <c r="D177" i="78"/>
  <c r="F175" i="78"/>
  <c r="D175" i="78"/>
  <c r="J135" i="78"/>
  <c r="J134" i="78"/>
  <c r="I134" i="78"/>
  <c r="K133" i="78"/>
  <c r="J133" i="78"/>
  <c r="I133" i="78"/>
  <c r="K132" i="78"/>
  <c r="J132" i="78"/>
  <c r="K131" i="78"/>
  <c r="J131" i="78"/>
  <c r="I131" i="78"/>
  <c r="K130" i="78"/>
  <c r="J130" i="78"/>
  <c r="K129" i="78"/>
  <c r="J129" i="78"/>
  <c r="I129" i="78"/>
  <c r="K128" i="78"/>
  <c r="J128" i="78"/>
  <c r="K127" i="78"/>
  <c r="J127" i="78"/>
  <c r="I127" i="78"/>
  <c r="K126" i="78"/>
  <c r="J126" i="78"/>
  <c r="I126" i="78"/>
  <c r="K125" i="78"/>
  <c r="J125" i="78"/>
  <c r="I125" i="78"/>
  <c r="O113" i="78"/>
  <c r="N113" i="78"/>
  <c r="M113" i="78"/>
  <c r="L113" i="78"/>
  <c r="O112" i="78"/>
  <c r="N112" i="78"/>
  <c r="M112" i="78"/>
  <c r="L112" i="78"/>
  <c r="K112" i="78"/>
  <c r="C112" i="78"/>
  <c r="O111" i="78"/>
  <c r="N111" i="78"/>
  <c r="M111" i="78"/>
  <c r="L111" i="78"/>
  <c r="K111" i="78"/>
  <c r="O110" i="78"/>
  <c r="N110" i="78"/>
  <c r="M110" i="78"/>
  <c r="L110" i="78"/>
  <c r="K110" i="78"/>
  <c r="O109" i="78"/>
  <c r="N109" i="78"/>
  <c r="M109" i="78"/>
  <c r="L109" i="78"/>
  <c r="K109" i="78"/>
  <c r="O108" i="78"/>
  <c r="N108" i="78"/>
  <c r="M108" i="78"/>
  <c r="L108" i="78"/>
  <c r="K108" i="78"/>
  <c r="O107" i="78"/>
  <c r="N107" i="78"/>
  <c r="M107" i="78"/>
  <c r="L107" i="78"/>
  <c r="K107" i="78"/>
  <c r="O106" i="78"/>
  <c r="N106" i="78"/>
  <c r="M106" i="78"/>
  <c r="L106" i="78"/>
  <c r="K106" i="78"/>
  <c r="O105" i="78"/>
  <c r="N105" i="78"/>
  <c r="M105" i="78"/>
  <c r="L105" i="78"/>
  <c r="K105" i="78"/>
  <c r="O104" i="78"/>
  <c r="N104" i="78"/>
  <c r="M104" i="78"/>
  <c r="L104" i="78"/>
  <c r="K104" i="78"/>
  <c r="O103" i="78"/>
  <c r="N103" i="78"/>
  <c r="M103" i="78"/>
  <c r="L103" i="78"/>
  <c r="K103" i="78"/>
  <c r="O102" i="78"/>
  <c r="N102" i="78"/>
  <c r="M102" i="78"/>
  <c r="L102" i="78"/>
  <c r="K102" i="78"/>
  <c r="O101" i="78"/>
  <c r="N101" i="78"/>
  <c r="M101" i="78"/>
  <c r="L101" i="78"/>
  <c r="K101" i="78"/>
  <c r="O100" i="78"/>
  <c r="N100" i="78"/>
  <c r="M100" i="78"/>
  <c r="L100" i="78"/>
  <c r="K100" i="78"/>
  <c r="O99" i="78"/>
  <c r="N99" i="78"/>
  <c r="M99" i="78"/>
  <c r="L99" i="78"/>
  <c r="K99" i="78"/>
  <c r="O98" i="78"/>
  <c r="N98" i="78"/>
  <c r="M98" i="78"/>
  <c r="L98" i="78"/>
  <c r="K98" i="78"/>
  <c r="O97" i="78"/>
  <c r="N97" i="78"/>
  <c r="M97" i="78"/>
  <c r="L97" i="78"/>
  <c r="K97" i="78"/>
  <c r="O96" i="78"/>
  <c r="N96" i="78"/>
  <c r="M96" i="78"/>
  <c r="L96" i="78"/>
  <c r="K96" i="78"/>
  <c r="O95" i="78"/>
  <c r="N95" i="78"/>
  <c r="M95" i="78"/>
  <c r="L95" i="78"/>
  <c r="K95" i="78"/>
  <c r="O94" i="78"/>
  <c r="N94" i="78"/>
  <c r="M94" i="78"/>
  <c r="L94" i="78"/>
  <c r="K94" i="78"/>
  <c r="O93" i="78"/>
  <c r="N93" i="78"/>
  <c r="M93" i="78"/>
  <c r="L93" i="78"/>
  <c r="K93" i="78"/>
  <c r="O92" i="78"/>
  <c r="N92" i="78"/>
  <c r="M92" i="78"/>
  <c r="L92" i="78"/>
  <c r="K92" i="78"/>
  <c r="O91" i="78"/>
  <c r="N91" i="78"/>
  <c r="M91" i="78"/>
  <c r="L91" i="78"/>
  <c r="K91" i="78"/>
  <c r="O90" i="78"/>
  <c r="N90" i="78"/>
  <c r="M90" i="78"/>
  <c r="L90" i="78"/>
  <c r="K90" i="78"/>
  <c r="O89" i="78"/>
  <c r="N89" i="78"/>
  <c r="M89" i="78"/>
  <c r="L89" i="78"/>
  <c r="K89" i="78"/>
  <c r="O88" i="78"/>
  <c r="N88" i="78"/>
  <c r="M88" i="78"/>
  <c r="L88" i="78"/>
  <c r="K88" i="78"/>
  <c r="O87" i="78"/>
  <c r="N87" i="78"/>
  <c r="M87" i="78"/>
  <c r="L87" i="78"/>
  <c r="K87" i="78"/>
  <c r="O86" i="78"/>
  <c r="N86" i="78"/>
  <c r="M86" i="78"/>
  <c r="L86" i="78"/>
  <c r="K86" i="78"/>
  <c r="O85" i="78"/>
  <c r="N85" i="78"/>
  <c r="M85" i="78"/>
  <c r="L85" i="78"/>
  <c r="K85" i="78"/>
  <c r="O84" i="78"/>
  <c r="N84" i="78"/>
  <c r="M84" i="78"/>
  <c r="L84" i="78"/>
  <c r="K84" i="78"/>
  <c r="O83" i="78"/>
  <c r="N83" i="78"/>
  <c r="M83" i="78"/>
  <c r="L83" i="78"/>
  <c r="K83" i="78"/>
  <c r="O82" i="78"/>
  <c r="N82" i="78"/>
  <c r="M82" i="78"/>
  <c r="L82" i="78"/>
  <c r="K82" i="78"/>
  <c r="O81" i="78"/>
  <c r="N81" i="78"/>
  <c r="M81" i="78"/>
  <c r="L81" i="78"/>
  <c r="K81" i="78"/>
  <c r="O80" i="78"/>
  <c r="N80" i="78"/>
  <c r="M80" i="78"/>
  <c r="L80" i="78"/>
  <c r="K80" i="78"/>
  <c r="O79" i="78"/>
  <c r="N79" i="78"/>
  <c r="M79" i="78"/>
  <c r="L79" i="78"/>
  <c r="K79" i="78"/>
  <c r="O78" i="78"/>
  <c r="N78" i="78"/>
  <c r="M78" i="78"/>
  <c r="L78" i="78"/>
  <c r="K78" i="78"/>
  <c r="O77" i="78"/>
  <c r="N77" i="78"/>
  <c r="M77" i="78"/>
  <c r="L77" i="78"/>
  <c r="K77" i="78"/>
  <c r="O76" i="78"/>
  <c r="N76" i="78"/>
  <c r="M76" i="78"/>
  <c r="L76" i="78"/>
  <c r="K76" i="78"/>
  <c r="O75" i="78"/>
  <c r="N75" i="78"/>
  <c r="M75" i="78"/>
  <c r="L75" i="78"/>
  <c r="K75" i="78"/>
  <c r="O74" i="78"/>
  <c r="N74" i="78"/>
  <c r="M74" i="78"/>
  <c r="L74" i="78"/>
  <c r="K74" i="78"/>
  <c r="O73" i="78"/>
  <c r="N73" i="78"/>
  <c r="M73" i="78"/>
  <c r="L73" i="78"/>
  <c r="K73" i="78"/>
  <c r="O72" i="78"/>
  <c r="N72" i="78"/>
  <c r="M72" i="78"/>
  <c r="L72" i="78"/>
  <c r="K72" i="78"/>
  <c r="O71" i="78"/>
  <c r="N71" i="78"/>
  <c r="M71" i="78"/>
  <c r="L71" i="78"/>
  <c r="K71" i="78"/>
  <c r="V70" i="78"/>
  <c r="U70" i="78"/>
  <c r="T70" i="78"/>
  <c r="S70" i="78"/>
  <c r="R70" i="78"/>
  <c r="O70" i="78"/>
  <c r="N70" i="78"/>
  <c r="M70" i="78"/>
  <c r="L70" i="78"/>
  <c r="K70" i="78"/>
  <c r="V69" i="78"/>
  <c r="U69" i="78"/>
  <c r="T69" i="78"/>
  <c r="S69" i="78"/>
  <c r="R69" i="78"/>
  <c r="O69" i="78"/>
  <c r="N69" i="78"/>
  <c r="M69" i="78"/>
  <c r="L69" i="78"/>
  <c r="K69" i="78"/>
  <c r="V68" i="78"/>
  <c r="U68" i="78"/>
  <c r="T68" i="78"/>
  <c r="S68" i="78"/>
  <c r="R68" i="78"/>
  <c r="O68" i="78"/>
  <c r="N68" i="78"/>
  <c r="M68" i="78"/>
  <c r="L68" i="78"/>
  <c r="K68" i="78"/>
  <c r="V67" i="78"/>
  <c r="U67" i="78"/>
  <c r="T67" i="78"/>
  <c r="S67" i="78"/>
  <c r="R67" i="78"/>
  <c r="O67" i="78"/>
  <c r="N67" i="78"/>
  <c r="M67" i="78"/>
  <c r="L67" i="78"/>
  <c r="K67" i="78"/>
  <c r="V66" i="78"/>
  <c r="U66" i="78"/>
  <c r="T66" i="78"/>
  <c r="S66" i="78"/>
  <c r="R66" i="78"/>
  <c r="O66" i="78"/>
  <c r="N66" i="78"/>
  <c r="M66" i="78"/>
  <c r="L66" i="78"/>
  <c r="K66" i="78"/>
  <c r="V65" i="78"/>
  <c r="U65" i="78"/>
  <c r="T65" i="78"/>
  <c r="S65" i="78"/>
  <c r="R65" i="78"/>
  <c r="O65" i="78"/>
  <c r="N65" i="78"/>
  <c r="M65" i="78"/>
  <c r="L65" i="78"/>
  <c r="K65" i="78"/>
  <c r="V64" i="78"/>
  <c r="U64" i="78"/>
  <c r="T64" i="78"/>
  <c r="S64" i="78"/>
  <c r="R64" i="78"/>
  <c r="O64" i="78"/>
  <c r="N64" i="78"/>
  <c r="M64" i="78"/>
  <c r="L64" i="78"/>
  <c r="K64" i="78"/>
  <c r="V63" i="78"/>
  <c r="U63" i="78"/>
  <c r="T63" i="78"/>
  <c r="S63" i="78"/>
  <c r="R63" i="78"/>
  <c r="O63" i="78"/>
  <c r="N63" i="78"/>
  <c r="M63" i="78"/>
  <c r="L63" i="78"/>
  <c r="K63" i="78"/>
  <c r="V62" i="78"/>
  <c r="U62" i="78"/>
  <c r="T62" i="78"/>
  <c r="S62" i="78"/>
  <c r="R62" i="78"/>
  <c r="O62" i="78"/>
  <c r="N62" i="78"/>
  <c r="M62" i="78"/>
  <c r="L62" i="78"/>
  <c r="K62" i="78"/>
  <c r="V61" i="78"/>
  <c r="U61" i="78"/>
  <c r="T61" i="78"/>
  <c r="S61" i="78"/>
  <c r="R61" i="78"/>
  <c r="O61" i="78"/>
  <c r="N61" i="78"/>
  <c r="M61" i="78"/>
  <c r="L61" i="78"/>
  <c r="K61" i="78"/>
  <c r="S51" i="78"/>
  <c r="N51" i="78"/>
  <c r="L51" i="78"/>
  <c r="J51" i="78"/>
  <c r="H51" i="78"/>
  <c r="F51" i="78"/>
  <c r="D51" i="78"/>
  <c r="T50" i="78"/>
  <c r="S50" i="78"/>
  <c r="R50" i="78"/>
  <c r="O50" i="78"/>
  <c r="N50" i="78"/>
  <c r="M50" i="78"/>
  <c r="L50" i="78"/>
  <c r="K50" i="78"/>
  <c r="J50" i="78"/>
  <c r="I50" i="78"/>
  <c r="H50" i="78"/>
  <c r="G50" i="78"/>
  <c r="F50" i="78"/>
  <c r="E50" i="78"/>
  <c r="D50" i="78"/>
  <c r="T49" i="78"/>
  <c r="S49" i="78"/>
  <c r="R49" i="78"/>
  <c r="O49" i="78"/>
  <c r="N49" i="78"/>
  <c r="M49" i="78"/>
  <c r="L49" i="78"/>
  <c r="K49" i="78"/>
  <c r="J49" i="78"/>
  <c r="I49" i="78"/>
  <c r="H49" i="78"/>
  <c r="G49" i="78"/>
  <c r="F49" i="78"/>
  <c r="E49" i="78"/>
  <c r="D49" i="78"/>
  <c r="T48" i="78"/>
  <c r="S48" i="78"/>
  <c r="R48" i="78"/>
  <c r="O48" i="78"/>
  <c r="N48" i="78"/>
  <c r="M48" i="78"/>
  <c r="L48" i="78"/>
  <c r="K48" i="78"/>
  <c r="J48" i="78"/>
  <c r="I48" i="78"/>
  <c r="H48" i="78"/>
  <c r="G48" i="78"/>
  <c r="F48" i="78"/>
  <c r="E48" i="78"/>
  <c r="D48" i="78"/>
  <c r="T47" i="78"/>
  <c r="S47" i="78"/>
  <c r="R47" i="78"/>
  <c r="O47" i="78"/>
  <c r="N47" i="78"/>
  <c r="M47" i="78"/>
  <c r="L47" i="78"/>
  <c r="K47" i="78"/>
  <c r="J47" i="78"/>
  <c r="I47" i="78"/>
  <c r="H47" i="78"/>
  <c r="G47" i="78"/>
  <c r="F47" i="78"/>
  <c r="E47" i="78"/>
  <c r="D47" i="78"/>
  <c r="T46" i="78"/>
  <c r="S46" i="78"/>
  <c r="R46" i="78"/>
  <c r="O46" i="78"/>
  <c r="N46" i="78"/>
  <c r="M46" i="78"/>
  <c r="L46" i="78"/>
  <c r="K46" i="78"/>
  <c r="J46" i="78"/>
  <c r="I46" i="78"/>
  <c r="H46" i="78"/>
  <c r="G46" i="78"/>
  <c r="F46" i="78"/>
  <c r="E46" i="78"/>
  <c r="D46" i="78"/>
  <c r="T45" i="78"/>
  <c r="S45" i="78"/>
  <c r="R45" i="78"/>
  <c r="O45" i="78"/>
  <c r="N45" i="78"/>
  <c r="M45" i="78"/>
  <c r="L45" i="78"/>
  <c r="K45" i="78"/>
  <c r="J45" i="78"/>
  <c r="I45" i="78"/>
  <c r="H45" i="78"/>
  <c r="G45" i="78"/>
  <c r="F45" i="78"/>
  <c r="E45" i="78"/>
  <c r="D45" i="78"/>
  <c r="T44" i="78"/>
  <c r="S44" i="78"/>
  <c r="R44" i="78"/>
  <c r="O44" i="78"/>
  <c r="N44" i="78"/>
  <c r="M44" i="78"/>
  <c r="L44" i="78"/>
  <c r="K44" i="78"/>
  <c r="J44" i="78"/>
  <c r="I44" i="78"/>
  <c r="H44" i="78"/>
  <c r="G44" i="78"/>
  <c r="F44" i="78"/>
  <c r="E44" i="78"/>
  <c r="D44" i="78"/>
  <c r="T43" i="78"/>
  <c r="S43" i="78"/>
  <c r="R43" i="78"/>
  <c r="O43" i="78"/>
  <c r="N43" i="78"/>
  <c r="M43" i="78"/>
  <c r="L43" i="78"/>
  <c r="K43" i="78"/>
  <c r="J43" i="78"/>
  <c r="I43" i="78"/>
  <c r="H43" i="78"/>
  <c r="G43" i="78"/>
  <c r="F43" i="78"/>
  <c r="E43" i="78"/>
  <c r="D43" i="78"/>
  <c r="T42" i="78"/>
  <c r="S42" i="78"/>
  <c r="R42" i="78"/>
  <c r="O42" i="78"/>
  <c r="N42" i="78"/>
  <c r="M42" i="78"/>
  <c r="L42" i="78"/>
  <c r="K42" i="78"/>
  <c r="J42" i="78"/>
  <c r="I42" i="78"/>
  <c r="H42" i="78"/>
  <c r="G42" i="78"/>
  <c r="F42" i="78"/>
  <c r="E42" i="78"/>
  <c r="D42" i="78"/>
  <c r="G32" i="78"/>
  <c r="D32" i="78"/>
  <c r="G31" i="78"/>
  <c r="D31" i="78"/>
  <c r="H30" i="78"/>
  <c r="F30" i="78"/>
  <c r="L29" i="78"/>
  <c r="K29" i="78"/>
  <c r="H29" i="78"/>
  <c r="L28" i="78"/>
  <c r="H28" i="78"/>
  <c r="G28" i="78"/>
  <c r="F28" i="78"/>
  <c r="D28" i="78"/>
  <c r="L27" i="78"/>
  <c r="J27" i="78"/>
  <c r="H27" i="78"/>
  <c r="F27" i="78"/>
  <c r="C27" i="78"/>
  <c r="L26" i="78"/>
  <c r="J26" i="78"/>
  <c r="H26" i="78"/>
  <c r="F26" i="78"/>
  <c r="C26" i="78"/>
  <c r="L25" i="78"/>
  <c r="K25" i="78"/>
  <c r="J25" i="78"/>
  <c r="I25" i="78"/>
  <c r="H25" i="78"/>
  <c r="F25" i="78"/>
  <c r="D25" i="78"/>
  <c r="C25" i="78"/>
  <c r="M8" i="78"/>
  <c r="L8" i="78"/>
  <c r="K8" i="78"/>
  <c r="J8" i="78"/>
  <c r="I8" i="78"/>
  <c r="H8" i="78"/>
  <c r="G8" i="78"/>
  <c r="F8" i="78"/>
  <c r="E8" i="78"/>
  <c r="D8" i="78"/>
  <c r="C8" i="78"/>
  <c r="N45" i="68"/>
  <c r="M45" i="68"/>
  <c r="L45" i="68"/>
  <c r="K45" i="68"/>
  <c r="J45" i="68"/>
  <c r="I45" i="68"/>
  <c r="H45" i="68"/>
  <c r="G45" i="68"/>
  <c r="F45" i="68"/>
  <c r="E45" i="68"/>
  <c r="D45" i="68"/>
  <c r="C45" i="68"/>
  <c r="N44" i="68"/>
  <c r="M44" i="68"/>
  <c r="L44" i="68"/>
  <c r="K44" i="68"/>
  <c r="J44" i="68"/>
  <c r="I44" i="68"/>
  <c r="H44" i="68"/>
  <c r="G44" i="68"/>
  <c r="F44" i="68"/>
  <c r="E44" i="68"/>
  <c r="D44" i="68"/>
  <c r="C44" i="68"/>
  <c r="N31" i="68"/>
  <c r="M31" i="68"/>
  <c r="L31" i="68"/>
  <c r="K31" i="68"/>
  <c r="J31" i="68"/>
  <c r="I31" i="68"/>
  <c r="H31" i="68"/>
  <c r="G31" i="68"/>
  <c r="F31" i="68"/>
  <c r="E31" i="68"/>
  <c r="D31" i="68"/>
  <c r="C31" i="68"/>
  <c r="N18" i="68"/>
  <c r="M18" i="68"/>
  <c r="L18" i="68"/>
  <c r="K18" i="68"/>
  <c r="J18" i="68"/>
  <c r="I18" i="68"/>
  <c r="H18" i="68"/>
  <c r="G18" i="68"/>
  <c r="F18" i="68"/>
  <c r="E18" i="68"/>
  <c r="D18" i="68"/>
  <c r="C18" i="68"/>
  <c r="N9" i="68"/>
  <c r="M9" i="68"/>
  <c r="L9" i="68"/>
  <c r="K9" i="68"/>
  <c r="J9" i="68"/>
  <c r="I9" i="68"/>
  <c r="H9" i="68"/>
  <c r="G9" i="68"/>
  <c r="F9" i="68"/>
  <c r="E9" i="68"/>
  <c r="D9" i="68"/>
  <c r="C9" i="68"/>
  <c r="M54" i="67"/>
  <c r="L54" i="67"/>
  <c r="K54" i="67"/>
  <c r="J54" i="67"/>
  <c r="I54" i="67"/>
  <c r="H54" i="67"/>
  <c r="G54" i="67"/>
  <c r="F54" i="67"/>
  <c r="E54" i="67"/>
  <c r="D54" i="67"/>
  <c r="C54" i="67"/>
  <c r="M53" i="67"/>
  <c r="L53" i="67"/>
  <c r="K53" i="67"/>
  <c r="J53" i="67"/>
  <c r="I53" i="67"/>
  <c r="H53" i="67"/>
  <c r="G53" i="67"/>
  <c r="F53" i="67"/>
  <c r="E53" i="67"/>
  <c r="D53" i="67"/>
  <c r="C53" i="67"/>
  <c r="M49" i="67"/>
  <c r="L49" i="67"/>
  <c r="K49" i="67"/>
  <c r="J49" i="67"/>
  <c r="I49" i="67"/>
  <c r="H49" i="67"/>
  <c r="G49" i="67"/>
  <c r="F49" i="67"/>
  <c r="E49" i="67"/>
  <c r="D49" i="67"/>
  <c r="C49" i="67"/>
  <c r="M48" i="67"/>
  <c r="L48" i="67"/>
  <c r="K48" i="67"/>
  <c r="J48" i="67"/>
  <c r="I48" i="67"/>
  <c r="H48" i="67"/>
  <c r="G48" i="67"/>
  <c r="F48" i="67"/>
  <c r="E48" i="67"/>
  <c r="D48" i="67"/>
  <c r="C48" i="67"/>
  <c r="Z46" i="67"/>
  <c r="Y46" i="67"/>
  <c r="X46" i="67"/>
  <c r="W46" i="67"/>
  <c r="V46" i="67"/>
  <c r="U46" i="67"/>
  <c r="T46" i="67"/>
  <c r="S46" i="67"/>
  <c r="AA45" i="67"/>
  <c r="Z45" i="67"/>
  <c r="X45" i="67"/>
  <c r="W45" i="67"/>
  <c r="T45" i="67"/>
  <c r="S45" i="67"/>
  <c r="AA44" i="67"/>
  <c r="Z44" i="67"/>
  <c r="X44" i="67"/>
  <c r="W44" i="67"/>
  <c r="T44" i="67"/>
  <c r="S44" i="67"/>
  <c r="AA43" i="67"/>
  <c r="Z43" i="67"/>
  <c r="X43" i="67"/>
  <c r="W43" i="67"/>
  <c r="T43" i="67"/>
  <c r="S43" i="67"/>
  <c r="M43" i="67"/>
  <c r="L43" i="67"/>
  <c r="K43" i="67"/>
  <c r="J43" i="67"/>
  <c r="I43" i="67"/>
  <c r="H43" i="67"/>
  <c r="G43" i="67"/>
  <c r="F43" i="67"/>
  <c r="E43" i="67"/>
  <c r="D43" i="67"/>
  <c r="C43" i="67"/>
  <c r="AA42" i="67"/>
  <c r="Z42" i="67"/>
  <c r="X42" i="67"/>
  <c r="W42" i="67"/>
  <c r="T42" i="67"/>
  <c r="S42" i="67"/>
  <c r="M42" i="67"/>
  <c r="L42" i="67"/>
  <c r="K42" i="67"/>
  <c r="J42" i="67"/>
  <c r="I42" i="67"/>
  <c r="H42" i="67"/>
  <c r="G42" i="67"/>
  <c r="F42" i="67"/>
  <c r="E42" i="67"/>
  <c r="D42" i="67"/>
  <c r="C42" i="67"/>
  <c r="AA41" i="67"/>
  <c r="Z41" i="67"/>
  <c r="X41" i="67"/>
  <c r="W41" i="67"/>
  <c r="T41" i="67"/>
  <c r="S41" i="67"/>
  <c r="W39" i="67"/>
  <c r="M39" i="67"/>
  <c r="L39" i="67"/>
  <c r="K39" i="67"/>
  <c r="J39" i="67"/>
  <c r="I39" i="67"/>
  <c r="H39" i="67"/>
  <c r="G39" i="67"/>
  <c r="F39" i="67"/>
  <c r="E39" i="67"/>
  <c r="D39" i="67"/>
  <c r="C39" i="67"/>
  <c r="X38" i="67"/>
  <c r="W38" i="67"/>
  <c r="X37" i="67"/>
  <c r="W37" i="67"/>
  <c r="U37" i="67"/>
  <c r="S37" i="67"/>
  <c r="M37" i="67"/>
  <c r="L37" i="67"/>
  <c r="K37" i="67"/>
  <c r="J37" i="67"/>
  <c r="I37" i="67"/>
  <c r="H37" i="67"/>
  <c r="G37" i="67"/>
  <c r="F37" i="67"/>
  <c r="E37" i="67"/>
  <c r="D37" i="67"/>
  <c r="C37" i="67"/>
  <c r="X36" i="67"/>
  <c r="W36" i="67"/>
  <c r="U36" i="67"/>
  <c r="S36" i="67"/>
  <c r="M36" i="67"/>
  <c r="L36" i="67"/>
  <c r="K36" i="67"/>
  <c r="J36" i="67"/>
  <c r="I36" i="67"/>
  <c r="H36" i="67"/>
  <c r="G36" i="67"/>
  <c r="F36" i="67"/>
  <c r="E36" i="67"/>
  <c r="D36" i="67"/>
  <c r="C36" i="67"/>
  <c r="X35" i="67"/>
  <c r="W35" i="67"/>
  <c r="U35" i="67"/>
  <c r="T35" i="67"/>
  <c r="S35" i="67"/>
  <c r="X34" i="67"/>
  <c r="W34" i="67"/>
  <c r="U34" i="67"/>
  <c r="T34" i="67"/>
  <c r="S34" i="67"/>
  <c r="M34" i="67"/>
  <c r="L34" i="67"/>
  <c r="K34" i="67"/>
  <c r="J34" i="67"/>
  <c r="I34" i="67"/>
  <c r="H34" i="67"/>
  <c r="G34" i="67"/>
  <c r="F34" i="67"/>
  <c r="E34" i="67"/>
  <c r="D34" i="67"/>
  <c r="C34" i="67"/>
  <c r="X33" i="67"/>
  <c r="W33" i="67"/>
  <c r="U33" i="67"/>
  <c r="T33" i="67"/>
  <c r="S33" i="67"/>
  <c r="M33" i="67"/>
  <c r="L33" i="67"/>
  <c r="K33" i="67"/>
  <c r="J33" i="67"/>
  <c r="I33" i="67"/>
  <c r="H33" i="67"/>
  <c r="G33" i="67"/>
  <c r="F33" i="67"/>
  <c r="E33" i="67"/>
  <c r="D33" i="67"/>
  <c r="C33" i="67"/>
  <c r="X32" i="67"/>
  <c r="V32" i="67"/>
  <c r="U32" i="67"/>
  <c r="T32" i="67"/>
  <c r="S32" i="67"/>
  <c r="X31" i="67"/>
  <c r="W31" i="67"/>
  <c r="U31" i="67"/>
  <c r="T31" i="67"/>
  <c r="S31" i="67"/>
  <c r="M31" i="67"/>
  <c r="L31" i="67"/>
  <c r="K31" i="67"/>
  <c r="J31" i="67"/>
  <c r="I31" i="67"/>
  <c r="H31" i="67"/>
  <c r="G31" i="67"/>
  <c r="F31" i="67"/>
  <c r="E31" i="67"/>
  <c r="D31" i="67"/>
  <c r="C31" i="67"/>
  <c r="X30" i="67"/>
  <c r="W30" i="67"/>
  <c r="U30" i="67"/>
  <c r="T30" i="67"/>
  <c r="S30" i="67"/>
  <c r="M30" i="67"/>
  <c r="L30" i="67"/>
  <c r="K30" i="67"/>
  <c r="J30" i="67"/>
  <c r="I30" i="67"/>
  <c r="H30" i="67"/>
  <c r="G30" i="67"/>
  <c r="F30" i="67"/>
  <c r="E30" i="67"/>
  <c r="D30" i="67"/>
  <c r="C30" i="67"/>
  <c r="X29" i="67"/>
  <c r="W29" i="67"/>
  <c r="U29" i="67"/>
  <c r="T29" i="67"/>
  <c r="S29" i="67"/>
  <c r="E28" i="67"/>
  <c r="C28" i="67"/>
  <c r="X27" i="67"/>
  <c r="W27" i="67"/>
  <c r="U27" i="67"/>
  <c r="T27" i="67"/>
  <c r="S27" i="67"/>
  <c r="X26" i="67"/>
  <c r="W26" i="67"/>
  <c r="U26" i="67"/>
  <c r="T26" i="67"/>
  <c r="S26" i="67"/>
  <c r="M26" i="67"/>
  <c r="X25" i="67"/>
  <c r="W25" i="67"/>
  <c r="U25" i="67"/>
  <c r="T25" i="67"/>
  <c r="S25" i="67"/>
  <c r="X24" i="67"/>
  <c r="W24" i="67"/>
  <c r="U24" i="67"/>
  <c r="T24" i="67"/>
  <c r="S24" i="67"/>
  <c r="X23" i="67"/>
  <c r="W23" i="67"/>
  <c r="U23" i="67"/>
  <c r="T23" i="67"/>
  <c r="S23" i="67"/>
  <c r="K23" i="67"/>
  <c r="J23" i="67"/>
  <c r="I23" i="67"/>
  <c r="E23" i="67"/>
  <c r="D23" i="67"/>
  <c r="C23" i="67"/>
  <c r="X22" i="67"/>
  <c r="W22" i="67"/>
  <c r="U22" i="67"/>
  <c r="T22" i="67"/>
  <c r="S22" i="67"/>
  <c r="K22" i="67"/>
  <c r="J22" i="67"/>
  <c r="I22" i="67"/>
  <c r="E22" i="67"/>
  <c r="D22" i="67"/>
  <c r="C22" i="67"/>
  <c r="X21" i="67"/>
  <c r="W21" i="67"/>
  <c r="U21" i="67"/>
  <c r="T21" i="67"/>
  <c r="S21" i="67"/>
  <c r="K21" i="67"/>
  <c r="J21" i="67"/>
  <c r="I21" i="67"/>
  <c r="E21" i="67"/>
  <c r="D21" i="67"/>
  <c r="C21" i="67"/>
  <c r="X20" i="67"/>
  <c r="W20" i="67"/>
  <c r="V20" i="67"/>
  <c r="U20" i="67"/>
  <c r="T20" i="67"/>
  <c r="S20" i="67"/>
  <c r="K20" i="67"/>
  <c r="J20" i="67"/>
  <c r="I20" i="67"/>
  <c r="E20" i="67"/>
  <c r="D20" i="67"/>
  <c r="C20" i="67"/>
  <c r="L19" i="67"/>
  <c r="K19" i="67"/>
  <c r="J19" i="67"/>
  <c r="I19" i="67"/>
  <c r="E19" i="67"/>
  <c r="D19" i="67"/>
  <c r="C19" i="67"/>
  <c r="E18" i="67"/>
  <c r="D18" i="67"/>
  <c r="C18" i="67"/>
  <c r="Z17" i="67"/>
  <c r="Y17" i="67"/>
  <c r="X17" i="67"/>
  <c r="V17" i="67"/>
  <c r="U17" i="67"/>
  <c r="Z16" i="67"/>
  <c r="Y16" i="67"/>
  <c r="X16" i="67"/>
  <c r="V16" i="67"/>
  <c r="U16" i="67"/>
  <c r="Z15" i="67"/>
  <c r="Y15" i="67"/>
  <c r="X15" i="67"/>
  <c r="V15" i="67"/>
  <c r="U15" i="67"/>
  <c r="X14" i="67"/>
  <c r="W14" i="67"/>
  <c r="Z13" i="67"/>
  <c r="Y13" i="67"/>
  <c r="X13" i="67"/>
  <c r="Z12" i="67"/>
  <c r="Y12" i="67"/>
  <c r="X12" i="67"/>
  <c r="V12" i="67"/>
  <c r="U12" i="67"/>
  <c r="M12" i="67"/>
  <c r="L12" i="67"/>
  <c r="K12" i="67"/>
  <c r="J12" i="67"/>
  <c r="I12" i="67"/>
  <c r="H12" i="67"/>
  <c r="G12" i="67"/>
  <c r="F12" i="67"/>
  <c r="E12" i="67"/>
  <c r="D12" i="67"/>
  <c r="C12" i="67"/>
  <c r="Z11" i="67"/>
  <c r="Y11" i="67"/>
  <c r="X11" i="67"/>
  <c r="V11" i="67"/>
  <c r="U11" i="67"/>
  <c r="Z10" i="67"/>
  <c r="Y10" i="67"/>
  <c r="X10" i="67"/>
  <c r="V10" i="67"/>
  <c r="U10" i="67"/>
  <c r="M10" i="67"/>
  <c r="L10" i="67"/>
  <c r="K10" i="67"/>
  <c r="J10" i="67"/>
  <c r="I10" i="67"/>
  <c r="H10" i="67"/>
  <c r="G10" i="67"/>
  <c r="F10" i="67"/>
  <c r="E10" i="67"/>
  <c r="D10" i="67"/>
  <c r="C10" i="67"/>
  <c r="Z9" i="67"/>
  <c r="Y9" i="67"/>
  <c r="X9" i="67"/>
  <c r="V9" i="67"/>
  <c r="U9" i="67"/>
  <c r="Z8" i="67"/>
  <c r="Y8" i="67"/>
  <c r="X8" i="67"/>
  <c r="V8" i="67"/>
  <c r="U8" i="67"/>
  <c r="M8" i="67"/>
  <c r="L8" i="67"/>
  <c r="K8" i="67"/>
  <c r="J8" i="67"/>
  <c r="I8" i="67"/>
  <c r="H8" i="67"/>
  <c r="G8" i="67"/>
  <c r="F8" i="67"/>
  <c r="E8" i="67"/>
  <c r="D8" i="67"/>
  <c r="C8" i="67"/>
  <c r="Z7" i="67"/>
  <c r="Y7" i="67"/>
  <c r="X7" i="67"/>
  <c r="V7" i="67"/>
  <c r="U7" i="67"/>
  <c r="M7" i="67"/>
  <c r="L7" i="67"/>
  <c r="K7" i="67"/>
  <c r="J7" i="67"/>
  <c r="I7" i="67"/>
  <c r="H7" i="67"/>
  <c r="G7" i="67"/>
  <c r="F7" i="67"/>
  <c r="E7" i="67"/>
  <c r="D7" i="67"/>
  <c r="C7" i="67"/>
  <c r="Z6" i="67"/>
  <c r="Y6" i="67"/>
  <c r="X6" i="67"/>
  <c r="V6" i="67"/>
  <c r="U6" i="67"/>
  <c r="M6" i="67"/>
  <c r="L6" i="67"/>
  <c r="K6" i="67"/>
  <c r="J6" i="67"/>
  <c r="I6" i="67"/>
  <c r="H6" i="67"/>
  <c r="G6" i="67"/>
  <c r="F6" i="67"/>
  <c r="E6" i="67"/>
  <c r="D6" i="67"/>
  <c r="C6" i="67"/>
  <c r="Z5" i="67"/>
  <c r="X5" i="67"/>
  <c r="W5" i="67"/>
  <c r="V5" i="67"/>
  <c r="U5" i="67"/>
  <c r="M5" i="67"/>
  <c r="Z4" i="67"/>
  <c r="Y4" i="67"/>
  <c r="X4" i="67"/>
  <c r="V4" i="67"/>
  <c r="U4" i="67"/>
  <c r="W3" i="67"/>
  <c r="V3" i="67"/>
  <c r="U3" i="67"/>
  <c r="M134" i="66"/>
  <c r="L134" i="66"/>
  <c r="K134" i="66"/>
  <c r="J134" i="66"/>
  <c r="I134" i="66"/>
  <c r="H134" i="66"/>
  <c r="G134" i="66"/>
  <c r="F134" i="66"/>
  <c r="E134" i="66"/>
  <c r="D134" i="66"/>
  <c r="C134" i="66"/>
  <c r="M117" i="66"/>
  <c r="L117" i="66"/>
  <c r="K117" i="66"/>
  <c r="J117" i="66"/>
  <c r="I117" i="66"/>
  <c r="H117" i="66"/>
  <c r="G117" i="66"/>
  <c r="F117" i="66"/>
  <c r="E117" i="66"/>
  <c r="D117" i="66"/>
  <c r="C117" i="66"/>
  <c r="M69" i="66"/>
  <c r="L69" i="66"/>
  <c r="K69" i="66"/>
  <c r="J69" i="66"/>
  <c r="I69" i="66"/>
  <c r="H69" i="66"/>
  <c r="G69" i="66"/>
  <c r="F69" i="66"/>
  <c r="D69" i="66"/>
  <c r="M65" i="66"/>
  <c r="L65" i="66"/>
  <c r="K65" i="66"/>
  <c r="J65" i="66"/>
  <c r="I65" i="66"/>
  <c r="H65" i="66"/>
  <c r="G65" i="66"/>
  <c r="F65" i="66"/>
  <c r="E65" i="66"/>
  <c r="D65" i="66"/>
  <c r="C65" i="66"/>
  <c r="M52" i="66"/>
  <c r="L52" i="66"/>
  <c r="K52" i="66"/>
  <c r="J52" i="66"/>
  <c r="I52" i="66"/>
  <c r="H52" i="66"/>
  <c r="G52" i="66"/>
  <c r="F52" i="66"/>
  <c r="E52" i="66"/>
  <c r="D52" i="66"/>
  <c r="C52" i="66"/>
  <c r="M48" i="66"/>
  <c r="L48" i="66"/>
  <c r="K48" i="66"/>
  <c r="J48" i="66"/>
  <c r="I48" i="66"/>
  <c r="H48" i="66"/>
  <c r="G48" i="66"/>
  <c r="F48" i="66"/>
  <c r="E48" i="66"/>
  <c r="D48" i="66"/>
  <c r="C48" i="66"/>
  <c r="M47" i="66"/>
  <c r="L47" i="66"/>
  <c r="K47" i="66"/>
  <c r="J47" i="66"/>
  <c r="I47" i="66"/>
  <c r="H47" i="66"/>
  <c r="G47" i="66"/>
  <c r="F47" i="66"/>
  <c r="E47" i="66"/>
  <c r="D47" i="66"/>
  <c r="C47" i="66"/>
  <c r="M46" i="66"/>
  <c r="L46" i="66"/>
  <c r="K46" i="66"/>
  <c r="J46" i="66"/>
  <c r="I46" i="66"/>
  <c r="H46" i="66"/>
  <c r="G46" i="66"/>
  <c r="F46" i="66"/>
  <c r="E46" i="66"/>
  <c r="D46" i="66"/>
  <c r="C46" i="66"/>
  <c r="M45" i="66"/>
  <c r="L45" i="66"/>
  <c r="K45" i="66"/>
  <c r="J45" i="66"/>
  <c r="I45" i="66"/>
  <c r="H45" i="66"/>
  <c r="G45" i="66"/>
  <c r="F45" i="66"/>
  <c r="E45" i="66"/>
  <c r="D45" i="66"/>
  <c r="C45" i="66"/>
  <c r="M44" i="66"/>
  <c r="L44" i="66"/>
  <c r="K44" i="66"/>
  <c r="J44" i="66"/>
  <c r="I44" i="66"/>
  <c r="H44" i="66"/>
  <c r="G44" i="66"/>
  <c r="F44" i="66"/>
  <c r="E44" i="66"/>
  <c r="D44" i="66"/>
  <c r="C44" i="66"/>
  <c r="M43" i="66"/>
  <c r="L43" i="66"/>
  <c r="K43" i="66"/>
  <c r="J43" i="66"/>
  <c r="I43" i="66"/>
  <c r="H43" i="66"/>
  <c r="G43" i="66"/>
  <c r="F43" i="66"/>
  <c r="E43" i="66"/>
  <c r="D43" i="66"/>
  <c r="C43" i="66"/>
  <c r="M40" i="66"/>
  <c r="L40" i="66"/>
  <c r="K40" i="66"/>
  <c r="J40" i="66"/>
  <c r="I40" i="66"/>
  <c r="H40" i="66"/>
  <c r="G40" i="66"/>
  <c r="F40" i="66"/>
  <c r="E40" i="66"/>
  <c r="M39" i="66"/>
  <c r="L39" i="66"/>
  <c r="K39" i="66"/>
  <c r="J39" i="66"/>
  <c r="I39" i="66"/>
  <c r="H39" i="66"/>
  <c r="F39" i="66"/>
  <c r="E39" i="66"/>
  <c r="M35" i="66"/>
  <c r="L35" i="66"/>
  <c r="K35" i="66"/>
  <c r="J35" i="66"/>
  <c r="I35" i="66"/>
  <c r="H35" i="66"/>
  <c r="G35" i="66"/>
  <c r="F35" i="66"/>
  <c r="E35" i="66"/>
  <c r="M34" i="66"/>
  <c r="L34" i="66"/>
  <c r="K34" i="66"/>
  <c r="J34" i="66"/>
  <c r="I34" i="66"/>
  <c r="H34" i="66"/>
  <c r="G34" i="66"/>
  <c r="F34" i="66"/>
  <c r="E34" i="66"/>
  <c r="D34" i="66"/>
  <c r="M33" i="66"/>
  <c r="L33" i="66"/>
  <c r="K33" i="66"/>
  <c r="J33" i="66"/>
  <c r="I33" i="66"/>
  <c r="H33" i="66"/>
  <c r="F33" i="66"/>
  <c r="E33" i="66"/>
  <c r="D33" i="66"/>
  <c r="C33" i="66"/>
  <c r="M32" i="66"/>
  <c r="L32" i="66"/>
  <c r="K32" i="66"/>
  <c r="J32" i="66"/>
  <c r="I32" i="66"/>
  <c r="H32" i="66"/>
  <c r="G32" i="66"/>
  <c r="F32" i="66"/>
  <c r="E32" i="66"/>
  <c r="D32" i="66"/>
  <c r="C32" i="66" s="1"/>
  <c r="M31" i="66"/>
  <c r="L31" i="66"/>
  <c r="K31" i="66"/>
  <c r="J31" i="66"/>
  <c r="I31" i="66"/>
  <c r="H31" i="66"/>
  <c r="G31" i="66"/>
  <c r="F31" i="66"/>
  <c r="E31" i="66"/>
  <c r="D31" i="66"/>
  <c r="C31" i="66"/>
  <c r="M30" i="66"/>
  <c r="L30" i="66"/>
  <c r="K30" i="66"/>
  <c r="J30" i="66"/>
  <c r="I30" i="66"/>
  <c r="H30" i="66"/>
  <c r="G30" i="66"/>
  <c r="F30" i="66"/>
  <c r="E30" i="66"/>
  <c r="D30" i="66"/>
  <c r="C30" i="66"/>
  <c r="M21" i="66"/>
  <c r="L21" i="66"/>
  <c r="K21" i="66"/>
  <c r="J21" i="66"/>
  <c r="I21" i="66"/>
  <c r="H21" i="66"/>
  <c r="G21" i="66"/>
  <c r="F21" i="66"/>
  <c r="E21" i="66"/>
  <c r="D21" i="66"/>
  <c r="C21" i="66"/>
  <c r="M20" i="66"/>
  <c r="L20" i="66"/>
  <c r="K20" i="66"/>
  <c r="J20" i="66"/>
  <c r="I20" i="66"/>
  <c r="H20" i="66"/>
  <c r="G20" i="66"/>
  <c r="F20" i="66"/>
  <c r="E20" i="66"/>
  <c r="D20" i="66"/>
  <c r="C20" i="66"/>
  <c r="M19" i="66"/>
  <c r="L19" i="66"/>
  <c r="K19" i="66"/>
  <c r="J19" i="66"/>
  <c r="I19" i="66"/>
  <c r="H19" i="66"/>
  <c r="G19" i="66"/>
  <c r="F19" i="66"/>
  <c r="E19" i="66"/>
  <c r="D19" i="66"/>
  <c r="C19" i="66"/>
  <c r="M18" i="66"/>
  <c r="L18" i="66"/>
  <c r="K18" i="66"/>
  <c r="J18" i="66"/>
  <c r="I18" i="66"/>
  <c r="H18" i="66"/>
  <c r="G18" i="66"/>
  <c r="F18" i="66"/>
  <c r="E18" i="66"/>
  <c r="D18" i="66"/>
  <c r="C18" i="66"/>
  <c r="M17" i="66"/>
  <c r="L17" i="66"/>
  <c r="K17" i="66"/>
  <c r="J17" i="66"/>
  <c r="I17" i="66"/>
  <c r="H17" i="66"/>
  <c r="G17" i="66"/>
  <c r="F17" i="66"/>
  <c r="E17" i="66"/>
  <c r="D17" i="66"/>
  <c r="C17" i="66"/>
  <c r="M12" i="66"/>
  <c r="L12" i="66"/>
  <c r="K12" i="66"/>
  <c r="J12" i="66"/>
  <c r="I12" i="66"/>
  <c r="H12" i="66"/>
  <c r="G12" i="66"/>
  <c r="F12" i="66"/>
  <c r="E12" i="66"/>
  <c r="D12" i="66"/>
  <c r="C12" i="66"/>
  <c r="M9" i="66"/>
  <c r="L9" i="66"/>
  <c r="K9" i="66"/>
  <c r="J9" i="66"/>
  <c r="I9" i="66"/>
  <c r="H9" i="66"/>
  <c r="G9" i="66"/>
  <c r="F9" i="66"/>
  <c r="E9" i="66"/>
  <c r="D9" i="66"/>
  <c r="C9" i="66"/>
  <c r="M8" i="66"/>
  <c r="L8" i="66"/>
  <c r="K8" i="66"/>
  <c r="J8" i="66"/>
  <c r="I8" i="66"/>
  <c r="H8" i="66"/>
  <c r="G8" i="66"/>
  <c r="F8" i="66"/>
  <c r="E8" i="66"/>
  <c r="D8" i="66"/>
  <c r="C8" i="66"/>
  <c r="M7" i="66"/>
  <c r="L7" i="66"/>
  <c r="K7" i="66"/>
  <c r="J7" i="66"/>
  <c r="I7" i="66"/>
  <c r="H7" i="66"/>
  <c r="G7" i="66"/>
  <c r="F7" i="66"/>
  <c r="E7" i="66"/>
  <c r="C419" i="76"/>
  <c r="C418" i="76"/>
  <c r="C417" i="76"/>
  <c r="C416" i="76"/>
  <c r="K400" i="76"/>
  <c r="K398" i="76"/>
  <c r="K396" i="76"/>
  <c r="C396" i="76"/>
  <c r="B396" i="76"/>
  <c r="K395" i="76"/>
  <c r="C395" i="76"/>
  <c r="B395" i="76"/>
  <c r="K394" i="76"/>
  <c r="L373" i="76"/>
  <c r="K373" i="76"/>
  <c r="J373" i="76"/>
  <c r="I373" i="76"/>
  <c r="H373" i="76"/>
  <c r="G373" i="76"/>
  <c r="F373" i="76"/>
  <c r="E373" i="76"/>
  <c r="D373" i="76"/>
  <c r="C373" i="76"/>
  <c r="B373" i="76"/>
  <c r="M372" i="76"/>
  <c r="I372" i="76"/>
  <c r="H372" i="76"/>
  <c r="G372" i="76"/>
  <c r="F372" i="76"/>
  <c r="E372" i="76"/>
  <c r="D372" i="76"/>
  <c r="C372" i="76"/>
  <c r="B372" i="76"/>
  <c r="L371" i="76"/>
  <c r="K371" i="76"/>
  <c r="J371" i="76"/>
  <c r="I371" i="76"/>
  <c r="H371" i="76"/>
  <c r="G371" i="76"/>
  <c r="F371" i="76"/>
  <c r="E371" i="76"/>
  <c r="D371" i="76"/>
  <c r="L370" i="76"/>
  <c r="K370" i="76"/>
  <c r="J370" i="76"/>
  <c r="L369" i="76"/>
  <c r="K369" i="76"/>
  <c r="J369" i="76"/>
  <c r="L368" i="76"/>
  <c r="K368" i="76"/>
  <c r="J368" i="76"/>
  <c r="L367" i="76"/>
  <c r="K367" i="76"/>
  <c r="J367" i="76"/>
  <c r="L366" i="76"/>
  <c r="K366" i="76"/>
  <c r="J366" i="76"/>
  <c r="L364" i="76"/>
  <c r="K364" i="76"/>
  <c r="J364" i="76"/>
  <c r="I364" i="76"/>
  <c r="H364" i="76"/>
  <c r="G364" i="76"/>
  <c r="F364" i="76"/>
  <c r="E364" i="76"/>
  <c r="D364" i="76"/>
  <c r="C364" i="76"/>
  <c r="B364" i="76"/>
  <c r="Q363" i="76"/>
  <c r="P363" i="76"/>
  <c r="O363" i="76"/>
  <c r="L363" i="76"/>
  <c r="K363" i="76"/>
  <c r="J363" i="76"/>
  <c r="I363" i="76"/>
  <c r="H363" i="76"/>
  <c r="G363" i="76"/>
  <c r="F363" i="76"/>
  <c r="E363" i="76"/>
  <c r="D363" i="76"/>
  <c r="C363" i="76"/>
  <c r="B363" i="76"/>
  <c r="Q362" i="76"/>
  <c r="P362" i="76"/>
  <c r="O362" i="76"/>
  <c r="L362" i="76"/>
  <c r="K362" i="76"/>
  <c r="J362" i="76"/>
  <c r="I362" i="76"/>
  <c r="H362" i="76"/>
  <c r="G362" i="76"/>
  <c r="F362" i="76"/>
  <c r="E362" i="76"/>
  <c r="D362" i="76"/>
  <c r="C362" i="76"/>
  <c r="B362" i="76"/>
  <c r="Q361" i="76"/>
  <c r="P361" i="76"/>
  <c r="O361" i="76"/>
  <c r="L361" i="76"/>
  <c r="K361" i="76"/>
  <c r="J361" i="76"/>
  <c r="I361" i="76"/>
  <c r="H361" i="76"/>
  <c r="G361" i="76"/>
  <c r="F361" i="76"/>
  <c r="E361" i="76"/>
  <c r="D361" i="76"/>
  <c r="C361" i="76"/>
  <c r="B361" i="76"/>
  <c r="Q360" i="76"/>
  <c r="P360" i="76"/>
  <c r="O360" i="76"/>
  <c r="L360" i="76"/>
  <c r="K360" i="76"/>
  <c r="J360" i="76"/>
  <c r="I360" i="76"/>
  <c r="H360" i="76"/>
  <c r="G360" i="76"/>
  <c r="F360" i="76"/>
  <c r="E360" i="76"/>
  <c r="D360" i="76"/>
  <c r="C360" i="76"/>
  <c r="B360" i="76"/>
  <c r="N358" i="76"/>
  <c r="L358" i="76"/>
  <c r="K358" i="76"/>
  <c r="J358" i="76"/>
  <c r="I358" i="76"/>
  <c r="H358" i="76"/>
  <c r="G358" i="76"/>
  <c r="F358" i="76"/>
  <c r="E358" i="76"/>
  <c r="D358" i="76"/>
  <c r="B358" i="76"/>
  <c r="N357" i="76"/>
  <c r="L357" i="76"/>
  <c r="K357" i="76"/>
  <c r="J357" i="76"/>
  <c r="I357" i="76"/>
  <c r="H357" i="76"/>
  <c r="G357" i="76"/>
  <c r="F357" i="76"/>
  <c r="E357" i="76"/>
  <c r="D357" i="76"/>
  <c r="B357" i="76"/>
  <c r="N356" i="76"/>
  <c r="L356" i="76"/>
  <c r="K356" i="76"/>
  <c r="J356" i="76"/>
  <c r="N355" i="76"/>
  <c r="L355" i="76"/>
  <c r="K355" i="76"/>
  <c r="J355" i="76"/>
  <c r="B355" i="76"/>
  <c r="N354" i="76"/>
  <c r="L354" i="76"/>
  <c r="K354" i="76"/>
  <c r="J354" i="76"/>
  <c r="N353" i="76"/>
  <c r="L353" i="76"/>
  <c r="K353" i="76"/>
  <c r="J353" i="76"/>
  <c r="N351" i="76"/>
  <c r="L351" i="76"/>
  <c r="K351" i="76"/>
  <c r="J351" i="76"/>
  <c r="I351" i="76"/>
  <c r="H351" i="76"/>
  <c r="G351" i="76"/>
  <c r="F351" i="76"/>
  <c r="E351" i="76"/>
  <c r="D351" i="76"/>
  <c r="B351" i="76"/>
  <c r="N348" i="76"/>
  <c r="L348" i="76"/>
  <c r="K348" i="76"/>
  <c r="J348" i="76"/>
  <c r="B348" i="76"/>
  <c r="Q346" i="76"/>
  <c r="P346" i="76"/>
  <c r="O346" i="76"/>
  <c r="N345" i="76"/>
  <c r="L345" i="76"/>
  <c r="K345" i="76"/>
  <c r="J345" i="76"/>
  <c r="I345" i="76"/>
  <c r="H345" i="76"/>
  <c r="G345" i="76"/>
  <c r="F345" i="76"/>
  <c r="E345" i="76"/>
  <c r="D345" i="76"/>
  <c r="B345" i="76"/>
  <c r="Q344" i="76"/>
  <c r="P344" i="76"/>
  <c r="N344" i="76"/>
  <c r="L344" i="76"/>
  <c r="K344" i="76"/>
  <c r="J344" i="76"/>
  <c r="Q343" i="76"/>
  <c r="P343" i="76"/>
  <c r="O343" i="76"/>
  <c r="N343" i="76"/>
  <c r="L343" i="76"/>
  <c r="K343" i="76"/>
  <c r="J343" i="76"/>
  <c r="B343" i="76"/>
  <c r="Q342" i="76"/>
  <c r="P342" i="76"/>
  <c r="O342" i="76"/>
  <c r="N342" i="76"/>
  <c r="L342" i="76"/>
  <c r="K342" i="76"/>
  <c r="J342" i="76"/>
  <c r="Q341" i="76"/>
  <c r="P341" i="76"/>
  <c r="O341" i="76"/>
  <c r="N341" i="76"/>
  <c r="L341" i="76"/>
  <c r="K341" i="76"/>
  <c r="J341" i="76"/>
  <c r="I337" i="76"/>
  <c r="H337" i="76"/>
  <c r="G337" i="76"/>
  <c r="F337" i="76"/>
  <c r="E337" i="76"/>
  <c r="D337" i="76"/>
  <c r="I330" i="76"/>
  <c r="H330" i="76"/>
  <c r="G330" i="76"/>
  <c r="F330" i="76"/>
  <c r="E330" i="76"/>
  <c r="D330" i="76"/>
  <c r="K329" i="76"/>
  <c r="K328" i="76"/>
  <c r="I325" i="76"/>
  <c r="H325" i="76"/>
  <c r="G325" i="76"/>
  <c r="F325" i="76"/>
  <c r="E325" i="76"/>
  <c r="D325" i="76"/>
  <c r="I318" i="76"/>
  <c r="H318" i="76"/>
  <c r="G318" i="76"/>
  <c r="F318" i="76"/>
  <c r="E318" i="76"/>
  <c r="D318" i="76"/>
  <c r="B318" i="76"/>
  <c r="Q315" i="76"/>
  <c r="L315" i="76"/>
  <c r="K315" i="76"/>
  <c r="Q314" i="76"/>
  <c r="L314" i="76"/>
  <c r="K314" i="76"/>
  <c r="I311" i="76"/>
  <c r="H311" i="76"/>
  <c r="G311" i="76"/>
  <c r="F311" i="76"/>
  <c r="E311" i="76"/>
  <c r="D311" i="76"/>
  <c r="K304" i="76"/>
  <c r="I304" i="76"/>
  <c r="H304" i="76"/>
  <c r="G304" i="76"/>
  <c r="F304" i="76"/>
  <c r="E304" i="76"/>
  <c r="D304" i="76"/>
  <c r="R303" i="76"/>
  <c r="Q303" i="76"/>
  <c r="P303" i="76"/>
  <c r="O303" i="76"/>
  <c r="N303" i="76"/>
  <c r="M303" i="76"/>
  <c r="K303" i="76"/>
  <c r="R302" i="76"/>
  <c r="Q302" i="76"/>
  <c r="P302" i="76"/>
  <c r="O302" i="76"/>
  <c r="N302" i="76"/>
  <c r="M302" i="76"/>
  <c r="K302" i="76"/>
  <c r="R301" i="76"/>
  <c r="Q301" i="76"/>
  <c r="K301" i="76"/>
  <c r="R300" i="76"/>
  <c r="Q300" i="76"/>
  <c r="K300" i="76"/>
  <c r="I297" i="76"/>
  <c r="H297" i="76"/>
  <c r="G297" i="76"/>
  <c r="F297" i="76"/>
  <c r="E297" i="76"/>
  <c r="D297" i="76"/>
  <c r="U296" i="76"/>
  <c r="T296" i="76"/>
  <c r="S296" i="76"/>
  <c r="R296" i="76"/>
  <c r="Q296" i="76"/>
  <c r="P296" i="76"/>
  <c r="O296" i="76"/>
  <c r="N296" i="76"/>
  <c r="M296" i="76"/>
  <c r="L296" i="76"/>
  <c r="K296" i="76"/>
  <c r="B296" i="76"/>
  <c r="Q295" i="76"/>
  <c r="P295" i="76"/>
  <c r="O295" i="76"/>
  <c r="N295" i="76"/>
  <c r="M295" i="76"/>
  <c r="K295" i="76"/>
  <c r="B295" i="76"/>
  <c r="C285" i="76"/>
  <c r="C284" i="76"/>
  <c r="C283" i="76"/>
  <c r="C282" i="76"/>
  <c r="K266" i="76"/>
  <c r="K264" i="76"/>
  <c r="K262" i="76"/>
  <c r="C262" i="76"/>
  <c r="B262" i="76"/>
  <c r="K261" i="76"/>
  <c r="I261" i="76"/>
  <c r="H261" i="76"/>
  <c r="G261" i="76"/>
  <c r="F261" i="76"/>
  <c r="E261" i="76"/>
  <c r="D261" i="76"/>
  <c r="C261" i="76"/>
  <c r="B261" i="76"/>
  <c r="K260" i="76"/>
  <c r="L239" i="76"/>
  <c r="K239" i="76"/>
  <c r="J239" i="76"/>
  <c r="I239" i="76"/>
  <c r="H239" i="76"/>
  <c r="G239" i="76"/>
  <c r="F239" i="76"/>
  <c r="E239" i="76"/>
  <c r="D239" i="76"/>
  <c r="C239" i="76"/>
  <c r="B239" i="76"/>
  <c r="M238" i="76"/>
  <c r="I238" i="76"/>
  <c r="H238" i="76"/>
  <c r="G238" i="76"/>
  <c r="F238" i="76"/>
  <c r="E238" i="76"/>
  <c r="D238" i="76"/>
  <c r="C238" i="76"/>
  <c r="B238" i="76"/>
  <c r="L237" i="76"/>
  <c r="K237" i="76"/>
  <c r="J237" i="76"/>
  <c r="L236" i="76"/>
  <c r="K236" i="76"/>
  <c r="J236" i="76"/>
  <c r="L235" i="76"/>
  <c r="K235" i="76"/>
  <c r="J235" i="76"/>
  <c r="L234" i="76"/>
  <c r="K234" i="76"/>
  <c r="J234" i="76"/>
  <c r="L233" i="76"/>
  <c r="K233" i="76"/>
  <c r="J233" i="76"/>
  <c r="L232" i="76"/>
  <c r="K232" i="76"/>
  <c r="J232" i="76"/>
  <c r="L230" i="76"/>
  <c r="K230" i="76"/>
  <c r="J230" i="76"/>
  <c r="I230" i="76"/>
  <c r="H230" i="76"/>
  <c r="G230" i="76"/>
  <c r="F230" i="76"/>
  <c r="E230" i="76"/>
  <c r="D230" i="76"/>
  <c r="C230" i="76"/>
  <c r="B230" i="76"/>
  <c r="Q229" i="76"/>
  <c r="P229" i="76"/>
  <c r="O229" i="76"/>
  <c r="L229" i="76"/>
  <c r="K229" i="76"/>
  <c r="J229" i="76"/>
  <c r="I229" i="76"/>
  <c r="H229" i="76"/>
  <c r="G229" i="76"/>
  <c r="F229" i="76"/>
  <c r="E229" i="76"/>
  <c r="D229" i="76"/>
  <c r="C229" i="76"/>
  <c r="B229" i="76"/>
  <c r="Q228" i="76"/>
  <c r="P228" i="76"/>
  <c r="O228" i="76"/>
  <c r="L228" i="76"/>
  <c r="K228" i="76"/>
  <c r="J228" i="76"/>
  <c r="I228" i="76"/>
  <c r="H228" i="76"/>
  <c r="G228" i="76"/>
  <c r="F228" i="76"/>
  <c r="E228" i="76"/>
  <c r="D228" i="76"/>
  <c r="C228" i="76"/>
  <c r="B228" i="76"/>
  <c r="Q227" i="76"/>
  <c r="P227" i="76"/>
  <c r="O227" i="76"/>
  <c r="L227" i="76"/>
  <c r="K227" i="76"/>
  <c r="J227" i="76"/>
  <c r="I227" i="76"/>
  <c r="H227" i="76"/>
  <c r="G227" i="76"/>
  <c r="F227" i="76"/>
  <c r="E227" i="76"/>
  <c r="D227" i="76"/>
  <c r="C227" i="76"/>
  <c r="B227" i="76"/>
  <c r="Q226" i="76"/>
  <c r="P226" i="76"/>
  <c r="O226" i="76"/>
  <c r="L226" i="76"/>
  <c r="K226" i="76"/>
  <c r="J226" i="76"/>
  <c r="I226" i="76"/>
  <c r="H226" i="76"/>
  <c r="G226" i="76"/>
  <c r="F226" i="76"/>
  <c r="E226" i="76"/>
  <c r="D226" i="76"/>
  <c r="C226" i="76"/>
  <c r="B226" i="76"/>
  <c r="L225" i="76"/>
  <c r="K225" i="76"/>
  <c r="J225" i="76"/>
  <c r="I225" i="76"/>
  <c r="H225" i="76"/>
  <c r="G225" i="76"/>
  <c r="F225" i="76"/>
  <c r="E225" i="76"/>
  <c r="D225" i="76"/>
  <c r="C225" i="76"/>
  <c r="B225" i="76"/>
  <c r="N224" i="76"/>
  <c r="L224" i="76"/>
  <c r="K224" i="76"/>
  <c r="J224" i="76"/>
  <c r="B224" i="76"/>
  <c r="N223" i="76"/>
  <c r="L223" i="76"/>
  <c r="K223" i="76"/>
  <c r="J223" i="76"/>
  <c r="B223" i="76"/>
  <c r="N222" i="76"/>
  <c r="L222" i="76"/>
  <c r="K222" i="76"/>
  <c r="J222" i="76"/>
  <c r="N221" i="76"/>
  <c r="L221" i="76"/>
  <c r="K221" i="76"/>
  <c r="J221" i="76"/>
  <c r="B221" i="76"/>
  <c r="N220" i="76"/>
  <c r="L220" i="76"/>
  <c r="K220" i="76"/>
  <c r="J220" i="76"/>
  <c r="N219" i="76"/>
  <c r="L219" i="76"/>
  <c r="K219" i="76"/>
  <c r="J219" i="76"/>
  <c r="N217" i="76"/>
  <c r="L217" i="76"/>
  <c r="K217" i="76"/>
  <c r="J217" i="76"/>
  <c r="B217" i="76"/>
  <c r="N214" i="76"/>
  <c r="L214" i="76"/>
  <c r="K214" i="76"/>
  <c r="J214" i="76"/>
  <c r="B214" i="76"/>
  <c r="Q212" i="76"/>
  <c r="P212" i="76"/>
  <c r="O212" i="76"/>
  <c r="N211" i="76"/>
  <c r="L211" i="76"/>
  <c r="K211" i="76"/>
  <c r="J211" i="76"/>
  <c r="B211" i="76"/>
  <c r="Q210" i="76"/>
  <c r="P210" i="76"/>
  <c r="N210" i="76"/>
  <c r="L210" i="76"/>
  <c r="K210" i="76"/>
  <c r="J210" i="76"/>
  <c r="Q209" i="76"/>
  <c r="P209" i="76"/>
  <c r="O209" i="76"/>
  <c r="N209" i="76"/>
  <c r="L209" i="76"/>
  <c r="K209" i="76"/>
  <c r="J209" i="76"/>
  <c r="B209" i="76"/>
  <c r="Q208" i="76"/>
  <c r="P208" i="76"/>
  <c r="O208" i="76"/>
  <c r="N208" i="76"/>
  <c r="L208" i="76"/>
  <c r="K208" i="76"/>
  <c r="J208" i="76"/>
  <c r="Q207" i="76"/>
  <c r="P207" i="76"/>
  <c r="O207" i="76"/>
  <c r="N207" i="76"/>
  <c r="L207" i="76"/>
  <c r="K207" i="76"/>
  <c r="J207" i="76"/>
  <c r="K195" i="76"/>
  <c r="K194" i="76"/>
  <c r="B186" i="76"/>
  <c r="Q183" i="76"/>
  <c r="L183" i="76"/>
  <c r="K183" i="76"/>
  <c r="Q182" i="76"/>
  <c r="L182" i="76"/>
  <c r="K182" i="76"/>
  <c r="K174" i="76"/>
  <c r="R173" i="76"/>
  <c r="Q173" i="76"/>
  <c r="P173" i="76"/>
  <c r="O173" i="76"/>
  <c r="N173" i="76"/>
  <c r="M173" i="76"/>
  <c r="K173" i="76"/>
  <c r="B173" i="76"/>
  <c r="R172" i="76"/>
  <c r="Q172" i="76"/>
  <c r="P172" i="76"/>
  <c r="O172" i="76"/>
  <c r="N172" i="76"/>
  <c r="M172" i="76"/>
  <c r="K172" i="76"/>
  <c r="B172" i="76"/>
  <c r="R171" i="76"/>
  <c r="Q171" i="76"/>
  <c r="K171" i="76"/>
  <c r="B171" i="76"/>
  <c r="R170" i="76"/>
  <c r="Q170" i="76"/>
  <c r="K170" i="76"/>
  <c r="B170" i="76"/>
  <c r="U166" i="76"/>
  <c r="T166" i="76"/>
  <c r="S166" i="76"/>
  <c r="R166" i="76"/>
  <c r="Q166" i="76"/>
  <c r="P166" i="76"/>
  <c r="O166" i="76"/>
  <c r="N166" i="76"/>
  <c r="M166" i="76"/>
  <c r="K166" i="76"/>
  <c r="B166" i="76"/>
  <c r="Q165" i="76"/>
  <c r="P165" i="76"/>
  <c r="O165" i="76"/>
  <c r="N165" i="76"/>
  <c r="M165" i="76"/>
  <c r="K165" i="76"/>
  <c r="B165" i="76"/>
  <c r="AH150" i="76"/>
  <c r="AJ38" i="76"/>
  <c r="AI38" i="76"/>
  <c r="AJ37" i="76"/>
  <c r="AI37" i="76"/>
  <c r="AJ36" i="76"/>
  <c r="AI36" i="76"/>
  <c r="AJ35" i="76"/>
  <c r="AI35" i="76"/>
  <c r="AJ32" i="76"/>
  <c r="AI32" i="76"/>
  <c r="AJ31" i="76"/>
  <c r="AI31" i="76"/>
  <c r="AJ30" i="76"/>
  <c r="AI30" i="76"/>
  <c r="AJ29" i="76"/>
  <c r="AI29" i="76"/>
  <c r="E26" i="76"/>
  <c r="D26" i="76"/>
  <c r="C26" i="76"/>
  <c r="B26" i="76"/>
  <c r="AJ23" i="76"/>
  <c r="AI23" i="76"/>
  <c r="AJ22" i="76"/>
  <c r="AI22" i="76"/>
  <c r="AJ21" i="76"/>
  <c r="AI21" i="76"/>
  <c r="AJ20" i="76"/>
  <c r="AI20" i="76"/>
  <c r="AJ17" i="76"/>
  <c r="AI17" i="76"/>
  <c r="AJ16" i="76"/>
  <c r="AI16" i="76"/>
  <c r="AJ15" i="76"/>
  <c r="AI15" i="76"/>
  <c r="AJ14" i="76"/>
  <c r="AI14" i="76"/>
  <c r="M72" i="65"/>
  <c r="L72" i="65"/>
  <c r="K72" i="65"/>
  <c r="J72" i="65"/>
  <c r="I72" i="65"/>
  <c r="H72" i="65"/>
  <c r="G72" i="65"/>
  <c r="F72" i="65"/>
  <c r="E72" i="65"/>
  <c r="D72" i="65"/>
  <c r="C72" i="65"/>
  <c r="M69" i="65"/>
  <c r="L69" i="65"/>
  <c r="K69" i="65"/>
  <c r="J69" i="65"/>
  <c r="I69" i="65"/>
  <c r="H69" i="65"/>
  <c r="G69" i="65"/>
  <c r="F69" i="65"/>
  <c r="E69" i="65"/>
  <c r="D69" i="65"/>
  <c r="C69" i="65"/>
  <c r="M68" i="65"/>
  <c r="L68" i="65"/>
  <c r="K68" i="65"/>
  <c r="J68" i="65"/>
  <c r="I68" i="65"/>
  <c r="H68" i="65"/>
  <c r="G68" i="65"/>
  <c r="F68" i="65"/>
  <c r="E68" i="65"/>
  <c r="D68" i="65"/>
  <c r="C68" i="65"/>
  <c r="M67" i="65"/>
  <c r="L67" i="65"/>
  <c r="K67" i="65"/>
  <c r="J67" i="65"/>
  <c r="I67" i="65"/>
  <c r="H67" i="65"/>
  <c r="G67" i="65"/>
  <c r="F67" i="65"/>
  <c r="E67" i="65"/>
  <c r="M60" i="65"/>
  <c r="L60" i="65"/>
  <c r="K60" i="65"/>
  <c r="J60" i="65"/>
  <c r="I60" i="65"/>
  <c r="H60" i="65"/>
  <c r="G60" i="65"/>
  <c r="F60" i="65"/>
  <c r="E60" i="65"/>
  <c r="D60" i="65"/>
  <c r="C60" i="65"/>
  <c r="M57" i="65"/>
  <c r="L57" i="65"/>
  <c r="K57" i="65"/>
  <c r="J57" i="65"/>
  <c r="I57" i="65"/>
  <c r="H57" i="65"/>
  <c r="G57" i="65"/>
  <c r="F57" i="65"/>
  <c r="E57" i="65"/>
  <c r="D57" i="65"/>
  <c r="C57" i="65"/>
  <c r="M56" i="65"/>
  <c r="L56" i="65"/>
  <c r="K56" i="65"/>
  <c r="J56" i="65"/>
  <c r="I56" i="65"/>
  <c r="H56" i="65"/>
  <c r="G56" i="65"/>
  <c r="F56" i="65"/>
  <c r="E56" i="65"/>
  <c r="D56" i="65"/>
  <c r="C56" i="65"/>
  <c r="M55" i="65"/>
  <c r="L55" i="65"/>
  <c r="K55" i="65"/>
  <c r="J55" i="65"/>
  <c r="I55" i="65"/>
  <c r="H55" i="65"/>
  <c r="G55" i="65"/>
  <c r="F55" i="65"/>
  <c r="E55" i="65"/>
  <c r="D55" i="65"/>
  <c r="M52" i="65"/>
  <c r="L52" i="65"/>
  <c r="K52" i="65"/>
  <c r="J52" i="65"/>
  <c r="I52" i="65"/>
  <c r="H52" i="65"/>
  <c r="G52" i="65"/>
  <c r="F52" i="65"/>
  <c r="E52" i="65"/>
  <c r="D52" i="65"/>
  <c r="C52" i="65"/>
  <c r="M48" i="65"/>
  <c r="L48" i="65"/>
  <c r="K48" i="65"/>
  <c r="J48" i="65"/>
  <c r="I48" i="65"/>
  <c r="H48" i="65"/>
  <c r="G48" i="65"/>
  <c r="F48" i="65"/>
  <c r="E48" i="65"/>
  <c r="D48" i="65"/>
  <c r="C48" i="65"/>
  <c r="M47" i="65"/>
  <c r="L47" i="65"/>
  <c r="K47" i="65"/>
  <c r="J47" i="65"/>
  <c r="I47" i="65"/>
  <c r="H47" i="65"/>
  <c r="G47" i="65"/>
  <c r="F47" i="65"/>
  <c r="E47" i="65"/>
  <c r="D47" i="65"/>
  <c r="C47" i="65"/>
  <c r="M45" i="65"/>
  <c r="L45" i="65"/>
  <c r="K45" i="65"/>
  <c r="J45" i="65"/>
  <c r="I45" i="65"/>
  <c r="H45" i="65"/>
  <c r="G45" i="65"/>
  <c r="F45" i="65"/>
  <c r="E45" i="65"/>
  <c r="D45" i="65"/>
  <c r="C45" i="65"/>
  <c r="M44" i="65"/>
  <c r="L44" i="65"/>
  <c r="K44" i="65"/>
  <c r="J44" i="65"/>
  <c r="I44" i="65"/>
  <c r="H44" i="65"/>
  <c r="G44" i="65"/>
  <c r="F44" i="65"/>
  <c r="E44" i="65"/>
  <c r="D44" i="65"/>
  <c r="C44" i="65"/>
  <c r="M43" i="65"/>
  <c r="L43" i="65"/>
  <c r="K43" i="65"/>
  <c r="J43" i="65"/>
  <c r="I43" i="65"/>
  <c r="H43" i="65"/>
  <c r="G43" i="65"/>
  <c r="F43" i="65"/>
  <c r="E43" i="65"/>
  <c r="D43" i="65"/>
  <c r="F51" i="42" s="1"/>
  <c r="C43" i="65"/>
  <c r="M40" i="65"/>
  <c r="L40" i="65"/>
  <c r="K40" i="65"/>
  <c r="J40" i="65"/>
  <c r="I40" i="65"/>
  <c r="H40" i="65"/>
  <c r="G40" i="65"/>
  <c r="F40" i="65"/>
  <c r="E40" i="65"/>
  <c r="D40" i="65"/>
  <c r="C40" i="65"/>
  <c r="M36" i="65"/>
  <c r="L36" i="65"/>
  <c r="K36" i="65"/>
  <c r="J36" i="65"/>
  <c r="I36" i="65"/>
  <c r="H36" i="65"/>
  <c r="G36" i="65"/>
  <c r="F36" i="65"/>
  <c r="E36" i="65"/>
  <c r="D36" i="65"/>
  <c r="C36" i="65"/>
  <c r="M33" i="65"/>
  <c r="L33" i="65"/>
  <c r="K33" i="65"/>
  <c r="J33" i="65"/>
  <c r="I33" i="65"/>
  <c r="H33" i="65"/>
  <c r="G33" i="65"/>
  <c r="F33" i="65"/>
  <c r="E33" i="65"/>
  <c r="D33" i="65"/>
  <c r="C33" i="65"/>
  <c r="M32" i="65"/>
  <c r="L32" i="65"/>
  <c r="K32" i="65"/>
  <c r="J32" i="65"/>
  <c r="I32" i="65"/>
  <c r="H32" i="65"/>
  <c r="G32" i="65"/>
  <c r="F32" i="65"/>
  <c r="E32" i="65"/>
  <c r="D32" i="65"/>
  <c r="C32" i="65"/>
  <c r="M31" i="65"/>
  <c r="L31" i="65"/>
  <c r="K31" i="65"/>
  <c r="J31" i="65"/>
  <c r="I31" i="65"/>
  <c r="H31" i="65"/>
  <c r="G31" i="65"/>
  <c r="F31" i="65"/>
  <c r="E31" i="65"/>
  <c r="M28" i="65"/>
  <c r="L28" i="65"/>
  <c r="K28" i="65"/>
  <c r="J28" i="65"/>
  <c r="I28" i="65"/>
  <c r="H28" i="65"/>
  <c r="G28" i="65"/>
  <c r="F28" i="65"/>
  <c r="E28" i="65"/>
  <c r="D28" i="65"/>
  <c r="C28" i="65"/>
  <c r="M24" i="65"/>
  <c r="L24" i="65"/>
  <c r="K24" i="65"/>
  <c r="J24" i="65"/>
  <c r="I24" i="65"/>
  <c r="H24" i="65"/>
  <c r="G24" i="65"/>
  <c r="F24" i="65"/>
  <c r="E24" i="65"/>
  <c r="D24" i="65"/>
  <c r="C24" i="65"/>
  <c r="M21" i="65"/>
  <c r="L21" i="65"/>
  <c r="K21" i="65"/>
  <c r="J21" i="65"/>
  <c r="I21" i="65"/>
  <c r="H21" i="65"/>
  <c r="G21" i="65"/>
  <c r="F21" i="65"/>
  <c r="E21" i="65"/>
  <c r="D21" i="65"/>
  <c r="C21" i="65"/>
  <c r="M20" i="65"/>
  <c r="L20" i="65"/>
  <c r="K20" i="65"/>
  <c r="J20" i="65"/>
  <c r="I20" i="65"/>
  <c r="H20" i="65"/>
  <c r="G20" i="65"/>
  <c r="F20" i="65"/>
  <c r="E20" i="65"/>
  <c r="D20" i="65"/>
  <c r="C20" i="65"/>
  <c r="M19" i="65"/>
  <c r="L19" i="65"/>
  <c r="K19" i="65"/>
  <c r="J19" i="65"/>
  <c r="I19" i="65"/>
  <c r="H19" i="65"/>
  <c r="G19" i="65"/>
  <c r="F19" i="65"/>
  <c r="E19" i="65"/>
  <c r="D19" i="65"/>
  <c r="M16" i="65"/>
  <c r="L16" i="65"/>
  <c r="K16" i="65"/>
  <c r="J16" i="65"/>
  <c r="I16" i="65"/>
  <c r="H16" i="65"/>
  <c r="G16" i="65"/>
  <c r="F16" i="65"/>
  <c r="E16" i="65"/>
  <c r="D16" i="65"/>
  <c r="C16" i="65"/>
  <c r="M12" i="65"/>
  <c r="L12" i="65"/>
  <c r="K12" i="65"/>
  <c r="J12" i="65"/>
  <c r="I12" i="65"/>
  <c r="H12" i="65"/>
  <c r="G12" i="65"/>
  <c r="F12" i="65"/>
  <c r="E12" i="65"/>
  <c r="D12" i="65"/>
  <c r="C12" i="65"/>
  <c r="M10" i="65"/>
  <c r="L10" i="65"/>
  <c r="K10" i="65"/>
  <c r="J10" i="65"/>
  <c r="I10" i="65"/>
  <c r="H10" i="65"/>
  <c r="G10" i="65"/>
  <c r="F10" i="65"/>
  <c r="E10" i="65"/>
  <c r="G22" i="42" s="1"/>
  <c r="D10" i="65"/>
  <c r="M9" i="65"/>
  <c r="L9" i="65"/>
  <c r="K9" i="65"/>
  <c r="J9" i="65"/>
  <c r="I9" i="65"/>
  <c r="H9" i="65"/>
  <c r="G9" i="65"/>
  <c r="F9" i="65"/>
  <c r="E9" i="65"/>
  <c r="D9" i="65"/>
  <c r="C9" i="65"/>
  <c r="M8" i="65"/>
  <c r="L8" i="65"/>
  <c r="K8" i="65"/>
  <c r="J8" i="65"/>
  <c r="I8" i="65"/>
  <c r="H8" i="65"/>
  <c r="G8" i="65"/>
  <c r="F8" i="65"/>
  <c r="E8" i="65"/>
  <c r="D8" i="65"/>
  <c r="C8" i="65"/>
  <c r="M7" i="65"/>
  <c r="L7" i="65"/>
  <c r="K7" i="65"/>
  <c r="J7" i="65"/>
  <c r="I7" i="65"/>
  <c r="H7" i="65"/>
  <c r="G7" i="65"/>
  <c r="F7" i="65"/>
  <c r="E7" i="65"/>
  <c r="D7" i="65"/>
  <c r="C7" i="65"/>
  <c r="M6" i="65"/>
  <c r="L6" i="65"/>
  <c r="N18" i="42" s="1"/>
  <c r="K6" i="65"/>
  <c r="M18" i="42" s="1"/>
  <c r="J6" i="65"/>
  <c r="L18" i="42" s="1"/>
  <c r="I6" i="65"/>
  <c r="K18" i="42" s="1"/>
  <c r="H6" i="65"/>
  <c r="J18" i="42" s="1"/>
  <c r="G6" i="65"/>
  <c r="I18" i="42" s="1"/>
  <c r="F6" i="65"/>
  <c r="E6" i="65"/>
  <c r="D6" i="65"/>
  <c r="C6" i="65"/>
  <c r="M4" i="65"/>
  <c r="L4" i="65"/>
  <c r="K4" i="65"/>
  <c r="J4" i="65"/>
  <c r="I4" i="65"/>
  <c r="H4" i="65"/>
  <c r="G4" i="65"/>
  <c r="F4" i="65"/>
  <c r="E4" i="65"/>
  <c r="D4" i="65"/>
  <c r="C4" i="65"/>
  <c r="AL38" i="88"/>
  <c r="AG38" i="88"/>
  <c r="AB38" i="88"/>
  <c r="AA38" i="88"/>
  <c r="Y38" i="88"/>
  <c r="T38" i="88"/>
  <c r="BD38" i="88" s="1"/>
  <c r="O38" i="88"/>
  <c r="AY38" i="88" s="1"/>
  <c r="M38" i="88"/>
  <c r="AW38" i="88" s="1"/>
  <c r="L38" i="88"/>
  <c r="AV38" i="88" s="1"/>
  <c r="G38" i="88"/>
  <c r="AQ38" i="88" s="1"/>
  <c r="F38" i="88"/>
  <c r="E38" i="88"/>
  <c r="D38" i="88"/>
  <c r="AL37" i="88"/>
  <c r="AG37" i="88"/>
  <c r="AB37" i="88"/>
  <c r="AA37" i="88"/>
  <c r="Y37" i="88"/>
  <c r="T37" i="88"/>
  <c r="BD37" i="88" s="1"/>
  <c r="O37" i="88"/>
  <c r="AY37" i="88" s="1"/>
  <c r="M37" i="88"/>
  <c r="AW37" i="88" s="1"/>
  <c r="G37" i="88"/>
  <c r="AQ37" i="88" s="1"/>
  <c r="F37" i="88"/>
  <c r="D37" i="88"/>
  <c r="AL36" i="88"/>
  <c r="AG36" i="88"/>
  <c r="AB36" i="88"/>
  <c r="AA36" i="88"/>
  <c r="Y36" i="88"/>
  <c r="T36" i="88"/>
  <c r="BD36" i="88" s="1"/>
  <c r="O36" i="88"/>
  <c r="AY36" i="88" s="1"/>
  <c r="M36" i="88"/>
  <c r="AW36" i="88" s="1"/>
  <c r="G36" i="88"/>
  <c r="AQ36" i="88" s="1"/>
  <c r="F36" i="88"/>
  <c r="D36" i="88"/>
  <c r="AL35" i="88"/>
  <c r="AG35" i="88"/>
  <c r="AB35" i="88"/>
  <c r="AA35" i="88"/>
  <c r="Y35" i="88"/>
  <c r="T35" i="88"/>
  <c r="BD35" i="88" s="1"/>
  <c r="O35" i="88"/>
  <c r="AY35" i="88" s="1"/>
  <c r="M35" i="88"/>
  <c r="AW35" i="88" s="1"/>
  <c r="G35" i="88"/>
  <c r="AQ35" i="88" s="1"/>
  <c r="F35" i="88"/>
  <c r="D35" i="88"/>
  <c r="AL34" i="88"/>
  <c r="AG34" i="88"/>
  <c r="AB34" i="88"/>
  <c r="AA34" i="88"/>
  <c r="Y34" i="88"/>
  <c r="T34" i="88"/>
  <c r="BD34" i="88" s="1"/>
  <c r="O34" i="88"/>
  <c r="AY34" i="88" s="1"/>
  <c r="M34" i="88"/>
  <c r="AW34" i="88" s="1"/>
  <c r="G34" i="88"/>
  <c r="AQ34" i="88" s="1"/>
  <c r="F34" i="88"/>
  <c r="D34" i="88"/>
  <c r="AL33" i="88"/>
  <c r="AG33" i="88"/>
  <c r="AB33" i="88"/>
  <c r="AA33" i="88"/>
  <c r="Y33" i="88"/>
  <c r="T33" i="88"/>
  <c r="BD33" i="88" s="1"/>
  <c r="O33" i="88"/>
  <c r="AY33" i="88" s="1"/>
  <c r="M33" i="88"/>
  <c r="AW33" i="88" s="1"/>
  <c r="L33" i="88"/>
  <c r="AV33" i="88" s="1"/>
  <c r="G33" i="88"/>
  <c r="AQ33" i="88" s="1"/>
  <c r="F33" i="88"/>
  <c r="D33" i="88"/>
  <c r="AL32" i="88"/>
  <c r="AG32" i="88"/>
  <c r="AB32" i="88"/>
  <c r="AA32" i="88"/>
  <c r="Y32" i="88"/>
  <c r="T32" i="88"/>
  <c r="BD32" i="88" s="1"/>
  <c r="O32" i="88"/>
  <c r="AY32" i="88" s="1"/>
  <c r="M32" i="88"/>
  <c r="AW32" i="88" s="1"/>
  <c r="L32" i="88"/>
  <c r="AV32" i="88" s="1"/>
  <c r="G32" i="88"/>
  <c r="AQ32" i="88" s="1"/>
  <c r="F32" i="88"/>
  <c r="D32" i="88"/>
  <c r="AL31" i="88"/>
  <c r="AG31" i="88"/>
  <c r="AB31" i="88"/>
  <c r="AA31" i="88"/>
  <c r="Y31" i="88"/>
  <c r="T31" i="88"/>
  <c r="BD31" i="88" s="1"/>
  <c r="O31" i="88"/>
  <c r="AY31" i="88" s="1"/>
  <c r="M31" i="88"/>
  <c r="AW31" i="88" s="1"/>
  <c r="L31" i="88"/>
  <c r="AV31" i="88" s="1"/>
  <c r="G31" i="88"/>
  <c r="AQ31" i="88" s="1"/>
  <c r="F31" i="88"/>
  <c r="D31" i="88"/>
  <c r="AN10" i="88"/>
  <c r="AO10" i="88" s="1"/>
  <c r="AM10" i="88"/>
  <c r="AI10" i="88"/>
  <c r="AJ10" i="88" s="1"/>
  <c r="AH10" i="88"/>
  <c r="AD10" i="88"/>
  <c r="AE10" i="88" s="1"/>
  <c r="AC10" i="88"/>
  <c r="Z10" i="88"/>
  <c r="Y10" i="88"/>
  <c r="V10" i="88"/>
  <c r="BF10" i="88" s="1"/>
  <c r="U10" i="88"/>
  <c r="BE10" i="88" s="1"/>
  <c r="Q10" i="88"/>
  <c r="BA10" i="88" s="1"/>
  <c r="P10" i="88"/>
  <c r="AZ10" i="88" s="1"/>
  <c r="M10" i="88"/>
  <c r="AW10" i="88" s="1"/>
  <c r="L10" i="88"/>
  <c r="AV10" i="88" s="1"/>
  <c r="I10" i="88"/>
  <c r="AS10" i="88" s="1"/>
  <c r="H10" i="88"/>
  <c r="AR10" i="88" s="1"/>
  <c r="E10" i="88"/>
  <c r="C10" i="88"/>
  <c r="B10" i="88"/>
  <c r="AN9" i="88"/>
  <c r="AO9" i="88" s="1"/>
  <c r="AM9" i="88"/>
  <c r="AI9" i="88"/>
  <c r="AJ9" i="88" s="1"/>
  <c r="AH9" i="88"/>
  <c r="AD9" i="88"/>
  <c r="AE9" i="88" s="1"/>
  <c r="AC9" i="88"/>
  <c r="AA9" i="88"/>
  <c r="Y9" i="88"/>
  <c r="V9" i="88"/>
  <c r="W9" i="88" s="1"/>
  <c r="BG9" i="88" s="1"/>
  <c r="U9" i="88"/>
  <c r="BE9" i="88" s="1"/>
  <c r="Q9" i="88"/>
  <c r="BA9" i="88" s="1"/>
  <c r="P9" i="88"/>
  <c r="AZ9" i="88" s="1"/>
  <c r="M9" i="88"/>
  <c r="AW9" i="88" s="1"/>
  <c r="L9" i="88"/>
  <c r="AV9" i="88" s="1"/>
  <c r="I9" i="88"/>
  <c r="J9" i="88" s="1"/>
  <c r="AT9" i="88" s="1"/>
  <c r="H9" i="88"/>
  <c r="AR9" i="88" s="1"/>
  <c r="F9" i="88"/>
  <c r="E9" i="88"/>
  <c r="C9" i="88"/>
  <c r="B9" i="88"/>
  <c r="A9" i="88"/>
  <c r="AL29" i="88"/>
  <c r="AG29" i="88"/>
  <c r="AB29" i="88"/>
  <c r="AA29" i="88"/>
  <c r="Y29" i="88"/>
  <c r="T29" i="88"/>
  <c r="BD29" i="88" s="1"/>
  <c r="O29" i="88"/>
  <c r="AY29" i="88" s="1"/>
  <c r="M29" i="88"/>
  <c r="AW29" i="88" s="1"/>
  <c r="G29" i="88"/>
  <c r="AQ29" i="88" s="1"/>
  <c r="F29" i="88"/>
  <c r="D29" i="88"/>
  <c r="AL28" i="88"/>
  <c r="AG28" i="88"/>
  <c r="AB28" i="88"/>
  <c r="AA28" i="88"/>
  <c r="Y28" i="88"/>
  <c r="T28" i="88"/>
  <c r="BD28" i="88" s="1"/>
  <c r="O28" i="88"/>
  <c r="AY28" i="88" s="1"/>
  <c r="M28" i="88"/>
  <c r="AW28" i="88" s="1"/>
  <c r="G28" i="88"/>
  <c r="AQ28" i="88" s="1"/>
  <c r="F28" i="88"/>
  <c r="D28" i="88"/>
  <c r="AL27" i="88"/>
  <c r="AG27" i="88"/>
  <c r="AB27" i="88"/>
  <c r="AA27" i="88"/>
  <c r="Y27" i="88"/>
  <c r="T27" i="88"/>
  <c r="BD27" i="88" s="1"/>
  <c r="O27" i="88"/>
  <c r="AY27" i="88" s="1"/>
  <c r="M27" i="88"/>
  <c r="AW27" i="88" s="1"/>
  <c r="L27" i="88"/>
  <c r="AV27" i="88" s="1"/>
  <c r="G27" i="88"/>
  <c r="AQ27" i="88" s="1"/>
  <c r="F27" i="88"/>
  <c r="D27" i="88"/>
  <c r="AL8" i="88"/>
  <c r="AG8" i="88"/>
  <c r="AB8" i="88"/>
  <c r="AA8" i="88"/>
  <c r="Y8" i="88"/>
  <c r="T8" i="88"/>
  <c r="BD8" i="88" s="1"/>
  <c r="O8" i="88"/>
  <c r="AY8" i="88" s="1"/>
  <c r="M8" i="88"/>
  <c r="AW8" i="88" s="1"/>
  <c r="L8" i="88"/>
  <c r="AV8" i="88" s="1"/>
  <c r="G8" i="88"/>
  <c r="AQ8" i="88" s="1"/>
  <c r="F8" i="88"/>
  <c r="D8" i="88"/>
  <c r="AL26" i="88"/>
  <c r="AG26" i="88"/>
  <c r="AB26" i="88"/>
  <c r="AA26" i="88"/>
  <c r="Y26" i="88"/>
  <c r="T26" i="88"/>
  <c r="BD26" i="88" s="1"/>
  <c r="O26" i="88"/>
  <c r="AY26" i="88" s="1"/>
  <c r="M26" i="88"/>
  <c r="AW26" i="88" s="1"/>
  <c r="G26" i="88"/>
  <c r="AQ26" i="88" s="1"/>
  <c r="F26" i="88"/>
  <c r="D26" i="88"/>
  <c r="AL25" i="88"/>
  <c r="AG25" i="88"/>
  <c r="AB25" i="88"/>
  <c r="AA25" i="88"/>
  <c r="Y25" i="88"/>
  <c r="T25" i="88"/>
  <c r="BD25" i="88" s="1"/>
  <c r="O25" i="88"/>
  <c r="AY25" i="88" s="1"/>
  <c r="M25" i="88"/>
  <c r="AW25" i="88" s="1"/>
  <c r="G25" i="88"/>
  <c r="AQ25" i="88" s="1"/>
  <c r="F25" i="88"/>
  <c r="D25" i="88"/>
  <c r="AL24" i="88"/>
  <c r="AG24" i="88"/>
  <c r="AB24" i="88"/>
  <c r="AA24" i="88"/>
  <c r="Y24" i="88"/>
  <c r="T24" i="88"/>
  <c r="BD24" i="88" s="1"/>
  <c r="O24" i="88"/>
  <c r="AY24" i="88" s="1"/>
  <c r="M24" i="88"/>
  <c r="AW24" i="88" s="1"/>
  <c r="L24" i="88"/>
  <c r="AV24" i="88" s="1"/>
  <c r="G24" i="88"/>
  <c r="AQ24" i="88" s="1"/>
  <c r="F24" i="88"/>
  <c r="D24" i="88"/>
  <c r="AN23" i="88"/>
  <c r="AO23" i="88" s="1"/>
  <c r="AM23" i="88"/>
  <c r="AI23" i="88"/>
  <c r="AJ23" i="88" s="1"/>
  <c r="AH23" i="88"/>
  <c r="AD23" i="88"/>
  <c r="AE23" i="88" s="1"/>
  <c r="AC23" i="88"/>
  <c r="V23" i="88"/>
  <c r="BF23" i="88" s="1"/>
  <c r="U23" i="88"/>
  <c r="Q23" i="88"/>
  <c r="BA23" i="88" s="1"/>
  <c r="P23" i="88"/>
  <c r="I23" i="88"/>
  <c r="J23" i="88" s="1"/>
  <c r="AT23" i="88" s="1"/>
  <c r="H23" i="88"/>
  <c r="F23" i="88"/>
  <c r="D23" i="88"/>
  <c r="AN22" i="88"/>
  <c r="AO22" i="88" s="1"/>
  <c r="AM22" i="88"/>
  <c r="AI22" i="88"/>
  <c r="AJ22" i="88" s="1"/>
  <c r="AH22" i="88"/>
  <c r="AD22" i="88"/>
  <c r="AE22" i="88" s="1"/>
  <c r="AC22" i="88"/>
  <c r="V22" i="88"/>
  <c r="W22" i="88" s="1"/>
  <c r="BG22" i="88" s="1"/>
  <c r="U22" i="88"/>
  <c r="Q22" i="88"/>
  <c r="BA22" i="88" s="1"/>
  <c r="P22" i="88"/>
  <c r="I22" i="88"/>
  <c r="AS22" i="88" s="1"/>
  <c r="H22" i="88"/>
  <c r="F22" i="88"/>
  <c r="E22" i="88"/>
  <c r="D22" i="88"/>
  <c r="AN21" i="88"/>
  <c r="AO21" i="88" s="1"/>
  <c r="AM21" i="88"/>
  <c r="AI21" i="88"/>
  <c r="AJ21" i="88" s="1"/>
  <c r="AH21" i="88"/>
  <c r="AD21" i="88"/>
  <c r="AE21" i="88" s="1"/>
  <c r="AC21" i="88"/>
  <c r="V21" i="88"/>
  <c r="BF21" i="88" s="1"/>
  <c r="U21" i="88"/>
  <c r="Q21" i="88"/>
  <c r="R21" i="88" s="1"/>
  <c r="BB21" i="88" s="1"/>
  <c r="P21" i="88"/>
  <c r="I21" i="88"/>
  <c r="J21" i="88" s="1"/>
  <c r="AT21" i="88" s="1"/>
  <c r="H21" i="88"/>
  <c r="F21" i="88"/>
  <c r="E21" i="88"/>
  <c r="D21" i="88"/>
  <c r="D20" i="88"/>
  <c r="AN19" i="88"/>
  <c r="AO19" i="88" s="1"/>
  <c r="AO20" i="88" s="1"/>
  <c r="AM19" i="88"/>
  <c r="AM20" i="88" s="1"/>
  <c r="AI19" i="88"/>
  <c r="AJ19" i="88" s="1"/>
  <c r="AH19" i="88"/>
  <c r="AD19" i="88"/>
  <c r="AE19" i="88" s="1"/>
  <c r="AE20" i="88" s="1"/>
  <c r="AC19" i="88"/>
  <c r="AC20" i="88" s="1"/>
  <c r="V19" i="88"/>
  <c r="V20" i="88" s="1"/>
  <c r="U19" i="88"/>
  <c r="U20" i="88" s="1"/>
  <c r="Q19" i="88"/>
  <c r="Q20" i="88" s="1"/>
  <c r="P19" i="88"/>
  <c r="P20" i="88" s="1"/>
  <c r="I19" i="88"/>
  <c r="J19" i="88" s="1"/>
  <c r="H19" i="88"/>
  <c r="H20" i="88" s="1"/>
  <c r="F19" i="88"/>
  <c r="E19" i="88"/>
  <c r="D19" i="88"/>
  <c r="D18" i="88"/>
  <c r="AN17" i="88"/>
  <c r="AN18" i="88" s="1"/>
  <c r="AM17" i="88"/>
  <c r="AM18" i="88" s="1"/>
  <c r="AI17" i="88"/>
  <c r="AJ17" i="88" s="1"/>
  <c r="AJ18" i="88" s="1"/>
  <c r="AH17" i="88"/>
  <c r="AH18" i="88" s="1"/>
  <c r="AD17" i="88"/>
  <c r="AD18" i="88" s="1"/>
  <c r="AC17" i="88"/>
  <c r="AC18" i="88" s="1"/>
  <c r="V17" i="88"/>
  <c r="W17" i="88" s="1"/>
  <c r="U17" i="88"/>
  <c r="U18" i="88" s="1"/>
  <c r="Q17" i="88"/>
  <c r="R17" i="88" s="1"/>
  <c r="P17" i="88"/>
  <c r="P18" i="88" s="1"/>
  <c r="I17" i="88"/>
  <c r="I18" i="88" s="1"/>
  <c r="H17" i="88"/>
  <c r="H18" i="88" s="1"/>
  <c r="F17" i="88"/>
  <c r="E17" i="88"/>
  <c r="D17" i="88"/>
  <c r="AL16" i="88"/>
  <c r="AI16" i="88"/>
  <c r="AJ16" i="88" s="1"/>
  <c r="AH16" i="88"/>
  <c r="AD16" i="88"/>
  <c r="AE16" i="88" s="1"/>
  <c r="AC16" i="88"/>
  <c r="V16" i="88"/>
  <c r="W16" i="88" s="1"/>
  <c r="BG16" i="88" s="1"/>
  <c r="U16" i="88"/>
  <c r="BE16" i="88" s="1"/>
  <c r="Q16" i="88"/>
  <c r="R16" i="88" s="1"/>
  <c r="BB16" i="88" s="1"/>
  <c r="P16" i="88"/>
  <c r="AZ16" i="88" s="1"/>
  <c r="I16" i="88"/>
  <c r="J16" i="88" s="1"/>
  <c r="AT16" i="88" s="1"/>
  <c r="H16" i="88"/>
  <c r="AR16" i="88" s="1"/>
  <c r="F16" i="88"/>
  <c r="D16" i="88"/>
  <c r="F7" i="88"/>
  <c r="E7" i="88"/>
  <c r="D7" i="88"/>
  <c r="F15" i="88"/>
  <c r="E15" i="88"/>
  <c r="D15" i="88"/>
  <c r="AN6" i="88"/>
  <c r="AO6" i="88" s="1"/>
  <c r="AM6" i="88"/>
  <c r="AI6" i="88"/>
  <c r="AJ6" i="88" s="1"/>
  <c r="AH6" i="88"/>
  <c r="AD6" i="88"/>
  <c r="AE6" i="88" s="1"/>
  <c r="AC6" i="88"/>
  <c r="V6" i="88"/>
  <c r="BF6" i="88" s="1"/>
  <c r="U6" i="88"/>
  <c r="BE6" i="88" s="1"/>
  <c r="Q6" i="88"/>
  <c r="R6" i="88" s="1"/>
  <c r="BB6" i="88" s="1"/>
  <c r="P6" i="88"/>
  <c r="AZ6" i="88" s="1"/>
  <c r="I6" i="88"/>
  <c r="AS6" i="88" s="1"/>
  <c r="H6" i="88"/>
  <c r="AR6" i="88" s="1"/>
  <c r="F6" i="88"/>
  <c r="E6" i="88"/>
  <c r="D6" i="88"/>
  <c r="GM311" i="75"/>
  <c r="GL311" i="75"/>
  <c r="GK311" i="75"/>
  <c r="GJ311" i="75"/>
  <c r="GI311" i="75"/>
  <c r="GH311" i="75"/>
  <c r="GG311" i="75"/>
  <c r="GF311" i="75"/>
  <c r="GE311" i="75"/>
  <c r="GD311" i="75"/>
  <c r="GC311" i="75"/>
  <c r="GB311" i="75"/>
  <c r="GA311" i="75"/>
  <c r="FZ311" i="75"/>
  <c r="FY311" i="75"/>
  <c r="FX311" i="75"/>
  <c r="FW311" i="75"/>
  <c r="FV311" i="75"/>
  <c r="FU311" i="75"/>
  <c r="FT311" i="75"/>
  <c r="FS311" i="75"/>
  <c r="FR311" i="75"/>
  <c r="FQ311" i="75"/>
  <c r="FP311" i="75"/>
  <c r="FO311" i="75"/>
  <c r="FN311" i="75"/>
  <c r="FM311" i="75"/>
  <c r="FL311" i="75"/>
  <c r="FK311" i="75"/>
  <c r="FJ311" i="75"/>
  <c r="FI311" i="75"/>
  <c r="FH311" i="75"/>
  <c r="FG311" i="75"/>
  <c r="FE311" i="75"/>
  <c r="FD311" i="75"/>
  <c r="FC311" i="75"/>
  <c r="FB311" i="75"/>
  <c r="FA311" i="75"/>
  <c r="EZ311" i="75"/>
  <c r="EY311" i="75"/>
  <c r="EX311" i="75"/>
  <c r="EW311" i="75"/>
  <c r="ET311" i="75"/>
  <c r="ES311" i="75"/>
  <c r="ER311" i="75"/>
  <c r="EQ311" i="75"/>
  <c r="EP311" i="75"/>
  <c r="EO311" i="75"/>
  <c r="EN311" i="75"/>
  <c r="EM311" i="75"/>
  <c r="EL311" i="75"/>
  <c r="AD311" i="75"/>
  <c r="FF311" i="75" s="1"/>
  <c r="T311" i="75"/>
  <c r="EU311" i="75" s="1"/>
  <c r="J311" i="75"/>
  <c r="E311" i="75"/>
  <c r="D311" i="75"/>
  <c r="C311" i="75"/>
  <c r="B311" i="75"/>
  <c r="A311" i="75"/>
  <c r="GM310" i="75"/>
  <c r="GL310" i="75"/>
  <c r="GK310" i="75"/>
  <c r="GJ310" i="75"/>
  <c r="GI310" i="75"/>
  <c r="GH310" i="75"/>
  <c r="GG310" i="75"/>
  <c r="GF310" i="75"/>
  <c r="GE310" i="75"/>
  <c r="GD310" i="75"/>
  <c r="GC310" i="75"/>
  <c r="GB310" i="75"/>
  <c r="GA310" i="75"/>
  <c r="FZ310" i="75"/>
  <c r="FY310" i="75"/>
  <c r="FX310" i="75"/>
  <c r="FW310" i="75"/>
  <c r="FV310" i="75"/>
  <c r="FU310" i="75"/>
  <c r="FT310" i="75"/>
  <c r="FS310" i="75"/>
  <c r="FR310" i="75"/>
  <c r="FQ310" i="75"/>
  <c r="FP310" i="75"/>
  <c r="FO310" i="75"/>
  <c r="FN310" i="75"/>
  <c r="FM310" i="75"/>
  <c r="FL310" i="75"/>
  <c r="FK310" i="75"/>
  <c r="FJ310" i="75"/>
  <c r="FI310" i="75"/>
  <c r="FH310" i="75"/>
  <c r="FG310" i="75"/>
  <c r="FE310" i="75"/>
  <c r="FD310" i="75"/>
  <c r="FC310" i="75"/>
  <c r="FB310" i="75"/>
  <c r="FA310" i="75"/>
  <c r="EZ310" i="75"/>
  <c r="EY310" i="75"/>
  <c r="EX310" i="75"/>
  <c r="EW310" i="75"/>
  <c r="ET310" i="75"/>
  <c r="ES310" i="75"/>
  <c r="ER310" i="75"/>
  <c r="EQ310" i="75"/>
  <c r="EP310" i="75"/>
  <c r="EO310" i="75"/>
  <c r="EN310" i="75"/>
  <c r="EM310" i="75"/>
  <c r="EL310" i="75"/>
  <c r="AD310" i="75"/>
  <c r="FF310" i="75" s="1"/>
  <c r="T310" i="75"/>
  <c r="EU310" i="75" s="1"/>
  <c r="J310" i="75"/>
  <c r="E310" i="75"/>
  <c r="D310" i="75"/>
  <c r="C310" i="75"/>
  <c r="B310" i="75"/>
  <c r="A310" i="75"/>
  <c r="GM309" i="75"/>
  <c r="GL309" i="75"/>
  <c r="GK309" i="75"/>
  <c r="GJ309" i="75"/>
  <c r="GI309" i="75"/>
  <c r="GH309" i="75"/>
  <c r="GG309" i="75"/>
  <c r="GF309" i="75"/>
  <c r="GE309" i="75"/>
  <c r="GD309" i="75"/>
  <c r="GC309" i="75"/>
  <c r="GB309" i="75"/>
  <c r="GA309" i="75"/>
  <c r="FZ309" i="75"/>
  <c r="FY309" i="75"/>
  <c r="FX309" i="75"/>
  <c r="FW309" i="75"/>
  <c r="FV309" i="75"/>
  <c r="FU309" i="75"/>
  <c r="FT309" i="75"/>
  <c r="FS309" i="75"/>
  <c r="FR309" i="75"/>
  <c r="FQ309" i="75"/>
  <c r="FP309" i="75"/>
  <c r="FO309" i="75"/>
  <c r="FN309" i="75"/>
  <c r="FM309" i="75"/>
  <c r="FL309" i="75"/>
  <c r="FK309" i="75"/>
  <c r="FJ309" i="75"/>
  <c r="FI309" i="75"/>
  <c r="FH309" i="75"/>
  <c r="FG309" i="75"/>
  <c r="FE309" i="75"/>
  <c r="FD309" i="75"/>
  <c r="FC309" i="75"/>
  <c r="FB309" i="75"/>
  <c r="FA309" i="75"/>
  <c r="EZ309" i="75"/>
  <c r="EY309" i="75"/>
  <c r="EX309" i="75"/>
  <c r="EW309" i="75"/>
  <c r="ET309" i="75"/>
  <c r="ES309" i="75"/>
  <c r="ER309" i="75"/>
  <c r="EQ309" i="75"/>
  <c r="EP309" i="75"/>
  <c r="EO309" i="75"/>
  <c r="EN309" i="75"/>
  <c r="EM309" i="75"/>
  <c r="EL309" i="75"/>
  <c r="AD309" i="75"/>
  <c r="FF309" i="75" s="1"/>
  <c r="T309" i="75"/>
  <c r="EU309" i="75" s="1"/>
  <c r="J309" i="75"/>
  <c r="E309" i="75"/>
  <c r="D309" i="75"/>
  <c r="C309" i="75"/>
  <c r="B309" i="75"/>
  <c r="A309" i="75"/>
  <c r="GM308" i="75"/>
  <c r="GL308" i="75"/>
  <c r="GK308" i="75"/>
  <c r="GJ308" i="75"/>
  <c r="GI308" i="75"/>
  <c r="GH308" i="75"/>
  <c r="GG308" i="75"/>
  <c r="GF308" i="75"/>
  <c r="GE308" i="75"/>
  <c r="GD308" i="75"/>
  <c r="GC308" i="75"/>
  <c r="GB308" i="75"/>
  <c r="GA308" i="75"/>
  <c r="FZ308" i="75"/>
  <c r="FY308" i="75"/>
  <c r="FX308" i="75"/>
  <c r="FW308" i="75"/>
  <c r="FV308" i="75"/>
  <c r="FU308" i="75"/>
  <c r="FT308" i="75"/>
  <c r="FS308" i="75"/>
  <c r="FR308" i="75"/>
  <c r="FQ308" i="75"/>
  <c r="FP308" i="75"/>
  <c r="FO308" i="75"/>
  <c r="FN308" i="75"/>
  <c r="FM308" i="75"/>
  <c r="FL308" i="75"/>
  <c r="FK308" i="75"/>
  <c r="FJ308" i="75"/>
  <c r="FI308" i="75"/>
  <c r="FH308" i="75"/>
  <c r="FG308" i="75"/>
  <c r="FE308" i="75"/>
  <c r="FD308" i="75"/>
  <c r="FC308" i="75"/>
  <c r="FB308" i="75"/>
  <c r="FA308" i="75"/>
  <c r="EZ308" i="75"/>
  <c r="EY308" i="75"/>
  <c r="EX308" i="75"/>
  <c r="EW308" i="75"/>
  <c r="ET308" i="75"/>
  <c r="ES308" i="75"/>
  <c r="ER308" i="75"/>
  <c r="EQ308" i="75"/>
  <c r="EP308" i="75"/>
  <c r="EO308" i="75"/>
  <c r="EN308" i="75"/>
  <c r="EM308" i="75"/>
  <c r="EL308" i="75"/>
  <c r="AD308" i="75"/>
  <c r="FF308" i="75" s="1"/>
  <c r="T308" i="75"/>
  <c r="EU308" i="75" s="1"/>
  <c r="J308" i="75"/>
  <c r="E308" i="75"/>
  <c r="D308" i="75"/>
  <c r="C308" i="75"/>
  <c r="B308" i="75"/>
  <c r="A308" i="75"/>
  <c r="GM307" i="75"/>
  <c r="GL307" i="75"/>
  <c r="GK307" i="75"/>
  <c r="GJ307" i="75"/>
  <c r="GI307" i="75"/>
  <c r="GH307" i="75"/>
  <c r="GG307" i="75"/>
  <c r="GF307" i="75"/>
  <c r="GE307" i="75"/>
  <c r="GD307" i="75"/>
  <c r="GC307" i="75"/>
  <c r="GB307" i="75"/>
  <c r="GA307" i="75"/>
  <c r="FZ307" i="75"/>
  <c r="FY307" i="75"/>
  <c r="FX307" i="75"/>
  <c r="FW307" i="75"/>
  <c r="FV307" i="75"/>
  <c r="FU307" i="75"/>
  <c r="FT307" i="75"/>
  <c r="FS307" i="75"/>
  <c r="FR307" i="75"/>
  <c r="FQ307" i="75"/>
  <c r="FP307" i="75"/>
  <c r="FO307" i="75"/>
  <c r="FN307" i="75"/>
  <c r="FM307" i="75"/>
  <c r="FL307" i="75"/>
  <c r="FK307" i="75"/>
  <c r="FJ307" i="75"/>
  <c r="FI307" i="75"/>
  <c r="FH307" i="75"/>
  <c r="FG307" i="75"/>
  <c r="FE307" i="75"/>
  <c r="FD307" i="75"/>
  <c r="FC307" i="75"/>
  <c r="FB307" i="75"/>
  <c r="FA307" i="75"/>
  <c r="EZ307" i="75"/>
  <c r="EY307" i="75"/>
  <c r="EX307" i="75"/>
  <c r="EW307" i="75"/>
  <c r="ET307" i="75"/>
  <c r="ES307" i="75"/>
  <c r="ER307" i="75"/>
  <c r="EQ307" i="75"/>
  <c r="EP307" i="75"/>
  <c r="EO307" i="75"/>
  <c r="EN307" i="75"/>
  <c r="EM307" i="75"/>
  <c r="EL307" i="75"/>
  <c r="AD307" i="75"/>
  <c r="FF307" i="75" s="1"/>
  <c r="T307" i="75"/>
  <c r="EU307" i="75" s="1"/>
  <c r="J307" i="75"/>
  <c r="E307" i="75"/>
  <c r="D307" i="75"/>
  <c r="C307" i="75"/>
  <c r="B307" i="75"/>
  <c r="A307" i="75"/>
  <c r="GM306" i="75"/>
  <c r="GL306" i="75"/>
  <c r="GK306" i="75"/>
  <c r="GJ306" i="75"/>
  <c r="GI306" i="75"/>
  <c r="GH306" i="75"/>
  <c r="GG306" i="75"/>
  <c r="GF306" i="75"/>
  <c r="GE306" i="75"/>
  <c r="GD306" i="75"/>
  <c r="GC306" i="75"/>
  <c r="GB306" i="75"/>
  <c r="GA306" i="75"/>
  <c r="FZ306" i="75"/>
  <c r="FY306" i="75"/>
  <c r="FX306" i="75"/>
  <c r="FW306" i="75"/>
  <c r="FV306" i="75"/>
  <c r="FU306" i="75"/>
  <c r="FT306" i="75"/>
  <c r="FS306" i="75"/>
  <c r="FR306" i="75"/>
  <c r="FQ306" i="75"/>
  <c r="FP306" i="75"/>
  <c r="FO306" i="75"/>
  <c r="FN306" i="75"/>
  <c r="FM306" i="75"/>
  <c r="FL306" i="75"/>
  <c r="FK306" i="75"/>
  <c r="FJ306" i="75"/>
  <c r="FI306" i="75"/>
  <c r="FH306" i="75"/>
  <c r="FG306" i="75"/>
  <c r="FE306" i="75"/>
  <c r="FD306" i="75"/>
  <c r="FC306" i="75"/>
  <c r="FB306" i="75"/>
  <c r="FA306" i="75"/>
  <c r="EZ306" i="75"/>
  <c r="EY306" i="75"/>
  <c r="EX306" i="75"/>
  <c r="EW306" i="75"/>
  <c r="ET306" i="75"/>
  <c r="ES306" i="75"/>
  <c r="ER306" i="75"/>
  <c r="EQ306" i="75"/>
  <c r="EP306" i="75"/>
  <c r="EO306" i="75"/>
  <c r="EN306" i="75"/>
  <c r="EM306" i="75"/>
  <c r="EL306" i="75"/>
  <c r="AD306" i="75"/>
  <c r="FF306" i="75" s="1"/>
  <c r="T306" i="75"/>
  <c r="EU306" i="75" s="1"/>
  <c r="J306" i="75"/>
  <c r="E306" i="75"/>
  <c r="D306" i="75"/>
  <c r="C306" i="75"/>
  <c r="B306" i="75"/>
  <c r="A306" i="75"/>
  <c r="GM305" i="75"/>
  <c r="GL305" i="75"/>
  <c r="GK305" i="75"/>
  <c r="GJ305" i="75"/>
  <c r="GI305" i="75"/>
  <c r="GH305" i="75"/>
  <c r="GG305" i="75"/>
  <c r="GF305" i="75"/>
  <c r="GE305" i="75"/>
  <c r="GD305" i="75"/>
  <c r="GC305" i="75"/>
  <c r="GB305" i="75"/>
  <c r="GA305" i="75"/>
  <c r="FZ305" i="75"/>
  <c r="FY305" i="75"/>
  <c r="FX305" i="75"/>
  <c r="FW305" i="75"/>
  <c r="FV305" i="75"/>
  <c r="FU305" i="75"/>
  <c r="FT305" i="75"/>
  <c r="FS305" i="75"/>
  <c r="FR305" i="75"/>
  <c r="FQ305" i="75"/>
  <c r="FP305" i="75"/>
  <c r="FO305" i="75"/>
  <c r="FN305" i="75"/>
  <c r="FM305" i="75"/>
  <c r="FL305" i="75"/>
  <c r="FK305" i="75"/>
  <c r="FJ305" i="75"/>
  <c r="FI305" i="75"/>
  <c r="FH305" i="75"/>
  <c r="FG305" i="75"/>
  <c r="FE305" i="75"/>
  <c r="FD305" i="75"/>
  <c r="FC305" i="75"/>
  <c r="FB305" i="75"/>
  <c r="FA305" i="75"/>
  <c r="EZ305" i="75"/>
  <c r="EY305" i="75"/>
  <c r="EX305" i="75"/>
  <c r="EW305" i="75"/>
  <c r="EU305" i="75"/>
  <c r="ET305" i="75"/>
  <c r="ES305" i="75"/>
  <c r="ER305" i="75"/>
  <c r="EQ305" i="75"/>
  <c r="EP305" i="75"/>
  <c r="EO305" i="75"/>
  <c r="EN305" i="75"/>
  <c r="EM305" i="75"/>
  <c r="EL305" i="75"/>
  <c r="AD305" i="75"/>
  <c r="FF305" i="75" s="1"/>
  <c r="T305" i="75"/>
  <c r="J305" i="75"/>
  <c r="E305" i="75"/>
  <c r="D305" i="75"/>
  <c r="C305" i="75"/>
  <c r="B305" i="75"/>
  <c r="A305" i="75"/>
  <c r="GM304" i="75"/>
  <c r="GL304" i="75"/>
  <c r="GK304" i="75"/>
  <c r="GJ304" i="75"/>
  <c r="GI304" i="75"/>
  <c r="GH304" i="75"/>
  <c r="GG304" i="75"/>
  <c r="GF304" i="75"/>
  <c r="GE304" i="75"/>
  <c r="GD304" i="75"/>
  <c r="GC304" i="75"/>
  <c r="GB304" i="75"/>
  <c r="GA304" i="75"/>
  <c r="FZ304" i="75"/>
  <c r="FY304" i="75"/>
  <c r="FX304" i="75"/>
  <c r="FW304" i="75"/>
  <c r="FV304" i="75"/>
  <c r="FU304" i="75"/>
  <c r="FT304" i="75"/>
  <c r="FS304" i="75"/>
  <c r="FR304" i="75"/>
  <c r="FQ304" i="75"/>
  <c r="FP304" i="75"/>
  <c r="FO304" i="75"/>
  <c r="FN304" i="75"/>
  <c r="FM304" i="75"/>
  <c r="FL304" i="75"/>
  <c r="FK304" i="75"/>
  <c r="FJ304" i="75"/>
  <c r="FI304" i="75"/>
  <c r="FH304" i="75"/>
  <c r="FG304" i="75"/>
  <c r="FE304" i="75"/>
  <c r="FD304" i="75"/>
  <c r="FC304" i="75"/>
  <c r="FB304" i="75"/>
  <c r="FA304" i="75"/>
  <c r="EZ304" i="75"/>
  <c r="EY304" i="75"/>
  <c r="EX304" i="75"/>
  <c r="EW304" i="75"/>
  <c r="ET304" i="75"/>
  <c r="ES304" i="75"/>
  <c r="ER304" i="75"/>
  <c r="EQ304" i="75"/>
  <c r="EP304" i="75"/>
  <c r="EO304" i="75"/>
  <c r="EN304" i="75"/>
  <c r="EM304" i="75"/>
  <c r="EL304" i="75"/>
  <c r="AD304" i="75"/>
  <c r="FF304" i="75" s="1"/>
  <c r="T304" i="75"/>
  <c r="EU304" i="75" s="1"/>
  <c r="J304" i="75"/>
  <c r="E304" i="75"/>
  <c r="D304" i="75"/>
  <c r="C304" i="75"/>
  <c r="B304" i="75"/>
  <c r="A304" i="75"/>
  <c r="GM303" i="75"/>
  <c r="GL303" i="75"/>
  <c r="GK303" i="75"/>
  <c r="GJ303" i="75"/>
  <c r="GI303" i="75"/>
  <c r="GH303" i="75"/>
  <c r="GG303" i="75"/>
  <c r="GF303" i="75"/>
  <c r="GE303" i="75"/>
  <c r="GD303" i="75"/>
  <c r="GC303" i="75"/>
  <c r="GB303" i="75"/>
  <c r="GA303" i="75"/>
  <c r="FZ303" i="75"/>
  <c r="FY303" i="75"/>
  <c r="FX303" i="75"/>
  <c r="FW303" i="75"/>
  <c r="FV303" i="75"/>
  <c r="FU303" i="75"/>
  <c r="FT303" i="75"/>
  <c r="FS303" i="75"/>
  <c r="FR303" i="75"/>
  <c r="FQ303" i="75"/>
  <c r="FP303" i="75"/>
  <c r="FO303" i="75"/>
  <c r="FN303" i="75"/>
  <c r="FM303" i="75"/>
  <c r="FL303" i="75"/>
  <c r="FK303" i="75"/>
  <c r="FJ303" i="75"/>
  <c r="FI303" i="75"/>
  <c r="FH303" i="75"/>
  <c r="FG303" i="75"/>
  <c r="FE303" i="75"/>
  <c r="FD303" i="75"/>
  <c r="FC303" i="75"/>
  <c r="FB303" i="75"/>
  <c r="FA303" i="75"/>
  <c r="EZ303" i="75"/>
  <c r="EY303" i="75"/>
  <c r="EX303" i="75"/>
  <c r="EW303" i="75"/>
  <c r="ET303" i="75"/>
  <c r="ES303" i="75"/>
  <c r="ER303" i="75"/>
  <c r="EQ303" i="75"/>
  <c r="EP303" i="75"/>
  <c r="EO303" i="75"/>
  <c r="EN303" i="75"/>
  <c r="EM303" i="75"/>
  <c r="EL303" i="75"/>
  <c r="AD303" i="75"/>
  <c r="FF303" i="75" s="1"/>
  <c r="T303" i="75"/>
  <c r="EU303" i="75" s="1"/>
  <c r="J303" i="75"/>
  <c r="E303" i="75"/>
  <c r="D303" i="75"/>
  <c r="C303" i="75"/>
  <c r="B303" i="75"/>
  <c r="A303" i="75"/>
  <c r="GM302" i="75"/>
  <c r="GL302" i="75"/>
  <c r="GK302" i="75"/>
  <c r="GJ302" i="75"/>
  <c r="GI302" i="75"/>
  <c r="GH302" i="75"/>
  <c r="GG302" i="75"/>
  <c r="GF302" i="75"/>
  <c r="GE302" i="75"/>
  <c r="GD302" i="75"/>
  <c r="GC302" i="75"/>
  <c r="GB302" i="75"/>
  <c r="GA302" i="75"/>
  <c r="FZ302" i="75"/>
  <c r="FY302" i="75"/>
  <c r="FX302" i="75"/>
  <c r="FW302" i="75"/>
  <c r="FV302" i="75"/>
  <c r="FU302" i="75"/>
  <c r="FT302" i="75"/>
  <c r="FS302" i="75"/>
  <c r="FR302" i="75"/>
  <c r="FQ302" i="75"/>
  <c r="FP302" i="75"/>
  <c r="FO302" i="75"/>
  <c r="FN302" i="75"/>
  <c r="FM302" i="75"/>
  <c r="FL302" i="75"/>
  <c r="FK302" i="75"/>
  <c r="FJ302" i="75"/>
  <c r="FI302" i="75"/>
  <c r="FH302" i="75"/>
  <c r="FG302" i="75"/>
  <c r="FE302" i="75"/>
  <c r="FD302" i="75"/>
  <c r="FC302" i="75"/>
  <c r="FB302" i="75"/>
  <c r="FA302" i="75"/>
  <c r="EZ302" i="75"/>
  <c r="EY302" i="75"/>
  <c r="EX302" i="75"/>
  <c r="EW302" i="75"/>
  <c r="ET302" i="75"/>
  <c r="ES302" i="75"/>
  <c r="ER302" i="75"/>
  <c r="EQ302" i="75"/>
  <c r="EP302" i="75"/>
  <c r="EO302" i="75"/>
  <c r="EN302" i="75"/>
  <c r="EM302" i="75"/>
  <c r="EL302" i="75"/>
  <c r="AD302" i="75"/>
  <c r="FF302" i="75" s="1"/>
  <c r="T302" i="75"/>
  <c r="EU302" i="75" s="1"/>
  <c r="J302" i="75"/>
  <c r="E302" i="75"/>
  <c r="D302" i="75"/>
  <c r="C302" i="75"/>
  <c r="B302" i="75"/>
  <c r="A302" i="75"/>
  <c r="GM301" i="75"/>
  <c r="GL301" i="75"/>
  <c r="GK301" i="75"/>
  <c r="GJ301" i="75"/>
  <c r="GI301" i="75"/>
  <c r="GH301" i="75"/>
  <c r="GG301" i="75"/>
  <c r="GF301" i="75"/>
  <c r="GE301" i="75"/>
  <c r="GD301" i="75"/>
  <c r="GC301" i="75"/>
  <c r="GB301" i="75"/>
  <c r="GA301" i="75"/>
  <c r="FZ301" i="75"/>
  <c r="FY301" i="75"/>
  <c r="FX301" i="75"/>
  <c r="FW301" i="75"/>
  <c r="FV301" i="75"/>
  <c r="FU301" i="75"/>
  <c r="FT301" i="75"/>
  <c r="FS301" i="75"/>
  <c r="FR301" i="75"/>
  <c r="FQ301" i="75"/>
  <c r="FP301" i="75"/>
  <c r="FO301" i="75"/>
  <c r="FN301" i="75"/>
  <c r="FM301" i="75"/>
  <c r="FL301" i="75"/>
  <c r="FK301" i="75"/>
  <c r="FJ301" i="75"/>
  <c r="FI301" i="75"/>
  <c r="FH301" i="75"/>
  <c r="FG301" i="75"/>
  <c r="FE301" i="75"/>
  <c r="FD301" i="75"/>
  <c r="FC301" i="75"/>
  <c r="FB301" i="75"/>
  <c r="FA301" i="75"/>
  <c r="EZ301" i="75"/>
  <c r="EY301" i="75"/>
  <c r="EX301" i="75"/>
  <c r="EW301" i="75"/>
  <c r="ET301" i="75"/>
  <c r="ES301" i="75"/>
  <c r="ER301" i="75"/>
  <c r="EQ301" i="75"/>
  <c r="EP301" i="75"/>
  <c r="EO301" i="75"/>
  <c r="EN301" i="75"/>
  <c r="EM301" i="75"/>
  <c r="EL301" i="75"/>
  <c r="AD301" i="75"/>
  <c r="FF301" i="75" s="1"/>
  <c r="T301" i="75"/>
  <c r="EU301" i="75" s="1"/>
  <c r="J301" i="75"/>
  <c r="E301" i="75"/>
  <c r="D301" i="75"/>
  <c r="C301" i="75"/>
  <c r="B301" i="75"/>
  <c r="A301" i="75"/>
  <c r="GM300" i="75"/>
  <c r="GL300" i="75"/>
  <c r="GK300" i="75"/>
  <c r="GJ300" i="75"/>
  <c r="GI300" i="75"/>
  <c r="GH300" i="75"/>
  <c r="GG300" i="75"/>
  <c r="GF300" i="75"/>
  <c r="GE300" i="75"/>
  <c r="GD300" i="75"/>
  <c r="GC300" i="75"/>
  <c r="GB300" i="75"/>
  <c r="GA300" i="75"/>
  <c r="FZ300" i="75"/>
  <c r="FY300" i="75"/>
  <c r="FX300" i="75"/>
  <c r="FW300" i="75"/>
  <c r="FV300" i="75"/>
  <c r="FU300" i="75"/>
  <c r="FT300" i="75"/>
  <c r="FS300" i="75"/>
  <c r="FR300" i="75"/>
  <c r="FQ300" i="75"/>
  <c r="FP300" i="75"/>
  <c r="FO300" i="75"/>
  <c r="FN300" i="75"/>
  <c r="FM300" i="75"/>
  <c r="FL300" i="75"/>
  <c r="FK300" i="75"/>
  <c r="FJ300" i="75"/>
  <c r="FI300" i="75"/>
  <c r="FH300" i="75"/>
  <c r="FG300" i="75"/>
  <c r="FE300" i="75"/>
  <c r="FD300" i="75"/>
  <c r="FC300" i="75"/>
  <c r="FB300" i="75"/>
  <c r="FA300" i="75"/>
  <c r="EZ300" i="75"/>
  <c r="EY300" i="75"/>
  <c r="EX300" i="75"/>
  <c r="EW300" i="75"/>
  <c r="ET300" i="75"/>
  <c r="ES300" i="75"/>
  <c r="ER300" i="75"/>
  <c r="EQ300" i="75"/>
  <c r="EP300" i="75"/>
  <c r="EO300" i="75"/>
  <c r="EN300" i="75"/>
  <c r="EM300" i="75"/>
  <c r="EL300" i="75"/>
  <c r="AD300" i="75"/>
  <c r="FF300" i="75" s="1"/>
  <c r="T300" i="75"/>
  <c r="EU300" i="75" s="1"/>
  <c r="J300" i="75"/>
  <c r="E300" i="75"/>
  <c r="D300" i="75"/>
  <c r="C300" i="75"/>
  <c r="B300" i="75"/>
  <c r="A300" i="75"/>
  <c r="GM299" i="75"/>
  <c r="GL299" i="75"/>
  <c r="GK299" i="75"/>
  <c r="GJ299" i="75"/>
  <c r="GI299" i="75"/>
  <c r="GH299" i="75"/>
  <c r="GG299" i="75"/>
  <c r="GF299" i="75"/>
  <c r="GE299" i="75"/>
  <c r="GD299" i="75"/>
  <c r="GC299" i="75"/>
  <c r="GB299" i="75"/>
  <c r="GA299" i="75"/>
  <c r="FZ299" i="75"/>
  <c r="FY299" i="75"/>
  <c r="FX299" i="75"/>
  <c r="FW299" i="75"/>
  <c r="FV299" i="75"/>
  <c r="FU299" i="75"/>
  <c r="FT299" i="75"/>
  <c r="FS299" i="75"/>
  <c r="FR299" i="75"/>
  <c r="FQ299" i="75"/>
  <c r="FP299" i="75"/>
  <c r="FO299" i="75"/>
  <c r="FN299" i="75"/>
  <c r="FM299" i="75"/>
  <c r="FL299" i="75"/>
  <c r="FK299" i="75"/>
  <c r="FJ299" i="75"/>
  <c r="FI299" i="75"/>
  <c r="FH299" i="75"/>
  <c r="FG299" i="75"/>
  <c r="FE299" i="75"/>
  <c r="FD299" i="75"/>
  <c r="FC299" i="75"/>
  <c r="FB299" i="75"/>
  <c r="FA299" i="75"/>
  <c r="EZ299" i="75"/>
  <c r="EY299" i="75"/>
  <c r="EX299" i="75"/>
  <c r="EW299" i="75"/>
  <c r="ET299" i="75"/>
  <c r="ES299" i="75"/>
  <c r="ER299" i="75"/>
  <c r="EQ299" i="75"/>
  <c r="EP299" i="75"/>
  <c r="EO299" i="75"/>
  <c r="EN299" i="75"/>
  <c r="EM299" i="75"/>
  <c r="EL299" i="75"/>
  <c r="AD299" i="75"/>
  <c r="FF299" i="75" s="1"/>
  <c r="T299" i="75"/>
  <c r="EU299" i="75" s="1"/>
  <c r="J299" i="75"/>
  <c r="E299" i="75"/>
  <c r="D299" i="75"/>
  <c r="C299" i="75"/>
  <c r="B299" i="75"/>
  <c r="A299" i="75"/>
  <c r="GM298" i="75"/>
  <c r="GL298" i="75"/>
  <c r="GK298" i="75"/>
  <c r="GJ298" i="75"/>
  <c r="GI298" i="75"/>
  <c r="GH298" i="75"/>
  <c r="GG298" i="75"/>
  <c r="GF298" i="75"/>
  <c r="GE298" i="75"/>
  <c r="GD298" i="75"/>
  <c r="GC298" i="75"/>
  <c r="GB298" i="75"/>
  <c r="GA298" i="75"/>
  <c r="FZ298" i="75"/>
  <c r="FY298" i="75"/>
  <c r="FX298" i="75"/>
  <c r="FW298" i="75"/>
  <c r="FV298" i="75"/>
  <c r="FU298" i="75"/>
  <c r="FT298" i="75"/>
  <c r="FS298" i="75"/>
  <c r="FR298" i="75"/>
  <c r="FQ298" i="75"/>
  <c r="FP298" i="75"/>
  <c r="FO298" i="75"/>
  <c r="FN298" i="75"/>
  <c r="FM298" i="75"/>
  <c r="FL298" i="75"/>
  <c r="FK298" i="75"/>
  <c r="FJ298" i="75"/>
  <c r="FI298" i="75"/>
  <c r="FH298" i="75"/>
  <c r="FG298" i="75"/>
  <c r="FE298" i="75"/>
  <c r="FD298" i="75"/>
  <c r="FC298" i="75"/>
  <c r="FB298" i="75"/>
  <c r="FA298" i="75"/>
  <c r="EZ298" i="75"/>
  <c r="EY298" i="75"/>
  <c r="EX298" i="75"/>
  <c r="EW298" i="75"/>
  <c r="ET298" i="75"/>
  <c r="ES298" i="75"/>
  <c r="ER298" i="75"/>
  <c r="EQ298" i="75"/>
  <c r="EP298" i="75"/>
  <c r="EO298" i="75"/>
  <c r="EN298" i="75"/>
  <c r="EM298" i="75"/>
  <c r="EL298" i="75"/>
  <c r="AD298" i="75"/>
  <c r="FF298" i="75" s="1"/>
  <c r="T298" i="75"/>
  <c r="EU298" i="75" s="1"/>
  <c r="J298" i="75"/>
  <c r="E298" i="75"/>
  <c r="D298" i="75"/>
  <c r="C298" i="75"/>
  <c r="B298" i="75"/>
  <c r="A298" i="75"/>
  <c r="GM297" i="75"/>
  <c r="GL297" i="75"/>
  <c r="GK297" i="75"/>
  <c r="GJ297" i="75"/>
  <c r="GI297" i="75"/>
  <c r="GH297" i="75"/>
  <c r="GG297" i="75"/>
  <c r="GF297" i="75"/>
  <c r="GE297" i="75"/>
  <c r="GD297" i="75"/>
  <c r="GC297" i="75"/>
  <c r="GB297" i="75"/>
  <c r="GA297" i="75"/>
  <c r="FZ297" i="75"/>
  <c r="FY297" i="75"/>
  <c r="FX297" i="75"/>
  <c r="FW297" i="75"/>
  <c r="FV297" i="75"/>
  <c r="FU297" i="75"/>
  <c r="FT297" i="75"/>
  <c r="FS297" i="75"/>
  <c r="FR297" i="75"/>
  <c r="FQ297" i="75"/>
  <c r="FP297" i="75"/>
  <c r="FO297" i="75"/>
  <c r="FN297" i="75"/>
  <c r="FM297" i="75"/>
  <c r="FL297" i="75"/>
  <c r="FK297" i="75"/>
  <c r="FJ297" i="75"/>
  <c r="FI297" i="75"/>
  <c r="FH297" i="75"/>
  <c r="FG297" i="75"/>
  <c r="FE297" i="75"/>
  <c r="FD297" i="75"/>
  <c r="FC297" i="75"/>
  <c r="FB297" i="75"/>
  <c r="FA297" i="75"/>
  <c r="EZ297" i="75"/>
  <c r="EY297" i="75"/>
  <c r="EX297" i="75"/>
  <c r="EW297" i="75"/>
  <c r="ET297" i="75"/>
  <c r="ES297" i="75"/>
  <c r="ER297" i="75"/>
  <c r="EQ297" i="75"/>
  <c r="EP297" i="75"/>
  <c r="EO297" i="75"/>
  <c r="EN297" i="75"/>
  <c r="EM297" i="75"/>
  <c r="EL297" i="75"/>
  <c r="AD297" i="75"/>
  <c r="FF297" i="75" s="1"/>
  <c r="T297" i="75"/>
  <c r="EU297" i="75" s="1"/>
  <c r="J297" i="75"/>
  <c r="E297" i="75"/>
  <c r="D297" i="75"/>
  <c r="C297" i="75"/>
  <c r="B297" i="75"/>
  <c r="A297" i="75"/>
  <c r="GM296" i="75"/>
  <c r="GL296" i="75"/>
  <c r="GK296" i="75"/>
  <c r="GJ296" i="75"/>
  <c r="GI296" i="75"/>
  <c r="GH296" i="75"/>
  <c r="GG296" i="75"/>
  <c r="GF296" i="75"/>
  <c r="GE296" i="75"/>
  <c r="GD296" i="75"/>
  <c r="GC296" i="75"/>
  <c r="GB296" i="75"/>
  <c r="GA296" i="75"/>
  <c r="FZ296" i="75"/>
  <c r="FY296" i="75"/>
  <c r="FX296" i="75"/>
  <c r="FW296" i="75"/>
  <c r="FV296" i="75"/>
  <c r="FU296" i="75"/>
  <c r="FT296" i="75"/>
  <c r="FS296" i="75"/>
  <c r="FR296" i="75"/>
  <c r="FQ296" i="75"/>
  <c r="FP296" i="75"/>
  <c r="FO296" i="75"/>
  <c r="FN296" i="75"/>
  <c r="FM296" i="75"/>
  <c r="FL296" i="75"/>
  <c r="FK296" i="75"/>
  <c r="FJ296" i="75"/>
  <c r="FI296" i="75"/>
  <c r="FH296" i="75"/>
  <c r="FG296" i="75"/>
  <c r="FE296" i="75"/>
  <c r="FD296" i="75"/>
  <c r="FC296" i="75"/>
  <c r="FB296" i="75"/>
  <c r="FA296" i="75"/>
  <c r="EZ296" i="75"/>
  <c r="EY296" i="75"/>
  <c r="EX296" i="75"/>
  <c r="EW296" i="75"/>
  <c r="ET296" i="75"/>
  <c r="ES296" i="75"/>
  <c r="ER296" i="75"/>
  <c r="EQ296" i="75"/>
  <c r="EP296" i="75"/>
  <c r="EO296" i="75"/>
  <c r="EN296" i="75"/>
  <c r="EM296" i="75"/>
  <c r="EL296" i="75"/>
  <c r="AD296" i="75"/>
  <c r="FF296" i="75" s="1"/>
  <c r="T296" i="75"/>
  <c r="EU296" i="75" s="1"/>
  <c r="J296" i="75"/>
  <c r="E296" i="75"/>
  <c r="D296" i="75"/>
  <c r="C296" i="75"/>
  <c r="B296" i="75"/>
  <c r="A296" i="75"/>
  <c r="GM295" i="75"/>
  <c r="GL295" i="75"/>
  <c r="GK295" i="75"/>
  <c r="GJ295" i="75"/>
  <c r="GI295" i="75"/>
  <c r="GH295" i="75"/>
  <c r="GG295" i="75"/>
  <c r="GF295" i="75"/>
  <c r="GE295" i="75"/>
  <c r="GD295" i="75"/>
  <c r="GC295" i="75"/>
  <c r="GB295" i="75"/>
  <c r="GA295" i="75"/>
  <c r="FZ295" i="75"/>
  <c r="FY295" i="75"/>
  <c r="FX295" i="75"/>
  <c r="FW295" i="75"/>
  <c r="FV295" i="75"/>
  <c r="FU295" i="75"/>
  <c r="FT295" i="75"/>
  <c r="FS295" i="75"/>
  <c r="FR295" i="75"/>
  <c r="FQ295" i="75"/>
  <c r="FP295" i="75"/>
  <c r="FO295" i="75"/>
  <c r="FN295" i="75"/>
  <c r="FM295" i="75"/>
  <c r="FL295" i="75"/>
  <c r="FK295" i="75"/>
  <c r="FJ295" i="75"/>
  <c r="FI295" i="75"/>
  <c r="FH295" i="75"/>
  <c r="FG295" i="75"/>
  <c r="FE295" i="75"/>
  <c r="FD295" i="75"/>
  <c r="FC295" i="75"/>
  <c r="FB295" i="75"/>
  <c r="FA295" i="75"/>
  <c r="EZ295" i="75"/>
  <c r="EY295" i="75"/>
  <c r="EX295" i="75"/>
  <c r="EW295" i="75"/>
  <c r="ET295" i="75"/>
  <c r="ES295" i="75"/>
  <c r="ER295" i="75"/>
  <c r="EQ295" i="75"/>
  <c r="EP295" i="75"/>
  <c r="EO295" i="75"/>
  <c r="EN295" i="75"/>
  <c r="EM295" i="75"/>
  <c r="EL295" i="75"/>
  <c r="AD295" i="75"/>
  <c r="FF295" i="75" s="1"/>
  <c r="T295" i="75"/>
  <c r="EU295" i="75" s="1"/>
  <c r="J295" i="75"/>
  <c r="E295" i="75"/>
  <c r="D295" i="75"/>
  <c r="C295" i="75"/>
  <c r="B295" i="75"/>
  <c r="A295" i="75"/>
  <c r="GM294" i="75"/>
  <c r="GL294" i="75"/>
  <c r="GK294" i="75"/>
  <c r="GJ294" i="75"/>
  <c r="GI294" i="75"/>
  <c r="GH294" i="75"/>
  <c r="GG294" i="75"/>
  <c r="GF294" i="75"/>
  <c r="GE294" i="75"/>
  <c r="GD294" i="75"/>
  <c r="GC294" i="75"/>
  <c r="GB294" i="75"/>
  <c r="GA294" i="75"/>
  <c r="FZ294" i="75"/>
  <c r="FY294" i="75"/>
  <c r="FX294" i="75"/>
  <c r="FW294" i="75"/>
  <c r="FV294" i="75"/>
  <c r="FU294" i="75"/>
  <c r="FT294" i="75"/>
  <c r="FS294" i="75"/>
  <c r="FR294" i="75"/>
  <c r="FQ294" i="75"/>
  <c r="FP294" i="75"/>
  <c r="FO294" i="75"/>
  <c r="FN294" i="75"/>
  <c r="FM294" i="75"/>
  <c r="FL294" i="75"/>
  <c r="FK294" i="75"/>
  <c r="FJ294" i="75"/>
  <c r="FI294" i="75"/>
  <c r="FH294" i="75"/>
  <c r="FG294" i="75"/>
  <c r="FE294" i="75"/>
  <c r="FD294" i="75"/>
  <c r="FC294" i="75"/>
  <c r="FB294" i="75"/>
  <c r="FA294" i="75"/>
  <c r="EZ294" i="75"/>
  <c r="EY294" i="75"/>
  <c r="EX294" i="75"/>
  <c r="EW294" i="75"/>
  <c r="ET294" i="75"/>
  <c r="ES294" i="75"/>
  <c r="ER294" i="75"/>
  <c r="EQ294" i="75"/>
  <c r="EP294" i="75"/>
  <c r="EO294" i="75"/>
  <c r="EN294" i="75"/>
  <c r="EM294" i="75"/>
  <c r="EL294" i="75"/>
  <c r="AD294" i="75"/>
  <c r="FF294" i="75" s="1"/>
  <c r="T294" i="75"/>
  <c r="EU294" i="75" s="1"/>
  <c r="J294" i="75"/>
  <c r="E294" i="75"/>
  <c r="D294" i="75"/>
  <c r="C294" i="75"/>
  <c r="B294" i="75"/>
  <c r="A294" i="75"/>
  <c r="GM293" i="75"/>
  <c r="GL293" i="75"/>
  <c r="GK293" i="75"/>
  <c r="GJ293" i="75"/>
  <c r="GI293" i="75"/>
  <c r="GH293" i="75"/>
  <c r="GG293" i="75"/>
  <c r="GF293" i="75"/>
  <c r="GE293" i="75"/>
  <c r="GD293" i="75"/>
  <c r="GC293" i="75"/>
  <c r="GB293" i="75"/>
  <c r="GA293" i="75"/>
  <c r="FZ293" i="75"/>
  <c r="FY293" i="75"/>
  <c r="FX293" i="75"/>
  <c r="FW293" i="75"/>
  <c r="FV293" i="75"/>
  <c r="FU293" i="75"/>
  <c r="FT293" i="75"/>
  <c r="FS293" i="75"/>
  <c r="FR293" i="75"/>
  <c r="FQ293" i="75"/>
  <c r="FP293" i="75"/>
  <c r="FO293" i="75"/>
  <c r="FN293" i="75"/>
  <c r="FM293" i="75"/>
  <c r="FL293" i="75"/>
  <c r="FK293" i="75"/>
  <c r="FJ293" i="75"/>
  <c r="FI293" i="75"/>
  <c r="FH293" i="75"/>
  <c r="FG293" i="75"/>
  <c r="FE293" i="75"/>
  <c r="FD293" i="75"/>
  <c r="FC293" i="75"/>
  <c r="FB293" i="75"/>
  <c r="FA293" i="75"/>
  <c r="EZ293" i="75"/>
  <c r="EY293" i="75"/>
  <c r="EX293" i="75"/>
  <c r="EW293" i="75"/>
  <c r="ET293" i="75"/>
  <c r="ES293" i="75"/>
  <c r="ER293" i="75"/>
  <c r="EQ293" i="75"/>
  <c r="EP293" i="75"/>
  <c r="EO293" i="75"/>
  <c r="EN293" i="75"/>
  <c r="EM293" i="75"/>
  <c r="EL293" i="75"/>
  <c r="AD293" i="75"/>
  <c r="FF293" i="75" s="1"/>
  <c r="T293" i="75"/>
  <c r="EU293" i="75" s="1"/>
  <c r="J293" i="75"/>
  <c r="E293" i="75"/>
  <c r="D293" i="75"/>
  <c r="C293" i="75"/>
  <c r="B293" i="75"/>
  <c r="A293" i="75"/>
  <c r="GM292" i="75"/>
  <c r="GL292" i="75"/>
  <c r="GK292" i="75"/>
  <c r="GJ292" i="75"/>
  <c r="GI292" i="75"/>
  <c r="GH292" i="75"/>
  <c r="GG292" i="75"/>
  <c r="GF292" i="75"/>
  <c r="GE292" i="75"/>
  <c r="GD292" i="75"/>
  <c r="GC292" i="75"/>
  <c r="GB292" i="75"/>
  <c r="GA292" i="75"/>
  <c r="FZ292" i="75"/>
  <c r="FY292" i="75"/>
  <c r="FX292" i="75"/>
  <c r="FW292" i="75"/>
  <c r="FV292" i="75"/>
  <c r="FU292" i="75"/>
  <c r="FT292" i="75"/>
  <c r="FS292" i="75"/>
  <c r="FR292" i="75"/>
  <c r="FQ292" i="75"/>
  <c r="FP292" i="75"/>
  <c r="FO292" i="75"/>
  <c r="FN292" i="75"/>
  <c r="FM292" i="75"/>
  <c r="FL292" i="75"/>
  <c r="FK292" i="75"/>
  <c r="FJ292" i="75"/>
  <c r="FI292" i="75"/>
  <c r="FH292" i="75"/>
  <c r="FG292" i="75"/>
  <c r="FE292" i="75"/>
  <c r="FD292" i="75"/>
  <c r="FC292" i="75"/>
  <c r="FB292" i="75"/>
  <c r="FA292" i="75"/>
  <c r="EZ292" i="75"/>
  <c r="EY292" i="75"/>
  <c r="EX292" i="75"/>
  <c r="EW292" i="75"/>
  <c r="ET292" i="75"/>
  <c r="ES292" i="75"/>
  <c r="ER292" i="75"/>
  <c r="EQ292" i="75"/>
  <c r="EP292" i="75"/>
  <c r="EO292" i="75"/>
  <c r="EN292" i="75"/>
  <c r="EM292" i="75"/>
  <c r="EL292" i="75"/>
  <c r="AD292" i="75"/>
  <c r="FF292" i="75" s="1"/>
  <c r="T292" i="75"/>
  <c r="EU292" i="75" s="1"/>
  <c r="J292" i="75"/>
  <c r="E292" i="75"/>
  <c r="D292" i="75"/>
  <c r="C292" i="75"/>
  <c r="B292" i="75"/>
  <c r="A292" i="75"/>
  <c r="GM291" i="75"/>
  <c r="GL291" i="75"/>
  <c r="GK291" i="75"/>
  <c r="GJ291" i="75"/>
  <c r="GI291" i="75"/>
  <c r="GH291" i="75"/>
  <c r="GG291" i="75"/>
  <c r="GF291" i="75"/>
  <c r="GE291" i="75"/>
  <c r="GD291" i="75"/>
  <c r="GC291" i="75"/>
  <c r="GB291" i="75"/>
  <c r="GA291" i="75"/>
  <c r="FZ291" i="75"/>
  <c r="FY291" i="75"/>
  <c r="FX291" i="75"/>
  <c r="FW291" i="75"/>
  <c r="FV291" i="75"/>
  <c r="FU291" i="75"/>
  <c r="FT291" i="75"/>
  <c r="FS291" i="75"/>
  <c r="FR291" i="75"/>
  <c r="FQ291" i="75"/>
  <c r="FP291" i="75"/>
  <c r="FO291" i="75"/>
  <c r="FN291" i="75"/>
  <c r="FM291" i="75"/>
  <c r="FL291" i="75"/>
  <c r="FK291" i="75"/>
  <c r="FJ291" i="75"/>
  <c r="FI291" i="75"/>
  <c r="FH291" i="75"/>
  <c r="FG291" i="75"/>
  <c r="FE291" i="75"/>
  <c r="FD291" i="75"/>
  <c r="FC291" i="75"/>
  <c r="FB291" i="75"/>
  <c r="FA291" i="75"/>
  <c r="EZ291" i="75"/>
  <c r="EY291" i="75"/>
  <c r="EX291" i="75"/>
  <c r="EW291" i="75"/>
  <c r="ET291" i="75"/>
  <c r="ES291" i="75"/>
  <c r="ER291" i="75"/>
  <c r="EQ291" i="75"/>
  <c r="EP291" i="75"/>
  <c r="EO291" i="75"/>
  <c r="EN291" i="75"/>
  <c r="EM291" i="75"/>
  <c r="EL291" i="75"/>
  <c r="AD291" i="75"/>
  <c r="FF291" i="75" s="1"/>
  <c r="T291" i="75"/>
  <c r="EU291" i="75" s="1"/>
  <c r="J291" i="75"/>
  <c r="E291" i="75"/>
  <c r="D291" i="75"/>
  <c r="C291" i="75"/>
  <c r="B291" i="75"/>
  <c r="A291" i="75"/>
  <c r="EI290" i="75"/>
  <c r="EJ290" i="75" s="1"/>
  <c r="EH290" i="75"/>
  <c r="EG290" i="75"/>
  <c r="EF290" i="75"/>
  <c r="EE290" i="75"/>
  <c r="ED290" i="75"/>
  <c r="EC290" i="75"/>
  <c r="EB290" i="75"/>
  <c r="EA290" i="75"/>
  <c r="DZ290" i="75" s="1"/>
  <c r="DB290" i="75"/>
  <c r="DC290" i="75" s="1"/>
  <c r="DA290" i="75"/>
  <c r="CZ290" i="75"/>
  <c r="CY290" i="75"/>
  <c r="CX290" i="75"/>
  <c r="CW290" i="75"/>
  <c r="CV290" i="75"/>
  <c r="CU290" i="75"/>
  <c r="CT290" i="75"/>
  <c r="CS290" i="75" s="1"/>
  <c r="CQ290" i="75"/>
  <c r="CR290" i="75" s="1"/>
  <c r="CP290" i="75"/>
  <c r="CO290" i="75"/>
  <c r="CN290" i="75"/>
  <c r="CM290" i="75"/>
  <c r="CL290" i="75"/>
  <c r="CK290" i="75"/>
  <c r="CJ290" i="75"/>
  <c r="CI290" i="75"/>
  <c r="CH290" i="75" s="1"/>
  <c r="CF290" i="75"/>
  <c r="CG290" i="75" s="1"/>
  <c r="CE290" i="75"/>
  <c r="CD290" i="75"/>
  <c r="CC290" i="75"/>
  <c r="CB290" i="75"/>
  <c r="CA290" i="75"/>
  <c r="BZ290" i="75"/>
  <c r="BY290" i="75"/>
  <c r="BX290" i="75"/>
  <c r="BW290" i="75" s="1"/>
  <c r="BU290" i="75"/>
  <c r="BV290" i="75" s="1"/>
  <c r="BT290" i="75"/>
  <c r="BS290" i="75"/>
  <c r="BR290" i="75"/>
  <c r="BQ290" i="75"/>
  <c r="BP290" i="75"/>
  <c r="BO290" i="75"/>
  <c r="BN290" i="75"/>
  <c r="BM290" i="75"/>
  <c r="BL290" i="75" s="1"/>
  <c r="BJ290" i="75"/>
  <c r="GL290" i="75" s="1"/>
  <c r="BI290" i="75"/>
  <c r="GK290" i="75" s="1"/>
  <c r="BH290" i="75"/>
  <c r="GJ290" i="75" s="1"/>
  <c r="BG290" i="75"/>
  <c r="GI290" i="75" s="1"/>
  <c r="BF290" i="75"/>
  <c r="GH290" i="75" s="1"/>
  <c r="BE290" i="75"/>
  <c r="GG290" i="75" s="1"/>
  <c r="BD290" i="75"/>
  <c r="GF290" i="75" s="1"/>
  <c r="BC290" i="75"/>
  <c r="GE290" i="75" s="1"/>
  <c r="BB290" i="75"/>
  <c r="AY290" i="75"/>
  <c r="AZ290" i="75" s="1"/>
  <c r="GB290" i="75" s="1"/>
  <c r="AX290" i="75"/>
  <c r="FZ290" i="75" s="1"/>
  <c r="AW290" i="75"/>
  <c r="FY290" i="75" s="1"/>
  <c r="AV290" i="75"/>
  <c r="FX290" i="75" s="1"/>
  <c r="AU290" i="75"/>
  <c r="FW290" i="75" s="1"/>
  <c r="AT290" i="75"/>
  <c r="FV290" i="75" s="1"/>
  <c r="AS290" i="75"/>
  <c r="FU290" i="75" s="1"/>
  <c r="AR290" i="75"/>
  <c r="FT290" i="75" s="1"/>
  <c r="AQ290" i="75"/>
  <c r="FS290" i="75" s="1"/>
  <c r="AN290" i="75"/>
  <c r="FP290" i="75" s="1"/>
  <c r="AM290" i="75"/>
  <c r="FO290" i="75" s="1"/>
  <c r="AL290" i="75"/>
  <c r="FN290" i="75" s="1"/>
  <c r="AK290" i="75"/>
  <c r="FM290" i="75" s="1"/>
  <c r="AJ290" i="75"/>
  <c r="FL290" i="75" s="1"/>
  <c r="AI290" i="75"/>
  <c r="FK290" i="75" s="1"/>
  <c r="AH290" i="75"/>
  <c r="FJ290" i="75" s="1"/>
  <c r="AG290" i="75"/>
  <c r="FI290" i="75" s="1"/>
  <c r="AF290" i="75"/>
  <c r="FH290" i="75" s="1"/>
  <c r="AE290" i="75"/>
  <c r="FG290" i="75" s="1"/>
  <c r="AC290" i="75"/>
  <c r="AD290" i="75" s="1"/>
  <c r="FF290" i="75" s="1"/>
  <c r="AB290" i="75"/>
  <c r="FD290" i="75" s="1"/>
  <c r="AA290" i="75"/>
  <c r="FC290" i="75" s="1"/>
  <c r="Z290" i="75"/>
  <c r="FB290" i="75" s="1"/>
  <c r="Y290" i="75"/>
  <c r="FA290" i="75" s="1"/>
  <c r="X290" i="75"/>
  <c r="EZ290" i="75" s="1"/>
  <c r="W290" i="75"/>
  <c r="EY290" i="75" s="1"/>
  <c r="V290" i="75"/>
  <c r="EX290" i="75" s="1"/>
  <c r="U290" i="75"/>
  <c r="EW290" i="75" s="1"/>
  <c r="EV290" i="75" s="1"/>
  <c r="S290" i="75"/>
  <c r="ET290" i="75" s="1"/>
  <c r="R290" i="75"/>
  <c r="ES290" i="75" s="1"/>
  <c r="Q290" i="75"/>
  <c r="ER290" i="75" s="1"/>
  <c r="P290" i="75"/>
  <c r="EQ290" i="75" s="1"/>
  <c r="O290" i="75"/>
  <c r="EP290" i="75" s="1"/>
  <c r="N290" i="75"/>
  <c r="EO290" i="75" s="1"/>
  <c r="M290" i="75"/>
  <c r="EN290" i="75" s="1"/>
  <c r="L290" i="75"/>
  <c r="EM290" i="75" s="1"/>
  <c r="K290" i="75"/>
  <c r="EL290" i="75" s="1"/>
  <c r="EK290" i="75" s="1"/>
  <c r="J290" i="75"/>
  <c r="E290" i="75"/>
  <c r="D290" i="75"/>
  <c r="C290" i="75"/>
  <c r="B290" i="75"/>
  <c r="EI289" i="75"/>
  <c r="EJ289" i="75" s="1"/>
  <c r="EH289" i="75"/>
  <c r="EG289" i="75"/>
  <c r="EF289" i="75"/>
  <c r="EE289" i="75"/>
  <c r="ED289" i="75"/>
  <c r="EC289" i="75"/>
  <c r="EB289" i="75"/>
  <c r="EA289" i="75"/>
  <c r="DZ289" i="75" s="1"/>
  <c r="DB289" i="75"/>
  <c r="DC289" i="75" s="1"/>
  <c r="DA289" i="75"/>
  <c r="CZ289" i="75"/>
  <c r="CY289" i="75"/>
  <c r="CX289" i="75"/>
  <c r="CW289" i="75"/>
  <c r="CV289" i="75"/>
  <c r="CU289" i="75"/>
  <c r="CT289" i="75"/>
  <c r="CS289" i="75" s="1"/>
  <c r="CQ289" i="75"/>
  <c r="CR289" i="75" s="1"/>
  <c r="CP289" i="75"/>
  <c r="CO289" i="75"/>
  <c r="CN289" i="75"/>
  <c r="CM289" i="75"/>
  <c r="CL289" i="75"/>
  <c r="CK289" i="75"/>
  <c r="CJ289" i="75"/>
  <c r="CI289" i="75"/>
  <c r="CH289" i="75" s="1"/>
  <c r="CF289" i="75"/>
  <c r="CG289" i="75" s="1"/>
  <c r="CE289" i="75"/>
  <c r="CD289" i="75"/>
  <c r="CC289" i="75"/>
  <c r="CB289" i="75"/>
  <c r="CA289" i="75"/>
  <c r="BZ289" i="75"/>
  <c r="BY289" i="75"/>
  <c r="BX289" i="75"/>
  <c r="BW289" i="75" s="1"/>
  <c r="BU289" i="75"/>
  <c r="BV289" i="75" s="1"/>
  <c r="BT289" i="75"/>
  <c r="BS289" i="75"/>
  <c r="BR289" i="75"/>
  <c r="BQ289" i="75"/>
  <c r="BP289" i="75"/>
  <c r="BO289" i="75"/>
  <c r="BN289" i="75"/>
  <c r="BM289" i="75"/>
  <c r="BL289" i="75" s="1"/>
  <c r="BJ289" i="75"/>
  <c r="GL289" i="75" s="1"/>
  <c r="BI289" i="75"/>
  <c r="GK289" i="75" s="1"/>
  <c r="BH289" i="75"/>
  <c r="GJ289" i="75" s="1"/>
  <c r="BG289" i="75"/>
  <c r="GI289" i="75" s="1"/>
  <c r="BF289" i="75"/>
  <c r="GH289" i="75" s="1"/>
  <c r="BE289" i="75"/>
  <c r="GG289" i="75" s="1"/>
  <c r="BD289" i="75"/>
  <c r="GF289" i="75" s="1"/>
  <c r="BC289" i="75"/>
  <c r="GE289" i="75" s="1"/>
  <c r="BB289" i="75"/>
  <c r="AY289" i="75"/>
  <c r="GA289" i="75" s="1"/>
  <c r="AX289" i="75"/>
  <c r="FZ289" i="75" s="1"/>
  <c r="AW289" i="75"/>
  <c r="FY289" i="75" s="1"/>
  <c r="AV289" i="75"/>
  <c r="FX289" i="75" s="1"/>
  <c r="AU289" i="75"/>
  <c r="FW289" i="75" s="1"/>
  <c r="AT289" i="75"/>
  <c r="FV289" i="75" s="1"/>
  <c r="AS289" i="75"/>
  <c r="FU289" i="75" s="1"/>
  <c r="AR289" i="75"/>
  <c r="FT289" i="75" s="1"/>
  <c r="AQ289" i="75"/>
  <c r="AP289" i="75" s="1"/>
  <c r="FR289" i="75" s="1"/>
  <c r="AN289" i="75"/>
  <c r="AO289" i="75" s="1"/>
  <c r="FQ289" i="75" s="1"/>
  <c r="AM289" i="75"/>
  <c r="FO289" i="75" s="1"/>
  <c r="AL289" i="75"/>
  <c r="FN289" i="75" s="1"/>
  <c r="AK289" i="75"/>
  <c r="FM289" i="75" s="1"/>
  <c r="AJ289" i="75"/>
  <c r="FL289" i="75" s="1"/>
  <c r="AI289" i="75"/>
  <c r="FK289" i="75" s="1"/>
  <c r="AH289" i="75"/>
  <c r="FJ289" i="75" s="1"/>
  <c r="AG289" i="75"/>
  <c r="FI289" i="75" s="1"/>
  <c r="AF289" i="75"/>
  <c r="FH289" i="75" s="1"/>
  <c r="AC289" i="75"/>
  <c r="FE289" i="75" s="1"/>
  <c r="AB289" i="75"/>
  <c r="FD289" i="75" s="1"/>
  <c r="AA289" i="75"/>
  <c r="FC289" i="75" s="1"/>
  <c r="Z289" i="75"/>
  <c r="FB289" i="75" s="1"/>
  <c r="Y289" i="75"/>
  <c r="FA289" i="75" s="1"/>
  <c r="X289" i="75"/>
  <c r="EZ289" i="75" s="1"/>
  <c r="W289" i="75"/>
  <c r="EY289" i="75" s="1"/>
  <c r="V289" i="75"/>
  <c r="EX289" i="75" s="1"/>
  <c r="U289" i="75"/>
  <c r="EW289" i="75" s="1"/>
  <c r="EV289" i="75" s="1"/>
  <c r="S289" i="75"/>
  <c r="T289" i="75" s="1"/>
  <c r="EU289" i="75" s="1"/>
  <c r="R289" i="75"/>
  <c r="ES289" i="75" s="1"/>
  <c r="Q289" i="75"/>
  <c r="ER289" i="75" s="1"/>
  <c r="P289" i="75"/>
  <c r="EQ289" i="75" s="1"/>
  <c r="O289" i="75"/>
  <c r="EP289" i="75" s="1"/>
  <c r="N289" i="75"/>
  <c r="EO289" i="75" s="1"/>
  <c r="M289" i="75"/>
  <c r="EN289" i="75" s="1"/>
  <c r="L289" i="75"/>
  <c r="EM289" i="75" s="1"/>
  <c r="K289" i="75"/>
  <c r="EL289" i="75" s="1"/>
  <c r="EK289" i="75" s="1"/>
  <c r="J289" i="75"/>
  <c r="E289" i="75"/>
  <c r="D289" i="75"/>
  <c r="C289" i="75"/>
  <c r="B289" i="75"/>
  <c r="EI288" i="75"/>
  <c r="EJ288" i="75" s="1"/>
  <c r="EH288" i="75"/>
  <c r="EG288" i="75"/>
  <c r="EF288" i="75"/>
  <c r="EE288" i="75"/>
  <c r="ED288" i="75"/>
  <c r="EC288" i="75"/>
  <c r="EB288" i="75"/>
  <c r="EA288" i="75"/>
  <c r="DZ288" i="75" s="1"/>
  <c r="DB288" i="75"/>
  <c r="DC288" i="75" s="1"/>
  <c r="DA288" i="75"/>
  <c r="CZ288" i="75"/>
  <c r="CY288" i="75"/>
  <c r="CX288" i="75"/>
  <c r="CW288" i="75"/>
  <c r="CV288" i="75"/>
  <c r="CU288" i="75"/>
  <c r="CT288" i="75"/>
  <c r="CS288" i="75" s="1"/>
  <c r="CQ288" i="75"/>
  <c r="CR288" i="75" s="1"/>
  <c r="CP288" i="75"/>
  <c r="CO288" i="75"/>
  <c r="CN288" i="75"/>
  <c r="CM288" i="75"/>
  <c r="CL288" i="75"/>
  <c r="CK288" i="75"/>
  <c r="CJ288" i="75"/>
  <c r="CI288" i="75"/>
  <c r="CH288" i="75" s="1"/>
  <c r="CF288" i="75"/>
  <c r="CG288" i="75" s="1"/>
  <c r="CE288" i="75"/>
  <c r="CD288" i="75"/>
  <c r="CC288" i="75"/>
  <c r="CB288" i="75"/>
  <c r="CA288" i="75"/>
  <c r="BZ288" i="75"/>
  <c r="BY288" i="75"/>
  <c r="BX288" i="75"/>
  <c r="BW288" i="75" s="1"/>
  <c r="BU288" i="75"/>
  <c r="BV288" i="75" s="1"/>
  <c r="BT288" i="75"/>
  <c r="BS288" i="75"/>
  <c r="BR288" i="75"/>
  <c r="BQ288" i="75"/>
  <c r="BP288" i="75"/>
  <c r="BO288" i="75"/>
  <c r="BN288" i="75"/>
  <c r="BM288" i="75"/>
  <c r="BL288" i="75" s="1"/>
  <c r="BJ288" i="75"/>
  <c r="BK288" i="75" s="1"/>
  <c r="GM288" i="75" s="1"/>
  <c r="BI288" i="75"/>
  <c r="GK288" i="75" s="1"/>
  <c r="BH288" i="75"/>
  <c r="GJ288" i="75" s="1"/>
  <c r="BG288" i="75"/>
  <c r="GI288" i="75" s="1"/>
  <c r="BF288" i="75"/>
  <c r="GH288" i="75" s="1"/>
  <c r="BE288" i="75"/>
  <c r="GG288" i="75" s="1"/>
  <c r="BD288" i="75"/>
  <c r="GF288" i="75" s="1"/>
  <c r="BC288" i="75"/>
  <c r="GE288" i="75" s="1"/>
  <c r="BB288" i="75"/>
  <c r="GD288" i="75" s="1"/>
  <c r="AY288" i="75"/>
  <c r="GA288" i="75" s="1"/>
  <c r="AX288" i="75"/>
  <c r="FZ288" i="75" s="1"/>
  <c r="AW288" i="75"/>
  <c r="FY288" i="75" s="1"/>
  <c r="AV288" i="75"/>
  <c r="FX288" i="75" s="1"/>
  <c r="AU288" i="75"/>
  <c r="FW288" i="75" s="1"/>
  <c r="AT288" i="75"/>
  <c r="FV288" i="75" s="1"/>
  <c r="AS288" i="75"/>
  <c r="FU288" i="75" s="1"/>
  <c r="AR288" i="75"/>
  <c r="FT288" i="75" s="1"/>
  <c r="AQ288" i="75"/>
  <c r="FS288" i="75" s="1"/>
  <c r="AN288" i="75"/>
  <c r="FP288" i="75" s="1"/>
  <c r="AM288" i="75"/>
  <c r="FO288" i="75" s="1"/>
  <c r="AL288" i="75"/>
  <c r="FN288" i="75" s="1"/>
  <c r="AK288" i="75"/>
  <c r="FM288" i="75" s="1"/>
  <c r="AJ288" i="75"/>
  <c r="FL288" i="75" s="1"/>
  <c r="AI288" i="75"/>
  <c r="FK288" i="75" s="1"/>
  <c r="AH288" i="75"/>
  <c r="FJ288" i="75" s="1"/>
  <c r="AG288" i="75"/>
  <c r="FI288" i="75" s="1"/>
  <c r="AF288" i="75"/>
  <c r="FH288" i="75" s="1"/>
  <c r="AC288" i="75"/>
  <c r="AD288" i="75" s="1"/>
  <c r="FF288" i="75" s="1"/>
  <c r="AB288" i="75"/>
  <c r="FD288" i="75" s="1"/>
  <c r="AA288" i="75"/>
  <c r="FC288" i="75" s="1"/>
  <c r="Z288" i="75"/>
  <c r="FB288" i="75" s="1"/>
  <c r="Y288" i="75"/>
  <c r="FA288" i="75" s="1"/>
  <c r="X288" i="75"/>
  <c r="EZ288" i="75" s="1"/>
  <c r="W288" i="75"/>
  <c r="EY288" i="75" s="1"/>
  <c r="V288" i="75"/>
  <c r="EX288" i="75" s="1"/>
  <c r="U288" i="75"/>
  <c r="EW288" i="75" s="1"/>
  <c r="EV288" i="75" s="1"/>
  <c r="S288" i="75"/>
  <c r="ET288" i="75" s="1"/>
  <c r="R288" i="75"/>
  <c r="ES288" i="75" s="1"/>
  <c r="Q288" i="75"/>
  <c r="ER288" i="75" s="1"/>
  <c r="P288" i="75"/>
  <c r="EQ288" i="75" s="1"/>
  <c r="O288" i="75"/>
  <c r="EP288" i="75" s="1"/>
  <c r="N288" i="75"/>
  <c r="EO288" i="75" s="1"/>
  <c r="M288" i="75"/>
  <c r="EN288" i="75" s="1"/>
  <c r="L288" i="75"/>
  <c r="EM288" i="75" s="1"/>
  <c r="K288" i="75"/>
  <c r="EL288" i="75" s="1"/>
  <c r="EK288" i="75" s="1"/>
  <c r="J288" i="75"/>
  <c r="E288" i="75"/>
  <c r="D288" i="75"/>
  <c r="C288" i="75"/>
  <c r="B288" i="75"/>
  <c r="EI287" i="75"/>
  <c r="EJ287" i="75" s="1"/>
  <c r="EH287" i="75"/>
  <c r="EG287" i="75"/>
  <c r="EF287" i="75"/>
  <c r="EE287" i="75"/>
  <c r="ED287" i="75"/>
  <c r="EC287" i="75"/>
  <c r="EB287" i="75"/>
  <c r="EA287" i="75"/>
  <c r="DZ287" i="75" s="1"/>
  <c r="DB287" i="75"/>
  <c r="DC287" i="75" s="1"/>
  <c r="DA287" i="75"/>
  <c r="CZ287" i="75"/>
  <c r="CY287" i="75"/>
  <c r="CX287" i="75"/>
  <c r="CW287" i="75"/>
  <c r="CV287" i="75"/>
  <c r="CU287" i="75"/>
  <c r="CT287" i="75"/>
  <c r="CS287" i="75" s="1"/>
  <c r="CQ287" i="75"/>
  <c r="CR287" i="75" s="1"/>
  <c r="CP287" i="75"/>
  <c r="CO287" i="75"/>
  <c r="CN287" i="75"/>
  <c r="CM287" i="75"/>
  <c r="CL287" i="75"/>
  <c r="CK287" i="75"/>
  <c r="CJ287" i="75"/>
  <c r="CI287" i="75"/>
  <c r="CH287" i="75" s="1"/>
  <c r="CF287" i="75"/>
  <c r="CG287" i="75" s="1"/>
  <c r="CE287" i="75"/>
  <c r="CD287" i="75"/>
  <c r="CC287" i="75"/>
  <c r="CB287" i="75"/>
  <c r="CA287" i="75"/>
  <c r="BZ287" i="75"/>
  <c r="BY287" i="75"/>
  <c r="BX287" i="75"/>
  <c r="BW287" i="75" s="1"/>
  <c r="BU287" i="75"/>
  <c r="BV287" i="75" s="1"/>
  <c r="BT287" i="75"/>
  <c r="BS287" i="75"/>
  <c r="BR287" i="75"/>
  <c r="BQ287" i="75"/>
  <c r="BP287" i="75"/>
  <c r="BO287" i="75"/>
  <c r="BN287" i="75"/>
  <c r="BM287" i="75"/>
  <c r="BL287" i="75" s="1"/>
  <c r="BJ287" i="75"/>
  <c r="GL287" i="75" s="1"/>
  <c r="BI287" i="75"/>
  <c r="GK287" i="75" s="1"/>
  <c r="BH287" i="75"/>
  <c r="GJ287" i="75" s="1"/>
  <c r="BG287" i="75"/>
  <c r="GI287" i="75" s="1"/>
  <c r="BF287" i="75"/>
  <c r="GH287" i="75" s="1"/>
  <c r="BE287" i="75"/>
  <c r="GG287" i="75" s="1"/>
  <c r="BD287" i="75"/>
  <c r="GF287" i="75" s="1"/>
  <c r="BC287" i="75"/>
  <c r="GE287" i="75" s="1"/>
  <c r="BB287" i="75"/>
  <c r="GD287" i="75" s="1"/>
  <c r="AY287" i="75"/>
  <c r="AZ287" i="75" s="1"/>
  <c r="GB287" i="75" s="1"/>
  <c r="AX287" i="75"/>
  <c r="FZ287" i="75" s="1"/>
  <c r="AW287" i="75"/>
  <c r="FY287" i="75" s="1"/>
  <c r="AV287" i="75"/>
  <c r="FX287" i="75" s="1"/>
  <c r="AU287" i="75"/>
  <c r="FW287" i="75" s="1"/>
  <c r="AT287" i="75"/>
  <c r="FV287" i="75" s="1"/>
  <c r="AS287" i="75"/>
  <c r="FU287" i="75" s="1"/>
  <c r="AR287" i="75"/>
  <c r="FT287" i="75" s="1"/>
  <c r="AQ287" i="75"/>
  <c r="FS287" i="75" s="1"/>
  <c r="AP287" i="75"/>
  <c r="FR287" i="75" s="1"/>
  <c r="AN287" i="75"/>
  <c r="FP287" i="75" s="1"/>
  <c r="AM287" i="75"/>
  <c r="FO287" i="75" s="1"/>
  <c r="AL287" i="75"/>
  <c r="FN287" i="75" s="1"/>
  <c r="AK287" i="75"/>
  <c r="FM287" i="75" s="1"/>
  <c r="AJ287" i="75"/>
  <c r="FL287" i="75" s="1"/>
  <c r="AI287" i="75"/>
  <c r="FK287" i="75" s="1"/>
  <c r="AH287" i="75"/>
  <c r="FJ287" i="75" s="1"/>
  <c r="AG287" i="75"/>
  <c r="FI287" i="75" s="1"/>
  <c r="AF287" i="75"/>
  <c r="FH287" i="75" s="1"/>
  <c r="AC287" i="75"/>
  <c r="AD287" i="75" s="1"/>
  <c r="FF287" i="75" s="1"/>
  <c r="AB287" i="75"/>
  <c r="FD287" i="75" s="1"/>
  <c r="AA287" i="75"/>
  <c r="FC287" i="75" s="1"/>
  <c r="Z287" i="75"/>
  <c r="FB287" i="75" s="1"/>
  <c r="Y287" i="75"/>
  <c r="FA287" i="75" s="1"/>
  <c r="X287" i="75"/>
  <c r="EZ287" i="75" s="1"/>
  <c r="W287" i="75"/>
  <c r="EY287" i="75" s="1"/>
  <c r="V287" i="75"/>
  <c r="EX287" i="75" s="1"/>
  <c r="U287" i="75"/>
  <c r="EW287" i="75" s="1"/>
  <c r="EV287" i="75" s="1"/>
  <c r="S287" i="75"/>
  <c r="ET287" i="75" s="1"/>
  <c r="R287" i="75"/>
  <c r="ES287" i="75" s="1"/>
  <c r="Q287" i="75"/>
  <c r="ER287" i="75" s="1"/>
  <c r="P287" i="75"/>
  <c r="EQ287" i="75" s="1"/>
  <c r="O287" i="75"/>
  <c r="EP287" i="75" s="1"/>
  <c r="N287" i="75"/>
  <c r="EO287" i="75" s="1"/>
  <c r="M287" i="75"/>
  <c r="EN287" i="75" s="1"/>
  <c r="L287" i="75"/>
  <c r="EM287" i="75" s="1"/>
  <c r="K287" i="75"/>
  <c r="EL287" i="75" s="1"/>
  <c r="EK287" i="75" s="1"/>
  <c r="J287" i="75"/>
  <c r="E287" i="75"/>
  <c r="D287" i="75"/>
  <c r="C287" i="75"/>
  <c r="B287" i="75"/>
  <c r="EI286" i="75"/>
  <c r="EJ286" i="75" s="1"/>
  <c r="EH286" i="75"/>
  <c r="EG286" i="75"/>
  <c r="EF286" i="75"/>
  <c r="EE286" i="75"/>
  <c r="ED286" i="75"/>
  <c r="EC286" i="75"/>
  <c r="EB286" i="75"/>
  <c r="EA286" i="75"/>
  <c r="DZ286" i="75" s="1"/>
  <c r="DB286" i="75"/>
  <c r="DC286" i="75" s="1"/>
  <c r="DA286" i="75"/>
  <c r="CZ286" i="75"/>
  <c r="CY286" i="75"/>
  <c r="CX286" i="75"/>
  <c r="CW286" i="75"/>
  <c r="CV286" i="75"/>
  <c r="CU286" i="75"/>
  <c r="CT286" i="75"/>
  <c r="CS286" i="75" s="1"/>
  <c r="CQ286" i="75"/>
  <c r="CR286" i="75" s="1"/>
  <c r="CP286" i="75"/>
  <c r="CO286" i="75"/>
  <c r="CN286" i="75"/>
  <c r="CM286" i="75"/>
  <c r="CL286" i="75"/>
  <c r="CK286" i="75"/>
  <c r="CJ286" i="75"/>
  <c r="CI286" i="75"/>
  <c r="CH286" i="75" s="1"/>
  <c r="CF286" i="75"/>
  <c r="CG286" i="75" s="1"/>
  <c r="CE286" i="75"/>
  <c r="CD286" i="75"/>
  <c r="CC286" i="75"/>
  <c r="CB286" i="75"/>
  <c r="CA286" i="75"/>
  <c r="BZ286" i="75"/>
  <c r="BY286" i="75"/>
  <c r="BX286" i="75"/>
  <c r="BW286" i="75" s="1"/>
  <c r="BU286" i="75"/>
  <c r="BV286" i="75" s="1"/>
  <c r="BT286" i="75"/>
  <c r="BS286" i="75"/>
  <c r="BR286" i="75"/>
  <c r="BQ286" i="75"/>
  <c r="BP286" i="75"/>
  <c r="BO286" i="75"/>
  <c r="BN286" i="75"/>
  <c r="BM286" i="75"/>
  <c r="BL286" i="75" s="1"/>
  <c r="BJ286" i="75"/>
  <c r="BK286" i="75" s="1"/>
  <c r="GM286" i="75" s="1"/>
  <c r="BI286" i="75"/>
  <c r="GK286" i="75" s="1"/>
  <c r="BH286" i="75"/>
  <c r="GJ286" i="75" s="1"/>
  <c r="BG286" i="75"/>
  <c r="GI286" i="75" s="1"/>
  <c r="BF286" i="75"/>
  <c r="GH286" i="75" s="1"/>
  <c r="BE286" i="75"/>
  <c r="GG286" i="75" s="1"/>
  <c r="BD286" i="75"/>
  <c r="GF286" i="75" s="1"/>
  <c r="BC286" i="75"/>
  <c r="GE286" i="75" s="1"/>
  <c r="BB286" i="75"/>
  <c r="GD286" i="75" s="1"/>
  <c r="AY286" i="75"/>
  <c r="GA286" i="75" s="1"/>
  <c r="AX286" i="75"/>
  <c r="FZ286" i="75" s="1"/>
  <c r="AW286" i="75"/>
  <c r="FY286" i="75" s="1"/>
  <c r="AV286" i="75"/>
  <c r="FX286" i="75" s="1"/>
  <c r="AU286" i="75"/>
  <c r="FW286" i="75" s="1"/>
  <c r="AT286" i="75"/>
  <c r="FV286" i="75" s="1"/>
  <c r="AS286" i="75"/>
  <c r="FU286" i="75" s="1"/>
  <c r="AR286" i="75"/>
  <c r="FT286" i="75" s="1"/>
  <c r="AQ286" i="75"/>
  <c r="AP286" i="75" s="1"/>
  <c r="FR286" i="75" s="1"/>
  <c r="AN286" i="75"/>
  <c r="FP286" i="75" s="1"/>
  <c r="AM286" i="75"/>
  <c r="FO286" i="75" s="1"/>
  <c r="AL286" i="75"/>
  <c r="FN286" i="75" s="1"/>
  <c r="AK286" i="75"/>
  <c r="FM286" i="75" s="1"/>
  <c r="AJ286" i="75"/>
  <c r="FL286" i="75" s="1"/>
  <c r="AI286" i="75"/>
  <c r="FK286" i="75" s="1"/>
  <c r="AH286" i="75"/>
  <c r="FJ286" i="75" s="1"/>
  <c r="AG286" i="75"/>
  <c r="FI286" i="75" s="1"/>
  <c r="AF286" i="75"/>
  <c r="FH286" i="75" s="1"/>
  <c r="AC286" i="75"/>
  <c r="FE286" i="75" s="1"/>
  <c r="AB286" i="75"/>
  <c r="FD286" i="75" s="1"/>
  <c r="AA286" i="75"/>
  <c r="FC286" i="75" s="1"/>
  <c r="Z286" i="75"/>
  <c r="FB286" i="75" s="1"/>
  <c r="Y286" i="75"/>
  <c r="FA286" i="75" s="1"/>
  <c r="X286" i="75"/>
  <c r="EZ286" i="75" s="1"/>
  <c r="W286" i="75"/>
  <c r="EY286" i="75" s="1"/>
  <c r="V286" i="75"/>
  <c r="EX286" i="75" s="1"/>
  <c r="U286" i="75"/>
  <c r="EW286" i="75" s="1"/>
  <c r="EV286" i="75" s="1"/>
  <c r="S286" i="75"/>
  <c r="T286" i="75" s="1"/>
  <c r="EU286" i="75" s="1"/>
  <c r="R286" i="75"/>
  <c r="ES286" i="75" s="1"/>
  <c r="Q286" i="75"/>
  <c r="ER286" i="75" s="1"/>
  <c r="P286" i="75"/>
  <c r="EQ286" i="75" s="1"/>
  <c r="O286" i="75"/>
  <c r="EP286" i="75" s="1"/>
  <c r="N286" i="75"/>
  <c r="EO286" i="75" s="1"/>
  <c r="M286" i="75"/>
  <c r="EN286" i="75" s="1"/>
  <c r="L286" i="75"/>
  <c r="EM286" i="75" s="1"/>
  <c r="K286" i="75"/>
  <c r="EL286" i="75" s="1"/>
  <c r="EK286" i="75" s="1"/>
  <c r="J286" i="75"/>
  <c r="E286" i="75"/>
  <c r="D286" i="75"/>
  <c r="C286" i="75"/>
  <c r="B286" i="75"/>
  <c r="EI285" i="75"/>
  <c r="EJ285" i="75" s="1"/>
  <c r="EH285" i="75"/>
  <c r="EG285" i="75"/>
  <c r="EF285" i="75"/>
  <c r="EE285" i="75"/>
  <c r="ED285" i="75"/>
  <c r="EC285" i="75"/>
  <c r="EB285" i="75"/>
  <c r="EA285" i="75"/>
  <c r="DZ285" i="75" s="1"/>
  <c r="DB285" i="75"/>
  <c r="DC285" i="75" s="1"/>
  <c r="DA285" i="75"/>
  <c r="CZ285" i="75"/>
  <c r="CY285" i="75"/>
  <c r="CX285" i="75"/>
  <c r="CW285" i="75"/>
  <c r="CV285" i="75"/>
  <c r="CU285" i="75"/>
  <c r="CT285" i="75"/>
  <c r="CS285" i="75" s="1"/>
  <c r="CQ285" i="75"/>
  <c r="CR285" i="75" s="1"/>
  <c r="CP285" i="75"/>
  <c r="CO285" i="75"/>
  <c r="CN285" i="75"/>
  <c r="CM285" i="75"/>
  <c r="CL285" i="75"/>
  <c r="CK285" i="75"/>
  <c r="CJ285" i="75"/>
  <c r="CI285" i="75"/>
  <c r="CH285" i="75" s="1"/>
  <c r="CF285" i="75"/>
  <c r="CG285" i="75" s="1"/>
  <c r="CE285" i="75"/>
  <c r="CD285" i="75"/>
  <c r="CC285" i="75"/>
  <c r="CB285" i="75"/>
  <c r="CA285" i="75"/>
  <c r="BZ285" i="75"/>
  <c r="BY285" i="75"/>
  <c r="BX285" i="75"/>
  <c r="BW285" i="75" s="1"/>
  <c r="BU285" i="75"/>
  <c r="BV285" i="75" s="1"/>
  <c r="BT285" i="75"/>
  <c r="BS285" i="75"/>
  <c r="BR285" i="75"/>
  <c r="BQ285" i="75"/>
  <c r="BP285" i="75"/>
  <c r="BO285" i="75"/>
  <c r="BN285" i="75"/>
  <c r="BM285" i="75"/>
  <c r="BL285" i="75" s="1"/>
  <c r="BJ285" i="75"/>
  <c r="GL285" i="75" s="1"/>
  <c r="BI285" i="75"/>
  <c r="GK285" i="75" s="1"/>
  <c r="BH285" i="75"/>
  <c r="GJ285" i="75" s="1"/>
  <c r="BG285" i="75"/>
  <c r="GI285" i="75" s="1"/>
  <c r="BF285" i="75"/>
  <c r="GH285" i="75" s="1"/>
  <c r="BE285" i="75"/>
  <c r="GG285" i="75" s="1"/>
  <c r="BD285" i="75"/>
  <c r="GF285" i="75" s="1"/>
  <c r="BC285" i="75"/>
  <c r="GE285" i="75" s="1"/>
  <c r="BB285" i="75"/>
  <c r="GD285" i="75" s="1"/>
  <c r="AY285" i="75"/>
  <c r="AZ285" i="75" s="1"/>
  <c r="GB285" i="75" s="1"/>
  <c r="AX285" i="75"/>
  <c r="FZ285" i="75" s="1"/>
  <c r="AW285" i="75"/>
  <c r="FY285" i="75" s="1"/>
  <c r="AV285" i="75"/>
  <c r="FX285" i="75" s="1"/>
  <c r="AU285" i="75"/>
  <c r="FW285" i="75" s="1"/>
  <c r="AT285" i="75"/>
  <c r="FV285" i="75" s="1"/>
  <c r="AS285" i="75"/>
  <c r="FU285" i="75" s="1"/>
  <c r="AR285" i="75"/>
  <c r="FT285" i="75" s="1"/>
  <c r="AQ285" i="75"/>
  <c r="FS285" i="75" s="1"/>
  <c r="AN285" i="75"/>
  <c r="FP285" i="75" s="1"/>
  <c r="AM285" i="75"/>
  <c r="FO285" i="75" s="1"/>
  <c r="AL285" i="75"/>
  <c r="FN285" i="75" s="1"/>
  <c r="AK285" i="75"/>
  <c r="FM285" i="75" s="1"/>
  <c r="AJ285" i="75"/>
  <c r="FL285" i="75" s="1"/>
  <c r="AI285" i="75"/>
  <c r="FK285" i="75" s="1"/>
  <c r="AH285" i="75"/>
  <c r="FJ285" i="75" s="1"/>
  <c r="AG285" i="75"/>
  <c r="FI285" i="75" s="1"/>
  <c r="AF285" i="75"/>
  <c r="AC285" i="75"/>
  <c r="AD285" i="75" s="1"/>
  <c r="FF285" i="75" s="1"/>
  <c r="AB285" i="75"/>
  <c r="FD285" i="75" s="1"/>
  <c r="AA285" i="75"/>
  <c r="FC285" i="75" s="1"/>
  <c r="Z285" i="75"/>
  <c r="FB285" i="75" s="1"/>
  <c r="Y285" i="75"/>
  <c r="FA285" i="75" s="1"/>
  <c r="X285" i="75"/>
  <c r="EZ285" i="75" s="1"/>
  <c r="W285" i="75"/>
  <c r="EY285" i="75" s="1"/>
  <c r="V285" i="75"/>
  <c r="EX285" i="75" s="1"/>
  <c r="U285" i="75"/>
  <c r="EW285" i="75" s="1"/>
  <c r="EV285" i="75" s="1"/>
  <c r="S285" i="75"/>
  <c r="ET285" i="75" s="1"/>
  <c r="R285" i="75"/>
  <c r="ES285" i="75" s="1"/>
  <c r="Q285" i="75"/>
  <c r="ER285" i="75" s="1"/>
  <c r="P285" i="75"/>
  <c r="EQ285" i="75" s="1"/>
  <c r="O285" i="75"/>
  <c r="EP285" i="75" s="1"/>
  <c r="N285" i="75"/>
  <c r="EO285" i="75" s="1"/>
  <c r="M285" i="75"/>
  <c r="EN285" i="75" s="1"/>
  <c r="L285" i="75"/>
  <c r="EM285" i="75" s="1"/>
  <c r="K285" i="75"/>
  <c r="EL285" i="75" s="1"/>
  <c r="EK285" i="75" s="1"/>
  <c r="J285" i="75"/>
  <c r="E285" i="75"/>
  <c r="D285" i="75"/>
  <c r="C285" i="75"/>
  <c r="B285" i="75"/>
  <c r="EI284" i="75"/>
  <c r="EJ284" i="75" s="1"/>
  <c r="EH284" i="75"/>
  <c r="EG284" i="75"/>
  <c r="EF284" i="75"/>
  <c r="EE284" i="75"/>
  <c r="ED284" i="75"/>
  <c r="EC284" i="75"/>
  <c r="EB284" i="75"/>
  <c r="EA284" i="75"/>
  <c r="DZ284" i="75" s="1"/>
  <c r="DB284" i="75"/>
  <c r="DC284" i="75" s="1"/>
  <c r="DA284" i="75"/>
  <c r="CZ284" i="75"/>
  <c r="CY284" i="75"/>
  <c r="CX284" i="75"/>
  <c r="CW284" i="75"/>
  <c r="CV284" i="75"/>
  <c r="CU284" i="75"/>
  <c r="CT284" i="75"/>
  <c r="CS284" i="75" s="1"/>
  <c r="CQ284" i="75"/>
  <c r="CR284" i="75" s="1"/>
  <c r="CP284" i="75"/>
  <c r="CO284" i="75"/>
  <c r="CN284" i="75"/>
  <c r="CM284" i="75"/>
  <c r="CL284" i="75"/>
  <c r="CK284" i="75"/>
  <c r="CJ284" i="75"/>
  <c r="CI284" i="75"/>
  <c r="CH284" i="75" s="1"/>
  <c r="CF284" i="75"/>
  <c r="CG284" i="75" s="1"/>
  <c r="CE284" i="75"/>
  <c r="CD284" i="75"/>
  <c r="CC284" i="75"/>
  <c r="CB284" i="75"/>
  <c r="CA284" i="75"/>
  <c r="BZ284" i="75"/>
  <c r="BY284" i="75"/>
  <c r="BX284" i="75"/>
  <c r="BW284" i="75" s="1"/>
  <c r="BU284" i="75"/>
  <c r="BV284" i="75" s="1"/>
  <c r="BT284" i="75"/>
  <c r="BS284" i="75"/>
  <c r="BR284" i="75"/>
  <c r="BQ284" i="75"/>
  <c r="BP284" i="75"/>
  <c r="BO284" i="75"/>
  <c r="BN284" i="75"/>
  <c r="BM284" i="75"/>
  <c r="BL284" i="75" s="1"/>
  <c r="BJ284" i="75"/>
  <c r="GL284" i="75" s="1"/>
  <c r="BI284" i="75"/>
  <c r="GK284" i="75" s="1"/>
  <c r="BH284" i="75"/>
  <c r="GJ284" i="75" s="1"/>
  <c r="BG284" i="75"/>
  <c r="GI284" i="75" s="1"/>
  <c r="BF284" i="75"/>
  <c r="GH284" i="75" s="1"/>
  <c r="BE284" i="75"/>
  <c r="GG284" i="75" s="1"/>
  <c r="BD284" i="75"/>
  <c r="GF284" i="75" s="1"/>
  <c r="BC284" i="75"/>
  <c r="GE284" i="75" s="1"/>
  <c r="BB284" i="75"/>
  <c r="GD284" i="75" s="1"/>
  <c r="AY284" i="75"/>
  <c r="GA284" i="75" s="1"/>
  <c r="AX284" i="75"/>
  <c r="FZ284" i="75" s="1"/>
  <c r="AW284" i="75"/>
  <c r="FY284" i="75" s="1"/>
  <c r="AV284" i="75"/>
  <c r="FX284" i="75" s="1"/>
  <c r="AU284" i="75"/>
  <c r="FW284" i="75" s="1"/>
  <c r="AT284" i="75"/>
  <c r="FV284" i="75" s="1"/>
  <c r="AS284" i="75"/>
  <c r="FU284" i="75" s="1"/>
  <c r="AR284" i="75"/>
  <c r="FT284" i="75" s="1"/>
  <c r="AQ284" i="75"/>
  <c r="AP284" i="75" s="1"/>
  <c r="FR284" i="75" s="1"/>
  <c r="AN284" i="75"/>
  <c r="AO284" i="75" s="1"/>
  <c r="FQ284" i="75" s="1"/>
  <c r="AM284" i="75"/>
  <c r="FO284" i="75" s="1"/>
  <c r="AL284" i="75"/>
  <c r="FN284" i="75" s="1"/>
  <c r="AK284" i="75"/>
  <c r="FM284" i="75" s="1"/>
  <c r="AJ284" i="75"/>
  <c r="FL284" i="75" s="1"/>
  <c r="AI284" i="75"/>
  <c r="FK284" i="75" s="1"/>
  <c r="AH284" i="75"/>
  <c r="FJ284" i="75" s="1"/>
  <c r="AG284" i="75"/>
  <c r="FI284" i="75" s="1"/>
  <c r="AF284" i="75"/>
  <c r="AC284" i="75"/>
  <c r="FE284" i="75" s="1"/>
  <c r="AB284" i="75"/>
  <c r="FD284" i="75" s="1"/>
  <c r="AA284" i="75"/>
  <c r="FC284" i="75" s="1"/>
  <c r="Z284" i="75"/>
  <c r="FB284" i="75" s="1"/>
  <c r="Y284" i="75"/>
  <c r="FA284" i="75" s="1"/>
  <c r="X284" i="75"/>
  <c r="EZ284" i="75" s="1"/>
  <c r="W284" i="75"/>
  <c r="EY284" i="75" s="1"/>
  <c r="V284" i="75"/>
  <c r="EX284" i="75" s="1"/>
  <c r="U284" i="75"/>
  <c r="EW284" i="75" s="1"/>
  <c r="EV284" i="75" s="1"/>
  <c r="S284" i="75"/>
  <c r="T284" i="75" s="1"/>
  <c r="EU284" i="75" s="1"/>
  <c r="R284" i="75"/>
  <c r="ES284" i="75" s="1"/>
  <c r="Q284" i="75"/>
  <c r="ER284" i="75" s="1"/>
  <c r="P284" i="75"/>
  <c r="EQ284" i="75" s="1"/>
  <c r="O284" i="75"/>
  <c r="EP284" i="75" s="1"/>
  <c r="N284" i="75"/>
  <c r="EO284" i="75" s="1"/>
  <c r="M284" i="75"/>
  <c r="EN284" i="75" s="1"/>
  <c r="L284" i="75"/>
  <c r="EM284" i="75" s="1"/>
  <c r="K284" i="75"/>
  <c r="EL284" i="75" s="1"/>
  <c r="EK284" i="75" s="1"/>
  <c r="J284" i="75"/>
  <c r="E284" i="75"/>
  <c r="D284" i="75"/>
  <c r="C284" i="75"/>
  <c r="B284" i="75"/>
  <c r="EI283" i="75"/>
  <c r="EJ283" i="75" s="1"/>
  <c r="EH283" i="75"/>
  <c r="EG283" i="75"/>
  <c r="EF283" i="75"/>
  <c r="EE283" i="75"/>
  <c r="ED283" i="75"/>
  <c r="EC283" i="75"/>
  <c r="EB283" i="75"/>
  <c r="EA283" i="75"/>
  <c r="DZ283" i="75" s="1"/>
  <c r="DB283" i="75"/>
  <c r="DC283" i="75" s="1"/>
  <c r="DA283" i="75"/>
  <c r="CZ283" i="75"/>
  <c r="CY283" i="75"/>
  <c r="CX283" i="75"/>
  <c r="CW283" i="75"/>
  <c r="CV283" i="75"/>
  <c r="CU283" i="75"/>
  <c r="CT283" i="75"/>
  <c r="CS283" i="75" s="1"/>
  <c r="CQ283" i="75"/>
  <c r="CR283" i="75" s="1"/>
  <c r="CP283" i="75"/>
  <c r="CO283" i="75"/>
  <c r="CN283" i="75"/>
  <c r="CM283" i="75"/>
  <c r="CL283" i="75"/>
  <c r="CK283" i="75"/>
  <c r="CJ283" i="75"/>
  <c r="CI283" i="75"/>
  <c r="CH283" i="75" s="1"/>
  <c r="CF283" i="75"/>
  <c r="CG283" i="75" s="1"/>
  <c r="CE283" i="75"/>
  <c r="CD283" i="75"/>
  <c r="CC283" i="75"/>
  <c r="CB283" i="75"/>
  <c r="CA283" i="75"/>
  <c r="BZ283" i="75"/>
  <c r="BY283" i="75"/>
  <c r="BX283" i="75"/>
  <c r="BW283" i="75" s="1"/>
  <c r="BU283" i="75"/>
  <c r="BV283" i="75" s="1"/>
  <c r="BT283" i="75"/>
  <c r="BS283" i="75"/>
  <c r="BR283" i="75"/>
  <c r="BQ283" i="75"/>
  <c r="BP283" i="75"/>
  <c r="BO283" i="75"/>
  <c r="BN283" i="75"/>
  <c r="BM283" i="75"/>
  <c r="BL283" i="75" s="1"/>
  <c r="BJ283" i="75"/>
  <c r="BK283" i="75" s="1"/>
  <c r="GM283" i="75" s="1"/>
  <c r="BI283" i="75"/>
  <c r="GK283" i="75" s="1"/>
  <c r="BH283" i="75"/>
  <c r="GJ283" i="75" s="1"/>
  <c r="BG283" i="75"/>
  <c r="GI283" i="75" s="1"/>
  <c r="BF283" i="75"/>
  <c r="GH283" i="75" s="1"/>
  <c r="BE283" i="75"/>
  <c r="GG283" i="75" s="1"/>
  <c r="BD283" i="75"/>
  <c r="GF283" i="75" s="1"/>
  <c r="BC283" i="75"/>
  <c r="GE283" i="75" s="1"/>
  <c r="BB283" i="75"/>
  <c r="GD283" i="75" s="1"/>
  <c r="AY283" i="75"/>
  <c r="GA283" i="75" s="1"/>
  <c r="AX283" i="75"/>
  <c r="FZ283" i="75" s="1"/>
  <c r="AW283" i="75"/>
  <c r="FY283" i="75" s="1"/>
  <c r="AV283" i="75"/>
  <c r="FX283" i="75" s="1"/>
  <c r="AU283" i="75"/>
  <c r="FW283" i="75" s="1"/>
  <c r="AT283" i="75"/>
  <c r="FV283" i="75" s="1"/>
  <c r="AS283" i="75"/>
  <c r="FU283" i="75" s="1"/>
  <c r="AR283" i="75"/>
  <c r="FT283" i="75" s="1"/>
  <c r="AQ283" i="75"/>
  <c r="AP283" i="75" s="1"/>
  <c r="FR283" i="75" s="1"/>
  <c r="AN283" i="75"/>
  <c r="AM283" i="75"/>
  <c r="FO283" i="75" s="1"/>
  <c r="AL283" i="75"/>
  <c r="FN283" i="75" s="1"/>
  <c r="AK283" i="75"/>
  <c r="FM283" i="75" s="1"/>
  <c r="AJ283" i="75"/>
  <c r="FL283" i="75" s="1"/>
  <c r="AI283" i="75"/>
  <c r="FK283" i="75" s="1"/>
  <c r="AH283" i="75"/>
  <c r="FJ283" i="75" s="1"/>
  <c r="AG283" i="75"/>
  <c r="FI283" i="75" s="1"/>
  <c r="AF283" i="75"/>
  <c r="FH283" i="75" s="1"/>
  <c r="AC283" i="75"/>
  <c r="AD283" i="75" s="1"/>
  <c r="FF283" i="75" s="1"/>
  <c r="AB283" i="75"/>
  <c r="FD283" i="75" s="1"/>
  <c r="AA283" i="75"/>
  <c r="FC283" i="75" s="1"/>
  <c r="Z283" i="75"/>
  <c r="FB283" i="75" s="1"/>
  <c r="Y283" i="75"/>
  <c r="FA283" i="75" s="1"/>
  <c r="X283" i="75"/>
  <c r="EZ283" i="75" s="1"/>
  <c r="W283" i="75"/>
  <c r="EY283" i="75" s="1"/>
  <c r="V283" i="75"/>
  <c r="EX283" i="75" s="1"/>
  <c r="U283" i="75"/>
  <c r="EW283" i="75" s="1"/>
  <c r="EV283" i="75" s="1"/>
  <c r="S283" i="75"/>
  <c r="ET283" i="75" s="1"/>
  <c r="R283" i="75"/>
  <c r="ES283" i="75" s="1"/>
  <c r="Q283" i="75"/>
  <c r="ER283" i="75" s="1"/>
  <c r="P283" i="75"/>
  <c r="EQ283" i="75" s="1"/>
  <c r="O283" i="75"/>
  <c r="EP283" i="75" s="1"/>
  <c r="N283" i="75"/>
  <c r="EO283" i="75" s="1"/>
  <c r="M283" i="75"/>
  <c r="EN283" i="75" s="1"/>
  <c r="L283" i="75"/>
  <c r="EM283" i="75" s="1"/>
  <c r="K283" i="75"/>
  <c r="EL283" i="75" s="1"/>
  <c r="EK283" i="75" s="1"/>
  <c r="J283" i="75"/>
  <c r="E283" i="75"/>
  <c r="D283" i="75"/>
  <c r="C283" i="75"/>
  <c r="B283" i="75"/>
  <c r="EI282" i="75"/>
  <c r="EJ282" i="75" s="1"/>
  <c r="EH282" i="75"/>
  <c r="EG282" i="75"/>
  <c r="EF282" i="75"/>
  <c r="EE282" i="75"/>
  <c r="ED282" i="75"/>
  <c r="EC282" i="75"/>
  <c r="EB282" i="75"/>
  <c r="EA282" i="75"/>
  <c r="DZ282" i="75" s="1"/>
  <c r="DB282" i="75"/>
  <c r="DC282" i="75" s="1"/>
  <c r="DA282" i="75"/>
  <c r="CZ282" i="75"/>
  <c r="CY282" i="75"/>
  <c r="CX282" i="75"/>
  <c r="CW282" i="75"/>
  <c r="CV282" i="75"/>
  <c r="CU282" i="75"/>
  <c r="CT282" i="75"/>
  <c r="CS282" i="75" s="1"/>
  <c r="CQ282" i="75"/>
  <c r="CR282" i="75" s="1"/>
  <c r="CP282" i="75"/>
  <c r="CO282" i="75"/>
  <c r="CN282" i="75"/>
  <c r="CM282" i="75"/>
  <c r="CL282" i="75"/>
  <c r="CK282" i="75"/>
  <c r="CJ282" i="75"/>
  <c r="CI282" i="75"/>
  <c r="CH282" i="75" s="1"/>
  <c r="CF282" i="75"/>
  <c r="CG282" i="75" s="1"/>
  <c r="CE282" i="75"/>
  <c r="CD282" i="75"/>
  <c r="CC282" i="75"/>
  <c r="CB282" i="75"/>
  <c r="CA282" i="75"/>
  <c r="BZ282" i="75"/>
  <c r="BY282" i="75"/>
  <c r="BX282" i="75"/>
  <c r="BW282" i="75" s="1"/>
  <c r="BU282" i="75"/>
  <c r="BV282" i="75" s="1"/>
  <c r="BT282" i="75"/>
  <c r="BS282" i="75"/>
  <c r="BR282" i="75"/>
  <c r="BQ282" i="75"/>
  <c r="BP282" i="75"/>
  <c r="BO282" i="75"/>
  <c r="BN282" i="75"/>
  <c r="BM282" i="75"/>
  <c r="BL282" i="75" s="1"/>
  <c r="BJ282" i="75"/>
  <c r="GL282" i="75" s="1"/>
  <c r="BI282" i="75"/>
  <c r="GK282" i="75" s="1"/>
  <c r="BH282" i="75"/>
  <c r="GJ282" i="75" s="1"/>
  <c r="BG282" i="75"/>
  <c r="GI282" i="75" s="1"/>
  <c r="BF282" i="75"/>
  <c r="GH282" i="75" s="1"/>
  <c r="BE282" i="75"/>
  <c r="GG282" i="75" s="1"/>
  <c r="BD282" i="75"/>
  <c r="GF282" i="75" s="1"/>
  <c r="BC282" i="75"/>
  <c r="GE282" i="75" s="1"/>
  <c r="BB282" i="75"/>
  <c r="GD282" i="75" s="1"/>
  <c r="AY282" i="75"/>
  <c r="AZ282" i="75" s="1"/>
  <c r="GB282" i="75" s="1"/>
  <c r="AX282" i="75"/>
  <c r="FZ282" i="75" s="1"/>
  <c r="AW282" i="75"/>
  <c r="FY282" i="75" s="1"/>
  <c r="AV282" i="75"/>
  <c r="FX282" i="75" s="1"/>
  <c r="AU282" i="75"/>
  <c r="FW282" i="75" s="1"/>
  <c r="AT282" i="75"/>
  <c r="FV282" i="75" s="1"/>
  <c r="AS282" i="75"/>
  <c r="FU282" i="75" s="1"/>
  <c r="AR282" i="75"/>
  <c r="FT282" i="75" s="1"/>
  <c r="AQ282" i="75"/>
  <c r="FS282" i="75" s="1"/>
  <c r="AN282" i="75"/>
  <c r="FP282" i="75" s="1"/>
  <c r="AM282" i="75"/>
  <c r="FO282" i="75" s="1"/>
  <c r="AL282" i="75"/>
  <c r="FN282" i="75" s="1"/>
  <c r="AK282" i="75"/>
  <c r="FM282" i="75" s="1"/>
  <c r="AJ282" i="75"/>
  <c r="FL282" i="75" s="1"/>
  <c r="AI282" i="75"/>
  <c r="FK282" i="75" s="1"/>
  <c r="AH282" i="75"/>
  <c r="FJ282" i="75" s="1"/>
  <c r="AG282" i="75"/>
  <c r="FI282" i="75" s="1"/>
  <c r="AF282" i="75"/>
  <c r="FH282" i="75" s="1"/>
  <c r="AC282" i="75"/>
  <c r="AD282" i="75" s="1"/>
  <c r="FF282" i="75" s="1"/>
  <c r="AB282" i="75"/>
  <c r="FD282" i="75" s="1"/>
  <c r="AA282" i="75"/>
  <c r="FC282" i="75" s="1"/>
  <c r="Z282" i="75"/>
  <c r="FB282" i="75" s="1"/>
  <c r="Y282" i="75"/>
  <c r="FA282" i="75" s="1"/>
  <c r="X282" i="75"/>
  <c r="EZ282" i="75" s="1"/>
  <c r="W282" i="75"/>
  <c r="EY282" i="75" s="1"/>
  <c r="V282" i="75"/>
  <c r="EX282" i="75" s="1"/>
  <c r="U282" i="75"/>
  <c r="EW282" i="75" s="1"/>
  <c r="EV282" i="75" s="1"/>
  <c r="S282" i="75"/>
  <c r="ET282" i="75" s="1"/>
  <c r="R282" i="75"/>
  <c r="ES282" i="75" s="1"/>
  <c r="Q282" i="75"/>
  <c r="ER282" i="75" s="1"/>
  <c r="P282" i="75"/>
  <c r="EQ282" i="75" s="1"/>
  <c r="O282" i="75"/>
  <c r="EP282" i="75" s="1"/>
  <c r="N282" i="75"/>
  <c r="EO282" i="75" s="1"/>
  <c r="M282" i="75"/>
  <c r="EN282" i="75" s="1"/>
  <c r="L282" i="75"/>
  <c r="EM282" i="75" s="1"/>
  <c r="K282" i="75"/>
  <c r="EL282" i="75" s="1"/>
  <c r="EK282" i="75" s="1"/>
  <c r="J282" i="75"/>
  <c r="E282" i="75"/>
  <c r="D282" i="75"/>
  <c r="C282" i="75"/>
  <c r="B282" i="75"/>
  <c r="EI281" i="75"/>
  <c r="EJ281" i="75" s="1"/>
  <c r="EH281" i="75"/>
  <c r="EG281" i="75"/>
  <c r="EF281" i="75"/>
  <c r="EE281" i="75"/>
  <c r="ED281" i="75"/>
  <c r="EC281" i="75"/>
  <c r="EB281" i="75"/>
  <c r="EA281" i="75"/>
  <c r="DZ281" i="75" s="1"/>
  <c r="DB281" i="75"/>
  <c r="DC281" i="75" s="1"/>
  <c r="DA281" i="75"/>
  <c r="CZ281" i="75"/>
  <c r="CY281" i="75"/>
  <c r="CX281" i="75"/>
  <c r="CW281" i="75"/>
  <c r="CV281" i="75"/>
  <c r="CU281" i="75"/>
  <c r="CT281" i="75"/>
  <c r="CS281" i="75" s="1"/>
  <c r="CQ281" i="75"/>
  <c r="CR281" i="75" s="1"/>
  <c r="CP281" i="75"/>
  <c r="CO281" i="75"/>
  <c r="CN281" i="75"/>
  <c r="CM281" i="75"/>
  <c r="CL281" i="75"/>
  <c r="CK281" i="75"/>
  <c r="CJ281" i="75"/>
  <c r="CI281" i="75"/>
  <c r="CH281" i="75" s="1"/>
  <c r="CF281" i="75"/>
  <c r="CG281" i="75" s="1"/>
  <c r="CE281" i="75"/>
  <c r="CD281" i="75"/>
  <c r="CC281" i="75"/>
  <c r="CB281" i="75"/>
  <c r="CA281" i="75"/>
  <c r="BZ281" i="75"/>
  <c r="BY281" i="75"/>
  <c r="BX281" i="75"/>
  <c r="BW281" i="75" s="1"/>
  <c r="BU281" i="75"/>
  <c r="BV281" i="75" s="1"/>
  <c r="BT281" i="75"/>
  <c r="BS281" i="75"/>
  <c r="BR281" i="75"/>
  <c r="BQ281" i="75"/>
  <c r="BP281" i="75"/>
  <c r="BO281" i="75"/>
  <c r="BN281" i="75"/>
  <c r="BM281" i="75"/>
  <c r="BL281" i="75" s="1"/>
  <c r="BJ281" i="75"/>
  <c r="GL281" i="75" s="1"/>
  <c r="BI281" i="75"/>
  <c r="GK281" i="75" s="1"/>
  <c r="BH281" i="75"/>
  <c r="GJ281" i="75" s="1"/>
  <c r="BG281" i="75"/>
  <c r="GI281" i="75" s="1"/>
  <c r="BF281" i="75"/>
  <c r="GH281" i="75" s="1"/>
  <c r="BE281" i="75"/>
  <c r="GG281" i="75" s="1"/>
  <c r="BD281" i="75"/>
  <c r="GF281" i="75" s="1"/>
  <c r="BC281" i="75"/>
  <c r="GE281" i="75" s="1"/>
  <c r="BB281" i="75"/>
  <c r="GD281" i="75" s="1"/>
  <c r="AY281" i="75"/>
  <c r="GA281" i="75" s="1"/>
  <c r="AX281" i="75"/>
  <c r="FZ281" i="75" s="1"/>
  <c r="AW281" i="75"/>
  <c r="FY281" i="75" s="1"/>
  <c r="AV281" i="75"/>
  <c r="FX281" i="75" s="1"/>
  <c r="AU281" i="75"/>
  <c r="FW281" i="75" s="1"/>
  <c r="AT281" i="75"/>
  <c r="FV281" i="75" s="1"/>
  <c r="AS281" i="75"/>
  <c r="FU281" i="75" s="1"/>
  <c r="AR281" i="75"/>
  <c r="FT281" i="75" s="1"/>
  <c r="AQ281" i="75"/>
  <c r="AP281" i="75" s="1"/>
  <c r="FR281" i="75" s="1"/>
  <c r="AN281" i="75"/>
  <c r="FP281" i="75" s="1"/>
  <c r="AM281" i="75"/>
  <c r="FO281" i="75" s="1"/>
  <c r="AL281" i="75"/>
  <c r="FN281" i="75" s="1"/>
  <c r="AK281" i="75"/>
  <c r="FM281" i="75" s="1"/>
  <c r="AJ281" i="75"/>
  <c r="FL281" i="75" s="1"/>
  <c r="AI281" i="75"/>
  <c r="FK281" i="75" s="1"/>
  <c r="AH281" i="75"/>
  <c r="FJ281" i="75" s="1"/>
  <c r="AG281" i="75"/>
  <c r="FI281" i="75" s="1"/>
  <c r="AF281" i="75"/>
  <c r="FH281" i="75" s="1"/>
  <c r="AC281" i="75"/>
  <c r="FE281" i="75" s="1"/>
  <c r="AB281" i="75"/>
  <c r="FD281" i="75" s="1"/>
  <c r="AA281" i="75"/>
  <c r="FC281" i="75" s="1"/>
  <c r="Z281" i="75"/>
  <c r="FB281" i="75" s="1"/>
  <c r="Y281" i="75"/>
  <c r="FA281" i="75" s="1"/>
  <c r="X281" i="75"/>
  <c r="EZ281" i="75" s="1"/>
  <c r="W281" i="75"/>
  <c r="EY281" i="75" s="1"/>
  <c r="V281" i="75"/>
  <c r="EX281" i="75" s="1"/>
  <c r="U281" i="75"/>
  <c r="EW281" i="75" s="1"/>
  <c r="EV281" i="75" s="1"/>
  <c r="S281" i="75"/>
  <c r="T281" i="75" s="1"/>
  <c r="EU281" i="75" s="1"/>
  <c r="R281" i="75"/>
  <c r="ES281" i="75" s="1"/>
  <c r="Q281" i="75"/>
  <c r="ER281" i="75" s="1"/>
  <c r="P281" i="75"/>
  <c r="EQ281" i="75" s="1"/>
  <c r="O281" i="75"/>
  <c r="EP281" i="75" s="1"/>
  <c r="N281" i="75"/>
  <c r="EO281" i="75" s="1"/>
  <c r="M281" i="75"/>
  <c r="EN281" i="75" s="1"/>
  <c r="L281" i="75"/>
  <c r="EM281" i="75" s="1"/>
  <c r="K281" i="75"/>
  <c r="EL281" i="75" s="1"/>
  <c r="EK281" i="75" s="1"/>
  <c r="J281" i="75"/>
  <c r="E281" i="75"/>
  <c r="D281" i="75"/>
  <c r="C281" i="75"/>
  <c r="B281" i="75"/>
  <c r="EI280" i="75"/>
  <c r="EJ280" i="75" s="1"/>
  <c r="EH280" i="75"/>
  <c r="EG280" i="75"/>
  <c r="EF280" i="75"/>
  <c r="EE280" i="75"/>
  <c r="ED280" i="75"/>
  <c r="EC280" i="75"/>
  <c r="EB280" i="75"/>
  <c r="EA280" i="75"/>
  <c r="DZ280" i="75" s="1"/>
  <c r="DB280" i="75"/>
  <c r="DC280" i="75" s="1"/>
  <c r="DA280" i="75"/>
  <c r="CZ280" i="75"/>
  <c r="CY280" i="75"/>
  <c r="CX280" i="75"/>
  <c r="CW280" i="75"/>
  <c r="CV280" i="75"/>
  <c r="CU280" i="75"/>
  <c r="CT280" i="75"/>
  <c r="CS280" i="75" s="1"/>
  <c r="CQ280" i="75"/>
  <c r="CR280" i="75" s="1"/>
  <c r="CP280" i="75"/>
  <c r="CO280" i="75"/>
  <c r="CN280" i="75"/>
  <c r="CM280" i="75"/>
  <c r="CL280" i="75"/>
  <c r="CK280" i="75"/>
  <c r="CJ280" i="75"/>
  <c r="CI280" i="75"/>
  <c r="CH280" i="75" s="1"/>
  <c r="CF280" i="75"/>
  <c r="CG280" i="75" s="1"/>
  <c r="CE280" i="75"/>
  <c r="CD280" i="75"/>
  <c r="CC280" i="75"/>
  <c r="CB280" i="75"/>
  <c r="CA280" i="75"/>
  <c r="BZ280" i="75"/>
  <c r="BY280" i="75"/>
  <c r="BX280" i="75"/>
  <c r="BW280" i="75" s="1"/>
  <c r="BU280" i="75"/>
  <c r="BV280" i="75" s="1"/>
  <c r="BT280" i="75"/>
  <c r="BS280" i="75"/>
  <c r="BR280" i="75"/>
  <c r="BQ280" i="75"/>
  <c r="BP280" i="75"/>
  <c r="BO280" i="75"/>
  <c r="BN280" i="75"/>
  <c r="BM280" i="75"/>
  <c r="BL280" i="75" s="1"/>
  <c r="BJ280" i="75"/>
  <c r="GL280" i="75" s="1"/>
  <c r="BI280" i="75"/>
  <c r="GK280" i="75" s="1"/>
  <c r="BH280" i="75"/>
  <c r="GJ280" i="75" s="1"/>
  <c r="BG280" i="75"/>
  <c r="GI280" i="75" s="1"/>
  <c r="BF280" i="75"/>
  <c r="GH280" i="75" s="1"/>
  <c r="BE280" i="75"/>
  <c r="GG280" i="75" s="1"/>
  <c r="BD280" i="75"/>
  <c r="GF280" i="75" s="1"/>
  <c r="BC280" i="75"/>
  <c r="GE280" i="75" s="1"/>
  <c r="BB280" i="75"/>
  <c r="AY280" i="75"/>
  <c r="AZ280" i="75" s="1"/>
  <c r="GB280" i="75" s="1"/>
  <c r="AX280" i="75"/>
  <c r="FZ280" i="75" s="1"/>
  <c r="AW280" i="75"/>
  <c r="FY280" i="75" s="1"/>
  <c r="AV280" i="75"/>
  <c r="FX280" i="75" s="1"/>
  <c r="AU280" i="75"/>
  <c r="FW280" i="75" s="1"/>
  <c r="AT280" i="75"/>
  <c r="FV280" i="75" s="1"/>
  <c r="AS280" i="75"/>
  <c r="FU280" i="75" s="1"/>
  <c r="AR280" i="75"/>
  <c r="FT280" i="75" s="1"/>
  <c r="AQ280" i="75"/>
  <c r="FS280" i="75" s="1"/>
  <c r="AN280" i="75"/>
  <c r="FP280" i="75" s="1"/>
  <c r="AM280" i="75"/>
  <c r="FO280" i="75" s="1"/>
  <c r="AL280" i="75"/>
  <c r="FN280" i="75" s="1"/>
  <c r="AK280" i="75"/>
  <c r="FM280" i="75" s="1"/>
  <c r="AJ280" i="75"/>
  <c r="FL280" i="75" s="1"/>
  <c r="AI280" i="75"/>
  <c r="FK280" i="75" s="1"/>
  <c r="AH280" i="75"/>
  <c r="FJ280" i="75" s="1"/>
  <c r="AG280" i="75"/>
  <c r="FI280" i="75" s="1"/>
  <c r="AF280" i="75"/>
  <c r="AC280" i="75"/>
  <c r="AD280" i="75" s="1"/>
  <c r="FF280" i="75" s="1"/>
  <c r="AB280" i="75"/>
  <c r="FD280" i="75" s="1"/>
  <c r="AA280" i="75"/>
  <c r="FC280" i="75" s="1"/>
  <c r="Z280" i="75"/>
  <c r="FB280" i="75" s="1"/>
  <c r="Y280" i="75"/>
  <c r="FA280" i="75" s="1"/>
  <c r="X280" i="75"/>
  <c r="EZ280" i="75" s="1"/>
  <c r="W280" i="75"/>
  <c r="EY280" i="75" s="1"/>
  <c r="V280" i="75"/>
  <c r="EX280" i="75" s="1"/>
  <c r="U280" i="75"/>
  <c r="EW280" i="75" s="1"/>
  <c r="EV280" i="75" s="1"/>
  <c r="S280" i="75"/>
  <c r="ET280" i="75" s="1"/>
  <c r="R280" i="75"/>
  <c r="ES280" i="75" s="1"/>
  <c r="Q280" i="75"/>
  <c r="ER280" i="75" s="1"/>
  <c r="P280" i="75"/>
  <c r="EQ280" i="75" s="1"/>
  <c r="O280" i="75"/>
  <c r="EP280" i="75" s="1"/>
  <c r="N280" i="75"/>
  <c r="EO280" i="75" s="1"/>
  <c r="M280" i="75"/>
  <c r="EN280" i="75" s="1"/>
  <c r="L280" i="75"/>
  <c r="EM280" i="75" s="1"/>
  <c r="K280" i="75"/>
  <c r="EL280" i="75" s="1"/>
  <c r="EK280" i="75" s="1"/>
  <c r="J280" i="75"/>
  <c r="E280" i="75"/>
  <c r="D280" i="75"/>
  <c r="C280" i="75"/>
  <c r="B280" i="75"/>
  <c r="EI279" i="75"/>
  <c r="EJ279" i="75" s="1"/>
  <c r="EH279" i="75"/>
  <c r="EG279" i="75"/>
  <c r="EF279" i="75"/>
  <c r="EE279" i="75"/>
  <c r="ED279" i="75"/>
  <c r="EC279" i="75"/>
  <c r="EB279" i="75"/>
  <c r="EA279" i="75"/>
  <c r="DZ279" i="75" s="1"/>
  <c r="DB279" i="75"/>
  <c r="DC279" i="75" s="1"/>
  <c r="DA279" i="75"/>
  <c r="CZ279" i="75"/>
  <c r="CY279" i="75"/>
  <c r="CX279" i="75"/>
  <c r="CW279" i="75"/>
  <c r="CV279" i="75"/>
  <c r="CU279" i="75"/>
  <c r="CT279" i="75"/>
  <c r="CS279" i="75" s="1"/>
  <c r="CQ279" i="75"/>
  <c r="CR279" i="75" s="1"/>
  <c r="CP279" i="75"/>
  <c r="CO279" i="75"/>
  <c r="CN279" i="75"/>
  <c r="CM279" i="75"/>
  <c r="CL279" i="75"/>
  <c r="CK279" i="75"/>
  <c r="CJ279" i="75"/>
  <c r="CI279" i="75"/>
  <c r="CH279" i="75" s="1"/>
  <c r="CF279" i="75"/>
  <c r="CG279" i="75" s="1"/>
  <c r="CE279" i="75"/>
  <c r="CD279" i="75"/>
  <c r="CC279" i="75"/>
  <c r="CB279" i="75"/>
  <c r="CA279" i="75"/>
  <c r="BZ279" i="75"/>
  <c r="BY279" i="75"/>
  <c r="BX279" i="75"/>
  <c r="BW279" i="75" s="1"/>
  <c r="BU279" i="75"/>
  <c r="BV279" i="75" s="1"/>
  <c r="BT279" i="75"/>
  <c r="BS279" i="75"/>
  <c r="BR279" i="75"/>
  <c r="BQ279" i="75"/>
  <c r="BP279" i="75"/>
  <c r="BO279" i="75"/>
  <c r="BN279" i="75"/>
  <c r="BM279" i="75"/>
  <c r="BL279" i="75" s="1"/>
  <c r="BJ279" i="75"/>
  <c r="GL279" i="75" s="1"/>
  <c r="BI279" i="75"/>
  <c r="GK279" i="75" s="1"/>
  <c r="BH279" i="75"/>
  <c r="GJ279" i="75" s="1"/>
  <c r="BG279" i="75"/>
  <c r="GI279" i="75" s="1"/>
  <c r="BF279" i="75"/>
  <c r="GH279" i="75" s="1"/>
  <c r="BE279" i="75"/>
  <c r="GG279" i="75" s="1"/>
  <c r="BD279" i="75"/>
  <c r="GF279" i="75" s="1"/>
  <c r="BC279" i="75"/>
  <c r="GE279" i="75" s="1"/>
  <c r="BB279" i="75"/>
  <c r="GD279" i="75" s="1"/>
  <c r="AY279" i="75"/>
  <c r="GA279" i="75" s="1"/>
  <c r="AX279" i="75"/>
  <c r="FZ279" i="75" s="1"/>
  <c r="AW279" i="75"/>
  <c r="FY279" i="75" s="1"/>
  <c r="AV279" i="75"/>
  <c r="FX279" i="75" s="1"/>
  <c r="AU279" i="75"/>
  <c r="FW279" i="75" s="1"/>
  <c r="AT279" i="75"/>
  <c r="FV279" i="75" s="1"/>
  <c r="AS279" i="75"/>
  <c r="FU279" i="75" s="1"/>
  <c r="AR279" i="75"/>
  <c r="FT279" i="75" s="1"/>
  <c r="AQ279" i="75"/>
  <c r="AP279" i="75" s="1"/>
  <c r="FR279" i="75" s="1"/>
  <c r="AN279" i="75"/>
  <c r="FP279" i="75" s="1"/>
  <c r="AM279" i="75"/>
  <c r="FO279" i="75" s="1"/>
  <c r="AL279" i="75"/>
  <c r="FN279" i="75" s="1"/>
  <c r="AK279" i="75"/>
  <c r="FM279" i="75" s="1"/>
  <c r="AJ279" i="75"/>
  <c r="FL279" i="75" s="1"/>
  <c r="AI279" i="75"/>
  <c r="FK279" i="75" s="1"/>
  <c r="AH279" i="75"/>
  <c r="FJ279" i="75" s="1"/>
  <c r="AG279" i="75"/>
  <c r="FI279" i="75" s="1"/>
  <c r="AF279" i="75"/>
  <c r="AC279" i="75"/>
  <c r="FE279" i="75" s="1"/>
  <c r="AB279" i="75"/>
  <c r="FD279" i="75" s="1"/>
  <c r="AA279" i="75"/>
  <c r="FC279" i="75" s="1"/>
  <c r="Z279" i="75"/>
  <c r="FB279" i="75" s="1"/>
  <c r="Y279" i="75"/>
  <c r="FA279" i="75" s="1"/>
  <c r="X279" i="75"/>
  <c r="EZ279" i="75" s="1"/>
  <c r="W279" i="75"/>
  <c r="EY279" i="75" s="1"/>
  <c r="V279" i="75"/>
  <c r="EX279" i="75" s="1"/>
  <c r="U279" i="75"/>
  <c r="EW279" i="75" s="1"/>
  <c r="EV279" i="75" s="1"/>
  <c r="S279" i="75"/>
  <c r="T279" i="75" s="1"/>
  <c r="EU279" i="75" s="1"/>
  <c r="R279" i="75"/>
  <c r="ES279" i="75" s="1"/>
  <c r="Q279" i="75"/>
  <c r="ER279" i="75" s="1"/>
  <c r="P279" i="75"/>
  <c r="EQ279" i="75" s="1"/>
  <c r="O279" i="75"/>
  <c r="EP279" i="75" s="1"/>
  <c r="N279" i="75"/>
  <c r="EO279" i="75" s="1"/>
  <c r="M279" i="75"/>
  <c r="EN279" i="75" s="1"/>
  <c r="L279" i="75"/>
  <c r="EM279" i="75" s="1"/>
  <c r="K279" i="75"/>
  <c r="EL279" i="75" s="1"/>
  <c r="EK279" i="75" s="1"/>
  <c r="J279" i="75"/>
  <c r="E279" i="75"/>
  <c r="D279" i="75"/>
  <c r="C279" i="75"/>
  <c r="B279" i="75"/>
  <c r="EI278" i="75"/>
  <c r="EJ278" i="75" s="1"/>
  <c r="EH278" i="75"/>
  <c r="EG278" i="75"/>
  <c r="EF278" i="75"/>
  <c r="EE278" i="75"/>
  <c r="ED278" i="75"/>
  <c r="EC278" i="75"/>
  <c r="EB278" i="75"/>
  <c r="EA278" i="75"/>
  <c r="DZ278" i="75" s="1"/>
  <c r="DB278" i="75"/>
  <c r="DC278" i="75" s="1"/>
  <c r="DA278" i="75"/>
  <c r="CZ278" i="75"/>
  <c r="CY278" i="75"/>
  <c r="CX278" i="75"/>
  <c r="CW278" i="75"/>
  <c r="CV278" i="75"/>
  <c r="CU278" i="75"/>
  <c r="CT278" i="75"/>
  <c r="CS278" i="75" s="1"/>
  <c r="CQ278" i="75"/>
  <c r="CR278" i="75" s="1"/>
  <c r="CP278" i="75"/>
  <c r="CO278" i="75"/>
  <c r="CN278" i="75"/>
  <c r="CM278" i="75"/>
  <c r="CL278" i="75"/>
  <c r="CK278" i="75"/>
  <c r="CJ278" i="75"/>
  <c r="CI278" i="75"/>
  <c r="CH278" i="75" s="1"/>
  <c r="CF278" i="75"/>
  <c r="CG278" i="75" s="1"/>
  <c r="CE278" i="75"/>
  <c r="CD278" i="75"/>
  <c r="CC278" i="75"/>
  <c r="CB278" i="75"/>
  <c r="CA278" i="75"/>
  <c r="BZ278" i="75"/>
  <c r="BY278" i="75"/>
  <c r="BX278" i="75"/>
  <c r="BW278" i="75" s="1"/>
  <c r="BU278" i="75"/>
  <c r="BV278" i="75" s="1"/>
  <c r="BT278" i="75"/>
  <c r="BS278" i="75"/>
  <c r="BR278" i="75"/>
  <c r="BQ278" i="75"/>
  <c r="BP278" i="75"/>
  <c r="BO278" i="75"/>
  <c r="BN278" i="75"/>
  <c r="BM278" i="75"/>
  <c r="BL278" i="75" s="1"/>
  <c r="BJ278" i="75"/>
  <c r="GL278" i="75" s="1"/>
  <c r="BI278" i="75"/>
  <c r="GK278" i="75" s="1"/>
  <c r="BH278" i="75"/>
  <c r="GJ278" i="75" s="1"/>
  <c r="BG278" i="75"/>
  <c r="GI278" i="75" s="1"/>
  <c r="BF278" i="75"/>
  <c r="GH278" i="75" s="1"/>
  <c r="BE278" i="75"/>
  <c r="GG278" i="75" s="1"/>
  <c r="BD278" i="75"/>
  <c r="GF278" i="75" s="1"/>
  <c r="BC278" i="75"/>
  <c r="GE278" i="75" s="1"/>
  <c r="BB278" i="75"/>
  <c r="AY278" i="75"/>
  <c r="GA278" i="75" s="1"/>
  <c r="AX278" i="75"/>
  <c r="FZ278" i="75" s="1"/>
  <c r="AW278" i="75"/>
  <c r="FY278" i="75" s="1"/>
  <c r="AV278" i="75"/>
  <c r="FX278" i="75" s="1"/>
  <c r="AU278" i="75"/>
  <c r="FW278" i="75" s="1"/>
  <c r="AT278" i="75"/>
  <c r="FV278" i="75" s="1"/>
  <c r="AS278" i="75"/>
  <c r="FU278" i="75" s="1"/>
  <c r="AR278" i="75"/>
  <c r="FT278" i="75" s="1"/>
  <c r="AQ278" i="75"/>
  <c r="AP278" i="75" s="1"/>
  <c r="FR278" i="75" s="1"/>
  <c r="AN278" i="75"/>
  <c r="FP278" i="75" s="1"/>
  <c r="AM278" i="75"/>
  <c r="FO278" i="75" s="1"/>
  <c r="AL278" i="75"/>
  <c r="FN278" i="75" s="1"/>
  <c r="AK278" i="75"/>
  <c r="FM278" i="75" s="1"/>
  <c r="AJ278" i="75"/>
  <c r="FL278" i="75" s="1"/>
  <c r="AI278" i="75"/>
  <c r="FK278" i="75" s="1"/>
  <c r="AH278" i="75"/>
  <c r="FJ278" i="75" s="1"/>
  <c r="AG278" i="75"/>
  <c r="FI278" i="75" s="1"/>
  <c r="AF278" i="75"/>
  <c r="AC278" i="75"/>
  <c r="AD278" i="75" s="1"/>
  <c r="FF278" i="75" s="1"/>
  <c r="AB278" i="75"/>
  <c r="FD278" i="75" s="1"/>
  <c r="AA278" i="75"/>
  <c r="FC278" i="75" s="1"/>
  <c r="Z278" i="75"/>
  <c r="FB278" i="75" s="1"/>
  <c r="Y278" i="75"/>
  <c r="FA278" i="75" s="1"/>
  <c r="X278" i="75"/>
  <c r="EZ278" i="75" s="1"/>
  <c r="W278" i="75"/>
  <c r="EY278" i="75" s="1"/>
  <c r="V278" i="75"/>
  <c r="EX278" i="75" s="1"/>
  <c r="U278" i="75"/>
  <c r="EW278" i="75" s="1"/>
  <c r="EV278" i="75" s="1"/>
  <c r="S278" i="75"/>
  <c r="ET278" i="75" s="1"/>
  <c r="R278" i="75"/>
  <c r="ES278" i="75" s="1"/>
  <c r="Q278" i="75"/>
  <c r="ER278" i="75" s="1"/>
  <c r="P278" i="75"/>
  <c r="EQ278" i="75" s="1"/>
  <c r="O278" i="75"/>
  <c r="EP278" i="75" s="1"/>
  <c r="N278" i="75"/>
  <c r="EO278" i="75" s="1"/>
  <c r="M278" i="75"/>
  <c r="EN278" i="75" s="1"/>
  <c r="L278" i="75"/>
  <c r="EM278" i="75" s="1"/>
  <c r="K278" i="75"/>
  <c r="EL278" i="75" s="1"/>
  <c r="EK278" i="75" s="1"/>
  <c r="J278" i="75"/>
  <c r="E278" i="75"/>
  <c r="D278" i="75"/>
  <c r="C278" i="75"/>
  <c r="B278" i="75"/>
  <c r="EI277" i="75"/>
  <c r="EJ277" i="75" s="1"/>
  <c r="EH277" i="75"/>
  <c r="EG277" i="75"/>
  <c r="EF277" i="75"/>
  <c r="EE277" i="75"/>
  <c r="ED277" i="75"/>
  <c r="EC277" i="75"/>
  <c r="EB277" i="75"/>
  <c r="EA277" i="75"/>
  <c r="DZ277" i="75" s="1"/>
  <c r="DB277" i="75"/>
  <c r="DC277" i="75" s="1"/>
  <c r="DA277" i="75"/>
  <c r="CZ277" i="75"/>
  <c r="CY277" i="75"/>
  <c r="CX277" i="75"/>
  <c r="CW277" i="75"/>
  <c r="CV277" i="75"/>
  <c r="CU277" i="75"/>
  <c r="CT277" i="75"/>
  <c r="CS277" i="75" s="1"/>
  <c r="CQ277" i="75"/>
  <c r="CR277" i="75" s="1"/>
  <c r="CP277" i="75"/>
  <c r="CO277" i="75"/>
  <c r="CN277" i="75"/>
  <c r="CM277" i="75"/>
  <c r="CL277" i="75"/>
  <c r="CK277" i="75"/>
  <c r="CJ277" i="75"/>
  <c r="CI277" i="75"/>
  <c r="CH277" i="75" s="1"/>
  <c r="CF277" i="75"/>
  <c r="CG277" i="75" s="1"/>
  <c r="CE277" i="75"/>
  <c r="CD277" i="75"/>
  <c r="CC277" i="75"/>
  <c r="CB277" i="75"/>
  <c r="CA277" i="75"/>
  <c r="BZ277" i="75"/>
  <c r="BY277" i="75"/>
  <c r="BX277" i="75"/>
  <c r="BW277" i="75" s="1"/>
  <c r="BU277" i="75"/>
  <c r="BV277" i="75" s="1"/>
  <c r="BT277" i="75"/>
  <c r="BS277" i="75"/>
  <c r="BR277" i="75"/>
  <c r="BQ277" i="75"/>
  <c r="BP277" i="75"/>
  <c r="BO277" i="75"/>
  <c r="BN277" i="75"/>
  <c r="BM277" i="75"/>
  <c r="BL277" i="75" s="1"/>
  <c r="BK277" i="75"/>
  <c r="GM277" i="75" s="1"/>
  <c r="BJ277" i="75"/>
  <c r="GL277" i="75" s="1"/>
  <c r="BI277" i="75"/>
  <c r="GK277" i="75" s="1"/>
  <c r="BH277" i="75"/>
  <c r="GJ277" i="75" s="1"/>
  <c r="BG277" i="75"/>
  <c r="GI277" i="75" s="1"/>
  <c r="BF277" i="75"/>
  <c r="GH277" i="75" s="1"/>
  <c r="BE277" i="75"/>
  <c r="GG277" i="75" s="1"/>
  <c r="BD277" i="75"/>
  <c r="GF277" i="75" s="1"/>
  <c r="BC277" i="75"/>
  <c r="GE277" i="75" s="1"/>
  <c r="BB277" i="75"/>
  <c r="GD277" i="75" s="1"/>
  <c r="AY277" i="75"/>
  <c r="AZ277" i="75" s="1"/>
  <c r="GB277" i="75" s="1"/>
  <c r="AX277" i="75"/>
  <c r="FZ277" i="75" s="1"/>
  <c r="AW277" i="75"/>
  <c r="FY277" i="75" s="1"/>
  <c r="AV277" i="75"/>
  <c r="FX277" i="75" s="1"/>
  <c r="AU277" i="75"/>
  <c r="FW277" i="75" s="1"/>
  <c r="AT277" i="75"/>
  <c r="FV277" i="75" s="1"/>
  <c r="AS277" i="75"/>
  <c r="FU277" i="75" s="1"/>
  <c r="AR277" i="75"/>
  <c r="FT277" i="75" s="1"/>
  <c r="AQ277" i="75"/>
  <c r="FS277" i="75" s="1"/>
  <c r="AN277" i="75"/>
  <c r="AM277" i="75"/>
  <c r="FO277" i="75" s="1"/>
  <c r="AL277" i="75"/>
  <c r="FN277" i="75" s="1"/>
  <c r="AK277" i="75"/>
  <c r="FM277" i="75" s="1"/>
  <c r="AJ277" i="75"/>
  <c r="FL277" i="75" s="1"/>
  <c r="AI277" i="75"/>
  <c r="FK277" i="75" s="1"/>
  <c r="AH277" i="75"/>
  <c r="FJ277" i="75" s="1"/>
  <c r="AG277" i="75"/>
  <c r="FI277" i="75" s="1"/>
  <c r="AF277" i="75"/>
  <c r="FH277" i="75" s="1"/>
  <c r="AC277" i="75"/>
  <c r="AD277" i="75" s="1"/>
  <c r="FF277" i="75" s="1"/>
  <c r="AB277" i="75"/>
  <c r="FD277" i="75" s="1"/>
  <c r="AA277" i="75"/>
  <c r="FC277" i="75" s="1"/>
  <c r="Z277" i="75"/>
  <c r="FB277" i="75" s="1"/>
  <c r="Y277" i="75"/>
  <c r="FA277" i="75" s="1"/>
  <c r="X277" i="75"/>
  <c r="EZ277" i="75" s="1"/>
  <c r="W277" i="75"/>
  <c r="EY277" i="75" s="1"/>
  <c r="V277" i="75"/>
  <c r="EX277" i="75" s="1"/>
  <c r="U277" i="75"/>
  <c r="EW277" i="75" s="1"/>
  <c r="EV277" i="75" s="1"/>
  <c r="S277" i="75"/>
  <c r="ET277" i="75" s="1"/>
  <c r="R277" i="75"/>
  <c r="ES277" i="75" s="1"/>
  <c r="Q277" i="75"/>
  <c r="ER277" i="75" s="1"/>
  <c r="P277" i="75"/>
  <c r="EQ277" i="75" s="1"/>
  <c r="O277" i="75"/>
  <c r="EP277" i="75" s="1"/>
  <c r="N277" i="75"/>
  <c r="EO277" i="75" s="1"/>
  <c r="M277" i="75"/>
  <c r="EN277" i="75" s="1"/>
  <c r="L277" i="75"/>
  <c r="EM277" i="75" s="1"/>
  <c r="K277" i="75"/>
  <c r="EL277" i="75" s="1"/>
  <c r="EK277" i="75" s="1"/>
  <c r="J277" i="75"/>
  <c r="E277" i="75"/>
  <c r="D277" i="75"/>
  <c r="C277" i="75"/>
  <c r="B277" i="75"/>
  <c r="EI276" i="75"/>
  <c r="EJ276" i="75" s="1"/>
  <c r="EH276" i="75"/>
  <c r="EG276" i="75"/>
  <c r="EF276" i="75"/>
  <c r="EE276" i="75"/>
  <c r="ED276" i="75"/>
  <c r="EC276" i="75"/>
  <c r="EB276" i="75"/>
  <c r="EA276" i="75"/>
  <c r="DZ276" i="75" s="1"/>
  <c r="DB276" i="75"/>
  <c r="DC276" i="75" s="1"/>
  <c r="DA276" i="75"/>
  <c r="CZ276" i="75"/>
  <c r="CY276" i="75"/>
  <c r="CX276" i="75"/>
  <c r="CW276" i="75"/>
  <c r="CV276" i="75"/>
  <c r="CU276" i="75"/>
  <c r="CT276" i="75"/>
  <c r="CS276" i="75" s="1"/>
  <c r="CQ276" i="75"/>
  <c r="CR276" i="75" s="1"/>
  <c r="CP276" i="75"/>
  <c r="CO276" i="75"/>
  <c r="CN276" i="75"/>
  <c r="CM276" i="75"/>
  <c r="CL276" i="75"/>
  <c r="CK276" i="75"/>
  <c r="CJ276" i="75"/>
  <c r="CI276" i="75"/>
  <c r="CH276" i="75" s="1"/>
  <c r="CF276" i="75"/>
  <c r="CG276" i="75" s="1"/>
  <c r="CE276" i="75"/>
  <c r="CD276" i="75"/>
  <c r="CC276" i="75"/>
  <c r="CB276" i="75"/>
  <c r="CA276" i="75"/>
  <c r="BZ276" i="75"/>
  <c r="BY276" i="75"/>
  <c r="BX276" i="75"/>
  <c r="BW276" i="75" s="1"/>
  <c r="BU276" i="75"/>
  <c r="BV276" i="75" s="1"/>
  <c r="BT276" i="75"/>
  <c r="BS276" i="75"/>
  <c r="BR276" i="75"/>
  <c r="BQ276" i="75"/>
  <c r="BP276" i="75"/>
  <c r="BO276" i="75"/>
  <c r="BN276" i="75"/>
  <c r="BM276" i="75"/>
  <c r="BL276" i="75" s="1"/>
  <c r="BJ276" i="75"/>
  <c r="GL276" i="75" s="1"/>
  <c r="BI276" i="75"/>
  <c r="GK276" i="75" s="1"/>
  <c r="BH276" i="75"/>
  <c r="GJ276" i="75" s="1"/>
  <c r="BG276" i="75"/>
  <c r="GI276" i="75" s="1"/>
  <c r="BF276" i="75"/>
  <c r="GH276" i="75" s="1"/>
  <c r="BE276" i="75"/>
  <c r="GG276" i="75" s="1"/>
  <c r="BD276" i="75"/>
  <c r="GF276" i="75" s="1"/>
  <c r="BC276" i="75"/>
  <c r="GE276" i="75" s="1"/>
  <c r="BB276" i="75"/>
  <c r="GD276" i="75" s="1"/>
  <c r="AY276" i="75"/>
  <c r="GA276" i="75" s="1"/>
  <c r="AX276" i="75"/>
  <c r="FZ276" i="75" s="1"/>
  <c r="AW276" i="75"/>
  <c r="FY276" i="75" s="1"/>
  <c r="AV276" i="75"/>
  <c r="FX276" i="75" s="1"/>
  <c r="AU276" i="75"/>
  <c r="FW276" i="75" s="1"/>
  <c r="AT276" i="75"/>
  <c r="FV276" i="75" s="1"/>
  <c r="AS276" i="75"/>
  <c r="FU276" i="75" s="1"/>
  <c r="AR276" i="75"/>
  <c r="FT276" i="75" s="1"/>
  <c r="AQ276" i="75"/>
  <c r="AP276" i="75" s="1"/>
  <c r="FR276" i="75" s="1"/>
  <c r="AN276" i="75"/>
  <c r="FP276" i="75" s="1"/>
  <c r="AM276" i="75"/>
  <c r="FO276" i="75" s="1"/>
  <c r="AL276" i="75"/>
  <c r="FN276" i="75" s="1"/>
  <c r="AK276" i="75"/>
  <c r="FM276" i="75" s="1"/>
  <c r="AJ276" i="75"/>
  <c r="FL276" i="75" s="1"/>
  <c r="AI276" i="75"/>
  <c r="FK276" i="75" s="1"/>
  <c r="AH276" i="75"/>
  <c r="FJ276" i="75" s="1"/>
  <c r="AG276" i="75"/>
  <c r="FI276" i="75" s="1"/>
  <c r="AF276" i="75"/>
  <c r="FH276" i="75" s="1"/>
  <c r="AC276" i="75"/>
  <c r="FE276" i="75" s="1"/>
  <c r="AB276" i="75"/>
  <c r="FD276" i="75" s="1"/>
  <c r="AA276" i="75"/>
  <c r="FC276" i="75" s="1"/>
  <c r="Z276" i="75"/>
  <c r="FB276" i="75" s="1"/>
  <c r="Y276" i="75"/>
  <c r="FA276" i="75" s="1"/>
  <c r="X276" i="75"/>
  <c r="EZ276" i="75" s="1"/>
  <c r="W276" i="75"/>
  <c r="EY276" i="75" s="1"/>
  <c r="V276" i="75"/>
  <c r="EX276" i="75" s="1"/>
  <c r="U276" i="75"/>
  <c r="EW276" i="75" s="1"/>
  <c r="EV276" i="75" s="1"/>
  <c r="S276" i="75"/>
  <c r="T276" i="75" s="1"/>
  <c r="EU276" i="75" s="1"/>
  <c r="R276" i="75"/>
  <c r="ES276" i="75" s="1"/>
  <c r="Q276" i="75"/>
  <c r="ER276" i="75" s="1"/>
  <c r="P276" i="75"/>
  <c r="EQ276" i="75" s="1"/>
  <c r="O276" i="75"/>
  <c r="EP276" i="75" s="1"/>
  <c r="N276" i="75"/>
  <c r="EO276" i="75" s="1"/>
  <c r="M276" i="75"/>
  <c r="EN276" i="75" s="1"/>
  <c r="L276" i="75"/>
  <c r="EM276" i="75" s="1"/>
  <c r="K276" i="75"/>
  <c r="EL276" i="75" s="1"/>
  <c r="EK276" i="75" s="1"/>
  <c r="J276" i="75"/>
  <c r="E276" i="75"/>
  <c r="D276" i="75"/>
  <c r="C276" i="75"/>
  <c r="B276" i="75"/>
  <c r="EI275" i="75"/>
  <c r="EJ275" i="75" s="1"/>
  <c r="EH275" i="75"/>
  <c r="EG275" i="75"/>
  <c r="EF275" i="75"/>
  <c r="EE275" i="75"/>
  <c r="ED275" i="75"/>
  <c r="EC275" i="75"/>
  <c r="EB275" i="75"/>
  <c r="EA275" i="75"/>
  <c r="DZ275" i="75" s="1"/>
  <c r="DB275" i="75"/>
  <c r="DC275" i="75" s="1"/>
  <c r="DA275" i="75"/>
  <c r="CZ275" i="75"/>
  <c r="CY275" i="75"/>
  <c r="CX275" i="75"/>
  <c r="CW275" i="75"/>
  <c r="CV275" i="75"/>
  <c r="CU275" i="75"/>
  <c r="CT275" i="75"/>
  <c r="CS275" i="75" s="1"/>
  <c r="CQ275" i="75"/>
  <c r="CR275" i="75" s="1"/>
  <c r="CP275" i="75"/>
  <c r="CO275" i="75"/>
  <c r="CN275" i="75"/>
  <c r="CM275" i="75"/>
  <c r="CL275" i="75"/>
  <c r="CK275" i="75"/>
  <c r="CJ275" i="75"/>
  <c r="CI275" i="75"/>
  <c r="CH275" i="75" s="1"/>
  <c r="CF275" i="75"/>
  <c r="CG275" i="75" s="1"/>
  <c r="CE275" i="75"/>
  <c r="CD275" i="75"/>
  <c r="CC275" i="75"/>
  <c r="CB275" i="75"/>
  <c r="CA275" i="75"/>
  <c r="BZ275" i="75"/>
  <c r="BY275" i="75"/>
  <c r="BX275" i="75"/>
  <c r="BW275" i="75" s="1"/>
  <c r="BU275" i="75"/>
  <c r="BV275" i="75" s="1"/>
  <c r="BT275" i="75"/>
  <c r="BS275" i="75"/>
  <c r="BR275" i="75"/>
  <c r="BQ275" i="75"/>
  <c r="BP275" i="75"/>
  <c r="BO275" i="75"/>
  <c r="BN275" i="75"/>
  <c r="BM275" i="75"/>
  <c r="BL275" i="75" s="1"/>
  <c r="BJ275" i="75"/>
  <c r="GL275" i="75" s="1"/>
  <c r="BI275" i="75"/>
  <c r="GK275" i="75" s="1"/>
  <c r="BH275" i="75"/>
  <c r="GJ275" i="75" s="1"/>
  <c r="BG275" i="75"/>
  <c r="GI275" i="75" s="1"/>
  <c r="BF275" i="75"/>
  <c r="GH275" i="75" s="1"/>
  <c r="BE275" i="75"/>
  <c r="GG275" i="75" s="1"/>
  <c r="BD275" i="75"/>
  <c r="GF275" i="75" s="1"/>
  <c r="BC275" i="75"/>
  <c r="GE275" i="75" s="1"/>
  <c r="BB275" i="75"/>
  <c r="GD275" i="75" s="1"/>
  <c r="AY275" i="75"/>
  <c r="AZ275" i="75" s="1"/>
  <c r="GB275" i="75" s="1"/>
  <c r="AX275" i="75"/>
  <c r="FZ275" i="75" s="1"/>
  <c r="AW275" i="75"/>
  <c r="FY275" i="75" s="1"/>
  <c r="AV275" i="75"/>
  <c r="FX275" i="75" s="1"/>
  <c r="AU275" i="75"/>
  <c r="FW275" i="75" s="1"/>
  <c r="AT275" i="75"/>
  <c r="FV275" i="75" s="1"/>
  <c r="AS275" i="75"/>
  <c r="FU275" i="75" s="1"/>
  <c r="AR275" i="75"/>
  <c r="FT275" i="75" s="1"/>
  <c r="AQ275" i="75"/>
  <c r="FS275" i="75" s="1"/>
  <c r="AN275" i="75"/>
  <c r="AM275" i="75"/>
  <c r="FO275" i="75" s="1"/>
  <c r="AL275" i="75"/>
  <c r="FN275" i="75" s="1"/>
  <c r="AK275" i="75"/>
  <c r="FM275" i="75" s="1"/>
  <c r="AJ275" i="75"/>
  <c r="FL275" i="75" s="1"/>
  <c r="AI275" i="75"/>
  <c r="FK275" i="75" s="1"/>
  <c r="AH275" i="75"/>
  <c r="FJ275" i="75" s="1"/>
  <c r="AG275" i="75"/>
  <c r="FI275" i="75" s="1"/>
  <c r="AF275" i="75"/>
  <c r="FH275" i="75" s="1"/>
  <c r="AC275" i="75"/>
  <c r="AD275" i="75" s="1"/>
  <c r="FF275" i="75" s="1"/>
  <c r="AB275" i="75"/>
  <c r="FD275" i="75" s="1"/>
  <c r="AA275" i="75"/>
  <c r="FC275" i="75" s="1"/>
  <c r="Z275" i="75"/>
  <c r="FB275" i="75" s="1"/>
  <c r="Y275" i="75"/>
  <c r="FA275" i="75" s="1"/>
  <c r="X275" i="75"/>
  <c r="EZ275" i="75" s="1"/>
  <c r="W275" i="75"/>
  <c r="EY275" i="75" s="1"/>
  <c r="V275" i="75"/>
  <c r="EX275" i="75" s="1"/>
  <c r="U275" i="75"/>
  <c r="EW275" i="75" s="1"/>
  <c r="EV275" i="75" s="1"/>
  <c r="S275" i="75"/>
  <c r="ET275" i="75" s="1"/>
  <c r="R275" i="75"/>
  <c r="ES275" i="75" s="1"/>
  <c r="Q275" i="75"/>
  <c r="ER275" i="75" s="1"/>
  <c r="P275" i="75"/>
  <c r="EQ275" i="75" s="1"/>
  <c r="O275" i="75"/>
  <c r="EP275" i="75" s="1"/>
  <c r="N275" i="75"/>
  <c r="EO275" i="75" s="1"/>
  <c r="M275" i="75"/>
  <c r="EN275" i="75" s="1"/>
  <c r="L275" i="75"/>
  <c r="EM275" i="75" s="1"/>
  <c r="K275" i="75"/>
  <c r="EL275" i="75" s="1"/>
  <c r="EK275" i="75" s="1"/>
  <c r="J275" i="75"/>
  <c r="E275" i="75"/>
  <c r="D275" i="75"/>
  <c r="C275" i="75"/>
  <c r="B275" i="75"/>
  <c r="EM274" i="75"/>
  <c r="EI274" i="75"/>
  <c r="EJ274" i="75" s="1"/>
  <c r="EH274" i="75"/>
  <c r="EG274" i="75"/>
  <c r="EF274" i="75"/>
  <c r="EE274" i="75"/>
  <c r="ED274" i="75"/>
  <c r="EC274" i="75"/>
  <c r="EB274" i="75"/>
  <c r="EA274" i="75"/>
  <c r="DZ274" i="75" s="1"/>
  <c r="DB274" i="75"/>
  <c r="DC274" i="75" s="1"/>
  <c r="DA274" i="75"/>
  <c r="CZ274" i="75"/>
  <c r="CY274" i="75"/>
  <c r="CX274" i="75"/>
  <c r="CW274" i="75"/>
  <c r="CV274" i="75"/>
  <c r="CU274" i="75"/>
  <c r="CT274" i="75"/>
  <c r="CS274" i="75" s="1"/>
  <c r="CQ274" i="75"/>
  <c r="CR274" i="75" s="1"/>
  <c r="CP274" i="75"/>
  <c r="CO274" i="75"/>
  <c r="CN274" i="75"/>
  <c r="CM274" i="75"/>
  <c r="CL274" i="75"/>
  <c r="CK274" i="75"/>
  <c r="CJ274" i="75"/>
  <c r="CI274" i="75"/>
  <c r="CH274" i="75" s="1"/>
  <c r="CF274" i="75"/>
  <c r="CG274" i="75" s="1"/>
  <c r="CE274" i="75"/>
  <c r="CD274" i="75"/>
  <c r="CC274" i="75"/>
  <c r="CB274" i="75"/>
  <c r="CA274" i="75"/>
  <c r="BZ274" i="75"/>
  <c r="BY274" i="75"/>
  <c r="BX274" i="75"/>
  <c r="BW274" i="75" s="1"/>
  <c r="BU274" i="75"/>
  <c r="BV274" i="75" s="1"/>
  <c r="BT274" i="75"/>
  <c r="BS274" i="75"/>
  <c r="BR274" i="75"/>
  <c r="BQ274" i="75"/>
  <c r="BP274" i="75"/>
  <c r="BO274" i="75"/>
  <c r="BN274" i="75"/>
  <c r="BM274" i="75"/>
  <c r="BL274" i="75" s="1"/>
  <c r="BJ274" i="75"/>
  <c r="GL274" i="75" s="1"/>
  <c r="BI274" i="75"/>
  <c r="GK274" i="75" s="1"/>
  <c r="BH274" i="75"/>
  <c r="GJ274" i="75" s="1"/>
  <c r="BG274" i="75"/>
  <c r="GI274" i="75" s="1"/>
  <c r="BF274" i="75"/>
  <c r="GH274" i="75" s="1"/>
  <c r="BE274" i="75"/>
  <c r="GG274" i="75" s="1"/>
  <c r="BD274" i="75"/>
  <c r="GF274" i="75" s="1"/>
  <c r="BC274" i="75"/>
  <c r="GE274" i="75" s="1"/>
  <c r="BB274" i="75"/>
  <c r="AY274" i="75"/>
  <c r="GA274" i="75" s="1"/>
  <c r="AX274" i="75"/>
  <c r="FZ274" i="75" s="1"/>
  <c r="AW274" i="75"/>
  <c r="FY274" i="75" s="1"/>
  <c r="AV274" i="75"/>
  <c r="FX274" i="75" s="1"/>
  <c r="AU274" i="75"/>
  <c r="FW274" i="75" s="1"/>
  <c r="AT274" i="75"/>
  <c r="FV274" i="75" s="1"/>
  <c r="AS274" i="75"/>
  <c r="FU274" i="75" s="1"/>
  <c r="AR274" i="75"/>
  <c r="FT274" i="75" s="1"/>
  <c r="AQ274" i="75"/>
  <c r="AP274" i="75" s="1"/>
  <c r="FR274" i="75" s="1"/>
  <c r="AN274" i="75"/>
  <c r="FP274" i="75" s="1"/>
  <c r="AM274" i="75"/>
  <c r="FO274" i="75" s="1"/>
  <c r="AL274" i="75"/>
  <c r="FN274" i="75" s="1"/>
  <c r="AK274" i="75"/>
  <c r="FM274" i="75" s="1"/>
  <c r="AJ274" i="75"/>
  <c r="FL274" i="75" s="1"/>
  <c r="AI274" i="75"/>
  <c r="FK274" i="75" s="1"/>
  <c r="AH274" i="75"/>
  <c r="FJ274" i="75" s="1"/>
  <c r="AG274" i="75"/>
  <c r="FI274" i="75" s="1"/>
  <c r="AF274" i="75"/>
  <c r="FH274" i="75" s="1"/>
  <c r="AC274" i="75"/>
  <c r="FE274" i="75" s="1"/>
  <c r="AB274" i="75"/>
  <c r="FD274" i="75" s="1"/>
  <c r="AA274" i="75"/>
  <c r="FC274" i="75" s="1"/>
  <c r="Z274" i="75"/>
  <c r="FB274" i="75" s="1"/>
  <c r="Y274" i="75"/>
  <c r="FA274" i="75" s="1"/>
  <c r="X274" i="75"/>
  <c r="EZ274" i="75" s="1"/>
  <c r="W274" i="75"/>
  <c r="EY274" i="75" s="1"/>
  <c r="V274" i="75"/>
  <c r="EX274" i="75" s="1"/>
  <c r="U274" i="75"/>
  <c r="EW274" i="75" s="1"/>
  <c r="EV274" i="75" s="1"/>
  <c r="S274" i="75"/>
  <c r="T274" i="75" s="1"/>
  <c r="EU274" i="75" s="1"/>
  <c r="R274" i="75"/>
  <c r="ES274" i="75" s="1"/>
  <c r="Q274" i="75"/>
  <c r="ER274" i="75" s="1"/>
  <c r="P274" i="75"/>
  <c r="EQ274" i="75" s="1"/>
  <c r="O274" i="75"/>
  <c r="EP274" i="75" s="1"/>
  <c r="N274" i="75"/>
  <c r="EO274" i="75" s="1"/>
  <c r="M274" i="75"/>
  <c r="EN274" i="75" s="1"/>
  <c r="L274" i="75"/>
  <c r="K274" i="75"/>
  <c r="EL274" i="75" s="1"/>
  <c r="EK274" i="75" s="1"/>
  <c r="J274" i="75"/>
  <c r="E274" i="75"/>
  <c r="D274" i="75"/>
  <c r="C274" i="75"/>
  <c r="B274" i="75"/>
  <c r="EI273" i="75"/>
  <c r="EJ273" i="75" s="1"/>
  <c r="EH273" i="75"/>
  <c r="EG273" i="75"/>
  <c r="EF273" i="75"/>
  <c r="EE273" i="75"/>
  <c r="ED273" i="75"/>
  <c r="EC273" i="75"/>
  <c r="EB273" i="75"/>
  <c r="EA273" i="75"/>
  <c r="DZ273" i="75" s="1"/>
  <c r="DB273" i="75"/>
  <c r="DC273" i="75" s="1"/>
  <c r="DA273" i="75"/>
  <c r="CZ273" i="75"/>
  <c r="CY273" i="75"/>
  <c r="CX273" i="75"/>
  <c r="CW273" i="75"/>
  <c r="CV273" i="75"/>
  <c r="CU273" i="75"/>
  <c r="CT273" i="75"/>
  <c r="CS273" i="75" s="1"/>
  <c r="CQ273" i="75"/>
  <c r="CR273" i="75" s="1"/>
  <c r="CP273" i="75"/>
  <c r="CO273" i="75"/>
  <c r="CN273" i="75"/>
  <c r="CM273" i="75"/>
  <c r="CL273" i="75"/>
  <c r="CK273" i="75"/>
  <c r="CJ273" i="75"/>
  <c r="CI273" i="75"/>
  <c r="CH273" i="75" s="1"/>
  <c r="CF273" i="75"/>
  <c r="CG273" i="75" s="1"/>
  <c r="CE273" i="75"/>
  <c r="CD273" i="75"/>
  <c r="CC273" i="75"/>
  <c r="CB273" i="75"/>
  <c r="CA273" i="75"/>
  <c r="BZ273" i="75"/>
  <c r="BY273" i="75"/>
  <c r="BX273" i="75"/>
  <c r="BW273" i="75" s="1"/>
  <c r="BU273" i="75"/>
  <c r="BV273" i="75" s="1"/>
  <c r="BT273" i="75"/>
  <c r="BS273" i="75"/>
  <c r="BR273" i="75"/>
  <c r="BQ273" i="75"/>
  <c r="BP273" i="75"/>
  <c r="BO273" i="75"/>
  <c r="BN273" i="75"/>
  <c r="BM273" i="75"/>
  <c r="BL273" i="75" s="1"/>
  <c r="BJ273" i="75"/>
  <c r="BI273" i="75"/>
  <c r="GK273" i="75" s="1"/>
  <c r="BH273" i="75"/>
  <c r="GJ273" i="75" s="1"/>
  <c r="BG273" i="75"/>
  <c r="GI273" i="75" s="1"/>
  <c r="BF273" i="75"/>
  <c r="GH273" i="75" s="1"/>
  <c r="BE273" i="75"/>
  <c r="GG273" i="75" s="1"/>
  <c r="BD273" i="75"/>
  <c r="GF273" i="75" s="1"/>
  <c r="BC273" i="75"/>
  <c r="GE273" i="75" s="1"/>
  <c r="BB273" i="75"/>
  <c r="GD273" i="75" s="1"/>
  <c r="AY273" i="75"/>
  <c r="GA273" i="75" s="1"/>
  <c r="AX273" i="75"/>
  <c r="FZ273" i="75" s="1"/>
  <c r="AW273" i="75"/>
  <c r="FY273" i="75" s="1"/>
  <c r="AV273" i="75"/>
  <c r="FX273" i="75" s="1"/>
  <c r="AU273" i="75"/>
  <c r="FW273" i="75" s="1"/>
  <c r="AT273" i="75"/>
  <c r="FV273" i="75" s="1"/>
  <c r="AS273" i="75"/>
  <c r="FU273" i="75" s="1"/>
  <c r="AR273" i="75"/>
  <c r="FT273" i="75" s="1"/>
  <c r="AQ273" i="75"/>
  <c r="AP273" i="75" s="1"/>
  <c r="FR273" i="75" s="1"/>
  <c r="AN273" i="75"/>
  <c r="AM273" i="75"/>
  <c r="FO273" i="75" s="1"/>
  <c r="AL273" i="75"/>
  <c r="FN273" i="75" s="1"/>
  <c r="AK273" i="75"/>
  <c r="FM273" i="75" s="1"/>
  <c r="AJ273" i="75"/>
  <c r="FL273" i="75" s="1"/>
  <c r="AI273" i="75"/>
  <c r="FK273" i="75" s="1"/>
  <c r="AH273" i="75"/>
  <c r="FJ273" i="75" s="1"/>
  <c r="AG273" i="75"/>
  <c r="FI273" i="75" s="1"/>
  <c r="AF273" i="75"/>
  <c r="FH273" i="75" s="1"/>
  <c r="AC273" i="75"/>
  <c r="AD273" i="75" s="1"/>
  <c r="FF273" i="75" s="1"/>
  <c r="AB273" i="75"/>
  <c r="FD273" i="75" s="1"/>
  <c r="AA273" i="75"/>
  <c r="FC273" i="75" s="1"/>
  <c r="Z273" i="75"/>
  <c r="FB273" i="75" s="1"/>
  <c r="Y273" i="75"/>
  <c r="FA273" i="75" s="1"/>
  <c r="X273" i="75"/>
  <c r="EZ273" i="75" s="1"/>
  <c r="W273" i="75"/>
  <c r="EY273" i="75" s="1"/>
  <c r="V273" i="75"/>
  <c r="EX273" i="75" s="1"/>
  <c r="U273" i="75"/>
  <c r="EW273" i="75" s="1"/>
  <c r="EV273" i="75" s="1"/>
  <c r="S273" i="75"/>
  <c r="ET273" i="75" s="1"/>
  <c r="R273" i="75"/>
  <c r="ES273" i="75" s="1"/>
  <c r="Q273" i="75"/>
  <c r="ER273" i="75" s="1"/>
  <c r="P273" i="75"/>
  <c r="EQ273" i="75" s="1"/>
  <c r="O273" i="75"/>
  <c r="EP273" i="75" s="1"/>
  <c r="N273" i="75"/>
  <c r="EO273" i="75" s="1"/>
  <c r="M273" i="75"/>
  <c r="EN273" i="75" s="1"/>
  <c r="L273" i="75"/>
  <c r="EM273" i="75" s="1"/>
  <c r="K273" i="75"/>
  <c r="EL273" i="75" s="1"/>
  <c r="EK273" i="75" s="1"/>
  <c r="J273" i="75"/>
  <c r="E273" i="75"/>
  <c r="D273" i="75"/>
  <c r="C273" i="75"/>
  <c r="B273" i="75"/>
  <c r="EI272" i="75"/>
  <c r="EJ272" i="75" s="1"/>
  <c r="EH272" i="75"/>
  <c r="EG272" i="75"/>
  <c r="EF272" i="75"/>
  <c r="EE272" i="75"/>
  <c r="ED272" i="75"/>
  <c r="EC272" i="75"/>
  <c r="EB272" i="75"/>
  <c r="EA272" i="75"/>
  <c r="DZ272" i="75" s="1"/>
  <c r="DB272" i="75"/>
  <c r="DC272" i="75" s="1"/>
  <c r="DA272" i="75"/>
  <c r="CZ272" i="75"/>
  <c r="CY272" i="75"/>
  <c r="CX272" i="75"/>
  <c r="CW272" i="75"/>
  <c r="CV272" i="75"/>
  <c r="CU272" i="75"/>
  <c r="CT272" i="75"/>
  <c r="CS272" i="75" s="1"/>
  <c r="CQ272" i="75"/>
  <c r="CR272" i="75" s="1"/>
  <c r="CP272" i="75"/>
  <c r="CO272" i="75"/>
  <c r="CN272" i="75"/>
  <c r="CM272" i="75"/>
  <c r="CL272" i="75"/>
  <c r="CK272" i="75"/>
  <c r="CJ272" i="75"/>
  <c r="CI272" i="75"/>
  <c r="CH272" i="75" s="1"/>
  <c r="CF272" i="75"/>
  <c r="CG272" i="75" s="1"/>
  <c r="CE272" i="75"/>
  <c r="CD272" i="75"/>
  <c r="CC272" i="75"/>
  <c r="CB272" i="75"/>
  <c r="CA272" i="75"/>
  <c r="BZ272" i="75"/>
  <c r="BY272" i="75"/>
  <c r="BX272" i="75"/>
  <c r="BW272" i="75" s="1"/>
  <c r="BU272" i="75"/>
  <c r="BV272" i="75" s="1"/>
  <c r="BT272" i="75"/>
  <c r="BS272" i="75"/>
  <c r="BR272" i="75"/>
  <c r="BQ272" i="75"/>
  <c r="BP272" i="75"/>
  <c r="BO272" i="75"/>
  <c r="BN272" i="75"/>
  <c r="BM272" i="75"/>
  <c r="BL272" i="75" s="1"/>
  <c r="BJ272" i="75"/>
  <c r="GL272" i="75" s="1"/>
  <c r="BI272" i="75"/>
  <c r="GK272" i="75" s="1"/>
  <c r="BH272" i="75"/>
  <c r="GJ272" i="75" s="1"/>
  <c r="BG272" i="75"/>
  <c r="GI272" i="75" s="1"/>
  <c r="BF272" i="75"/>
  <c r="GH272" i="75" s="1"/>
  <c r="BE272" i="75"/>
  <c r="GG272" i="75" s="1"/>
  <c r="BD272" i="75"/>
  <c r="GF272" i="75" s="1"/>
  <c r="BC272" i="75"/>
  <c r="GE272" i="75" s="1"/>
  <c r="BB272" i="75"/>
  <c r="GD272" i="75" s="1"/>
  <c r="AY272" i="75"/>
  <c r="AZ272" i="75" s="1"/>
  <c r="GB272" i="75" s="1"/>
  <c r="AX272" i="75"/>
  <c r="FZ272" i="75" s="1"/>
  <c r="AW272" i="75"/>
  <c r="FY272" i="75" s="1"/>
  <c r="AV272" i="75"/>
  <c r="FX272" i="75" s="1"/>
  <c r="AU272" i="75"/>
  <c r="FW272" i="75" s="1"/>
  <c r="AT272" i="75"/>
  <c r="FV272" i="75" s="1"/>
  <c r="AS272" i="75"/>
  <c r="FU272" i="75" s="1"/>
  <c r="AR272" i="75"/>
  <c r="FT272" i="75" s="1"/>
  <c r="AQ272" i="75"/>
  <c r="FS272" i="75" s="1"/>
  <c r="AN272" i="75"/>
  <c r="AM272" i="75"/>
  <c r="FO272" i="75" s="1"/>
  <c r="AL272" i="75"/>
  <c r="FN272" i="75" s="1"/>
  <c r="AK272" i="75"/>
  <c r="FM272" i="75" s="1"/>
  <c r="AJ272" i="75"/>
  <c r="FL272" i="75" s="1"/>
  <c r="AI272" i="75"/>
  <c r="FK272" i="75" s="1"/>
  <c r="AH272" i="75"/>
  <c r="FJ272" i="75" s="1"/>
  <c r="AG272" i="75"/>
  <c r="FI272" i="75" s="1"/>
  <c r="AF272" i="75"/>
  <c r="FH272" i="75" s="1"/>
  <c r="AC272" i="75"/>
  <c r="AD272" i="75" s="1"/>
  <c r="FF272" i="75" s="1"/>
  <c r="AB272" i="75"/>
  <c r="FD272" i="75" s="1"/>
  <c r="AA272" i="75"/>
  <c r="FC272" i="75" s="1"/>
  <c r="Z272" i="75"/>
  <c r="FB272" i="75" s="1"/>
  <c r="Y272" i="75"/>
  <c r="FA272" i="75" s="1"/>
  <c r="X272" i="75"/>
  <c r="EZ272" i="75" s="1"/>
  <c r="W272" i="75"/>
  <c r="EY272" i="75" s="1"/>
  <c r="V272" i="75"/>
  <c r="EX272" i="75" s="1"/>
  <c r="U272" i="75"/>
  <c r="EW272" i="75" s="1"/>
  <c r="EV272" i="75" s="1"/>
  <c r="S272" i="75"/>
  <c r="ET272" i="75" s="1"/>
  <c r="R272" i="75"/>
  <c r="ES272" i="75" s="1"/>
  <c r="Q272" i="75"/>
  <c r="ER272" i="75" s="1"/>
  <c r="P272" i="75"/>
  <c r="EQ272" i="75" s="1"/>
  <c r="O272" i="75"/>
  <c r="EP272" i="75" s="1"/>
  <c r="N272" i="75"/>
  <c r="EO272" i="75" s="1"/>
  <c r="M272" i="75"/>
  <c r="EN272" i="75" s="1"/>
  <c r="L272" i="75"/>
  <c r="EM272" i="75" s="1"/>
  <c r="K272" i="75"/>
  <c r="EL272" i="75" s="1"/>
  <c r="EK272" i="75" s="1"/>
  <c r="J272" i="75"/>
  <c r="E272" i="75"/>
  <c r="D272" i="75"/>
  <c r="C272" i="75"/>
  <c r="B272" i="75"/>
  <c r="EI271" i="75"/>
  <c r="EJ271" i="75" s="1"/>
  <c r="EH271" i="75"/>
  <c r="EG271" i="75"/>
  <c r="EF271" i="75"/>
  <c r="EE271" i="75"/>
  <c r="ED271" i="75"/>
  <c r="EC271" i="75"/>
  <c r="EB271" i="75"/>
  <c r="EA271" i="75"/>
  <c r="DZ271" i="75" s="1"/>
  <c r="DB271" i="75"/>
  <c r="DC271" i="75" s="1"/>
  <c r="DA271" i="75"/>
  <c r="CZ271" i="75"/>
  <c r="CY271" i="75"/>
  <c r="CX271" i="75"/>
  <c r="CW271" i="75"/>
  <c r="CV271" i="75"/>
  <c r="CU271" i="75"/>
  <c r="CT271" i="75"/>
  <c r="CS271" i="75" s="1"/>
  <c r="CQ271" i="75"/>
  <c r="CR271" i="75" s="1"/>
  <c r="CP271" i="75"/>
  <c r="CO271" i="75"/>
  <c r="CN271" i="75"/>
  <c r="CM271" i="75"/>
  <c r="CL271" i="75"/>
  <c r="CK271" i="75"/>
  <c r="CJ271" i="75"/>
  <c r="CI271" i="75"/>
  <c r="CH271" i="75" s="1"/>
  <c r="CF271" i="75"/>
  <c r="CG271" i="75" s="1"/>
  <c r="CE271" i="75"/>
  <c r="CD271" i="75"/>
  <c r="CC271" i="75"/>
  <c r="CB271" i="75"/>
  <c r="CA271" i="75"/>
  <c r="BZ271" i="75"/>
  <c r="BY271" i="75"/>
  <c r="BX271" i="75"/>
  <c r="BW271" i="75" s="1"/>
  <c r="BU271" i="75"/>
  <c r="BV271" i="75" s="1"/>
  <c r="BT271" i="75"/>
  <c r="BS271" i="75"/>
  <c r="BR271" i="75"/>
  <c r="BQ271" i="75"/>
  <c r="BP271" i="75"/>
  <c r="BO271" i="75"/>
  <c r="BN271" i="75"/>
  <c r="BM271" i="75"/>
  <c r="BL271" i="75" s="1"/>
  <c r="BJ271" i="75"/>
  <c r="GL271" i="75" s="1"/>
  <c r="BI271" i="75"/>
  <c r="GK271" i="75" s="1"/>
  <c r="BH271" i="75"/>
  <c r="GJ271" i="75" s="1"/>
  <c r="BG271" i="75"/>
  <c r="GI271" i="75" s="1"/>
  <c r="BF271" i="75"/>
  <c r="GH271" i="75" s="1"/>
  <c r="BE271" i="75"/>
  <c r="GG271" i="75" s="1"/>
  <c r="BD271" i="75"/>
  <c r="GF271" i="75" s="1"/>
  <c r="BC271" i="75"/>
  <c r="GE271" i="75" s="1"/>
  <c r="BB271" i="75"/>
  <c r="GD271" i="75" s="1"/>
  <c r="AY271" i="75"/>
  <c r="AX271" i="75"/>
  <c r="FZ271" i="75" s="1"/>
  <c r="AW271" i="75"/>
  <c r="FY271" i="75" s="1"/>
  <c r="AV271" i="75"/>
  <c r="FX271" i="75" s="1"/>
  <c r="AU271" i="75"/>
  <c r="FW271" i="75" s="1"/>
  <c r="AT271" i="75"/>
  <c r="FV271" i="75" s="1"/>
  <c r="AS271" i="75"/>
  <c r="FU271" i="75" s="1"/>
  <c r="AR271" i="75"/>
  <c r="FT271" i="75" s="1"/>
  <c r="AQ271" i="75"/>
  <c r="AN271" i="75"/>
  <c r="FP271" i="75" s="1"/>
  <c r="AM271" i="75"/>
  <c r="FO271" i="75" s="1"/>
  <c r="AL271" i="75"/>
  <c r="FN271" i="75" s="1"/>
  <c r="AK271" i="75"/>
  <c r="FM271" i="75" s="1"/>
  <c r="AJ271" i="75"/>
  <c r="FL271" i="75" s="1"/>
  <c r="AI271" i="75"/>
  <c r="FK271" i="75" s="1"/>
  <c r="AH271" i="75"/>
  <c r="FJ271" i="75" s="1"/>
  <c r="AG271" i="75"/>
  <c r="FI271" i="75" s="1"/>
  <c r="AF271" i="75"/>
  <c r="FH271" i="75" s="1"/>
  <c r="AC271" i="75"/>
  <c r="AB271" i="75"/>
  <c r="FD271" i="75" s="1"/>
  <c r="AA271" i="75"/>
  <c r="FC271" i="75" s="1"/>
  <c r="Z271" i="75"/>
  <c r="FB271" i="75" s="1"/>
  <c r="Y271" i="75"/>
  <c r="FA271" i="75" s="1"/>
  <c r="X271" i="75"/>
  <c r="EZ271" i="75" s="1"/>
  <c r="W271" i="75"/>
  <c r="EY271" i="75" s="1"/>
  <c r="V271" i="75"/>
  <c r="EX271" i="75" s="1"/>
  <c r="U271" i="75"/>
  <c r="EW271" i="75" s="1"/>
  <c r="EV271" i="75" s="1"/>
  <c r="S271" i="75"/>
  <c r="T271" i="75" s="1"/>
  <c r="EU271" i="75" s="1"/>
  <c r="R271" i="75"/>
  <c r="ES271" i="75" s="1"/>
  <c r="Q271" i="75"/>
  <c r="ER271" i="75" s="1"/>
  <c r="P271" i="75"/>
  <c r="EQ271" i="75" s="1"/>
  <c r="O271" i="75"/>
  <c r="EP271" i="75" s="1"/>
  <c r="N271" i="75"/>
  <c r="EO271" i="75" s="1"/>
  <c r="M271" i="75"/>
  <c r="EN271" i="75" s="1"/>
  <c r="L271" i="75"/>
  <c r="EM271" i="75" s="1"/>
  <c r="K271" i="75"/>
  <c r="EL271" i="75" s="1"/>
  <c r="EK271" i="75" s="1"/>
  <c r="J271" i="75"/>
  <c r="E271" i="75"/>
  <c r="D271" i="75"/>
  <c r="C271" i="75"/>
  <c r="B271" i="75"/>
  <c r="GM270" i="75"/>
  <c r="GL270" i="75"/>
  <c r="GK270" i="75"/>
  <c r="GJ270" i="75"/>
  <c r="GI270" i="75"/>
  <c r="GH270" i="75"/>
  <c r="GG270" i="75"/>
  <c r="GF270" i="75"/>
  <c r="GE270" i="75"/>
  <c r="GD270" i="75"/>
  <c r="GC270" i="75"/>
  <c r="GB270" i="75"/>
  <c r="GA270" i="75"/>
  <c r="FZ270" i="75"/>
  <c r="FY270" i="75"/>
  <c r="FX270" i="75"/>
  <c r="FW270" i="75"/>
  <c r="FV270" i="75"/>
  <c r="FU270" i="75"/>
  <c r="FT270" i="75"/>
  <c r="FS270" i="75"/>
  <c r="FR270" i="75"/>
  <c r="FQ270" i="75"/>
  <c r="FP270" i="75"/>
  <c r="FO270" i="75"/>
  <c r="FN270" i="75"/>
  <c r="FM270" i="75"/>
  <c r="FL270" i="75"/>
  <c r="FK270" i="75"/>
  <c r="FJ270" i="75"/>
  <c r="FI270" i="75"/>
  <c r="FH270" i="75"/>
  <c r="FG270" i="75"/>
  <c r="FE270" i="75"/>
  <c r="FD270" i="75"/>
  <c r="FC270" i="75"/>
  <c r="FB270" i="75"/>
  <c r="FA270" i="75"/>
  <c r="EZ270" i="75"/>
  <c r="EY270" i="75"/>
  <c r="EX270" i="75"/>
  <c r="EW270" i="75"/>
  <c r="ET270" i="75"/>
  <c r="ES270" i="75"/>
  <c r="ER270" i="75"/>
  <c r="EQ270" i="75"/>
  <c r="EP270" i="75"/>
  <c r="EO270" i="75"/>
  <c r="EN270" i="75"/>
  <c r="EM270" i="75"/>
  <c r="EL270" i="75"/>
  <c r="AD270" i="75"/>
  <c r="FF270" i="75" s="1"/>
  <c r="T270" i="75"/>
  <c r="EU270" i="75" s="1"/>
  <c r="J270" i="75"/>
  <c r="E270" i="75"/>
  <c r="D270" i="75"/>
  <c r="C270" i="75"/>
  <c r="B270" i="75"/>
  <c r="A270" i="75"/>
  <c r="GM269" i="75"/>
  <c r="GL269" i="75"/>
  <c r="GK269" i="75"/>
  <c r="GJ269" i="75"/>
  <c r="GI269" i="75"/>
  <c r="GH269" i="75"/>
  <c r="GG269" i="75"/>
  <c r="GF269" i="75"/>
  <c r="GE269" i="75"/>
  <c r="GD269" i="75"/>
  <c r="GC269" i="75"/>
  <c r="GB269" i="75"/>
  <c r="GA269" i="75"/>
  <c r="FZ269" i="75"/>
  <c r="FY269" i="75"/>
  <c r="FX269" i="75"/>
  <c r="FW269" i="75"/>
  <c r="FV269" i="75"/>
  <c r="FU269" i="75"/>
  <c r="FT269" i="75"/>
  <c r="FS269" i="75"/>
  <c r="FR269" i="75"/>
  <c r="FQ269" i="75"/>
  <c r="FP269" i="75"/>
  <c r="FO269" i="75"/>
  <c r="FN269" i="75"/>
  <c r="FM269" i="75"/>
  <c r="FL269" i="75"/>
  <c r="FK269" i="75"/>
  <c r="FJ269" i="75"/>
  <c r="FI269" i="75"/>
  <c r="FH269" i="75"/>
  <c r="FG269" i="75"/>
  <c r="FE269" i="75"/>
  <c r="FD269" i="75"/>
  <c r="FC269" i="75"/>
  <c r="FB269" i="75"/>
  <c r="FA269" i="75"/>
  <c r="EZ269" i="75"/>
  <c r="EY269" i="75"/>
  <c r="EX269" i="75"/>
  <c r="EW269" i="75"/>
  <c r="ET269" i="75"/>
  <c r="ES269" i="75"/>
  <c r="ER269" i="75"/>
  <c r="EQ269" i="75"/>
  <c r="EP269" i="75"/>
  <c r="EO269" i="75"/>
  <c r="EN269" i="75"/>
  <c r="EM269" i="75"/>
  <c r="EL269" i="75"/>
  <c r="AD269" i="75"/>
  <c r="FF269" i="75" s="1"/>
  <c r="T269" i="75"/>
  <c r="EU269" i="75" s="1"/>
  <c r="J269" i="75"/>
  <c r="E269" i="75"/>
  <c r="D269" i="75"/>
  <c r="C269" i="75"/>
  <c r="B269" i="75"/>
  <c r="A269" i="75"/>
  <c r="GM268" i="75"/>
  <c r="GL268" i="75"/>
  <c r="GK268" i="75"/>
  <c r="GJ268" i="75"/>
  <c r="GI268" i="75"/>
  <c r="GH268" i="75"/>
  <c r="GG268" i="75"/>
  <c r="GF268" i="75"/>
  <c r="GE268" i="75"/>
  <c r="GD268" i="75"/>
  <c r="GC268" i="75"/>
  <c r="GB268" i="75"/>
  <c r="GA268" i="75"/>
  <c r="FZ268" i="75"/>
  <c r="FY268" i="75"/>
  <c r="FX268" i="75"/>
  <c r="FW268" i="75"/>
  <c r="FV268" i="75"/>
  <c r="FU268" i="75"/>
  <c r="FT268" i="75"/>
  <c r="FS268" i="75"/>
  <c r="FR268" i="75"/>
  <c r="FQ268" i="75"/>
  <c r="FP268" i="75"/>
  <c r="FO268" i="75"/>
  <c r="FN268" i="75"/>
  <c r="FM268" i="75"/>
  <c r="FL268" i="75"/>
  <c r="FK268" i="75"/>
  <c r="FJ268" i="75"/>
  <c r="FI268" i="75"/>
  <c r="FH268" i="75"/>
  <c r="FG268" i="75"/>
  <c r="FE268" i="75"/>
  <c r="FD268" i="75"/>
  <c r="FC268" i="75"/>
  <c r="FB268" i="75"/>
  <c r="FA268" i="75"/>
  <c r="EZ268" i="75"/>
  <c r="EY268" i="75"/>
  <c r="EX268" i="75"/>
  <c r="EW268" i="75"/>
  <c r="ET268" i="75"/>
  <c r="ES268" i="75"/>
  <c r="ER268" i="75"/>
  <c r="EQ268" i="75"/>
  <c r="EP268" i="75"/>
  <c r="EO268" i="75"/>
  <c r="EN268" i="75"/>
  <c r="EM268" i="75"/>
  <c r="EL268" i="75"/>
  <c r="AD268" i="75"/>
  <c r="FF268" i="75" s="1"/>
  <c r="T268" i="75"/>
  <c r="EU268" i="75" s="1"/>
  <c r="J268" i="75"/>
  <c r="E268" i="75"/>
  <c r="D268" i="75"/>
  <c r="C268" i="75"/>
  <c r="B268" i="75"/>
  <c r="A268" i="75"/>
  <c r="GM267" i="75"/>
  <c r="GL267" i="75"/>
  <c r="GK267" i="75"/>
  <c r="GJ267" i="75"/>
  <c r="GI267" i="75"/>
  <c r="GH267" i="75"/>
  <c r="GG267" i="75"/>
  <c r="GF267" i="75"/>
  <c r="GE267" i="75"/>
  <c r="GD267" i="75"/>
  <c r="GC267" i="75"/>
  <c r="GB267" i="75"/>
  <c r="GA267" i="75"/>
  <c r="FZ267" i="75"/>
  <c r="FY267" i="75"/>
  <c r="FX267" i="75"/>
  <c r="FW267" i="75"/>
  <c r="FV267" i="75"/>
  <c r="FU267" i="75"/>
  <c r="FT267" i="75"/>
  <c r="FS267" i="75"/>
  <c r="FR267" i="75"/>
  <c r="FQ267" i="75"/>
  <c r="FP267" i="75"/>
  <c r="FO267" i="75"/>
  <c r="FN267" i="75"/>
  <c r="FM267" i="75"/>
  <c r="FL267" i="75"/>
  <c r="FK267" i="75"/>
  <c r="FJ267" i="75"/>
  <c r="FI267" i="75"/>
  <c r="FH267" i="75"/>
  <c r="FG267" i="75"/>
  <c r="FE267" i="75"/>
  <c r="FD267" i="75"/>
  <c r="FC267" i="75"/>
  <c r="FB267" i="75"/>
  <c r="FA267" i="75"/>
  <c r="EZ267" i="75"/>
  <c r="EY267" i="75"/>
  <c r="EX267" i="75"/>
  <c r="EW267" i="75"/>
  <c r="ET267" i="75"/>
  <c r="ES267" i="75"/>
  <c r="ER267" i="75"/>
  <c r="EQ267" i="75"/>
  <c r="EP267" i="75"/>
  <c r="EO267" i="75"/>
  <c r="EN267" i="75"/>
  <c r="EM267" i="75"/>
  <c r="EL267" i="75"/>
  <c r="AD267" i="75"/>
  <c r="FF267" i="75" s="1"/>
  <c r="T267" i="75"/>
  <c r="EU267" i="75" s="1"/>
  <c r="J267" i="75"/>
  <c r="E267" i="75"/>
  <c r="D267" i="75"/>
  <c r="C267" i="75"/>
  <c r="B267" i="75"/>
  <c r="A267" i="75"/>
  <c r="GM266" i="75"/>
  <c r="GL266" i="75"/>
  <c r="GK266" i="75"/>
  <c r="GJ266" i="75"/>
  <c r="GI266" i="75"/>
  <c r="GH266" i="75"/>
  <c r="GG266" i="75"/>
  <c r="GF266" i="75"/>
  <c r="GE266" i="75"/>
  <c r="GD266" i="75"/>
  <c r="GC266" i="75"/>
  <c r="GB266" i="75"/>
  <c r="GA266" i="75"/>
  <c r="FZ266" i="75"/>
  <c r="FY266" i="75"/>
  <c r="FX266" i="75"/>
  <c r="FW266" i="75"/>
  <c r="FV266" i="75"/>
  <c r="FU266" i="75"/>
  <c r="FT266" i="75"/>
  <c r="FS266" i="75"/>
  <c r="FR266" i="75"/>
  <c r="FQ266" i="75"/>
  <c r="FP266" i="75"/>
  <c r="FO266" i="75"/>
  <c r="FN266" i="75"/>
  <c r="FM266" i="75"/>
  <c r="FL266" i="75"/>
  <c r="FK266" i="75"/>
  <c r="FJ266" i="75"/>
  <c r="FI266" i="75"/>
  <c r="FH266" i="75"/>
  <c r="FG266" i="75"/>
  <c r="FE266" i="75"/>
  <c r="FD266" i="75"/>
  <c r="FC266" i="75"/>
  <c r="FB266" i="75"/>
  <c r="FA266" i="75"/>
  <c r="EZ266" i="75"/>
  <c r="EY266" i="75"/>
  <c r="EX266" i="75"/>
  <c r="EW266" i="75"/>
  <c r="ET266" i="75"/>
  <c r="ES266" i="75"/>
  <c r="ER266" i="75"/>
  <c r="EQ266" i="75"/>
  <c r="EP266" i="75"/>
  <c r="EO266" i="75"/>
  <c r="EN266" i="75"/>
  <c r="EM266" i="75"/>
  <c r="EL266" i="75"/>
  <c r="AD266" i="75"/>
  <c r="FF266" i="75" s="1"/>
  <c r="T266" i="75"/>
  <c r="EU266" i="75" s="1"/>
  <c r="J266" i="75"/>
  <c r="E266" i="75"/>
  <c r="D266" i="75"/>
  <c r="C266" i="75"/>
  <c r="B266" i="75"/>
  <c r="A266" i="75"/>
  <c r="EI265" i="75"/>
  <c r="EJ265" i="75" s="1"/>
  <c r="EH265" i="75"/>
  <c r="EG265" i="75"/>
  <c r="EF265" i="75"/>
  <c r="EE265" i="75"/>
  <c r="ED265" i="75"/>
  <c r="EC265" i="75"/>
  <c r="EB265" i="75"/>
  <c r="EA265" i="75"/>
  <c r="DZ265" i="75" s="1"/>
  <c r="DB265" i="75"/>
  <c r="DC265" i="75" s="1"/>
  <c r="DA265" i="75"/>
  <c r="CZ265" i="75"/>
  <c r="CY265" i="75"/>
  <c r="CX265" i="75"/>
  <c r="CW265" i="75"/>
  <c r="CV265" i="75"/>
  <c r="CU265" i="75"/>
  <c r="CT265" i="75"/>
  <c r="CS265" i="75" s="1"/>
  <c r="CQ265" i="75"/>
  <c r="CR265" i="75" s="1"/>
  <c r="CP265" i="75"/>
  <c r="CO265" i="75"/>
  <c r="CN265" i="75"/>
  <c r="CM265" i="75"/>
  <c r="CL265" i="75"/>
  <c r="CK265" i="75"/>
  <c r="CJ265" i="75"/>
  <c r="CI265" i="75"/>
  <c r="CH265" i="75" s="1"/>
  <c r="CF265" i="75"/>
  <c r="CG265" i="75" s="1"/>
  <c r="CE265" i="75"/>
  <c r="CD265" i="75"/>
  <c r="CC265" i="75"/>
  <c r="CB265" i="75"/>
  <c r="CA265" i="75"/>
  <c r="BZ265" i="75"/>
  <c r="BY265" i="75"/>
  <c r="BX265" i="75"/>
  <c r="BW265" i="75" s="1"/>
  <c r="BU265" i="75"/>
  <c r="BV265" i="75" s="1"/>
  <c r="BT265" i="75"/>
  <c r="BS265" i="75"/>
  <c r="BR265" i="75"/>
  <c r="BQ265" i="75"/>
  <c r="BP265" i="75"/>
  <c r="BO265" i="75"/>
  <c r="BN265" i="75"/>
  <c r="BM265" i="75"/>
  <c r="BL265" i="75" s="1"/>
  <c r="BJ265" i="75"/>
  <c r="GL265" i="75" s="1"/>
  <c r="BI265" i="75"/>
  <c r="GK265" i="75" s="1"/>
  <c r="BH265" i="75"/>
  <c r="GJ265" i="75" s="1"/>
  <c r="BG265" i="75"/>
  <c r="GI265" i="75" s="1"/>
  <c r="BF265" i="75"/>
  <c r="GH265" i="75" s="1"/>
  <c r="BE265" i="75"/>
  <c r="GG265" i="75" s="1"/>
  <c r="BD265" i="75"/>
  <c r="GF265" i="75" s="1"/>
  <c r="BC265" i="75"/>
  <c r="GE265" i="75" s="1"/>
  <c r="BB265" i="75"/>
  <c r="BA265" i="75" s="1"/>
  <c r="GC265" i="75" s="1"/>
  <c r="AY265" i="75"/>
  <c r="AX265" i="75"/>
  <c r="FZ265" i="75" s="1"/>
  <c r="AW265" i="75"/>
  <c r="FY265" i="75" s="1"/>
  <c r="AV265" i="75"/>
  <c r="FX265" i="75" s="1"/>
  <c r="AU265" i="75"/>
  <c r="FW265" i="75" s="1"/>
  <c r="AT265" i="75"/>
  <c r="FV265" i="75" s="1"/>
  <c r="AS265" i="75"/>
  <c r="FU265" i="75" s="1"/>
  <c r="AR265" i="75"/>
  <c r="FT265" i="75" s="1"/>
  <c r="AQ265" i="75"/>
  <c r="FS265" i="75" s="1"/>
  <c r="AN265" i="75"/>
  <c r="AM265" i="75"/>
  <c r="FO265" i="75" s="1"/>
  <c r="AL265" i="75"/>
  <c r="FN265" i="75" s="1"/>
  <c r="AK265" i="75"/>
  <c r="FM265" i="75" s="1"/>
  <c r="AJ265" i="75"/>
  <c r="FL265" i="75" s="1"/>
  <c r="AI265" i="75"/>
  <c r="FK265" i="75" s="1"/>
  <c r="AH265" i="75"/>
  <c r="FJ265" i="75" s="1"/>
  <c r="AG265" i="75"/>
  <c r="FI265" i="75" s="1"/>
  <c r="AF265" i="75"/>
  <c r="AC265" i="75"/>
  <c r="FE265" i="75" s="1"/>
  <c r="AB265" i="75"/>
  <c r="FD265" i="75" s="1"/>
  <c r="AA265" i="75"/>
  <c r="FC265" i="75" s="1"/>
  <c r="Z265" i="75"/>
  <c r="FB265" i="75" s="1"/>
  <c r="Y265" i="75"/>
  <c r="FA265" i="75" s="1"/>
  <c r="X265" i="75"/>
  <c r="EZ265" i="75" s="1"/>
  <c r="W265" i="75"/>
  <c r="EY265" i="75" s="1"/>
  <c r="V265" i="75"/>
  <c r="EX265" i="75" s="1"/>
  <c r="U265" i="75"/>
  <c r="EW265" i="75" s="1"/>
  <c r="EV265" i="75" s="1"/>
  <c r="S265" i="75"/>
  <c r="ET265" i="75" s="1"/>
  <c r="R265" i="75"/>
  <c r="ES265" i="75" s="1"/>
  <c r="Q265" i="75"/>
  <c r="ER265" i="75" s="1"/>
  <c r="P265" i="75"/>
  <c r="EQ265" i="75" s="1"/>
  <c r="O265" i="75"/>
  <c r="EP265" i="75" s="1"/>
  <c r="N265" i="75"/>
  <c r="EO265" i="75" s="1"/>
  <c r="M265" i="75"/>
  <c r="EN265" i="75" s="1"/>
  <c r="L265" i="75"/>
  <c r="EM265" i="75" s="1"/>
  <c r="K265" i="75"/>
  <c r="EL265" i="75" s="1"/>
  <c r="EK265" i="75" s="1"/>
  <c r="J265" i="75"/>
  <c r="E265" i="75"/>
  <c r="D265" i="75"/>
  <c r="C265" i="75"/>
  <c r="B265" i="75"/>
  <c r="EI264" i="75"/>
  <c r="EJ264" i="75" s="1"/>
  <c r="EH264" i="75"/>
  <c r="EG264" i="75"/>
  <c r="EF264" i="75"/>
  <c r="EE264" i="75"/>
  <c r="ED264" i="75"/>
  <c r="EC264" i="75"/>
  <c r="EB264" i="75"/>
  <c r="EA264" i="75"/>
  <c r="DZ264" i="75"/>
  <c r="DB264" i="75"/>
  <c r="DC264" i="75" s="1"/>
  <c r="DA264" i="75"/>
  <c r="CZ264" i="75"/>
  <c r="CY264" i="75"/>
  <c r="CX264" i="75"/>
  <c r="CW264" i="75"/>
  <c r="CV264" i="75"/>
  <c r="CU264" i="75"/>
  <c r="CT264" i="75"/>
  <c r="CS264" i="75" s="1"/>
  <c r="CQ264" i="75"/>
  <c r="CR264" i="75" s="1"/>
  <c r="CP264" i="75"/>
  <c r="CO264" i="75"/>
  <c r="CN264" i="75"/>
  <c r="CM264" i="75"/>
  <c r="CL264" i="75"/>
  <c r="CK264" i="75"/>
  <c r="CJ264" i="75"/>
  <c r="CI264" i="75"/>
  <c r="CH264" i="75"/>
  <c r="CF264" i="75"/>
  <c r="CG264" i="75" s="1"/>
  <c r="CE264" i="75"/>
  <c r="CD264" i="75"/>
  <c r="CC264" i="75"/>
  <c r="CB264" i="75"/>
  <c r="CA264" i="75"/>
  <c r="BZ264" i="75"/>
  <c r="BY264" i="75"/>
  <c r="BX264" i="75"/>
  <c r="BW264" i="75" s="1"/>
  <c r="BU264" i="75"/>
  <c r="BV264" i="75" s="1"/>
  <c r="BT264" i="75"/>
  <c r="BS264" i="75"/>
  <c r="BR264" i="75"/>
  <c r="BQ264" i="75"/>
  <c r="BP264" i="75"/>
  <c r="BO264" i="75"/>
  <c r="BN264" i="75"/>
  <c r="BM264" i="75"/>
  <c r="BL264" i="75" s="1"/>
  <c r="BJ264" i="75"/>
  <c r="BK264" i="75" s="1"/>
  <c r="GM264" i="75" s="1"/>
  <c r="BI264" i="75"/>
  <c r="GK264" i="75" s="1"/>
  <c r="BH264" i="75"/>
  <c r="GJ264" i="75" s="1"/>
  <c r="BG264" i="75"/>
  <c r="GI264" i="75" s="1"/>
  <c r="BF264" i="75"/>
  <c r="GH264" i="75" s="1"/>
  <c r="BE264" i="75"/>
  <c r="GG264" i="75" s="1"/>
  <c r="BD264" i="75"/>
  <c r="GF264" i="75" s="1"/>
  <c r="BC264" i="75"/>
  <c r="GE264" i="75" s="1"/>
  <c r="BB264" i="75"/>
  <c r="GD264" i="75" s="1"/>
  <c r="AY264" i="75"/>
  <c r="AZ264" i="75" s="1"/>
  <c r="GB264" i="75" s="1"/>
  <c r="AX264" i="75"/>
  <c r="FZ264" i="75" s="1"/>
  <c r="AW264" i="75"/>
  <c r="FY264" i="75" s="1"/>
  <c r="AV264" i="75"/>
  <c r="FX264" i="75" s="1"/>
  <c r="AU264" i="75"/>
  <c r="FW264" i="75" s="1"/>
  <c r="AT264" i="75"/>
  <c r="FV264" i="75" s="1"/>
  <c r="AS264" i="75"/>
  <c r="FU264" i="75" s="1"/>
  <c r="AR264" i="75"/>
  <c r="FT264" i="75" s="1"/>
  <c r="AQ264" i="75"/>
  <c r="FS264" i="75" s="1"/>
  <c r="AN264" i="75"/>
  <c r="AO264" i="75" s="1"/>
  <c r="FQ264" i="75" s="1"/>
  <c r="AM264" i="75"/>
  <c r="FO264" i="75" s="1"/>
  <c r="AL264" i="75"/>
  <c r="FN264" i="75" s="1"/>
  <c r="AK264" i="75"/>
  <c r="FM264" i="75" s="1"/>
  <c r="AJ264" i="75"/>
  <c r="FL264" i="75" s="1"/>
  <c r="AI264" i="75"/>
  <c r="FK264" i="75" s="1"/>
  <c r="AH264" i="75"/>
  <c r="FJ264" i="75" s="1"/>
  <c r="AG264" i="75"/>
  <c r="FI264" i="75" s="1"/>
  <c r="AF264" i="75"/>
  <c r="FH264" i="75" s="1"/>
  <c r="AC264" i="75"/>
  <c r="FE264" i="75" s="1"/>
  <c r="AB264" i="75"/>
  <c r="FD264" i="75" s="1"/>
  <c r="AA264" i="75"/>
  <c r="FC264" i="75" s="1"/>
  <c r="Z264" i="75"/>
  <c r="FB264" i="75" s="1"/>
  <c r="Y264" i="75"/>
  <c r="FA264" i="75" s="1"/>
  <c r="X264" i="75"/>
  <c r="EZ264" i="75" s="1"/>
  <c r="W264" i="75"/>
  <c r="EY264" i="75" s="1"/>
  <c r="V264" i="75"/>
  <c r="EX264" i="75" s="1"/>
  <c r="U264" i="75"/>
  <c r="EW264" i="75" s="1"/>
  <c r="EV264" i="75" s="1"/>
  <c r="S264" i="75"/>
  <c r="ET264" i="75" s="1"/>
  <c r="R264" i="75"/>
  <c r="ES264" i="75" s="1"/>
  <c r="Q264" i="75"/>
  <c r="ER264" i="75" s="1"/>
  <c r="P264" i="75"/>
  <c r="EQ264" i="75" s="1"/>
  <c r="O264" i="75"/>
  <c r="EP264" i="75" s="1"/>
  <c r="N264" i="75"/>
  <c r="EO264" i="75" s="1"/>
  <c r="M264" i="75"/>
  <c r="EN264" i="75" s="1"/>
  <c r="L264" i="75"/>
  <c r="EM264" i="75" s="1"/>
  <c r="K264" i="75"/>
  <c r="EL264" i="75" s="1"/>
  <c r="EK264" i="75" s="1"/>
  <c r="J264" i="75"/>
  <c r="E264" i="75"/>
  <c r="D264" i="75"/>
  <c r="C264" i="75"/>
  <c r="B264" i="75"/>
  <c r="EI263" i="75"/>
  <c r="EJ263" i="75" s="1"/>
  <c r="EH263" i="75"/>
  <c r="EG263" i="75"/>
  <c r="EF263" i="75"/>
  <c r="EE263" i="75"/>
  <c r="ED263" i="75"/>
  <c r="EC263" i="75"/>
  <c r="EB263" i="75"/>
  <c r="EA263" i="75"/>
  <c r="DZ263" i="75" s="1"/>
  <c r="DB263" i="75"/>
  <c r="DC263" i="75" s="1"/>
  <c r="DA263" i="75"/>
  <c r="CZ263" i="75"/>
  <c r="CY263" i="75"/>
  <c r="CX263" i="75"/>
  <c r="CW263" i="75"/>
  <c r="CV263" i="75"/>
  <c r="CU263" i="75"/>
  <c r="CT263" i="75"/>
  <c r="CS263" i="75" s="1"/>
  <c r="CQ263" i="75"/>
  <c r="CR263" i="75" s="1"/>
  <c r="CP263" i="75"/>
  <c r="CO263" i="75"/>
  <c r="CN263" i="75"/>
  <c r="CM263" i="75"/>
  <c r="CL263" i="75"/>
  <c r="CK263" i="75"/>
  <c r="CJ263" i="75"/>
  <c r="CI263" i="75"/>
  <c r="CH263" i="75" s="1"/>
  <c r="CF263" i="75"/>
  <c r="CG263" i="75" s="1"/>
  <c r="CE263" i="75"/>
  <c r="CD263" i="75"/>
  <c r="CC263" i="75"/>
  <c r="CB263" i="75"/>
  <c r="CA263" i="75"/>
  <c r="BZ263" i="75"/>
  <c r="BY263" i="75"/>
  <c r="BX263" i="75"/>
  <c r="BW263" i="75" s="1"/>
  <c r="BU263" i="75"/>
  <c r="BV263" i="75" s="1"/>
  <c r="BT263" i="75"/>
  <c r="BS263" i="75"/>
  <c r="BR263" i="75"/>
  <c r="BQ263" i="75"/>
  <c r="BP263" i="75"/>
  <c r="BO263" i="75"/>
  <c r="BN263" i="75"/>
  <c r="BM263" i="75"/>
  <c r="BL263" i="75" s="1"/>
  <c r="BJ263" i="75"/>
  <c r="BI263" i="75"/>
  <c r="GK263" i="75" s="1"/>
  <c r="BH263" i="75"/>
  <c r="GJ263" i="75" s="1"/>
  <c r="BG263" i="75"/>
  <c r="GI263" i="75" s="1"/>
  <c r="BF263" i="75"/>
  <c r="GH263" i="75" s="1"/>
  <c r="BE263" i="75"/>
  <c r="GG263" i="75" s="1"/>
  <c r="BD263" i="75"/>
  <c r="GF263" i="75" s="1"/>
  <c r="BC263" i="75"/>
  <c r="GE263" i="75" s="1"/>
  <c r="BB263" i="75"/>
  <c r="BA263" i="75" s="1"/>
  <c r="GC263" i="75" s="1"/>
  <c r="AY263" i="75"/>
  <c r="GA263" i="75" s="1"/>
  <c r="AX263" i="75"/>
  <c r="FZ263" i="75" s="1"/>
  <c r="AW263" i="75"/>
  <c r="FY263" i="75" s="1"/>
  <c r="AV263" i="75"/>
  <c r="FX263" i="75" s="1"/>
  <c r="AU263" i="75"/>
  <c r="FW263" i="75" s="1"/>
  <c r="AT263" i="75"/>
  <c r="FV263" i="75" s="1"/>
  <c r="AS263" i="75"/>
  <c r="FU263" i="75" s="1"/>
  <c r="AR263" i="75"/>
  <c r="FT263" i="75" s="1"/>
  <c r="AQ263" i="75"/>
  <c r="FS263" i="75" s="1"/>
  <c r="AN263" i="75"/>
  <c r="FP263" i="75" s="1"/>
  <c r="AM263" i="75"/>
  <c r="FO263" i="75" s="1"/>
  <c r="AL263" i="75"/>
  <c r="FN263" i="75" s="1"/>
  <c r="AK263" i="75"/>
  <c r="FM263" i="75" s="1"/>
  <c r="AJ263" i="75"/>
  <c r="FL263" i="75" s="1"/>
  <c r="AI263" i="75"/>
  <c r="FK263" i="75" s="1"/>
  <c r="AH263" i="75"/>
  <c r="FJ263" i="75" s="1"/>
  <c r="AG263" i="75"/>
  <c r="FI263" i="75" s="1"/>
  <c r="AF263" i="75"/>
  <c r="AE263" i="75" s="1"/>
  <c r="FG263" i="75" s="1"/>
  <c r="AC263" i="75"/>
  <c r="AD263" i="75" s="1"/>
  <c r="FF263" i="75" s="1"/>
  <c r="AB263" i="75"/>
  <c r="FD263" i="75" s="1"/>
  <c r="AA263" i="75"/>
  <c r="FC263" i="75" s="1"/>
  <c r="Z263" i="75"/>
  <c r="FB263" i="75" s="1"/>
  <c r="Y263" i="75"/>
  <c r="FA263" i="75" s="1"/>
  <c r="X263" i="75"/>
  <c r="EZ263" i="75" s="1"/>
  <c r="W263" i="75"/>
  <c r="EY263" i="75" s="1"/>
  <c r="V263" i="75"/>
  <c r="EX263" i="75" s="1"/>
  <c r="U263" i="75"/>
  <c r="EW263" i="75" s="1"/>
  <c r="EV263" i="75" s="1"/>
  <c r="S263" i="75"/>
  <c r="T263" i="75" s="1"/>
  <c r="EU263" i="75" s="1"/>
  <c r="R263" i="75"/>
  <c r="ES263" i="75" s="1"/>
  <c r="Q263" i="75"/>
  <c r="ER263" i="75" s="1"/>
  <c r="P263" i="75"/>
  <c r="EQ263" i="75" s="1"/>
  <c r="O263" i="75"/>
  <c r="EP263" i="75" s="1"/>
  <c r="N263" i="75"/>
  <c r="EO263" i="75" s="1"/>
  <c r="M263" i="75"/>
  <c r="EN263" i="75" s="1"/>
  <c r="L263" i="75"/>
  <c r="EM263" i="75" s="1"/>
  <c r="K263" i="75"/>
  <c r="EL263" i="75" s="1"/>
  <c r="EK263" i="75" s="1"/>
  <c r="J263" i="75"/>
  <c r="E263" i="75"/>
  <c r="D263" i="75"/>
  <c r="C263" i="75"/>
  <c r="B263" i="75"/>
  <c r="EI262" i="75"/>
  <c r="EJ262" i="75" s="1"/>
  <c r="EH262" i="75"/>
  <c r="EG262" i="75"/>
  <c r="EF262" i="75"/>
  <c r="EE262" i="75"/>
  <c r="ED262" i="75"/>
  <c r="EC262" i="75"/>
  <c r="EB262" i="75"/>
  <c r="EA262" i="75"/>
  <c r="DZ262" i="75" s="1"/>
  <c r="DB262" i="75"/>
  <c r="DC262" i="75" s="1"/>
  <c r="DA262" i="75"/>
  <c r="CZ262" i="75"/>
  <c r="CY262" i="75"/>
  <c r="CX262" i="75"/>
  <c r="CW262" i="75"/>
  <c r="CV262" i="75"/>
  <c r="CU262" i="75"/>
  <c r="CT262" i="75"/>
  <c r="CS262" i="75"/>
  <c r="CQ262" i="75"/>
  <c r="CR262" i="75" s="1"/>
  <c r="CP262" i="75"/>
  <c r="CO262" i="75"/>
  <c r="CN262" i="75"/>
  <c r="CM262" i="75"/>
  <c r="CL262" i="75"/>
  <c r="CK262" i="75"/>
  <c r="CJ262" i="75"/>
  <c r="CI262" i="75"/>
  <c r="CH262" i="75" s="1"/>
  <c r="CF262" i="75"/>
  <c r="CG262" i="75" s="1"/>
  <c r="CE262" i="75"/>
  <c r="CD262" i="75"/>
  <c r="CC262" i="75"/>
  <c r="CB262" i="75"/>
  <c r="CA262" i="75"/>
  <c r="BZ262" i="75"/>
  <c r="BY262" i="75"/>
  <c r="BX262" i="75"/>
  <c r="BW262" i="75" s="1"/>
  <c r="BU262" i="75"/>
  <c r="BV262" i="75" s="1"/>
  <c r="BT262" i="75"/>
  <c r="BS262" i="75"/>
  <c r="BR262" i="75"/>
  <c r="BQ262" i="75"/>
  <c r="BP262" i="75"/>
  <c r="BO262" i="75"/>
  <c r="BN262" i="75"/>
  <c r="BM262" i="75"/>
  <c r="BL262" i="75" s="1"/>
  <c r="BJ262" i="75"/>
  <c r="GL262" i="75" s="1"/>
  <c r="BI262" i="75"/>
  <c r="GK262" i="75" s="1"/>
  <c r="BH262" i="75"/>
  <c r="GJ262" i="75" s="1"/>
  <c r="BG262" i="75"/>
  <c r="GI262" i="75" s="1"/>
  <c r="BF262" i="75"/>
  <c r="GH262" i="75" s="1"/>
  <c r="BE262" i="75"/>
  <c r="GG262" i="75" s="1"/>
  <c r="BD262" i="75"/>
  <c r="GF262" i="75" s="1"/>
  <c r="BC262" i="75"/>
  <c r="GE262" i="75" s="1"/>
  <c r="BB262" i="75"/>
  <c r="GD262" i="75" s="1"/>
  <c r="AY262" i="75"/>
  <c r="GA262" i="75" s="1"/>
  <c r="AX262" i="75"/>
  <c r="FZ262" i="75" s="1"/>
  <c r="AW262" i="75"/>
  <c r="FY262" i="75" s="1"/>
  <c r="AV262" i="75"/>
  <c r="FX262" i="75" s="1"/>
  <c r="AU262" i="75"/>
  <c r="FW262" i="75" s="1"/>
  <c r="AT262" i="75"/>
  <c r="FV262" i="75" s="1"/>
  <c r="AS262" i="75"/>
  <c r="FU262" i="75" s="1"/>
  <c r="AR262" i="75"/>
  <c r="FT262" i="75" s="1"/>
  <c r="AQ262" i="75"/>
  <c r="AN262" i="75"/>
  <c r="AO262" i="75" s="1"/>
  <c r="FQ262" i="75" s="1"/>
  <c r="AM262" i="75"/>
  <c r="FO262" i="75" s="1"/>
  <c r="AL262" i="75"/>
  <c r="FN262" i="75" s="1"/>
  <c r="AK262" i="75"/>
  <c r="FM262" i="75" s="1"/>
  <c r="AJ262" i="75"/>
  <c r="FL262" i="75" s="1"/>
  <c r="AI262" i="75"/>
  <c r="FK262" i="75" s="1"/>
  <c r="AH262" i="75"/>
  <c r="FJ262" i="75" s="1"/>
  <c r="AG262" i="75"/>
  <c r="FI262" i="75" s="1"/>
  <c r="AF262" i="75"/>
  <c r="FH262" i="75" s="1"/>
  <c r="AC262" i="75"/>
  <c r="FE262" i="75" s="1"/>
  <c r="AB262" i="75"/>
  <c r="FD262" i="75" s="1"/>
  <c r="AA262" i="75"/>
  <c r="FC262" i="75" s="1"/>
  <c r="Z262" i="75"/>
  <c r="FB262" i="75" s="1"/>
  <c r="Y262" i="75"/>
  <c r="FA262" i="75" s="1"/>
  <c r="X262" i="75"/>
  <c r="EZ262" i="75" s="1"/>
  <c r="W262" i="75"/>
  <c r="EY262" i="75" s="1"/>
  <c r="V262" i="75"/>
  <c r="EX262" i="75" s="1"/>
  <c r="U262" i="75"/>
  <c r="EW262" i="75" s="1"/>
  <c r="EV262" i="75" s="1"/>
  <c r="S262" i="75"/>
  <c r="R262" i="75"/>
  <c r="ES262" i="75" s="1"/>
  <c r="Q262" i="75"/>
  <c r="ER262" i="75" s="1"/>
  <c r="P262" i="75"/>
  <c r="EQ262" i="75" s="1"/>
  <c r="O262" i="75"/>
  <c r="EP262" i="75" s="1"/>
  <c r="N262" i="75"/>
  <c r="EO262" i="75" s="1"/>
  <c r="M262" i="75"/>
  <c r="EN262" i="75" s="1"/>
  <c r="L262" i="75"/>
  <c r="EM262" i="75" s="1"/>
  <c r="K262" i="75"/>
  <c r="EL262" i="75" s="1"/>
  <c r="EK262" i="75" s="1"/>
  <c r="J262" i="75"/>
  <c r="E262" i="75"/>
  <c r="D262" i="75"/>
  <c r="C262" i="75"/>
  <c r="B262" i="75"/>
  <c r="EI261" i="75"/>
  <c r="EH261" i="75"/>
  <c r="EH250" i="75" s="1"/>
  <c r="EG261" i="75"/>
  <c r="EG250" i="75" s="1"/>
  <c r="EF261" i="75"/>
  <c r="EF250" i="75" s="1"/>
  <c r="EE261" i="75"/>
  <c r="EE250" i="75" s="1"/>
  <c r="ED261" i="75"/>
  <c r="ED250" i="75" s="1"/>
  <c r="EC261" i="75"/>
  <c r="EC250" i="75" s="1"/>
  <c r="EB261" i="75"/>
  <c r="EB250" i="75" s="1"/>
  <c r="EA261" i="75"/>
  <c r="DB261" i="75"/>
  <c r="DA261" i="75"/>
  <c r="DA250" i="75" s="1"/>
  <c r="CZ261" i="75"/>
  <c r="CZ250" i="75" s="1"/>
  <c r="CY261" i="75"/>
  <c r="CY250" i="75" s="1"/>
  <c r="CX261" i="75"/>
  <c r="CX250" i="75" s="1"/>
  <c r="CW261" i="75"/>
  <c r="CW250" i="75" s="1"/>
  <c r="CV261" i="75"/>
  <c r="CU261" i="75"/>
  <c r="CU250" i="75" s="1"/>
  <c r="CT261" i="75"/>
  <c r="CQ261" i="75"/>
  <c r="CR261" i="75" s="1"/>
  <c r="CR250" i="75" s="1"/>
  <c r="CP261" i="75"/>
  <c r="CO261" i="75"/>
  <c r="CO250" i="75" s="1"/>
  <c r="CN261" i="75"/>
  <c r="CM261" i="75"/>
  <c r="CM250" i="75" s="1"/>
  <c r="CL261" i="75"/>
  <c r="CK261" i="75"/>
  <c r="CK250" i="75" s="1"/>
  <c r="CJ261" i="75"/>
  <c r="CJ250" i="75" s="1"/>
  <c r="CI261" i="75"/>
  <c r="CF261" i="75"/>
  <c r="CE261" i="75"/>
  <c r="CE250" i="75" s="1"/>
  <c r="CD261" i="75"/>
  <c r="CD250" i="75" s="1"/>
  <c r="CC261" i="75"/>
  <c r="CC250" i="75" s="1"/>
  <c r="CB261" i="75"/>
  <c r="CB250" i="75" s="1"/>
  <c r="CA261" i="75"/>
  <c r="CA250" i="75" s="1"/>
  <c r="BZ261" i="75"/>
  <c r="BZ250" i="75" s="1"/>
  <c r="BY261" i="75"/>
  <c r="BY250" i="75" s="1"/>
  <c r="BX261" i="75"/>
  <c r="BU261" i="75"/>
  <c r="BV261" i="75" s="1"/>
  <c r="BT261" i="75"/>
  <c r="BT250" i="75" s="1"/>
  <c r="BS261" i="75"/>
  <c r="BS250" i="75" s="1"/>
  <c r="BR261" i="75"/>
  <c r="BQ261" i="75"/>
  <c r="BP261" i="75"/>
  <c r="BO261" i="75"/>
  <c r="BO250" i="75" s="1"/>
  <c r="BN261" i="75"/>
  <c r="BN250" i="75" s="1"/>
  <c r="BM261" i="75"/>
  <c r="BM250" i="75" s="1"/>
  <c r="BJ261" i="75"/>
  <c r="BI261" i="75"/>
  <c r="BH261" i="75"/>
  <c r="BG261" i="75"/>
  <c r="BF261" i="75"/>
  <c r="BE261" i="75"/>
  <c r="BD261" i="75"/>
  <c r="GF261" i="75" s="1"/>
  <c r="BC261" i="75"/>
  <c r="GE261" i="75" s="1"/>
  <c r="BB261" i="75"/>
  <c r="BA261" i="75" s="1"/>
  <c r="AY261" i="75"/>
  <c r="AZ261" i="75" s="1"/>
  <c r="GB261" i="75" s="1"/>
  <c r="AX261" i="75"/>
  <c r="FZ261" i="75" s="1"/>
  <c r="AW261" i="75"/>
  <c r="FY261" i="75" s="1"/>
  <c r="AV261" i="75"/>
  <c r="FX261" i="75" s="1"/>
  <c r="AU261" i="75"/>
  <c r="FW261" i="75" s="1"/>
  <c r="AT261" i="75"/>
  <c r="FV261" i="75" s="1"/>
  <c r="AS261" i="75"/>
  <c r="FU261" i="75" s="1"/>
  <c r="AR261" i="75"/>
  <c r="FT261" i="75" s="1"/>
  <c r="AQ261" i="75"/>
  <c r="AN261" i="75"/>
  <c r="FP261" i="75" s="1"/>
  <c r="AM261" i="75"/>
  <c r="FO261" i="75" s="1"/>
  <c r="AL261" i="75"/>
  <c r="FN261" i="75" s="1"/>
  <c r="AK261" i="75"/>
  <c r="FM261" i="75" s="1"/>
  <c r="AJ261" i="75"/>
  <c r="FL261" i="75" s="1"/>
  <c r="AI261" i="75"/>
  <c r="AH261" i="75"/>
  <c r="AG261" i="75"/>
  <c r="AF261" i="75"/>
  <c r="AE261" i="75" s="1"/>
  <c r="FG261" i="75" s="1"/>
  <c r="AC261" i="75"/>
  <c r="FE261" i="75" s="1"/>
  <c r="AB261" i="75"/>
  <c r="FD261" i="75" s="1"/>
  <c r="AA261" i="75"/>
  <c r="FC261" i="75" s="1"/>
  <c r="Z261" i="75"/>
  <c r="FB261" i="75" s="1"/>
  <c r="Y261" i="75"/>
  <c r="FA261" i="75" s="1"/>
  <c r="X261" i="75"/>
  <c r="EZ261" i="75" s="1"/>
  <c r="W261" i="75"/>
  <c r="EY261" i="75" s="1"/>
  <c r="V261" i="75"/>
  <c r="U261" i="75"/>
  <c r="EW261" i="75" s="1"/>
  <c r="EV261" i="75" s="1"/>
  <c r="EV250" i="75" s="1"/>
  <c r="S261" i="75"/>
  <c r="ET261" i="75" s="1"/>
  <c r="R261" i="75"/>
  <c r="ES261" i="75" s="1"/>
  <c r="Q261" i="75"/>
  <c r="ER261" i="75" s="1"/>
  <c r="P261" i="75"/>
  <c r="EQ261" i="75" s="1"/>
  <c r="O261" i="75"/>
  <c r="EP261" i="75" s="1"/>
  <c r="N261" i="75"/>
  <c r="EO261" i="75" s="1"/>
  <c r="M261" i="75"/>
  <c r="EN261" i="75" s="1"/>
  <c r="L261" i="75"/>
  <c r="EM261" i="75" s="1"/>
  <c r="K261" i="75"/>
  <c r="EL261" i="75" s="1"/>
  <c r="EK261" i="75" s="1"/>
  <c r="EK250" i="75" s="1"/>
  <c r="J261" i="75"/>
  <c r="J250" i="75" s="1"/>
  <c r="E261" i="75"/>
  <c r="D261" i="75"/>
  <c r="C261" i="75"/>
  <c r="B261" i="75"/>
  <c r="EI260" i="75"/>
  <c r="EJ260" i="75" s="1"/>
  <c r="EH260" i="75"/>
  <c r="EG260" i="75"/>
  <c r="EF260" i="75"/>
  <c r="EE260" i="75"/>
  <c r="ED260" i="75"/>
  <c r="EC260" i="75"/>
  <c r="EB260" i="75"/>
  <c r="EA260" i="75"/>
  <c r="DZ260" i="75" s="1"/>
  <c r="DB260" i="75"/>
  <c r="DC260" i="75" s="1"/>
  <c r="DA260" i="75"/>
  <c r="CZ260" i="75"/>
  <c r="CY260" i="75"/>
  <c r="CX260" i="75"/>
  <c r="CW260" i="75"/>
  <c r="CV260" i="75"/>
  <c r="CU260" i="75"/>
  <c r="CT260" i="75"/>
  <c r="CS260" i="75" s="1"/>
  <c r="CQ260" i="75"/>
  <c r="CR260" i="75" s="1"/>
  <c r="CP260" i="75"/>
  <c r="CO260" i="75"/>
  <c r="CN260" i="75"/>
  <c r="CM260" i="75"/>
  <c r="CL260" i="75"/>
  <c r="CK260" i="75"/>
  <c r="CJ260" i="75"/>
  <c r="CI260" i="75"/>
  <c r="CH260" i="75" s="1"/>
  <c r="CF260" i="75"/>
  <c r="CG260" i="75" s="1"/>
  <c r="CE260" i="75"/>
  <c r="CD260" i="75"/>
  <c r="CC260" i="75"/>
  <c r="CB260" i="75"/>
  <c r="CA260" i="75"/>
  <c r="BZ260" i="75"/>
  <c r="BY260" i="75"/>
  <c r="BX260" i="75"/>
  <c r="BW260" i="75" s="1"/>
  <c r="BU260" i="75"/>
  <c r="BV260" i="75" s="1"/>
  <c r="BT260" i="75"/>
  <c r="BS260" i="75"/>
  <c r="BR260" i="75"/>
  <c r="BQ260" i="75"/>
  <c r="BP260" i="75"/>
  <c r="BO260" i="75"/>
  <c r="BN260" i="75"/>
  <c r="BM260" i="75"/>
  <c r="BL260" i="75" s="1"/>
  <c r="BJ260" i="75"/>
  <c r="GL260" i="75" s="1"/>
  <c r="BI260" i="75"/>
  <c r="GK260" i="75" s="1"/>
  <c r="BH260" i="75"/>
  <c r="GJ260" i="75" s="1"/>
  <c r="BG260" i="75"/>
  <c r="GI260" i="75" s="1"/>
  <c r="BF260" i="75"/>
  <c r="GH260" i="75" s="1"/>
  <c r="BE260" i="75"/>
  <c r="GG260" i="75" s="1"/>
  <c r="BD260" i="75"/>
  <c r="GF260" i="75" s="1"/>
  <c r="BC260" i="75"/>
  <c r="GE260" i="75" s="1"/>
  <c r="BB260" i="75"/>
  <c r="BA260" i="75" s="1"/>
  <c r="GC260" i="75" s="1"/>
  <c r="AY260" i="75"/>
  <c r="GA260" i="75" s="1"/>
  <c r="AX260" i="75"/>
  <c r="FZ260" i="75" s="1"/>
  <c r="AW260" i="75"/>
  <c r="FY260" i="75" s="1"/>
  <c r="AV260" i="75"/>
  <c r="FX260" i="75" s="1"/>
  <c r="AU260" i="75"/>
  <c r="FW260" i="75" s="1"/>
  <c r="AT260" i="75"/>
  <c r="FV260" i="75" s="1"/>
  <c r="AS260" i="75"/>
  <c r="FU260" i="75" s="1"/>
  <c r="AR260" i="75"/>
  <c r="FT260" i="75" s="1"/>
  <c r="AQ260" i="75"/>
  <c r="FS260" i="75" s="1"/>
  <c r="AN260" i="75"/>
  <c r="FP260" i="75" s="1"/>
  <c r="AM260" i="75"/>
  <c r="FO260" i="75" s="1"/>
  <c r="AL260" i="75"/>
  <c r="FN260" i="75" s="1"/>
  <c r="AK260" i="75"/>
  <c r="FM260" i="75" s="1"/>
  <c r="AJ260" i="75"/>
  <c r="FL260" i="75" s="1"/>
  <c r="AI260" i="75"/>
  <c r="FK260" i="75" s="1"/>
  <c r="AH260" i="75"/>
  <c r="FJ260" i="75" s="1"/>
  <c r="AG260" i="75"/>
  <c r="FI260" i="75" s="1"/>
  <c r="AF260" i="75"/>
  <c r="AE260" i="75" s="1"/>
  <c r="FG260" i="75" s="1"/>
  <c r="AC260" i="75"/>
  <c r="AD260" i="75" s="1"/>
  <c r="FF260" i="75" s="1"/>
  <c r="AB260" i="75"/>
  <c r="FD260" i="75" s="1"/>
  <c r="AA260" i="75"/>
  <c r="FC260" i="75" s="1"/>
  <c r="Z260" i="75"/>
  <c r="FB260" i="75" s="1"/>
  <c r="Y260" i="75"/>
  <c r="FA260" i="75" s="1"/>
  <c r="X260" i="75"/>
  <c r="EZ260" i="75" s="1"/>
  <c r="W260" i="75"/>
  <c r="EY260" i="75" s="1"/>
  <c r="V260" i="75"/>
  <c r="EX260" i="75" s="1"/>
  <c r="U260" i="75"/>
  <c r="EW260" i="75" s="1"/>
  <c r="EV260" i="75" s="1"/>
  <c r="S260" i="75"/>
  <c r="ET260" i="75" s="1"/>
  <c r="R260" i="75"/>
  <c r="ES260" i="75" s="1"/>
  <c r="Q260" i="75"/>
  <c r="ER260" i="75" s="1"/>
  <c r="P260" i="75"/>
  <c r="EQ260" i="75" s="1"/>
  <c r="O260" i="75"/>
  <c r="EP260" i="75" s="1"/>
  <c r="N260" i="75"/>
  <c r="EO260" i="75" s="1"/>
  <c r="M260" i="75"/>
  <c r="EN260" i="75" s="1"/>
  <c r="L260" i="75"/>
  <c r="EM260" i="75" s="1"/>
  <c r="K260" i="75"/>
  <c r="EL260" i="75" s="1"/>
  <c r="EK260" i="75" s="1"/>
  <c r="J260" i="75"/>
  <c r="E260" i="75"/>
  <c r="D260" i="75"/>
  <c r="C260" i="75"/>
  <c r="B260" i="75"/>
  <c r="EI259" i="75"/>
  <c r="EJ259" i="75" s="1"/>
  <c r="EH259" i="75"/>
  <c r="EG259" i="75"/>
  <c r="EF259" i="75"/>
  <c r="EE259" i="75"/>
  <c r="ED259" i="75"/>
  <c r="EC259" i="75"/>
  <c r="EB259" i="75"/>
  <c r="EA259" i="75"/>
  <c r="DZ259" i="75" s="1"/>
  <c r="DB259" i="75"/>
  <c r="DC259" i="75" s="1"/>
  <c r="DA259" i="75"/>
  <c r="CZ259" i="75"/>
  <c r="CY259" i="75"/>
  <c r="CX259" i="75"/>
  <c r="CW259" i="75"/>
  <c r="CV259" i="75"/>
  <c r="CU259" i="75"/>
  <c r="CT259" i="75"/>
  <c r="CS259" i="75" s="1"/>
  <c r="CQ259" i="75"/>
  <c r="CR259" i="75" s="1"/>
  <c r="CP259" i="75"/>
  <c r="CO259" i="75"/>
  <c r="CN259" i="75"/>
  <c r="CM259" i="75"/>
  <c r="CL259" i="75"/>
  <c r="CK259" i="75"/>
  <c r="CJ259" i="75"/>
  <c r="CI259" i="75"/>
  <c r="CH259" i="75" s="1"/>
  <c r="CF259" i="75"/>
  <c r="CG259" i="75" s="1"/>
  <c r="CE259" i="75"/>
  <c r="CD259" i="75"/>
  <c r="CC259" i="75"/>
  <c r="CB259" i="75"/>
  <c r="CA259" i="75"/>
  <c r="BZ259" i="75"/>
  <c r="BY259" i="75"/>
  <c r="BX259" i="75"/>
  <c r="BW259" i="75" s="1"/>
  <c r="BU259" i="75"/>
  <c r="BV259" i="75" s="1"/>
  <c r="BT259" i="75"/>
  <c r="BS259" i="75"/>
  <c r="BR259" i="75"/>
  <c r="BQ259" i="75"/>
  <c r="BP259" i="75"/>
  <c r="BO259" i="75"/>
  <c r="BN259" i="75"/>
  <c r="BM259" i="75"/>
  <c r="BL259" i="75" s="1"/>
  <c r="BJ259" i="75"/>
  <c r="BK259" i="75" s="1"/>
  <c r="GM259" i="75" s="1"/>
  <c r="BI259" i="75"/>
  <c r="GK259" i="75" s="1"/>
  <c r="BH259" i="75"/>
  <c r="GJ259" i="75" s="1"/>
  <c r="BG259" i="75"/>
  <c r="GI259" i="75" s="1"/>
  <c r="BF259" i="75"/>
  <c r="GH259" i="75" s="1"/>
  <c r="BE259" i="75"/>
  <c r="GG259" i="75" s="1"/>
  <c r="BD259" i="75"/>
  <c r="GF259" i="75" s="1"/>
  <c r="BC259" i="75"/>
  <c r="GE259" i="75" s="1"/>
  <c r="BB259" i="75"/>
  <c r="GD259" i="75" s="1"/>
  <c r="AY259" i="75"/>
  <c r="GA259" i="75" s="1"/>
  <c r="AX259" i="75"/>
  <c r="FZ259" i="75" s="1"/>
  <c r="AW259" i="75"/>
  <c r="FY259" i="75" s="1"/>
  <c r="AV259" i="75"/>
  <c r="FX259" i="75" s="1"/>
  <c r="AU259" i="75"/>
  <c r="FW259" i="75" s="1"/>
  <c r="AT259" i="75"/>
  <c r="FV259" i="75" s="1"/>
  <c r="AS259" i="75"/>
  <c r="FU259" i="75" s="1"/>
  <c r="AR259" i="75"/>
  <c r="FT259" i="75" s="1"/>
  <c r="AQ259" i="75"/>
  <c r="AN259" i="75"/>
  <c r="AO259" i="75" s="1"/>
  <c r="FQ259" i="75" s="1"/>
  <c r="AM259" i="75"/>
  <c r="FO259" i="75" s="1"/>
  <c r="AL259" i="75"/>
  <c r="FN259" i="75" s="1"/>
  <c r="AK259" i="75"/>
  <c r="FM259" i="75" s="1"/>
  <c r="AJ259" i="75"/>
  <c r="FL259" i="75" s="1"/>
  <c r="AI259" i="75"/>
  <c r="FK259" i="75" s="1"/>
  <c r="AH259" i="75"/>
  <c r="FJ259" i="75" s="1"/>
  <c r="AG259" i="75"/>
  <c r="FI259" i="75" s="1"/>
  <c r="AF259" i="75"/>
  <c r="AC259" i="75"/>
  <c r="FE259" i="75" s="1"/>
  <c r="AB259" i="75"/>
  <c r="FD259" i="75" s="1"/>
  <c r="AA259" i="75"/>
  <c r="FC259" i="75" s="1"/>
  <c r="Z259" i="75"/>
  <c r="FB259" i="75" s="1"/>
  <c r="Y259" i="75"/>
  <c r="FA259" i="75" s="1"/>
  <c r="X259" i="75"/>
  <c r="EZ259" i="75" s="1"/>
  <c r="W259" i="75"/>
  <c r="EY259" i="75" s="1"/>
  <c r="V259" i="75"/>
  <c r="EX259" i="75" s="1"/>
  <c r="U259" i="75"/>
  <c r="EW259" i="75" s="1"/>
  <c r="EV259" i="75" s="1"/>
  <c r="S259" i="75"/>
  <c r="ET259" i="75" s="1"/>
  <c r="R259" i="75"/>
  <c r="ES259" i="75" s="1"/>
  <c r="Q259" i="75"/>
  <c r="ER259" i="75" s="1"/>
  <c r="P259" i="75"/>
  <c r="EQ259" i="75" s="1"/>
  <c r="O259" i="75"/>
  <c r="EP259" i="75" s="1"/>
  <c r="N259" i="75"/>
  <c r="EO259" i="75" s="1"/>
  <c r="M259" i="75"/>
  <c r="EN259" i="75" s="1"/>
  <c r="L259" i="75"/>
  <c r="EM259" i="75" s="1"/>
  <c r="K259" i="75"/>
  <c r="EL259" i="75" s="1"/>
  <c r="EK259" i="75" s="1"/>
  <c r="J259" i="75"/>
  <c r="E259" i="75"/>
  <c r="D259" i="75"/>
  <c r="C259" i="75"/>
  <c r="B259" i="75"/>
  <c r="EI258" i="75"/>
  <c r="EJ258" i="75" s="1"/>
  <c r="EH258" i="75"/>
  <c r="EG258" i="75"/>
  <c r="EF258" i="75"/>
  <c r="EE258" i="75"/>
  <c r="ED258" i="75"/>
  <c r="EC258" i="75"/>
  <c r="EB258" i="75"/>
  <c r="EA258" i="75"/>
  <c r="DZ258" i="75" s="1"/>
  <c r="DB258" i="75"/>
  <c r="DC258" i="75" s="1"/>
  <c r="DA258" i="75"/>
  <c r="CZ258" i="75"/>
  <c r="CY258" i="75"/>
  <c r="CX258" i="75"/>
  <c r="CW258" i="75"/>
  <c r="CV258" i="75"/>
  <c r="CU258" i="75"/>
  <c r="CT258" i="75"/>
  <c r="CS258" i="75" s="1"/>
  <c r="CQ258" i="75"/>
  <c r="CR258" i="75" s="1"/>
  <c r="CP258" i="75"/>
  <c r="CO258" i="75"/>
  <c r="CN258" i="75"/>
  <c r="CM258" i="75"/>
  <c r="CL258" i="75"/>
  <c r="CK258" i="75"/>
  <c r="CJ258" i="75"/>
  <c r="CI258" i="75"/>
  <c r="CH258" i="75" s="1"/>
  <c r="CF258" i="75"/>
  <c r="CG258" i="75" s="1"/>
  <c r="CE258" i="75"/>
  <c r="CD258" i="75"/>
  <c r="CC258" i="75"/>
  <c r="CB258" i="75"/>
  <c r="CA258" i="75"/>
  <c r="BZ258" i="75"/>
  <c r="BY258" i="75"/>
  <c r="BX258" i="75"/>
  <c r="BW258" i="75" s="1"/>
  <c r="BU258" i="75"/>
  <c r="BV258" i="75" s="1"/>
  <c r="BT258" i="75"/>
  <c r="BS258" i="75"/>
  <c r="BR258" i="75"/>
  <c r="BQ258" i="75"/>
  <c r="BP258" i="75"/>
  <c r="BO258" i="75"/>
  <c r="BN258" i="75"/>
  <c r="BM258" i="75"/>
  <c r="BL258" i="75" s="1"/>
  <c r="BJ258" i="75"/>
  <c r="BI258" i="75"/>
  <c r="GK258" i="75" s="1"/>
  <c r="BH258" i="75"/>
  <c r="GJ258" i="75" s="1"/>
  <c r="BG258" i="75"/>
  <c r="GI258" i="75" s="1"/>
  <c r="BF258" i="75"/>
  <c r="GH258" i="75" s="1"/>
  <c r="BE258" i="75"/>
  <c r="GG258" i="75" s="1"/>
  <c r="BD258" i="75"/>
  <c r="GF258" i="75" s="1"/>
  <c r="BC258" i="75"/>
  <c r="GE258" i="75" s="1"/>
  <c r="BB258" i="75"/>
  <c r="BA258" i="75" s="1"/>
  <c r="GC258" i="75" s="1"/>
  <c r="AY258" i="75"/>
  <c r="GA258" i="75" s="1"/>
  <c r="AX258" i="75"/>
  <c r="FZ258" i="75" s="1"/>
  <c r="AW258" i="75"/>
  <c r="FY258" i="75" s="1"/>
  <c r="AV258" i="75"/>
  <c r="FX258" i="75" s="1"/>
  <c r="AU258" i="75"/>
  <c r="FW258" i="75" s="1"/>
  <c r="AT258" i="75"/>
  <c r="FV258" i="75" s="1"/>
  <c r="AS258" i="75"/>
  <c r="FU258" i="75" s="1"/>
  <c r="AR258" i="75"/>
  <c r="FT258" i="75" s="1"/>
  <c r="AQ258" i="75"/>
  <c r="FS258" i="75" s="1"/>
  <c r="AN258" i="75"/>
  <c r="AM258" i="75"/>
  <c r="FO258" i="75" s="1"/>
  <c r="AL258" i="75"/>
  <c r="FN258" i="75" s="1"/>
  <c r="AK258" i="75"/>
  <c r="FM258" i="75" s="1"/>
  <c r="AJ258" i="75"/>
  <c r="FL258" i="75" s="1"/>
  <c r="AI258" i="75"/>
  <c r="FK258" i="75" s="1"/>
  <c r="AH258" i="75"/>
  <c r="FJ258" i="75" s="1"/>
  <c r="AG258" i="75"/>
  <c r="FI258" i="75" s="1"/>
  <c r="AF258" i="75"/>
  <c r="AE258" i="75" s="1"/>
  <c r="FG258" i="75" s="1"/>
  <c r="AC258" i="75"/>
  <c r="AD258" i="75" s="1"/>
  <c r="FF258" i="75" s="1"/>
  <c r="AB258" i="75"/>
  <c r="FD258" i="75" s="1"/>
  <c r="AA258" i="75"/>
  <c r="FC258" i="75" s="1"/>
  <c r="Z258" i="75"/>
  <c r="FB258" i="75" s="1"/>
  <c r="Y258" i="75"/>
  <c r="FA258" i="75" s="1"/>
  <c r="X258" i="75"/>
  <c r="EZ258" i="75" s="1"/>
  <c r="W258" i="75"/>
  <c r="EY258" i="75" s="1"/>
  <c r="V258" i="75"/>
  <c r="EX258" i="75" s="1"/>
  <c r="U258" i="75"/>
  <c r="EW258" i="75" s="1"/>
  <c r="EV258" i="75" s="1"/>
  <c r="S258" i="75"/>
  <c r="ET258" i="75" s="1"/>
  <c r="R258" i="75"/>
  <c r="ES258" i="75" s="1"/>
  <c r="Q258" i="75"/>
  <c r="ER258" i="75" s="1"/>
  <c r="P258" i="75"/>
  <c r="EQ258" i="75" s="1"/>
  <c r="O258" i="75"/>
  <c r="EP258" i="75" s="1"/>
  <c r="N258" i="75"/>
  <c r="EO258" i="75" s="1"/>
  <c r="M258" i="75"/>
  <c r="EN258" i="75" s="1"/>
  <c r="L258" i="75"/>
  <c r="EM258" i="75" s="1"/>
  <c r="K258" i="75"/>
  <c r="EL258" i="75" s="1"/>
  <c r="EK258" i="75" s="1"/>
  <c r="J258" i="75"/>
  <c r="E258" i="75"/>
  <c r="D258" i="75"/>
  <c r="C258" i="75"/>
  <c r="B258" i="75"/>
  <c r="EI257" i="75"/>
  <c r="EJ257" i="75" s="1"/>
  <c r="EH257" i="75"/>
  <c r="EG257" i="75"/>
  <c r="EF257" i="75"/>
  <c r="EE257" i="75"/>
  <c r="ED257" i="75"/>
  <c r="EC257" i="75"/>
  <c r="EB257" i="75"/>
  <c r="EA257" i="75"/>
  <c r="DZ257" i="75" s="1"/>
  <c r="DB257" i="75"/>
  <c r="DC257" i="75" s="1"/>
  <c r="DA257" i="75"/>
  <c r="CZ257" i="75"/>
  <c r="CY257" i="75"/>
  <c r="CX257" i="75"/>
  <c r="CW257" i="75"/>
  <c r="CV257" i="75"/>
  <c r="CU257" i="75"/>
  <c r="CT257" i="75"/>
  <c r="CS257" i="75" s="1"/>
  <c r="CQ257" i="75"/>
  <c r="CR257" i="75" s="1"/>
  <c r="CP257" i="75"/>
  <c r="CO257" i="75"/>
  <c r="CN257" i="75"/>
  <c r="CM257" i="75"/>
  <c r="CL257" i="75"/>
  <c r="CK257" i="75"/>
  <c r="CJ257" i="75"/>
  <c r="CI257" i="75"/>
  <c r="CH257" i="75" s="1"/>
  <c r="CF257" i="75"/>
  <c r="CG257" i="75" s="1"/>
  <c r="CE257" i="75"/>
  <c r="CD257" i="75"/>
  <c r="CC257" i="75"/>
  <c r="CB257" i="75"/>
  <c r="CA257" i="75"/>
  <c r="BZ257" i="75"/>
  <c r="BY257" i="75"/>
  <c r="BX257" i="75"/>
  <c r="BW257" i="75" s="1"/>
  <c r="BU257" i="75"/>
  <c r="BV257" i="75" s="1"/>
  <c r="BT257" i="75"/>
  <c r="BS257" i="75"/>
  <c r="BR257" i="75"/>
  <c r="BQ257" i="75"/>
  <c r="BP257" i="75"/>
  <c r="BO257" i="75"/>
  <c r="BN257" i="75"/>
  <c r="BM257" i="75"/>
  <c r="BL257" i="75" s="1"/>
  <c r="BJ257" i="75"/>
  <c r="GL257" i="75" s="1"/>
  <c r="BI257" i="75"/>
  <c r="GK257" i="75" s="1"/>
  <c r="BH257" i="75"/>
  <c r="GJ257" i="75" s="1"/>
  <c r="BG257" i="75"/>
  <c r="GI257" i="75" s="1"/>
  <c r="BF257" i="75"/>
  <c r="GH257" i="75" s="1"/>
  <c r="BE257" i="75"/>
  <c r="GG257" i="75" s="1"/>
  <c r="BD257" i="75"/>
  <c r="GF257" i="75" s="1"/>
  <c r="BC257" i="75"/>
  <c r="GE257" i="75" s="1"/>
  <c r="BB257" i="75"/>
  <c r="GD257" i="75" s="1"/>
  <c r="AY257" i="75"/>
  <c r="GA257" i="75" s="1"/>
  <c r="AX257" i="75"/>
  <c r="FZ257" i="75" s="1"/>
  <c r="AW257" i="75"/>
  <c r="FY257" i="75" s="1"/>
  <c r="AV257" i="75"/>
  <c r="FX257" i="75" s="1"/>
  <c r="AU257" i="75"/>
  <c r="FW257" i="75" s="1"/>
  <c r="AT257" i="75"/>
  <c r="FV257" i="75" s="1"/>
  <c r="AS257" i="75"/>
  <c r="FU257" i="75" s="1"/>
  <c r="AR257" i="75"/>
  <c r="FT257" i="75" s="1"/>
  <c r="AQ257" i="75"/>
  <c r="FS257" i="75" s="1"/>
  <c r="AN257" i="75"/>
  <c r="AO257" i="75" s="1"/>
  <c r="FQ257" i="75" s="1"/>
  <c r="AM257" i="75"/>
  <c r="FO257" i="75" s="1"/>
  <c r="AL257" i="75"/>
  <c r="FN257" i="75" s="1"/>
  <c r="AK257" i="75"/>
  <c r="FM257" i="75" s="1"/>
  <c r="AJ257" i="75"/>
  <c r="FL257" i="75" s="1"/>
  <c r="AI257" i="75"/>
  <c r="FK257" i="75" s="1"/>
  <c r="AH257" i="75"/>
  <c r="FJ257" i="75" s="1"/>
  <c r="AG257" i="75"/>
  <c r="FI257" i="75" s="1"/>
  <c r="AF257" i="75"/>
  <c r="FH257" i="75" s="1"/>
  <c r="AC257" i="75"/>
  <c r="FE257" i="75" s="1"/>
  <c r="AB257" i="75"/>
  <c r="FD257" i="75" s="1"/>
  <c r="AA257" i="75"/>
  <c r="FC257" i="75" s="1"/>
  <c r="Z257" i="75"/>
  <c r="FB257" i="75" s="1"/>
  <c r="Y257" i="75"/>
  <c r="FA257" i="75" s="1"/>
  <c r="X257" i="75"/>
  <c r="EZ257" i="75" s="1"/>
  <c r="W257" i="75"/>
  <c r="EY257" i="75" s="1"/>
  <c r="V257" i="75"/>
  <c r="EX257" i="75" s="1"/>
  <c r="U257" i="75"/>
  <c r="EW257" i="75" s="1"/>
  <c r="EV257" i="75" s="1"/>
  <c r="S257" i="75"/>
  <c r="ET257" i="75" s="1"/>
  <c r="R257" i="75"/>
  <c r="ES257" i="75" s="1"/>
  <c r="Q257" i="75"/>
  <c r="ER257" i="75" s="1"/>
  <c r="P257" i="75"/>
  <c r="EQ257" i="75" s="1"/>
  <c r="O257" i="75"/>
  <c r="EP257" i="75" s="1"/>
  <c r="N257" i="75"/>
  <c r="EO257" i="75" s="1"/>
  <c r="M257" i="75"/>
  <c r="EN257" i="75" s="1"/>
  <c r="L257" i="75"/>
  <c r="EM257" i="75" s="1"/>
  <c r="K257" i="75"/>
  <c r="EL257" i="75" s="1"/>
  <c r="EK257" i="75" s="1"/>
  <c r="J257" i="75"/>
  <c r="E257" i="75"/>
  <c r="D257" i="75"/>
  <c r="C257" i="75"/>
  <c r="B257" i="75"/>
  <c r="EI256" i="75"/>
  <c r="EJ256" i="75" s="1"/>
  <c r="EJ249" i="75" s="1"/>
  <c r="EH256" i="75"/>
  <c r="EH249" i="75" s="1"/>
  <c r="EG256" i="75"/>
  <c r="EG249" i="75" s="1"/>
  <c r="EF256" i="75"/>
  <c r="EE256" i="75"/>
  <c r="EE249" i="75" s="1"/>
  <c r="ED256" i="75"/>
  <c r="ED249" i="75" s="1"/>
  <c r="EC256" i="75"/>
  <c r="EC249" i="75" s="1"/>
  <c r="EB256" i="75"/>
  <c r="EB249" i="75" s="1"/>
  <c r="EA256" i="75"/>
  <c r="DZ256" i="75" s="1"/>
  <c r="DZ249" i="75" s="1"/>
  <c r="DB256" i="75"/>
  <c r="DA256" i="75"/>
  <c r="DA249" i="75" s="1"/>
  <c r="CZ256" i="75"/>
  <c r="CZ249" i="75" s="1"/>
  <c r="CY256" i="75"/>
  <c r="CY249" i="75" s="1"/>
  <c r="CX256" i="75"/>
  <c r="CX249" i="75" s="1"/>
  <c r="CW256" i="75"/>
  <c r="CW249" i="75" s="1"/>
  <c r="CV256" i="75"/>
  <c r="CV249" i="75" s="1"/>
  <c r="CU256" i="75"/>
  <c r="CU249" i="75" s="1"/>
  <c r="CT256" i="75"/>
  <c r="CT249" i="75" s="1"/>
  <c r="CS256" i="75"/>
  <c r="CS249" i="75" s="1"/>
  <c r="CQ256" i="75"/>
  <c r="CR256" i="75" s="1"/>
  <c r="CR249" i="75" s="1"/>
  <c r="CP256" i="75"/>
  <c r="CP249" i="75" s="1"/>
  <c r="CO256" i="75"/>
  <c r="CO249" i="75" s="1"/>
  <c r="CN256" i="75"/>
  <c r="CN249" i="75" s="1"/>
  <c r="CM256" i="75"/>
  <c r="CL256" i="75"/>
  <c r="CK256" i="75"/>
  <c r="CJ256" i="75"/>
  <c r="CJ249" i="75" s="1"/>
  <c r="CI256" i="75"/>
  <c r="CI249" i="75" s="1"/>
  <c r="CF256" i="75"/>
  <c r="CE256" i="75"/>
  <c r="CE249" i="75" s="1"/>
  <c r="CD256" i="75"/>
  <c r="CD249" i="75" s="1"/>
  <c r="CC256" i="75"/>
  <c r="CC249" i="75" s="1"/>
  <c r="CB256" i="75"/>
  <c r="CB249" i="75" s="1"/>
  <c r="CA256" i="75"/>
  <c r="CA249" i="75" s="1"/>
  <c r="BZ256" i="75"/>
  <c r="BZ249" i="75" s="1"/>
  <c r="BY256" i="75"/>
  <c r="BY249" i="75" s="1"/>
  <c r="BX256" i="75"/>
  <c r="BW256" i="75" s="1"/>
  <c r="BW249" i="75" s="1"/>
  <c r="BU256" i="75"/>
  <c r="BT256" i="75"/>
  <c r="BT249" i="75" s="1"/>
  <c r="BS256" i="75"/>
  <c r="BR256" i="75"/>
  <c r="BQ256" i="75"/>
  <c r="BQ249" i="75" s="1"/>
  <c r="BP256" i="75"/>
  <c r="BP249" i="75" s="1"/>
  <c r="BO256" i="75"/>
  <c r="BO249" i="75" s="1"/>
  <c r="BN256" i="75"/>
  <c r="BM256" i="75"/>
  <c r="BM249" i="75" s="1"/>
  <c r="BJ256" i="75"/>
  <c r="BI256" i="75"/>
  <c r="BH256" i="75"/>
  <c r="GJ256" i="75" s="1"/>
  <c r="BG256" i="75"/>
  <c r="GI256" i="75" s="1"/>
  <c r="BF256" i="75"/>
  <c r="BE256" i="75"/>
  <c r="BD256" i="75"/>
  <c r="GF256" i="75" s="1"/>
  <c r="BC256" i="75"/>
  <c r="BB256" i="75"/>
  <c r="GD256" i="75" s="1"/>
  <c r="AY256" i="75"/>
  <c r="GA256" i="75" s="1"/>
  <c r="AX256" i="75"/>
  <c r="FZ256" i="75" s="1"/>
  <c r="AW256" i="75"/>
  <c r="AW249" i="75" s="1"/>
  <c r="FY249" i="75" s="1"/>
  <c r="AV256" i="75"/>
  <c r="FX256" i="75" s="1"/>
  <c r="AU256" i="75"/>
  <c r="AT256" i="75"/>
  <c r="AT249" i="75" s="1"/>
  <c r="FV249" i="75" s="1"/>
  <c r="AS256" i="75"/>
  <c r="FU256" i="75" s="1"/>
  <c r="AR256" i="75"/>
  <c r="AQ256" i="75"/>
  <c r="AP256" i="75" s="1"/>
  <c r="AN256" i="75"/>
  <c r="FP256" i="75" s="1"/>
  <c r="AM256" i="75"/>
  <c r="FO256" i="75" s="1"/>
  <c r="AL256" i="75"/>
  <c r="AK256" i="75"/>
  <c r="AJ256" i="75"/>
  <c r="AI256" i="75"/>
  <c r="AH256" i="75"/>
  <c r="AH249" i="75" s="1"/>
  <c r="FJ249" i="75" s="1"/>
  <c r="AG256" i="75"/>
  <c r="FI256" i="75" s="1"/>
  <c r="AF256" i="75"/>
  <c r="AC256" i="75"/>
  <c r="FE256" i="75" s="1"/>
  <c r="AB256" i="75"/>
  <c r="AA256" i="75"/>
  <c r="Z256" i="75"/>
  <c r="Y256" i="75"/>
  <c r="X256" i="75"/>
  <c r="EZ256" i="75" s="1"/>
  <c r="W256" i="75"/>
  <c r="V256" i="75"/>
  <c r="U256" i="75"/>
  <c r="S256" i="75"/>
  <c r="ET256" i="75" s="1"/>
  <c r="R256" i="75"/>
  <c r="ES256" i="75" s="1"/>
  <c r="Q256" i="75"/>
  <c r="P256" i="75"/>
  <c r="EQ256" i="75" s="1"/>
  <c r="O256" i="75"/>
  <c r="EP256" i="75" s="1"/>
  <c r="N256" i="75"/>
  <c r="M256" i="75"/>
  <c r="EN256" i="75" s="1"/>
  <c r="L256" i="75"/>
  <c r="K256" i="75"/>
  <c r="EL256" i="75" s="1"/>
  <c r="EK256" i="75" s="1"/>
  <c r="EK249" i="75" s="1"/>
  <c r="J256" i="75"/>
  <c r="J249" i="75" s="1"/>
  <c r="E256" i="75"/>
  <c r="D256" i="75"/>
  <c r="C256" i="75"/>
  <c r="B256" i="75"/>
  <c r="EI255" i="75"/>
  <c r="EJ255" i="75" s="1"/>
  <c r="EH255" i="75"/>
  <c r="EG255" i="75"/>
  <c r="EF255" i="75"/>
  <c r="EE255" i="75"/>
  <c r="ED255" i="75"/>
  <c r="EC255" i="75"/>
  <c r="EB255" i="75"/>
  <c r="EA255" i="75"/>
  <c r="DZ255" i="75" s="1"/>
  <c r="DB255" i="75"/>
  <c r="DC255" i="75" s="1"/>
  <c r="DA255" i="75"/>
  <c r="CZ255" i="75"/>
  <c r="CY255" i="75"/>
  <c r="CX255" i="75"/>
  <c r="CW255" i="75"/>
  <c r="CV255" i="75"/>
  <c r="CU255" i="75"/>
  <c r="CT255" i="75"/>
  <c r="CS255" i="75" s="1"/>
  <c r="CQ255" i="75"/>
  <c r="CR255" i="75" s="1"/>
  <c r="CP255" i="75"/>
  <c r="CO255" i="75"/>
  <c r="CN255" i="75"/>
  <c r="CM255" i="75"/>
  <c r="CL255" i="75"/>
  <c r="CK255" i="75"/>
  <c r="CJ255" i="75"/>
  <c r="CI255" i="75"/>
  <c r="CH255" i="75" s="1"/>
  <c r="CF255" i="75"/>
  <c r="CG255" i="75" s="1"/>
  <c r="CE255" i="75"/>
  <c r="CD255" i="75"/>
  <c r="CC255" i="75"/>
  <c r="CB255" i="75"/>
  <c r="CA255" i="75"/>
  <c r="BZ255" i="75"/>
  <c r="BY255" i="75"/>
  <c r="BX255" i="75"/>
  <c r="BW255" i="75" s="1"/>
  <c r="BU255" i="75"/>
  <c r="BV255" i="75" s="1"/>
  <c r="BT255" i="75"/>
  <c r="BS255" i="75"/>
  <c r="BR255" i="75"/>
  <c r="BQ255" i="75"/>
  <c r="BP255" i="75"/>
  <c r="BO255" i="75"/>
  <c r="BN255" i="75"/>
  <c r="BM255" i="75"/>
  <c r="BL255" i="75" s="1"/>
  <c r="BJ255" i="75"/>
  <c r="BI255" i="75"/>
  <c r="GK255" i="75" s="1"/>
  <c r="BH255" i="75"/>
  <c r="GJ255" i="75" s="1"/>
  <c r="BG255" i="75"/>
  <c r="GI255" i="75" s="1"/>
  <c r="BF255" i="75"/>
  <c r="GH255" i="75" s="1"/>
  <c r="BE255" i="75"/>
  <c r="GG255" i="75" s="1"/>
  <c r="BD255" i="75"/>
  <c r="GF255" i="75" s="1"/>
  <c r="BC255" i="75"/>
  <c r="GE255" i="75" s="1"/>
  <c r="BB255" i="75"/>
  <c r="BA255" i="75" s="1"/>
  <c r="GC255" i="75" s="1"/>
  <c r="AY255" i="75"/>
  <c r="GA255" i="75" s="1"/>
  <c r="AX255" i="75"/>
  <c r="FZ255" i="75" s="1"/>
  <c r="AW255" i="75"/>
  <c r="FY255" i="75" s="1"/>
  <c r="AV255" i="75"/>
  <c r="FX255" i="75" s="1"/>
  <c r="AU255" i="75"/>
  <c r="FW255" i="75" s="1"/>
  <c r="AT255" i="75"/>
  <c r="FV255" i="75" s="1"/>
  <c r="AS255" i="75"/>
  <c r="FU255" i="75" s="1"/>
  <c r="AR255" i="75"/>
  <c r="FT255" i="75" s="1"/>
  <c r="AQ255" i="75"/>
  <c r="FS255" i="75" s="1"/>
  <c r="AN255" i="75"/>
  <c r="FP255" i="75" s="1"/>
  <c r="AM255" i="75"/>
  <c r="FO255" i="75" s="1"/>
  <c r="AL255" i="75"/>
  <c r="FN255" i="75" s="1"/>
  <c r="AK255" i="75"/>
  <c r="FM255" i="75" s="1"/>
  <c r="AJ255" i="75"/>
  <c r="FL255" i="75" s="1"/>
  <c r="AI255" i="75"/>
  <c r="FK255" i="75" s="1"/>
  <c r="AH255" i="75"/>
  <c r="FJ255" i="75" s="1"/>
  <c r="AG255" i="75"/>
  <c r="FI255" i="75" s="1"/>
  <c r="AF255" i="75"/>
  <c r="AE255" i="75" s="1"/>
  <c r="FG255" i="75" s="1"/>
  <c r="AC255" i="75"/>
  <c r="AD255" i="75" s="1"/>
  <c r="FF255" i="75" s="1"/>
  <c r="AB255" i="75"/>
  <c r="FD255" i="75" s="1"/>
  <c r="AA255" i="75"/>
  <c r="FC255" i="75" s="1"/>
  <c r="Z255" i="75"/>
  <c r="FB255" i="75" s="1"/>
  <c r="Y255" i="75"/>
  <c r="FA255" i="75" s="1"/>
  <c r="X255" i="75"/>
  <c r="EZ255" i="75" s="1"/>
  <c r="W255" i="75"/>
  <c r="EY255" i="75" s="1"/>
  <c r="V255" i="75"/>
  <c r="EX255" i="75" s="1"/>
  <c r="U255" i="75"/>
  <c r="EW255" i="75" s="1"/>
  <c r="EV255" i="75" s="1"/>
  <c r="S255" i="75"/>
  <c r="T255" i="75" s="1"/>
  <c r="EU255" i="75" s="1"/>
  <c r="R255" i="75"/>
  <c r="ES255" i="75" s="1"/>
  <c r="Q255" i="75"/>
  <c r="ER255" i="75" s="1"/>
  <c r="P255" i="75"/>
  <c r="EQ255" i="75" s="1"/>
  <c r="O255" i="75"/>
  <c r="EP255" i="75" s="1"/>
  <c r="N255" i="75"/>
  <c r="EO255" i="75" s="1"/>
  <c r="M255" i="75"/>
  <c r="EN255" i="75" s="1"/>
  <c r="L255" i="75"/>
  <c r="EM255" i="75" s="1"/>
  <c r="K255" i="75"/>
  <c r="EL255" i="75" s="1"/>
  <c r="EK255" i="75" s="1"/>
  <c r="J255" i="75"/>
  <c r="E255" i="75"/>
  <c r="D255" i="75"/>
  <c r="C255" i="75"/>
  <c r="B255" i="75"/>
  <c r="EI254" i="75"/>
  <c r="EJ254" i="75" s="1"/>
  <c r="EH254" i="75"/>
  <c r="EG254" i="75"/>
  <c r="EF254" i="75"/>
  <c r="EE254" i="75"/>
  <c r="ED254" i="75"/>
  <c r="EC254" i="75"/>
  <c r="EB254" i="75"/>
  <c r="EA254" i="75"/>
  <c r="DZ254" i="75" s="1"/>
  <c r="DB254" i="75"/>
  <c r="DC254" i="75" s="1"/>
  <c r="DA254" i="75"/>
  <c r="CZ254" i="75"/>
  <c r="CY254" i="75"/>
  <c r="CX254" i="75"/>
  <c r="CW254" i="75"/>
  <c r="CV254" i="75"/>
  <c r="CU254" i="75"/>
  <c r="CT254" i="75"/>
  <c r="CS254" i="75" s="1"/>
  <c r="CQ254" i="75"/>
  <c r="CR254" i="75" s="1"/>
  <c r="CP254" i="75"/>
  <c r="CO254" i="75"/>
  <c r="CN254" i="75"/>
  <c r="CM254" i="75"/>
  <c r="CL254" i="75"/>
  <c r="CK254" i="75"/>
  <c r="CJ254" i="75"/>
  <c r="CI254" i="75"/>
  <c r="CH254" i="75" s="1"/>
  <c r="CF254" i="75"/>
  <c r="CG254" i="75" s="1"/>
  <c r="CE254" i="75"/>
  <c r="CD254" i="75"/>
  <c r="CC254" i="75"/>
  <c r="CB254" i="75"/>
  <c r="CA254" i="75"/>
  <c r="BZ254" i="75"/>
  <c r="BY254" i="75"/>
  <c r="BX254" i="75"/>
  <c r="BW254" i="75" s="1"/>
  <c r="BU254" i="75"/>
  <c r="BV254" i="75" s="1"/>
  <c r="BT254" i="75"/>
  <c r="BS254" i="75"/>
  <c r="BR254" i="75"/>
  <c r="BQ254" i="75"/>
  <c r="BP254" i="75"/>
  <c r="BO254" i="75"/>
  <c r="BN254" i="75"/>
  <c r="BM254" i="75"/>
  <c r="BL254" i="75" s="1"/>
  <c r="BJ254" i="75"/>
  <c r="BI254" i="75"/>
  <c r="GK254" i="75" s="1"/>
  <c r="BH254" i="75"/>
  <c r="GJ254" i="75" s="1"/>
  <c r="BG254" i="75"/>
  <c r="GI254" i="75" s="1"/>
  <c r="BF254" i="75"/>
  <c r="GH254" i="75" s="1"/>
  <c r="BE254" i="75"/>
  <c r="GG254" i="75" s="1"/>
  <c r="BD254" i="75"/>
  <c r="GF254" i="75" s="1"/>
  <c r="BC254" i="75"/>
  <c r="GE254" i="75" s="1"/>
  <c r="BB254" i="75"/>
  <c r="GD254" i="75" s="1"/>
  <c r="AY254" i="75"/>
  <c r="GA254" i="75" s="1"/>
  <c r="AX254" i="75"/>
  <c r="FZ254" i="75" s="1"/>
  <c r="AW254" i="75"/>
  <c r="FY254" i="75" s="1"/>
  <c r="AV254" i="75"/>
  <c r="FX254" i="75" s="1"/>
  <c r="AU254" i="75"/>
  <c r="FW254" i="75" s="1"/>
  <c r="AT254" i="75"/>
  <c r="FV254" i="75" s="1"/>
  <c r="AS254" i="75"/>
  <c r="FU254" i="75" s="1"/>
  <c r="AR254" i="75"/>
  <c r="FT254" i="75" s="1"/>
  <c r="AQ254" i="75"/>
  <c r="FS254" i="75" s="1"/>
  <c r="AN254" i="75"/>
  <c r="AM254" i="75"/>
  <c r="FO254" i="75" s="1"/>
  <c r="AL254" i="75"/>
  <c r="FN254" i="75" s="1"/>
  <c r="AK254" i="75"/>
  <c r="FM254" i="75" s="1"/>
  <c r="AJ254" i="75"/>
  <c r="FL254" i="75" s="1"/>
  <c r="AI254" i="75"/>
  <c r="FK254" i="75" s="1"/>
  <c r="AH254" i="75"/>
  <c r="FJ254" i="75" s="1"/>
  <c r="AG254" i="75"/>
  <c r="FI254" i="75" s="1"/>
  <c r="AF254" i="75"/>
  <c r="AC254" i="75"/>
  <c r="FE254" i="75" s="1"/>
  <c r="AB254" i="75"/>
  <c r="FD254" i="75" s="1"/>
  <c r="AA254" i="75"/>
  <c r="FC254" i="75" s="1"/>
  <c r="Z254" i="75"/>
  <c r="FB254" i="75" s="1"/>
  <c r="Y254" i="75"/>
  <c r="FA254" i="75" s="1"/>
  <c r="X254" i="75"/>
  <c r="EZ254" i="75" s="1"/>
  <c r="W254" i="75"/>
  <c r="EY254" i="75" s="1"/>
  <c r="V254" i="75"/>
  <c r="EX254" i="75" s="1"/>
  <c r="U254" i="75"/>
  <c r="EW254" i="75" s="1"/>
  <c r="EV254" i="75" s="1"/>
  <c r="S254" i="75"/>
  <c r="ET254" i="75" s="1"/>
  <c r="R254" i="75"/>
  <c r="ES254" i="75" s="1"/>
  <c r="Q254" i="75"/>
  <c r="ER254" i="75" s="1"/>
  <c r="P254" i="75"/>
  <c r="EQ254" i="75" s="1"/>
  <c r="O254" i="75"/>
  <c r="EP254" i="75" s="1"/>
  <c r="N254" i="75"/>
  <c r="EO254" i="75" s="1"/>
  <c r="M254" i="75"/>
  <c r="EN254" i="75" s="1"/>
  <c r="L254" i="75"/>
  <c r="EM254" i="75" s="1"/>
  <c r="K254" i="75"/>
  <c r="EL254" i="75" s="1"/>
  <c r="EK254" i="75" s="1"/>
  <c r="J254" i="75"/>
  <c r="E254" i="75"/>
  <c r="D254" i="75"/>
  <c r="C254" i="75"/>
  <c r="B254" i="75"/>
  <c r="GF253" i="75"/>
  <c r="EI253" i="75"/>
  <c r="EJ253" i="75" s="1"/>
  <c r="EH253" i="75"/>
  <c r="EG253" i="75"/>
  <c r="EF253" i="75"/>
  <c r="EE253" i="75"/>
  <c r="ED253" i="75"/>
  <c r="EC253" i="75"/>
  <c r="EB253" i="75"/>
  <c r="EA253" i="75"/>
  <c r="DZ253" i="75" s="1"/>
  <c r="DB253" i="75"/>
  <c r="DC253" i="75" s="1"/>
  <c r="DA253" i="75"/>
  <c r="CZ253" i="75"/>
  <c r="CY253" i="75"/>
  <c r="CX253" i="75"/>
  <c r="CW253" i="75"/>
  <c r="CV253" i="75"/>
  <c r="CU253" i="75"/>
  <c r="CT253" i="75"/>
  <c r="CS253" i="75" s="1"/>
  <c r="CQ253" i="75"/>
  <c r="CR253" i="75" s="1"/>
  <c r="CP253" i="75"/>
  <c r="CO253" i="75"/>
  <c r="CN253" i="75"/>
  <c r="CM253" i="75"/>
  <c r="CL253" i="75"/>
  <c r="CK253" i="75"/>
  <c r="CJ253" i="75"/>
  <c r="CI253" i="75"/>
  <c r="CH253" i="75" s="1"/>
  <c r="CF253" i="75"/>
  <c r="CG253" i="75" s="1"/>
  <c r="CE253" i="75"/>
  <c r="CD253" i="75"/>
  <c r="CC253" i="75"/>
  <c r="CB253" i="75"/>
  <c r="CA253" i="75"/>
  <c r="BZ253" i="75"/>
  <c r="BY253" i="75"/>
  <c r="BX253" i="75"/>
  <c r="BW253" i="75" s="1"/>
  <c r="BU253" i="75"/>
  <c r="BV253" i="75" s="1"/>
  <c r="BT253" i="75"/>
  <c r="BS253" i="75"/>
  <c r="BR253" i="75"/>
  <c r="BQ253" i="75"/>
  <c r="BP253" i="75"/>
  <c r="BO253" i="75"/>
  <c r="BN253" i="75"/>
  <c r="BM253" i="75"/>
  <c r="BL253" i="75" s="1"/>
  <c r="BJ253" i="75"/>
  <c r="GL253" i="75" s="1"/>
  <c r="BI253" i="75"/>
  <c r="GK253" i="75" s="1"/>
  <c r="BH253" i="75"/>
  <c r="GJ253" i="75" s="1"/>
  <c r="BG253" i="75"/>
  <c r="GI253" i="75" s="1"/>
  <c r="BF253" i="75"/>
  <c r="GH253" i="75" s="1"/>
  <c r="BE253" i="75"/>
  <c r="GG253" i="75" s="1"/>
  <c r="BD253" i="75"/>
  <c r="BC253" i="75"/>
  <c r="GE253" i="75" s="1"/>
  <c r="BB253" i="75"/>
  <c r="BA253" i="75" s="1"/>
  <c r="GC253" i="75" s="1"/>
  <c r="AY253" i="75"/>
  <c r="GA253" i="75" s="1"/>
  <c r="AX253" i="75"/>
  <c r="FZ253" i="75" s="1"/>
  <c r="AW253" i="75"/>
  <c r="FY253" i="75" s="1"/>
  <c r="AV253" i="75"/>
  <c r="FX253" i="75" s="1"/>
  <c r="AU253" i="75"/>
  <c r="FW253" i="75" s="1"/>
  <c r="AT253" i="75"/>
  <c r="FV253" i="75" s="1"/>
  <c r="AS253" i="75"/>
  <c r="FU253" i="75" s="1"/>
  <c r="AR253" i="75"/>
  <c r="FT253" i="75" s="1"/>
  <c r="AQ253" i="75"/>
  <c r="FS253" i="75" s="1"/>
  <c r="AN253" i="75"/>
  <c r="FP253" i="75" s="1"/>
  <c r="AM253" i="75"/>
  <c r="FO253" i="75" s="1"/>
  <c r="AL253" i="75"/>
  <c r="FN253" i="75" s="1"/>
  <c r="AK253" i="75"/>
  <c r="FM253" i="75" s="1"/>
  <c r="AJ253" i="75"/>
  <c r="FL253" i="75" s="1"/>
  <c r="AI253" i="75"/>
  <c r="FK253" i="75" s="1"/>
  <c r="AH253" i="75"/>
  <c r="FJ253" i="75" s="1"/>
  <c r="AG253" i="75"/>
  <c r="FI253" i="75" s="1"/>
  <c r="AF253" i="75"/>
  <c r="FH253" i="75" s="1"/>
  <c r="AC253" i="75"/>
  <c r="FE253" i="75" s="1"/>
  <c r="AB253" i="75"/>
  <c r="FD253" i="75" s="1"/>
  <c r="AA253" i="75"/>
  <c r="FC253" i="75" s="1"/>
  <c r="Z253" i="75"/>
  <c r="FB253" i="75" s="1"/>
  <c r="Y253" i="75"/>
  <c r="FA253" i="75" s="1"/>
  <c r="X253" i="75"/>
  <c r="EZ253" i="75" s="1"/>
  <c r="W253" i="75"/>
  <c r="EY253" i="75" s="1"/>
  <c r="V253" i="75"/>
  <c r="EX253" i="75" s="1"/>
  <c r="U253" i="75"/>
  <c r="EW253" i="75" s="1"/>
  <c r="EV253" i="75" s="1"/>
  <c r="S253" i="75"/>
  <c r="ET253" i="75" s="1"/>
  <c r="R253" i="75"/>
  <c r="ES253" i="75" s="1"/>
  <c r="Q253" i="75"/>
  <c r="ER253" i="75" s="1"/>
  <c r="P253" i="75"/>
  <c r="EQ253" i="75" s="1"/>
  <c r="O253" i="75"/>
  <c r="EP253" i="75" s="1"/>
  <c r="N253" i="75"/>
  <c r="EO253" i="75" s="1"/>
  <c r="M253" i="75"/>
  <c r="EN253" i="75" s="1"/>
  <c r="L253" i="75"/>
  <c r="EM253" i="75" s="1"/>
  <c r="K253" i="75"/>
  <c r="EL253" i="75" s="1"/>
  <c r="EK253" i="75" s="1"/>
  <c r="J253" i="75"/>
  <c r="E253" i="75"/>
  <c r="D253" i="75"/>
  <c r="C253" i="75"/>
  <c r="B253" i="75"/>
  <c r="EI252" i="75"/>
  <c r="EJ252" i="75" s="1"/>
  <c r="EH252" i="75"/>
  <c r="EG252" i="75"/>
  <c r="EF252" i="75"/>
  <c r="EE252" i="75"/>
  <c r="ED252" i="75"/>
  <c r="EC252" i="75"/>
  <c r="EB252" i="75"/>
  <c r="EA252" i="75"/>
  <c r="DZ252" i="75" s="1"/>
  <c r="DB252" i="75"/>
  <c r="DC252" i="75" s="1"/>
  <c r="DA252" i="75"/>
  <c r="CZ252" i="75"/>
  <c r="CY252" i="75"/>
  <c r="CX252" i="75"/>
  <c r="CW252" i="75"/>
  <c r="CV252" i="75"/>
  <c r="CU252" i="75"/>
  <c r="CT252" i="75"/>
  <c r="CS252" i="75" s="1"/>
  <c r="CQ252" i="75"/>
  <c r="CR252" i="75" s="1"/>
  <c r="CP252" i="75"/>
  <c r="CO252" i="75"/>
  <c r="CN252" i="75"/>
  <c r="CM252" i="75"/>
  <c r="CL252" i="75"/>
  <c r="CK252" i="75"/>
  <c r="CJ252" i="75"/>
  <c r="CI252" i="75"/>
  <c r="CH252" i="75" s="1"/>
  <c r="CF252" i="75"/>
  <c r="CG252" i="75" s="1"/>
  <c r="CE252" i="75"/>
  <c r="CD252" i="75"/>
  <c r="CC252" i="75"/>
  <c r="CB252" i="75"/>
  <c r="CA252" i="75"/>
  <c r="BZ252" i="75"/>
  <c r="BY252" i="75"/>
  <c r="BX252" i="75"/>
  <c r="BW252" i="75" s="1"/>
  <c r="BU252" i="75"/>
  <c r="BV252" i="75" s="1"/>
  <c r="BT252" i="75"/>
  <c r="BS252" i="75"/>
  <c r="BR252" i="75"/>
  <c r="BQ252" i="75"/>
  <c r="BP252" i="75"/>
  <c r="BO252" i="75"/>
  <c r="BN252" i="75"/>
  <c r="BM252" i="75"/>
  <c r="BL252" i="75" s="1"/>
  <c r="BJ252" i="75"/>
  <c r="BK252" i="75" s="1"/>
  <c r="GM252" i="75" s="1"/>
  <c r="BI252" i="75"/>
  <c r="GK252" i="75" s="1"/>
  <c r="BH252" i="75"/>
  <c r="GJ252" i="75" s="1"/>
  <c r="BG252" i="75"/>
  <c r="GI252" i="75" s="1"/>
  <c r="BF252" i="75"/>
  <c r="GH252" i="75" s="1"/>
  <c r="BE252" i="75"/>
  <c r="GG252" i="75" s="1"/>
  <c r="BD252" i="75"/>
  <c r="GF252" i="75" s="1"/>
  <c r="BC252" i="75"/>
  <c r="GE252" i="75" s="1"/>
  <c r="BB252" i="75"/>
  <c r="GD252" i="75" s="1"/>
  <c r="AY252" i="75"/>
  <c r="GA252" i="75" s="1"/>
  <c r="AX252" i="75"/>
  <c r="FZ252" i="75" s="1"/>
  <c r="AW252" i="75"/>
  <c r="FY252" i="75" s="1"/>
  <c r="AV252" i="75"/>
  <c r="FX252" i="75" s="1"/>
  <c r="AU252" i="75"/>
  <c r="FW252" i="75" s="1"/>
  <c r="AT252" i="75"/>
  <c r="FV252" i="75" s="1"/>
  <c r="AS252" i="75"/>
  <c r="FU252" i="75" s="1"/>
  <c r="AR252" i="75"/>
  <c r="FT252" i="75" s="1"/>
  <c r="AQ252" i="75"/>
  <c r="AP252" i="75" s="1"/>
  <c r="FR252" i="75" s="1"/>
  <c r="AN252" i="75"/>
  <c r="FP252" i="75" s="1"/>
  <c r="AM252" i="75"/>
  <c r="FO252" i="75" s="1"/>
  <c r="AL252" i="75"/>
  <c r="FN252" i="75" s="1"/>
  <c r="AK252" i="75"/>
  <c r="FM252" i="75" s="1"/>
  <c r="AJ252" i="75"/>
  <c r="FL252" i="75" s="1"/>
  <c r="AI252" i="75"/>
  <c r="FK252" i="75" s="1"/>
  <c r="AH252" i="75"/>
  <c r="FJ252" i="75" s="1"/>
  <c r="AG252" i="75"/>
  <c r="FI252" i="75" s="1"/>
  <c r="AF252" i="75"/>
  <c r="AC252" i="75"/>
  <c r="FE252" i="75" s="1"/>
  <c r="AB252" i="75"/>
  <c r="FD252" i="75" s="1"/>
  <c r="AA252" i="75"/>
  <c r="FC252" i="75" s="1"/>
  <c r="Z252" i="75"/>
  <c r="FB252" i="75" s="1"/>
  <c r="Y252" i="75"/>
  <c r="FA252" i="75" s="1"/>
  <c r="X252" i="75"/>
  <c r="EZ252" i="75" s="1"/>
  <c r="W252" i="75"/>
  <c r="EY252" i="75" s="1"/>
  <c r="V252" i="75"/>
  <c r="EX252" i="75" s="1"/>
  <c r="U252" i="75"/>
  <c r="EW252" i="75" s="1"/>
  <c r="EV252" i="75" s="1"/>
  <c r="S252" i="75"/>
  <c r="T252" i="75" s="1"/>
  <c r="EU252" i="75" s="1"/>
  <c r="R252" i="75"/>
  <c r="ES252" i="75" s="1"/>
  <c r="Q252" i="75"/>
  <c r="ER252" i="75" s="1"/>
  <c r="P252" i="75"/>
  <c r="EQ252" i="75" s="1"/>
  <c r="O252" i="75"/>
  <c r="EP252" i="75" s="1"/>
  <c r="N252" i="75"/>
  <c r="EO252" i="75" s="1"/>
  <c r="M252" i="75"/>
  <c r="EN252" i="75" s="1"/>
  <c r="L252" i="75"/>
  <c r="EM252" i="75" s="1"/>
  <c r="K252" i="75"/>
  <c r="EL252" i="75" s="1"/>
  <c r="EK252" i="75" s="1"/>
  <c r="J252" i="75"/>
  <c r="E252" i="75"/>
  <c r="D252" i="75"/>
  <c r="C252" i="75"/>
  <c r="B252" i="75"/>
  <c r="EI251" i="75"/>
  <c r="EJ251" i="75" s="1"/>
  <c r="EJ248" i="75" s="1"/>
  <c r="EH251" i="75"/>
  <c r="EH248" i="75" s="1"/>
  <c r="EG251" i="75"/>
  <c r="EG248" i="75" s="1"/>
  <c r="EF251" i="75"/>
  <c r="EF248" i="75" s="1"/>
  <c r="EE251" i="75"/>
  <c r="EE248" i="75" s="1"/>
  <c r="ED251" i="75"/>
  <c r="ED248" i="75" s="1"/>
  <c r="EC251" i="75"/>
  <c r="EC248" i="75" s="1"/>
  <c r="EB251" i="75"/>
  <c r="EB248" i="75" s="1"/>
  <c r="EA251" i="75"/>
  <c r="DB251" i="75"/>
  <c r="DA251" i="75"/>
  <c r="DA248" i="75" s="1"/>
  <c r="CZ251" i="75"/>
  <c r="CZ248" i="75" s="1"/>
  <c r="CY251" i="75"/>
  <c r="CY248" i="75" s="1"/>
  <c r="CX251" i="75"/>
  <c r="CX248" i="75" s="1"/>
  <c r="CW251" i="75"/>
  <c r="CW248" i="75" s="1"/>
  <c r="CV251" i="75"/>
  <c r="CV248" i="75" s="1"/>
  <c r="CU251" i="75"/>
  <c r="CU248" i="75" s="1"/>
  <c r="CT251" i="75"/>
  <c r="CS251" i="75" s="1"/>
  <c r="CS248" i="75" s="1"/>
  <c r="CQ251" i="75"/>
  <c r="CQ248" i="75" s="1"/>
  <c r="CP251" i="75"/>
  <c r="CP248" i="75" s="1"/>
  <c r="CO251" i="75"/>
  <c r="CO248" i="75" s="1"/>
  <c r="CN251" i="75"/>
  <c r="CN248" i="75" s="1"/>
  <c r="CM251" i="75"/>
  <c r="CM248" i="75" s="1"/>
  <c r="CL251" i="75"/>
  <c r="CL248" i="75" s="1"/>
  <c r="CK251" i="75"/>
  <c r="CK248" i="75" s="1"/>
  <c r="CJ251" i="75"/>
  <c r="CJ248" i="75" s="1"/>
  <c r="CI251" i="75"/>
  <c r="CI248" i="75" s="1"/>
  <c r="CF251" i="75"/>
  <c r="CG251" i="75" s="1"/>
  <c r="CG248" i="75" s="1"/>
  <c r="CE251" i="75"/>
  <c r="CE248" i="75" s="1"/>
  <c r="CD251" i="75"/>
  <c r="CD248" i="75" s="1"/>
  <c r="CC251" i="75"/>
  <c r="CC248" i="75" s="1"/>
  <c r="CB251" i="75"/>
  <c r="CB248" i="75" s="1"/>
  <c r="CA251" i="75"/>
  <c r="CA248" i="75" s="1"/>
  <c r="BZ251" i="75"/>
  <c r="BZ248" i="75" s="1"/>
  <c r="BY251" i="75"/>
  <c r="BY248" i="75" s="1"/>
  <c r="BX251" i="75"/>
  <c r="BW251" i="75" s="1"/>
  <c r="BW248" i="75" s="1"/>
  <c r="BU251" i="75"/>
  <c r="BV251" i="75" s="1"/>
  <c r="BV248" i="75" s="1"/>
  <c r="BT251" i="75"/>
  <c r="BT248" i="75" s="1"/>
  <c r="BS251" i="75"/>
  <c r="BS248" i="75" s="1"/>
  <c r="BR251" i="75"/>
  <c r="BR248" i="75" s="1"/>
  <c r="BQ251" i="75"/>
  <c r="BQ248" i="75" s="1"/>
  <c r="BP251" i="75"/>
  <c r="BP248" i="75" s="1"/>
  <c r="BO251" i="75"/>
  <c r="BO248" i="75" s="1"/>
  <c r="BN251" i="75"/>
  <c r="BN248" i="75" s="1"/>
  <c r="BM251" i="75"/>
  <c r="BM248" i="75" s="1"/>
  <c r="BJ251" i="75"/>
  <c r="GL251" i="75" s="1"/>
  <c r="BI251" i="75"/>
  <c r="BH251" i="75"/>
  <c r="BG251" i="75"/>
  <c r="BF251" i="75"/>
  <c r="GH251" i="75" s="1"/>
  <c r="BE251" i="75"/>
  <c r="BE248" i="75" s="1"/>
  <c r="GG248" i="75" s="1"/>
  <c r="BD251" i="75"/>
  <c r="GF251" i="75" s="1"/>
  <c r="BC251" i="75"/>
  <c r="BC248" i="75" s="1"/>
  <c r="GE248" i="75" s="1"/>
  <c r="BB251" i="75"/>
  <c r="GD251" i="75" s="1"/>
  <c r="AY251" i="75"/>
  <c r="AZ251" i="75" s="1"/>
  <c r="GB251" i="75" s="1"/>
  <c r="AX251" i="75"/>
  <c r="FZ251" i="75" s="1"/>
  <c r="AW251" i="75"/>
  <c r="AW248" i="75" s="1"/>
  <c r="FY248" i="75" s="1"/>
  <c r="AV251" i="75"/>
  <c r="FX251" i="75" s="1"/>
  <c r="AU251" i="75"/>
  <c r="AT251" i="75"/>
  <c r="AS251" i="75"/>
  <c r="AR251" i="75"/>
  <c r="AQ251" i="75"/>
  <c r="AP251" i="75" s="1"/>
  <c r="AN251" i="75"/>
  <c r="AM251" i="75"/>
  <c r="AL251" i="75"/>
  <c r="AK251" i="75"/>
  <c r="AJ251" i="75"/>
  <c r="AJ248" i="75" s="1"/>
  <c r="FL248" i="75" s="1"/>
  <c r="AI251" i="75"/>
  <c r="FK251" i="75" s="1"/>
  <c r="AH251" i="75"/>
  <c r="AH248" i="75" s="1"/>
  <c r="FJ248" i="75" s="1"/>
  <c r="AG251" i="75"/>
  <c r="FI251" i="75" s="1"/>
  <c r="AF251" i="75"/>
  <c r="AE251" i="75" s="1"/>
  <c r="FG251" i="75" s="1"/>
  <c r="AC251" i="75"/>
  <c r="AC248" i="75" s="1"/>
  <c r="FE248" i="75" s="1"/>
  <c r="AB251" i="75"/>
  <c r="FD251" i="75" s="1"/>
  <c r="AA251" i="75"/>
  <c r="Z251" i="75"/>
  <c r="Y251" i="75"/>
  <c r="X251" i="75"/>
  <c r="EZ251" i="75" s="1"/>
  <c r="W251" i="75"/>
  <c r="W248" i="75" s="1"/>
  <c r="EY248" i="75" s="1"/>
  <c r="V251" i="75"/>
  <c r="V248" i="75" s="1"/>
  <c r="EX248" i="75" s="1"/>
  <c r="U251" i="75"/>
  <c r="S251" i="75"/>
  <c r="T251" i="75" s="1"/>
  <c r="EU251" i="75" s="1"/>
  <c r="R251" i="75"/>
  <c r="Q251" i="75"/>
  <c r="P251" i="75"/>
  <c r="EQ251" i="75" s="1"/>
  <c r="O251" i="75"/>
  <c r="O248" i="75" s="1"/>
  <c r="EP248" i="75" s="1"/>
  <c r="N251" i="75"/>
  <c r="EO251" i="75" s="1"/>
  <c r="M251" i="75"/>
  <c r="EN251" i="75" s="1"/>
  <c r="L251" i="75"/>
  <c r="EM251" i="75" s="1"/>
  <c r="K251" i="75"/>
  <c r="EL251" i="75" s="1"/>
  <c r="EK251" i="75" s="1"/>
  <c r="EK248" i="75" s="1"/>
  <c r="J251" i="75"/>
  <c r="E251" i="75"/>
  <c r="D251" i="75"/>
  <c r="C251" i="75"/>
  <c r="B251" i="75"/>
  <c r="DY250" i="75"/>
  <c r="DX250" i="75"/>
  <c r="DW250" i="75"/>
  <c r="DV250" i="75"/>
  <c r="DU250" i="75"/>
  <c r="DT250" i="75"/>
  <c r="DS250" i="75"/>
  <c r="DR250" i="75"/>
  <c r="DQ250" i="75"/>
  <c r="DP250" i="75"/>
  <c r="DO250" i="75"/>
  <c r="DN250" i="75"/>
  <c r="DM250" i="75"/>
  <c r="DL250" i="75"/>
  <c r="DK250" i="75"/>
  <c r="DJ250" i="75"/>
  <c r="DI250" i="75"/>
  <c r="DH250" i="75"/>
  <c r="DG250" i="75"/>
  <c r="DF250" i="75"/>
  <c r="DE250" i="75"/>
  <c r="DD250" i="75"/>
  <c r="CV250" i="75"/>
  <c r="CP250" i="75"/>
  <c r="CN250" i="75"/>
  <c r="CL250" i="75"/>
  <c r="BV250" i="75"/>
  <c r="BU250" i="75"/>
  <c r="BR250" i="75"/>
  <c r="BQ250" i="75"/>
  <c r="BP250" i="75"/>
  <c r="AY250" i="75"/>
  <c r="GA250" i="75" s="1"/>
  <c r="AW250" i="75"/>
  <c r="FY250" i="75" s="1"/>
  <c r="AU250" i="75"/>
  <c r="FW250" i="75" s="1"/>
  <c r="AT250" i="75"/>
  <c r="FV250" i="75" s="1"/>
  <c r="AS250" i="75"/>
  <c r="FU250" i="75" s="1"/>
  <c r="AN250" i="75"/>
  <c r="FP250" i="75" s="1"/>
  <c r="AL250" i="75"/>
  <c r="FN250" i="75" s="1"/>
  <c r="AK250" i="75"/>
  <c r="FM250" i="75" s="1"/>
  <c r="W250" i="75"/>
  <c r="EY250" i="75" s="1"/>
  <c r="U250" i="75"/>
  <c r="EW250" i="75" s="1"/>
  <c r="S250" i="75"/>
  <c r="T250" i="75" s="1"/>
  <c r="EU250" i="75" s="1"/>
  <c r="H250" i="75"/>
  <c r="G250" i="75"/>
  <c r="F250" i="75"/>
  <c r="E250" i="75"/>
  <c r="D250" i="75"/>
  <c r="C250" i="75"/>
  <c r="B250" i="75"/>
  <c r="A250" i="75"/>
  <c r="EF249" i="75"/>
  <c r="DY249" i="75"/>
  <c r="DX249" i="75"/>
  <c r="DW249" i="75"/>
  <c r="DV249" i="75"/>
  <c r="DU249" i="75"/>
  <c r="DT249" i="75"/>
  <c r="DS249" i="75"/>
  <c r="DR249" i="75"/>
  <c r="DQ249" i="75"/>
  <c r="DP249" i="75"/>
  <c r="DO249" i="75"/>
  <c r="DN249" i="75"/>
  <c r="DM249" i="75"/>
  <c r="DL249" i="75"/>
  <c r="DK249" i="75"/>
  <c r="DJ249" i="75"/>
  <c r="DI249" i="75"/>
  <c r="DH249" i="75"/>
  <c r="DG249" i="75"/>
  <c r="DF249" i="75"/>
  <c r="DE249" i="75"/>
  <c r="DD249" i="75"/>
  <c r="CM249" i="75"/>
  <c r="CL249" i="75"/>
  <c r="CK249" i="75"/>
  <c r="BS249" i="75"/>
  <c r="BR249" i="75"/>
  <c r="BN249" i="75"/>
  <c r="AN249" i="75"/>
  <c r="FP249" i="75" s="1"/>
  <c r="AM249" i="75"/>
  <c r="FO249" i="75" s="1"/>
  <c r="R249" i="75"/>
  <c r="ES249" i="75" s="1"/>
  <c r="H249" i="75"/>
  <c r="G249" i="75"/>
  <c r="F249" i="75"/>
  <c r="E249" i="75"/>
  <c r="D249" i="75"/>
  <c r="C249" i="75"/>
  <c r="B249" i="75"/>
  <c r="A249" i="75"/>
  <c r="DY248" i="75"/>
  <c r="DX248" i="75"/>
  <c r="DW248" i="75"/>
  <c r="DV248" i="75"/>
  <c r="DU248" i="75"/>
  <c r="DT248" i="75"/>
  <c r="DS248" i="75"/>
  <c r="DR248" i="75"/>
  <c r="DQ248" i="75"/>
  <c r="DP248" i="75"/>
  <c r="DO248" i="75"/>
  <c r="DN248" i="75"/>
  <c r="DM248" i="75"/>
  <c r="DL248" i="75"/>
  <c r="DK248" i="75"/>
  <c r="DJ248" i="75"/>
  <c r="DI248" i="75"/>
  <c r="DH248" i="75"/>
  <c r="DG248" i="75"/>
  <c r="DF248" i="75"/>
  <c r="DE248" i="75"/>
  <c r="DD248" i="75"/>
  <c r="CT248" i="75"/>
  <c r="X248" i="75"/>
  <c r="EZ248" i="75" s="1"/>
  <c r="P248" i="75"/>
  <c r="EQ248" i="75" s="1"/>
  <c r="N248" i="75"/>
  <c r="EO248" i="75" s="1"/>
  <c r="J248" i="75"/>
  <c r="H248" i="75"/>
  <c r="G248" i="75"/>
  <c r="F248" i="75"/>
  <c r="E248" i="75"/>
  <c r="D248" i="75"/>
  <c r="C248" i="75"/>
  <c r="B248" i="75"/>
  <c r="A248" i="75"/>
  <c r="DY247" i="75"/>
  <c r="DX247" i="75"/>
  <c r="DW247" i="75"/>
  <c r="DV247" i="75"/>
  <c r="DU247" i="75"/>
  <c r="DT247" i="75"/>
  <c r="DS247" i="75"/>
  <c r="DR247" i="75"/>
  <c r="DQ247" i="75"/>
  <c r="DP247" i="75"/>
  <c r="DO247" i="75"/>
  <c r="DN247" i="75"/>
  <c r="DM247" i="75"/>
  <c r="DL247" i="75"/>
  <c r="DK247" i="75"/>
  <c r="DJ247" i="75"/>
  <c r="DI247" i="75"/>
  <c r="DH247" i="75"/>
  <c r="DG247" i="75"/>
  <c r="DF247" i="75"/>
  <c r="DE247" i="75"/>
  <c r="DD247" i="75"/>
  <c r="H247" i="75"/>
  <c r="G247" i="75"/>
  <c r="F247" i="75"/>
  <c r="E247" i="75"/>
  <c r="D247" i="75"/>
  <c r="C247" i="75"/>
  <c r="B247" i="75"/>
  <c r="A247" i="75"/>
  <c r="DY246" i="75"/>
  <c r="DX246" i="75"/>
  <c r="DW246" i="75"/>
  <c r="DV246" i="75"/>
  <c r="DU246" i="75"/>
  <c r="DT246" i="75"/>
  <c r="DS246" i="75"/>
  <c r="DR246" i="75"/>
  <c r="DQ246" i="75"/>
  <c r="DP246" i="75"/>
  <c r="DO246" i="75"/>
  <c r="DN246" i="75"/>
  <c r="DM246" i="75"/>
  <c r="DL246" i="75"/>
  <c r="DK246" i="75"/>
  <c r="DJ246" i="75"/>
  <c r="DI246" i="75"/>
  <c r="DH246" i="75"/>
  <c r="DG246" i="75"/>
  <c r="DF246" i="75"/>
  <c r="DE246" i="75"/>
  <c r="DD246" i="75"/>
  <c r="H246" i="75"/>
  <c r="G246" i="75"/>
  <c r="F246" i="75"/>
  <c r="E246" i="75"/>
  <c r="D246" i="75"/>
  <c r="C246" i="75"/>
  <c r="B246" i="75"/>
  <c r="A246" i="75"/>
  <c r="DY245" i="75"/>
  <c r="DX245" i="75"/>
  <c r="DW245" i="75"/>
  <c r="DV245" i="75"/>
  <c r="DU245" i="75"/>
  <c r="DT245" i="75"/>
  <c r="DS245" i="75"/>
  <c r="DR245" i="75"/>
  <c r="DQ245" i="75"/>
  <c r="DP245" i="75"/>
  <c r="DO245" i="75"/>
  <c r="DN245" i="75"/>
  <c r="DM245" i="75"/>
  <c r="DL245" i="75"/>
  <c r="DK245" i="75"/>
  <c r="DJ245" i="75"/>
  <c r="DI245" i="75"/>
  <c r="DH245" i="75"/>
  <c r="DG245" i="75"/>
  <c r="DF245" i="75"/>
  <c r="DE245" i="75"/>
  <c r="DD245" i="75"/>
  <c r="F245" i="75"/>
  <c r="E245" i="75"/>
  <c r="D245" i="75"/>
  <c r="C245" i="75"/>
  <c r="B245" i="75"/>
  <c r="A245" i="75"/>
  <c r="GL244" i="75"/>
  <c r="GH244" i="75"/>
  <c r="FT244" i="75"/>
  <c r="EI244" i="75"/>
  <c r="EJ244" i="75" s="1"/>
  <c r="EH244" i="75"/>
  <c r="EG244" i="75"/>
  <c r="EF244" i="75"/>
  <c r="EE244" i="75"/>
  <c r="ED244" i="75"/>
  <c r="EC244" i="75"/>
  <c r="EB244" i="75"/>
  <c r="EA244" i="75"/>
  <c r="DZ244" i="75" s="1"/>
  <c r="DB244" i="75"/>
  <c r="DC244" i="75" s="1"/>
  <c r="DA244" i="75"/>
  <c r="CZ244" i="75"/>
  <c r="CY244" i="75"/>
  <c r="CX244" i="75"/>
  <c r="CW244" i="75"/>
  <c r="CV244" i="75"/>
  <c r="CU244" i="75"/>
  <c r="CT244" i="75"/>
  <c r="CS244" i="75" s="1"/>
  <c r="CQ244" i="75"/>
  <c r="CR244" i="75" s="1"/>
  <c r="CP244" i="75"/>
  <c r="CO244" i="75"/>
  <c r="CN244" i="75"/>
  <c r="CM244" i="75"/>
  <c r="CL244" i="75"/>
  <c r="CK244" i="75"/>
  <c r="CJ244" i="75"/>
  <c r="CI244" i="75"/>
  <c r="CH244" i="75" s="1"/>
  <c r="CF244" i="75"/>
  <c r="CG244" i="75" s="1"/>
  <c r="CE244" i="75"/>
  <c r="CD244" i="75"/>
  <c r="CC244" i="75"/>
  <c r="CB244" i="75"/>
  <c r="CA244" i="75"/>
  <c r="BZ244" i="75"/>
  <c r="BY244" i="75"/>
  <c r="BX244" i="75"/>
  <c r="BW244" i="75" s="1"/>
  <c r="BU244" i="75"/>
  <c r="BV244" i="75" s="1"/>
  <c r="BT244" i="75"/>
  <c r="BS244" i="75"/>
  <c r="BR244" i="75"/>
  <c r="BQ244" i="75"/>
  <c r="BP244" i="75"/>
  <c r="BO244" i="75"/>
  <c r="BN244" i="75"/>
  <c r="BM244" i="75"/>
  <c r="BL244" i="75" s="1"/>
  <c r="BJ244" i="75"/>
  <c r="BK244" i="75" s="1"/>
  <c r="GM244" i="75" s="1"/>
  <c r="BI244" i="75"/>
  <c r="GK244" i="75" s="1"/>
  <c r="BH244" i="75"/>
  <c r="GJ244" i="75" s="1"/>
  <c r="BG244" i="75"/>
  <c r="GI244" i="75" s="1"/>
  <c r="BF244" i="75"/>
  <c r="BE244" i="75"/>
  <c r="GG244" i="75" s="1"/>
  <c r="BD244" i="75"/>
  <c r="GF244" i="75" s="1"/>
  <c r="BC244" i="75"/>
  <c r="GE244" i="75" s="1"/>
  <c r="BB244" i="75"/>
  <c r="BA244" i="75" s="1"/>
  <c r="GC244" i="75" s="1"/>
  <c r="AY244" i="75"/>
  <c r="AZ244" i="75" s="1"/>
  <c r="GB244" i="75" s="1"/>
  <c r="AX244" i="75"/>
  <c r="FZ244" i="75" s="1"/>
  <c r="AW244" i="75"/>
  <c r="FY244" i="75" s="1"/>
  <c r="AV244" i="75"/>
  <c r="FX244" i="75" s="1"/>
  <c r="AU244" i="75"/>
  <c r="FW244" i="75" s="1"/>
  <c r="AT244" i="75"/>
  <c r="FV244" i="75" s="1"/>
  <c r="AS244" i="75"/>
  <c r="FU244" i="75" s="1"/>
  <c r="AR244" i="75"/>
  <c r="AQ244" i="75"/>
  <c r="AP244" i="75" s="1"/>
  <c r="FR244" i="75" s="1"/>
  <c r="AN244" i="75"/>
  <c r="FP244" i="75" s="1"/>
  <c r="AM244" i="75"/>
  <c r="FO244" i="75" s="1"/>
  <c r="AL244" i="75"/>
  <c r="FN244" i="75" s="1"/>
  <c r="AK244" i="75"/>
  <c r="FM244" i="75" s="1"/>
  <c r="AJ244" i="75"/>
  <c r="FL244" i="75" s="1"/>
  <c r="AI244" i="75"/>
  <c r="FK244" i="75" s="1"/>
  <c r="AH244" i="75"/>
  <c r="FJ244" i="75" s="1"/>
  <c r="AG244" i="75"/>
  <c r="FI244" i="75" s="1"/>
  <c r="AF244" i="75"/>
  <c r="FH244" i="75" s="1"/>
  <c r="AC244" i="75"/>
  <c r="AB244" i="75"/>
  <c r="FD244" i="75" s="1"/>
  <c r="AA244" i="75"/>
  <c r="FC244" i="75" s="1"/>
  <c r="Z244" i="75"/>
  <c r="FB244" i="75" s="1"/>
  <c r="Y244" i="75"/>
  <c r="FA244" i="75" s="1"/>
  <c r="X244" i="75"/>
  <c r="EZ244" i="75" s="1"/>
  <c r="W244" i="75"/>
  <c r="EY244" i="75" s="1"/>
  <c r="V244" i="75"/>
  <c r="EX244" i="75" s="1"/>
  <c r="U244" i="75"/>
  <c r="EW244" i="75" s="1"/>
  <c r="EV244" i="75" s="1"/>
  <c r="S244" i="75"/>
  <c r="R244" i="75"/>
  <c r="ES244" i="75" s="1"/>
  <c r="Q244" i="75"/>
  <c r="ER244" i="75" s="1"/>
  <c r="P244" i="75"/>
  <c r="EQ244" i="75" s="1"/>
  <c r="O244" i="75"/>
  <c r="EP244" i="75" s="1"/>
  <c r="N244" i="75"/>
  <c r="EO244" i="75" s="1"/>
  <c r="M244" i="75"/>
  <c r="EN244" i="75" s="1"/>
  <c r="L244" i="75"/>
  <c r="EM244" i="75" s="1"/>
  <c r="K244" i="75"/>
  <c r="EL244" i="75" s="1"/>
  <c r="EK244" i="75" s="1"/>
  <c r="J244" i="75"/>
  <c r="E244" i="75"/>
  <c r="D244" i="75"/>
  <c r="C244" i="75"/>
  <c r="B244" i="75"/>
  <c r="FZ243" i="75"/>
  <c r="FX243" i="75"/>
  <c r="EI243" i="75"/>
  <c r="EJ243" i="75" s="1"/>
  <c r="EH243" i="75"/>
  <c r="EG243" i="75"/>
  <c r="EF243" i="75"/>
  <c r="EE243" i="75"/>
  <c r="ED243" i="75"/>
  <c r="EC243" i="75"/>
  <c r="EB243" i="75"/>
  <c r="EA243" i="75"/>
  <c r="DZ243" i="75" s="1"/>
  <c r="DB243" i="75"/>
  <c r="DC243" i="75" s="1"/>
  <c r="DA243" i="75"/>
  <c r="CZ243" i="75"/>
  <c r="CY243" i="75"/>
  <c r="CX243" i="75"/>
  <c r="CW243" i="75"/>
  <c r="CV243" i="75"/>
  <c r="CU243" i="75"/>
  <c r="CT243" i="75"/>
  <c r="CS243" i="75" s="1"/>
  <c r="CQ243" i="75"/>
  <c r="CR243" i="75" s="1"/>
  <c r="CP243" i="75"/>
  <c r="CO243" i="75"/>
  <c r="CN243" i="75"/>
  <c r="CM243" i="75"/>
  <c r="CL243" i="75"/>
  <c r="CK243" i="75"/>
  <c r="CJ243" i="75"/>
  <c r="CI243" i="75"/>
  <c r="CH243" i="75" s="1"/>
  <c r="CF243" i="75"/>
  <c r="CG243" i="75" s="1"/>
  <c r="CE243" i="75"/>
  <c r="CD243" i="75"/>
  <c r="CC243" i="75"/>
  <c r="CB243" i="75"/>
  <c r="CA243" i="75"/>
  <c r="BZ243" i="75"/>
  <c r="BY243" i="75"/>
  <c r="BX243" i="75"/>
  <c r="BW243" i="75" s="1"/>
  <c r="BU243" i="75"/>
  <c r="BV243" i="75" s="1"/>
  <c r="BT243" i="75"/>
  <c r="BS243" i="75"/>
  <c r="BR243" i="75"/>
  <c r="BQ243" i="75"/>
  <c r="BP243" i="75"/>
  <c r="BO243" i="75"/>
  <c r="BN243" i="75"/>
  <c r="BM243" i="75"/>
  <c r="BL243" i="75" s="1"/>
  <c r="BJ243" i="75"/>
  <c r="BK243" i="75" s="1"/>
  <c r="GM243" i="75" s="1"/>
  <c r="BI243" i="75"/>
  <c r="GK243" i="75" s="1"/>
  <c r="BH243" i="75"/>
  <c r="GJ243" i="75" s="1"/>
  <c r="BG243" i="75"/>
  <c r="GI243" i="75" s="1"/>
  <c r="BF243" i="75"/>
  <c r="GH243" i="75" s="1"/>
  <c r="BE243" i="75"/>
  <c r="GG243" i="75" s="1"/>
  <c r="BD243" i="75"/>
  <c r="GF243" i="75" s="1"/>
  <c r="BC243" i="75"/>
  <c r="GE243" i="75" s="1"/>
  <c r="BB243" i="75"/>
  <c r="GD243" i="75" s="1"/>
  <c r="AY243" i="75"/>
  <c r="AZ243" i="75" s="1"/>
  <c r="GB243" i="75" s="1"/>
  <c r="AX243" i="75"/>
  <c r="AW243" i="75"/>
  <c r="FY243" i="75" s="1"/>
  <c r="AV243" i="75"/>
  <c r="AU243" i="75"/>
  <c r="FW243" i="75" s="1"/>
  <c r="AT243" i="75"/>
  <c r="FV243" i="75" s="1"/>
  <c r="AS243" i="75"/>
  <c r="FU243" i="75" s="1"/>
  <c r="AR243" i="75"/>
  <c r="FT243" i="75" s="1"/>
  <c r="AQ243" i="75"/>
  <c r="AN243" i="75"/>
  <c r="AO243" i="75" s="1"/>
  <c r="FQ243" i="75" s="1"/>
  <c r="AM243" i="75"/>
  <c r="FO243" i="75" s="1"/>
  <c r="AL243" i="75"/>
  <c r="FN243" i="75" s="1"/>
  <c r="AK243" i="75"/>
  <c r="FM243" i="75" s="1"/>
  <c r="AJ243" i="75"/>
  <c r="FL243" i="75" s="1"/>
  <c r="AI243" i="75"/>
  <c r="FK243" i="75" s="1"/>
  <c r="AH243" i="75"/>
  <c r="FJ243" i="75" s="1"/>
  <c r="AG243" i="75"/>
  <c r="FI243" i="75" s="1"/>
  <c r="AF243" i="75"/>
  <c r="AC243" i="75"/>
  <c r="FE243" i="75" s="1"/>
  <c r="AB243" i="75"/>
  <c r="FD243" i="75" s="1"/>
  <c r="AA243" i="75"/>
  <c r="FC243" i="75" s="1"/>
  <c r="Z243" i="75"/>
  <c r="FB243" i="75" s="1"/>
  <c r="Y243" i="75"/>
  <c r="FA243" i="75" s="1"/>
  <c r="X243" i="75"/>
  <c r="EZ243" i="75" s="1"/>
  <c r="W243" i="75"/>
  <c r="EY243" i="75" s="1"/>
  <c r="V243" i="75"/>
  <c r="EX243" i="75" s="1"/>
  <c r="U243" i="75"/>
  <c r="EW243" i="75" s="1"/>
  <c r="EV243" i="75" s="1"/>
  <c r="S243" i="75"/>
  <c r="ET243" i="75" s="1"/>
  <c r="R243" i="75"/>
  <c r="ES243" i="75" s="1"/>
  <c r="Q243" i="75"/>
  <c r="ER243" i="75" s="1"/>
  <c r="P243" i="75"/>
  <c r="EQ243" i="75" s="1"/>
  <c r="O243" i="75"/>
  <c r="EP243" i="75" s="1"/>
  <c r="N243" i="75"/>
  <c r="EO243" i="75" s="1"/>
  <c r="M243" i="75"/>
  <c r="EN243" i="75" s="1"/>
  <c r="L243" i="75"/>
  <c r="EM243" i="75" s="1"/>
  <c r="K243" i="75"/>
  <c r="EL243" i="75" s="1"/>
  <c r="EK243" i="75" s="1"/>
  <c r="J243" i="75"/>
  <c r="E243" i="75"/>
  <c r="D243" i="75"/>
  <c r="C243" i="75"/>
  <c r="B243" i="75"/>
  <c r="GI242" i="75"/>
  <c r="EI242" i="75"/>
  <c r="EJ242" i="75" s="1"/>
  <c r="EH242" i="75"/>
  <c r="EG242" i="75"/>
  <c r="EF242" i="75"/>
  <c r="EE242" i="75"/>
  <c r="ED242" i="75"/>
  <c r="EC242" i="75"/>
  <c r="EB242" i="75"/>
  <c r="EA242" i="75"/>
  <c r="DZ242" i="75" s="1"/>
  <c r="DB242" i="75"/>
  <c r="DC242" i="75" s="1"/>
  <c r="DA242" i="75"/>
  <c r="CZ242" i="75"/>
  <c r="CY242" i="75"/>
  <c r="CX242" i="75"/>
  <c r="CW242" i="75"/>
  <c r="CV242" i="75"/>
  <c r="CU242" i="75"/>
  <c r="CT242" i="75"/>
  <c r="CS242" i="75" s="1"/>
  <c r="CQ242" i="75"/>
  <c r="CR242" i="75" s="1"/>
  <c r="CP242" i="75"/>
  <c r="CO242" i="75"/>
  <c r="CN242" i="75"/>
  <c r="CM242" i="75"/>
  <c r="CL242" i="75"/>
  <c r="CK242" i="75"/>
  <c r="CJ242" i="75"/>
  <c r="CI242" i="75"/>
  <c r="CH242" i="75" s="1"/>
  <c r="CF242" i="75"/>
  <c r="CG242" i="75" s="1"/>
  <c r="CE242" i="75"/>
  <c r="CD242" i="75"/>
  <c r="CC242" i="75"/>
  <c r="CB242" i="75"/>
  <c r="CA242" i="75"/>
  <c r="BZ242" i="75"/>
  <c r="BY242" i="75"/>
  <c r="BX242" i="75"/>
  <c r="BW242" i="75" s="1"/>
  <c r="BU242" i="75"/>
  <c r="BV242" i="75" s="1"/>
  <c r="BT242" i="75"/>
  <c r="BS242" i="75"/>
  <c r="BR242" i="75"/>
  <c r="BQ242" i="75"/>
  <c r="BP242" i="75"/>
  <c r="BO242" i="75"/>
  <c r="BN242" i="75"/>
  <c r="BM242" i="75"/>
  <c r="BL242" i="75" s="1"/>
  <c r="BJ242" i="75"/>
  <c r="GL242" i="75" s="1"/>
  <c r="BI242" i="75"/>
  <c r="GK242" i="75" s="1"/>
  <c r="BH242" i="75"/>
  <c r="GJ242" i="75" s="1"/>
  <c r="BG242" i="75"/>
  <c r="BF242" i="75"/>
  <c r="GH242" i="75" s="1"/>
  <c r="BE242" i="75"/>
  <c r="GG242" i="75" s="1"/>
  <c r="BD242" i="75"/>
  <c r="GF242" i="75" s="1"/>
  <c r="BC242" i="75"/>
  <c r="GE242" i="75" s="1"/>
  <c r="BB242" i="75"/>
  <c r="AY242" i="75"/>
  <c r="AZ242" i="75" s="1"/>
  <c r="GB242" i="75" s="1"/>
  <c r="AX242" i="75"/>
  <c r="FZ242" i="75" s="1"/>
  <c r="AW242" i="75"/>
  <c r="FY242" i="75" s="1"/>
  <c r="AV242" i="75"/>
  <c r="FX242" i="75" s="1"/>
  <c r="AU242" i="75"/>
  <c r="FW242" i="75" s="1"/>
  <c r="AT242" i="75"/>
  <c r="FV242" i="75" s="1"/>
  <c r="AS242" i="75"/>
  <c r="FU242" i="75" s="1"/>
  <c r="AR242" i="75"/>
  <c r="FT242" i="75" s="1"/>
  <c r="AQ242" i="75"/>
  <c r="FS242" i="75" s="1"/>
  <c r="AN242" i="75"/>
  <c r="AM242" i="75"/>
  <c r="FO242" i="75" s="1"/>
  <c r="AL242" i="75"/>
  <c r="FN242" i="75" s="1"/>
  <c r="AK242" i="75"/>
  <c r="FM242" i="75" s="1"/>
  <c r="AJ242" i="75"/>
  <c r="FL242" i="75" s="1"/>
  <c r="AI242" i="75"/>
  <c r="FK242" i="75" s="1"/>
  <c r="AH242" i="75"/>
  <c r="FJ242" i="75" s="1"/>
  <c r="AG242" i="75"/>
  <c r="FI242" i="75" s="1"/>
  <c r="AF242" i="75"/>
  <c r="FH242" i="75" s="1"/>
  <c r="AC242" i="75"/>
  <c r="FE242" i="75" s="1"/>
  <c r="AB242" i="75"/>
  <c r="FD242" i="75" s="1"/>
  <c r="AA242" i="75"/>
  <c r="FC242" i="75" s="1"/>
  <c r="Z242" i="75"/>
  <c r="FB242" i="75" s="1"/>
  <c r="Y242" i="75"/>
  <c r="FA242" i="75" s="1"/>
  <c r="X242" i="75"/>
  <c r="EZ242" i="75" s="1"/>
  <c r="W242" i="75"/>
  <c r="EY242" i="75" s="1"/>
  <c r="V242" i="75"/>
  <c r="EX242" i="75" s="1"/>
  <c r="U242" i="75"/>
  <c r="EW242" i="75" s="1"/>
  <c r="EV242" i="75" s="1"/>
  <c r="S242" i="75"/>
  <c r="ET242" i="75" s="1"/>
  <c r="R242" i="75"/>
  <c r="ES242" i="75" s="1"/>
  <c r="Q242" i="75"/>
  <c r="ER242" i="75" s="1"/>
  <c r="P242" i="75"/>
  <c r="EQ242" i="75" s="1"/>
  <c r="O242" i="75"/>
  <c r="EP242" i="75" s="1"/>
  <c r="N242" i="75"/>
  <c r="EO242" i="75" s="1"/>
  <c r="M242" i="75"/>
  <c r="EN242" i="75" s="1"/>
  <c r="L242" i="75"/>
  <c r="EM242" i="75" s="1"/>
  <c r="K242" i="75"/>
  <c r="EL242" i="75" s="1"/>
  <c r="EK242" i="75" s="1"/>
  <c r="J242" i="75"/>
  <c r="E242" i="75"/>
  <c r="D242" i="75"/>
  <c r="C242" i="75"/>
  <c r="B242" i="75"/>
  <c r="EI241" i="75"/>
  <c r="EJ241" i="75" s="1"/>
  <c r="EH241" i="75"/>
  <c r="EG241" i="75"/>
  <c r="EF241" i="75"/>
  <c r="EE241" i="75"/>
  <c r="ED241" i="75"/>
  <c r="EC241" i="75"/>
  <c r="EB241" i="75"/>
  <c r="EA241" i="75"/>
  <c r="DZ241" i="75" s="1"/>
  <c r="DB241" i="75"/>
  <c r="DC241" i="75" s="1"/>
  <c r="DA241" i="75"/>
  <c r="CZ241" i="75"/>
  <c r="CY241" i="75"/>
  <c r="CX241" i="75"/>
  <c r="CW241" i="75"/>
  <c r="CV241" i="75"/>
  <c r="CU241" i="75"/>
  <c r="CT241" i="75"/>
  <c r="CS241" i="75" s="1"/>
  <c r="CQ241" i="75"/>
  <c r="CR241" i="75" s="1"/>
  <c r="CP241" i="75"/>
  <c r="CO241" i="75"/>
  <c r="CN241" i="75"/>
  <c r="CM241" i="75"/>
  <c r="CL241" i="75"/>
  <c r="CK241" i="75"/>
  <c r="CJ241" i="75"/>
  <c r="CI241" i="75"/>
  <c r="CH241" i="75" s="1"/>
  <c r="CF241" i="75"/>
  <c r="CG241" i="75" s="1"/>
  <c r="CE241" i="75"/>
  <c r="CD241" i="75"/>
  <c r="CC241" i="75"/>
  <c r="CB241" i="75"/>
  <c r="CA241" i="75"/>
  <c r="BZ241" i="75"/>
  <c r="BY241" i="75"/>
  <c r="BX241" i="75"/>
  <c r="BW241" i="75" s="1"/>
  <c r="BU241" i="75"/>
  <c r="BV241" i="75" s="1"/>
  <c r="BT241" i="75"/>
  <c r="BS241" i="75"/>
  <c r="BR241" i="75"/>
  <c r="BQ241" i="75"/>
  <c r="BP241" i="75"/>
  <c r="BO241" i="75"/>
  <c r="BN241" i="75"/>
  <c r="BM241" i="75"/>
  <c r="BL241" i="75" s="1"/>
  <c r="BJ241" i="75"/>
  <c r="BK241" i="75" s="1"/>
  <c r="GM241" i="75" s="1"/>
  <c r="BI241" i="75"/>
  <c r="GK241" i="75" s="1"/>
  <c r="BH241" i="75"/>
  <c r="GJ241" i="75" s="1"/>
  <c r="BG241" i="75"/>
  <c r="GI241" i="75" s="1"/>
  <c r="BF241" i="75"/>
  <c r="GH241" i="75" s="1"/>
  <c r="BE241" i="75"/>
  <c r="GG241" i="75" s="1"/>
  <c r="BD241" i="75"/>
  <c r="GF241" i="75" s="1"/>
  <c r="BC241" i="75"/>
  <c r="GE241" i="75" s="1"/>
  <c r="BB241" i="75"/>
  <c r="GD241" i="75" s="1"/>
  <c r="AY241" i="75"/>
  <c r="AX241" i="75"/>
  <c r="FZ241" i="75" s="1"/>
  <c r="AW241" i="75"/>
  <c r="FY241" i="75" s="1"/>
  <c r="AV241" i="75"/>
  <c r="FX241" i="75" s="1"/>
  <c r="AU241" i="75"/>
  <c r="FW241" i="75" s="1"/>
  <c r="AT241" i="75"/>
  <c r="FV241" i="75" s="1"/>
  <c r="AS241" i="75"/>
  <c r="FU241" i="75" s="1"/>
  <c r="AR241" i="75"/>
  <c r="FT241" i="75" s="1"/>
  <c r="AQ241" i="75"/>
  <c r="AN241" i="75"/>
  <c r="AO241" i="75" s="1"/>
  <c r="FQ241" i="75" s="1"/>
  <c r="AM241" i="75"/>
  <c r="FO241" i="75" s="1"/>
  <c r="AL241" i="75"/>
  <c r="FN241" i="75" s="1"/>
  <c r="AK241" i="75"/>
  <c r="FM241" i="75" s="1"/>
  <c r="AJ241" i="75"/>
  <c r="FL241" i="75" s="1"/>
  <c r="AI241" i="75"/>
  <c r="FK241" i="75" s="1"/>
  <c r="AH241" i="75"/>
  <c r="FJ241" i="75" s="1"/>
  <c r="AG241" i="75"/>
  <c r="FI241" i="75" s="1"/>
  <c r="AF241" i="75"/>
  <c r="FH241" i="75" s="1"/>
  <c r="AC241" i="75"/>
  <c r="AB241" i="75"/>
  <c r="FD241" i="75" s="1"/>
  <c r="AA241" i="75"/>
  <c r="FC241" i="75" s="1"/>
  <c r="Z241" i="75"/>
  <c r="FB241" i="75" s="1"/>
  <c r="Y241" i="75"/>
  <c r="FA241" i="75" s="1"/>
  <c r="X241" i="75"/>
  <c r="EZ241" i="75" s="1"/>
  <c r="W241" i="75"/>
  <c r="EY241" i="75" s="1"/>
  <c r="V241" i="75"/>
  <c r="EX241" i="75" s="1"/>
  <c r="U241" i="75"/>
  <c r="EW241" i="75" s="1"/>
  <c r="EV241" i="75" s="1"/>
  <c r="S241" i="75"/>
  <c r="T241" i="75" s="1"/>
  <c r="EU241" i="75" s="1"/>
  <c r="R241" i="75"/>
  <c r="ES241" i="75" s="1"/>
  <c r="Q241" i="75"/>
  <c r="ER241" i="75" s="1"/>
  <c r="P241" i="75"/>
  <c r="EQ241" i="75" s="1"/>
  <c r="O241" i="75"/>
  <c r="EP241" i="75" s="1"/>
  <c r="N241" i="75"/>
  <c r="EO241" i="75" s="1"/>
  <c r="M241" i="75"/>
  <c r="EN241" i="75" s="1"/>
  <c r="L241" i="75"/>
  <c r="EM241" i="75" s="1"/>
  <c r="K241" i="75"/>
  <c r="EL241" i="75" s="1"/>
  <c r="EK241" i="75" s="1"/>
  <c r="J241" i="75"/>
  <c r="E241" i="75"/>
  <c r="D241" i="75"/>
  <c r="C241" i="75"/>
  <c r="B241" i="75"/>
  <c r="EI240" i="75"/>
  <c r="EJ240" i="75" s="1"/>
  <c r="EJ247" i="75" s="1"/>
  <c r="EH240" i="75"/>
  <c r="EH247" i="75" s="1"/>
  <c r="EG240" i="75"/>
  <c r="EG247" i="75" s="1"/>
  <c r="EF240" i="75"/>
  <c r="EF247" i="75" s="1"/>
  <c r="EE240" i="75"/>
  <c r="EE247" i="75" s="1"/>
  <c r="ED240" i="75"/>
  <c r="ED247" i="75" s="1"/>
  <c r="EC240" i="75"/>
  <c r="EC247" i="75" s="1"/>
  <c r="EB240" i="75"/>
  <c r="EB247" i="75" s="1"/>
  <c r="EA240" i="75"/>
  <c r="DZ240" i="75" s="1"/>
  <c r="DZ247" i="75" s="1"/>
  <c r="DB240" i="75"/>
  <c r="DC240" i="75" s="1"/>
  <c r="DC247" i="75" s="1"/>
  <c r="DA240" i="75"/>
  <c r="DA247" i="75" s="1"/>
  <c r="CZ240" i="75"/>
  <c r="CZ247" i="75" s="1"/>
  <c r="CY240" i="75"/>
  <c r="CY247" i="75" s="1"/>
  <c r="CX240" i="75"/>
  <c r="CX247" i="75" s="1"/>
  <c r="CW240" i="75"/>
  <c r="CW247" i="75" s="1"/>
  <c r="CV240" i="75"/>
  <c r="CV247" i="75" s="1"/>
  <c r="CU240" i="75"/>
  <c r="CU247" i="75" s="1"/>
  <c r="CT240" i="75"/>
  <c r="CS240" i="75" s="1"/>
  <c r="CS247" i="75" s="1"/>
  <c r="CQ240" i="75"/>
  <c r="CQ247" i="75" s="1"/>
  <c r="CP240" i="75"/>
  <c r="CP247" i="75" s="1"/>
  <c r="CO240" i="75"/>
  <c r="CO247" i="75" s="1"/>
  <c r="CN240" i="75"/>
  <c r="CN247" i="75" s="1"/>
  <c r="CM240" i="75"/>
  <c r="CM247" i="75" s="1"/>
  <c r="CL240" i="75"/>
  <c r="CL247" i="75" s="1"/>
  <c r="CK240" i="75"/>
  <c r="CK247" i="75" s="1"/>
  <c r="CJ240" i="75"/>
  <c r="CJ247" i="75" s="1"/>
  <c r="CI240" i="75"/>
  <c r="CF240" i="75"/>
  <c r="CF247" i="75" s="1"/>
  <c r="CE240" i="75"/>
  <c r="CE247" i="75" s="1"/>
  <c r="CD240" i="75"/>
  <c r="CD247" i="75" s="1"/>
  <c r="CC240" i="75"/>
  <c r="CC247" i="75" s="1"/>
  <c r="CB240" i="75"/>
  <c r="CB247" i="75" s="1"/>
  <c r="CA240" i="75"/>
  <c r="CA247" i="75" s="1"/>
  <c r="BZ240" i="75"/>
  <c r="BZ247" i="75" s="1"/>
  <c r="BY240" i="75"/>
  <c r="BY247" i="75" s="1"/>
  <c r="BX240" i="75"/>
  <c r="BX247" i="75" s="1"/>
  <c r="BU240" i="75"/>
  <c r="BU247" i="75" s="1"/>
  <c r="BT240" i="75"/>
  <c r="BT247" i="75" s="1"/>
  <c r="BS240" i="75"/>
  <c r="BS247" i="75" s="1"/>
  <c r="BR240" i="75"/>
  <c r="BR247" i="75" s="1"/>
  <c r="BQ240" i="75"/>
  <c r="BQ247" i="75" s="1"/>
  <c r="BP240" i="75"/>
  <c r="BP247" i="75" s="1"/>
  <c r="BO240" i="75"/>
  <c r="BO247" i="75" s="1"/>
  <c r="BN240" i="75"/>
  <c r="BN247" i="75" s="1"/>
  <c r="BM240" i="75"/>
  <c r="BL240" i="75" s="1"/>
  <c r="BL247" i="75" s="1"/>
  <c r="BJ240" i="75"/>
  <c r="GL240" i="75" s="1"/>
  <c r="BI240" i="75"/>
  <c r="GK240" i="75" s="1"/>
  <c r="BH240" i="75"/>
  <c r="GJ240" i="75" s="1"/>
  <c r="BG240" i="75"/>
  <c r="GI240" i="75" s="1"/>
  <c r="BF240" i="75"/>
  <c r="GH240" i="75" s="1"/>
  <c r="BE240" i="75"/>
  <c r="BE247" i="75" s="1"/>
  <c r="GG247" i="75" s="1"/>
  <c r="BD240" i="75"/>
  <c r="BD247" i="75" s="1"/>
  <c r="GF247" i="75" s="1"/>
  <c r="BC240" i="75"/>
  <c r="BC247" i="75" s="1"/>
  <c r="GE247" i="75" s="1"/>
  <c r="BB240" i="75"/>
  <c r="BB247" i="75" s="1"/>
  <c r="GD247" i="75" s="1"/>
  <c r="AY240" i="75"/>
  <c r="AZ240" i="75" s="1"/>
  <c r="AX240" i="75"/>
  <c r="AX247" i="75" s="1"/>
  <c r="FZ247" i="75" s="1"/>
  <c r="AW240" i="75"/>
  <c r="AW247" i="75" s="1"/>
  <c r="FY247" i="75" s="1"/>
  <c r="AV240" i="75"/>
  <c r="AV247" i="75" s="1"/>
  <c r="FX247" i="75" s="1"/>
  <c r="AU240" i="75"/>
  <c r="AU247" i="75" s="1"/>
  <c r="FW247" i="75" s="1"/>
  <c r="AT240" i="75"/>
  <c r="AT247" i="75" s="1"/>
  <c r="FV247" i="75" s="1"/>
  <c r="AS240" i="75"/>
  <c r="AS247" i="75" s="1"/>
  <c r="FU247" i="75" s="1"/>
  <c r="AR240" i="75"/>
  <c r="AR247" i="75" s="1"/>
  <c r="FT247" i="75" s="1"/>
  <c r="AQ240" i="75"/>
  <c r="AQ247" i="75" s="1"/>
  <c r="FS247" i="75" s="1"/>
  <c r="AN240" i="75"/>
  <c r="FP240" i="75" s="1"/>
  <c r="AM240" i="75"/>
  <c r="FO240" i="75" s="1"/>
  <c r="AL240" i="75"/>
  <c r="FN240" i="75" s="1"/>
  <c r="AK240" i="75"/>
  <c r="AK247" i="75" s="1"/>
  <c r="FM247" i="75" s="1"/>
  <c r="AJ240" i="75"/>
  <c r="AJ247" i="75" s="1"/>
  <c r="FL247" i="75" s="1"/>
  <c r="AI240" i="75"/>
  <c r="AI247" i="75" s="1"/>
  <c r="FK247" i="75" s="1"/>
  <c r="AH240" i="75"/>
  <c r="AH247" i="75" s="1"/>
  <c r="FJ247" i="75" s="1"/>
  <c r="AG240" i="75"/>
  <c r="AG247" i="75" s="1"/>
  <c r="FI247" i="75" s="1"/>
  <c r="AF240" i="75"/>
  <c r="AF247" i="75" s="1"/>
  <c r="FH247" i="75" s="1"/>
  <c r="AC240" i="75"/>
  <c r="AC247" i="75" s="1"/>
  <c r="AB240" i="75"/>
  <c r="AB247" i="75" s="1"/>
  <c r="FD247" i="75" s="1"/>
  <c r="AA240" i="75"/>
  <c r="AA247" i="75" s="1"/>
  <c r="FC247" i="75" s="1"/>
  <c r="Z240" i="75"/>
  <c r="Z247" i="75" s="1"/>
  <c r="FB247" i="75" s="1"/>
  <c r="Y240" i="75"/>
  <c r="Y247" i="75" s="1"/>
  <c r="FA247" i="75" s="1"/>
  <c r="X240" i="75"/>
  <c r="X247" i="75" s="1"/>
  <c r="EZ247" i="75" s="1"/>
  <c r="W240" i="75"/>
  <c r="W247" i="75" s="1"/>
  <c r="EY247" i="75" s="1"/>
  <c r="V240" i="75"/>
  <c r="EX240" i="75" s="1"/>
  <c r="U240" i="75"/>
  <c r="EW240" i="75" s="1"/>
  <c r="EV240" i="75" s="1"/>
  <c r="EV247" i="75" s="1"/>
  <c r="S240" i="75"/>
  <c r="ET240" i="75" s="1"/>
  <c r="R240" i="75"/>
  <c r="Q240" i="75"/>
  <c r="P240" i="75"/>
  <c r="O240" i="75"/>
  <c r="EP240" i="75" s="1"/>
  <c r="N240" i="75"/>
  <c r="N247" i="75" s="1"/>
  <c r="EO247" i="75" s="1"/>
  <c r="M240" i="75"/>
  <c r="EN240" i="75" s="1"/>
  <c r="L240" i="75"/>
  <c r="L247" i="75" s="1"/>
  <c r="EM247" i="75" s="1"/>
  <c r="K240" i="75"/>
  <c r="K247" i="75" s="1"/>
  <c r="EL247" i="75" s="1"/>
  <c r="J240" i="75"/>
  <c r="J245" i="75" s="1"/>
  <c r="E240" i="75"/>
  <c r="D240" i="75"/>
  <c r="C240" i="75"/>
  <c r="B240" i="75"/>
  <c r="FP239" i="75"/>
  <c r="EY239" i="75"/>
  <c r="EI239" i="75"/>
  <c r="EJ239" i="75" s="1"/>
  <c r="EH239" i="75"/>
  <c r="EG239" i="75"/>
  <c r="EF239" i="75"/>
  <c r="EE239" i="75"/>
  <c r="ED239" i="75"/>
  <c r="EC239" i="75"/>
  <c r="EB239" i="75"/>
  <c r="EA239" i="75"/>
  <c r="DZ239" i="75"/>
  <c r="DB239" i="75"/>
  <c r="DC239" i="75" s="1"/>
  <c r="DA239" i="75"/>
  <c r="CZ239" i="75"/>
  <c r="CY239" i="75"/>
  <c r="CX239" i="75"/>
  <c r="CW239" i="75"/>
  <c r="CV239" i="75"/>
  <c r="CU239" i="75"/>
  <c r="CT239" i="75"/>
  <c r="CS239" i="75" s="1"/>
  <c r="CQ239" i="75"/>
  <c r="CR239" i="75" s="1"/>
  <c r="CP239" i="75"/>
  <c r="CO239" i="75"/>
  <c r="CN239" i="75"/>
  <c r="CM239" i="75"/>
  <c r="CL239" i="75"/>
  <c r="CK239" i="75"/>
  <c r="CJ239" i="75"/>
  <c r="CI239" i="75"/>
  <c r="CH239" i="75" s="1"/>
  <c r="CF239" i="75"/>
  <c r="CG239" i="75" s="1"/>
  <c r="CE239" i="75"/>
  <c r="CD239" i="75"/>
  <c r="CC239" i="75"/>
  <c r="CB239" i="75"/>
  <c r="CA239" i="75"/>
  <c r="BZ239" i="75"/>
  <c r="BY239" i="75"/>
  <c r="BX239" i="75"/>
  <c r="BW239" i="75" s="1"/>
  <c r="BU239" i="75"/>
  <c r="BV239" i="75" s="1"/>
  <c r="BT239" i="75"/>
  <c r="BS239" i="75"/>
  <c r="BR239" i="75"/>
  <c r="BQ239" i="75"/>
  <c r="BP239" i="75"/>
  <c r="BO239" i="75"/>
  <c r="BN239" i="75"/>
  <c r="BM239" i="75"/>
  <c r="BL239" i="75" s="1"/>
  <c r="BJ239" i="75"/>
  <c r="BI239" i="75"/>
  <c r="GK239" i="75" s="1"/>
  <c r="BH239" i="75"/>
  <c r="GJ239" i="75" s="1"/>
  <c r="BG239" i="75"/>
  <c r="GI239" i="75" s="1"/>
  <c r="BF239" i="75"/>
  <c r="GH239" i="75" s="1"/>
  <c r="BE239" i="75"/>
  <c r="GG239" i="75" s="1"/>
  <c r="BD239" i="75"/>
  <c r="GF239" i="75" s="1"/>
  <c r="BC239" i="75"/>
  <c r="GE239" i="75" s="1"/>
  <c r="BB239" i="75"/>
  <c r="BA239" i="75" s="1"/>
  <c r="GC239" i="75" s="1"/>
  <c r="AY239" i="75"/>
  <c r="AZ239" i="75" s="1"/>
  <c r="GB239" i="75" s="1"/>
  <c r="AX239" i="75"/>
  <c r="FZ239" i="75" s="1"/>
  <c r="AW239" i="75"/>
  <c r="FY239" i="75" s="1"/>
  <c r="AV239" i="75"/>
  <c r="FX239" i="75" s="1"/>
  <c r="AU239" i="75"/>
  <c r="FW239" i="75" s="1"/>
  <c r="AT239" i="75"/>
  <c r="FV239" i="75" s="1"/>
  <c r="AS239" i="75"/>
  <c r="FU239" i="75" s="1"/>
  <c r="AR239" i="75"/>
  <c r="FT239" i="75" s="1"/>
  <c r="AQ239" i="75"/>
  <c r="AP239" i="75" s="1"/>
  <c r="FR239" i="75" s="1"/>
  <c r="AN239" i="75"/>
  <c r="AO239" i="75" s="1"/>
  <c r="FQ239" i="75" s="1"/>
  <c r="AM239" i="75"/>
  <c r="FO239" i="75" s="1"/>
  <c r="AL239" i="75"/>
  <c r="FN239" i="75" s="1"/>
  <c r="AK239" i="75"/>
  <c r="FM239" i="75" s="1"/>
  <c r="AJ239" i="75"/>
  <c r="FL239" i="75" s="1"/>
  <c r="AI239" i="75"/>
  <c r="FK239" i="75" s="1"/>
  <c r="AH239" i="75"/>
  <c r="FJ239" i="75" s="1"/>
  <c r="AG239" i="75"/>
  <c r="FI239" i="75" s="1"/>
  <c r="AF239" i="75"/>
  <c r="FH239" i="75" s="1"/>
  <c r="AC239" i="75"/>
  <c r="FE239" i="75" s="1"/>
  <c r="AB239" i="75"/>
  <c r="FD239" i="75" s="1"/>
  <c r="AA239" i="75"/>
  <c r="FC239" i="75" s="1"/>
  <c r="Z239" i="75"/>
  <c r="FB239" i="75" s="1"/>
  <c r="Y239" i="75"/>
  <c r="FA239" i="75" s="1"/>
  <c r="X239" i="75"/>
  <c r="EZ239" i="75" s="1"/>
  <c r="W239" i="75"/>
  <c r="V239" i="75"/>
  <c r="EX239" i="75" s="1"/>
  <c r="U239" i="75"/>
  <c r="EW239" i="75" s="1"/>
  <c r="EV239" i="75" s="1"/>
  <c r="S239" i="75"/>
  <c r="T239" i="75" s="1"/>
  <c r="EU239" i="75" s="1"/>
  <c r="R239" i="75"/>
  <c r="ES239" i="75" s="1"/>
  <c r="Q239" i="75"/>
  <c r="ER239" i="75" s="1"/>
  <c r="P239" i="75"/>
  <c r="EQ239" i="75" s="1"/>
  <c r="O239" i="75"/>
  <c r="EP239" i="75" s="1"/>
  <c r="N239" i="75"/>
  <c r="EO239" i="75" s="1"/>
  <c r="M239" i="75"/>
  <c r="EN239" i="75" s="1"/>
  <c r="L239" i="75"/>
  <c r="EM239" i="75" s="1"/>
  <c r="K239" i="75"/>
  <c r="EL239" i="75" s="1"/>
  <c r="EK239" i="75" s="1"/>
  <c r="J239" i="75"/>
  <c r="E239" i="75"/>
  <c r="D239" i="75"/>
  <c r="C239" i="75"/>
  <c r="B239" i="75"/>
  <c r="EJ238" i="75"/>
  <c r="EI238" i="75"/>
  <c r="EH238" i="75"/>
  <c r="EG238" i="75"/>
  <c r="EF238" i="75"/>
  <c r="EE238" i="75"/>
  <c r="ED238" i="75"/>
  <c r="EC238" i="75"/>
  <c r="EB238" i="75"/>
  <c r="EA238" i="75"/>
  <c r="DZ238" i="75" s="1"/>
  <c r="DB238" i="75"/>
  <c r="DC238" i="75" s="1"/>
  <c r="DA238" i="75"/>
  <c r="CZ238" i="75"/>
  <c r="CY238" i="75"/>
  <c r="CX238" i="75"/>
  <c r="CW238" i="75"/>
  <c r="CV238" i="75"/>
  <c r="CU238" i="75"/>
  <c r="CT238" i="75"/>
  <c r="CS238" i="75" s="1"/>
  <c r="CQ238" i="75"/>
  <c r="CR238" i="75" s="1"/>
  <c r="CP238" i="75"/>
  <c r="CO238" i="75"/>
  <c r="CN238" i="75"/>
  <c r="CM238" i="75"/>
  <c r="CL238" i="75"/>
  <c r="CK238" i="75"/>
  <c r="CJ238" i="75"/>
  <c r="CI238" i="75"/>
  <c r="CH238" i="75" s="1"/>
  <c r="CF238" i="75"/>
  <c r="CG238" i="75" s="1"/>
  <c r="CE238" i="75"/>
  <c r="CD238" i="75"/>
  <c r="CC238" i="75"/>
  <c r="CB238" i="75"/>
  <c r="CA238" i="75"/>
  <c r="BZ238" i="75"/>
  <c r="BY238" i="75"/>
  <c r="BX238" i="75"/>
  <c r="BW238" i="75" s="1"/>
  <c r="BU238" i="75"/>
  <c r="BV238" i="75" s="1"/>
  <c r="BT238" i="75"/>
  <c r="BS238" i="75"/>
  <c r="BR238" i="75"/>
  <c r="BQ238" i="75"/>
  <c r="BP238" i="75"/>
  <c r="BO238" i="75"/>
  <c r="BN238" i="75"/>
  <c r="BM238" i="75"/>
  <c r="BL238" i="75" s="1"/>
  <c r="BJ238" i="75"/>
  <c r="BK238" i="75" s="1"/>
  <c r="GM238" i="75" s="1"/>
  <c r="BI238" i="75"/>
  <c r="GK238" i="75" s="1"/>
  <c r="BH238" i="75"/>
  <c r="GJ238" i="75" s="1"/>
  <c r="BG238" i="75"/>
  <c r="GI238" i="75" s="1"/>
  <c r="BF238" i="75"/>
  <c r="GH238" i="75" s="1"/>
  <c r="BE238" i="75"/>
  <c r="GG238" i="75" s="1"/>
  <c r="BD238" i="75"/>
  <c r="GF238" i="75" s="1"/>
  <c r="BC238" i="75"/>
  <c r="GE238" i="75" s="1"/>
  <c r="BB238" i="75"/>
  <c r="GD238" i="75" s="1"/>
  <c r="AY238" i="75"/>
  <c r="AX238" i="75"/>
  <c r="FZ238" i="75" s="1"/>
  <c r="AW238" i="75"/>
  <c r="FY238" i="75" s="1"/>
  <c r="AV238" i="75"/>
  <c r="FX238" i="75" s="1"/>
  <c r="AU238" i="75"/>
  <c r="FW238" i="75" s="1"/>
  <c r="AT238" i="75"/>
  <c r="FV238" i="75" s="1"/>
  <c r="AS238" i="75"/>
  <c r="FU238" i="75" s="1"/>
  <c r="AR238" i="75"/>
  <c r="FT238" i="75" s="1"/>
  <c r="AQ238" i="75"/>
  <c r="FS238" i="75" s="1"/>
  <c r="AN238" i="75"/>
  <c r="FP238" i="75" s="1"/>
  <c r="AM238" i="75"/>
  <c r="FO238" i="75" s="1"/>
  <c r="AL238" i="75"/>
  <c r="FN238" i="75" s="1"/>
  <c r="AK238" i="75"/>
  <c r="FM238" i="75" s="1"/>
  <c r="AJ238" i="75"/>
  <c r="FL238" i="75" s="1"/>
  <c r="AI238" i="75"/>
  <c r="FK238" i="75" s="1"/>
  <c r="AH238" i="75"/>
  <c r="FJ238" i="75" s="1"/>
  <c r="AG238" i="75"/>
  <c r="FI238" i="75" s="1"/>
  <c r="AF238" i="75"/>
  <c r="AE238" i="75" s="1"/>
  <c r="FG238" i="75" s="1"/>
  <c r="AC238" i="75"/>
  <c r="FE238" i="75" s="1"/>
  <c r="AB238" i="75"/>
  <c r="FD238" i="75" s="1"/>
  <c r="AA238" i="75"/>
  <c r="FC238" i="75" s="1"/>
  <c r="Z238" i="75"/>
  <c r="FB238" i="75" s="1"/>
  <c r="Y238" i="75"/>
  <c r="FA238" i="75" s="1"/>
  <c r="X238" i="75"/>
  <c r="EZ238" i="75" s="1"/>
  <c r="W238" i="75"/>
  <c r="EY238" i="75" s="1"/>
  <c r="V238" i="75"/>
  <c r="EX238" i="75" s="1"/>
  <c r="U238" i="75"/>
  <c r="EW238" i="75" s="1"/>
  <c r="EV238" i="75" s="1"/>
  <c r="S238" i="75"/>
  <c r="ET238" i="75" s="1"/>
  <c r="R238" i="75"/>
  <c r="ES238" i="75" s="1"/>
  <c r="Q238" i="75"/>
  <c r="ER238" i="75" s="1"/>
  <c r="P238" i="75"/>
  <c r="EQ238" i="75" s="1"/>
  <c r="O238" i="75"/>
  <c r="EP238" i="75" s="1"/>
  <c r="N238" i="75"/>
  <c r="EO238" i="75" s="1"/>
  <c r="M238" i="75"/>
  <c r="EN238" i="75" s="1"/>
  <c r="L238" i="75"/>
  <c r="EM238" i="75" s="1"/>
  <c r="K238" i="75"/>
  <c r="EL238" i="75" s="1"/>
  <c r="EK238" i="75" s="1"/>
  <c r="J238" i="75"/>
  <c r="E238" i="75"/>
  <c r="D238" i="75"/>
  <c r="C238" i="75"/>
  <c r="B238" i="75"/>
  <c r="EI237" i="75"/>
  <c r="EJ237" i="75" s="1"/>
  <c r="EH237" i="75"/>
  <c r="EG237" i="75"/>
  <c r="EF237" i="75"/>
  <c r="EE237" i="75"/>
  <c r="ED237" i="75"/>
  <c r="EC237" i="75"/>
  <c r="EB237" i="75"/>
  <c r="EA237" i="75"/>
  <c r="DZ237" i="75" s="1"/>
  <c r="DB237" i="75"/>
  <c r="DC237" i="75" s="1"/>
  <c r="DA237" i="75"/>
  <c r="CZ237" i="75"/>
  <c r="CY237" i="75"/>
  <c r="CX237" i="75"/>
  <c r="CW237" i="75"/>
  <c r="CV237" i="75"/>
  <c r="CU237" i="75"/>
  <c r="CT237" i="75"/>
  <c r="CS237" i="75" s="1"/>
  <c r="CQ237" i="75"/>
  <c r="CR237" i="75" s="1"/>
  <c r="CP237" i="75"/>
  <c r="CO237" i="75"/>
  <c r="CN237" i="75"/>
  <c r="CM237" i="75"/>
  <c r="CL237" i="75"/>
  <c r="CK237" i="75"/>
  <c r="CJ237" i="75"/>
  <c r="CI237" i="75"/>
  <c r="CH237" i="75" s="1"/>
  <c r="CF237" i="75"/>
  <c r="CG237" i="75" s="1"/>
  <c r="CE237" i="75"/>
  <c r="CD237" i="75"/>
  <c r="CC237" i="75"/>
  <c r="CB237" i="75"/>
  <c r="CA237" i="75"/>
  <c r="BZ237" i="75"/>
  <c r="BY237" i="75"/>
  <c r="BX237" i="75"/>
  <c r="BW237" i="75" s="1"/>
  <c r="BU237" i="75"/>
  <c r="BV237" i="75" s="1"/>
  <c r="BT237" i="75"/>
  <c r="BS237" i="75"/>
  <c r="BR237" i="75"/>
  <c r="BQ237" i="75"/>
  <c r="BP237" i="75"/>
  <c r="BO237" i="75"/>
  <c r="BN237" i="75"/>
  <c r="BM237" i="75"/>
  <c r="BL237" i="75" s="1"/>
  <c r="BJ237" i="75"/>
  <c r="BI237" i="75"/>
  <c r="GK237" i="75" s="1"/>
  <c r="BH237" i="75"/>
  <c r="GJ237" i="75" s="1"/>
  <c r="BG237" i="75"/>
  <c r="GI237" i="75" s="1"/>
  <c r="BF237" i="75"/>
  <c r="GH237" i="75" s="1"/>
  <c r="BE237" i="75"/>
  <c r="GG237" i="75" s="1"/>
  <c r="BD237" i="75"/>
  <c r="GF237" i="75" s="1"/>
  <c r="BC237" i="75"/>
  <c r="GE237" i="75" s="1"/>
  <c r="BB237" i="75"/>
  <c r="BA237" i="75" s="1"/>
  <c r="GC237" i="75" s="1"/>
  <c r="AY237" i="75"/>
  <c r="AZ237" i="75" s="1"/>
  <c r="GB237" i="75" s="1"/>
  <c r="AX237" i="75"/>
  <c r="FZ237" i="75" s="1"/>
  <c r="AW237" i="75"/>
  <c r="FY237" i="75" s="1"/>
  <c r="AV237" i="75"/>
  <c r="FX237" i="75" s="1"/>
  <c r="AU237" i="75"/>
  <c r="FW237" i="75" s="1"/>
  <c r="AT237" i="75"/>
  <c r="FV237" i="75" s="1"/>
  <c r="AS237" i="75"/>
  <c r="FU237" i="75" s="1"/>
  <c r="AR237" i="75"/>
  <c r="FT237" i="75" s="1"/>
  <c r="AQ237" i="75"/>
  <c r="FS237" i="75" s="1"/>
  <c r="AN237" i="75"/>
  <c r="AM237" i="75"/>
  <c r="FO237" i="75" s="1"/>
  <c r="AL237" i="75"/>
  <c r="FN237" i="75" s="1"/>
  <c r="AK237" i="75"/>
  <c r="FM237" i="75" s="1"/>
  <c r="AJ237" i="75"/>
  <c r="FL237" i="75" s="1"/>
  <c r="AI237" i="75"/>
  <c r="FK237" i="75" s="1"/>
  <c r="AH237" i="75"/>
  <c r="FJ237" i="75" s="1"/>
  <c r="AG237" i="75"/>
  <c r="FI237" i="75" s="1"/>
  <c r="AF237" i="75"/>
  <c r="FH237" i="75" s="1"/>
  <c r="AC237" i="75"/>
  <c r="FE237" i="75" s="1"/>
  <c r="AB237" i="75"/>
  <c r="FD237" i="75" s="1"/>
  <c r="AA237" i="75"/>
  <c r="FC237" i="75" s="1"/>
  <c r="Z237" i="75"/>
  <c r="FB237" i="75" s="1"/>
  <c r="Y237" i="75"/>
  <c r="FA237" i="75" s="1"/>
  <c r="X237" i="75"/>
  <c r="EZ237" i="75" s="1"/>
  <c r="W237" i="75"/>
  <c r="EY237" i="75" s="1"/>
  <c r="V237" i="75"/>
  <c r="EX237" i="75" s="1"/>
  <c r="U237" i="75"/>
  <c r="EW237" i="75" s="1"/>
  <c r="EV237" i="75" s="1"/>
  <c r="S237" i="75"/>
  <c r="ET237" i="75" s="1"/>
  <c r="R237" i="75"/>
  <c r="ES237" i="75" s="1"/>
  <c r="Q237" i="75"/>
  <c r="ER237" i="75" s="1"/>
  <c r="P237" i="75"/>
  <c r="EQ237" i="75" s="1"/>
  <c r="O237" i="75"/>
  <c r="EP237" i="75" s="1"/>
  <c r="N237" i="75"/>
  <c r="EO237" i="75" s="1"/>
  <c r="M237" i="75"/>
  <c r="EN237" i="75" s="1"/>
  <c r="L237" i="75"/>
  <c r="EM237" i="75" s="1"/>
  <c r="K237" i="75"/>
  <c r="EL237" i="75" s="1"/>
  <c r="EK237" i="75" s="1"/>
  <c r="J237" i="75"/>
  <c r="E237" i="75"/>
  <c r="D237" i="75"/>
  <c r="C237" i="75"/>
  <c r="B237" i="75"/>
  <c r="EI236" i="75"/>
  <c r="EJ236" i="75" s="1"/>
  <c r="EH236" i="75"/>
  <c r="EG236" i="75"/>
  <c r="EF236" i="75"/>
  <c r="EE236" i="75"/>
  <c r="ED236" i="75"/>
  <c r="EC236" i="75"/>
  <c r="EB236" i="75"/>
  <c r="EA236" i="75"/>
  <c r="DZ236" i="75" s="1"/>
  <c r="DB236" i="75"/>
  <c r="DC236" i="75" s="1"/>
  <c r="DA236" i="75"/>
  <c r="CZ236" i="75"/>
  <c r="CY236" i="75"/>
  <c r="CX236" i="75"/>
  <c r="CW236" i="75"/>
  <c r="CV236" i="75"/>
  <c r="CU236" i="75"/>
  <c r="CT236" i="75"/>
  <c r="CS236" i="75" s="1"/>
  <c r="CQ236" i="75"/>
  <c r="CR236" i="75" s="1"/>
  <c r="CP236" i="75"/>
  <c r="CO236" i="75"/>
  <c r="CN236" i="75"/>
  <c r="CM236" i="75"/>
  <c r="CL236" i="75"/>
  <c r="CK236" i="75"/>
  <c r="CJ236" i="75"/>
  <c r="CI236" i="75"/>
  <c r="CH236" i="75" s="1"/>
  <c r="CF236" i="75"/>
  <c r="CG236" i="75" s="1"/>
  <c r="CE236" i="75"/>
  <c r="CD236" i="75"/>
  <c r="CC236" i="75"/>
  <c r="CB236" i="75"/>
  <c r="CA236" i="75"/>
  <c r="BZ236" i="75"/>
  <c r="BY236" i="75"/>
  <c r="BX236" i="75"/>
  <c r="BW236" i="75" s="1"/>
  <c r="BU236" i="75"/>
  <c r="BV236" i="75" s="1"/>
  <c r="BT236" i="75"/>
  <c r="BS236" i="75"/>
  <c r="BR236" i="75"/>
  <c r="BQ236" i="75"/>
  <c r="BP236" i="75"/>
  <c r="BO236" i="75"/>
  <c r="BN236" i="75"/>
  <c r="BM236" i="75"/>
  <c r="BL236" i="75" s="1"/>
  <c r="BJ236" i="75"/>
  <c r="BK236" i="75" s="1"/>
  <c r="GM236" i="75" s="1"/>
  <c r="BI236" i="75"/>
  <c r="GK236" i="75" s="1"/>
  <c r="BH236" i="75"/>
  <c r="GJ236" i="75" s="1"/>
  <c r="BG236" i="75"/>
  <c r="GI236" i="75" s="1"/>
  <c r="BF236" i="75"/>
  <c r="GH236" i="75" s="1"/>
  <c r="BE236" i="75"/>
  <c r="GG236" i="75" s="1"/>
  <c r="BD236" i="75"/>
  <c r="GF236" i="75" s="1"/>
  <c r="BC236" i="75"/>
  <c r="GE236" i="75" s="1"/>
  <c r="BB236" i="75"/>
  <c r="GD236" i="75" s="1"/>
  <c r="AY236" i="75"/>
  <c r="GA236" i="75" s="1"/>
  <c r="AX236" i="75"/>
  <c r="FZ236" i="75" s="1"/>
  <c r="AW236" i="75"/>
  <c r="FY236" i="75" s="1"/>
  <c r="AV236" i="75"/>
  <c r="FX236" i="75" s="1"/>
  <c r="AU236" i="75"/>
  <c r="FW236" i="75" s="1"/>
  <c r="AT236" i="75"/>
  <c r="FV236" i="75" s="1"/>
  <c r="AS236" i="75"/>
  <c r="FU236" i="75" s="1"/>
  <c r="AR236" i="75"/>
  <c r="FT236" i="75" s="1"/>
  <c r="AQ236" i="75"/>
  <c r="AN236" i="75"/>
  <c r="AO236" i="75" s="1"/>
  <c r="FQ236" i="75" s="1"/>
  <c r="AM236" i="75"/>
  <c r="FO236" i="75" s="1"/>
  <c r="AL236" i="75"/>
  <c r="FN236" i="75" s="1"/>
  <c r="AK236" i="75"/>
  <c r="FM236" i="75" s="1"/>
  <c r="AJ236" i="75"/>
  <c r="FL236" i="75" s="1"/>
  <c r="AI236" i="75"/>
  <c r="FK236" i="75" s="1"/>
  <c r="AH236" i="75"/>
  <c r="FJ236" i="75" s="1"/>
  <c r="AG236" i="75"/>
  <c r="FI236" i="75" s="1"/>
  <c r="AF236" i="75"/>
  <c r="AC236" i="75"/>
  <c r="FE236" i="75" s="1"/>
  <c r="AB236" i="75"/>
  <c r="FD236" i="75" s="1"/>
  <c r="AA236" i="75"/>
  <c r="FC236" i="75" s="1"/>
  <c r="Z236" i="75"/>
  <c r="FB236" i="75" s="1"/>
  <c r="Y236" i="75"/>
  <c r="FA236" i="75" s="1"/>
  <c r="X236" i="75"/>
  <c r="EZ236" i="75" s="1"/>
  <c r="W236" i="75"/>
  <c r="EY236" i="75" s="1"/>
  <c r="V236" i="75"/>
  <c r="EX236" i="75" s="1"/>
  <c r="U236" i="75"/>
  <c r="EW236" i="75" s="1"/>
  <c r="EV236" i="75" s="1"/>
  <c r="S236" i="75"/>
  <c r="R236" i="75"/>
  <c r="ES236" i="75" s="1"/>
  <c r="Q236" i="75"/>
  <c r="ER236" i="75" s="1"/>
  <c r="P236" i="75"/>
  <c r="EQ236" i="75" s="1"/>
  <c r="O236" i="75"/>
  <c r="EP236" i="75" s="1"/>
  <c r="N236" i="75"/>
  <c r="EO236" i="75" s="1"/>
  <c r="M236" i="75"/>
  <c r="EN236" i="75" s="1"/>
  <c r="L236" i="75"/>
  <c r="EM236" i="75" s="1"/>
  <c r="K236" i="75"/>
  <c r="EL236" i="75" s="1"/>
  <c r="EK236" i="75" s="1"/>
  <c r="J236" i="75"/>
  <c r="E236" i="75"/>
  <c r="D236" i="75"/>
  <c r="C236" i="75"/>
  <c r="B236" i="75"/>
  <c r="GF235" i="75"/>
  <c r="FM235" i="75"/>
  <c r="ES235" i="75"/>
  <c r="ER235" i="75"/>
  <c r="EQ235" i="75"/>
  <c r="EI235" i="75"/>
  <c r="EI246" i="75" s="1"/>
  <c r="EH235" i="75"/>
  <c r="EH246" i="75" s="1"/>
  <c r="EG235" i="75"/>
  <c r="EG246" i="75" s="1"/>
  <c r="EF235" i="75"/>
  <c r="EF246" i="75" s="1"/>
  <c r="EE235" i="75"/>
  <c r="EE246" i="75" s="1"/>
  <c r="ED235" i="75"/>
  <c r="ED246" i="75" s="1"/>
  <c r="EC235" i="75"/>
  <c r="EC246" i="75" s="1"/>
  <c r="EB235" i="75"/>
  <c r="EB246" i="75" s="1"/>
  <c r="EA235" i="75"/>
  <c r="DZ235" i="75" s="1"/>
  <c r="DZ246" i="75" s="1"/>
  <c r="DB235" i="75"/>
  <c r="DB246" i="75" s="1"/>
  <c r="DA235" i="75"/>
  <c r="DA246" i="75" s="1"/>
  <c r="CZ235" i="75"/>
  <c r="CZ246" i="75" s="1"/>
  <c r="CY235" i="75"/>
  <c r="CY246" i="75" s="1"/>
  <c r="CX235" i="75"/>
  <c r="CX246" i="75" s="1"/>
  <c r="CW235" i="75"/>
  <c r="CW246" i="75" s="1"/>
  <c r="CV235" i="75"/>
  <c r="CV246" i="75" s="1"/>
  <c r="CU235" i="75"/>
  <c r="CU246" i="75" s="1"/>
  <c r="CT235" i="75"/>
  <c r="CQ235" i="75"/>
  <c r="CQ246" i="75" s="1"/>
  <c r="CP235" i="75"/>
  <c r="CP246" i="75" s="1"/>
  <c r="CO235" i="75"/>
  <c r="CO246" i="75" s="1"/>
  <c r="CN235" i="75"/>
  <c r="CN246" i="75" s="1"/>
  <c r="CM235" i="75"/>
  <c r="CM246" i="75" s="1"/>
  <c r="CL235" i="75"/>
  <c r="CL246" i="75" s="1"/>
  <c r="CK235" i="75"/>
  <c r="CK246" i="75" s="1"/>
  <c r="CJ235" i="75"/>
  <c r="CJ246" i="75" s="1"/>
  <c r="CI235" i="75"/>
  <c r="CI246" i="75" s="1"/>
  <c r="CF235" i="75"/>
  <c r="CF246" i="75" s="1"/>
  <c r="CE235" i="75"/>
  <c r="CE246" i="75" s="1"/>
  <c r="CD235" i="75"/>
  <c r="CD246" i="75" s="1"/>
  <c r="CC235" i="75"/>
  <c r="CC246" i="75" s="1"/>
  <c r="CB235" i="75"/>
  <c r="CB246" i="75" s="1"/>
  <c r="CA235" i="75"/>
  <c r="CA246" i="75" s="1"/>
  <c r="BZ235" i="75"/>
  <c r="BZ246" i="75" s="1"/>
  <c r="BY235" i="75"/>
  <c r="BY246" i="75" s="1"/>
  <c r="BX235" i="75"/>
  <c r="BX246" i="75" s="1"/>
  <c r="BW235" i="75"/>
  <c r="BW246" i="75" s="1"/>
  <c r="BU235" i="75"/>
  <c r="BT235" i="75"/>
  <c r="BT246" i="75" s="1"/>
  <c r="BS235" i="75"/>
  <c r="BS246" i="75" s="1"/>
  <c r="BR235" i="75"/>
  <c r="BR246" i="75" s="1"/>
  <c r="BQ235" i="75"/>
  <c r="BQ246" i="75" s="1"/>
  <c r="BP235" i="75"/>
  <c r="BP246" i="75" s="1"/>
  <c r="BO235" i="75"/>
  <c r="BO246" i="75" s="1"/>
  <c r="BN235" i="75"/>
  <c r="BN246" i="75" s="1"/>
  <c r="BM235" i="75"/>
  <c r="BJ235" i="75"/>
  <c r="BK235" i="75" s="1"/>
  <c r="BK246" i="75" s="1"/>
  <c r="GM246" i="75" s="1"/>
  <c r="BI235" i="75"/>
  <c r="BI246" i="75" s="1"/>
  <c r="GK246" i="75" s="1"/>
  <c r="BH235" i="75"/>
  <c r="BH246" i="75" s="1"/>
  <c r="GJ246" i="75" s="1"/>
  <c r="BG235" i="75"/>
  <c r="BF235" i="75"/>
  <c r="BF246" i="75" s="1"/>
  <c r="GH246" i="75" s="1"/>
  <c r="BE235" i="75"/>
  <c r="BE246" i="75" s="1"/>
  <c r="GG246" i="75" s="1"/>
  <c r="BD235" i="75"/>
  <c r="BD246" i="75" s="1"/>
  <c r="GF246" i="75" s="1"/>
  <c r="BC235" i="75"/>
  <c r="BC246" i="75" s="1"/>
  <c r="GE246" i="75" s="1"/>
  <c r="BB235" i="75"/>
  <c r="BA235" i="75"/>
  <c r="AY235" i="75"/>
  <c r="AX235" i="75"/>
  <c r="AX246" i="75" s="1"/>
  <c r="FZ246" i="75" s="1"/>
  <c r="AW235" i="75"/>
  <c r="AW246" i="75" s="1"/>
  <c r="FY246" i="75" s="1"/>
  <c r="AV235" i="75"/>
  <c r="AV246" i="75" s="1"/>
  <c r="FX246" i="75" s="1"/>
  <c r="AU235" i="75"/>
  <c r="AT235" i="75"/>
  <c r="AS235" i="75"/>
  <c r="AR235" i="75"/>
  <c r="AQ235" i="75"/>
  <c r="AN235" i="75"/>
  <c r="AN246" i="75" s="1"/>
  <c r="FP246" i="75" s="1"/>
  <c r="AM235" i="75"/>
  <c r="AL235" i="75"/>
  <c r="AL246" i="75" s="1"/>
  <c r="FN246" i="75" s="1"/>
  <c r="AK235" i="75"/>
  <c r="AK246" i="75" s="1"/>
  <c r="FM246" i="75" s="1"/>
  <c r="AJ235" i="75"/>
  <c r="AJ246" i="75" s="1"/>
  <c r="FL246" i="75" s="1"/>
  <c r="AI235" i="75"/>
  <c r="AI246" i="75" s="1"/>
  <c r="FK246" i="75" s="1"/>
  <c r="AH235" i="75"/>
  <c r="AG235" i="75"/>
  <c r="AG246" i="75" s="1"/>
  <c r="FI246" i="75" s="1"/>
  <c r="AF235" i="75"/>
  <c r="AF246" i="75" s="1"/>
  <c r="FH246" i="75" s="1"/>
  <c r="AC235" i="75"/>
  <c r="AB235" i="75"/>
  <c r="AB246" i="75" s="1"/>
  <c r="FD246" i="75" s="1"/>
  <c r="AA235" i="75"/>
  <c r="Z235" i="75"/>
  <c r="Y235" i="75"/>
  <c r="X235" i="75"/>
  <c r="W235" i="75"/>
  <c r="W246" i="75" s="1"/>
  <c r="EY246" i="75" s="1"/>
  <c r="V235" i="75"/>
  <c r="U235" i="75"/>
  <c r="S235" i="75"/>
  <c r="R235" i="75"/>
  <c r="R246" i="75" s="1"/>
  <c r="ES246" i="75" s="1"/>
  <c r="Q235" i="75"/>
  <c r="Q246" i="75" s="1"/>
  <c r="ER246" i="75" s="1"/>
  <c r="P235" i="75"/>
  <c r="P246" i="75" s="1"/>
  <c r="EQ246" i="75" s="1"/>
  <c r="O235" i="75"/>
  <c r="O246" i="75" s="1"/>
  <c r="EP246" i="75" s="1"/>
  <c r="N235" i="75"/>
  <c r="N246" i="75" s="1"/>
  <c r="EO246" i="75" s="1"/>
  <c r="M235" i="75"/>
  <c r="M246" i="75" s="1"/>
  <c r="EN246" i="75" s="1"/>
  <c r="L235" i="75"/>
  <c r="K235" i="75"/>
  <c r="K246" i="75" s="1"/>
  <c r="EL246" i="75" s="1"/>
  <c r="J235" i="75"/>
  <c r="J246" i="75" s="1"/>
  <c r="E235" i="75"/>
  <c r="D235" i="75"/>
  <c r="C235" i="75"/>
  <c r="B235" i="75"/>
  <c r="EI234" i="75"/>
  <c r="EJ234" i="75" s="1"/>
  <c r="EH234" i="75"/>
  <c r="EG234" i="75"/>
  <c r="EF234" i="75"/>
  <c r="EE234" i="75"/>
  <c r="ED234" i="75"/>
  <c r="EC234" i="75"/>
  <c r="EB234" i="75"/>
  <c r="EA234" i="75"/>
  <c r="DZ234" i="75" s="1"/>
  <c r="DB234" i="75"/>
  <c r="DC234" i="75" s="1"/>
  <c r="DA234" i="75"/>
  <c r="CZ234" i="75"/>
  <c r="CY234" i="75"/>
  <c r="CX234" i="75"/>
  <c r="CW234" i="75"/>
  <c r="CV234" i="75"/>
  <c r="CU234" i="75"/>
  <c r="CT234" i="75"/>
  <c r="CS234" i="75" s="1"/>
  <c r="CQ234" i="75"/>
  <c r="CR234" i="75" s="1"/>
  <c r="CP234" i="75"/>
  <c r="CO234" i="75"/>
  <c r="CN234" i="75"/>
  <c r="CM234" i="75"/>
  <c r="CL234" i="75"/>
  <c r="CK234" i="75"/>
  <c r="CJ234" i="75"/>
  <c r="CI234" i="75"/>
  <c r="CH234" i="75" s="1"/>
  <c r="CF234" i="75"/>
  <c r="CG234" i="75" s="1"/>
  <c r="CE234" i="75"/>
  <c r="CD234" i="75"/>
  <c r="CC234" i="75"/>
  <c r="CB234" i="75"/>
  <c r="CA234" i="75"/>
  <c r="BZ234" i="75"/>
  <c r="BY234" i="75"/>
  <c r="BX234" i="75"/>
  <c r="BW234" i="75" s="1"/>
  <c r="BU234" i="75"/>
  <c r="BV234" i="75" s="1"/>
  <c r="BT234" i="75"/>
  <c r="BS234" i="75"/>
  <c r="BR234" i="75"/>
  <c r="BQ234" i="75"/>
  <c r="BP234" i="75"/>
  <c r="BO234" i="75"/>
  <c r="BN234" i="75"/>
  <c r="BM234" i="75"/>
  <c r="BL234" i="75" s="1"/>
  <c r="BJ234" i="75"/>
  <c r="BK234" i="75" s="1"/>
  <c r="GM234" i="75" s="1"/>
  <c r="BI234" i="75"/>
  <c r="GK234" i="75" s="1"/>
  <c r="BH234" i="75"/>
  <c r="GJ234" i="75" s="1"/>
  <c r="BG234" i="75"/>
  <c r="GI234" i="75" s="1"/>
  <c r="BF234" i="75"/>
  <c r="GH234" i="75" s="1"/>
  <c r="BE234" i="75"/>
  <c r="GG234" i="75" s="1"/>
  <c r="BD234" i="75"/>
  <c r="GF234" i="75" s="1"/>
  <c r="BC234" i="75"/>
  <c r="GE234" i="75" s="1"/>
  <c r="BB234" i="75"/>
  <c r="GD234" i="75" s="1"/>
  <c r="AY234" i="75"/>
  <c r="GA234" i="75" s="1"/>
  <c r="AX234" i="75"/>
  <c r="FZ234" i="75" s="1"/>
  <c r="AW234" i="75"/>
  <c r="FY234" i="75" s="1"/>
  <c r="AV234" i="75"/>
  <c r="FX234" i="75" s="1"/>
  <c r="AU234" i="75"/>
  <c r="FW234" i="75" s="1"/>
  <c r="AT234" i="75"/>
  <c r="FV234" i="75" s="1"/>
  <c r="AS234" i="75"/>
  <c r="FU234" i="75" s="1"/>
  <c r="AR234" i="75"/>
  <c r="FT234" i="75" s="1"/>
  <c r="AQ234" i="75"/>
  <c r="FS234" i="75" s="1"/>
  <c r="AN234" i="75"/>
  <c r="AO234" i="75" s="1"/>
  <c r="FQ234" i="75" s="1"/>
  <c r="AM234" i="75"/>
  <c r="FO234" i="75" s="1"/>
  <c r="AL234" i="75"/>
  <c r="FN234" i="75" s="1"/>
  <c r="AK234" i="75"/>
  <c r="FM234" i="75" s="1"/>
  <c r="AJ234" i="75"/>
  <c r="FL234" i="75" s="1"/>
  <c r="AI234" i="75"/>
  <c r="FK234" i="75" s="1"/>
  <c r="AH234" i="75"/>
  <c r="FJ234" i="75" s="1"/>
  <c r="AG234" i="75"/>
  <c r="FI234" i="75" s="1"/>
  <c r="AF234" i="75"/>
  <c r="FH234" i="75" s="1"/>
  <c r="AC234" i="75"/>
  <c r="FE234" i="75" s="1"/>
  <c r="AB234" i="75"/>
  <c r="FD234" i="75" s="1"/>
  <c r="AA234" i="75"/>
  <c r="FC234" i="75" s="1"/>
  <c r="Z234" i="75"/>
  <c r="FB234" i="75" s="1"/>
  <c r="Y234" i="75"/>
  <c r="FA234" i="75" s="1"/>
  <c r="X234" i="75"/>
  <c r="EZ234" i="75" s="1"/>
  <c r="W234" i="75"/>
  <c r="EY234" i="75" s="1"/>
  <c r="V234" i="75"/>
  <c r="EX234" i="75" s="1"/>
  <c r="U234" i="75"/>
  <c r="EW234" i="75" s="1"/>
  <c r="EV234" i="75" s="1"/>
  <c r="S234" i="75"/>
  <c r="T234" i="75" s="1"/>
  <c r="EU234" i="75" s="1"/>
  <c r="R234" i="75"/>
  <c r="ES234" i="75" s="1"/>
  <c r="Q234" i="75"/>
  <c r="ER234" i="75" s="1"/>
  <c r="P234" i="75"/>
  <c r="EQ234" i="75" s="1"/>
  <c r="O234" i="75"/>
  <c r="EP234" i="75" s="1"/>
  <c r="N234" i="75"/>
  <c r="EO234" i="75" s="1"/>
  <c r="M234" i="75"/>
  <c r="EN234" i="75" s="1"/>
  <c r="L234" i="75"/>
  <c r="EM234" i="75" s="1"/>
  <c r="K234" i="75"/>
  <c r="EL234" i="75" s="1"/>
  <c r="EK234" i="75" s="1"/>
  <c r="J234" i="75"/>
  <c r="E234" i="75"/>
  <c r="D234" i="75"/>
  <c r="C234" i="75"/>
  <c r="B234" i="75"/>
  <c r="EI233" i="75"/>
  <c r="EJ233" i="75" s="1"/>
  <c r="EH233" i="75"/>
  <c r="EG233" i="75"/>
  <c r="EF233" i="75"/>
  <c r="EE233" i="75"/>
  <c r="ED233" i="75"/>
  <c r="EC233" i="75"/>
  <c r="EB233" i="75"/>
  <c r="EA233" i="75"/>
  <c r="DZ233" i="75" s="1"/>
  <c r="DB233" i="75"/>
  <c r="DC233" i="75" s="1"/>
  <c r="DA233" i="75"/>
  <c r="CZ233" i="75"/>
  <c r="CY233" i="75"/>
  <c r="CX233" i="75"/>
  <c r="CW233" i="75"/>
  <c r="CV233" i="75"/>
  <c r="CU233" i="75"/>
  <c r="CT233" i="75"/>
  <c r="CS233" i="75" s="1"/>
  <c r="CQ233" i="75"/>
  <c r="CR233" i="75" s="1"/>
  <c r="CP233" i="75"/>
  <c r="CO233" i="75"/>
  <c r="CN233" i="75"/>
  <c r="CM233" i="75"/>
  <c r="CL233" i="75"/>
  <c r="CK233" i="75"/>
  <c r="CJ233" i="75"/>
  <c r="CI233" i="75"/>
  <c r="CH233" i="75" s="1"/>
  <c r="CF233" i="75"/>
  <c r="CG233" i="75" s="1"/>
  <c r="CE233" i="75"/>
  <c r="CD233" i="75"/>
  <c r="CC233" i="75"/>
  <c r="CB233" i="75"/>
  <c r="CA233" i="75"/>
  <c r="BZ233" i="75"/>
  <c r="BY233" i="75"/>
  <c r="BX233" i="75"/>
  <c r="BW233" i="75" s="1"/>
  <c r="BU233" i="75"/>
  <c r="BV233" i="75" s="1"/>
  <c r="BT233" i="75"/>
  <c r="BS233" i="75"/>
  <c r="BR233" i="75"/>
  <c r="BQ233" i="75"/>
  <c r="BP233" i="75"/>
  <c r="BO233" i="75"/>
  <c r="BN233" i="75"/>
  <c r="BM233" i="75"/>
  <c r="BL233" i="75"/>
  <c r="BJ233" i="75"/>
  <c r="GL233" i="75" s="1"/>
  <c r="BI233" i="75"/>
  <c r="GK233" i="75" s="1"/>
  <c r="BH233" i="75"/>
  <c r="GJ233" i="75" s="1"/>
  <c r="BG233" i="75"/>
  <c r="GI233" i="75" s="1"/>
  <c r="BF233" i="75"/>
  <c r="GH233" i="75" s="1"/>
  <c r="BE233" i="75"/>
  <c r="GG233" i="75" s="1"/>
  <c r="BD233" i="75"/>
  <c r="GF233" i="75" s="1"/>
  <c r="BC233" i="75"/>
  <c r="GE233" i="75" s="1"/>
  <c r="BB233" i="75"/>
  <c r="GD233" i="75" s="1"/>
  <c r="AY233" i="75"/>
  <c r="GA233" i="75" s="1"/>
  <c r="AX233" i="75"/>
  <c r="FZ233" i="75" s="1"/>
  <c r="AW233" i="75"/>
  <c r="FY233" i="75" s="1"/>
  <c r="AV233" i="75"/>
  <c r="FX233" i="75" s="1"/>
  <c r="AU233" i="75"/>
  <c r="FW233" i="75" s="1"/>
  <c r="AT233" i="75"/>
  <c r="FV233" i="75" s="1"/>
  <c r="AS233" i="75"/>
  <c r="FU233" i="75" s="1"/>
  <c r="AR233" i="75"/>
  <c r="FT233" i="75" s="1"/>
  <c r="AQ233" i="75"/>
  <c r="FS233" i="75" s="1"/>
  <c r="AP233" i="75"/>
  <c r="FR233" i="75" s="1"/>
  <c r="AN233" i="75"/>
  <c r="FP233" i="75" s="1"/>
  <c r="AM233" i="75"/>
  <c r="FO233" i="75" s="1"/>
  <c r="AL233" i="75"/>
  <c r="FN233" i="75" s="1"/>
  <c r="AK233" i="75"/>
  <c r="FM233" i="75" s="1"/>
  <c r="AJ233" i="75"/>
  <c r="FL233" i="75" s="1"/>
  <c r="AI233" i="75"/>
  <c r="FK233" i="75" s="1"/>
  <c r="AH233" i="75"/>
  <c r="FJ233" i="75" s="1"/>
  <c r="AG233" i="75"/>
  <c r="FI233" i="75" s="1"/>
  <c r="AF233" i="75"/>
  <c r="AE233" i="75" s="1"/>
  <c r="FG233" i="75" s="1"/>
  <c r="AC233" i="75"/>
  <c r="AD233" i="75" s="1"/>
  <c r="FF233" i="75" s="1"/>
  <c r="AB233" i="75"/>
  <c r="FD233" i="75" s="1"/>
  <c r="AA233" i="75"/>
  <c r="FC233" i="75" s="1"/>
  <c r="Z233" i="75"/>
  <c r="FB233" i="75" s="1"/>
  <c r="Y233" i="75"/>
  <c r="FA233" i="75" s="1"/>
  <c r="X233" i="75"/>
  <c r="EZ233" i="75" s="1"/>
  <c r="W233" i="75"/>
  <c r="EY233" i="75" s="1"/>
  <c r="V233" i="75"/>
  <c r="EX233" i="75" s="1"/>
  <c r="U233" i="75"/>
  <c r="EW233" i="75" s="1"/>
  <c r="EV233" i="75" s="1"/>
  <c r="S233" i="75"/>
  <c r="ET233" i="75" s="1"/>
  <c r="R233" i="75"/>
  <c r="ES233" i="75" s="1"/>
  <c r="Q233" i="75"/>
  <c r="ER233" i="75" s="1"/>
  <c r="P233" i="75"/>
  <c r="EQ233" i="75" s="1"/>
  <c r="O233" i="75"/>
  <c r="EP233" i="75" s="1"/>
  <c r="N233" i="75"/>
  <c r="EO233" i="75" s="1"/>
  <c r="M233" i="75"/>
  <c r="EN233" i="75" s="1"/>
  <c r="L233" i="75"/>
  <c r="EM233" i="75" s="1"/>
  <c r="K233" i="75"/>
  <c r="EL233" i="75" s="1"/>
  <c r="EK233" i="75" s="1"/>
  <c r="J233" i="75"/>
  <c r="E233" i="75"/>
  <c r="D233" i="75"/>
  <c r="C233" i="75"/>
  <c r="B233" i="75"/>
  <c r="EI232" i="75"/>
  <c r="EJ232" i="75" s="1"/>
  <c r="EH232" i="75"/>
  <c r="EG232" i="75"/>
  <c r="EF232" i="75"/>
  <c r="EE232" i="75"/>
  <c r="ED232" i="75"/>
  <c r="EC232" i="75"/>
  <c r="EB232" i="75"/>
  <c r="EA232" i="75"/>
  <c r="DZ232" i="75" s="1"/>
  <c r="DB232" i="75"/>
  <c r="DC232" i="75" s="1"/>
  <c r="DA232" i="75"/>
  <c r="CZ232" i="75"/>
  <c r="CY232" i="75"/>
  <c r="CX232" i="75"/>
  <c r="CW232" i="75"/>
  <c r="CV232" i="75"/>
  <c r="CU232" i="75"/>
  <c r="CT232" i="75"/>
  <c r="CS232" i="75" s="1"/>
  <c r="CQ232" i="75"/>
  <c r="CR232" i="75" s="1"/>
  <c r="CP232" i="75"/>
  <c r="CO232" i="75"/>
  <c r="CN232" i="75"/>
  <c r="CM232" i="75"/>
  <c r="CL232" i="75"/>
  <c r="CK232" i="75"/>
  <c r="CJ232" i="75"/>
  <c r="CI232" i="75"/>
  <c r="CH232" i="75" s="1"/>
  <c r="CF232" i="75"/>
  <c r="CG232" i="75" s="1"/>
  <c r="CE232" i="75"/>
  <c r="CD232" i="75"/>
  <c r="CC232" i="75"/>
  <c r="CB232" i="75"/>
  <c r="CA232" i="75"/>
  <c r="BZ232" i="75"/>
  <c r="BY232" i="75"/>
  <c r="BX232" i="75"/>
  <c r="BW232" i="75" s="1"/>
  <c r="BU232" i="75"/>
  <c r="BV232" i="75" s="1"/>
  <c r="BT232" i="75"/>
  <c r="BS232" i="75"/>
  <c r="BR232" i="75"/>
  <c r="BQ232" i="75"/>
  <c r="BP232" i="75"/>
  <c r="BO232" i="75"/>
  <c r="BN232" i="75"/>
  <c r="BM232" i="75"/>
  <c r="BL232" i="75" s="1"/>
  <c r="BJ232" i="75"/>
  <c r="BI232" i="75"/>
  <c r="GK232" i="75" s="1"/>
  <c r="BH232" i="75"/>
  <c r="GJ232" i="75" s="1"/>
  <c r="BG232" i="75"/>
  <c r="GI232" i="75" s="1"/>
  <c r="BF232" i="75"/>
  <c r="GH232" i="75" s="1"/>
  <c r="BE232" i="75"/>
  <c r="GG232" i="75" s="1"/>
  <c r="BD232" i="75"/>
  <c r="GF232" i="75" s="1"/>
  <c r="BC232" i="75"/>
  <c r="GE232" i="75" s="1"/>
  <c r="BB232" i="75"/>
  <c r="BA232" i="75" s="1"/>
  <c r="GC232" i="75" s="1"/>
  <c r="AY232" i="75"/>
  <c r="GA232" i="75" s="1"/>
  <c r="AX232" i="75"/>
  <c r="FZ232" i="75" s="1"/>
  <c r="AW232" i="75"/>
  <c r="FY232" i="75" s="1"/>
  <c r="AV232" i="75"/>
  <c r="FX232" i="75" s="1"/>
  <c r="AU232" i="75"/>
  <c r="FW232" i="75" s="1"/>
  <c r="AT232" i="75"/>
  <c r="FV232" i="75" s="1"/>
  <c r="AS232" i="75"/>
  <c r="FU232" i="75" s="1"/>
  <c r="AR232" i="75"/>
  <c r="FT232" i="75" s="1"/>
  <c r="AQ232" i="75"/>
  <c r="AP232" i="75" s="1"/>
  <c r="FR232" i="75" s="1"/>
  <c r="AN232" i="75"/>
  <c r="AO232" i="75" s="1"/>
  <c r="FQ232" i="75" s="1"/>
  <c r="AM232" i="75"/>
  <c r="FO232" i="75" s="1"/>
  <c r="AL232" i="75"/>
  <c r="FN232" i="75" s="1"/>
  <c r="AK232" i="75"/>
  <c r="FM232" i="75" s="1"/>
  <c r="AJ232" i="75"/>
  <c r="FL232" i="75" s="1"/>
  <c r="AI232" i="75"/>
  <c r="FK232" i="75" s="1"/>
  <c r="AH232" i="75"/>
  <c r="FJ232" i="75" s="1"/>
  <c r="AG232" i="75"/>
  <c r="FI232" i="75" s="1"/>
  <c r="AF232" i="75"/>
  <c r="FH232" i="75" s="1"/>
  <c r="AC232" i="75"/>
  <c r="FE232" i="75" s="1"/>
  <c r="AB232" i="75"/>
  <c r="FD232" i="75" s="1"/>
  <c r="AA232" i="75"/>
  <c r="FC232" i="75" s="1"/>
  <c r="Z232" i="75"/>
  <c r="FB232" i="75" s="1"/>
  <c r="Y232" i="75"/>
  <c r="FA232" i="75" s="1"/>
  <c r="X232" i="75"/>
  <c r="EZ232" i="75" s="1"/>
  <c r="W232" i="75"/>
  <c r="EY232" i="75" s="1"/>
  <c r="V232" i="75"/>
  <c r="EX232" i="75" s="1"/>
  <c r="U232" i="75"/>
  <c r="EW232" i="75" s="1"/>
  <c r="EV232" i="75" s="1"/>
  <c r="S232" i="75"/>
  <c r="ET232" i="75" s="1"/>
  <c r="R232" i="75"/>
  <c r="ES232" i="75" s="1"/>
  <c r="Q232" i="75"/>
  <c r="ER232" i="75" s="1"/>
  <c r="P232" i="75"/>
  <c r="EQ232" i="75" s="1"/>
  <c r="O232" i="75"/>
  <c r="EP232" i="75" s="1"/>
  <c r="N232" i="75"/>
  <c r="EO232" i="75" s="1"/>
  <c r="M232" i="75"/>
  <c r="EN232" i="75" s="1"/>
  <c r="L232" i="75"/>
  <c r="EM232" i="75" s="1"/>
  <c r="K232" i="75"/>
  <c r="EL232" i="75" s="1"/>
  <c r="EK232" i="75" s="1"/>
  <c r="J232" i="75"/>
  <c r="E232" i="75"/>
  <c r="D232" i="75"/>
  <c r="C232" i="75"/>
  <c r="B232" i="75"/>
  <c r="EI231" i="75"/>
  <c r="EJ231" i="75" s="1"/>
  <c r="EH231" i="75"/>
  <c r="EG231" i="75"/>
  <c r="EF231" i="75"/>
  <c r="EE231" i="75"/>
  <c r="ED231" i="75"/>
  <c r="EC231" i="75"/>
  <c r="EB231" i="75"/>
  <c r="EA231" i="75"/>
  <c r="DZ231" i="75"/>
  <c r="DB231" i="75"/>
  <c r="DC231" i="75" s="1"/>
  <c r="DA231" i="75"/>
  <c r="CZ231" i="75"/>
  <c r="CY231" i="75"/>
  <c r="CX231" i="75"/>
  <c r="CW231" i="75"/>
  <c r="CV231" i="75"/>
  <c r="CU231" i="75"/>
  <c r="CT231" i="75"/>
  <c r="CS231" i="75" s="1"/>
  <c r="CQ231" i="75"/>
  <c r="CR231" i="75" s="1"/>
  <c r="CP231" i="75"/>
  <c r="CO231" i="75"/>
  <c r="CN231" i="75"/>
  <c r="CM231" i="75"/>
  <c r="CL231" i="75"/>
  <c r="CK231" i="75"/>
  <c r="CJ231" i="75"/>
  <c r="CI231" i="75"/>
  <c r="CH231" i="75" s="1"/>
  <c r="CF231" i="75"/>
  <c r="CG231" i="75" s="1"/>
  <c r="CE231" i="75"/>
  <c r="CD231" i="75"/>
  <c r="CC231" i="75"/>
  <c r="CB231" i="75"/>
  <c r="CA231" i="75"/>
  <c r="BZ231" i="75"/>
  <c r="BY231" i="75"/>
  <c r="BX231" i="75"/>
  <c r="BW231" i="75" s="1"/>
  <c r="BU231" i="75"/>
  <c r="BV231" i="75" s="1"/>
  <c r="BT231" i="75"/>
  <c r="BS231" i="75"/>
  <c r="BR231" i="75"/>
  <c r="BQ231" i="75"/>
  <c r="BP231" i="75"/>
  <c r="BO231" i="75"/>
  <c r="BN231" i="75"/>
  <c r="BM231" i="75"/>
  <c r="BL231" i="75" s="1"/>
  <c r="BJ231" i="75"/>
  <c r="BK231" i="75" s="1"/>
  <c r="GM231" i="75" s="1"/>
  <c r="BI231" i="75"/>
  <c r="GK231" i="75" s="1"/>
  <c r="BH231" i="75"/>
  <c r="GJ231" i="75" s="1"/>
  <c r="BG231" i="75"/>
  <c r="GI231" i="75" s="1"/>
  <c r="BF231" i="75"/>
  <c r="GH231" i="75" s="1"/>
  <c r="BE231" i="75"/>
  <c r="GG231" i="75" s="1"/>
  <c r="BD231" i="75"/>
  <c r="GF231" i="75" s="1"/>
  <c r="BC231" i="75"/>
  <c r="GE231" i="75" s="1"/>
  <c r="BB231" i="75"/>
  <c r="GD231" i="75" s="1"/>
  <c r="AY231" i="75"/>
  <c r="GA231" i="75" s="1"/>
  <c r="AX231" i="75"/>
  <c r="FZ231" i="75" s="1"/>
  <c r="AW231" i="75"/>
  <c r="FY231" i="75" s="1"/>
  <c r="AV231" i="75"/>
  <c r="FX231" i="75" s="1"/>
  <c r="AU231" i="75"/>
  <c r="FW231" i="75" s="1"/>
  <c r="AT231" i="75"/>
  <c r="FV231" i="75" s="1"/>
  <c r="AS231" i="75"/>
  <c r="FU231" i="75" s="1"/>
  <c r="AR231" i="75"/>
  <c r="FT231" i="75" s="1"/>
  <c r="AQ231" i="75"/>
  <c r="FS231" i="75" s="1"/>
  <c r="AN231" i="75"/>
  <c r="FP231" i="75" s="1"/>
  <c r="AM231" i="75"/>
  <c r="FO231" i="75" s="1"/>
  <c r="AL231" i="75"/>
  <c r="FN231" i="75" s="1"/>
  <c r="AK231" i="75"/>
  <c r="FM231" i="75" s="1"/>
  <c r="AJ231" i="75"/>
  <c r="FL231" i="75" s="1"/>
  <c r="AI231" i="75"/>
  <c r="FK231" i="75" s="1"/>
  <c r="AH231" i="75"/>
  <c r="FJ231" i="75" s="1"/>
  <c r="AG231" i="75"/>
  <c r="FI231" i="75" s="1"/>
  <c r="AF231" i="75"/>
  <c r="AE231" i="75" s="1"/>
  <c r="FG231" i="75" s="1"/>
  <c r="AC231" i="75"/>
  <c r="AB231" i="75"/>
  <c r="FD231" i="75" s="1"/>
  <c r="AA231" i="75"/>
  <c r="FC231" i="75" s="1"/>
  <c r="Z231" i="75"/>
  <c r="FB231" i="75" s="1"/>
  <c r="Y231" i="75"/>
  <c r="FA231" i="75" s="1"/>
  <c r="X231" i="75"/>
  <c r="EZ231" i="75" s="1"/>
  <c r="W231" i="75"/>
  <c r="EY231" i="75" s="1"/>
  <c r="V231" i="75"/>
  <c r="EX231" i="75" s="1"/>
  <c r="U231" i="75"/>
  <c r="EW231" i="75" s="1"/>
  <c r="EV231" i="75" s="1"/>
  <c r="S231" i="75"/>
  <c r="ET231" i="75" s="1"/>
  <c r="R231" i="75"/>
  <c r="ES231" i="75" s="1"/>
  <c r="Q231" i="75"/>
  <c r="ER231" i="75" s="1"/>
  <c r="P231" i="75"/>
  <c r="EQ231" i="75" s="1"/>
  <c r="O231" i="75"/>
  <c r="EP231" i="75" s="1"/>
  <c r="N231" i="75"/>
  <c r="EO231" i="75" s="1"/>
  <c r="M231" i="75"/>
  <c r="EN231" i="75" s="1"/>
  <c r="L231" i="75"/>
  <c r="EM231" i="75" s="1"/>
  <c r="K231" i="75"/>
  <c r="EL231" i="75" s="1"/>
  <c r="EK231" i="75" s="1"/>
  <c r="J231" i="75"/>
  <c r="E231" i="75"/>
  <c r="D231" i="75"/>
  <c r="C231" i="75"/>
  <c r="B231" i="75"/>
  <c r="EI230" i="75"/>
  <c r="EI245" i="75" s="1"/>
  <c r="EH230" i="75"/>
  <c r="EH245" i="75" s="1"/>
  <c r="EG230" i="75"/>
  <c r="EG245" i="75" s="1"/>
  <c r="EF230" i="75"/>
  <c r="EF245" i="75" s="1"/>
  <c r="EE230" i="75"/>
  <c r="EE245" i="75" s="1"/>
  <c r="ED230" i="75"/>
  <c r="ED245" i="75" s="1"/>
  <c r="EC230" i="75"/>
  <c r="EC245" i="75" s="1"/>
  <c r="EB230" i="75"/>
  <c r="EB245" i="75" s="1"/>
  <c r="EA230" i="75"/>
  <c r="EA245" i="75" s="1"/>
  <c r="DB230" i="75"/>
  <c r="DB245" i="75" s="1"/>
  <c r="DA230" i="75"/>
  <c r="DA245" i="75" s="1"/>
  <c r="CZ230" i="75"/>
  <c r="CZ245" i="75" s="1"/>
  <c r="CY230" i="75"/>
  <c r="CY245" i="75" s="1"/>
  <c r="CX230" i="75"/>
  <c r="CX245" i="75" s="1"/>
  <c r="CW230" i="75"/>
  <c r="CW245" i="75" s="1"/>
  <c r="CV230" i="75"/>
  <c r="CV245" i="75" s="1"/>
  <c r="CU230" i="75"/>
  <c r="CU245" i="75" s="1"/>
  <c r="CT230" i="75"/>
  <c r="CT245" i="75" s="1"/>
  <c r="CQ230" i="75"/>
  <c r="CQ245" i="75" s="1"/>
  <c r="CP230" i="75"/>
  <c r="CP245" i="75" s="1"/>
  <c r="CO230" i="75"/>
  <c r="CO245" i="75" s="1"/>
  <c r="CN230" i="75"/>
  <c r="CN245" i="75" s="1"/>
  <c r="CM230" i="75"/>
  <c r="CM245" i="75" s="1"/>
  <c r="CL230" i="75"/>
  <c r="CL245" i="75" s="1"/>
  <c r="CK230" i="75"/>
  <c r="CK245" i="75" s="1"/>
  <c r="CJ230" i="75"/>
  <c r="CJ245" i="75" s="1"/>
  <c r="CI230" i="75"/>
  <c r="CI245" i="75" s="1"/>
  <c r="CF230" i="75"/>
  <c r="CF245" i="75" s="1"/>
  <c r="CE230" i="75"/>
  <c r="CE245" i="75" s="1"/>
  <c r="CD230" i="75"/>
  <c r="CD245" i="75" s="1"/>
  <c r="CC230" i="75"/>
  <c r="CC245" i="75" s="1"/>
  <c r="CB230" i="75"/>
  <c r="CB245" i="75" s="1"/>
  <c r="CA230" i="75"/>
  <c r="CA245" i="75" s="1"/>
  <c r="BZ230" i="75"/>
  <c r="BZ245" i="75" s="1"/>
  <c r="BY230" i="75"/>
  <c r="BY245" i="75" s="1"/>
  <c r="BX230" i="75"/>
  <c r="BX245" i="75" s="1"/>
  <c r="BU230" i="75"/>
  <c r="BU245" i="75" s="1"/>
  <c r="BT230" i="75"/>
  <c r="BT245" i="75" s="1"/>
  <c r="BS230" i="75"/>
  <c r="BS245" i="75" s="1"/>
  <c r="BR230" i="75"/>
  <c r="BR245" i="75" s="1"/>
  <c r="BQ230" i="75"/>
  <c r="BQ245" i="75" s="1"/>
  <c r="BP230" i="75"/>
  <c r="BP245" i="75" s="1"/>
  <c r="BO230" i="75"/>
  <c r="BO245" i="75" s="1"/>
  <c r="BN230" i="75"/>
  <c r="BN245" i="75" s="1"/>
  <c r="BM230" i="75"/>
  <c r="BM245" i="75" s="1"/>
  <c r="BJ230" i="75"/>
  <c r="BJ245" i="75" s="1"/>
  <c r="GL245" i="75" s="1"/>
  <c r="BI230" i="75"/>
  <c r="BI245" i="75" s="1"/>
  <c r="GK245" i="75" s="1"/>
  <c r="BH230" i="75"/>
  <c r="BH245" i="75" s="1"/>
  <c r="GJ245" i="75" s="1"/>
  <c r="BG230" i="75"/>
  <c r="BG245" i="75" s="1"/>
  <c r="GI245" i="75" s="1"/>
  <c r="BF230" i="75"/>
  <c r="BE230" i="75"/>
  <c r="BE245" i="75" s="1"/>
  <c r="GG245" i="75" s="1"/>
  <c r="BD230" i="75"/>
  <c r="BD245" i="75" s="1"/>
  <c r="GF245" i="75" s="1"/>
  <c r="BC230" i="75"/>
  <c r="BC245" i="75" s="1"/>
  <c r="GE245" i="75" s="1"/>
  <c r="BB230" i="75"/>
  <c r="BA230" i="75" s="1"/>
  <c r="BA245" i="75" s="1"/>
  <c r="GC245" i="75" s="1"/>
  <c r="AY230" i="75"/>
  <c r="AY245" i="75" s="1"/>
  <c r="GA245" i="75" s="1"/>
  <c r="AX230" i="75"/>
  <c r="AX245" i="75" s="1"/>
  <c r="FZ245" i="75" s="1"/>
  <c r="AW230" i="75"/>
  <c r="AW245" i="75" s="1"/>
  <c r="FY245" i="75" s="1"/>
  <c r="AV230" i="75"/>
  <c r="AV245" i="75" s="1"/>
  <c r="FX245" i="75" s="1"/>
  <c r="AU230" i="75"/>
  <c r="AU245" i="75" s="1"/>
  <c r="FW245" i="75" s="1"/>
  <c r="AT230" i="75"/>
  <c r="AT245" i="75" s="1"/>
  <c r="FV245" i="75" s="1"/>
  <c r="AS230" i="75"/>
  <c r="AS245" i="75" s="1"/>
  <c r="FU245" i="75" s="1"/>
  <c r="AR230" i="75"/>
  <c r="AR245" i="75" s="1"/>
  <c r="FT245" i="75" s="1"/>
  <c r="AQ230" i="75"/>
  <c r="AQ245" i="75" s="1"/>
  <c r="FS245" i="75" s="1"/>
  <c r="AN230" i="75"/>
  <c r="AN245" i="75" s="1"/>
  <c r="FP245" i="75" s="1"/>
  <c r="AM230" i="75"/>
  <c r="AM245" i="75" s="1"/>
  <c r="FO245" i="75" s="1"/>
  <c r="AL230" i="75"/>
  <c r="AL245" i="75" s="1"/>
  <c r="FN245" i="75" s="1"/>
  <c r="AK230" i="75"/>
  <c r="AK245" i="75" s="1"/>
  <c r="FM245" i="75" s="1"/>
  <c r="AJ230" i="75"/>
  <c r="AJ245" i="75" s="1"/>
  <c r="FL245" i="75" s="1"/>
  <c r="AI230" i="75"/>
  <c r="AI245" i="75" s="1"/>
  <c r="FK245" i="75" s="1"/>
  <c r="AH230" i="75"/>
  <c r="AH245" i="75" s="1"/>
  <c r="FJ245" i="75" s="1"/>
  <c r="AG230" i="75"/>
  <c r="AG245" i="75" s="1"/>
  <c r="FI245" i="75" s="1"/>
  <c r="AF230" i="75"/>
  <c r="AF245" i="75" s="1"/>
  <c r="FH245" i="75" s="1"/>
  <c r="AE230" i="75"/>
  <c r="AE245" i="75" s="1"/>
  <c r="FG245" i="75" s="1"/>
  <c r="AC230" i="75"/>
  <c r="AC245" i="75" s="1"/>
  <c r="AB230" i="75"/>
  <c r="AB245" i="75" s="1"/>
  <c r="FD245" i="75" s="1"/>
  <c r="AA230" i="75"/>
  <c r="AA245" i="75" s="1"/>
  <c r="FC245" i="75" s="1"/>
  <c r="Z230" i="75"/>
  <c r="Z245" i="75" s="1"/>
  <c r="FB245" i="75" s="1"/>
  <c r="Y230" i="75"/>
  <c r="Y245" i="75" s="1"/>
  <c r="FA245" i="75" s="1"/>
  <c r="X230" i="75"/>
  <c r="X245" i="75" s="1"/>
  <c r="EZ245" i="75" s="1"/>
  <c r="W230" i="75"/>
  <c r="W245" i="75" s="1"/>
  <c r="EY245" i="75" s="1"/>
  <c r="V230" i="75"/>
  <c r="V245" i="75" s="1"/>
  <c r="EX245" i="75" s="1"/>
  <c r="U230" i="75"/>
  <c r="U245" i="75" s="1"/>
  <c r="EW245" i="75" s="1"/>
  <c r="S230" i="75"/>
  <c r="S245" i="75" s="1"/>
  <c r="R230" i="75"/>
  <c r="R245" i="75" s="1"/>
  <c r="ES245" i="75" s="1"/>
  <c r="Q230" i="75"/>
  <c r="Q245" i="75" s="1"/>
  <c r="ER245" i="75" s="1"/>
  <c r="P230" i="75"/>
  <c r="P245" i="75" s="1"/>
  <c r="EQ245" i="75" s="1"/>
  <c r="O230" i="75"/>
  <c r="O245" i="75" s="1"/>
  <c r="EP245" i="75" s="1"/>
  <c r="N230" i="75"/>
  <c r="N245" i="75" s="1"/>
  <c r="EO245" i="75" s="1"/>
  <c r="M230" i="75"/>
  <c r="M245" i="75" s="1"/>
  <c r="EN245" i="75" s="1"/>
  <c r="L230" i="75"/>
  <c r="L245" i="75" s="1"/>
  <c r="EM245" i="75" s="1"/>
  <c r="K230" i="75"/>
  <c r="K245" i="75" s="1"/>
  <c r="EL245" i="75" s="1"/>
  <c r="J230" i="75"/>
  <c r="E230" i="75"/>
  <c r="D230" i="75"/>
  <c r="C230" i="75"/>
  <c r="B230" i="75"/>
  <c r="GM229" i="75"/>
  <c r="GL229" i="75"/>
  <c r="GK229" i="75"/>
  <c r="GJ229" i="75"/>
  <c r="GI229" i="75"/>
  <c r="GH229" i="75"/>
  <c r="GG229" i="75"/>
  <c r="GF229" i="75"/>
  <c r="GE229" i="75"/>
  <c r="GD229" i="75"/>
  <c r="GC229" i="75"/>
  <c r="GB229" i="75"/>
  <c r="GA229" i="75"/>
  <c r="FZ229" i="75"/>
  <c r="FY229" i="75"/>
  <c r="FX229" i="75"/>
  <c r="FW229" i="75"/>
  <c r="FV229" i="75"/>
  <c r="FU229" i="75"/>
  <c r="FT229" i="75"/>
  <c r="FS229" i="75"/>
  <c r="FR229" i="75"/>
  <c r="FQ229" i="75"/>
  <c r="FP229" i="75"/>
  <c r="FO229" i="75"/>
  <c r="FN229" i="75"/>
  <c r="FM229" i="75"/>
  <c r="FL229" i="75"/>
  <c r="FK229" i="75"/>
  <c r="FJ229" i="75"/>
  <c r="FI229" i="75"/>
  <c r="FH229" i="75"/>
  <c r="FG229" i="75"/>
  <c r="FE229" i="75"/>
  <c r="FD229" i="75"/>
  <c r="FC229" i="75"/>
  <c r="FB229" i="75"/>
  <c r="FA229" i="75"/>
  <c r="EZ229" i="75"/>
  <c r="EY229" i="75"/>
  <c r="EX229" i="75"/>
  <c r="EW229" i="75"/>
  <c r="ET229" i="75"/>
  <c r="ES229" i="75"/>
  <c r="ER229" i="75"/>
  <c r="EQ229" i="75"/>
  <c r="EP229" i="75"/>
  <c r="EO229" i="75"/>
  <c r="EN229" i="75"/>
  <c r="EM229" i="75"/>
  <c r="EL229" i="75"/>
  <c r="AD229" i="75"/>
  <c r="FF229" i="75" s="1"/>
  <c r="T229" i="75"/>
  <c r="EU229" i="75" s="1"/>
  <c r="J229" i="75"/>
  <c r="D229" i="75"/>
  <c r="B229" i="75"/>
  <c r="A229" i="75"/>
  <c r="GM228" i="75"/>
  <c r="GL228" i="75"/>
  <c r="GK228" i="75"/>
  <c r="GJ228" i="75"/>
  <c r="GI228" i="75"/>
  <c r="GH228" i="75"/>
  <c r="GG228" i="75"/>
  <c r="GF228" i="75"/>
  <c r="GE228" i="75"/>
  <c r="GD228" i="75"/>
  <c r="GC228" i="75"/>
  <c r="GB228" i="75"/>
  <c r="GA228" i="75"/>
  <c r="FZ228" i="75"/>
  <c r="FY228" i="75"/>
  <c r="FX228" i="75"/>
  <c r="FW228" i="75"/>
  <c r="FV228" i="75"/>
  <c r="FU228" i="75"/>
  <c r="FT228" i="75"/>
  <c r="FS228" i="75"/>
  <c r="FR228" i="75"/>
  <c r="FQ228" i="75"/>
  <c r="FP228" i="75"/>
  <c r="FO228" i="75"/>
  <c r="FN228" i="75"/>
  <c r="FM228" i="75"/>
  <c r="FL228" i="75"/>
  <c r="FK228" i="75"/>
  <c r="FJ228" i="75"/>
  <c r="FI228" i="75"/>
  <c r="FH228" i="75"/>
  <c r="FG228" i="75"/>
  <c r="FE228" i="75"/>
  <c r="FD228" i="75"/>
  <c r="FC228" i="75"/>
  <c r="FB228" i="75"/>
  <c r="FA228" i="75"/>
  <c r="EZ228" i="75"/>
  <c r="EY228" i="75"/>
  <c r="EX228" i="75"/>
  <c r="EW228" i="75"/>
  <c r="ET228" i="75"/>
  <c r="ES228" i="75"/>
  <c r="ER228" i="75"/>
  <c r="EQ228" i="75"/>
  <c r="EP228" i="75"/>
  <c r="EO228" i="75"/>
  <c r="EN228" i="75"/>
  <c r="EM228" i="75"/>
  <c r="EL228" i="75"/>
  <c r="AD228" i="75"/>
  <c r="FF228" i="75" s="1"/>
  <c r="T228" i="75"/>
  <c r="EU228" i="75" s="1"/>
  <c r="J228" i="75"/>
  <c r="D228" i="75"/>
  <c r="B228" i="75"/>
  <c r="A228" i="75"/>
  <c r="GM227" i="75"/>
  <c r="GL227" i="75"/>
  <c r="GK227" i="75"/>
  <c r="GJ227" i="75"/>
  <c r="GI227" i="75"/>
  <c r="GH227" i="75"/>
  <c r="GG227" i="75"/>
  <c r="GF227" i="75"/>
  <c r="GE227" i="75"/>
  <c r="GD227" i="75"/>
  <c r="GC227" i="75"/>
  <c r="GB227" i="75"/>
  <c r="GA227" i="75"/>
  <c r="FZ227" i="75"/>
  <c r="FY227" i="75"/>
  <c r="FX227" i="75"/>
  <c r="FW227" i="75"/>
  <c r="FV227" i="75"/>
  <c r="FU227" i="75"/>
  <c r="FT227" i="75"/>
  <c r="FS227" i="75"/>
  <c r="FR227" i="75"/>
  <c r="FQ227" i="75"/>
  <c r="FP227" i="75"/>
  <c r="FO227" i="75"/>
  <c r="FN227" i="75"/>
  <c r="FM227" i="75"/>
  <c r="FL227" i="75"/>
  <c r="FK227" i="75"/>
  <c r="FJ227" i="75"/>
  <c r="FI227" i="75"/>
  <c r="FH227" i="75"/>
  <c r="FG227" i="75"/>
  <c r="FE227" i="75"/>
  <c r="FD227" i="75"/>
  <c r="FC227" i="75"/>
  <c r="FB227" i="75"/>
  <c r="FA227" i="75"/>
  <c r="EZ227" i="75"/>
  <c r="EY227" i="75"/>
  <c r="EX227" i="75"/>
  <c r="EW227" i="75"/>
  <c r="ET227" i="75"/>
  <c r="ES227" i="75"/>
  <c r="ER227" i="75"/>
  <c r="EQ227" i="75"/>
  <c r="EP227" i="75"/>
  <c r="EO227" i="75"/>
  <c r="EN227" i="75"/>
  <c r="EM227" i="75"/>
  <c r="EL227" i="75"/>
  <c r="AD227" i="75"/>
  <c r="FF227" i="75" s="1"/>
  <c r="T227" i="75"/>
  <c r="EU227" i="75" s="1"/>
  <c r="J227" i="75"/>
  <c r="D227" i="75"/>
  <c r="B227" i="75"/>
  <c r="A227" i="75"/>
  <c r="GM226" i="75"/>
  <c r="GL226" i="75"/>
  <c r="GK226" i="75"/>
  <c r="GJ226" i="75"/>
  <c r="GI226" i="75"/>
  <c r="GH226" i="75"/>
  <c r="GG226" i="75"/>
  <c r="GF226" i="75"/>
  <c r="GE226" i="75"/>
  <c r="GD226" i="75"/>
  <c r="GC226" i="75"/>
  <c r="GB226" i="75"/>
  <c r="GA226" i="75"/>
  <c r="FZ226" i="75"/>
  <c r="FY226" i="75"/>
  <c r="FX226" i="75"/>
  <c r="FW226" i="75"/>
  <c r="FV226" i="75"/>
  <c r="FU226" i="75"/>
  <c r="FT226" i="75"/>
  <c r="FS226" i="75"/>
  <c r="FR226" i="75"/>
  <c r="FQ226" i="75"/>
  <c r="FP226" i="75"/>
  <c r="FO226" i="75"/>
  <c r="FN226" i="75"/>
  <c r="FM226" i="75"/>
  <c r="FL226" i="75"/>
  <c r="FK226" i="75"/>
  <c r="FJ226" i="75"/>
  <c r="FI226" i="75"/>
  <c r="FH226" i="75"/>
  <c r="FG226" i="75"/>
  <c r="FE226" i="75"/>
  <c r="FD226" i="75"/>
  <c r="FC226" i="75"/>
  <c r="FB226" i="75"/>
  <c r="FA226" i="75"/>
  <c r="EZ226" i="75"/>
  <c r="EY226" i="75"/>
  <c r="EX226" i="75"/>
  <c r="EW226" i="75"/>
  <c r="ET226" i="75"/>
  <c r="ES226" i="75"/>
  <c r="ER226" i="75"/>
  <c r="EQ226" i="75"/>
  <c r="EP226" i="75"/>
  <c r="EO226" i="75"/>
  <c r="EN226" i="75"/>
  <c r="EM226" i="75"/>
  <c r="EL226" i="75"/>
  <c r="AD226" i="75"/>
  <c r="FF226" i="75" s="1"/>
  <c r="T226" i="75"/>
  <c r="EU226" i="75" s="1"/>
  <c r="J226" i="75"/>
  <c r="D226" i="75"/>
  <c r="B226" i="75"/>
  <c r="A226" i="75"/>
  <c r="EI225" i="75"/>
  <c r="EJ225" i="75" s="1"/>
  <c r="EH225" i="75"/>
  <c r="EG225" i="75"/>
  <c r="EF225" i="75"/>
  <c r="EE225" i="75"/>
  <c r="ED225" i="75"/>
  <c r="EC225" i="75"/>
  <c r="EB225" i="75"/>
  <c r="EA225" i="75"/>
  <c r="DZ225" i="75" s="1"/>
  <c r="DB225" i="75"/>
  <c r="DC225" i="75" s="1"/>
  <c r="DA225" i="75"/>
  <c r="CZ225" i="75"/>
  <c r="CY225" i="75"/>
  <c r="CX225" i="75"/>
  <c r="CW225" i="75"/>
  <c r="CV225" i="75"/>
  <c r="CU225" i="75"/>
  <c r="CT225" i="75"/>
  <c r="CS225" i="75" s="1"/>
  <c r="CQ225" i="75"/>
  <c r="CR225" i="75" s="1"/>
  <c r="CP225" i="75"/>
  <c r="CO225" i="75"/>
  <c r="CN225" i="75"/>
  <c r="CM225" i="75"/>
  <c r="CL225" i="75"/>
  <c r="CK225" i="75"/>
  <c r="CJ225" i="75"/>
  <c r="CI225" i="75"/>
  <c r="CH225" i="75" s="1"/>
  <c r="CF225" i="75"/>
  <c r="CG225" i="75" s="1"/>
  <c r="CE225" i="75"/>
  <c r="CD225" i="75"/>
  <c r="CC225" i="75"/>
  <c r="CB225" i="75"/>
  <c r="CA225" i="75"/>
  <c r="BZ225" i="75"/>
  <c r="BY225" i="75"/>
  <c r="BX225" i="75"/>
  <c r="BW225" i="75" s="1"/>
  <c r="BU225" i="75"/>
  <c r="BV225" i="75" s="1"/>
  <c r="BT225" i="75"/>
  <c r="BS225" i="75"/>
  <c r="BR225" i="75"/>
  <c r="BQ225" i="75"/>
  <c r="BP225" i="75"/>
  <c r="BO225" i="75"/>
  <c r="BN225" i="75"/>
  <c r="BM225" i="75"/>
  <c r="BL225" i="75" s="1"/>
  <c r="BJ225" i="75"/>
  <c r="BK225" i="75" s="1"/>
  <c r="GM225" i="75" s="1"/>
  <c r="BI225" i="75"/>
  <c r="GK225" i="75" s="1"/>
  <c r="BH225" i="75"/>
  <c r="GJ225" i="75" s="1"/>
  <c r="BG225" i="75"/>
  <c r="GI225" i="75" s="1"/>
  <c r="BF225" i="75"/>
  <c r="GH225" i="75" s="1"/>
  <c r="BE225" i="75"/>
  <c r="GG225" i="75" s="1"/>
  <c r="BD225" i="75"/>
  <c r="GF225" i="75" s="1"/>
  <c r="BC225" i="75"/>
  <c r="GE225" i="75" s="1"/>
  <c r="BB225" i="75"/>
  <c r="GD225" i="75" s="1"/>
  <c r="AY225" i="75"/>
  <c r="GA225" i="75" s="1"/>
  <c r="AX225" i="75"/>
  <c r="FZ225" i="75" s="1"/>
  <c r="AW225" i="75"/>
  <c r="FY225" i="75" s="1"/>
  <c r="AV225" i="75"/>
  <c r="FX225" i="75" s="1"/>
  <c r="AU225" i="75"/>
  <c r="FW225" i="75" s="1"/>
  <c r="AT225" i="75"/>
  <c r="FV225" i="75" s="1"/>
  <c r="AS225" i="75"/>
  <c r="FU225" i="75" s="1"/>
  <c r="AR225" i="75"/>
  <c r="FT225" i="75" s="1"/>
  <c r="AQ225" i="75"/>
  <c r="AP225" i="75" s="1"/>
  <c r="FR225" i="75" s="1"/>
  <c r="AN225" i="75"/>
  <c r="AO225" i="75" s="1"/>
  <c r="FQ225" i="75" s="1"/>
  <c r="AM225" i="75"/>
  <c r="FO225" i="75" s="1"/>
  <c r="AL225" i="75"/>
  <c r="FN225" i="75" s="1"/>
  <c r="AK225" i="75"/>
  <c r="FM225" i="75" s="1"/>
  <c r="AJ225" i="75"/>
  <c r="FL225" i="75" s="1"/>
  <c r="AI225" i="75"/>
  <c r="FK225" i="75" s="1"/>
  <c r="AH225" i="75"/>
  <c r="FJ225" i="75" s="1"/>
  <c r="AG225" i="75"/>
  <c r="FI225" i="75" s="1"/>
  <c r="AF225" i="75"/>
  <c r="AC225" i="75"/>
  <c r="FE225" i="75" s="1"/>
  <c r="AB225" i="75"/>
  <c r="FD225" i="75" s="1"/>
  <c r="AA225" i="75"/>
  <c r="FC225" i="75" s="1"/>
  <c r="Z225" i="75"/>
  <c r="FB225" i="75" s="1"/>
  <c r="Y225" i="75"/>
  <c r="FA225" i="75" s="1"/>
  <c r="X225" i="75"/>
  <c r="EZ225" i="75" s="1"/>
  <c r="W225" i="75"/>
  <c r="EY225" i="75" s="1"/>
  <c r="V225" i="75"/>
  <c r="EX225" i="75" s="1"/>
  <c r="U225" i="75"/>
  <c r="EW225" i="75" s="1"/>
  <c r="EV225" i="75" s="1"/>
  <c r="S225" i="75"/>
  <c r="T225" i="75" s="1"/>
  <c r="EU225" i="75" s="1"/>
  <c r="R225" i="75"/>
  <c r="ES225" i="75" s="1"/>
  <c r="Q225" i="75"/>
  <c r="ER225" i="75" s="1"/>
  <c r="P225" i="75"/>
  <c r="EQ225" i="75" s="1"/>
  <c r="O225" i="75"/>
  <c r="EP225" i="75" s="1"/>
  <c r="N225" i="75"/>
  <c r="EO225" i="75" s="1"/>
  <c r="M225" i="75"/>
  <c r="EN225" i="75" s="1"/>
  <c r="L225" i="75"/>
  <c r="EM225" i="75" s="1"/>
  <c r="K225" i="75"/>
  <c r="EL225" i="75" s="1"/>
  <c r="EK225" i="75" s="1"/>
  <c r="J225" i="75"/>
  <c r="D225" i="75"/>
  <c r="B225" i="75"/>
  <c r="EN224" i="75"/>
  <c r="EI224" i="75"/>
  <c r="EJ224" i="75" s="1"/>
  <c r="EH224" i="75"/>
  <c r="EG224" i="75"/>
  <c r="EF224" i="75"/>
  <c r="EE224" i="75"/>
  <c r="ED224" i="75"/>
  <c r="EC224" i="75"/>
  <c r="EB224" i="75"/>
  <c r="EA224" i="75"/>
  <c r="DZ224" i="75" s="1"/>
  <c r="DB224" i="75"/>
  <c r="DC224" i="75" s="1"/>
  <c r="DA224" i="75"/>
  <c r="CZ224" i="75"/>
  <c r="CY224" i="75"/>
  <c r="CX224" i="75"/>
  <c r="CW224" i="75"/>
  <c r="CV224" i="75"/>
  <c r="CU224" i="75"/>
  <c r="CT224" i="75"/>
  <c r="CS224" i="75" s="1"/>
  <c r="CQ224" i="75"/>
  <c r="CR224" i="75" s="1"/>
  <c r="CP224" i="75"/>
  <c r="CO224" i="75"/>
  <c r="CN224" i="75"/>
  <c r="CM224" i="75"/>
  <c r="CL224" i="75"/>
  <c r="CK224" i="75"/>
  <c r="CJ224" i="75"/>
  <c r="CI224" i="75"/>
  <c r="CH224" i="75" s="1"/>
  <c r="CG224" i="75"/>
  <c r="CF224" i="75"/>
  <c r="CE224" i="75"/>
  <c r="CD224" i="75"/>
  <c r="CC224" i="75"/>
  <c r="CB224" i="75"/>
  <c r="CA224" i="75"/>
  <c r="BZ224" i="75"/>
  <c r="BY224" i="75"/>
  <c r="BX224" i="75"/>
  <c r="BW224" i="75" s="1"/>
  <c r="BU224" i="75"/>
  <c r="BV224" i="75" s="1"/>
  <c r="BT224" i="75"/>
  <c r="BS224" i="75"/>
  <c r="BR224" i="75"/>
  <c r="BQ224" i="75"/>
  <c r="BP224" i="75"/>
  <c r="BO224" i="75"/>
  <c r="BN224" i="75"/>
  <c r="BM224" i="75"/>
  <c r="BL224" i="75" s="1"/>
  <c r="BJ224" i="75"/>
  <c r="GL224" i="75" s="1"/>
  <c r="BI224" i="75"/>
  <c r="GK224" i="75" s="1"/>
  <c r="BH224" i="75"/>
  <c r="GJ224" i="75" s="1"/>
  <c r="BG224" i="75"/>
  <c r="GI224" i="75" s="1"/>
  <c r="BF224" i="75"/>
  <c r="GH224" i="75" s="1"/>
  <c r="BE224" i="75"/>
  <c r="GG224" i="75" s="1"/>
  <c r="BD224" i="75"/>
  <c r="GF224" i="75" s="1"/>
  <c r="BC224" i="75"/>
  <c r="GE224" i="75" s="1"/>
  <c r="BB224" i="75"/>
  <c r="BA224" i="75" s="1"/>
  <c r="GC224" i="75" s="1"/>
  <c r="AY224" i="75"/>
  <c r="AZ224" i="75" s="1"/>
  <c r="GB224" i="75" s="1"/>
  <c r="AX224" i="75"/>
  <c r="FZ224" i="75" s="1"/>
  <c r="AW224" i="75"/>
  <c r="FY224" i="75" s="1"/>
  <c r="AV224" i="75"/>
  <c r="FX224" i="75" s="1"/>
  <c r="AU224" i="75"/>
  <c r="FW224" i="75" s="1"/>
  <c r="AT224" i="75"/>
  <c r="FV224" i="75" s="1"/>
  <c r="AS224" i="75"/>
  <c r="FU224" i="75" s="1"/>
  <c r="AR224" i="75"/>
  <c r="FT224" i="75" s="1"/>
  <c r="AQ224" i="75"/>
  <c r="FS224" i="75" s="1"/>
  <c r="AN224" i="75"/>
  <c r="FP224" i="75" s="1"/>
  <c r="AM224" i="75"/>
  <c r="FO224" i="75" s="1"/>
  <c r="AL224" i="75"/>
  <c r="FN224" i="75" s="1"/>
  <c r="AK224" i="75"/>
  <c r="FM224" i="75" s="1"/>
  <c r="AJ224" i="75"/>
  <c r="FL224" i="75" s="1"/>
  <c r="AI224" i="75"/>
  <c r="FK224" i="75" s="1"/>
  <c r="AH224" i="75"/>
  <c r="FJ224" i="75" s="1"/>
  <c r="AG224" i="75"/>
  <c r="FI224" i="75" s="1"/>
  <c r="AF224" i="75"/>
  <c r="FH224" i="75" s="1"/>
  <c r="AC224" i="75"/>
  <c r="AD224" i="75" s="1"/>
  <c r="FF224" i="75" s="1"/>
  <c r="AB224" i="75"/>
  <c r="FD224" i="75" s="1"/>
  <c r="AA224" i="75"/>
  <c r="FC224" i="75" s="1"/>
  <c r="Z224" i="75"/>
  <c r="FB224" i="75" s="1"/>
  <c r="Y224" i="75"/>
  <c r="FA224" i="75" s="1"/>
  <c r="X224" i="75"/>
  <c r="EZ224" i="75" s="1"/>
  <c r="W224" i="75"/>
  <c r="EY224" i="75" s="1"/>
  <c r="V224" i="75"/>
  <c r="EX224" i="75" s="1"/>
  <c r="U224" i="75"/>
  <c r="EW224" i="75" s="1"/>
  <c r="EV224" i="75" s="1"/>
  <c r="S224" i="75"/>
  <c r="ET224" i="75" s="1"/>
  <c r="R224" i="75"/>
  <c r="ES224" i="75" s="1"/>
  <c r="Q224" i="75"/>
  <c r="ER224" i="75" s="1"/>
  <c r="P224" i="75"/>
  <c r="EQ224" i="75" s="1"/>
  <c r="O224" i="75"/>
  <c r="EP224" i="75" s="1"/>
  <c r="N224" i="75"/>
  <c r="EO224" i="75" s="1"/>
  <c r="M224" i="75"/>
  <c r="L224" i="75"/>
  <c r="EM224" i="75" s="1"/>
  <c r="K224" i="75"/>
  <c r="EL224" i="75" s="1"/>
  <c r="EK224" i="75" s="1"/>
  <c r="J224" i="75"/>
  <c r="D224" i="75"/>
  <c r="B224" i="75"/>
  <c r="GF223" i="75"/>
  <c r="EI223" i="75"/>
  <c r="EJ223" i="75" s="1"/>
  <c r="EH223" i="75"/>
  <c r="EG223" i="75"/>
  <c r="EF223" i="75"/>
  <c r="EE223" i="75"/>
  <c r="ED223" i="75"/>
  <c r="EC223" i="75"/>
  <c r="EB223" i="75"/>
  <c r="EA223" i="75"/>
  <c r="DZ223" i="75" s="1"/>
  <c r="DB223" i="75"/>
  <c r="DC223" i="75" s="1"/>
  <c r="DA223" i="75"/>
  <c r="CZ223" i="75"/>
  <c r="CY223" i="75"/>
  <c r="CX223" i="75"/>
  <c r="CW223" i="75"/>
  <c r="CV223" i="75"/>
  <c r="CU223" i="75"/>
  <c r="CT223" i="75"/>
  <c r="CS223" i="75" s="1"/>
  <c r="CQ223" i="75"/>
  <c r="CR223" i="75" s="1"/>
  <c r="CP223" i="75"/>
  <c r="CO223" i="75"/>
  <c r="CN223" i="75"/>
  <c r="CM223" i="75"/>
  <c r="CL223" i="75"/>
  <c r="CK223" i="75"/>
  <c r="CJ223" i="75"/>
  <c r="CI223" i="75"/>
  <c r="CH223" i="75" s="1"/>
  <c r="CF223" i="75"/>
  <c r="CG223" i="75" s="1"/>
  <c r="CE223" i="75"/>
  <c r="CD223" i="75"/>
  <c r="CC223" i="75"/>
  <c r="CB223" i="75"/>
  <c r="CA223" i="75"/>
  <c r="BZ223" i="75"/>
  <c r="BY223" i="75"/>
  <c r="BX223" i="75"/>
  <c r="BW223" i="75" s="1"/>
  <c r="BU223" i="75"/>
  <c r="BV223" i="75" s="1"/>
  <c r="BT223" i="75"/>
  <c r="BS223" i="75"/>
  <c r="BR223" i="75"/>
  <c r="BQ223" i="75"/>
  <c r="BP223" i="75"/>
  <c r="BO223" i="75"/>
  <c r="BN223" i="75"/>
  <c r="BM223" i="75"/>
  <c r="BL223" i="75" s="1"/>
  <c r="BJ223" i="75"/>
  <c r="BI223" i="75"/>
  <c r="GK223" i="75" s="1"/>
  <c r="BH223" i="75"/>
  <c r="GJ223" i="75" s="1"/>
  <c r="BG223" i="75"/>
  <c r="GI223" i="75" s="1"/>
  <c r="BF223" i="75"/>
  <c r="GH223" i="75" s="1"/>
  <c r="BE223" i="75"/>
  <c r="GG223" i="75" s="1"/>
  <c r="BD223" i="75"/>
  <c r="BC223" i="75"/>
  <c r="GE223" i="75" s="1"/>
  <c r="BB223" i="75"/>
  <c r="AY223" i="75"/>
  <c r="GA223" i="75" s="1"/>
  <c r="AX223" i="75"/>
  <c r="FZ223" i="75" s="1"/>
  <c r="AW223" i="75"/>
  <c r="FY223" i="75" s="1"/>
  <c r="AV223" i="75"/>
  <c r="FX223" i="75" s="1"/>
  <c r="AU223" i="75"/>
  <c r="FW223" i="75" s="1"/>
  <c r="AT223" i="75"/>
  <c r="FV223" i="75" s="1"/>
  <c r="AS223" i="75"/>
  <c r="FU223" i="75" s="1"/>
  <c r="AR223" i="75"/>
  <c r="FT223" i="75" s="1"/>
  <c r="AQ223" i="75"/>
  <c r="AP223" i="75" s="1"/>
  <c r="FR223" i="75" s="1"/>
  <c r="AN223" i="75"/>
  <c r="FP223" i="75" s="1"/>
  <c r="AM223" i="75"/>
  <c r="FO223" i="75" s="1"/>
  <c r="AL223" i="75"/>
  <c r="FN223" i="75" s="1"/>
  <c r="AK223" i="75"/>
  <c r="FM223" i="75" s="1"/>
  <c r="AJ223" i="75"/>
  <c r="FL223" i="75" s="1"/>
  <c r="AI223" i="75"/>
  <c r="FK223" i="75" s="1"/>
  <c r="AH223" i="75"/>
  <c r="FJ223" i="75" s="1"/>
  <c r="AG223" i="75"/>
  <c r="FI223" i="75" s="1"/>
  <c r="AF223" i="75"/>
  <c r="AE223" i="75" s="1"/>
  <c r="FG223" i="75" s="1"/>
  <c r="AC223" i="75"/>
  <c r="FE223" i="75" s="1"/>
  <c r="AB223" i="75"/>
  <c r="FD223" i="75" s="1"/>
  <c r="AA223" i="75"/>
  <c r="FC223" i="75" s="1"/>
  <c r="Z223" i="75"/>
  <c r="FB223" i="75" s="1"/>
  <c r="Y223" i="75"/>
  <c r="FA223" i="75" s="1"/>
  <c r="X223" i="75"/>
  <c r="EZ223" i="75" s="1"/>
  <c r="W223" i="75"/>
  <c r="EY223" i="75" s="1"/>
  <c r="V223" i="75"/>
  <c r="EX223" i="75" s="1"/>
  <c r="U223" i="75"/>
  <c r="EW223" i="75" s="1"/>
  <c r="EV223" i="75" s="1"/>
  <c r="S223" i="75"/>
  <c r="T223" i="75" s="1"/>
  <c r="EU223" i="75" s="1"/>
  <c r="R223" i="75"/>
  <c r="ES223" i="75" s="1"/>
  <c r="Q223" i="75"/>
  <c r="ER223" i="75" s="1"/>
  <c r="P223" i="75"/>
  <c r="EQ223" i="75" s="1"/>
  <c r="O223" i="75"/>
  <c r="EP223" i="75" s="1"/>
  <c r="N223" i="75"/>
  <c r="EO223" i="75" s="1"/>
  <c r="M223" i="75"/>
  <c r="EN223" i="75" s="1"/>
  <c r="L223" i="75"/>
  <c r="EM223" i="75" s="1"/>
  <c r="K223" i="75"/>
  <c r="EL223" i="75" s="1"/>
  <c r="EK223" i="75" s="1"/>
  <c r="J223" i="75"/>
  <c r="D223" i="75"/>
  <c r="B223" i="75"/>
  <c r="EI222" i="75"/>
  <c r="EJ222" i="75" s="1"/>
  <c r="EH222" i="75"/>
  <c r="EG222" i="75"/>
  <c r="EF222" i="75"/>
  <c r="EE222" i="75"/>
  <c r="ED222" i="75"/>
  <c r="EC222" i="75"/>
  <c r="EB222" i="75"/>
  <c r="EA222" i="75"/>
  <c r="DZ222" i="75" s="1"/>
  <c r="DB222" i="75"/>
  <c r="DC222" i="75" s="1"/>
  <c r="DA222" i="75"/>
  <c r="CZ222" i="75"/>
  <c r="CY222" i="75"/>
  <c r="CX222" i="75"/>
  <c r="CW222" i="75"/>
  <c r="CV222" i="75"/>
  <c r="CU222" i="75"/>
  <c r="CT222" i="75"/>
  <c r="CS222" i="75" s="1"/>
  <c r="CQ222" i="75"/>
  <c r="CR222" i="75" s="1"/>
  <c r="CP222" i="75"/>
  <c r="CO222" i="75"/>
  <c r="CN222" i="75"/>
  <c r="CM222" i="75"/>
  <c r="CL222" i="75"/>
  <c r="CK222" i="75"/>
  <c r="CJ222" i="75"/>
  <c r="CI222" i="75"/>
  <c r="CH222" i="75" s="1"/>
  <c r="CF222" i="75"/>
  <c r="CG222" i="75" s="1"/>
  <c r="CE222" i="75"/>
  <c r="CD222" i="75"/>
  <c r="CC222" i="75"/>
  <c r="CB222" i="75"/>
  <c r="CA222" i="75"/>
  <c r="BZ222" i="75"/>
  <c r="BY222" i="75"/>
  <c r="BX222" i="75"/>
  <c r="BW222" i="75" s="1"/>
  <c r="BU222" i="75"/>
  <c r="BV222" i="75" s="1"/>
  <c r="BT222" i="75"/>
  <c r="BS222" i="75"/>
  <c r="BR222" i="75"/>
  <c r="BQ222" i="75"/>
  <c r="BP222" i="75"/>
  <c r="BO222" i="75"/>
  <c r="BN222" i="75"/>
  <c r="BM222" i="75"/>
  <c r="BL222" i="75" s="1"/>
  <c r="BJ222" i="75"/>
  <c r="BK222" i="75" s="1"/>
  <c r="GM222" i="75" s="1"/>
  <c r="BI222" i="75"/>
  <c r="GK222" i="75" s="1"/>
  <c r="BH222" i="75"/>
  <c r="GJ222" i="75" s="1"/>
  <c r="BG222" i="75"/>
  <c r="GI222" i="75" s="1"/>
  <c r="BF222" i="75"/>
  <c r="GH222" i="75" s="1"/>
  <c r="BE222" i="75"/>
  <c r="GG222" i="75" s="1"/>
  <c r="BD222" i="75"/>
  <c r="GF222" i="75" s="1"/>
  <c r="BC222" i="75"/>
  <c r="GE222" i="75" s="1"/>
  <c r="BB222" i="75"/>
  <c r="GD222" i="75" s="1"/>
  <c r="BA222" i="75"/>
  <c r="GC222" i="75" s="1"/>
  <c r="AY222" i="75"/>
  <c r="GA222" i="75" s="1"/>
  <c r="AX222" i="75"/>
  <c r="FZ222" i="75" s="1"/>
  <c r="AW222" i="75"/>
  <c r="FY222" i="75" s="1"/>
  <c r="AV222" i="75"/>
  <c r="FX222" i="75" s="1"/>
  <c r="AU222" i="75"/>
  <c r="FW222" i="75" s="1"/>
  <c r="AT222" i="75"/>
  <c r="FV222" i="75" s="1"/>
  <c r="AS222" i="75"/>
  <c r="FU222" i="75" s="1"/>
  <c r="AR222" i="75"/>
  <c r="FT222" i="75" s="1"/>
  <c r="AQ222" i="75"/>
  <c r="FS222" i="75" s="1"/>
  <c r="AN222" i="75"/>
  <c r="AO222" i="75" s="1"/>
  <c r="FQ222" i="75" s="1"/>
  <c r="AM222" i="75"/>
  <c r="FO222" i="75" s="1"/>
  <c r="AL222" i="75"/>
  <c r="FN222" i="75" s="1"/>
  <c r="AK222" i="75"/>
  <c r="FM222" i="75" s="1"/>
  <c r="AJ222" i="75"/>
  <c r="FL222" i="75" s="1"/>
  <c r="AI222" i="75"/>
  <c r="FK222" i="75" s="1"/>
  <c r="AH222" i="75"/>
  <c r="FJ222" i="75" s="1"/>
  <c r="AG222" i="75"/>
  <c r="FI222" i="75" s="1"/>
  <c r="AF222" i="75"/>
  <c r="FH222" i="75" s="1"/>
  <c r="AC222" i="75"/>
  <c r="FE222" i="75" s="1"/>
  <c r="AB222" i="75"/>
  <c r="FD222" i="75" s="1"/>
  <c r="AA222" i="75"/>
  <c r="FC222" i="75" s="1"/>
  <c r="Z222" i="75"/>
  <c r="FB222" i="75" s="1"/>
  <c r="Y222" i="75"/>
  <c r="FA222" i="75" s="1"/>
  <c r="X222" i="75"/>
  <c r="EZ222" i="75" s="1"/>
  <c r="W222" i="75"/>
  <c r="EY222" i="75" s="1"/>
  <c r="V222" i="75"/>
  <c r="EX222" i="75" s="1"/>
  <c r="U222" i="75"/>
  <c r="EW222" i="75" s="1"/>
  <c r="EV222" i="75" s="1"/>
  <c r="S222" i="75"/>
  <c r="T222" i="75" s="1"/>
  <c r="EU222" i="75" s="1"/>
  <c r="R222" i="75"/>
  <c r="ES222" i="75" s="1"/>
  <c r="Q222" i="75"/>
  <c r="ER222" i="75" s="1"/>
  <c r="P222" i="75"/>
  <c r="EQ222" i="75" s="1"/>
  <c r="O222" i="75"/>
  <c r="EP222" i="75" s="1"/>
  <c r="N222" i="75"/>
  <c r="EO222" i="75" s="1"/>
  <c r="M222" i="75"/>
  <c r="EN222" i="75" s="1"/>
  <c r="L222" i="75"/>
  <c r="EM222" i="75" s="1"/>
  <c r="K222" i="75"/>
  <c r="EL222" i="75" s="1"/>
  <c r="EK222" i="75" s="1"/>
  <c r="J222" i="75"/>
  <c r="D222" i="75"/>
  <c r="B222" i="75"/>
  <c r="FM221" i="75"/>
  <c r="FL221" i="75"/>
  <c r="FK221" i="75"/>
  <c r="EO221" i="75"/>
  <c r="EI221" i="75"/>
  <c r="EJ221" i="75" s="1"/>
  <c r="EH221" i="75"/>
  <c r="EG221" i="75"/>
  <c r="EF221" i="75"/>
  <c r="EE221" i="75"/>
  <c r="ED221" i="75"/>
  <c r="EC221" i="75"/>
  <c r="EB221" i="75"/>
  <c r="EA221" i="75"/>
  <c r="DZ221" i="75" s="1"/>
  <c r="DB221" i="75"/>
  <c r="DC221" i="75" s="1"/>
  <c r="DA221" i="75"/>
  <c r="CZ221" i="75"/>
  <c r="CY221" i="75"/>
  <c r="CX221" i="75"/>
  <c r="CW221" i="75"/>
  <c r="CV221" i="75"/>
  <c r="CU221" i="75"/>
  <c r="CT221" i="75"/>
  <c r="CS221" i="75" s="1"/>
  <c r="CQ221" i="75"/>
  <c r="CR221" i="75" s="1"/>
  <c r="CP221" i="75"/>
  <c r="CO221" i="75"/>
  <c r="CN221" i="75"/>
  <c r="CM221" i="75"/>
  <c r="CL221" i="75"/>
  <c r="CK221" i="75"/>
  <c r="CJ221" i="75"/>
  <c r="CI221" i="75"/>
  <c r="CH221" i="75" s="1"/>
  <c r="CF221" i="75"/>
  <c r="CG221" i="75" s="1"/>
  <c r="CE221" i="75"/>
  <c r="CD221" i="75"/>
  <c r="CC221" i="75"/>
  <c r="CB221" i="75"/>
  <c r="CA221" i="75"/>
  <c r="BZ221" i="75"/>
  <c r="BY221" i="75"/>
  <c r="BX221" i="75"/>
  <c r="BW221" i="75" s="1"/>
  <c r="BU221" i="75"/>
  <c r="BV221" i="75" s="1"/>
  <c r="BT221" i="75"/>
  <c r="BS221" i="75"/>
  <c r="BR221" i="75"/>
  <c r="BQ221" i="75"/>
  <c r="BP221" i="75"/>
  <c r="BO221" i="75"/>
  <c r="BN221" i="75"/>
  <c r="BM221" i="75"/>
  <c r="BL221" i="75"/>
  <c r="BJ221" i="75"/>
  <c r="GL221" i="75" s="1"/>
  <c r="BI221" i="75"/>
  <c r="GK221" i="75" s="1"/>
  <c r="BH221" i="75"/>
  <c r="GJ221" i="75" s="1"/>
  <c r="BG221" i="75"/>
  <c r="GI221" i="75" s="1"/>
  <c r="BF221" i="75"/>
  <c r="GH221" i="75" s="1"/>
  <c r="BE221" i="75"/>
  <c r="GG221" i="75" s="1"/>
  <c r="BD221" i="75"/>
  <c r="GF221" i="75" s="1"/>
  <c r="BC221" i="75"/>
  <c r="GE221" i="75" s="1"/>
  <c r="BB221" i="75"/>
  <c r="GD221" i="75" s="1"/>
  <c r="AY221" i="75"/>
  <c r="GA221" i="75" s="1"/>
  <c r="AX221" i="75"/>
  <c r="FZ221" i="75" s="1"/>
  <c r="AW221" i="75"/>
  <c r="FY221" i="75" s="1"/>
  <c r="AV221" i="75"/>
  <c r="FX221" i="75" s="1"/>
  <c r="AU221" i="75"/>
  <c r="FW221" i="75" s="1"/>
  <c r="AT221" i="75"/>
  <c r="FV221" i="75" s="1"/>
  <c r="AS221" i="75"/>
  <c r="FU221" i="75" s="1"/>
  <c r="AR221" i="75"/>
  <c r="FT221" i="75" s="1"/>
  <c r="AQ221" i="75"/>
  <c r="FS221" i="75" s="1"/>
  <c r="AN221" i="75"/>
  <c r="FP221" i="75" s="1"/>
  <c r="AM221" i="75"/>
  <c r="FO221" i="75" s="1"/>
  <c r="AL221" i="75"/>
  <c r="FN221" i="75" s="1"/>
  <c r="AK221" i="75"/>
  <c r="AJ221" i="75"/>
  <c r="AI221" i="75"/>
  <c r="AH221" i="75"/>
  <c r="FJ221" i="75" s="1"/>
  <c r="AG221" i="75"/>
  <c r="FI221" i="75" s="1"/>
  <c r="AF221" i="75"/>
  <c r="AE221" i="75" s="1"/>
  <c r="FG221" i="75" s="1"/>
  <c r="AC221" i="75"/>
  <c r="AD221" i="75" s="1"/>
  <c r="FF221" i="75" s="1"/>
  <c r="AB221" i="75"/>
  <c r="FD221" i="75" s="1"/>
  <c r="AA221" i="75"/>
  <c r="FC221" i="75" s="1"/>
  <c r="Z221" i="75"/>
  <c r="FB221" i="75" s="1"/>
  <c r="Y221" i="75"/>
  <c r="FA221" i="75" s="1"/>
  <c r="X221" i="75"/>
  <c r="EZ221" i="75" s="1"/>
  <c r="W221" i="75"/>
  <c r="EY221" i="75" s="1"/>
  <c r="V221" i="75"/>
  <c r="EX221" i="75" s="1"/>
  <c r="U221" i="75"/>
  <c r="EW221" i="75" s="1"/>
  <c r="EV221" i="75" s="1"/>
  <c r="S221" i="75"/>
  <c r="ET221" i="75" s="1"/>
  <c r="R221" i="75"/>
  <c r="ES221" i="75" s="1"/>
  <c r="Q221" i="75"/>
  <c r="ER221" i="75" s="1"/>
  <c r="P221" i="75"/>
  <c r="EQ221" i="75" s="1"/>
  <c r="O221" i="75"/>
  <c r="EP221" i="75" s="1"/>
  <c r="N221" i="75"/>
  <c r="M221" i="75"/>
  <c r="EN221" i="75" s="1"/>
  <c r="L221" i="75"/>
  <c r="EM221" i="75" s="1"/>
  <c r="K221" i="75"/>
  <c r="EL221" i="75" s="1"/>
  <c r="EK221" i="75" s="1"/>
  <c r="J221" i="75"/>
  <c r="D221" i="75"/>
  <c r="B221" i="75"/>
  <c r="EI220" i="75"/>
  <c r="EJ220" i="75" s="1"/>
  <c r="EH220" i="75"/>
  <c r="EG220" i="75"/>
  <c r="EF220" i="75"/>
  <c r="EE220" i="75"/>
  <c r="ED220" i="75"/>
  <c r="EC220" i="75"/>
  <c r="EB220" i="75"/>
  <c r="EA220" i="75"/>
  <c r="DZ220" i="75" s="1"/>
  <c r="DB220" i="75"/>
  <c r="DC220" i="75" s="1"/>
  <c r="DA220" i="75"/>
  <c r="CZ220" i="75"/>
  <c r="CY220" i="75"/>
  <c r="CX220" i="75"/>
  <c r="CW220" i="75"/>
  <c r="CV220" i="75"/>
  <c r="CU220" i="75"/>
  <c r="CT220" i="75"/>
  <c r="CS220" i="75" s="1"/>
  <c r="CQ220" i="75"/>
  <c r="CR220" i="75" s="1"/>
  <c r="CP220" i="75"/>
  <c r="CO220" i="75"/>
  <c r="CN220" i="75"/>
  <c r="CM220" i="75"/>
  <c r="CL220" i="75"/>
  <c r="CK220" i="75"/>
  <c r="CJ220" i="75"/>
  <c r="CI220" i="75"/>
  <c r="CH220" i="75" s="1"/>
  <c r="CF220" i="75"/>
  <c r="CG220" i="75" s="1"/>
  <c r="CE220" i="75"/>
  <c r="CD220" i="75"/>
  <c r="CC220" i="75"/>
  <c r="CB220" i="75"/>
  <c r="CA220" i="75"/>
  <c r="BZ220" i="75"/>
  <c r="BY220" i="75"/>
  <c r="BX220" i="75"/>
  <c r="BW220" i="75" s="1"/>
  <c r="BU220" i="75"/>
  <c r="BV220" i="75" s="1"/>
  <c r="BT220" i="75"/>
  <c r="BS220" i="75"/>
  <c r="BR220" i="75"/>
  <c r="BQ220" i="75"/>
  <c r="BP220" i="75"/>
  <c r="BO220" i="75"/>
  <c r="BN220" i="75"/>
  <c r="BM220" i="75"/>
  <c r="BL220" i="75" s="1"/>
  <c r="BJ220" i="75"/>
  <c r="BI220" i="75"/>
  <c r="GK220" i="75" s="1"/>
  <c r="BH220" i="75"/>
  <c r="GJ220" i="75" s="1"/>
  <c r="BG220" i="75"/>
  <c r="GI220" i="75" s="1"/>
  <c r="BF220" i="75"/>
  <c r="GH220" i="75" s="1"/>
  <c r="BE220" i="75"/>
  <c r="GG220" i="75" s="1"/>
  <c r="BD220" i="75"/>
  <c r="GF220" i="75" s="1"/>
  <c r="BC220" i="75"/>
  <c r="GE220" i="75" s="1"/>
  <c r="BB220" i="75"/>
  <c r="GD220" i="75" s="1"/>
  <c r="AY220" i="75"/>
  <c r="GA220" i="75" s="1"/>
  <c r="AX220" i="75"/>
  <c r="FZ220" i="75" s="1"/>
  <c r="AW220" i="75"/>
  <c r="FY220" i="75" s="1"/>
  <c r="AV220" i="75"/>
  <c r="FX220" i="75" s="1"/>
  <c r="AU220" i="75"/>
  <c r="FW220" i="75" s="1"/>
  <c r="AT220" i="75"/>
  <c r="FV220" i="75" s="1"/>
  <c r="AS220" i="75"/>
  <c r="FU220" i="75" s="1"/>
  <c r="AR220" i="75"/>
  <c r="FT220" i="75" s="1"/>
  <c r="AQ220" i="75"/>
  <c r="AN220" i="75"/>
  <c r="AM220" i="75"/>
  <c r="FO220" i="75" s="1"/>
  <c r="AL220" i="75"/>
  <c r="FN220" i="75" s="1"/>
  <c r="AK220" i="75"/>
  <c r="FM220" i="75" s="1"/>
  <c r="AJ220" i="75"/>
  <c r="FL220" i="75" s="1"/>
  <c r="AI220" i="75"/>
  <c r="FK220" i="75" s="1"/>
  <c r="AH220" i="75"/>
  <c r="FJ220" i="75" s="1"/>
  <c r="AG220" i="75"/>
  <c r="FI220" i="75" s="1"/>
  <c r="AF220" i="75"/>
  <c r="FH220" i="75" s="1"/>
  <c r="AC220" i="75"/>
  <c r="FE220" i="75" s="1"/>
  <c r="AB220" i="75"/>
  <c r="FD220" i="75" s="1"/>
  <c r="AA220" i="75"/>
  <c r="FC220" i="75" s="1"/>
  <c r="Z220" i="75"/>
  <c r="FB220" i="75" s="1"/>
  <c r="Y220" i="75"/>
  <c r="FA220" i="75" s="1"/>
  <c r="X220" i="75"/>
  <c r="EZ220" i="75" s="1"/>
  <c r="W220" i="75"/>
  <c r="EY220" i="75" s="1"/>
  <c r="V220" i="75"/>
  <c r="EX220" i="75" s="1"/>
  <c r="U220" i="75"/>
  <c r="EW220" i="75" s="1"/>
  <c r="EV220" i="75" s="1"/>
  <c r="S220" i="75"/>
  <c r="T220" i="75" s="1"/>
  <c r="EU220" i="75" s="1"/>
  <c r="R220" i="75"/>
  <c r="ES220" i="75" s="1"/>
  <c r="Q220" i="75"/>
  <c r="ER220" i="75" s="1"/>
  <c r="P220" i="75"/>
  <c r="EQ220" i="75" s="1"/>
  <c r="O220" i="75"/>
  <c r="EP220" i="75" s="1"/>
  <c r="N220" i="75"/>
  <c r="EO220" i="75" s="1"/>
  <c r="M220" i="75"/>
  <c r="EN220" i="75" s="1"/>
  <c r="L220" i="75"/>
  <c r="EM220" i="75" s="1"/>
  <c r="K220" i="75"/>
  <c r="EL220" i="75" s="1"/>
  <c r="EK220" i="75" s="1"/>
  <c r="J220" i="75"/>
  <c r="D220" i="75"/>
  <c r="B220" i="75"/>
  <c r="EI219" i="75"/>
  <c r="EJ219" i="75" s="1"/>
  <c r="EH219" i="75"/>
  <c r="EG219" i="75"/>
  <c r="EF219" i="75"/>
  <c r="EE219" i="75"/>
  <c r="ED219" i="75"/>
  <c r="EC219" i="75"/>
  <c r="EB219" i="75"/>
  <c r="EA219" i="75"/>
  <c r="DZ219" i="75" s="1"/>
  <c r="DB219" i="75"/>
  <c r="DC219" i="75" s="1"/>
  <c r="DA219" i="75"/>
  <c r="CZ219" i="75"/>
  <c r="CY219" i="75"/>
  <c r="CX219" i="75"/>
  <c r="CW219" i="75"/>
  <c r="CV219" i="75"/>
  <c r="CU219" i="75"/>
  <c r="CT219" i="75"/>
  <c r="CS219" i="75" s="1"/>
  <c r="CQ219" i="75"/>
  <c r="CR219" i="75" s="1"/>
  <c r="CP219" i="75"/>
  <c r="CO219" i="75"/>
  <c r="CN219" i="75"/>
  <c r="CM219" i="75"/>
  <c r="CL219" i="75"/>
  <c r="CK219" i="75"/>
  <c r="CJ219" i="75"/>
  <c r="CI219" i="75"/>
  <c r="CH219" i="75" s="1"/>
  <c r="CF219" i="75"/>
  <c r="CG219" i="75" s="1"/>
  <c r="CE219" i="75"/>
  <c r="CD219" i="75"/>
  <c r="CC219" i="75"/>
  <c r="CB219" i="75"/>
  <c r="CA219" i="75"/>
  <c r="BZ219" i="75"/>
  <c r="BY219" i="75"/>
  <c r="BX219" i="75"/>
  <c r="BW219" i="75" s="1"/>
  <c r="BU219" i="75"/>
  <c r="BV219" i="75" s="1"/>
  <c r="BT219" i="75"/>
  <c r="BS219" i="75"/>
  <c r="BR219" i="75"/>
  <c r="BQ219" i="75"/>
  <c r="BP219" i="75"/>
  <c r="BO219" i="75"/>
  <c r="BN219" i="75"/>
  <c r="BM219" i="75"/>
  <c r="BL219" i="75" s="1"/>
  <c r="BJ219" i="75"/>
  <c r="BI219" i="75"/>
  <c r="GK219" i="75" s="1"/>
  <c r="BH219" i="75"/>
  <c r="GJ219" i="75" s="1"/>
  <c r="BG219" i="75"/>
  <c r="GI219" i="75" s="1"/>
  <c r="BF219" i="75"/>
  <c r="GH219" i="75" s="1"/>
  <c r="BE219" i="75"/>
  <c r="GG219" i="75" s="1"/>
  <c r="BD219" i="75"/>
  <c r="GF219" i="75" s="1"/>
  <c r="BC219" i="75"/>
  <c r="GE219" i="75" s="1"/>
  <c r="BB219" i="75"/>
  <c r="AY219" i="75"/>
  <c r="AX219" i="75"/>
  <c r="FZ219" i="75" s="1"/>
  <c r="AW219" i="75"/>
  <c r="FY219" i="75" s="1"/>
  <c r="AV219" i="75"/>
  <c r="FX219" i="75" s="1"/>
  <c r="AU219" i="75"/>
  <c r="FW219" i="75" s="1"/>
  <c r="AT219" i="75"/>
  <c r="FV219" i="75" s="1"/>
  <c r="AS219" i="75"/>
  <c r="FU219" i="75" s="1"/>
  <c r="AR219" i="75"/>
  <c r="FT219" i="75" s="1"/>
  <c r="AQ219" i="75"/>
  <c r="AP219" i="75" s="1"/>
  <c r="FR219" i="75" s="1"/>
  <c r="AN219" i="75"/>
  <c r="AO219" i="75" s="1"/>
  <c r="FQ219" i="75" s="1"/>
  <c r="AM219" i="75"/>
  <c r="FO219" i="75" s="1"/>
  <c r="AL219" i="75"/>
  <c r="FN219" i="75" s="1"/>
  <c r="AK219" i="75"/>
  <c r="FM219" i="75" s="1"/>
  <c r="AJ219" i="75"/>
  <c r="FL219" i="75" s="1"/>
  <c r="AI219" i="75"/>
  <c r="FK219" i="75" s="1"/>
  <c r="AH219" i="75"/>
  <c r="FJ219" i="75" s="1"/>
  <c r="AG219" i="75"/>
  <c r="FI219" i="75" s="1"/>
  <c r="AF219" i="75"/>
  <c r="AC219" i="75"/>
  <c r="FE219" i="75" s="1"/>
  <c r="AB219" i="75"/>
  <c r="FD219" i="75" s="1"/>
  <c r="AA219" i="75"/>
  <c r="FC219" i="75" s="1"/>
  <c r="Z219" i="75"/>
  <c r="FB219" i="75" s="1"/>
  <c r="Y219" i="75"/>
  <c r="FA219" i="75" s="1"/>
  <c r="X219" i="75"/>
  <c r="EZ219" i="75" s="1"/>
  <c r="W219" i="75"/>
  <c r="EY219" i="75" s="1"/>
  <c r="V219" i="75"/>
  <c r="EX219" i="75" s="1"/>
  <c r="U219" i="75"/>
  <c r="EW219" i="75" s="1"/>
  <c r="EV219" i="75" s="1"/>
  <c r="S219" i="75"/>
  <c r="ET219" i="75" s="1"/>
  <c r="R219" i="75"/>
  <c r="ES219" i="75" s="1"/>
  <c r="Q219" i="75"/>
  <c r="ER219" i="75" s="1"/>
  <c r="P219" i="75"/>
  <c r="EQ219" i="75" s="1"/>
  <c r="O219" i="75"/>
  <c r="EP219" i="75" s="1"/>
  <c r="N219" i="75"/>
  <c r="EO219" i="75" s="1"/>
  <c r="M219" i="75"/>
  <c r="EN219" i="75" s="1"/>
  <c r="L219" i="75"/>
  <c r="EM219" i="75" s="1"/>
  <c r="K219" i="75"/>
  <c r="EL219" i="75" s="1"/>
  <c r="EK219" i="75" s="1"/>
  <c r="J219" i="75"/>
  <c r="D219" i="75"/>
  <c r="B219" i="75"/>
  <c r="EI218" i="75"/>
  <c r="EJ218" i="75" s="1"/>
  <c r="EH218" i="75"/>
  <c r="EG218" i="75"/>
  <c r="EF218" i="75"/>
  <c r="EE218" i="75"/>
  <c r="ED218" i="75"/>
  <c r="EC218" i="75"/>
  <c r="EB218" i="75"/>
  <c r="EA218" i="75"/>
  <c r="DZ218" i="75" s="1"/>
  <c r="DB218" i="75"/>
  <c r="DC218" i="75" s="1"/>
  <c r="DA218" i="75"/>
  <c r="CZ218" i="75"/>
  <c r="CY218" i="75"/>
  <c r="CX218" i="75"/>
  <c r="CW218" i="75"/>
  <c r="CV218" i="75"/>
  <c r="CU218" i="75"/>
  <c r="CT218" i="75"/>
  <c r="CS218" i="75" s="1"/>
  <c r="CQ218" i="75"/>
  <c r="CR218" i="75" s="1"/>
  <c r="CP218" i="75"/>
  <c r="CO218" i="75"/>
  <c r="CN218" i="75"/>
  <c r="CM218" i="75"/>
  <c r="CL218" i="75"/>
  <c r="CK218" i="75"/>
  <c r="CJ218" i="75"/>
  <c r="CI218" i="75"/>
  <c r="CH218" i="75" s="1"/>
  <c r="CF218" i="75"/>
  <c r="CG218" i="75" s="1"/>
  <c r="CE218" i="75"/>
  <c r="CD218" i="75"/>
  <c r="CC218" i="75"/>
  <c r="CB218" i="75"/>
  <c r="CA218" i="75"/>
  <c r="BZ218" i="75"/>
  <c r="BY218" i="75"/>
  <c r="BX218" i="75"/>
  <c r="BW218" i="75" s="1"/>
  <c r="BU218" i="75"/>
  <c r="BV218" i="75" s="1"/>
  <c r="BT218" i="75"/>
  <c r="BS218" i="75"/>
  <c r="BR218" i="75"/>
  <c r="BQ218" i="75"/>
  <c r="BP218" i="75"/>
  <c r="BO218" i="75"/>
  <c r="BN218" i="75"/>
  <c r="BM218" i="75"/>
  <c r="BL218" i="75" s="1"/>
  <c r="BJ218" i="75"/>
  <c r="GL218" i="75" s="1"/>
  <c r="BI218" i="75"/>
  <c r="GK218" i="75" s="1"/>
  <c r="BH218" i="75"/>
  <c r="GJ218" i="75" s="1"/>
  <c r="BG218" i="75"/>
  <c r="GI218" i="75" s="1"/>
  <c r="BF218" i="75"/>
  <c r="GH218" i="75" s="1"/>
  <c r="BE218" i="75"/>
  <c r="GG218" i="75" s="1"/>
  <c r="BD218" i="75"/>
  <c r="GF218" i="75" s="1"/>
  <c r="BC218" i="75"/>
  <c r="GE218" i="75" s="1"/>
  <c r="BB218" i="75"/>
  <c r="GD218" i="75" s="1"/>
  <c r="AY218" i="75"/>
  <c r="AZ218" i="75" s="1"/>
  <c r="GB218" i="75" s="1"/>
  <c r="AX218" i="75"/>
  <c r="FZ218" i="75" s="1"/>
  <c r="AW218" i="75"/>
  <c r="FY218" i="75" s="1"/>
  <c r="AV218" i="75"/>
  <c r="FX218" i="75" s="1"/>
  <c r="AU218" i="75"/>
  <c r="FW218" i="75" s="1"/>
  <c r="AT218" i="75"/>
  <c r="FV218" i="75" s="1"/>
  <c r="AS218" i="75"/>
  <c r="FU218" i="75" s="1"/>
  <c r="AR218" i="75"/>
  <c r="FT218" i="75" s="1"/>
  <c r="AQ218" i="75"/>
  <c r="FS218" i="75" s="1"/>
  <c r="AN218" i="75"/>
  <c r="FP218" i="75" s="1"/>
  <c r="AM218" i="75"/>
  <c r="FO218" i="75" s="1"/>
  <c r="AL218" i="75"/>
  <c r="FN218" i="75" s="1"/>
  <c r="AK218" i="75"/>
  <c r="FM218" i="75" s="1"/>
  <c r="AJ218" i="75"/>
  <c r="FL218" i="75" s="1"/>
  <c r="AI218" i="75"/>
  <c r="FK218" i="75" s="1"/>
  <c r="AH218" i="75"/>
  <c r="FJ218" i="75" s="1"/>
  <c r="AG218" i="75"/>
  <c r="FI218" i="75" s="1"/>
  <c r="AF218" i="75"/>
  <c r="AE218" i="75" s="1"/>
  <c r="FG218" i="75" s="1"/>
  <c r="AC218" i="75"/>
  <c r="FE218" i="75" s="1"/>
  <c r="AB218" i="75"/>
  <c r="FD218" i="75" s="1"/>
  <c r="AA218" i="75"/>
  <c r="FC218" i="75" s="1"/>
  <c r="Z218" i="75"/>
  <c r="FB218" i="75" s="1"/>
  <c r="Y218" i="75"/>
  <c r="FA218" i="75" s="1"/>
  <c r="X218" i="75"/>
  <c r="EZ218" i="75" s="1"/>
  <c r="W218" i="75"/>
  <c r="EY218" i="75" s="1"/>
  <c r="V218" i="75"/>
  <c r="EX218" i="75" s="1"/>
  <c r="U218" i="75"/>
  <c r="EW218" i="75" s="1"/>
  <c r="EV218" i="75" s="1"/>
  <c r="S218" i="75"/>
  <c r="ET218" i="75" s="1"/>
  <c r="R218" i="75"/>
  <c r="ES218" i="75" s="1"/>
  <c r="Q218" i="75"/>
  <c r="ER218" i="75" s="1"/>
  <c r="P218" i="75"/>
  <c r="EQ218" i="75" s="1"/>
  <c r="O218" i="75"/>
  <c r="EP218" i="75" s="1"/>
  <c r="N218" i="75"/>
  <c r="EO218" i="75" s="1"/>
  <c r="M218" i="75"/>
  <c r="EN218" i="75" s="1"/>
  <c r="L218" i="75"/>
  <c r="EM218" i="75" s="1"/>
  <c r="K218" i="75"/>
  <c r="EL218" i="75" s="1"/>
  <c r="EK218" i="75" s="1"/>
  <c r="J218" i="75"/>
  <c r="D218" i="75"/>
  <c r="B218" i="75"/>
  <c r="EI217" i="75"/>
  <c r="EJ217" i="75" s="1"/>
  <c r="EH217" i="75"/>
  <c r="EG217" i="75"/>
  <c r="EF217" i="75"/>
  <c r="EE217" i="75"/>
  <c r="ED217" i="75"/>
  <c r="EC217" i="75"/>
  <c r="EB217" i="75"/>
  <c r="EA217" i="75"/>
  <c r="DZ217" i="75" s="1"/>
  <c r="DB217" i="75"/>
  <c r="DC217" i="75" s="1"/>
  <c r="DA217" i="75"/>
  <c r="CZ217" i="75"/>
  <c r="CY217" i="75"/>
  <c r="CX217" i="75"/>
  <c r="CW217" i="75"/>
  <c r="CV217" i="75"/>
  <c r="CU217" i="75"/>
  <c r="CT217" i="75"/>
  <c r="CS217" i="75" s="1"/>
  <c r="CQ217" i="75"/>
  <c r="CR217" i="75" s="1"/>
  <c r="CP217" i="75"/>
  <c r="CO217" i="75"/>
  <c r="CN217" i="75"/>
  <c r="CM217" i="75"/>
  <c r="CL217" i="75"/>
  <c r="CK217" i="75"/>
  <c r="CJ217" i="75"/>
  <c r="CI217" i="75"/>
  <c r="CH217" i="75" s="1"/>
  <c r="CF217" i="75"/>
  <c r="CG217" i="75" s="1"/>
  <c r="CE217" i="75"/>
  <c r="CD217" i="75"/>
  <c r="CC217" i="75"/>
  <c r="CB217" i="75"/>
  <c r="CA217" i="75"/>
  <c r="BZ217" i="75"/>
  <c r="BY217" i="75"/>
  <c r="BX217" i="75"/>
  <c r="BW217" i="75" s="1"/>
  <c r="BU217" i="75"/>
  <c r="BV217" i="75" s="1"/>
  <c r="BT217" i="75"/>
  <c r="BS217" i="75"/>
  <c r="BR217" i="75"/>
  <c r="BQ217" i="75"/>
  <c r="BP217" i="75"/>
  <c r="BO217" i="75"/>
  <c r="BN217" i="75"/>
  <c r="BM217" i="75"/>
  <c r="BL217" i="75" s="1"/>
  <c r="BJ217" i="75"/>
  <c r="BK217" i="75" s="1"/>
  <c r="GM217" i="75" s="1"/>
  <c r="BI217" i="75"/>
  <c r="GK217" i="75" s="1"/>
  <c r="BH217" i="75"/>
  <c r="GJ217" i="75" s="1"/>
  <c r="BG217" i="75"/>
  <c r="GI217" i="75" s="1"/>
  <c r="BF217" i="75"/>
  <c r="GH217" i="75" s="1"/>
  <c r="BE217" i="75"/>
  <c r="GG217" i="75" s="1"/>
  <c r="BD217" i="75"/>
  <c r="GF217" i="75" s="1"/>
  <c r="BC217" i="75"/>
  <c r="GE217" i="75" s="1"/>
  <c r="BB217" i="75"/>
  <c r="BA217" i="75" s="1"/>
  <c r="GC217" i="75" s="1"/>
  <c r="AY217" i="75"/>
  <c r="GA217" i="75" s="1"/>
  <c r="AX217" i="75"/>
  <c r="FZ217" i="75" s="1"/>
  <c r="AW217" i="75"/>
  <c r="FY217" i="75" s="1"/>
  <c r="AV217" i="75"/>
  <c r="FX217" i="75" s="1"/>
  <c r="AU217" i="75"/>
  <c r="FW217" i="75" s="1"/>
  <c r="AT217" i="75"/>
  <c r="FV217" i="75" s="1"/>
  <c r="AS217" i="75"/>
  <c r="FU217" i="75" s="1"/>
  <c r="AR217" i="75"/>
  <c r="FT217" i="75" s="1"/>
  <c r="AQ217" i="75"/>
  <c r="AN217" i="75"/>
  <c r="AO217" i="75" s="1"/>
  <c r="FQ217" i="75" s="1"/>
  <c r="AM217" i="75"/>
  <c r="FO217" i="75" s="1"/>
  <c r="AL217" i="75"/>
  <c r="FN217" i="75" s="1"/>
  <c r="AK217" i="75"/>
  <c r="FM217" i="75" s="1"/>
  <c r="AJ217" i="75"/>
  <c r="FL217" i="75" s="1"/>
  <c r="AI217" i="75"/>
  <c r="FK217" i="75" s="1"/>
  <c r="AH217" i="75"/>
  <c r="FJ217" i="75" s="1"/>
  <c r="AG217" i="75"/>
  <c r="FI217" i="75" s="1"/>
  <c r="AF217" i="75"/>
  <c r="FH217" i="75" s="1"/>
  <c r="AC217" i="75"/>
  <c r="AB217" i="75"/>
  <c r="FD217" i="75" s="1"/>
  <c r="AA217" i="75"/>
  <c r="FC217" i="75" s="1"/>
  <c r="Z217" i="75"/>
  <c r="FB217" i="75" s="1"/>
  <c r="Y217" i="75"/>
  <c r="FA217" i="75" s="1"/>
  <c r="X217" i="75"/>
  <c r="EZ217" i="75" s="1"/>
  <c r="W217" i="75"/>
  <c r="EY217" i="75" s="1"/>
  <c r="V217" i="75"/>
  <c r="EX217" i="75" s="1"/>
  <c r="U217" i="75"/>
  <c r="EW217" i="75" s="1"/>
  <c r="EV217" i="75" s="1"/>
  <c r="S217" i="75"/>
  <c r="ET217" i="75" s="1"/>
  <c r="R217" i="75"/>
  <c r="ES217" i="75" s="1"/>
  <c r="Q217" i="75"/>
  <c r="ER217" i="75" s="1"/>
  <c r="P217" i="75"/>
  <c r="EQ217" i="75" s="1"/>
  <c r="O217" i="75"/>
  <c r="EP217" i="75" s="1"/>
  <c r="N217" i="75"/>
  <c r="EO217" i="75" s="1"/>
  <c r="M217" i="75"/>
  <c r="EN217" i="75" s="1"/>
  <c r="L217" i="75"/>
  <c r="EM217" i="75" s="1"/>
  <c r="K217" i="75"/>
  <c r="EL217" i="75" s="1"/>
  <c r="EK217" i="75" s="1"/>
  <c r="J217" i="75"/>
  <c r="D217" i="75"/>
  <c r="B217" i="75"/>
  <c r="EI216" i="75"/>
  <c r="EJ216" i="75" s="1"/>
  <c r="EH216" i="75"/>
  <c r="EG216" i="75"/>
  <c r="EF216" i="75"/>
  <c r="EE216" i="75"/>
  <c r="ED216" i="75"/>
  <c r="EC216" i="75"/>
  <c r="EB216" i="75"/>
  <c r="EA216" i="75"/>
  <c r="DZ216" i="75" s="1"/>
  <c r="DB216" i="75"/>
  <c r="DC216" i="75" s="1"/>
  <c r="DA216" i="75"/>
  <c r="CZ216" i="75"/>
  <c r="CY216" i="75"/>
  <c r="CX216" i="75"/>
  <c r="CW216" i="75"/>
  <c r="CV216" i="75"/>
  <c r="CU216" i="75"/>
  <c r="CT216" i="75"/>
  <c r="CS216" i="75" s="1"/>
  <c r="CQ216" i="75"/>
  <c r="CR216" i="75" s="1"/>
  <c r="CP216" i="75"/>
  <c r="CO216" i="75"/>
  <c r="CN216" i="75"/>
  <c r="CM216" i="75"/>
  <c r="CL216" i="75"/>
  <c r="CK216" i="75"/>
  <c r="CJ216" i="75"/>
  <c r="CI216" i="75"/>
  <c r="CH216" i="75" s="1"/>
  <c r="CF216" i="75"/>
  <c r="CG216" i="75" s="1"/>
  <c r="CE216" i="75"/>
  <c r="CD216" i="75"/>
  <c r="CC216" i="75"/>
  <c r="CB216" i="75"/>
  <c r="CA216" i="75"/>
  <c r="BZ216" i="75"/>
  <c r="BY216" i="75"/>
  <c r="BX216" i="75"/>
  <c r="BW216" i="75" s="1"/>
  <c r="BU216" i="75"/>
  <c r="BV216" i="75" s="1"/>
  <c r="BT216" i="75"/>
  <c r="BS216" i="75"/>
  <c r="BR216" i="75"/>
  <c r="BQ216" i="75"/>
  <c r="BP216" i="75"/>
  <c r="BO216" i="75"/>
  <c r="BN216" i="75"/>
  <c r="BM216" i="75"/>
  <c r="BL216" i="75" s="1"/>
  <c r="BJ216" i="75"/>
  <c r="BK216" i="75" s="1"/>
  <c r="GM216" i="75" s="1"/>
  <c r="BI216" i="75"/>
  <c r="GK216" i="75" s="1"/>
  <c r="BH216" i="75"/>
  <c r="GJ216" i="75" s="1"/>
  <c r="BG216" i="75"/>
  <c r="GI216" i="75" s="1"/>
  <c r="BF216" i="75"/>
  <c r="GH216" i="75" s="1"/>
  <c r="BE216" i="75"/>
  <c r="GG216" i="75" s="1"/>
  <c r="BD216" i="75"/>
  <c r="GF216" i="75" s="1"/>
  <c r="BC216" i="75"/>
  <c r="GE216" i="75" s="1"/>
  <c r="BB216" i="75"/>
  <c r="GD216" i="75" s="1"/>
  <c r="AY216" i="75"/>
  <c r="AZ216" i="75" s="1"/>
  <c r="GB216" i="75" s="1"/>
  <c r="AX216" i="75"/>
  <c r="FZ216" i="75" s="1"/>
  <c r="AW216" i="75"/>
  <c r="FY216" i="75" s="1"/>
  <c r="AV216" i="75"/>
  <c r="FX216" i="75" s="1"/>
  <c r="AU216" i="75"/>
  <c r="FW216" i="75" s="1"/>
  <c r="AT216" i="75"/>
  <c r="FV216" i="75" s="1"/>
  <c r="AS216" i="75"/>
  <c r="FU216" i="75" s="1"/>
  <c r="AR216" i="75"/>
  <c r="FT216" i="75" s="1"/>
  <c r="AQ216" i="75"/>
  <c r="FS216" i="75" s="1"/>
  <c r="AN216" i="75"/>
  <c r="AO216" i="75" s="1"/>
  <c r="FQ216" i="75" s="1"/>
  <c r="AM216" i="75"/>
  <c r="FO216" i="75" s="1"/>
  <c r="AL216" i="75"/>
  <c r="FN216" i="75" s="1"/>
  <c r="AK216" i="75"/>
  <c r="FM216" i="75" s="1"/>
  <c r="AJ216" i="75"/>
  <c r="FL216" i="75" s="1"/>
  <c r="AI216" i="75"/>
  <c r="FK216" i="75" s="1"/>
  <c r="AH216" i="75"/>
  <c r="FJ216" i="75" s="1"/>
  <c r="AG216" i="75"/>
  <c r="FI216" i="75" s="1"/>
  <c r="AF216" i="75"/>
  <c r="FH216" i="75" s="1"/>
  <c r="AC216" i="75"/>
  <c r="FE216" i="75" s="1"/>
  <c r="AB216" i="75"/>
  <c r="FD216" i="75" s="1"/>
  <c r="AA216" i="75"/>
  <c r="FC216" i="75" s="1"/>
  <c r="Z216" i="75"/>
  <c r="FB216" i="75" s="1"/>
  <c r="Y216" i="75"/>
  <c r="FA216" i="75" s="1"/>
  <c r="X216" i="75"/>
  <c r="EZ216" i="75" s="1"/>
  <c r="W216" i="75"/>
  <c r="EY216" i="75" s="1"/>
  <c r="V216" i="75"/>
  <c r="EX216" i="75" s="1"/>
  <c r="U216" i="75"/>
  <c r="EW216" i="75" s="1"/>
  <c r="EV216" i="75" s="1"/>
  <c r="S216" i="75"/>
  <c r="ET216" i="75" s="1"/>
  <c r="R216" i="75"/>
  <c r="ES216" i="75" s="1"/>
  <c r="Q216" i="75"/>
  <c r="ER216" i="75" s="1"/>
  <c r="P216" i="75"/>
  <c r="EQ216" i="75" s="1"/>
  <c r="O216" i="75"/>
  <c r="EP216" i="75" s="1"/>
  <c r="N216" i="75"/>
  <c r="EO216" i="75" s="1"/>
  <c r="M216" i="75"/>
  <c r="EN216" i="75" s="1"/>
  <c r="L216" i="75"/>
  <c r="EM216" i="75" s="1"/>
  <c r="K216" i="75"/>
  <c r="EL216" i="75" s="1"/>
  <c r="EK216" i="75" s="1"/>
  <c r="J216" i="75"/>
  <c r="D216" i="75"/>
  <c r="B216" i="75"/>
  <c r="GF215" i="75"/>
  <c r="FN215" i="75"/>
  <c r="FM215" i="75"/>
  <c r="EQ215" i="75"/>
  <c r="EI215" i="75"/>
  <c r="EJ215" i="75" s="1"/>
  <c r="EH215" i="75"/>
  <c r="EG215" i="75"/>
  <c r="EF215" i="75"/>
  <c r="EE215" i="75"/>
  <c r="ED215" i="75"/>
  <c r="EC215" i="75"/>
  <c r="EB215" i="75"/>
  <c r="EA215" i="75"/>
  <c r="DZ215" i="75" s="1"/>
  <c r="DB215" i="75"/>
  <c r="DC215" i="75" s="1"/>
  <c r="DA215" i="75"/>
  <c r="CZ215" i="75"/>
  <c r="CY215" i="75"/>
  <c r="CX215" i="75"/>
  <c r="CW215" i="75"/>
  <c r="CV215" i="75"/>
  <c r="CU215" i="75"/>
  <c r="CT215" i="75"/>
  <c r="CS215" i="75" s="1"/>
  <c r="CQ215" i="75"/>
  <c r="CR215" i="75" s="1"/>
  <c r="CP215" i="75"/>
  <c r="CO215" i="75"/>
  <c r="CN215" i="75"/>
  <c r="CM215" i="75"/>
  <c r="CL215" i="75"/>
  <c r="CK215" i="75"/>
  <c r="CJ215" i="75"/>
  <c r="CI215" i="75"/>
  <c r="CH215" i="75" s="1"/>
  <c r="CF215" i="75"/>
  <c r="CG215" i="75" s="1"/>
  <c r="CE215" i="75"/>
  <c r="CD215" i="75"/>
  <c r="CC215" i="75"/>
  <c r="CB215" i="75"/>
  <c r="CA215" i="75"/>
  <c r="BZ215" i="75"/>
  <c r="BY215" i="75"/>
  <c r="BX215" i="75"/>
  <c r="BW215" i="75"/>
  <c r="BU215" i="75"/>
  <c r="BV215" i="75" s="1"/>
  <c r="BT215" i="75"/>
  <c r="BS215" i="75"/>
  <c r="BR215" i="75"/>
  <c r="BQ215" i="75"/>
  <c r="BP215" i="75"/>
  <c r="BO215" i="75"/>
  <c r="BN215" i="75"/>
  <c r="BM215" i="75"/>
  <c r="BL215" i="75" s="1"/>
  <c r="BJ215" i="75"/>
  <c r="GL215" i="75" s="1"/>
  <c r="BI215" i="75"/>
  <c r="GK215" i="75" s="1"/>
  <c r="BH215" i="75"/>
  <c r="GJ215" i="75" s="1"/>
  <c r="BG215" i="75"/>
  <c r="GI215" i="75" s="1"/>
  <c r="BF215" i="75"/>
  <c r="GH215" i="75" s="1"/>
  <c r="BE215" i="75"/>
  <c r="GG215" i="75" s="1"/>
  <c r="BD215" i="75"/>
  <c r="BC215" i="75"/>
  <c r="GE215" i="75" s="1"/>
  <c r="BB215" i="75"/>
  <c r="BA215" i="75" s="1"/>
  <c r="GC215" i="75" s="1"/>
  <c r="AY215" i="75"/>
  <c r="AZ215" i="75" s="1"/>
  <c r="GB215" i="75" s="1"/>
  <c r="AX215" i="75"/>
  <c r="FZ215" i="75" s="1"/>
  <c r="AW215" i="75"/>
  <c r="FY215" i="75" s="1"/>
  <c r="AV215" i="75"/>
  <c r="FX215" i="75" s="1"/>
  <c r="AU215" i="75"/>
  <c r="FW215" i="75" s="1"/>
  <c r="AT215" i="75"/>
  <c r="FV215" i="75" s="1"/>
  <c r="AS215" i="75"/>
  <c r="FU215" i="75" s="1"/>
  <c r="AR215" i="75"/>
  <c r="FT215" i="75" s="1"/>
  <c r="AQ215" i="75"/>
  <c r="FS215" i="75" s="1"/>
  <c r="AN215" i="75"/>
  <c r="FP215" i="75" s="1"/>
  <c r="AM215" i="75"/>
  <c r="FO215" i="75" s="1"/>
  <c r="AL215" i="75"/>
  <c r="AK215" i="75"/>
  <c r="AJ215" i="75"/>
  <c r="FL215" i="75" s="1"/>
  <c r="AI215" i="75"/>
  <c r="FK215" i="75" s="1"/>
  <c r="AH215" i="75"/>
  <c r="FJ215" i="75" s="1"/>
  <c r="AG215" i="75"/>
  <c r="FI215" i="75" s="1"/>
  <c r="AF215" i="75"/>
  <c r="AC215" i="75"/>
  <c r="AD215" i="75" s="1"/>
  <c r="FF215" i="75" s="1"/>
  <c r="AB215" i="75"/>
  <c r="FD215" i="75" s="1"/>
  <c r="AA215" i="75"/>
  <c r="FC215" i="75" s="1"/>
  <c r="Z215" i="75"/>
  <c r="FB215" i="75" s="1"/>
  <c r="Y215" i="75"/>
  <c r="FA215" i="75" s="1"/>
  <c r="X215" i="75"/>
  <c r="EZ215" i="75" s="1"/>
  <c r="W215" i="75"/>
  <c r="EY215" i="75" s="1"/>
  <c r="V215" i="75"/>
  <c r="EX215" i="75" s="1"/>
  <c r="U215" i="75"/>
  <c r="EW215" i="75" s="1"/>
  <c r="EV215" i="75" s="1"/>
  <c r="S215" i="75"/>
  <c r="ET215" i="75" s="1"/>
  <c r="R215" i="75"/>
  <c r="ES215" i="75" s="1"/>
  <c r="Q215" i="75"/>
  <c r="ER215" i="75" s="1"/>
  <c r="P215" i="75"/>
  <c r="O215" i="75"/>
  <c r="EP215" i="75" s="1"/>
  <c r="N215" i="75"/>
  <c r="EO215" i="75" s="1"/>
  <c r="M215" i="75"/>
  <c r="EN215" i="75" s="1"/>
  <c r="L215" i="75"/>
  <c r="EM215" i="75" s="1"/>
  <c r="K215" i="75"/>
  <c r="EL215" i="75" s="1"/>
  <c r="EK215" i="75" s="1"/>
  <c r="J215" i="75"/>
  <c r="D215" i="75"/>
  <c r="B215" i="75"/>
  <c r="EI214" i="75"/>
  <c r="EJ214" i="75" s="1"/>
  <c r="EH214" i="75"/>
  <c r="EG214" i="75"/>
  <c r="EF214" i="75"/>
  <c r="EE214" i="75"/>
  <c r="ED214" i="75"/>
  <c r="EC214" i="75"/>
  <c r="EB214" i="75"/>
  <c r="EA214" i="75"/>
  <c r="DZ214" i="75" s="1"/>
  <c r="DB214" i="75"/>
  <c r="DC214" i="75" s="1"/>
  <c r="DA214" i="75"/>
  <c r="CZ214" i="75"/>
  <c r="CY214" i="75"/>
  <c r="CX214" i="75"/>
  <c r="CW214" i="75"/>
  <c r="CV214" i="75"/>
  <c r="CU214" i="75"/>
  <c r="CT214" i="75"/>
  <c r="CS214" i="75" s="1"/>
  <c r="CQ214" i="75"/>
  <c r="CR214" i="75" s="1"/>
  <c r="CP214" i="75"/>
  <c r="CO214" i="75"/>
  <c r="CN214" i="75"/>
  <c r="CM214" i="75"/>
  <c r="CL214" i="75"/>
  <c r="CK214" i="75"/>
  <c r="CJ214" i="75"/>
  <c r="CI214" i="75"/>
  <c r="CH214" i="75" s="1"/>
  <c r="CF214" i="75"/>
  <c r="CG214" i="75" s="1"/>
  <c r="CE214" i="75"/>
  <c r="CD214" i="75"/>
  <c r="CC214" i="75"/>
  <c r="CB214" i="75"/>
  <c r="CA214" i="75"/>
  <c r="BZ214" i="75"/>
  <c r="BY214" i="75"/>
  <c r="BX214" i="75"/>
  <c r="BW214" i="75" s="1"/>
  <c r="BU214" i="75"/>
  <c r="BV214" i="75" s="1"/>
  <c r="BT214" i="75"/>
  <c r="BS214" i="75"/>
  <c r="BR214" i="75"/>
  <c r="BQ214" i="75"/>
  <c r="BP214" i="75"/>
  <c r="BO214" i="75"/>
  <c r="BN214" i="75"/>
  <c r="BM214" i="75"/>
  <c r="BL214" i="75" s="1"/>
  <c r="BJ214" i="75"/>
  <c r="BI214" i="75"/>
  <c r="GK214" i="75" s="1"/>
  <c r="BH214" i="75"/>
  <c r="GJ214" i="75" s="1"/>
  <c r="BG214" i="75"/>
  <c r="GI214" i="75" s="1"/>
  <c r="BF214" i="75"/>
  <c r="GH214" i="75" s="1"/>
  <c r="BE214" i="75"/>
  <c r="GG214" i="75" s="1"/>
  <c r="BD214" i="75"/>
  <c r="GF214" i="75" s="1"/>
  <c r="BC214" i="75"/>
  <c r="GE214" i="75" s="1"/>
  <c r="BB214" i="75"/>
  <c r="GD214" i="75" s="1"/>
  <c r="AY214" i="75"/>
  <c r="GA214" i="75" s="1"/>
  <c r="AX214" i="75"/>
  <c r="FZ214" i="75" s="1"/>
  <c r="AW214" i="75"/>
  <c r="FY214" i="75" s="1"/>
  <c r="AV214" i="75"/>
  <c r="FX214" i="75" s="1"/>
  <c r="AU214" i="75"/>
  <c r="FW214" i="75" s="1"/>
  <c r="AT214" i="75"/>
  <c r="FV214" i="75" s="1"/>
  <c r="AS214" i="75"/>
  <c r="FU214" i="75" s="1"/>
  <c r="AR214" i="75"/>
  <c r="FT214" i="75" s="1"/>
  <c r="AQ214" i="75"/>
  <c r="FS214" i="75" s="1"/>
  <c r="AP214" i="75"/>
  <c r="FR214" i="75" s="1"/>
  <c r="AN214" i="75"/>
  <c r="FP214" i="75" s="1"/>
  <c r="AM214" i="75"/>
  <c r="FO214" i="75" s="1"/>
  <c r="AL214" i="75"/>
  <c r="FN214" i="75" s="1"/>
  <c r="AK214" i="75"/>
  <c r="FM214" i="75" s="1"/>
  <c r="AJ214" i="75"/>
  <c r="FL214" i="75" s="1"/>
  <c r="AI214" i="75"/>
  <c r="FK214" i="75" s="1"/>
  <c r="AH214" i="75"/>
  <c r="FJ214" i="75" s="1"/>
  <c r="AG214" i="75"/>
  <c r="FI214" i="75" s="1"/>
  <c r="AF214" i="75"/>
  <c r="FH214" i="75" s="1"/>
  <c r="AC214" i="75"/>
  <c r="FE214" i="75" s="1"/>
  <c r="AB214" i="75"/>
  <c r="FD214" i="75" s="1"/>
  <c r="AA214" i="75"/>
  <c r="FC214" i="75" s="1"/>
  <c r="Z214" i="75"/>
  <c r="FB214" i="75" s="1"/>
  <c r="Y214" i="75"/>
  <c r="FA214" i="75" s="1"/>
  <c r="X214" i="75"/>
  <c r="EZ214" i="75" s="1"/>
  <c r="W214" i="75"/>
  <c r="EY214" i="75" s="1"/>
  <c r="V214" i="75"/>
  <c r="EX214" i="75" s="1"/>
  <c r="U214" i="75"/>
  <c r="EW214" i="75" s="1"/>
  <c r="EV214" i="75" s="1"/>
  <c r="S214" i="75"/>
  <c r="T214" i="75" s="1"/>
  <c r="EU214" i="75" s="1"/>
  <c r="R214" i="75"/>
  <c r="ES214" i="75" s="1"/>
  <c r="Q214" i="75"/>
  <c r="ER214" i="75" s="1"/>
  <c r="P214" i="75"/>
  <c r="EQ214" i="75" s="1"/>
  <c r="O214" i="75"/>
  <c r="EP214" i="75" s="1"/>
  <c r="N214" i="75"/>
  <c r="EO214" i="75" s="1"/>
  <c r="M214" i="75"/>
  <c r="EN214" i="75" s="1"/>
  <c r="L214" i="75"/>
  <c r="EM214" i="75" s="1"/>
  <c r="K214" i="75"/>
  <c r="EL214" i="75" s="1"/>
  <c r="EK214" i="75" s="1"/>
  <c r="J214" i="75"/>
  <c r="D214" i="75"/>
  <c r="B214" i="75"/>
  <c r="EL213" i="75"/>
  <c r="EK213" i="75"/>
  <c r="EI213" i="75"/>
  <c r="EJ213" i="75" s="1"/>
  <c r="EH213" i="75"/>
  <c r="EG213" i="75"/>
  <c r="EF213" i="75"/>
  <c r="EE213" i="75"/>
  <c r="ED213" i="75"/>
  <c r="EC213" i="75"/>
  <c r="EB213" i="75"/>
  <c r="EA213" i="75"/>
  <c r="DZ213" i="75" s="1"/>
  <c r="DB213" i="75"/>
  <c r="DC213" i="75" s="1"/>
  <c r="DA213" i="75"/>
  <c r="CZ213" i="75"/>
  <c r="CY213" i="75"/>
  <c r="CX213" i="75"/>
  <c r="CW213" i="75"/>
  <c r="CV213" i="75"/>
  <c r="CU213" i="75"/>
  <c r="CT213" i="75"/>
  <c r="CS213" i="75" s="1"/>
  <c r="CQ213" i="75"/>
  <c r="CR213" i="75" s="1"/>
  <c r="CP213" i="75"/>
  <c r="CO213" i="75"/>
  <c r="CN213" i="75"/>
  <c r="CM213" i="75"/>
  <c r="CL213" i="75"/>
  <c r="CK213" i="75"/>
  <c r="CJ213" i="75"/>
  <c r="CI213" i="75"/>
  <c r="CH213" i="75"/>
  <c r="CF213" i="75"/>
  <c r="CG213" i="75" s="1"/>
  <c r="CE213" i="75"/>
  <c r="CD213" i="75"/>
  <c r="CC213" i="75"/>
  <c r="CB213" i="75"/>
  <c r="CA213" i="75"/>
  <c r="BZ213" i="75"/>
  <c r="BY213" i="75"/>
  <c r="BX213" i="75"/>
  <c r="BW213" i="75" s="1"/>
  <c r="BU213" i="75"/>
  <c r="BV213" i="75" s="1"/>
  <c r="BT213" i="75"/>
  <c r="BS213" i="75"/>
  <c r="BR213" i="75"/>
  <c r="BQ213" i="75"/>
  <c r="BP213" i="75"/>
  <c r="BO213" i="75"/>
  <c r="BN213" i="75"/>
  <c r="BM213" i="75"/>
  <c r="BL213" i="75" s="1"/>
  <c r="BJ213" i="75"/>
  <c r="BK213" i="75" s="1"/>
  <c r="GM213" i="75" s="1"/>
  <c r="BI213" i="75"/>
  <c r="GK213" i="75" s="1"/>
  <c r="BH213" i="75"/>
  <c r="GJ213" i="75" s="1"/>
  <c r="BG213" i="75"/>
  <c r="GI213" i="75" s="1"/>
  <c r="BF213" i="75"/>
  <c r="GH213" i="75" s="1"/>
  <c r="BE213" i="75"/>
  <c r="GG213" i="75" s="1"/>
  <c r="BD213" i="75"/>
  <c r="GF213" i="75" s="1"/>
  <c r="BC213" i="75"/>
  <c r="GE213" i="75" s="1"/>
  <c r="BB213" i="75"/>
  <c r="GD213" i="75" s="1"/>
  <c r="AY213" i="75"/>
  <c r="AX213" i="75"/>
  <c r="FZ213" i="75" s="1"/>
  <c r="AW213" i="75"/>
  <c r="FY213" i="75" s="1"/>
  <c r="AV213" i="75"/>
  <c r="FX213" i="75" s="1"/>
  <c r="AU213" i="75"/>
  <c r="FW213" i="75" s="1"/>
  <c r="AT213" i="75"/>
  <c r="FV213" i="75" s="1"/>
  <c r="AS213" i="75"/>
  <c r="FU213" i="75" s="1"/>
  <c r="AR213" i="75"/>
  <c r="FT213" i="75" s="1"/>
  <c r="AQ213" i="75"/>
  <c r="AP213" i="75" s="1"/>
  <c r="FR213" i="75" s="1"/>
  <c r="AN213" i="75"/>
  <c r="FP213" i="75" s="1"/>
  <c r="AM213" i="75"/>
  <c r="FO213" i="75" s="1"/>
  <c r="AL213" i="75"/>
  <c r="FN213" i="75" s="1"/>
  <c r="AK213" i="75"/>
  <c r="FM213" i="75" s="1"/>
  <c r="AJ213" i="75"/>
  <c r="FL213" i="75" s="1"/>
  <c r="AI213" i="75"/>
  <c r="FK213" i="75" s="1"/>
  <c r="AH213" i="75"/>
  <c r="FJ213" i="75" s="1"/>
  <c r="AG213" i="75"/>
  <c r="FI213" i="75" s="1"/>
  <c r="AF213" i="75"/>
  <c r="AE213" i="75" s="1"/>
  <c r="FG213" i="75" s="1"/>
  <c r="AC213" i="75"/>
  <c r="AD213" i="75" s="1"/>
  <c r="FF213" i="75" s="1"/>
  <c r="AB213" i="75"/>
  <c r="FD213" i="75" s="1"/>
  <c r="AA213" i="75"/>
  <c r="FC213" i="75" s="1"/>
  <c r="Z213" i="75"/>
  <c r="FB213" i="75" s="1"/>
  <c r="Y213" i="75"/>
  <c r="FA213" i="75" s="1"/>
  <c r="X213" i="75"/>
  <c r="EZ213" i="75" s="1"/>
  <c r="W213" i="75"/>
  <c r="EY213" i="75" s="1"/>
  <c r="V213" i="75"/>
  <c r="EX213" i="75" s="1"/>
  <c r="U213" i="75"/>
  <c r="EW213" i="75" s="1"/>
  <c r="EV213" i="75" s="1"/>
  <c r="S213" i="75"/>
  <c r="ET213" i="75" s="1"/>
  <c r="R213" i="75"/>
  <c r="ES213" i="75" s="1"/>
  <c r="Q213" i="75"/>
  <c r="ER213" i="75" s="1"/>
  <c r="P213" i="75"/>
  <c r="EQ213" i="75" s="1"/>
  <c r="O213" i="75"/>
  <c r="EP213" i="75" s="1"/>
  <c r="N213" i="75"/>
  <c r="EO213" i="75" s="1"/>
  <c r="M213" i="75"/>
  <c r="EN213" i="75" s="1"/>
  <c r="L213" i="75"/>
  <c r="EM213" i="75" s="1"/>
  <c r="K213" i="75"/>
  <c r="J213" i="75"/>
  <c r="D213" i="75"/>
  <c r="B213" i="75"/>
  <c r="GE212" i="75"/>
  <c r="EI212" i="75"/>
  <c r="EJ212" i="75" s="1"/>
  <c r="EH212" i="75"/>
  <c r="EG212" i="75"/>
  <c r="EF212" i="75"/>
  <c r="EE212" i="75"/>
  <c r="ED212" i="75"/>
  <c r="EC212" i="75"/>
  <c r="EB212" i="75"/>
  <c r="EA212" i="75"/>
  <c r="DZ212" i="75" s="1"/>
  <c r="DB212" i="75"/>
  <c r="DC212" i="75" s="1"/>
  <c r="DA212" i="75"/>
  <c r="CZ212" i="75"/>
  <c r="CY212" i="75"/>
  <c r="CX212" i="75"/>
  <c r="CW212" i="75"/>
  <c r="CV212" i="75"/>
  <c r="CU212" i="75"/>
  <c r="CT212" i="75"/>
  <c r="CS212" i="75" s="1"/>
  <c r="CQ212" i="75"/>
  <c r="CR212" i="75" s="1"/>
  <c r="CP212" i="75"/>
  <c r="CO212" i="75"/>
  <c r="CN212" i="75"/>
  <c r="CM212" i="75"/>
  <c r="CL212" i="75"/>
  <c r="CK212" i="75"/>
  <c r="CJ212" i="75"/>
  <c r="CI212" i="75"/>
  <c r="CH212" i="75" s="1"/>
  <c r="CF212" i="75"/>
  <c r="CG212" i="75" s="1"/>
  <c r="CE212" i="75"/>
  <c r="CD212" i="75"/>
  <c r="CC212" i="75"/>
  <c r="CB212" i="75"/>
  <c r="CA212" i="75"/>
  <c r="BZ212" i="75"/>
  <c r="BY212" i="75"/>
  <c r="BX212" i="75"/>
  <c r="BW212" i="75" s="1"/>
  <c r="BU212" i="75"/>
  <c r="BV212" i="75" s="1"/>
  <c r="BT212" i="75"/>
  <c r="BS212" i="75"/>
  <c r="BR212" i="75"/>
  <c r="BQ212" i="75"/>
  <c r="BP212" i="75"/>
  <c r="BO212" i="75"/>
  <c r="BN212" i="75"/>
  <c r="BM212" i="75"/>
  <c r="BL212" i="75" s="1"/>
  <c r="BJ212" i="75"/>
  <c r="GL212" i="75" s="1"/>
  <c r="BI212" i="75"/>
  <c r="GK212" i="75" s="1"/>
  <c r="BH212" i="75"/>
  <c r="GJ212" i="75" s="1"/>
  <c r="BG212" i="75"/>
  <c r="GI212" i="75" s="1"/>
  <c r="BF212" i="75"/>
  <c r="GH212" i="75" s="1"/>
  <c r="BE212" i="75"/>
  <c r="GG212" i="75" s="1"/>
  <c r="BD212" i="75"/>
  <c r="GF212" i="75" s="1"/>
  <c r="BC212" i="75"/>
  <c r="BB212" i="75"/>
  <c r="AY212" i="75"/>
  <c r="AZ212" i="75" s="1"/>
  <c r="GB212" i="75" s="1"/>
  <c r="AX212" i="75"/>
  <c r="FZ212" i="75" s="1"/>
  <c r="AW212" i="75"/>
  <c r="FY212" i="75" s="1"/>
  <c r="AV212" i="75"/>
  <c r="FX212" i="75" s="1"/>
  <c r="AU212" i="75"/>
  <c r="FW212" i="75" s="1"/>
  <c r="AT212" i="75"/>
  <c r="FV212" i="75" s="1"/>
  <c r="AS212" i="75"/>
  <c r="FU212" i="75" s="1"/>
  <c r="AR212" i="75"/>
  <c r="FT212" i="75" s="1"/>
  <c r="AQ212" i="75"/>
  <c r="FS212" i="75" s="1"/>
  <c r="AN212" i="75"/>
  <c r="FP212" i="75" s="1"/>
  <c r="AM212" i="75"/>
  <c r="FO212" i="75" s="1"/>
  <c r="AL212" i="75"/>
  <c r="FN212" i="75" s="1"/>
  <c r="AK212" i="75"/>
  <c r="FM212" i="75" s="1"/>
  <c r="AJ212" i="75"/>
  <c r="FL212" i="75" s="1"/>
  <c r="AI212" i="75"/>
  <c r="FK212" i="75" s="1"/>
  <c r="AH212" i="75"/>
  <c r="FJ212" i="75" s="1"/>
  <c r="AG212" i="75"/>
  <c r="FI212" i="75" s="1"/>
  <c r="AF212" i="75"/>
  <c r="AE212" i="75" s="1"/>
  <c r="FG212" i="75" s="1"/>
  <c r="AC212" i="75"/>
  <c r="AD212" i="75" s="1"/>
  <c r="FF212" i="75" s="1"/>
  <c r="AB212" i="75"/>
  <c r="FD212" i="75" s="1"/>
  <c r="AA212" i="75"/>
  <c r="FC212" i="75" s="1"/>
  <c r="Z212" i="75"/>
  <c r="FB212" i="75" s="1"/>
  <c r="Y212" i="75"/>
  <c r="FA212" i="75" s="1"/>
  <c r="X212" i="75"/>
  <c r="EZ212" i="75" s="1"/>
  <c r="W212" i="75"/>
  <c r="EY212" i="75" s="1"/>
  <c r="V212" i="75"/>
  <c r="EX212" i="75" s="1"/>
  <c r="U212" i="75"/>
  <c r="EW212" i="75" s="1"/>
  <c r="EV212" i="75" s="1"/>
  <c r="S212" i="75"/>
  <c r="ET212" i="75" s="1"/>
  <c r="R212" i="75"/>
  <c r="ES212" i="75" s="1"/>
  <c r="Q212" i="75"/>
  <c r="ER212" i="75" s="1"/>
  <c r="P212" i="75"/>
  <c r="EQ212" i="75" s="1"/>
  <c r="O212" i="75"/>
  <c r="EP212" i="75" s="1"/>
  <c r="N212" i="75"/>
  <c r="EO212" i="75" s="1"/>
  <c r="M212" i="75"/>
  <c r="EN212" i="75" s="1"/>
  <c r="L212" i="75"/>
  <c r="EM212" i="75" s="1"/>
  <c r="K212" i="75"/>
  <c r="EL212" i="75" s="1"/>
  <c r="EK212" i="75" s="1"/>
  <c r="J212" i="75"/>
  <c r="D212" i="75"/>
  <c r="B212" i="75"/>
  <c r="EI211" i="75"/>
  <c r="EJ211" i="75" s="1"/>
  <c r="EH211" i="75"/>
  <c r="EG211" i="75"/>
  <c r="EF211" i="75"/>
  <c r="EE211" i="75"/>
  <c r="ED211" i="75"/>
  <c r="EC211" i="75"/>
  <c r="EB211" i="75"/>
  <c r="EA211" i="75"/>
  <c r="DZ211" i="75" s="1"/>
  <c r="DB211" i="75"/>
  <c r="DC211" i="75" s="1"/>
  <c r="DA211" i="75"/>
  <c r="CZ211" i="75"/>
  <c r="CY211" i="75"/>
  <c r="CX211" i="75"/>
  <c r="CW211" i="75"/>
  <c r="CV211" i="75"/>
  <c r="CU211" i="75"/>
  <c r="CT211" i="75"/>
  <c r="CS211" i="75" s="1"/>
  <c r="CQ211" i="75"/>
  <c r="CR211" i="75" s="1"/>
  <c r="CP211" i="75"/>
  <c r="CO211" i="75"/>
  <c r="CN211" i="75"/>
  <c r="CM211" i="75"/>
  <c r="CL211" i="75"/>
  <c r="CK211" i="75"/>
  <c r="CJ211" i="75"/>
  <c r="CI211" i="75"/>
  <c r="CH211" i="75" s="1"/>
  <c r="CF211" i="75"/>
  <c r="CG211" i="75" s="1"/>
  <c r="CE211" i="75"/>
  <c r="CD211" i="75"/>
  <c r="CC211" i="75"/>
  <c r="CB211" i="75"/>
  <c r="CA211" i="75"/>
  <c r="BZ211" i="75"/>
  <c r="BY211" i="75"/>
  <c r="BX211" i="75"/>
  <c r="BW211" i="75" s="1"/>
  <c r="BU211" i="75"/>
  <c r="BV211" i="75" s="1"/>
  <c r="BT211" i="75"/>
  <c r="BS211" i="75"/>
  <c r="BR211" i="75"/>
  <c r="BQ211" i="75"/>
  <c r="BP211" i="75"/>
  <c r="BO211" i="75"/>
  <c r="BN211" i="75"/>
  <c r="BM211" i="75"/>
  <c r="BL211" i="75" s="1"/>
  <c r="BJ211" i="75"/>
  <c r="BK211" i="75" s="1"/>
  <c r="GM211" i="75" s="1"/>
  <c r="BI211" i="75"/>
  <c r="GK211" i="75" s="1"/>
  <c r="BH211" i="75"/>
  <c r="GJ211" i="75" s="1"/>
  <c r="BG211" i="75"/>
  <c r="GI211" i="75" s="1"/>
  <c r="BF211" i="75"/>
  <c r="GH211" i="75" s="1"/>
  <c r="BE211" i="75"/>
  <c r="GG211" i="75" s="1"/>
  <c r="BD211" i="75"/>
  <c r="GF211" i="75" s="1"/>
  <c r="BC211" i="75"/>
  <c r="GE211" i="75" s="1"/>
  <c r="BB211" i="75"/>
  <c r="GD211" i="75" s="1"/>
  <c r="AY211" i="75"/>
  <c r="GA211" i="75" s="1"/>
  <c r="AX211" i="75"/>
  <c r="FZ211" i="75" s="1"/>
  <c r="AW211" i="75"/>
  <c r="FY211" i="75" s="1"/>
  <c r="AV211" i="75"/>
  <c r="FX211" i="75" s="1"/>
  <c r="AU211" i="75"/>
  <c r="FW211" i="75" s="1"/>
  <c r="AT211" i="75"/>
  <c r="FV211" i="75" s="1"/>
  <c r="AS211" i="75"/>
  <c r="FU211" i="75" s="1"/>
  <c r="AR211" i="75"/>
  <c r="FT211" i="75" s="1"/>
  <c r="AQ211" i="75"/>
  <c r="AN211" i="75"/>
  <c r="AO211" i="75" s="1"/>
  <c r="FQ211" i="75" s="1"/>
  <c r="AM211" i="75"/>
  <c r="FO211" i="75" s="1"/>
  <c r="AL211" i="75"/>
  <c r="FN211" i="75" s="1"/>
  <c r="AK211" i="75"/>
  <c r="FM211" i="75" s="1"/>
  <c r="AJ211" i="75"/>
  <c r="FL211" i="75" s="1"/>
  <c r="AI211" i="75"/>
  <c r="FK211" i="75" s="1"/>
  <c r="AH211" i="75"/>
  <c r="FJ211" i="75" s="1"/>
  <c r="AG211" i="75"/>
  <c r="FI211" i="75" s="1"/>
  <c r="AF211" i="75"/>
  <c r="FH211" i="75" s="1"/>
  <c r="AC211" i="75"/>
  <c r="FE211" i="75" s="1"/>
  <c r="AB211" i="75"/>
  <c r="FD211" i="75" s="1"/>
  <c r="AA211" i="75"/>
  <c r="FC211" i="75" s="1"/>
  <c r="Z211" i="75"/>
  <c r="FB211" i="75" s="1"/>
  <c r="Y211" i="75"/>
  <c r="FA211" i="75" s="1"/>
  <c r="X211" i="75"/>
  <c r="EZ211" i="75" s="1"/>
  <c r="W211" i="75"/>
  <c r="EY211" i="75" s="1"/>
  <c r="V211" i="75"/>
  <c r="EX211" i="75" s="1"/>
  <c r="U211" i="75"/>
  <c r="EW211" i="75" s="1"/>
  <c r="EV211" i="75" s="1"/>
  <c r="S211" i="75"/>
  <c r="T211" i="75" s="1"/>
  <c r="EU211" i="75" s="1"/>
  <c r="R211" i="75"/>
  <c r="ES211" i="75" s="1"/>
  <c r="Q211" i="75"/>
  <c r="ER211" i="75" s="1"/>
  <c r="P211" i="75"/>
  <c r="EQ211" i="75" s="1"/>
  <c r="O211" i="75"/>
  <c r="EP211" i="75" s="1"/>
  <c r="N211" i="75"/>
  <c r="EO211" i="75" s="1"/>
  <c r="M211" i="75"/>
  <c r="EN211" i="75" s="1"/>
  <c r="L211" i="75"/>
  <c r="EM211" i="75" s="1"/>
  <c r="K211" i="75"/>
  <c r="EL211" i="75" s="1"/>
  <c r="EK211" i="75" s="1"/>
  <c r="J211" i="75"/>
  <c r="D211" i="75"/>
  <c r="B211" i="75"/>
  <c r="EL210" i="75"/>
  <c r="EK210" i="75" s="1"/>
  <c r="EI210" i="75"/>
  <c r="EJ210" i="75" s="1"/>
  <c r="EH210" i="75"/>
  <c r="EG210" i="75"/>
  <c r="EF210" i="75"/>
  <c r="EE210" i="75"/>
  <c r="ED210" i="75"/>
  <c r="EC210" i="75"/>
  <c r="EB210" i="75"/>
  <c r="EA210" i="75"/>
  <c r="DZ210" i="75" s="1"/>
  <c r="DB210" i="75"/>
  <c r="DC210" i="75" s="1"/>
  <c r="DA210" i="75"/>
  <c r="CZ210" i="75"/>
  <c r="CY210" i="75"/>
  <c r="CX210" i="75"/>
  <c r="CW210" i="75"/>
  <c r="CV210" i="75"/>
  <c r="CU210" i="75"/>
  <c r="CT210" i="75"/>
  <c r="CS210" i="75" s="1"/>
  <c r="CQ210" i="75"/>
  <c r="CR210" i="75" s="1"/>
  <c r="CP210" i="75"/>
  <c r="CO210" i="75"/>
  <c r="CN210" i="75"/>
  <c r="CM210" i="75"/>
  <c r="CL210" i="75"/>
  <c r="CK210" i="75"/>
  <c r="CJ210" i="75"/>
  <c r="CI210" i="75"/>
  <c r="CH210" i="75" s="1"/>
  <c r="CF210" i="75"/>
  <c r="CG210" i="75" s="1"/>
  <c r="CE210" i="75"/>
  <c r="CD210" i="75"/>
  <c r="CC210" i="75"/>
  <c r="CB210" i="75"/>
  <c r="CA210" i="75"/>
  <c r="BZ210" i="75"/>
  <c r="BY210" i="75"/>
  <c r="BX210" i="75"/>
  <c r="BW210" i="75" s="1"/>
  <c r="BU210" i="75"/>
  <c r="BV210" i="75" s="1"/>
  <c r="BT210" i="75"/>
  <c r="BS210" i="75"/>
  <c r="BR210" i="75"/>
  <c r="BQ210" i="75"/>
  <c r="BP210" i="75"/>
  <c r="BO210" i="75"/>
  <c r="BN210" i="75"/>
  <c r="BM210" i="75"/>
  <c r="BL210" i="75" s="1"/>
  <c r="BJ210" i="75"/>
  <c r="GL210" i="75" s="1"/>
  <c r="BI210" i="75"/>
  <c r="GK210" i="75" s="1"/>
  <c r="BH210" i="75"/>
  <c r="GJ210" i="75" s="1"/>
  <c r="BG210" i="75"/>
  <c r="GI210" i="75" s="1"/>
  <c r="BF210" i="75"/>
  <c r="GH210" i="75" s="1"/>
  <c r="BE210" i="75"/>
  <c r="GG210" i="75" s="1"/>
  <c r="BD210" i="75"/>
  <c r="GF210" i="75" s="1"/>
  <c r="BC210" i="75"/>
  <c r="GE210" i="75" s="1"/>
  <c r="BB210" i="75"/>
  <c r="BA210" i="75" s="1"/>
  <c r="GC210" i="75" s="1"/>
  <c r="AY210" i="75"/>
  <c r="AX210" i="75"/>
  <c r="FZ210" i="75" s="1"/>
  <c r="AW210" i="75"/>
  <c r="FY210" i="75" s="1"/>
  <c r="AV210" i="75"/>
  <c r="FX210" i="75" s="1"/>
  <c r="AU210" i="75"/>
  <c r="FW210" i="75" s="1"/>
  <c r="AT210" i="75"/>
  <c r="FV210" i="75" s="1"/>
  <c r="AS210" i="75"/>
  <c r="FU210" i="75" s="1"/>
  <c r="AR210" i="75"/>
  <c r="FT210" i="75" s="1"/>
  <c r="AQ210" i="75"/>
  <c r="FS210" i="75" s="1"/>
  <c r="AN210" i="75"/>
  <c r="FP210" i="75" s="1"/>
  <c r="AM210" i="75"/>
  <c r="FO210" i="75" s="1"/>
  <c r="AL210" i="75"/>
  <c r="FN210" i="75" s="1"/>
  <c r="AK210" i="75"/>
  <c r="FM210" i="75" s="1"/>
  <c r="AJ210" i="75"/>
  <c r="FL210" i="75" s="1"/>
  <c r="AI210" i="75"/>
  <c r="FK210" i="75" s="1"/>
  <c r="AH210" i="75"/>
  <c r="FJ210" i="75" s="1"/>
  <c r="AG210" i="75"/>
  <c r="FI210" i="75" s="1"/>
  <c r="AF210" i="75"/>
  <c r="AE210" i="75" s="1"/>
  <c r="FG210" i="75" s="1"/>
  <c r="AC210" i="75"/>
  <c r="AB210" i="75"/>
  <c r="FD210" i="75" s="1"/>
  <c r="AA210" i="75"/>
  <c r="FC210" i="75" s="1"/>
  <c r="Z210" i="75"/>
  <c r="FB210" i="75" s="1"/>
  <c r="Y210" i="75"/>
  <c r="FA210" i="75" s="1"/>
  <c r="X210" i="75"/>
  <c r="EZ210" i="75" s="1"/>
  <c r="W210" i="75"/>
  <c r="EY210" i="75" s="1"/>
  <c r="V210" i="75"/>
  <c r="EX210" i="75" s="1"/>
  <c r="U210" i="75"/>
  <c r="EW210" i="75" s="1"/>
  <c r="EV210" i="75" s="1"/>
  <c r="S210" i="75"/>
  <c r="ET210" i="75" s="1"/>
  <c r="R210" i="75"/>
  <c r="ES210" i="75" s="1"/>
  <c r="Q210" i="75"/>
  <c r="ER210" i="75" s="1"/>
  <c r="P210" i="75"/>
  <c r="EQ210" i="75" s="1"/>
  <c r="O210" i="75"/>
  <c r="EP210" i="75" s="1"/>
  <c r="N210" i="75"/>
  <c r="EO210" i="75" s="1"/>
  <c r="M210" i="75"/>
  <c r="EN210" i="75" s="1"/>
  <c r="L210" i="75"/>
  <c r="EM210" i="75" s="1"/>
  <c r="K210" i="75"/>
  <c r="J210" i="75"/>
  <c r="D210" i="75"/>
  <c r="B210" i="75"/>
  <c r="GF209" i="75"/>
  <c r="EI209" i="75"/>
  <c r="EJ209" i="75" s="1"/>
  <c r="EH209" i="75"/>
  <c r="EG209" i="75"/>
  <c r="EF209" i="75"/>
  <c r="EE209" i="75"/>
  <c r="ED209" i="75"/>
  <c r="EC209" i="75"/>
  <c r="EB209" i="75"/>
  <c r="EA209" i="75"/>
  <c r="DZ209" i="75" s="1"/>
  <c r="DB209" i="75"/>
  <c r="DC209" i="75" s="1"/>
  <c r="DA209" i="75"/>
  <c r="CZ209" i="75"/>
  <c r="CY209" i="75"/>
  <c r="CX209" i="75"/>
  <c r="CW209" i="75"/>
  <c r="CV209" i="75"/>
  <c r="CU209" i="75"/>
  <c r="CT209" i="75"/>
  <c r="CS209" i="75" s="1"/>
  <c r="CQ209" i="75"/>
  <c r="CR209" i="75" s="1"/>
  <c r="CP209" i="75"/>
  <c r="CO209" i="75"/>
  <c r="CN209" i="75"/>
  <c r="CM209" i="75"/>
  <c r="CL209" i="75"/>
  <c r="CK209" i="75"/>
  <c r="CJ209" i="75"/>
  <c r="CI209" i="75"/>
  <c r="CH209" i="75" s="1"/>
  <c r="CF209" i="75"/>
  <c r="CG209" i="75" s="1"/>
  <c r="CE209" i="75"/>
  <c r="CD209" i="75"/>
  <c r="CC209" i="75"/>
  <c r="CB209" i="75"/>
  <c r="CA209" i="75"/>
  <c r="BZ209" i="75"/>
  <c r="BY209" i="75"/>
  <c r="BX209" i="75"/>
  <c r="BW209" i="75" s="1"/>
  <c r="BU209" i="75"/>
  <c r="BV209" i="75" s="1"/>
  <c r="BT209" i="75"/>
  <c r="BS209" i="75"/>
  <c r="BR209" i="75"/>
  <c r="BQ209" i="75"/>
  <c r="BP209" i="75"/>
  <c r="BO209" i="75"/>
  <c r="BN209" i="75"/>
  <c r="BM209" i="75"/>
  <c r="BL209" i="75" s="1"/>
  <c r="BJ209" i="75"/>
  <c r="GL209" i="75" s="1"/>
  <c r="BI209" i="75"/>
  <c r="GK209" i="75" s="1"/>
  <c r="BH209" i="75"/>
  <c r="GJ209" i="75" s="1"/>
  <c r="BG209" i="75"/>
  <c r="GI209" i="75" s="1"/>
  <c r="BF209" i="75"/>
  <c r="GH209" i="75" s="1"/>
  <c r="BE209" i="75"/>
  <c r="GG209" i="75" s="1"/>
  <c r="BD209" i="75"/>
  <c r="BC209" i="75"/>
  <c r="GE209" i="75" s="1"/>
  <c r="BB209" i="75"/>
  <c r="AY209" i="75"/>
  <c r="GA209" i="75" s="1"/>
  <c r="AX209" i="75"/>
  <c r="FZ209" i="75" s="1"/>
  <c r="AW209" i="75"/>
  <c r="FY209" i="75" s="1"/>
  <c r="AV209" i="75"/>
  <c r="FX209" i="75" s="1"/>
  <c r="AU209" i="75"/>
  <c r="FW209" i="75" s="1"/>
  <c r="AT209" i="75"/>
  <c r="FV209" i="75" s="1"/>
  <c r="AS209" i="75"/>
  <c r="FU209" i="75" s="1"/>
  <c r="AR209" i="75"/>
  <c r="FT209" i="75" s="1"/>
  <c r="AQ209" i="75"/>
  <c r="AP209" i="75" s="1"/>
  <c r="FR209" i="75" s="1"/>
  <c r="AN209" i="75"/>
  <c r="FP209" i="75" s="1"/>
  <c r="AM209" i="75"/>
  <c r="FO209" i="75" s="1"/>
  <c r="AL209" i="75"/>
  <c r="FN209" i="75" s="1"/>
  <c r="AK209" i="75"/>
  <c r="FM209" i="75" s="1"/>
  <c r="AJ209" i="75"/>
  <c r="FL209" i="75" s="1"/>
  <c r="AI209" i="75"/>
  <c r="FK209" i="75" s="1"/>
  <c r="AH209" i="75"/>
  <c r="FJ209" i="75" s="1"/>
  <c r="AG209" i="75"/>
  <c r="FI209" i="75" s="1"/>
  <c r="AF209" i="75"/>
  <c r="AC209" i="75"/>
  <c r="FE209" i="75" s="1"/>
  <c r="AB209" i="75"/>
  <c r="FD209" i="75" s="1"/>
  <c r="AA209" i="75"/>
  <c r="FC209" i="75" s="1"/>
  <c r="Z209" i="75"/>
  <c r="FB209" i="75" s="1"/>
  <c r="Y209" i="75"/>
  <c r="FA209" i="75" s="1"/>
  <c r="X209" i="75"/>
  <c r="EZ209" i="75" s="1"/>
  <c r="W209" i="75"/>
  <c r="EY209" i="75" s="1"/>
  <c r="V209" i="75"/>
  <c r="EX209" i="75" s="1"/>
  <c r="U209" i="75"/>
  <c r="EW209" i="75" s="1"/>
  <c r="EV209" i="75" s="1"/>
  <c r="S209" i="75"/>
  <c r="T209" i="75" s="1"/>
  <c r="EU209" i="75" s="1"/>
  <c r="R209" i="75"/>
  <c r="ES209" i="75" s="1"/>
  <c r="Q209" i="75"/>
  <c r="ER209" i="75" s="1"/>
  <c r="P209" i="75"/>
  <c r="EQ209" i="75" s="1"/>
  <c r="O209" i="75"/>
  <c r="EP209" i="75" s="1"/>
  <c r="N209" i="75"/>
  <c r="EO209" i="75" s="1"/>
  <c r="M209" i="75"/>
  <c r="EN209" i="75" s="1"/>
  <c r="L209" i="75"/>
  <c r="EM209" i="75" s="1"/>
  <c r="K209" i="75"/>
  <c r="EL209" i="75" s="1"/>
  <c r="EK209" i="75" s="1"/>
  <c r="J209" i="75"/>
  <c r="D209" i="75"/>
  <c r="B209" i="75"/>
  <c r="EI208" i="75"/>
  <c r="EJ208" i="75" s="1"/>
  <c r="EH208" i="75"/>
  <c r="EG208" i="75"/>
  <c r="EF208" i="75"/>
  <c r="EE208" i="75"/>
  <c r="ED208" i="75"/>
  <c r="EC208" i="75"/>
  <c r="EB208" i="75"/>
  <c r="EA208" i="75"/>
  <c r="DZ208" i="75" s="1"/>
  <c r="DB208" i="75"/>
  <c r="DC208" i="75" s="1"/>
  <c r="DA208" i="75"/>
  <c r="CZ208" i="75"/>
  <c r="CY208" i="75"/>
  <c r="CX208" i="75"/>
  <c r="CW208" i="75"/>
  <c r="CV208" i="75"/>
  <c r="CU208" i="75"/>
  <c r="CT208" i="75"/>
  <c r="CS208" i="75" s="1"/>
  <c r="CQ208" i="75"/>
  <c r="CR208" i="75" s="1"/>
  <c r="CP208" i="75"/>
  <c r="CO208" i="75"/>
  <c r="CN208" i="75"/>
  <c r="CM208" i="75"/>
  <c r="CL208" i="75"/>
  <c r="CK208" i="75"/>
  <c r="CJ208" i="75"/>
  <c r="CI208" i="75"/>
  <c r="CH208" i="75" s="1"/>
  <c r="CG208" i="75"/>
  <c r="CF208" i="75"/>
  <c r="CE208" i="75"/>
  <c r="CD208" i="75"/>
  <c r="CC208" i="75"/>
  <c r="CB208" i="75"/>
  <c r="CA208" i="75"/>
  <c r="BZ208" i="75"/>
  <c r="BY208" i="75"/>
  <c r="BX208" i="75"/>
  <c r="BW208" i="75" s="1"/>
  <c r="BU208" i="75"/>
  <c r="BV208" i="75" s="1"/>
  <c r="BT208" i="75"/>
  <c r="BS208" i="75"/>
  <c r="BR208" i="75"/>
  <c r="BQ208" i="75"/>
  <c r="BP208" i="75"/>
  <c r="BO208" i="75"/>
  <c r="BN208" i="75"/>
  <c r="BM208" i="75"/>
  <c r="BL208" i="75" s="1"/>
  <c r="BJ208" i="75"/>
  <c r="GL208" i="75" s="1"/>
  <c r="BI208" i="75"/>
  <c r="GK208" i="75" s="1"/>
  <c r="BH208" i="75"/>
  <c r="GJ208" i="75" s="1"/>
  <c r="BG208" i="75"/>
  <c r="GI208" i="75" s="1"/>
  <c r="BF208" i="75"/>
  <c r="GH208" i="75" s="1"/>
  <c r="BE208" i="75"/>
  <c r="GG208" i="75" s="1"/>
  <c r="BD208" i="75"/>
  <c r="GF208" i="75" s="1"/>
  <c r="BC208" i="75"/>
  <c r="GE208" i="75" s="1"/>
  <c r="BB208" i="75"/>
  <c r="AY208" i="75"/>
  <c r="AZ208" i="75" s="1"/>
  <c r="GB208" i="75" s="1"/>
  <c r="AX208" i="75"/>
  <c r="FZ208" i="75" s="1"/>
  <c r="AW208" i="75"/>
  <c r="FY208" i="75" s="1"/>
  <c r="AV208" i="75"/>
  <c r="FX208" i="75" s="1"/>
  <c r="AU208" i="75"/>
  <c r="FW208" i="75" s="1"/>
  <c r="AT208" i="75"/>
  <c r="FV208" i="75" s="1"/>
  <c r="AS208" i="75"/>
  <c r="FU208" i="75" s="1"/>
  <c r="AR208" i="75"/>
  <c r="FT208" i="75" s="1"/>
  <c r="AQ208" i="75"/>
  <c r="FS208" i="75" s="1"/>
  <c r="AN208" i="75"/>
  <c r="AM208" i="75"/>
  <c r="FO208" i="75" s="1"/>
  <c r="AL208" i="75"/>
  <c r="FN208" i="75" s="1"/>
  <c r="AK208" i="75"/>
  <c r="FM208" i="75" s="1"/>
  <c r="AJ208" i="75"/>
  <c r="FL208" i="75" s="1"/>
  <c r="AI208" i="75"/>
  <c r="FK208" i="75" s="1"/>
  <c r="AH208" i="75"/>
  <c r="FJ208" i="75" s="1"/>
  <c r="AG208" i="75"/>
  <c r="FI208" i="75" s="1"/>
  <c r="AF208" i="75"/>
  <c r="AC208" i="75"/>
  <c r="AD208" i="75" s="1"/>
  <c r="FF208" i="75" s="1"/>
  <c r="AB208" i="75"/>
  <c r="FD208" i="75" s="1"/>
  <c r="AA208" i="75"/>
  <c r="FC208" i="75" s="1"/>
  <c r="Z208" i="75"/>
  <c r="FB208" i="75" s="1"/>
  <c r="Y208" i="75"/>
  <c r="FA208" i="75" s="1"/>
  <c r="X208" i="75"/>
  <c r="EZ208" i="75" s="1"/>
  <c r="W208" i="75"/>
  <c r="EY208" i="75" s="1"/>
  <c r="V208" i="75"/>
  <c r="EX208" i="75" s="1"/>
  <c r="U208" i="75"/>
  <c r="EW208" i="75" s="1"/>
  <c r="EV208" i="75" s="1"/>
  <c r="S208" i="75"/>
  <c r="T208" i="75" s="1"/>
  <c r="EU208" i="75" s="1"/>
  <c r="R208" i="75"/>
  <c r="ES208" i="75" s="1"/>
  <c r="Q208" i="75"/>
  <c r="ER208" i="75" s="1"/>
  <c r="P208" i="75"/>
  <c r="EQ208" i="75" s="1"/>
  <c r="O208" i="75"/>
  <c r="EP208" i="75" s="1"/>
  <c r="N208" i="75"/>
  <c r="EO208" i="75" s="1"/>
  <c r="M208" i="75"/>
  <c r="EN208" i="75" s="1"/>
  <c r="L208" i="75"/>
  <c r="EM208" i="75" s="1"/>
  <c r="K208" i="75"/>
  <c r="EL208" i="75" s="1"/>
  <c r="EK208" i="75" s="1"/>
  <c r="J208" i="75"/>
  <c r="D208" i="75"/>
  <c r="B208" i="75"/>
  <c r="FD207" i="75"/>
  <c r="EI207" i="75"/>
  <c r="EJ207" i="75" s="1"/>
  <c r="EH207" i="75"/>
  <c r="EG207" i="75"/>
  <c r="EF207" i="75"/>
  <c r="EE207" i="75"/>
  <c r="ED207" i="75"/>
  <c r="EC207" i="75"/>
  <c r="EB207" i="75"/>
  <c r="EA207" i="75"/>
  <c r="DZ207" i="75" s="1"/>
  <c r="DB207" i="75"/>
  <c r="DC207" i="75" s="1"/>
  <c r="DA207" i="75"/>
  <c r="CZ207" i="75"/>
  <c r="CY207" i="75"/>
  <c r="CX207" i="75"/>
  <c r="CW207" i="75"/>
  <c r="CV207" i="75"/>
  <c r="CU207" i="75"/>
  <c r="CT207" i="75"/>
  <c r="CS207" i="75" s="1"/>
  <c r="CQ207" i="75"/>
  <c r="CR207" i="75" s="1"/>
  <c r="CP207" i="75"/>
  <c r="CO207" i="75"/>
  <c r="CN207" i="75"/>
  <c r="CM207" i="75"/>
  <c r="CL207" i="75"/>
  <c r="CK207" i="75"/>
  <c r="CJ207" i="75"/>
  <c r="CI207" i="75"/>
  <c r="CH207" i="75" s="1"/>
  <c r="CF207" i="75"/>
  <c r="CG207" i="75" s="1"/>
  <c r="CE207" i="75"/>
  <c r="CD207" i="75"/>
  <c r="CC207" i="75"/>
  <c r="CB207" i="75"/>
  <c r="CA207" i="75"/>
  <c r="BZ207" i="75"/>
  <c r="BY207" i="75"/>
  <c r="BX207" i="75"/>
  <c r="BW207" i="75" s="1"/>
  <c r="BU207" i="75"/>
  <c r="BV207" i="75" s="1"/>
  <c r="BT207" i="75"/>
  <c r="BS207" i="75"/>
  <c r="BR207" i="75"/>
  <c r="BQ207" i="75"/>
  <c r="BP207" i="75"/>
  <c r="BO207" i="75"/>
  <c r="BN207" i="75"/>
  <c r="BM207" i="75"/>
  <c r="BL207" i="75" s="1"/>
  <c r="BJ207" i="75"/>
  <c r="BI207" i="75"/>
  <c r="GK207" i="75" s="1"/>
  <c r="BH207" i="75"/>
  <c r="GJ207" i="75" s="1"/>
  <c r="BG207" i="75"/>
  <c r="GI207" i="75" s="1"/>
  <c r="BF207" i="75"/>
  <c r="GH207" i="75" s="1"/>
  <c r="BE207" i="75"/>
  <c r="GG207" i="75" s="1"/>
  <c r="BD207" i="75"/>
  <c r="GF207" i="75" s="1"/>
  <c r="BC207" i="75"/>
  <c r="GE207" i="75" s="1"/>
  <c r="BB207" i="75"/>
  <c r="GD207" i="75" s="1"/>
  <c r="AY207" i="75"/>
  <c r="GA207" i="75" s="1"/>
  <c r="AX207" i="75"/>
  <c r="FZ207" i="75" s="1"/>
  <c r="AW207" i="75"/>
  <c r="FY207" i="75" s="1"/>
  <c r="AV207" i="75"/>
  <c r="FX207" i="75" s="1"/>
  <c r="AU207" i="75"/>
  <c r="FW207" i="75" s="1"/>
  <c r="AT207" i="75"/>
  <c r="FV207" i="75" s="1"/>
  <c r="AS207" i="75"/>
  <c r="FU207" i="75" s="1"/>
  <c r="AR207" i="75"/>
  <c r="FT207" i="75" s="1"/>
  <c r="AQ207" i="75"/>
  <c r="FS207" i="75" s="1"/>
  <c r="AP207" i="75"/>
  <c r="FR207" i="75" s="1"/>
  <c r="AN207" i="75"/>
  <c r="AO207" i="75" s="1"/>
  <c r="FQ207" i="75" s="1"/>
  <c r="AM207" i="75"/>
  <c r="FO207" i="75" s="1"/>
  <c r="AL207" i="75"/>
  <c r="FN207" i="75" s="1"/>
  <c r="AK207" i="75"/>
  <c r="FM207" i="75" s="1"/>
  <c r="AJ207" i="75"/>
  <c r="FL207" i="75" s="1"/>
  <c r="AI207" i="75"/>
  <c r="FK207" i="75" s="1"/>
  <c r="AH207" i="75"/>
  <c r="FJ207" i="75" s="1"/>
  <c r="AG207" i="75"/>
  <c r="FI207" i="75" s="1"/>
  <c r="AF207" i="75"/>
  <c r="FH207" i="75" s="1"/>
  <c r="AC207" i="75"/>
  <c r="FE207" i="75" s="1"/>
  <c r="AB207" i="75"/>
  <c r="AA207" i="75"/>
  <c r="FC207" i="75" s="1"/>
  <c r="Z207" i="75"/>
  <c r="FB207" i="75" s="1"/>
  <c r="Y207" i="75"/>
  <c r="FA207" i="75" s="1"/>
  <c r="X207" i="75"/>
  <c r="EZ207" i="75" s="1"/>
  <c r="W207" i="75"/>
  <c r="EY207" i="75" s="1"/>
  <c r="V207" i="75"/>
  <c r="EX207" i="75" s="1"/>
  <c r="U207" i="75"/>
  <c r="EW207" i="75" s="1"/>
  <c r="EV207" i="75" s="1"/>
  <c r="S207" i="75"/>
  <c r="ET207" i="75" s="1"/>
  <c r="R207" i="75"/>
  <c r="ES207" i="75" s="1"/>
  <c r="Q207" i="75"/>
  <c r="ER207" i="75" s="1"/>
  <c r="P207" i="75"/>
  <c r="EQ207" i="75" s="1"/>
  <c r="O207" i="75"/>
  <c r="EP207" i="75" s="1"/>
  <c r="N207" i="75"/>
  <c r="EO207" i="75" s="1"/>
  <c r="M207" i="75"/>
  <c r="EN207" i="75" s="1"/>
  <c r="L207" i="75"/>
  <c r="EM207" i="75" s="1"/>
  <c r="K207" i="75"/>
  <c r="EL207" i="75" s="1"/>
  <c r="EK207" i="75" s="1"/>
  <c r="J207" i="75"/>
  <c r="D207" i="75"/>
  <c r="B207" i="75"/>
  <c r="FD206" i="75"/>
  <c r="EI206" i="75"/>
  <c r="EJ206" i="75" s="1"/>
  <c r="EH206" i="75"/>
  <c r="EG206" i="75"/>
  <c r="EF206" i="75"/>
  <c r="EE206" i="75"/>
  <c r="ED206" i="75"/>
  <c r="EC206" i="75"/>
  <c r="EB206" i="75"/>
  <c r="EA206" i="75"/>
  <c r="DZ206" i="75" s="1"/>
  <c r="DB206" i="75"/>
  <c r="DC206" i="75" s="1"/>
  <c r="DA206" i="75"/>
  <c r="CZ206" i="75"/>
  <c r="CY206" i="75"/>
  <c r="CX206" i="75"/>
  <c r="CW206" i="75"/>
  <c r="CV206" i="75"/>
  <c r="CU206" i="75"/>
  <c r="CT206" i="75"/>
  <c r="CS206" i="75" s="1"/>
  <c r="CQ206" i="75"/>
  <c r="CR206" i="75" s="1"/>
  <c r="CP206" i="75"/>
  <c r="CO206" i="75"/>
  <c r="CN206" i="75"/>
  <c r="CM206" i="75"/>
  <c r="CL206" i="75"/>
  <c r="CK206" i="75"/>
  <c r="CJ206" i="75"/>
  <c r="CI206" i="75"/>
  <c r="CH206" i="75" s="1"/>
  <c r="CF206" i="75"/>
  <c r="CG206" i="75" s="1"/>
  <c r="CE206" i="75"/>
  <c r="CD206" i="75"/>
  <c r="CC206" i="75"/>
  <c r="CB206" i="75"/>
  <c r="CA206" i="75"/>
  <c r="BZ206" i="75"/>
  <c r="BY206" i="75"/>
  <c r="BX206" i="75"/>
  <c r="BW206" i="75" s="1"/>
  <c r="BU206" i="75"/>
  <c r="BV206" i="75" s="1"/>
  <c r="BT206" i="75"/>
  <c r="BS206" i="75"/>
  <c r="BR206" i="75"/>
  <c r="BQ206" i="75"/>
  <c r="BP206" i="75"/>
  <c r="BO206" i="75"/>
  <c r="BN206" i="75"/>
  <c r="BM206" i="75"/>
  <c r="BL206" i="75" s="1"/>
  <c r="BJ206" i="75"/>
  <c r="BK206" i="75" s="1"/>
  <c r="GM206" i="75" s="1"/>
  <c r="BI206" i="75"/>
  <c r="GK206" i="75" s="1"/>
  <c r="BH206" i="75"/>
  <c r="GJ206" i="75" s="1"/>
  <c r="BG206" i="75"/>
  <c r="GI206" i="75" s="1"/>
  <c r="BF206" i="75"/>
  <c r="GH206" i="75" s="1"/>
  <c r="BE206" i="75"/>
  <c r="GG206" i="75" s="1"/>
  <c r="BD206" i="75"/>
  <c r="GF206" i="75" s="1"/>
  <c r="BC206" i="75"/>
  <c r="GE206" i="75" s="1"/>
  <c r="BB206" i="75"/>
  <c r="AY206" i="75"/>
  <c r="GA206" i="75" s="1"/>
  <c r="AX206" i="75"/>
  <c r="FZ206" i="75" s="1"/>
  <c r="AW206" i="75"/>
  <c r="FY206" i="75" s="1"/>
  <c r="AV206" i="75"/>
  <c r="FX206" i="75" s="1"/>
  <c r="AU206" i="75"/>
  <c r="FW206" i="75" s="1"/>
  <c r="AT206" i="75"/>
  <c r="FV206" i="75" s="1"/>
  <c r="AS206" i="75"/>
  <c r="FU206" i="75" s="1"/>
  <c r="AR206" i="75"/>
  <c r="FT206" i="75" s="1"/>
  <c r="AQ206" i="75"/>
  <c r="FS206" i="75" s="1"/>
  <c r="AP206" i="75"/>
  <c r="FR206" i="75" s="1"/>
  <c r="AN206" i="75"/>
  <c r="FP206" i="75" s="1"/>
  <c r="AM206" i="75"/>
  <c r="FO206" i="75" s="1"/>
  <c r="AL206" i="75"/>
  <c r="FN206" i="75" s="1"/>
  <c r="AK206" i="75"/>
  <c r="FM206" i="75" s="1"/>
  <c r="AJ206" i="75"/>
  <c r="FL206" i="75" s="1"/>
  <c r="AI206" i="75"/>
  <c r="FK206" i="75" s="1"/>
  <c r="AH206" i="75"/>
  <c r="FJ206" i="75" s="1"/>
  <c r="AG206" i="75"/>
  <c r="FI206" i="75" s="1"/>
  <c r="AF206" i="75"/>
  <c r="AE206" i="75" s="1"/>
  <c r="FG206" i="75" s="1"/>
  <c r="AC206" i="75"/>
  <c r="AD206" i="75" s="1"/>
  <c r="FF206" i="75" s="1"/>
  <c r="AB206" i="75"/>
  <c r="AA206" i="75"/>
  <c r="FC206" i="75" s="1"/>
  <c r="Z206" i="75"/>
  <c r="FB206" i="75" s="1"/>
  <c r="Y206" i="75"/>
  <c r="FA206" i="75" s="1"/>
  <c r="X206" i="75"/>
  <c r="EZ206" i="75" s="1"/>
  <c r="W206" i="75"/>
  <c r="EY206" i="75" s="1"/>
  <c r="V206" i="75"/>
  <c r="EX206" i="75" s="1"/>
  <c r="U206" i="75"/>
  <c r="EW206" i="75" s="1"/>
  <c r="EV206" i="75" s="1"/>
  <c r="S206" i="75"/>
  <c r="R206" i="75"/>
  <c r="ES206" i="75" s="1"/>
  <c r="Q206" i="75"/>
  <c r="ER206" i="75" s="1"/>
  <c r="P206" i="75"/>
  <c r="EQ206" i="75" s="1"/>
  <c r="O206" i="75"/>
  <c r="EP206" i="75" s="1"/>
  <c r="N206" i="75"/>
  <c r="EO206" i="75" s="1"/>
  <c r="M206" i="75"/>
  <c r="EN206" i="75" s="1"/>
  <c r="L206" i="75"/>
  <c r="EM206" i="75" s="1"/>
  <c r="K206" i="75"/>
  <c r="EL206" i="75" s="1"/>
  <c r="EK206" i="75" s="1"/>
  <c r="J206" i="75"/>
  <c r="D206" i="75"/>
  <c r="B206" i="75"/>
  <c r="GM205" i="75"/>
  <c r="GL205" i="75"/>
  <c r="GK205" i="75"/>
  <c r="GJ205" i="75"/>
  <c r="GI205" i="75"/>
  <c r="GH205" i="75"/>
  <c r="GG205" i="75"/>
  <c r="GF205" i="75"/>
  <c r="GE205" i="75"/>
  <c r="GD205" i="75"/>
  <c r="GC205" i="75"/>
  <c r="GB205" i="75"/>
  <c r="GA205" i="75"/>
  <c r="FZ205" i="75"/>
  <c r="FY205" i="75"/>
  <c r="FX205" i="75"/>
  <c r="FW205" i="75"/>
  <c r="FV205" i="75"/>
  <c r="FU205" i="75"/>
  <c r="FT205" i="75"/>
  <c r="FS205" i="75"/>
  <c r="FR205" i="75"/>
  <c r="FQ205" i="75"/>
  <c r="FP205" i="75"/>
  <c r="FO205" i="75"/>
  <c r="FN205" i="75"/>
  <c r="FM205" i="75"/>
  <c r="FL205" i="75"/>
  <c r="FK205" i="75"/>
  <c r="FJ205" i="75"/>
  <c r="FI205" i="75"/>
  <c r="FH205" i="75"/>
  <c r="FG205" i="75"/>
  <c r="FE205" i="75"/>
  <c r="FD205" i="75"/>
  <c r="FC205" i="75"/>
  <c r="FB205" i="75"/>
  <c r="FA205" i="75"/>
  <c r="EZ205" i="75"/>
  <c r="EY205" i="75"/>
  <c r="EX205" i="75"/>
  <c r="EW205" i="75"/>
  <c r="ET205" i="75"/>
  <c r="ES205" i="75"/>
  <c r="ER205" i="75"/>
  <c r="EQ205" i="75"/>
  <c r="EP205" i="75"/>
  <c r="EO205" i="75"/>
  <c r="EN205" i="75"/>
  <c r="EM205" i="75"/>
  <c r="EL205" i="75"/>
  <c r="AD205" i="75"/>
  <c r="FF205" i="75" s="1"/>
  <c r="T205" i="75"/>
  <c r="EU205" i="75" s="1"/>
  <c r="J205" i="75"/>
  <c r="D205" i="75"/>
  <c r="C205" i="75"/>
  <c r="B205" i="75"/>
  <c r="A205" i="75"/>
  <c r="GM204" i="75"/>
  <c r="GL204" i="75"/>
  <c r="GK204" i="75"/>
  <c r="GJ204" i="75"/>
  <c r="GI204" i="75"/>
  <c r="GH204" i="75"/>
  <c r="GG204" i="75"/>
  <c r="GF204" i="75"/>
  <c r="GE204" i="75"/>
  <c r="GD204" i="75"/>
  <c r="GC204" i="75"/>
  <c r="GB204" i="75"/>
  <c r="GA204" i="75"/>
  <c r="FZ204" i="75"/>
  <c r="FY204" i="75"/>
  <c r="FX204" i="75"/>
  <c r="FW204" i="75"/>
  <c r="FV204" i="75"/>
  <c r="FU204" i="75"/>
  <c r="FT204" i="75"/>
  <c r="FS204" i="75"/>
  <c r="FR204" i="75"/>
  <c r="FQ204" i="75"/>
  <c r="FP204" i="75"/>
  <c r="FO204" i="75"/>
  <c r="FN204" i="75"/>
  <c r="FM204" i="75"/>
  <c r="FL204" i="75"/>
  <c r="FK204" i="75"/>
  <c r="FJ204" i="75"/>
  <c r="FI204" i="75"/>
  <c r="FH204" i="75"/>
  <c r="FG204" i="75"/>
  <c r="FE204" i="75"/>
  <c r="FD204" i="75"/>
  <c r="FC204" i="75"/>
  <c r="FB204" i="75"/>
  <c r="FA204" i="75"/>
  <c r="EZ204" i="75"/>
  <c r="EY204" i="75"/>
  <c r="EX204" i="75"/>
  <c r="EW204" i="75"/>
  <c r="ET204" i="75"/>
  <c r="ES204" i="75"/>
  <c r="ER204" i="75"/>
  <c r="EQ204" i="75"/>
  <c r="EP204" i="75"/>
  <c r="EO204" i="75"/>
  <c r="EN204" i="75"/>
  <c r="EM204" i="75"/>
  <c r="EL204" i="75"/>
  <c r="AD204" i="75"/>
  <c r="FF204" i="75" s="1"/>
  <c r="T204" i="75"/>
  <c r="EU204" i="75" s="1"/>
  <c r="J204" i="75"/>
  <c r="D204" i="75"/>
  <c r="C204" i="75"/>
  <c r="B204" i="75"/>
  <c r="A204" i="75"/>
  <c r="GM203" i="75"/>
  <c r="GL203" i="75"/>
  <c r="GK203" i="75"/>
  <c r="GJ203" i="75"/>
  <c r="GI203" i="75"/>
  <c r="GH203" i="75"/>
  <c r="GG203" i="75"/>
  <c r="GF203" i="75"/>
  <c r="GE203" i="75"/>
  <c r="GD203" i="75"/>
  <c r="GC203" i="75"/>
  <c r="GB203" i="75"/>
  <c r="GA203" i="75"/>
  <c r="FZ203" i="75"/>
  <c r="FY203" i="75"/>
  <c r="FX203" i="75"/>
  <c r="FW203" i="75"/>
  <c r="FV203" i="75"/>
  <c r="FU203" i="75"/>
  <c r="FT203" i="75"/>
  <c r="FS203" i="75"/>
  <c r="FR203" i="75"/>
  <c r="FQ203" i="75"/>
  <c r="FP203" i="75"/>
  <c r="FO203" i="75"/>
  <c r="FN203" i="75"/>
  <c r="FM203" i="75"/>
  <c r="FL203" i="75"/>
  <c r="FK203" i="75"/>
  <c r="FJ203" i="75"/>
  <c r="FI203" i="75"/>
  <c r="FH203" i="75"/>
  <c r="FG203" i="75"/>
  <c r="FE203" i="75"/>
  <c r="FD203" i="75"/>
  <c r="FC203" i="75"/>
  <c r="FB203" i="75"/>
  <c r="FA203" i="75"/>
  <c r="EZ203" i="75"/>
  <c r="EY203" i="75"/>
  <c r="EX203" i="75"/>
  <c r="EW203" i="75"/>
  <c r="ET203" i="75"/>
  <c r="ES203" i="75"/>
  <c r="ER203" i="75"/>
  <c r="EQ203" i="75"/>
  <c r="EP203" i="75"/>
  <c r="EO203" i="75"/>
  <c r="EN203" i="75"/>
  <c r="EM203" i="75"/>
  <c r="EL203" i="75"/>
  <c r="AD203" i="75"/>
  <c r="FF203" i="75" s="1"/>
  <c r="T203" i="75"/>
  <c r="EU203" i="75" s="1"/>
  <c r="J203" i="75"/>
  <c r="D203" i="75"/>
  <c r="B203" i="75"/>
  <c r="A203" i="75"/>
  <c r="GM202" i="75"/>
  <c r="GL202" i="75"/>
  <c r="GK202" i="75"/>
  <c r="GJ202" i="75"/>
  <c r="GI202" i="75"/>
  <c r="GH202" i="75"/>
  <c r="GG202" i="75"/>
  <c r="GF202" i="75"/>
  <c r="GE202" i="75"/>
  <c r="GD202" i="75"/>
  <c r="GC202" i="75"/>
  <c r="GB202" i="75"/>
  <c r="GA202" i="75"/>
  <c r="FZ202" i="75"/>
  <c r="FY202" i="75"/>
  <c r="FX202" i="75"/>
  <c r="FW202" i="75"/>
  <c r="FV202" i="75"/>
  <c r="FU202" i="75"/>
  <c r="FT202" i="75"/>
  <c r="FS202" i="75"/>
  <c r="FR202" i="75"/>
  <c r="FQ202" i="75"/>
  <c r="FP202" i="75"/>
  <c r="FO202" i="75"/>
  <c r="FN202" i="75"/>
  <c r="FM202" i="75"/>
  <c r="FL202" i="75"/>
  <c r="FK202" i="75"/>
  <c r="FJ202" i="75"/>
  <c r="FI202" i="75"/>
  <c r="FH202" i="75"/>
  <c r="FG202" i="75"/>
  <c r="FE202" i="75"/>
  <c r="FD202" i="75"/>
  <c r="FC202" i="75"/>
  <c r="FB202" i="75"/>
  <c r="FA202" i="75"/>
  <c r="EZ202" i="75"/>
  <c r="EY202" i="75"/>
  <c r="EX202" i="75"/>
  <c r="EW202" i="75"/>
  <c r="ET202" i="75"/>
  <c r="ES202" i="75"/>
  <c r="ER202" i="75"/>
  <c r="EQ202" i="75"/>
  <c r="EP202" i="75"/>
  <c r="EO202" i="75"/>
  <c r="EN202" i="75"/>
  <c r="EM202" i="75"/>
  <c r="EL202" i="75"/>
  <c r="AD202" i="75"/>
  <c r="FF202" i="75" s="1"/>
  <c r="T202" i="75"/>
  <c r="EU202" i="75" s="1"/>
  <c r="J202" i="75"/>
  <c r="D202" i="75"/>
  <c r="B202" i="75"/>
  <c r="A202" i="75"/>
  <c r="GM201" i="75"/>
  <c r="GL201" i="75"/>
  <c r="GK201" i="75"/>
  <c r="GJ201" i="75"/>
  <c r="GI201" i="75"/>
  <c r="GH201" i="75"/>
  <c r="GG201" i="75"/>
  <c r="GF201" i="75"/>
  <c r="GE201" i="75"/>
  <c r="GD201" i="75"/>
  <c r="GC201" i="75"/>
  <c r="GB201" i="75"/>
  <c r="GA201" i="75"/>
  <c r="FZ201" i="75"/>
  <c r="FY201" i="75"/>
  <c r="FX201" i="75"/>
  <c r="FW201" i="75"/>
  <c r="FV201" i="75"/>
  <c r="FU201" i="75"/>
  <c r="FT201" i="75"/>
  <c r="FS201" i="75"/>
  <c r="FR201" i="75"/>
  <c r="FQ201" i="75"/>
  <c r="FP201" i="75"/>
  <c r="FO201" i="75"/>
  <c r="FN201" i="75"/>
  <c r="FM201" i="75"/>
  <c r="FL201" i="75"/>
  <c r="FK201" i="75"/>
  <c r="FJ201" i="75"/>
  <c r="FI201" i="75"/>
  <c r="FH201" i="75"/>
  <c r="FG201" i="75"/>
  <c r="FE201" i="75"/>
  <c r="FD201" i="75"/>
  <c r="FC201" i="75"/>
  <c r="FB201" i="75"/>
  <c r="FA201" i="75"/>
  <c r="EZ201" i="75"/>
  <c r="EY201" i="75"/>
  <c r="EX201" i="75"/>
  <c r="EW201" i="75"/>
  <c r="ET201" i="75"/>
  <c r="ES201" i="75"/>
  <c r="ER201" i="75"/>
  <c r="EQ201" i="75"/>
  <c r="EP201" i="75"/>
  <c r="EO201" i="75"/>
  <c r="EN201" i="75"/>
  <c r="EM201" i="75"/>
  <c r="EL201" i="75"/>
  <c r="AD201" i="75"/>
  <c r="FF201" i="75" s="1"/>
  <c r="T201" i="75"/>
  <c r="EU201" i="75" s="1"/>
  <c r="J201" i="75"/>
  <c r="D201" i="75"/>
  <c r="B201" i="75"/>
  <c r="A201" i="75"/>
  <c r="GL200" i="75"/>
  <c r="GK200" i="75"/>
  <c r="GF200" i="75"/>
  <c r="EI200" i="75"/>
  <c r="EJ200" i="75" s="1"/>
  <c r="EH200" i="75"/>
  <c r="EG200" i="75"/>
  <c r="EF200" i="75"/>
  <c r="EE200" i="75"/>
  <c r="ED200" i="75"/>
  <c r="EC200" i="75"/>
  <c r="EB200" i="75"/>
  <c r="EA200" i="75"/>
  <c r="DZ200" i="75" s="1"/>
  <c r="DB200" i="75"/>
  <c r="DC200" i="75" s="1"/>
  <c r="DA200" i="75"/>
  <c r="CZ200" i="75"/>
  <c r="CY200" i="75"/>
  <c r="CX200" i="75"/>
  <c r="CW200" i="75"/>
  <c r="CV200" i="75"/>
  <c r="CU200" i="75"/>
  <c r="CT200" i="75"/>
  <c r="CS200" i="75" s="1"/>
  <c r="CQ200" i="75"/>
  <c r="CR200" i="75" s="1"/>
  <c r="CP200" i="75"/>
  <c r="CO200" i="75"/>
  <c r="CN200" i="75"/>
  <c r="CM200" i="75"/>
  <c r="CL200" i="75"/>
  <c r="CK200" i="75"/>
  <c r="CJ200" i="75"/>
  <c r="CI200" i="75"/>
  <c r="CH200" i="75" s="1"/>
  <c r="CG200" i="75"/>
  <c r="CF200" i="75"/>
  <c r="CE200" i="75"/>
  <c r="CD200" i="75"/>
  <c r="CC200" i="75"/>
  <c r="CB200" i="75"/>
  <c r="CA200" i="75"/>
  <c r="BZ200" i="75"/>
  <c r="BY200" i="75"/>
  <c r="BX200" i="75"/>
  <c r="BW200" i="75" s="1"/>
  <c r="BU200" i="75"/>
  <c r="BV200" i="75" s="1"/>
  <c r="BT200" i="75"/>
  <c r="BS200" i="75"/>
  <c r="BR200" i="75"/>
  <c r="BQ200" i="75"/>
  <c r="BP200" i="75"/>
  <c r="BO200" i="75"/>
  <c r="BN200" i="75"/>
  <c r="BM200" i="75"/>
  <c r="BL200" i="75" s="1"/>
  <c r="BJ200" i="75"/>
  <c r="BK200" i="75" s="1"/>
  <c r="GM200" i="75" s="1"/>
  <c r="BI200" i="75"/>
  <c r="BH200" i="75"/>
  <c r="GJ200" i="75" s="1"/>
  <c r="BG200" i="75"/>
  <c r="GI200" i="75" s="1"/>
  <c r="BF200" i="75"/>
  <c r="GH200" i="75" s="1"/>
  <c r="BE200" i="75"/>
  <c r="GG200" i="75" s="1"/>
  <c r="BD200" i="75"/>
  <c r="BC200" i="75"/>
  <c r="GE200" i="75" s="1"/>
  <c r="BB200" i="75"/>
  <c r="BA200" i="75" s="1"/>
  <c r="GC200" i="75" s="1"/>
  <c r="AY200" i="75"/>
  <c r="AZ200" i="75" s="1"/>
  <c r="GB200" i="75" s="1"/>
  <c r="AX200" i="75"/>
  <c r="FZ200" i="75" s="1"/>
  <c r="AW200" i="75"/>
  <c r="FY200" i="75" s="1"/>
  <c r="AV200" i="75"/>
  <c r="FX200" i="75" s="1"/>
  <c r="AU200" i="75"/>
  <c r="FW200" i="75" s="1"/>
  <c r="AT200" i="75"/>
  <c r="FV200" i="75" s="1"/>
  <c r="AS200" i="75"/>
  <c r="FU200" i="75" s="1"/>
  <c r="AR200" i="75"/>
  <c r="FT200" i="75" s="1"/>
  <c r="AQ200" i="75"/>
  <c r="FS200" i="75" s="1"/>
  <c r="AN200" i="75"/>
  <c r="AM200" i="75"/>
  <c r="FO200" i="75" s="1"/>
  <c r="AL200" i="75"/>
  <c r="FN200" i="75" s="1"/>
  <c r="AK200" i="75"/>
  <c r="FM200" i="75" s="1"/>
  <c r="AJ200" i="75"/>
  <c r="FL200" i="75" s="1"/>
  <c r="AI200" i="75"/>
  <c r="FK200" i="75" s="1"/>
  <c r="AH200" i="75"/>
  <c r="FJ200" i="75" s="1"/>
  <c r="AG200" i="75"/>
  <c r="FI200" i="75" s="1"/>
  <c r="AF200" i="75"/>
  <c r="AE200" i="75" s="1"/>
  <c r="FG200" i="75" s="1"/>
  <c r="AC200" i="75"/>
  <c r="AD200" i="75" s="1"/>
  <c r="FF200" i="75" s="1"/>
  <c r="AB200" i="75"/>
  <c r="FD200" i="75" s="1"/>
  <c r="AA200" i="75"/>
  <c r="FC200" i="75" s="1"/>
  <c r="Z200" i="75"/>
  <c r="FB200" i="75" s="1"/>
  <c r="Y200" i="75"/>
  <c r="FA200" i="75" s="1"/>
  <c r="X200" i="75"/>
  <c r="EZ200" i="75" s="1"/>
  <c r="W200" i="75"/>
  <c r="EY200" i="75" s="1"/>
  <c r="V200" i="75"/>
  <c r="EX200" i="75" s="1"/>
  <c r="U200" i="75"/>
  <c r="EW200" i="75" s="1"/>
  <c r="EV200" i="75" s="1"/>
  <c r="S200" i="75"/>
  <c r="ET200" i="75" s="1"/>
  <c r="R200" i="75"/>
  <c r="ES200" i="75" s="1"/>
  <c r="Q200" i="75"/>
  <c r="ER200" i="75" s="1"/>
  <c r="P200" i="75"/>
  <c r="EQ200" i="75" s="1"/>
  <c r="O200" i="75"/>
  <c r="EP200" i="75" s="1"/>
  <c r="N200" i="75"/>
  <c r="EO200" i="75" s="1"/>
  <c r="M200" i="75"/>
  <c r="EN200" i="75" s="1"/>
  <c r="L200" i="75"/>
  <c r="EM200" i="75" s="1"/>
  <c r="K200" i="75"/>
  <c r="EL200" i="75" s="1"/>
  <c r="EK200" i="75" s="1"/>
  <c r="J200" i="75"/>
  <c r="D200" i="75"/>
  <c r="B200" i="75"/>
  <c r="GL199" i="75"/>
  <c r="FS199" i="75"/>
  <c r="FE199" i="75"/>
  <c r="EI199" i="75"/>
  <c r="EJ199" i="75" s="1"/>
  <c r="EH199" i="75"/>
  <c r="EG199" i="75"/>
  <c r="EF199" i="75"/>
  <c r="EE199" i="75"/>
  <c r="ED199" i="75"/>
  <c r="EC199" i="75"/>
  <c r="EB199" i="75"/>
  <c r="EA199" i="75"/>
  <c r="DZ199" i="75" s="1"/>
  <c r="DB199" i="75"/>
  <c r="DC199" i="75" s="1"/>
  <c r="DA199" i="75"/>
  <c r="CZ199" i="75"/>
  <c r="CY199" i="75"/>
  <c r="CX199" i="75"/>
  <c r="CW199" i="75"/>
  <c r="CV199" i="75"/>
  <c r="CU199" i="75"/>
  <c r="CT199" i="75"/>
  <c r="CS199" i="75" s="1"/>
  <c r="CQ199" i="75"/>
  <c r="CR199" i="75" s="1"/>
  <c r="CP199" i="75"/>
  <c r="CO199" i="75"/>
  <c r="CN199" i="75"/>
  <c r="CM199" i="75"/>
  <c r="CL199" i="75"/>
  <c r="CK199" i="75"/>
  <c r="CJ199" i="75"/>
  <c r="CI199" i="75"/>
  <c r="CH199" i="75" s="1"/>
  <c r="CF199" i="75"/>
  <c r="CG199" i="75" s="1"/>
  <c r="CE199" i="75"/>
  <c r="CD199" i="75"/>
  <c r="CC199" i="75"/>
  <c r="CB199" i="75"/>
  <c r="CA199" i="75"/>
  <c r="BZ199" i="75"/>
  <c r="BY199" i="75"/>
  <c r="BX199" i="75"/>
  <c r="BW199" i="75" s="1"/>
  <c r="BU199" i="75"/>
  <c r="BV199" i="75" s="1"/>
  <c r="BT199" i="75"/>
  <c r="BS199" i="75"/>
  <c r="BR199" i="75"/>
  <c r="BQ199" i="75"/>
  <c r="BP199" i="75"/>
  <c r="BO199" i="75"/>
  <c r="BN199" i="75"/>
  <c r="BM199" i="75"/>
  <c r="BL199" i="75" s="1"/>
  <c r="BJ199" i="75"/>
  <c r="BK199" i="75" s="1"/>
  <c r="GM199" i="75" s="1"/>
  <c r="BI199" i="75"/>
  <c r="GK199" i="75" s="1"/>
  <c r="BH199" i="75"/>
  <c r="GJ199" i="75" s="1"/>
  <c r="BG199" i="75"/>
  <c r="GI199" i="75" s="1"/>
  <c r="BF199" i="75"/>
  <c r="GH199" i="75" s="1"/>
  <c r="BE199" i="75"/>
  <c r="GG199" i="75" s="1"/>
  <c r="BD199" i="75"/>
  <c r="GF199" i="75" s="1"/>
  <c r="BC199" i="75"/>
  <c r="GE199" i="75" s="1"/>
  <c r="BB199" i="75"/>
  <c r="GD199" i="75" s="1"/>
  <c r="AY199" i="75"/>
  <c r="GA199" i="75" s="1"/>
  <c r="AX199" i="75"/>
  <c r="FZ199" i="75" s="1"/>
  <c r="AW199" i="75"/>
  <c r="FY199" i="75" s="1"/>
  <c r="AV199" i="75"/>
  <c r="FX199" i="75" s="1"/>
  <c r="AU199" i="75"/>
  <c r="FW199" i="75" s="1"/>
  <c r="AT199" i="75"/>
  <c r="FV199" i="75" s="1"/>
  <c r="AS199" i="75"/>
  <c r="FU199" i="75" s="1"/>
  <c r="AR199" i="75"/>
  <c r="FT199" i="75" s="1"/>
  <c r="AQ199" i="75"/>
  <c r="AP199" i="75" s="1"/>
  <c r="FR199" i="75" s="1"/>
  <c r="AN199" i="75"/>
  <c r="FP199" i="75" s="1"/>
  <c r="AM199" i="75"/>
  <c r="FO199" i="75" s="1"/>
  <c r="AL199" i="75"/>
  <c r="FN199" i="75" s="1"/>
  <c r="AK199" i="75"/>
  <c r="FM199" i="75" s="1"/>
  <c r="AJ199" i="75"/>
  <c r="FL199" i="75" s="1"/>
  <c r="AI199" i="75"/>
  <c r="FK199" i="75" s="1"/>
  <c r="AH199" i="75"/>
  <c r="FJ199" i="75" s="1"/>
  <c r="AG199" i="75"/>
  <c r="FI199" i="75" s="1"/>
  <c r="AF199" i="75"/>
  <c r="FH199" i="75" s="1"/>
  <c r="AC199" i="75"/>
  <c r="AD199" i="75" s="1"/>
  <c r="FF199" i="75" s="1"/>
  <c r="AB199" i="75"/>
  <c r="FD199" i="75" s="1"/>
  <c r="AA199" i="75"/>
  <c r="FC199" i="75" s="1"/>
  <c r="Z199" i="75"/>
  <c r="FB199" i="75" s="1"/>
  <c r="Y199" i="75"/>
  <c r="FA199" i="75" s="1"/>
  <c r="X199" i="75"/>
  <c r="EZ199" i="75" s="1"/>
  <c r="W199" i="75"/>
  <c r="EY199" i="75" s="1"/>
  <c r="V199" i="75"/>
  <c r="EX199" i="75" s="1"/>
  <c r="U199" i="75"/>
  <c r="EW199" i="75" s="1"/>
  <c r="EV199" i="75" s="1"/>
  <c r="S199" i="75"/>
  <c r="T199" i="75" s="1"/>
  <c r="EU199" i="75" s="1"/>
  <c r="R199" i="75"/>
  <c r="ES199" i="75" s="1"/>
  <c r="Q199" i="75"/>
  <c r="ER199" i="75" s="1"/>
  <c r="P199" i="75"/>
  <c r="EQ199" i="75" s="1"/>
  <c r="O199" i="75"/>
  <c r="EP199" i="75" s="1"/>
  <c r="N199" i="75"/>
  <c r="EO199" i="75" s="1"/>
  <c r="M199" i="75"/>
  <c r="EN199" i="75" s="1"/>
  <c r="L199" i="75"/>
  <c r="EM199" i="75" s="1"/>
  <c r="K199" i="75"/>
  <c r="EL199" i="75" s="1"/>
  <c r="EK199" i="75" s="1"/>
  <c r="J199" i="75"/>
  <c r="D199" i="75"/>
  <c r="B199" i="75"/>
  <c r="GF198" i="75"/>
  <c r="FY198" i="75"/>
  <c r="EI198" i="75"/>
  <c r="EJ198" i="75" s="1"/>
  <c r="EH198" i="75"/>
  <c r="EG198" i="75"/>
  <c r="EF198" i="75"/>
  <c r="EE198" i="75"/>
  <c r="ED198" i="75"/>
  <c r="EC198" i="75"/>
  <c r="EB198" i="75"/>
  <c r="EA198" i="75"/>
  <c r="DZ198" i="75" s="1"/>
  <c r="DB198" i="75"/>
  <c r="DC198" i="75" s="1"/>
  <c r="DA198" i="75"/>
  <c r="CZ198" i="75"/>
  <c r="CY198" i="75"/>
  <c r="CX198" i="75"/>
  <c r="CW198" i="75"/>
  <c r="CV198" i="75"/>
  <c r="CU198" i="75"/>
  <c r="CT198" i="75"/>
  <c r="CS198" i="75" s="1"/>
  <c r="CQ198" i="75"/>
  <c r="CR198" i="75" s="1"/>
  <c r="CP198" i="75"/>
  <c r="CO198" i="75"/>
  <c r="CN198" i="75"/>
  <c r="CM198" i="75"/>
  <c r="CL198" i="75"/>
  <c r="CK198" i="75"/>
  <c r="CJ198" i="75"/>
  <c r="CI198" i="75"/>
  <c r="CH198" i="75" s="1"/>
  <c r="CF198" i="75"/>
  <c r="CG198" i="75" s="1"/>
  <c r="CE198" i="75"/>
  <c r="CD198" i="75"/>
  <c r="CC198" i="75"/>
  <c r="CB198" i="75"/>
  <c r="CA198" i="75"/>
  <c r="BZ198" i="75"/>
  <c r="BY198" i="75"/>
  <c r="BX198" i="75"/>
  <c r="BW198" i="75" s="1"/>
  <c r="BU198" i="75"/>
  <c r="BV198" i="75" s="1"/>
  <c r="BT198" i="75"/>
  <c r="BS198" i="75"/>
  <c r="BR198" i="75"/>
  <c r="BQ198" i="75"/>
  <c r="BP198" i="75"/>
  <c r="BO198" i="75"/>
  <c r="BN198" i="75"/>
  <c r="BM198" i="75"/>
  <c r="BL198" i="75" s="1"/>
  <c r="BJ198" i="75"/>
  <c r="BI198" i="75"/>
  <c r="GK198" i="75" s="1"/>
  <c r="BH198" i="75"/>
  <c r="GJ198" i="75" s="1"/>
  <c r="BG198" i="75"/>
  <c r="GI198" i="75" s="1"/>
  <c r="BF198" i="75"/>
  <c r="GH198" i="75" s="1"/>
  <c r="BE198" i="75"/>
  <c r="GG198" i="75" s="1"/>
  <c r="BD198" i="75"/>
  <c r="BC198" i="75"/>
  <c r="GE198" i="75" s="1"/>
  <c r="BB198" i="75"/>
  <c r="GD198" i="75" s="1"/>
  <c r="AY198" i="75"/>
  <c r="AZ198" i="75" s="1"/>
  <c r="GB198" i="75" s="1"/>
  <c r="AX198" i="75"/>
  <c r="FZ198" i="75" s="1"/>
  <c r="AW198" i="75"/>
  <c r="AV198" i="75"/>
  <c r="FX198" i="75" s="1"/>
  <c r="AU198" i="75"/>
  <c r="FW198" i="75" s="1"/>
  <c r="AT198" i="75"/>
  <c r="FV198" i="75" s="1"/>
  <c r="AS198" i="75"/>
  <c r="FU198" i="75" s="1"/>
  <c r="AR198" i="75"/>
  <c r="FT198" i="75" s="1"/>
  <c r="AQ198" i="75"/>
  <c r="AP198" i="75" s="1"/>
  <c r="FR198" i="75" s="1"/>
  <c r="AN198" i="75"/>
  <c r="FP198" i="75" s="1"/>
  <c r="AM198" i="75"/>
  <c r="FO198" i="75" s="1"/>
  <c r="AL198" i="75"/>
  <c r="FN198" i="75" s="1"/>
  <c r="AK198" i="75"/>
  <c r="FM198" i="75" s="1"/>
  <c r="AJ198" i="75"/>
  <c r="FL198" i="75" s="1"/>
  <c r="AI198" i="75"/>
  <c r="FK198" i="75" s="1"/>
  <c r="AH198" i="75"/>
  <c r="FJ198" i="75" s="1"/>
  <c r="AG198" i="75"/>
  <c r="FI198" i="75" s="1"/>
  <c r="AF198" i="75"/>
  <c r="AE198" i="75" s="1"/>
  <c r="FG198" i="75" s="1"/>
  <c r="AC198" i="75"/>
  <c r="AD198" i="75" s="1"/>
  <c r="FF198" i="75" s="1"/>
  <c r="AB198" i="75"/>
  <c r="FD198" i="75" s="1"/>
  <c r="AA198" i="75"/>
  <c r="FC198" i="75" s="1"/>
  <c r="Z198" i="75"/>
  <c r="FB198" i="75" s="1"/>
  <c r="Y198" i="75"/>
  <c r="FA198" i="75" s="1"/>
  <c r="X198" i="75"/>
  <c r="EZ198" i="75" s="1"/>
  <c r="W198" i="75"/>
  <c r="EY198" i="75" s="1"/>
  <c r="V198" i="75"/>
  <c r="EX198" i="75" s="1"/>
  <c r="U198" i="75"/>
  <c r="EW198" i="75" s="1"/>
  <c r="EV198" i="75" s="1"/>
  <c r="S198" i="75"/>
  <c r="R198" i="75"/>
  <c r="ES198" i="75" s="1"/>
  <c r="Q198" i="75"/>
  <c r="ER198" i="75" s="1"/>
  <c r="P198" i="75"/>
  <c r="EQ198" i="75" s="1"/>
  <c r="O198" i="75"/>
  <c r="EP198" i="75" s="1"/>
  <c r="N198" i="75"/>
  <c r="EO198" i="75" s="1"/>
  <c r="M198" i="75"/>
  <c r="EN198" i="75" s="1"/>
  <c r="L198" i="75"/>
  <c r="EM198" i="75" s="1"/>
  <c r="K198" i="75"/>
  <c r="EL198" i="75" s="1"/>
  <c r="EK198" i="75" s="1"/>
  <c r="J198" i="75"/>
  <c r="D198" i="75"/>
  <c r="B198" i="75"/>
  <c r="EI197" i="75"/>
  <c r="EJ197" i="75" s="1"/>
  <c r="EH197" i="75"/>
  <c r="EG197" i="75"/>
  <c r="EF197" i="75"/>
  <c r="EE197" i="75"/>
  <c r="ED197" i="75"/>
  <c r="EC197" i="75"/>
  <c r="EB197" i="75"/>
  <c r="EA197" i="75"/>
  <c r="DZ197" i="75" s="1"/>
  <c r="DB197" i="75"/>
  <c r="DC197" i="75" s="1"/>
  <c r="DA197" i="75"/>
  <c r="CZ197" i="75"/>
  <c r="CY197" i="75"/>
  <c r="CX197" i="75"/>
  <c r="CW197" i="75"/>
  <c r="CV197" i="75"/>
  <c r="CU197" i="75"/>
  <c r="CT197" i="75"/>
  <c r="CS197" i="75" s="1"/>
  <c r="CQ197" i="75"/>
  <c r="CR197" i="75" s="1"/>
  <c r="CP197" i="75"/>
  <c r="CO197" i="75"/>
  <c r="CN197" i="75"/>
  <c r="CM197" i="75"/>
  <c r="CL197" i="75"/>
  <c r="CK197" i="75"/>
  <c r="CJ197" i="75"/>
  <c r="CI197" i="75"/>
  <c r="CH197" i="75" s="1"/>
  <c r="CF197" i="75"/>
  <c r="CG197" i="75" s="1"/>
  <c r="CE197" i="75"/>
  <c r="CD197" i="75"/>
  <c r="CC197" i="75"/>
  <c r="CB197" i="75"/>
  <c r="CA197" i="75"/>
  <c r="BZ197" i="75"/>
  <c r="BY197" i="75"/>
  <c r="BX197" i="75"/>
  <c r="BW197" i="75" s="1"/>
  <c r="BU197" i="75"/>
  <c r="BV197" i="75" s="1"/>
  <c r="BT197" i="75"/>
  <c r="BS197" i="75"/>
  <c r="BR197" i="75"/>
  <c r="BQ197" i="75"/>
  <c r="BP197" i="75"/>
  <c r="BO197" i="75"/>
  <c r="BN197" i="75"/>
  <c r="BM197" i="75"/>
  <c r="BL197" i="75" s="1"/>
  <c r="BJ197" i="75"/>
  <c r="BI197" i="75"/>
  <c r="GK197" i="75" s="1"/>
  <c r="BH197" i="75"/>
  <c r="GJ197" i="75" s="1"/>
  <c r="BG197" i="75"/>
  <c r="GI197" i="75" s="1"/>
  <c r="BF197" i="75"/>
  <c r="GH197" i="75" s="1"/>
  <c r="BE197" i="75"/>
  <c r="GG197" i="75" s="1"/>
  <c r="BD197" i="75"/>
  <c r="GF197" i="75" s="1"/>
  <c r="BC197" i="75"/>
  <c r="GE197" i="75" s="1"/>
  <c r="BB197" i="75"/>
  <c r="GD197" i="75" s="1"/>
  <c r="AY197" i="75"/>
  <c r="AZ197" i="75" s="1"/>
  <c r="GB197" i="75" s="1"/>
  <c r="AX197" i="75"/>
  <c r="FZ197" i="75" s="1"/>
  <c r="AW197" i="75"/>
  <c r="FY197" i="75" s="1"/>
  <c r="AV197" i="75"/>
  <c r="FX197" i="75" s="1"/>
  <c r="AU197" i="75"/>
  <c r="FW197" i="75" s="1"/>
  <c r="AT197" i="75"/>
  <c r="FV197" i="75" s="1"/>
  <c r="AS197" i="75"/>
  <c r="FU197" i="75" s="1"/>
  <c r="AR197" i="75"/>
  <c r="FT197" i="75" s="1"/>
  <c r="AQ197" i="75"/>
  <c r="AN197" i="75"/>
  <c r="AM197" i="75"/>
  <c r="FO197" i="75" s="1"/>
  <c r="AL197" i="75"/>
  <c r="FN197" i="75" s="1"/>
  <c r="AK197" i="75"/>
  <c r="FM197" i="75" s="1"/>
  <c r="AJ197" i="75"/>
  <c r="FL197" i="75" s="1"/>
  <c r="AI197" i="75"/>
  <c r="FK197" i="75" s="1"/>
  <c r="AH197" i="75"/>
  <c r="FJ197" i="75" s="1"/>
  <c r="AG197" i="75"/>
  <c r="FI197" i="75" s="1"/>
  <c r="AF197" i="75"/>
  <c r="FH197" i="75" s="1"/>
  <c r="AC197" i="75"/>
  <c r="FE197" i="75" s="1"/>
  <c r="AB197" i="75"/>
  <c r="FD197" i="75" s="1"/>
  <c r="AA197" i="75"/>
  <c r="FC197" i="75" s="1"/>
  <c r="Z197" i="75"/>
  <c r="FB197" i="75" s="1"/>
  <c r="Y197" i="75"/>
  <c r="FA197" i="75" s="1"/>
  <c r="X197" i="75"/>
  <c r="EZ197" i="75" s="1"/>
  <c r="W197" i="75"/>
  <c r="EY197" i="75" s="1"/>
  <c r="V197" i="75"/>
  <c r="EX197" i="75" s="1"/>
  <c r="U197" i="75"/>
  <c r="EW197" i="75" s="1"/>
  <c r="EV197" i="75" s="1"/>
  <c r="S197" i="75"/>
  <c r="ET197" i="75" s="1"/>
  <c r="R197" i="75"/>
  <c r="ES197" i="75" s="1"/>
  <c r="Q197" i="75"/>
  <c r="ER197" i="75" s="1"/>
  <c r="P197" i="75"/>
  <c r="EQ197" i="75" s="1"/>
  <c r="O197" i="75"/>
  <c r="EP197" i="75" s="1"/>
  <c r="N197" i="75"/>
  <c r="EO197" i="75" s="1"/>
  <c r="M197" i="75"/>
  <c r="EN197" i="75" s="1"/>
  <c r="L197" i="75"/>
  <c r="EM197" i="75" s="1"/>
  <c r="K197" i="75"/>
  <c r="EL197" i="75" s="1"/>
  <c r="EK197" i="75" s="1"/>
  <c r="J197" i="75"/>
  <c r="D197" i="75"/>
  <c r="B197" i="75"/>
  <c r="EI196" i="75"/>
  <c r="EJ196" i="75" s="1"/>
  <c r="EH196" i="75"/>
  <c r="EG196" i="75"/>
  <c r="EF196" i="75"/>
  <c r="EE196" i="75"/>
  <c r="ED196" i="75"/>
  <c r="EC196" i="75"/>
  <c r="EB196" i="75"/>
  <c r="EA196" i="75"/>
  <c r="DZ196" i="75" s="1"/>
  <c r="DB196" i="75"/>
  <c r="DC196" i="75" s="1"/>
  <c r="DA196" i="75"/>
  <c r="CZ196" i="75"/>
  <c r="CY196" i="75"/>
  <c r="CX196" i="75"/>
  <c r="CW196" i="75"/>
  <c r="CV196" i="75"/>
  <c r="CU196" i="75"/>
  <c r="CT196" i="75"/>
  <c r="CS196" i="75" s="1"/>
  <c r="CQ196" i="75"/>
  <c r="CR196" i="75" s="1"/>
  <c r="CP196" i="75"/>
  <c r="CO196" i="75"/>
  <c r="CN196" i="75"/>
  <c r="CM196" i="75"/>
  <c r="CL196" i="75"/>
  <c r="CK196" i="75"/>
  <c r="CJ196" i="75"/>
  <c r="CI196" i="75"/>
  <c r="CH196" i="75" s="1"/>
  <c r="CF196" i="75"/>
  <c r="CG196" i="75" s="1"/>
  <c r="CE196" i="75"/>
  <c r="CD196" i="75"/>
  <c r="CC196" i="75"/>
  <c r="CB196" i="75"/>
  <c r="CA196" i="75"/>
  <c r="BZ196" i="75"/>
  <c r="BY196" i="75"/>
  <c r="BX196" i="75"/>
  <c r="BW196" i="75" s="1"/>
  <c r="BU196" i="75"/>
  <c r="BV196" i="75" s="1"/>
  <c r="BT196" i="75"/>
  <c r="BS196" i="75"/>
  <c r="BR196" i="75"/>
  <c r="BQ196" i="75"/>
  <c r="BP196" i="75"/>
  <c r="BO196" i="75"/>
  <c r="BN196" i="75"/>
  <c r="BM196" i="75"/>
  <c r="BL196" i="75" s="1"/>
  <c r="BJ196" i="75"/>
  <c r="BK196" i="75" s="1"/>
  <c r="GM196" i="75" s="1"/>
  <c r="BI196" i="75"/>
  <c r="GK196" i="75" s="1"/>
  <c r="BH196" i="75"/>
  <c r="GJ196" i="75" s="1"/>
  <c r="BG196" i="75"/>
  <c r="GI196" i="75" s="1"/>
  <c r="BF196" i="75"/>
  <c r="GH196" i="75" s="1"/>
  <c r="BE196" i="75"/>
  <c r="GG196" i="75" s="1"/>
  <c r="BD196" i="75"/>
  <c r="GF196" i="75" s="1"/>
  <c r="BC196" i="75"/>
  <c r="GE196" i="75" s="1"/>
  <c r="BB196" i="75"/>
  <c r="GD196" i="75" s="1"/>
  <c r="AY196" i="75"/>
  <c r="GA196" i="75" s="1"/>
  <c r="AX196" i="75"/>
  <c r="FZ196" i="75" s="1"/>
  <c r="AW196" i="75"/>
  <c r="FY196" i="75" s="1"/>
  <c r="AV196" i="75"/>
  <c r="FX196" i="75" s="1"/>
  <c r="AU196" i="75"/>
  <c r="FW196" i="75" s="1"/>
  <c r="AT196" i="75"/>
  <c r="FV196" i="75" s="1"/>
  <c r="AS196" i="75"/>
  <c r="FU196" i="75" s="1"/>
  <c r="AR196" i="75"/>
  <c r="FT196" i="75" s="1"/>
  <c r="AQ196" i="75"/>
  <c r="AP196" i="75" s="1"/>
  <c r="FR196" i="75" s="1"/>
  <c r="AN196" i="75"/>
  <c r="AO196" i="75" s="1"/>
  <c r="FQ196" i="75" s="1"/>
  <c r="AM196" i="75"/>
  <c r="FO196" i="75" s="1"/>
  <c r="AL196" i="75"/>
  <c r="FN196" i="75" s="1"/>
  <c r="AK196" i="75"/>
  <c r="FM196" i="75" s="1"/>
  <c r="AJ196" i="75"/>
  <c r="FL196" i="75" s="1"/>
  <c r="AI196" i="75"/>
  <c r="FK196" i="75" s="1"/>
  <c r="AH196" i="75"/>
  <c r="FJ196" i="75" s="1"/>
  <c r="AG196" i="75"/>
  <c r="FI196" i="75" s="1"/>
  <c r="AF196" i="75"/>
  <c r="FH196" i="75" s="1"/>
  <c r="AC196" i="75"/>
  <c r="AD196" i="75" s="1"/>
  <c r="FF196" i="75" s="1"/>
  <c r="AB196" i="75"/>
  <c r="FD196" i="75" s="1"/>
  <c r="AA196" i="75"/>
  <c r="FC196" i="75" s="1"/>
  <c r="Z196" i="75"/>
  <c r="FB196" i="75" s="1"/>
  <c r="Y196" i="75"/>
  <c r="FA196" i="75" s="1"/>
  <c r="X196" i="75"/>
  <c r="EZ196" i="75" s="1"/>
  <c r="W196" i="75"/>
  <c r="EY196" i="75" s="1"/>
  <c r="V196" i="75"/>
  <c r="EX196" i="75" s="1"/>
  <c r="U196" i="75"/>
  <c r="EW196" i="75" s="1"/>
  <c r="EV196" i="75" s="1"/>
  <c r="S196" i="75"/>
  <c r="T196" i="75" s="1"/>
  <c r="EU196" i="75" s="1"/>
  <c r="R196" i="75"/>
  <c r="ES196" i="75" s="1"/>
  <c r="Q196" i="75"/>
  <c r="ER196" i="75" s="1"/>
  <c r="P196" i="75"/>
  <c r="EQ196" i="75" s="1"/>
  <c r="O196" i="75"/>
  <c r="EP196" i="75" s="1"/>
  <c r="N196" i="75"/>
  <c r="EO196" i="75" s="1"/>
  <c r="M196" i="75"/>
  <c r="EN196" i="75" s="1"/>
  <c r="L196" i="75"/>
  <c r="EM196" i="75" s="1"/>
  <c r="K196" i="75"/>
  <c r="EL196" i="75" s="1"/>
  <c r="EK196" i="75" s="1"/>
  <c r="J196" i="75"/>
  <c r="D196" i="75"/>
  <c r="B196" i="75"/>
  <c r="FL195" i="75"/>
  <c r="EI195" i="75"/>
  <c r="EJ195" i="75" s="1"/>
  <c r="EH195" i="75"/>
  <c r="EG195" i="75"/>
  <c r="EF195" i="75"/>
  <c r="EE195" i="75"/>
  <c r="ED195" i="75"/>
  <c r="EC195" i="75"/>
  <c r="EB195" i="75"/>
  <c r="EA195" i="75"/>
  <c r="DZ195" i="75" s="1"/>
  <c r="DB195" i="75"/>
  <c r="DC195" i="75" s="1"/>
  <c r="DA195" i="75"/>
  <c r="CZ195" i="75"/>
  <c r="CY195" i="75"/>
  <c r="CX195" i="75"/>
  <c r="CW195" i="75"/>
  <c r="CV195" i="75"/>
  <c r="CU195" i="75"/>
  <c r="CT195" i="75"/>
  <c r="CS195" i="75" s="1"/>
  <c r="CQ195" i="75"/>
  <c r="CR195" i="75" s="1"/>
  <c r="CP195" i="75"/>
  <c r="CO195" i="75"/>
  <c r="CN195" i="75"/>
  <c r="CM195" i="75"/>
  <c r="CL195" i="75"/>
  <c r="CK195" i="75"/>
  <c r="CJ195" i="75"/>
  <c r="CI195" i="75"/>
  <c r="CH195" i="75" s="1"/>
  <c r="CF195" i="75"/>
  <c r="CG195" i="75" s="1"/>
  <c r="CE195" i="75"/>
  <c r="CD195" i="75"/>
  <c r="CC195" i="75"/>
  <c r="CB195" i="75"/>
  <c r="CA195" i="75"/>
  <c r="BZ195" i="75"/>
  <c r="BY195" i="75"/>
  <c r="BX195" i="75"/>
  <c r="BW195" i="75" s="1"/>
  <c r="BU195" i="75"/>
  <c r="BV195" i="75" s="1"/>
  <c r="BT195" i="75"/>
  <c r="BS195" i="75"/>
  <c r="BR195" i="75"/>
  <c r="BQ195" i="75"/>
  <c r="BP195" i="75"/>
  <c r="BO195" i="75"/>
  <c r="BN195" i="75"/>
  <c r="BM195" i="75"/>
  <c r="BL195" i="75" s="1"/>
  <c r="BJ195" i="75"/>
  <c r="GL195" i="75" s="1"/>
  <c r="BI195" i="75"/>
  <c r="GK195" i="75" s="1"/>
  <c r="BH195" i="75"/>
  <c r="GJ195" i="75" s="1"/>
  <c r="BG195" i="75"/>
  <c r="GI195" i="75" s="1"/>
  <c r="BF195" i="75"/>
  <c r="GH195" i="75" s="1"/>
  <c r="BE195" i="75"/>
  <c r="GG195" i="75" s="1"/>
  <c r="BD195" i="75"/>
  <c r="GF195" i="75" s="1"/>
  <c r="BC195" i="75"/>
  <c r="GE195" i="75" s="1"/>
  <c r="BB195" i="75"/>
  <c r="AY195" i="75"/>
  <c r="AZ195" i="75" s="1"/>
  <c r="GB195" i="75" s="1"/>
  <c r="AX195" i="75"/>
  <c r="FZ195" i="75" s="1"/>
  <c r="AW195" i="75"/>
  <c r="FY195" i="75" s="1"/>
  <c r="AV195" i="75"/>
  <c r="FX195" i="75" s="1"/>
  <c r="AU195" i="75"/>
  <c r="FW195" i="75" s="1"/>
  <c r="AT195" i="75"/>
  <c r="FV195" i="75" s="1"/>
  <c r="AS195" i="75"/>
  <c r="FU195" i="75" s="1"/>
  <c r="AR195" i="75"/>
  <c r="FT195" i="75" s="1"/>
  <c r="AQ195" i="75"/>
  <c r="FS195" i="75" s="1"/>
  <c r="AN195" i="75"/>
  <c r="AM195" i="75"/>
  <c r="FO195" i="75" s="1"/>
  <c r="AL195" i="75"/>
  <c r="FN195" i="75" s="1"/>
  <c r="AK195" i="75"/>
  <c r="FM195" i="75" s="1"/>
  <c r="AJ195" i="75"/>
  <c r="AI195" i="75"/>
  <c r="FK195" i="75" s="1"/>
  <c r="AH195" i="75"/>
  <c r="FJ195" i="75" s="1"/>
  <c r="AG195" i="75"/>
  <c r="FI195" i="75" s="1"/>
  <c r="AF195" i="75"/>
  <c r="FH195" i="75" s="1"/>
  <c r="AC195" i="75"/>
  <c r="AD195" i="75" s="1"/>
  <c r="FF195" i="75" s="1"/>
  <c r="AB195" i="75"/>
  <c r="FD195" i="75" s="1"/>
  <c r="AA195" i="75"/>
  <c r="FC195" i="75" s="1"/>
  <c r="Z195" i="75"/>
  <c r="FB195" i="75" s="1"/>
  <c r="Y195" i="75"/>
  <c r="FA195" i="75" s="1"/>
  <c r="X195" i="75"/>
  <c r="EZ195" i="75" s="1"/>
  <c r="W195" i="75"/>
  <c r="EY195" i="75" s="1"/>
  <c r="V195" i="75"/>
  <c r="EX195" i="75" s="1"/>
  <c r="U195" i="75"/>
  <c r="EW195" i="75" s="1"/>
  <c r="EV195" i="75" s="1"/>
  <c r="S195" i="75"/>
  <c r="R195" i="75"/>
  <c r="ES195" i="75" s="1"/>
  <c r="Q195" i="75"/>
  <c r="ER195" i="75" s="1"/>
  <c r="P195" i="75"/>
  <c r="EQ195" i="75" s="1"/>
  <c r="O195" i="75"/>
  <c r="EP195" i="75" s="1"/>
  <c r="N195" i="75"/>
  <c r="EO195" i="75" s="1"/>
  <c r="M195" i="75"/>
  <c r="EN195" i="75" s="1"/>
  <c r="L195" i="75"/>
  <c r="EM195" i="75" s="1"/>
  <c r="K195" i="75"/>
  <c r="EL195" i="75" s="1"/>
  <c r="EK195" i="75" s="1"/>
  <c r="J195" i="75"/>
  <c r="D195" i="75"/>
  <c r="B195" i="75"/>
  <c r="EI194" i="75"/>
  <c r="EJ194" i="75" s="1"/>
  <c r="EH194" i="75"/>
  <c r="EG194" i="75"/>
  <c r="EF194" i="75"/>
  <c r="EE194" i="75"/>
  <c r="ED194" i="75"/>
  <c r="EC194" i="75"/>
  <c r="EB194" i="75"/>
  <c r="EA194" i="75"/>
  <c r="DZ194" i="75" s="1"/>
  <c r="DB194" i="75"/>
  <c r="DC194" i="75" s="1"/>
  <c r="DA194" i="75"/>
  <c r="CZ194" i="75"/>
  <c r="CY194" i="75"/>
  <c r="CX194" i="75"/>
  <c r="CW194" i="75"/>
  <c r="CV194" i="75"/>
  <c r="CU194" i="75"/>
  <c r="CT194" i="75"/>
  <c r="CS194" i="75" s="1"/>
  <c r="CQ194" i="75"/>
  <c r="CR194" i="75" s="1"/>
  <c r="CP194" i="75"/>
  <c r="CO194" i="75"/>
  <c r="CN194" i="75"/>
  <c r="CM194" i="75"/>
  <c r="CL194" i="75"/>
  <c r="CK194" i="75"/>
  <c r="CJ194" i="75"/>
  <c r="CI194" i="75"/>
  <c r="CH194" i="75" s="1"/>
  <c r="CF194" i="75"/>
  <c r="CG194" i="75" s="1"/>
  <c r="CE194" i="75"/>
  <c r="CD194" i="75"/>
  <c r="CC194" i="75"/>
  <c r="CB194" i="75"/>
  <c r="CA194" i="75"/>
  <c r="BZ194" i="75"/>
  <c r="BY194" i="75"/>
  <c r="BX194" i="75"/>
  <c r="BW194" i="75" s="1"/>
  <c r="BU194" i="75"/>
  <c r="BV194" i="75" s="1"/>
  <c r="BT194" i="75"/>
  <c r="BS194" i="75"/>
  <c r="BR194" i="75"/>
  <c r="BQ194" i="75"/>
  <c r="BP194" i="75"/>
  <c r="BO194" i="75"/>
  <c r="BN194" i="75"/>
  <c r="BM194" i="75"/>
  <c r="BL194" i="75" s="1"/>
  <c r="BJ194" i="75"/>
  <c r="BK194" i="75" s="1"/>
  <c r="GM194" i="75" s="1"/>
  <c r="BI194" i="75"/>
  <c r="GK194" i="75" s="1"/>
  <c r="BH194" i="75"/>
  <c r="GJ194" i="75" s="1"/>
  <c r="BG194" i="75"/>
  <c r="GI194" i="75" s="1"/>
  <c r="BF194" i="75"/>
  <c r="GH194" i="75" s="1"/>
  <c r="BE194" i="75"/>
  <c r="GG194" i="75" s="1"/>
  <c r="BD194" i="75"/>
  <c r="GF194" i="75" s="1"/>
  <c r="BC194" i="75"/>
  <c r="GE194" i="75" s="1"/>
  <c r="BB194" i="75"/>
  <c r="AY194" i="75"/>
  <c r="AZ194" i="75" s="1"/>
  <c r="GB194" i="75" s="1"/>
  <c r="AX194" i="75"/>
  <c r="FZ194" i="75" s="1"/>
  <c r="AW194" i="75"/>
  <c r="FY194" i="75" s="1"/>
  <c r="AV194" i="75"/>
  <c r="FX194" i="75" s="1"/>
  <c r="AU194" i="75"/>
  <c r="FW194" i="75" s="1"/>
  <c r="AT194" i="75"/>
  <c r="FV194" i="75" s="1"/>
  <c r="AS194" i="75"/>
  <c r="FU194" i="75" s="1"/>
  <c r="AR194" i="75"/>
  <c r="FT194" i="75" s="1"/>
  <c r="AQ194" i="75"/>
  <c r="AN194" i="75"/>
  <c r="FP194" i="75" s="1"/>
  <c r="AM194" i="75"/>
  <c r="FO194" i="75" s="1"/>
  <c r="AL194" i="75"/>
  <c r="FN194" i="75" s="1"/>
  <c r="AK194" i="75"/>
  <c r="FM194" i="75" s="1"/>
  <c r="AJ194" i="75"/>
  <c r="FL194" i="75" s="1"/>
  <c r="AI194" i="75"/>
  <c r="FK194" i="75" s="1"/>
  <c r="AH194" i="75"/>
  <c r="FJ194" i="75" s="1"/>
  <c r="AG194" i="75"/>
  <c r="FI194" i="75" s="1"/>
  <c r="AF194" i="75"/>
  <c r="FH194" i="75" s="1"/>
  <c r="AE194" i="75"/>
  <c r="FG194" i="75" s="1"/>
  <c r="AC194" i="75"/>
  <c r="FE194" i="75" s="1"/>
  <c r="AB194" i="75"/>
  <c r="FD194" i="75" s="1"/>
  <c r="AA194" i="75"/>
  <c r="FC194" i="75" s="1"/>
  <c r="Z194" i="75"/>
  <c r="FB194" i="75" s="1"/>
  <c r="Y194" i="75"/>
  <c r="FA194" i="75" s="1"/>
  <c r="X194" i="75"/>
  <c r="EZ194" i="75" s="1"/>
  <c r="W194" i="75"/>
  <c r="EY194" i="75" s="1"/>
  <c r="V194" i="75"/>
  <c r="EX194" i="75" s="1"/>
  <c r="U194" i="75"/>
  <c r="EW194" i="75" s="1"/>
  <c r="EV194" i="75" s="1"/>
  <c r="S194" i="75"/>
  <c r="R194" i="75"/>
  <c r="ES194" i="75" s="1"/>
  <c r="Q194" i="75"/>
  <c r="ER194" i="75" s="1"/>
  <c r="P194" i="75"/>
  <c r="EQ194" i="75" s="1"/>
  <c r="O194" i="75"/>
  <c r="EP194" i="75" s="1"/>
  <c r="N194" i="75"/>
  <c r="EO194" i="75" s="1"/>
  <c r="M194" i="75"/>
  <c r="EN194" i="75" s="1"/>
  <c r="L194" i="75"/>
  <c r="EM194" i="75" s="1"/>
  <c r="K194" i="75"/>
  <c r="EL194" i="75" s="1"/>
  <c r="EK194" i="75" s="1"/>
  <c r="J194" i="75"/>
  <c r="D194" i="75"/>
  <c r="B194" i="75"/>
  <c r="EI193" i="75"/>
  <c r="EJ193" i="75" s="1"/>
  <c r="EH193" i="75"/>
  <c r="EG193" i="75"/>
  <c r="EF193" i="75"/>
  <c r="EE193" i="75"/>
  <c r="ED193" i="75"/>
  <c r="EC193" i="75"/>
  <c r="EB193" i="75"/>
  <c r="EA193" i="75"/>
  <c r="DZ193" i="75" s="1"/>
  <c r="DB193" i="75"/>
  <c r="DC193" i="75" s="1"/>
  <c r="DA193" i="75"/>
  <c r="CZ193" i="75"/>
  <c r="CY193" i="75"/>
  <c r="CX193" i="75"/>
  <c r="CW193" i="75"/>
  <c r="CV193" i="75"/>
  <c r="CU193" i="75"/>
  <c r="CT193" i="75"/>
  <c r="CS193" i="75" s="1"/>
  <c r="CQ193" i="75"/>
  <c r="CR193" i="75" s="1"/>
  <c r="CP193" i="75"/>
  <c r="CO193" i="75"/>
  <c r="CN193" i="75"/>
  <c r="CM193" i="75"/>
  <c r="CL193" i="75"/>
  <c r="CK193" i="75"/>
  <c r="CJ193" i="75"/>
  <c r="CI193" i="75"/>
  <c r="CH193" i="75" s="1"/>
  <c r="CF193" i="75"/>
  <c r="CG193" i="75" s="1"/>
  <c r="CE193" i="75"/>
  <c r="CD193" i="75"/>
  <c r="CC193" i="75"/>
  <c r="CB193" i="75"/>
  <c r="CA193" i="75"/>
  <c r="BZ193" i="75"/>
  <c r="BY193" i="75"/>
  <c r="BX193" i="75"/>
  <c r="BW193" i="75" s="1"/>
  <c r="BU193" i="75"/>
  <c r="BV193" i="75" s="1"/>
  <c r="BT193" i="75"/>
  <c r="BS193" i="75"/>
  <c r="BR193" i="75"/>
  <c r="BQ193" i="75"/>
  <c r="BP193" i="75"/>
  <c r="BO193" i="75"/>
  <c r="BN193" i="75"/>
  <c r="BM193" i="75"/>
  <c r="BL193" i="75" s="1"/>
  <c r="BJ193" i="75"/>
  <c r="GL193" i="75" s="1"/>
  <c r="BI193" i="75"/>
  <c r="GK193" i="75" s="1"/>
  <c r="BH193" i="75"/>
  <c r="GJ193" i="75" s="1"/>
  <c r="BG193" i="75"/>
  <c r="GI193" i="75" s="1"/>
  <c r="BF193" i="75"/>
  <c r="GH193" i="75" s="1"/>
  <c r="BE193" i="75"/>
  <c r="GG193" i="75" s="1"/>
  <c r="BD193" i="75"/>
  <c r="GF193" i="75" s="1"/>
  <c r="BC193" i="75"/>
  <c r="GE193" i="75" s="1"/>
  <c r="BB193" i="75"/>
  <c r="GD193" i="75" s="1"/>
  <c r="AY193" i="75"/>
  <c r="AX193" i="75"/>
  <c r="FZ193" i="75" s="1"/>
  <c r="AW193" i="75"/>
  <c r="FY193" i="75" s="1"/>
  <c r="AV193" i="75"/>
  <c r="FX193" i="75" s="1"/>
  <c r="AU193" i="75"/>
  <c r="FW193" i="75" s="1"/>
  <c r="AT193" i="75"/>
  <c r="FV193" i="75" s="1"/>
  <c r="AS193" i="75"/>
  <c r="FU193" i="75" s="1"/>
  <c r="AR193" i="75"/>
  <c r="FT193" i="75" s="1"/>
  <c r="AQ193" i="75"/>
  <c r="AP193" i="75" s="1"/>
  <c r="FR193" i="75" s="1"/>
  <c r="AN193" i="75"/>
  <c r="AO193" i="75" s="1"/>
  <c r="FQ193" i="75" s="1"/>
  <c r="AM193" i="75"/>
  <c r="FO193" i="75" s="1"/>
  <c r="AL193" i="75"/>
  <c r="FN193" i="75" s="1"/>
  <c r="AK193" i="75"/>
  <c r="FM193" i="75" s="1"/>
  <c r="AJ193" i="75"/>
  <c r="FL193" i="75" s="1"/>
  <c r="AI193" i="75"/>
  <c r="FK193" i="75" s="1"/>
  <c r="AH193" i="75"/>
  <c r="FJ193" i="75" s="1"/>
  <c r="AG193" i="75"/>
  <c r="FI193" i="75" s="1"/>
  <c r="AF193" i="75"/>
  <c r="FH193" i="75" s="1"/>
  <c r="AC193" i="75"/>
  <c r="AD193" i="75" s="1"/>
  <c r="FF193" i="75" s="1"/>
  <c r="AB193" i="75"/>
  <c r="FD193" i="75" s="1"/>
  <c r="AA193" i="75"/>
  <c r="FC193" i="75" s="1"/>
  <c r="Z193" i="75"/>
  <c r="FB193" i="75" s="1"/>
  <c r="Y193" i="75"/>
  <c r="FA193" i="75" s="1"/>
  <c r="X193" i="75"/>
  <c r="EZ193" i="75" s="1"/>
  <c r="W193" i="75"/>
  <c r="EY193" i="75" s="1"/>
  <c r="V193" i="75"/>
  <c r="EX193" i="75" s="1"/>
  <c r="U193" i="75"/>
  <c r="EW193" i="75" s="1"/>
  <c r="EV193" i="75" s="1"/>
  <c r="S193" i="75"/>
  <c r="T193" i="75" s="1"/>
  <c r="EU193" i="75" s="1"/>
  <c r="R193" i="75"/>
  <c r="ES193" i="75" s="1"/>
  <c r="Q193" i="75"/>
  <c r="ER193" i="75" s="1"/>
  <c r="P193" i="75"/>
  <c r="EQ193" i="75" s="1"/>
  <c r="O193" i="75"/>
  <c r="EP193" i="75" s="1"/>
  <c r="N193" i="75"/>
  <c r="EO193" i="75" s="1"/>
  <c r="M193" i="75"/>
  <c r="EN193" i="75" s="1"/>
  <c r="L193" i="75"/>
  <c r="EM193" i="75" s="1"/>
  <c r="K193" i="75"/>
  <c r="EL193" i="75" s="1"/>
  <c r="EK193" i="75" s="1"/>
  <c r="J193" i="75"/>
  <c r="D193" i="75"/>
  <c r="B193" i="75"/>
  <c r="FM192" i="75"/>
  <c r="FL192" i="75"/>
  <c r="ES192" i="75"/>
  <c r="EI192" i="75"/>
  <c r="EJ192" i="75" s="1"/>
  <c r="EH192" i="75"/>
  <c r="EG192" i="75"/>
  <c r="EF192" i="75"/>
  <c r="EE192" i="75"/>
  <c r="ED192" i="75"/>
  <c r="EC192" i="75"/>
  <c r="EB192" i="75"/>
  <c r="EA192" i="75"/>
  <c r="DZ192" i="75"/>
  <c r="DB192" i="75"/>
  <c r="DC192" i="75" s="1"/>
  <c r="DA192" i="75"/>
  <c r="CZ192" i="75"/>
  <c r="CY192" i="75"/>
  <c r="CX192" i="75"/>
  <c r="CW192" i="75"/>
  <c r="CV192" i="75"/>
  <c r="CU192" i="75"/>
  <c r="CT192" i="75"/>
  <c r="CS192" i="75" s="1"/>
  <c r="CQ192" i="75"/>
  <c r="CR192" i="75" s="1"/>
  <c r="CP192" i="75"/>
  <c r="CO192" i="75"/>
  <c r="CN192" i="75"/>
  <c r="CM192" i="75"/>
  <c r="CL192" i="75"/>
  <c r="CK192" i="75"/>
  <c r="CJ192" i="75"/>
  <c r="CI192" i="75"/>
  <c r="CH192" i="75" s="1"/>
  <c r="CF192" i="75"/>
  <c r="CG192" i="75" s="1"/>
  <c r="CE192" i="75"/>
  <c r="CD192" i="75"/>
  <c r="CC192" i="75"/>
  <c r="CB192" i="75"/>
  <c r="CA192" i="75"/>
  <c r="BZ192" i="75"/>
  <c r="BY192" i="75"/>
  <c r="BX192" i="75"/>
  <c r="BW192" i="75" s="1"/>
  <c r="BU192" i="75"/>
  <c r="BV192" i="75" s="1"/>
  <c r="BT192" i="75"/>
  <c r="BS192" i="75"/>
  <c r="BR192" i="75"/>
  <c r="BQ192" i="75"/>
  <c r="BP192" i="75"/>
  <c r="BO192" i="75"/>
  <c r="BN192" i="75"/>
  <c r="BM192" i="75"/>
  <c r="BL192" i="75" s="1"/>
  <c r="BJ192" i="75"/>
  <c r="GL192" i="75" s="1"/>
  <c r="BI192" i="75"/>
  <c r="GK192" i="75" s="1"/>
  <c r="BH192" i="75"/>
  <c r="GJ192" i="75" s="1"/>
  <c r="BG192" i="75"/>
  <c r="GI192" i="75" s="1"/>
  <c r="BF192" i="75"/>
  <c r="GH192" i="75" s="1"/>
  <c r="BE192" i="75"/>
  <c r="GG192" i="75" s="1"/>
  <c r="BD192" i="75"/>
  <c r="GF192" i="75" s="1"/>
  <c r="BC192" i="75"/>
  <c r="GE192" i="75" s="1"/>
  <c r="BB192" i="75"/>
  <c r="GD192" i="75" s="1"/>
  <c r="AY192" i="75"/>
  <c r="GA192" i="75" s="1"/>
  <c r="AX192" i="75"/>
  <c r="FZ192" i="75" s="1"/>
  <c r="AW192" i="75"/>
  <c r="FY192" i="75" s="1"/>
  <c r="AV192" i="75"/>
  <c r="FX192" i="75" s="1"/>
  <c r="AU192" i="75"/>
  <c r="FW192" i="75" s="1"/>
  <c r="AT192" i="75"/>
  <c r="FV192" i="75" s="1"/>
  <c r="AS192" i="75"/>
  <c r="FU192" i="75" s="1"/>
  <c r="AR192" i="75"/>
  <c r="FT192" i="75" s="1"/>
  <c r="AQ192" i="75"/>
  <c r="FS192" i="75" s="1"/>
  <c r="AN192" i="75"/>
  <c r="FP192" i="75" s="1"/>
  <c r="AM192" i="75"/>
  <c r="FO192" i="75" s="1"/>
  <c r="AL192" i="75"/>
  <c r="FN192" i="75" s="1"/>
  <c r="AK192" i="75"/>
  <c r="AJ192" i="75"/>
  <c r="AI192" i="75"/>
  <c r="FK192" i="75" s="1"/>
  <c r="AH192" i="75"/>
  <c r="FJ192" i="75" s="1"/>
  <c r="AG192" i="75"/>
  <c r="FI192" i="75" s="1"/>
  <c r="AF192" i="75"/>
  <c r="AE192" i="75" s="1"/>
  <c r="FG192" i="75" s="1"/>
  <c r="AC192" i="75"/>
  <c r="FE192" i="75" s="1"/>
  <c r="AB192" i="75"/>
  <c r="FD192" i="75" s="1"/>
  <c r="AA192" i="75"/>
  <c r="FC192" i="75" s="1"/>
  <c r="Z192" i="75"/>
  <c r="FB192" i="75" s="1"/>
  <c r="Y192" i="75"/>
  <c r="FA192" i="75" s="1"/>
  <c r="X192" i="75"/>
  <c r="EZ192" i="75" s="1"/>
  <c r="W192" i="75"/>
  <c r="EY192" i="75" s="1"/>
  <c r="V192" i="75"/>
  <c r="EX192" i="75" s="1"/>
  <c r="U192" i="75"/>
  <c r="EW192" i="75" s="1"/>
  <c r="EV192" i="75" s="1"/>
  <c r="S192" i="75"/>
  <c r="ET192" i="75" s="1"/>
  <c r="R192" i="75"/>
  <c r="Q192" i="75"/>
  <c r="ER192" i="75" s="1"/>
  <c r="P192" i="75"/>
  <c r="EQ192" i="75" s="1"/>
  <c r="O192" i="75"/>
  <c r="EP192" i="75" s="1"/>
  <c r="N192" i="75"/>
  <c r="EO192" i="75" s="1"/>
  <c r="M192" i="75"/>
  <c r="EN192" i="75" s="1"/>
  <c r="L192" i="75"/>
  <c r="EM192" i="75" s="1"/>
  <c r="K192" i="75"/>
  <c r="EL192" i="75" s="1"/>
  <c r="EK192" i="75" s="1"/>
  <c r="J192" i="75"/>
  <c r="D192" i="75"/>
  <c r="B192" i="75"/>
  <c r="GL191" i="75"/>
  <c r="EI191" i="75"/>
  <c r="EJ191" i="75" s="1"/>
  <c r="EH191" i="75"/>
  <c r="EG191" i="75"/>
  <c r="EF191" i="75"/>
  <c r="EE191" i="75"/>
  <c r="ED191" i="75"/>
  <c r="EC191" i="75"/>
  <c r="EB191" i="75"/>
  <c r="EA191" i="75"/>
  <c r="DZ191" i="75" s="1"/>
  <c r="DB191" i="75"/>
  <c r="DC191" i="75" s="1"/>
  <c r="DA191" i="75"/>
  <c r="CZ191" i="75"/>
  <c r="CY191" i="75"/>
  <c r="CX191" i="75"/>
  <c r="CW191" i="75"/>
  <c r="CV191" i="75"/>
  <c r="CU191" i="75"/>
  <c r="CT191" i="75"/>
  <c r="CS191" i="75" s="1"/>
  <c r="CQ191" i="75"/>
  <c r="CR191" i="75" s="1"/>
  <c r="CP191" i="75"/>
  <c r="CO191" i="75"/>
  <c r="CN191" i="75"/>
  <c r="CM191" i="75"/>
  <c r="CL191" i="75"/>
  <c r="CK191" i="75"/>
  <c r="CJ191" i="75"/>
  <c r="CI191" i="75"/>
  <c r="CH191" i="75" s="1"/>
  <c r="CF191" i="75"/>
  <c r="CG191" i="75" s="1"/>
  <c r="CE191" i="75"/>
  <c r="CD191" i="75"/>
  <c r="CC191" i="75"/>
  <c r="CB191" i="75"/>
  <c r="CA191" i="75"/>
  <c r="BZ191" i="75"/>
  <c r="BY191" i="75"/>
  <c r="BX191" i="75"/>
  <c r="BW191" i="75" s="1"/>
  <c r="BU191" i="75"/>
  <c r="BV191" i="75" s="1"/>
  <c r="BT191" i="75"/>
  <c r="BS191" i="75"/>
  <c r="BR191" i="75"/>
  <c r="BQ191" i="75"/>
  <c r="BP191" i="75"/>
  <c r="BO191" i="75"/>
  <c r="BN191" i="75"/>
  <c r="BM191" i="75"/>
  <c r="BL191" i="75" s="1"/>
  <c r="BJ191" i="75"/>
  <c r="BK191" i="75" s="1"/>
  <c r="GM191" i="75" s="1"/>
  <c r="BI191" i="75"/>
  <c r="GK191" i="75" s="1"/>
  <c r="BH191" i="75"/>
  <c r="GJ191" i="75" s="1"/>
  <c r="BG191" i="75"/>
  <c r="GI191" i="75" s="1"/>
  <c r="BF191" i="75"/>
  <c r="GH191" i="75" s="1"/>
  <c r="BE191" i="75"/>
  <c r="GG191" i="75" s="1"/>
  <c r="BD191" i="75"/>
  <c r="GF191" i="75" s="1"/>
  <c r="BC191" i="75"/>
  <c r="GE191" i="75" s="1"/>
  <c r="BB191" i="75"/>
  <c r="GD191" i="75" s="1"/>
  <c r="BA191" i="75"/>
  <c r="GC191" i="75" s="1"/>
  <c r="AY191" i="75"/>
  <c r="GA191" i="75" s="1"/>
  <c r="AX191" i="75"/>
  <c r="FZ191" i="75" s="1"/>
  <c r="AW191" i="75"/>
  <c r="FY191" i="75" s="1"/>
  <c r="AV191" i="75"/>
  <c r="FX191" i="75" s="1"/>
  <c r="AU191" i="75"/>
  <c r="FW191" i="75" s="1"/>
  <c r="AT191" i="75"/>
  <c r="FV191" i="75" s="1"/>
  <c r="AS191" i="75"/>
  <c r="FU191" i="75" s="1"/>
  <c r="AR191" i="75"/>
  <c r="FT191" i="75" s="1"/>
  <c r="AQ191" i="75"/>
  <c r="AN191" i="75"/>
  <c r="AM191" i="75"/>
  <c r="FO191" i="75" s="1"/>
  <c r="AL191" i="75"/>
  <c r="FN191" i="75" s="1"/>
  <c r="AK191" i="75"/>
  <c r="FM191" i="75" s="1"/>
  <c r="AJ191" i="75"/>
  <c r="FL191" i="75" s="1"/>
  <c r="AI191" i="75"/>
  <c r="FK191" i="75" s="1"/>
  <c r="AH191" i="75"/>
  <c r="FJ191" i="75" s="1"/>
  <c r="AG191" i="75"/>
  <c r="FI191" i="75" s="1"/>
  <c r="AF191" i="75"/>
  <c r="AE191" i="75" s="1"/>
  <c r="FG191" i="75" s="1"/>
  <c r="AC191" i="75"/>
  <c r="FE191" i="75" s="1"/>
  <c r="AB191" i="75"/>
  <c r="FD191" i="75" s="1"/>
  <c r="AA191" i="75"/>
  <c r="FC191" i="75" s="1"/>
  <c r="Z191" i="75"/>
  <c r="FB191" i="75" s="1"/>
  <c r="Y191" i="75"/>
  <c r="FA191" i="75" s="1"/>
  <c r="X191" i="75"/>
  <c r="EZ191" i="75" s="1"/>
  <c r="W191" i="75"/>
  <c r="EY191" i="75" s="1"/>
  <c r="V191" i="75"/>
  <c r="EX191" i="75" s="1"/>
  <c r="U191" i="75"/>
  <c r="EW191" i="75" s="1"/>
  <c r="EV191" i="75" s="1"/>
  <c r="S191" i="75"/>
  <c r="T191" i="75" s="1"/>
  <c r="EU191" i="75" s="1"/>
  <c r="R191" i="75"/>
  <c r="ES191" i="75" s="1"/>
  <c r="Q191" i="75"/>
  <c r="ER191" i="75" s="1"/>
  <c r="P191" i="75"/>
  <c r="EQ191" i="75" s="1"/>
  <c r="O191" i="75"/>
  <c r="EP191" i="75" s="1"/>
  <c r="N191" i="75"/>
  <c r="EO191" i="75" s="1"/>
  <c r="M191" i="75"/>
  <c r="EN191" i="75" s="1"/>
  <c r="L191" i="75"/>
  <c r="EM191" i="75" s="1"/>
  <c r="K191" i="75"/>
  <c r="EL191" i="75" s="1"/>
  <c r="EK191" i="75" s="1"/>
  <c r="J191" i="75"/>
  <c r="D191" i="75"/>
  <c r="B191" i="75"/>
  <c r="EI190" i="75"/>
  <c r="EJ190" i="75" s="1"/>
  <c r="EH190" i="75"/>
  <c r="EG190" i="75"/>
  <c r="EF190" i="75"/>
  <c r="EE190" i="75"/>
  <c r="ED190" i="75"/>
  <c r="EC190" i="75"/>
  <c r="EB190" i="75"/>
  <c r="EA190" i="75"/>
  <c r="DZ190" i="75" s="1"/>
  <c r="DB190" i="75"/>
  <c r="DC190" i="75" s="1"/>
  <c r="DA190" i="75"/>
  <c r="CZ190" i="75"/>
  <c r="CY190" i="75"/>
  <c r="CX190" i="75"/>
  <c r="CW190" i="75"/>
  <c r="CV190" i="75"/>
  <c r="CU190" i="75"/>
  <c r="CT190" i="75"/>
  <c r="CS190" i="75" s="1"/>
  <c r="CQ190" i="75"/>
  <c r="CR190" i="75" s="1"/>
  <c r="CP190" i="75"/>
  <c r="CO190" i="75"/>
  <c r="CN190" i="75"/>
  <c r="CM190" i="75"/>
  <c r="CL190" i="75"/>
  <c r="CK190" i="75"/>
  <c r="CJ190" i="75"/>
  <c r="CI190" i="75"/>
  <c r="CH190" i="75" s="1"/>
  <c r="CF190" i="75"/>
  <c r="CG190" i="75" s="1"/>
  <c r="CE190" i="75"/>
  <c r="CD190" i="75"/>
  <c r="CC190" i="75"/>
  <c r="CB190" i="75"/>
  <c r="CA190" i="75"/>
  <c r="BZ190" i="75"/>
  <c r="BY190" i="75"/>
  <c r="BX190" i="75"/>
  <c r="BW190" i="75" s="1"/>
  <c r="BU190" i="75"/>
  <c r="BV190" i="75" s="1"/>
  <c r="BT190" i="75"/>
  <c r="BS190" i="75"/>
  <c r="BR190" i="75"/>
  <c r="BQ190" i="75"/>
  <c r="BP190" i="75"/>
  <c r="BO190" i="75"/>
  <c r="BN190" i="75"/>
  <c r="BM190" i="75"/>
  <c r="BL190" i="75" s="1"/>
  <c r="BJ190" i="75"/>
  <c r="BK190" i="75" s="1"/>
  <c r="GM190" i="75" s="1"/>
  <c r="BI190" i="75"/>
  <c r="GK190" i="75" s="1"/>
  <c r="BH190" i="75"/>
  <c r="GJ190" i="75" s="1"/>
  <c r="BG190" i="75"/>
  <c r="GI190" i="75" s="1"/>
  <c r="BF190" i="75"/>
  <c r="GH190" i="75" s="1"/>
  <c r="BE190" i="75"/>
  <c r="GG190" i="75" s="1"/>
  <c r="BD190" i="75"/>
  <c r="GF190" i="75" s="1"/>
  <c r="BC190" i="75"/>
  <c r="GE190" i="75" s="1"/>
  <c r="BB190" i="75"/>
  <c r="GD190" i="75" s="1"/>
  <c r="AY190" i="75"/>
  <c r="AZ190" i="75" s="1"/>
  <c r="GB190" i="75" s="1"/>
  <c r="AX190" i="75"/>
  <c r="FZ190" i="75" s="1"/>
  <c r="AW190" i="75"/>
  <c r="FY190" i="75" s="1"/>
  <c r="AV190" i="75"/>
  <c r="FX190" i="75" s="1"/>
  <c r="AU190" i="75"/>
  <c r="FW190" i="75" s="1"/>
  <c r="AT190" i="75"/>
  <c r="FV190" i="75" s="1"/>
  <c r="AS190" i="75"/>
  <c r="FU190" i="75" s="1"/>
  <c r="AR190" i="75"/>
  <c r="FT190" i="75" s="1"/>
  <c r="AQ190" i="75"/>
  <c r="AN190" i="75"/>
  <c r="AO190" i="75" s="1"/>
  <c r="FQ190" i="75" s="1"/>
  <c r="AM190" i="75"/>
  <c r="FO190" i="75" s="1"/>
  <c r="AL190" i="75"/>
  <c r="FN190" i="75" s="1"/>
  <c r="AK190" i="75"/>
  <c r="FM190" i="75" s="1"/>
  <c r="AJ190" i="75"/>
  <c r="FL190" i="75" s="1"/>
  <c r="AI190" i="75"/>
  <c r="FK190" i="75" s="1"/>
  <c r="AH190" i="75"/>
  <c r="FJ190" i="75" s="1"/>
  <c r="AG190" i="75"/>
  <c r="FI190" i="75" s="1"/>
  <c r="AF190" i="75"/>
  <c r="AE190" i="75" s="1"/>
  <c r="FG190" i="75" s="1"/>
  <c r="AC190" i="75"/>
  <c r="AB190" i="75"/>
  <c r="FD190" i="75" s="1"/>
  <c r="AA190" i="75"/>
  <c r="FC190" i="75" s="1"/>
  <c r="Z190" i="75"/>
  <c r="FB190" i="75" s="1"/>
  <c r="Y190" i="75"/>
  <c r="FA190" i="75" s="1"/>
  <c r="X190" i="75"/>
  <c r="EZ190" i="75" s="1"/>
  <c r="W190" i="75"/>
  <c r="EY190" i="75" s="1"/>
  <c r="V190" i="75"/>
  <c r="EX190" i="75" s="1"/>
  <c r="U190" i="75"/>
  <c r="EW190" i="75" s="1"/>
  <c r="EV190" i="75" s="1"/>
  <c r="S190" i="75"/>
  <c r="T190" i="75" s="1"/>
  <c r="EU190" i="75" s="1"/>
  <c r="R190" i="75"/>
  <c r="ES190" i="75" s="1"/>
  <c r="Q190" i="75"/>
  <c r="ER190" i="75" s="1"/>
  <c r="P190" i="75"/>
  <c r="EQ190" i="75" s="1"/>
  <c r="O190" i="75"/>
  <c r="EP190" i="75" s="1"/>
  <c r="N190" i="75"/>
  <c r="EO190" i="75" s="1"/>
  <c r="M190" i="75"/>
  <c r="EN190" i="75" s="1"/>
  <c r="L190" i="75"/>
  <c r="EM190" i="75" s="1"/>
  <c r="K190" i="75"/>
  <c r="EL190" i="75" s="1"/>
  <c r="EK190" i="75" s="1"/>
  <c r="J190" i="75"/>
  <c r="D190" i="75"/>
  <c r="B190" i="75"/>
  <c r="EI189" i="75"/>
  <c r="EJ189" i="75" s="1"/>
  <c r="EH189" i="75"/>
  <c r="EG189" i="75"/>
  <c r="EF189" i="75"/>
  <c r="EE189" i="75"/>
  <c r="ED189" i="75"/>
  <c r="EC189" i="75"/>
  <c r="EB189" i="75"/>
  <c r="EA189" i="75"/>
  <c r="DZ189" i="75" s="1"/>
  <c r="DB189" i="75"/>
  <c r="DC189" i="75" s="1"/>
  <c r="DA189" i="75"/>
  <c r="CZ189" i="75"/>
  <c r="CY189" i="75"/>
  <c r="CX189" i="75"/>
  <c r="CW189" i="75"/>
  <c r="CV189" i="75"/>
  <c r="CU189" i="75"/>
  <c r="CT189" i="75"/>
  <c r="CS189" i="75" s="1"/>
  <c r="CQ189" i="75"/>
  <c r="CR189" i="75" s="1"/>
  <c r="CP189" i="75"/>
  <c r="CO189" i="75"/>
  <c r="CN189" i="75"/>
  <c r="CM189" i="75"/>
  <c r="CL189" i="75"/>
  <c r="CK189" i="75"/>
  <c r="CJ189" i="75"/>
  <c r="CI189" i="75"/>
  <c r="CH189" i="75"/>
  <c r="CF189" i="75"/>
  <c r="CG189" i="75" s="1"/>
  <c r="CE189" i="75"/>
  <c r="CD189" i="75"/>
  <c r="CC189" i="75"/>
  <c r="CB189" i="75"/>
  <c r="CA189" i="75"/>
  <c r="BZ189" i="75"/>
  <c r="BY189" i="75"/>
  <c r="BX189" i="75"/>
  <c r="BW189" i="75" s="1"/>
  <c r="BU189" i="75"/>
  <c r="BV189" i="75" s="1"/>
  <c r="BT189" i="75"/>
  <c r="BS189" i="75"/>
  <c r="BR189" i="75"/>
  <c r="BQ189" i="75"/>
  <c r="BP189" i="75"/>
  <c r="BO189" i="75"/>
  <c r="BN189" i="75"/>
  <c r="BM189" i="75"/>
  <c r="BL189" i="75" s="1"/>
  <c r="BJ189" i="75"/>
  <c r="GL189" i="75" s="1"/>
  <c r="BI189" i="75"/>
  <c r="GK189" i="75" s="1"/>
  <c r="BH189" i="75"/>
  <c r="GJ189" i="75" s="1"/>
  <c r="BG189" i="75"/>
  <c r="GI189" i="75" s="1"/>
  <c r="BF189" i="75"/>
  <c r="GH189" i="75" s="1"/>
  <c r="BE189" i="75"/>
  <c r="GG189" i="75" s="1"/>
  <c r="BD189" i="75"/>
  <c r="GF189" i="75" s="1"/>
  <c r="BC189" i="75"/>
  <c r="GE189" i="75" s="1"/>
  <c r="BB189" i="75"/>
  <c r="GD189" i="75" s="1"/>
  <c r="AY189" i="75"/>
  <c r="AZ189" i="75" s="1"/>
  <c r="GB189" i="75" s="1"/>
  <c r="AX189" i="75"/>
  <c r="FZ189" i="75" s="1"/>
  <c r="AW189" i="75"/>
  <c r="FY189" i="75" s="1"/>
  <c r="AV189" i="75"/>
  <c r="FX189" i="75" s="1"/>
  <c r="AU189" i="75"/>
  <c r="FW189" i="75" s="1"/>
  <c r="AT189" i="75"/>
  <c r="FV189" i="75" s="1"/>
  <c r="AS189" i="75"/>
  <c r="FU189" i="75" s="1"/>
  <c r="AR189" i="75"/>
  <c r="FT189" i="75" s="1"/>
  <c r="AQ189" i="75"/>
  <c r="FS189" i="75" s="1"/>
  <c r="AN189" i="75"/>
  <c r="FP189" i="75" s="1"/>
  <c r="AM189" i="75"/>
  <c r="FO189" i="75" s="1"/>
  <c r="AL189" i="75"/>
  <c r="FN189" i="75" s="1"/>
  <c r="AK189" i="75"/>
  <c r="FM189" i="75" s="1"/>
  <c r="AJ189" i="75"/>
  <c r="FL189" i="75" s="1"/>
  <c r="AI189" i="75"/>
  <c r="FK189" i="75" s="1"/>
  <c r="AH189" i="75"/>
  <c r="FJ189" i="75" s="1"/>
  <c r="AG189" i="75"/>
  <c r="FI189" i="75" s="1"/>
  <c r="AF189" i="75"/>
  <c r="FH189" i="75" s="1"/>
  <c r="AC189" i="75"/>
  <c r="AD189" i="75" s="1"/>
  <c r="FF189" i="75" s="1"/>
  <c r="AB189" i="75"/>
  <c r="FD189" i="75" s="1"/>
  <c r="AA189" i="75"/>
  <c r="FC189" i="75" s="1"/>
  <c r="Z189" i="75"/>
  <c r="FB189" i="75" s="1"/>
  <c r="Y189" i="75"/>
  <c r="FA189" i="75" s="1"/>
  <c r="X189" i="75"/>
  <c r="EZ189" i="75" s="1"/>
  <c r="W189" i="75"/>
  <c r="EY189" i="75" s="1"/>
  <c r="V189" i="75"/>
  <c r="EX189" i="75" s="1"/>
  <c r="U189" i="75"/>
  <c r="EW189" i="75" s="1"/>
  <c r="EV189" i="75" s="1"/>
  <c r="S189" i="75"/>
  <c r="R189" i="75"/>
  <c r="ES189" i="75" s="1"/>
  <c r="Q189" i="75"/>
  <c r="ER189" i="75" s="1"/>
  <c r="P189" i="75"/>
  <c r="EQ189" i="75" s="1"/>
  <c r="O189" i="75"/>
  <c r="EP189" i="75" s="1"/>
  <c r="N189" i="75"/>
  <c r="EO189" i="75" s="1"/>
  <c r="M189" i="75"/>
  <c r="EN189" i="75" s="1"/>
  <c r="L189" i="75"/>
  <c r="EM189" i="75" s="1"/>
  <c r="K189" i="75"/>
  <c r="EL189" i="75" s="1"/>
  <c r="EK189" i="75" s="1"/>
  <c r="J189" i="75"/>
  <c r="D189" i="75"/>
  <c r="B189" i="75"/>
  <c r="EI188" i="75"/>
  <c r="EJ188" i="75" s="1"/>
  <c r="EH188" i="75"/>
  <c r="EG188" i="75"/>
  <c r="EF188" i="75"/>
  <c r="EE188" i="75"/>
  <c r="ED188" i="75"/>
  <c r="EC188" i="75"/>
  <c r="EB188" i="75"/>
  <c r="EA188" i="75"/>
  <c r="DZ188" i="75" s="1"/>
  <c r="DB188" i="75"/>
  <c r="DC188" i="75" s="1"/>
  <c r="DA188" i="75"/>
  <c r="CZ188" i="75"/>
  <c r="CY188" i="75"/>
  <c r="CX188" i="75"/>
  <c r="CW188" i="75"/>
  <c r="CV188" i="75"/>
  <c r="CU188" i="75"/>
  <c r="CT188" i="75"/>
  <c r="CS188" i="75" s="1"/>
  <c r="CQ188" i="75"/>
  <c r="CR188" i="75" s="1"/>
  <c r="CP188" i="75"/>
  <c r="CO188" i="75"/>
  <c r="CN188" i="75"/>
  <c r="CM188" i="75"/>
  <c r="CL188" i="75"/>
  <c r="CK188" i="75"/>
  <c r="CJ188" i="75"/>
  <c r="CI188" i="75"/>
  <c r="CH188" i="75"/>
  <c r="CF188" i="75"/>
  <c r="CG188" i="75" s="1"/>
  <c r="CE188" i="75"/>
  <c r="CD188" i="75"/>
  <c r="CC188" i="75"/>
  <c r="CB188" i="75"/>
  <c r="CA188" i="75"/>
  <c r="BZ188" i="75"/>
  <c r="BY188" i="75"/>
  <c r="BX188" i="75"/>
  <c r="BW188" i="75" s="1"/>
  <c r="BU188" i="75"/>
  <c r="BV188" i="75" s="1"/>
  <c r="BT188" i="75"/>
  <c r="BS188" i="75"/>
  <c r="BR188" i="75"/>
  <c r="BQ188" i="75"/>
  <c r="BP188" i="75"/>
  <c r="BO188" i="75"/>
  <c r="BN188" i="75"/>
  <c r="BM188" i="75"/>
  <c r="BL188" i="75" s="1"/>
  <c r="BJ188" i="75"/>
  <c r="GL188" i="75" s="1"/>
  <c r="BI188" i="75"/>
  <c r="GK188" i="75" s="1"/>
  <c r="BH188" i="75"/>
  <c r="GJ188" i="75" s="1"/>
  <c r="BG188" i="75"/>
  <c r="GI188" i="75" s="1"/>
  <c r="BF188" i="75"/>
  <c r="GH188" i="75" s="1"/>
  <c r="BE188" i="75"/>
  <c r="GG188" i="75" s="1"/>
  <c r="BD188" i="75"/>
  <c r="GF188" i="75" s="1"/>
  <c r="BC188" i="75"/>
  <c r="GE188" i="75" s="1"/>
  <c r="BB188" i="75"/>
  <c r="AY188" i="75"/>
  <c r="GA188" i="75" s="1"/>
  <c r="AX188" i="75"/>
  <c r="FZ188" i="75" s="1"/>
  <c r="AW188" i="75"/>
  <c r="FY188" i="75" s="1"/>
  <c r="AV188" i="75"/>
  <c r="FX188" i="75" s="1"/>
  <c r="AU188" i="75"/>
  <c r="FW188" i="75" s="1"/>
  <c r="AT188" i="75"/>
  <c r="FV188" i="75" s="1"/>
  <c r="AS188" i="75"/>
  <c r="FU188" i="75" s="1"/>
  <c r="AR188" i="75"/>
  <c r="FT188" i="75" s="1"/>
  <c r="AQ188" i="75"/>
  <c r="AP188" i="75" s="1"/>
  <c r="FR188" i="75" s="1"/>
  <c r="AN188" i="75"/>
  <c r="AO188" i="75" s="1"/>
  <c r="FQ188" i="75" s="1"/>
  <c r="AM188" i="75"/>
  <c r="FO188" i="75" s="1"/>
  <c r="AL188" i="75"/>
  <c r="FN188" i="75" s="1"/>
  <c r="AK188" i="75"/>
  <c r="FM188" i="75" s="1"/>
  <c r="AJ188" i="75"/>
  <c r="FL188" i="75" s="1"/>
  <c r="AI188" i="75"/>
  <c r="FK188" i="75" s="1"/>
  <c r="AH188" i="75"/>
  <c r="FJ188" i="75" s="1"/>
  <c r="AG188" i="75"/>
  <c r="FI188" i="75" s="1"/>
  <c r="AF188" i="75"/>
  <c r="FH188" i="75" s="1"/>
  <c r="AC188" i="75"/>
  <c r="FE188" i="75" s="1"/>
  <c r="AB188" i="75"/>
  <c r="FD188" i="75" s="1"/>
  <c r="AA188" i="75"/>
  <c r="FC188" i="75" s="1"/>
  <c r="Z188" i="75"/>
  <c r="FB188" i="75" s="1"/>
  <c r="Y188" i="75"/>
  <c r="FA188" i="75" s="1"/>
  <c r="X188" i="75"/>
  <c r="EZ188" i="75" s="1"/>
  <c r="W188" i="75"/>
  <c r="EY188" i="75" s="1"/>
  <c r="V188" i="75"/>
  <c r="EX188" i="75" s="1"/>
  <c r="U188" i="75"/>
  <c r="EW188" i="75" s="1"/>
  <c r="EV188" i="75" s="1"/>
  <c r="S188" i="75"/>
  <c r="ET188" i="75" s="1"/>
  <c r="R188" i="75"/>
  <c r="ES188" i="75" s="1"/>
  <c r="Q188" i="75"/>
  <c r="ER188" i="75" s="1"/>
  <c r="P188" i="75"/>
  <c r="EQ188" i="75" s="1"/>
  <c r="O188" i="75"/>
  <c r="EP188" i="75" s="1"/>
  <c r="N188" i="75"/>
  <c r="EO188" i="75" s="1"/>
  <c r="M188" i="75"/>
  <c r="EN188" i="75" s="1"/>
  <c r="L188" i="75"/>
  <c r="EM188" i="75" s="1"/>
  <c r="K188" i="75"/>
  <c r="EL188" i="75" s="1"/>
  <c r="EK188" i="75" s="1"/>
  <c r="J188" i="75"/>
  <c r="D188" i="75"/>
  <c r="B188" i="75"/>
  <c r="EN187" i="75"/>
  <c r="EL187" i="75"/>
  <c r="EK187" i="75" s="1"/>
  <c r="EI187" i="75"/>
  <c r="EJ187" i="75" s="1"/>
  <c r="EH187" i="75"/>
  <c r="EG187" i="75"/>
  <c r="EF187" i="75"/>
  <c r="EE187" i="75"/>
  <c r="ED187" i="75"/>
  <c r="EC187" i="75"/>
  <c r="EB187" i="75"/>
  <c r="EA187" i="75"/>
  <c r="DZ187" i="75" s="1"/>
  <c r="DB187" i="75"/>
  <c r="DC187" i="75" s="1"/>
  <c r="DA187" i="75"/>
  <c r="CZ187" i="75"/>
  <c r="CY187" i="75"/>
  <c r="CX187" i="75"/>
  <c r="CW187" i="75"/>
  <c r="CV187" i="75"/>
  <c r="CU187" i="75"/>
  <c r="CT187" i="75"/>
  <c r="CS187" i="75" s="1"/>
  <c r="CQ187" i="75"/>
  <c r="CR187" i="75" s="1"/>
  <c r="CP187" i="75"/>
  <c r="CO187" i="75"/>
  <c r="CN187" i="75"/>
  <c r="CM187" i="75"/>
  <c r="CL187" i="75"/>
  <c r="CK187" i="75"/>
  <c r="CJ187" i="75"/>
  <c r="CI187" i="75"/>
  <c r="CH187" i="75" s="1"/>
  <c r="CF187" i="75"/>
  <c r="CG187" i="75" s="1"/>
  <c r="CE187" i="75"/>
  <c r="CD187" i="75"/>
  <c r="CC187" i="75"/>
  <c r="CB187" i="75"/>
  <c r="CA187" i="75"/>
  <c r="BZ187" i="75"/>
  <c r="BY187" i="75"/>
  <c r="BX187" i="75"/>
  <c r="BW187" i="75" s="1"/>
  <c r="BU187" i="75"/>
  <c r="BV187" i="75" s="1"/>
  <c r="BT187" i="75"/>
  <c r="BS187" i="75"/>
  <c r="BR187" i="75"/>
  <c r="BQ187" i="75"/>
  <c r="BP187" i="75"/>
  <c r="BO187" i="75"/>
  <c r="BN187" i="75"/>
  <c r="BM187" i="75"/>
  <c r="BL187" i="75" s="1"/>
  <c r="BJ187" i="75"/>
  <c r="BK187" i="75" s="1"/>
  <c r="GM187" i="75" s="1"/>
  <c r="BI187" i="75"/>
  <c r="GK187" i="75" s="1"/>
  <c r="BH187" i="75"/>
  <c r="GJ187" i="75" s="1"/>
  <c r="BG187" i="75"/>
  <c r="GI187" i="75" s="1"/>
  <c r="BF187" i="75"/>
  <c r="GH187" i="75" s="1"/>
  <c r="BE187" i="75"/>
  <c r="GG187" i="75" s="1"/>
  <c r="BD187" i="75"/>
  <c r="GF187" i="75" s="1"/>
  <c r="BC187" i="75"/>
  <c r="GE187" i="75" s="1"/>
  <c r="BB187" i="75"/>
  <c r="GD187" i="75" s="1"/>
  <c r="AY187" i="75"/>
  <c r="AZ187" i="75" s="1"/>
  <c r="GB187" i="75" s="1"/>
  <c r="AX187" i="75"/>
  <c r="FZ187" i="75" s="1"/>
  <c r="AW187" i="75"/>
  <c r="FY187" i="75" s="1"/>
  <c r="AV187" i="75"/>
  <c r="FX187" i="75" s="1"/>
  <c r="AU187" i="75"/>
  <c r="FW187" i="75" s="1"/>
  <c r="AT187" i="75"/>
  <c r="FV187" i="75" s="1"/>
  <c r="AS187" i="75"/>
  <c r="FU187" i="75" s="1"/>
  <c r="AR187" i="75"/>
  <c r="FT187" i="75" s="1"/>
  <c r="AQ187" i="75"/>
  <c r="AP187" i="75" s="1"/>
  <c r="FR187" i="75" s="1"/>
  <c r="AN187" i="75"/>
  <c r="AO187" i="75" s="1"/>
  <c r="FQ187" i="75" s="1"/>
  <c r="AM187" i="75"/>
  <c r="FO187" i="75" s="1"/>
  <c r="AL187" i="75"/>
  <c r="FN187" i="75" s="1"/>
  <c r="AK187" i="75"/>
  <c r="FM187" i="75" s="1"/>
  <c r="AJ187" i="75"/>
  <c r="FL187" i="75" s="1"/>
  <c r="AI187" i="75"/>
  <c r="FK187" i="75" s="1"/>
  <c r="AH187" i="75"/>
  <c r="FJ187" i="75" s="1"/>
  <c r="AG187" i="75"/>
  <c r="FI187" i="75" s="1"/>
  <c r="AF187" i="75"/>
  <c r="AE187" i="75" s="1"/>
  <c r="FG187" i="75" s="1"/>
  <c r="AC187" i="75"/>
  <c r="FE187" i="75" s="1"/>
  <c r="AB187" i="75"/>
  <c r="FD187" i="75" s="1"/>
  <c r="AA187" i="75"/>
  <c r="FC187" i="75" s="1"/>
  <c r="Z187" i="75"/>
  <c r="FB187" i="75" s="1"/>
  <c r="Y187" i="75"/>
  <c r="FA187" i="75" s="1"/>
  <c r="X187" i="75"/>
  <c r="EZ187" i="75" s="1"/>
  <c r="W187" i="75"/>
  <c r="EY187" i="75" s="1"/>
  <c r="V187" i="75"/>
  <c r="EX187" i="75" s="1"/>
  <c r="U187" i="75"/>
  <c r="EW187" i="75" s="1"/>
  <c r="EV187" i="75" s="1"/>
  <c r="S187" i="75"/>
  <c r="ET187" i="75" s="1"/>
  <c r="R187" i="75"/>
  <c r="ES187" i="75" s="1"/>
  <c r="Q187" i="75"/>
  <c r="ER187" i="75" s="1"/>
  <c r="P187" i="75"/>
  <c r="EQ187" i="75" s="1"/>
  <c r="O187" i="75"/>
  <c r="EP187" i="75" s="1"/>
  <c r="N187" i="75"/>
  <c r="EO187" i="75" s="1"/>
  <c r="M187" i="75"/>
  <c r="L187" i="75"/>
  <c r="EM187" i="75" s="1"/>
  <c r="K187" i="75"/>
  <c r="J187" i="75"/>
  <c r="D187" i="75"/>
  <c r="B187" i="75"/>
  <c r="FK186" i="75"/>
  <c r="EI186" i="75"/>
  <c r="EJ186" i="75" s="1"/>
  <c r="EH186" i="75"/>
  <c r="EG186" i="75"/>
  <c r="EF186" i="75"/>
  <c r="EE186" i="75"/>
  <c r="ED186" i="75"/>
  <c r="EC186" i="75"/>
  <c r="EB186" i="75"/>
  <c r="EA186" i="75"/>
  <c r="DZ186" i="75" s="1"/>
  <c r="DB186" i="75"/>
  <c r="DC186" i="75" s="1"/>
  <c r="DA186" i="75"/>
  <c r="CZ186" i="75"/>
  <c r="CY186" i="75"/>
  <c r="CX186" i="75"/>
  <c r="CW186" i="75"/>
  <c r="CV186" i="75"/>
  <c r="CU186" i="75"/>
  <c r="CT186" i="75"/>
  <c r="CS186" i="75" s="1"/>
  <c r="CQ186" i="75"/>
  <c r="CR186" i="75" s="1"/>
  <c r="CP186" i="75"/>
  <c r="CO186" i="75"/>
  <c r="CN186" i="75"/>
  <c r="CM186" i="75"/>
  <c r="CL186" i="75"/>
  <c r="CK186" i="75"/>
  <c r="CJ186" i="75"/>
  <c r="CI186" i="75"/>
  <c r="CH186" i="75" s="1"/>
  <c r="CF186" i="75"/>
  <c r="CG186" i="75" s="1"/>
  <c r="CE186" i="75"/>
  <c r="CD186" i="75"/>
  <c r="CC186" i="75"/>
  <c r="CB186" i="75"/>
  <c r="CA186" i="75"/>
  <c r="BZ186" i="75"/>
  <c r="BY186" i="75"/>
  <c r="BX186" i="75"/>
  <c r="BW186" i="75" s="1"/>
  <c r="BU186" i="75"/>
  <c r="BV186" i="75" s="1"/>
  <c r="BT186" i="75"/>
  <c r="BS186" i="75"/>
  <c r="BR186" i="75"/>
  <c r="BQ186" i="75"/>
  <c r="BP186" i="75"/>
  <c r="BO186" i="75"/>
  <c r="BN186" i="75"/>
  <c r="BM186" i="75"/>
  <c r="BL186" i="75" s="1"/>
  <c r="BJ186" i="75"/>
  <c r="BI186" i="75"/>
  <c r="GK186" i="75" s="1"/>
  <c r="BH186" i="75"/>
  <c r="GJ186" i="75" s="1"/>
  <c r="BG186" i="75"/>
  <c r="GI186" i="75" s="1"/>
  <c r="BF186" i="75"/>
  <c r="GH186" i="75" s="1"/>
  <c r="BE186" i="75"/>
  <c r="GG186" i="75" s="1"/>
  <c r="BD186" i="75"/>
  <c r="GF186" i="75" s="1"/>
  <c r="BC186" i="75"/>
  <c r="GE186" i="75" s="1"/>
  <c r="BB186" i="75"/>
  <c r="AY186" i="75"/>
  <c r="GA186" i="75" s="1"/>
  <c r="AX186" i="75"/>
  <c r="FZ186" i="75" s="1"/>
  <c r="AW186" i="75"/>
  <c r="FY186" i="75" s="1"/>
  <c r="AV186" i="75"/>
  <c r="FX186" i="75" s="1"/>
  <c r="AU186" i="75"/>
  <c r="FW186" i="75" s="1"/>
  <c r="AT186" i="75"/>
  <c r="FV186" i="75" s="1"/>
  <c r="AS186" i="75"/>
  <c r="FU186" i="75" s="1"/>
  <c r="AR186" i="75"/>
  <c r="FT186" i="75" s="1"/>
  <c r="AQ186" i="75"/>
  <c r="FS186" i="75" s="1"/>
  <c r="AN186" i="75"/>
  <c r="AO186" i="75" s="1"/>
  <c r="FQ186" i="75" s="1"/>
  <c r="AM186" i="75"/>
  <c r="FO186" i="75" s="1"/>
  <c r="AL186" i="75"/>
  <c r="FN186" i="75" s="1"/>
  <c r="AK186" i="75"/>
  <c r="FM186" i="75" s="1"/>
  <c r="AJ186" i="75"/>
  <c r="FL186" i="75" s="1"/>
  <c r="AI186" i="75"/>
  <c r="AH186" i="75"/>
  <c r="FJ186" i="75" s="1"/>
  <c r="AG186" i="75"/>
  <c r="FI186" i="75" s="1"/>
  <c r="AF186" i="75"/>
  <c r="AE186" i="75" s="1"/>
  <c r="FG186" i="75" s="1"/>
  <c r="AC186" i="75"/>
  <c r="AD186" i="75" s="1"/>
  <c r="FF186" i="75" s="1"/>
  <c r="AB186" i="75"/>
  <c r="FD186" i="75" s="1"/>
  <c r="AA186" i="75"/>
  <c r="FC186" i="75" s="1"/>
  <c r="Z186" i="75"/>
  <c r="FB186" i="75" s="1"/>
  <c r="Y186" i="75"/>
  <c r="FA186" i="75" s="1"/>
  <c r="X186" i="75"/>
  <c r="EZ186" i="75" s="1"/>
  <c r="W186" i="75"/>
  <c r="EY186" i="75" s="1"/>
  <c r="V186" i="75"/>
  <c r="EX186" i="75" s="1"/>
  <c r="U186" i="75"/>
  <c r="EW186" i="75" s="1"/>
  <c r="EV186" i="75" s="1"/>
  <c r="S186" i="75"/>
  <c r="T186" i="75" s="1"/>
  <c r="EU186" i="75" s="1"/>
  <c r="R186" i="75"/>
  <c r="ES186" i="75" s="1"/>
  <c r="Q186" i="75"/>
  <c r="ER186" i="75" s="1"/>
  <c r="P186" i="75"/>
  <c r="EQ186" i="75" s="1"/>
  <c r="O186" i="75"/>
  <c r="EP186" i="75" s="1"/>
  <c r="N186" i="75"/>
  <c r="EO186" i="75" s="1"/>
  <c r="M186" i="75"/>
  <c r="EN186" i="75" s="1"/>
  <c r="L186" i="75"/>
  <c r="EM186" i="75" s="1"/>
  <c r="K186" i="75"/>
  <c r="EL186" i="75" s="1"/>
  <c r="EK186" i="75" s="1"/>
  <c r="J186" i="75"/>
  <c r="D186" i="75"/>
  <c r="B186" i="75"/>
  <c r="EI185" i="75"/>
  <c r="EJ185" i="75" s="1"/>
  <c r="EH185" i="75"/>
  <c r="EG185" i="75"/>
  <c r="EF185" i="75"/>
  <c r="EE185" i="75"/>
  <c r="ED185" i="75"/>
  <c r="EC185" i="75"/>
  <c r="EB185" i="75"/>
  <c r="EA185" i="75"/>
  <c r="DZ185" i="75" s="1"/>
  <c r="DB185" i="75"/>
  <c r="DC185" i="75" s="1"/>
  <c r="DA185" i="75"/>
  <c r="CZ185" i="75"/>
  <c r="CY185" i="75"/>
  <c r="CX185" i="75"/>
  <c r="CW185" i="75"/>
  <c r="CV185" i="75"/>
  <c r="CU185" i="75"/>
  <c r="CT185" i="75"/>
  <c r="CS185" i="75" s="1"/>
  <c r="CQ185" i="75"/>
  <c r="CR185" i="75" s="1"/>
  <c r="CP185" i="75"/>
  <c r="CO185" i="75"/>
  <c r="CN185" i="75"/>
  <c r="CM185" i="75"/>
  <c r="CL185" i="75"/>
  <c r="CK185" i="75"/>
  <c r="CJ185" i="75"/>
  <c r="CI185" i="75"/>
  <c r="CH185" i="75" s="1"/>
  <c r="CF185" i="75"/>
  <c r="CG185" i="75" s="1"/>
  <c r="CE185" i="75"/>
  <c r="CD185" i="75"/>
  <c r="CC185" i="75"/>
  <c r="CB185" i="75"/>
  <c r="CA185" i="75"/>
  <c r="BZ185" i="75"/>
  <c r="BY185" i="75"/>
  <c r="BX185" i="75"/>
  <c r="BW185" i="75" s="1"/>
  <c r="BU185" i="75"/>
  <c r="BV185" i="75" s="1"/>
  <c r="BT185" i="75"/>
  <c r="BS185" i="75"/>
  <c r="BR185" i="75"/>
  <c r="BQ185" i="75"/>
  <c r="BP185" i="75"/>
  <c r="BO185" i="75"/>
  <c r="BN185" i="75"/>
  <c r="BM185" i="75"/>
  <c r="BL185" i="75" s="1"/>
  <c r="BJ185" i="75"/>
  <c r="GL185" i="75" s="1"/>
  <c r="BI185" i="75"/>
  <c r="GK185" i="75" s="1"/>
  <c r="BH185" i="75"/>
  <c r="GJ185" i="75" s="1"/>
  <c r="BG185" i="75"/>
  <c r="GI185" i="75" s="1"/>
  <c r="BF185" i="75"/>
  <c r="GH185" i="75" s="1"/>
  <c r="BE185" i="75"/>
  <c r="GG185" i="75" s="1"/>
  <c r="BD185" i="75"/>
  <c r="GF185" i="75" s="1"/>
  <c r="BC185" i="75"/>
  <c r="GE185" i="75" s="1"/>
  <c r="BB185" i="75"/>
  <c r="BA185" i="75" s="1"/>
  <c r="GC185" i="75" s="1"/>
  <c r="AY185" i="75"/>
  <c r="GA185" i="75" s="1"/>
  <c r="AX185" i="75"/>
  <c r="FZ185" i="75" s="1"/>
  <c r="AW185" i="75"/>
  <c r="FY185" i="75" s="1"/>
  <c r="AV185" i="75"/>
  <c r="FX185" i="75" s="1"/>
  <c r="AU185" i="75"/>
  <c r="FW185" i="75" s="1"/>
  <c r="AT185" i="75"/>
  <c r="FV185" i="75" s="1"/>
  <c r="AS185" i="75"/>
  <c r="FU185" i="75" s="1"/>
  <c r="AR185" i="75"/>
  <c r="FT185" i="75" s="1"/>
  <c r="AQ185" i="75"/>
  <c r="AP185" i="75" s="1"/>
  <c r="FR185" i="75" s="1"/>
  <c r="AN185" i="75"/>
  <c r="AO185" i="75" s="1"/>
  <c r="FQ185" i="75" s="1"/>
  <c r="AM185" i="75"/>
  <c r="FO185" i="75" s="1"/>
  <c r="AL185" i="75"/>
  <c r="FN185" i="75" s="1"/>
  <c r="AK185" i="75"/>
  <c r="FM185" i="75" s="1"/>
  <c r="AJ185" i="75"/>
  <c r="FL185" i="75" s="1"/>
  <c r="AI185" i="75"/>
  <c r="FK185" i="75" s="1"/>
  <c r="AH185" i="75"/>
  <c r="FJ185" i="75" s="1"/>
  <c r="AG185" i="75"/>
  <c r="FI185" i="75" s="1"/>
  <c r="AF185" i="75"/>
  <c r="FH185" i="75" s="1"/>
  <c r="AC185" i="75"/>
  <c r="AB185" i="75"/>
  <c r="FD185" i="75" s="1"/>
  <c r="AA185" i="75"/>
  <c r="FC185" i="75" s="1"/>
  <c r="Z185" i="75"/>
  <c r="FB185" i="75" s="1"/>
  <c r="Y185" i="75"/>
  <c r="FA185" i="75" s="1"/>
  <c r="X185" i="75"/>
  <c r="EZ185" i="75" s="1"/>
  <c r="W185" i="75"/>
  <c r="EY185" i="75" s="1"/>
  <c r="V185" i="75"/>
  <c r="EX185" i="75" s="1"/>
  <c r="U185" i="75"/>
  <c r="EW185" i="75" s="1"/>
  <c r="EV185" i="75" s="1"/>
  <c r="S185" i="75"/>
  <c r="T185" i="75" s="1"/>
  <c r="EU185" i="75" s="1"/>
  <c r="R185" i="75"/>
  <c r="ES185" i="75" s="1"/>
  <c r="Q185" i="75"/>
  <c r="ER185" i="75" s="1"/>
  <c r="P185" i="75"/>
  <c r="EQ185" i="75" s="1"/>
  <c r="O185" i="75"/>
  <c r="EP185" i="75" s="1"/>
  <c r="N185" i="75"/>
  <c r="EO185" i="75" s="1"/>
  <c r="M185" i="75"/>
  <c r="EN185" i="75" s="1"/>
  <c r="L185" i="75"/>
  <c r="EM185" i="75" s="1"/>
  <c r="K185" i="75"/>
  <c r="EL185" i="75" s="1"/>
  <c r="EK185" i="75" s="1"/>
  <c r="J185" i="75"/>
  <c r="D185" i="75"/>
  <c r="B185" i="75"/>
  <c r="EI184" i="75"/>
  <c r="EJ184" i="75" s="1"/>
  <c r="EH184" i="75"/>
  <c r="EG184" i="75"/>
  <c r="EF184" i="75"/>
  <c r="EE184" i="75"/>
  <c r="ED184" i="75"/>
  <c r="EC184" i="75"/>
  <c r="EB184" i="75"/>
  <c r="EA184" i="75"/>
  <c r="DZ184" i="75" s="1"/>
  <c r="DB184" i="75"/>
  <c r="DC184" i="75" s="1"/>
  <c r="DA184" i="75"/>
  <c r="CZ184" i="75"/>
  <c r="CY184" i="75"/>
  <c r="CX184" i="75"/>
  <c r="CW184" i="75"/>
  <c r="CV184" i="75"/>
  <c r="CU184" i="75"/>
  <c r="CT184" i="75"/>
  <c r="CS184" i="75" s="1"/>
  <c r="CQ184" i="75"/>
  <c r="CR184" i="75" s="1"/>
  <c r="CP184" i="75"/>
  <c r="CO184" i="75"/>
  <c r="CN184" i="75"/>
  <c r="CM184" i="75"/>
  <c r="CL184" i="75"/>
  <c r="CK184" i="75"/>
  <c r="CJ184" i="75"/>
  <c r="CI184" i="75"/>
  <c r="CH184" i="75"/>
  <c r="CF184" i="75"/>
  <c r="CG184" i="75" s="1"/>
  <c r="CE184" i="75"/>
  <c r="CD184" i="75"/>
  <c r="CC184" i="75"/>
  <c r="CB184" i="75"/>
  <c r="CA184" i="75"/>
  <c r="BZ184" i="75"/>
  <c r="BY184" i="75"/>
  <c r="BX184" i="75"/>
  <c r="BW184" i="75" s="1"/>
  <c r="BU184" i="75"/>
  <c r="BV184" i="75" s="1"/>
  <c r="BT184" i="75"/>
  <c r="BS184" i="75"/>
  <c r="BR184" i="75"/>
  <c r="BQ184" i="75"/>
  <c r="BP184" i="75"/>
  <c r="BO184" i="75"/>
  <c r="BN184" i="75"/>
  <c r="BM184" i="75"/>
  <c r="BL184" i="75" s="1"/>
  <c r="BJ184" i="75"/>
  <c r="BK184" i="75" s="1"/>
  <c r="GM184" i="75" s="1"/>
  <c r="BI184" i="75"/>
  <c r="GK184" i="75" s="1"/>
  <c r="BH184" i="75"/>
  <c r="GJ184" i="75" s="1"/>
  <c r="BG184" i="75"/>
  <c r="GI184" i="75" s="1"/>
  <c r="BF184" i="75"/>
  <c r="GH184" i="75" s="1"/>
  <c r="BE184" i="75"/>
  <c r="GG184" i="75" s="1"/>
  <c r="BD184" i="75"/>
  <c r="GF184" i="75" s="1"/>
  <c r="BC184" i="75"/>
  <c r="GE184" i="75" s="1"/>
  <c r="BB184" i="75"/>
  <c r="BA184" i="75" s="1"/>
  <c r="GC184" i="75" s="1"/>
  <c r="AY184" i="75"/>
  <c r="AX184" i="75"/>
  <c r="FZ184" i="75" s="1"/>
  <c r="AW184" i="75"/>
  <c r="FY184" i="75" s="1"/>
  <c r="AV184" i="75"/>
  <c r="FX184" i="75" s="1"/>
  <c r="AU184" i="75"/>
  <c r="FW184" i="75" s="1"/>
  <c r="AT184" i="75"/>
  <c r="FV184" i="75" s="1"/>
  <c r="AS184" i="75"/>
  <c r="FU184" i="75" s="1"/>
  <c r="AR184" i="75"/>
  <c r="FT184" i="75" s="1"/>
  <c r="AQ184" i="75"/>
  <c r="FS184" i="75" s="1"/>
  <c r="AN184" i="75"/>
  <c r="FP184" i="75" s="1"/>
  <c r="AM184" i="75"/>
  <c r="FO184" i="75" s="1"/>
  <c r="AL184" i="75"/>
  <c r="FN184" i="75" s="1"/>
  <c r="AK184" i="75"/>
  <c r="FM184" i="75" s="1"/>
  <c r="AJ184" i="75"/>
  <c r="FL184" i="75" s="1"/>
  <c r="AI184" i="75"/>
  <c r="FK184" i="75" s="1"/>
  <c r="AH184" i="75"/>
  <c r="FJ184" i="75" s="1"/>
  <c r="AG184" i="75"/>
  <c r="FI184" i="75" s="1"/>
  <c r="AF184" i="75"/>
  <c r="FH184" i="75" s="1"/>
  <c r="AE184" i="75"/>
  <c r="FG184" i="75" s="1"/>
  <c r="AC184" i="75"/>
  <c r="AB184" i="75"/>
  <c r="FD184" i="75" s="1"/>
  <c r="AA184" i="75"/>
  <c r="FC184" i="75" s="1"/>
  <c r="Z184" i="75"/>
  <c r="FB184" i="75" s="1"/>
  <c r="Y184" i="75"/>
  <c r="FA184" i="75" s="1"/>
  <c r="X184" i="75"/>
  <c r="EZ184" i="75" s="1"/>
  <c r="W184" i="75"/>
  <c r="EY184" i="75" s="1"/>
  <c r="V184" i="75"/>
  <c r="EX184" i="75" s="1"/>
  <c r="U184" i="75"/>
  <c r="EW184" i="75" s="1"/>
  <c r="EV184" i="75" s="1"/>
  <c r="S184" i="75"/>
  <c r="R184" i="75"/>
  <c r="ES184" i="75" s="1"/>
  <c r="Q184" i="75"/>
  <c r="ER184" i="75" s="1"/>
  <c r="P184" i="75"/>
  <c r="EQ184" i="75" s="1"/>
  <c r="O184" i="75"/>
  <c r="EP184" i="75" s="1"/>
  <c r="N184" i="75"/>
  <c r="EO184" i="75" s="1"/>
  <c r="M184" i="75"/>
  <c r="EN184" i="75" s="1"/>
  <c r="L184" i="75"/>
  <c r="EM184" i="75" s="1"/>
  <c r="K184" i="75"/>
  <c r="EL184" i="75" s="1"/>
  <c r="EK184" i="75" s="1"/>
  <c r="J184" i="75"/>
  <c r="D184" i="75"/>
  <c r="B184" i="75"/>
  <c r="GK183" i="75"/>
  <c r="FK183" i="75"/>
  <c r="EI183" i="75"/>
  <c r="EJ183" i="75" s="1"/>
  <c r="EH183" i="75"/>
  <c r="EG183" i="75"/>
  <c r="EF183" i="75"/>
  <c r="EE183" i="75"/>
  <c r="ED183" i="75"/>
  <c r="EC183" i="75"/>
  <c r="EB183" i="75"/>
  <c r="EA183" i="75"/>
  <c r="DZ183" i="75" s="1"/>
  <c r="DB183" i="75"/>
  <c r="DC183" i="75" s="1"/>
  <c r="DA183" i="75"/>
  <c r="CZ183" i="75"/>
  <c r="CY183" i="75"/>
  <c r="CX183" i="75"/>
  <c r="CW183" i="75"/>
  <c r="CV183" i="75"/>
  <c r="CU183" i="75"/>
  <c r="CT183" i="75"/>
  <c r="CS183" i="75" s="1"/>
  <c r="CQ183" i="75"/>
  <c r="CR183" i="75" s="1"/>
  <c r="CP183" i="75"/>
  <c r="CO183" i="75"/>
  <c r="CN183" i="75"/>
  <c r="CM183" i="75"/>
  <c r="CL183" i="75"/>
  <c r="CK183" i="75"/>
  <c r="CJ183" i="75"/>
  <c r="CI183" i="75"/>
  <c r="CH183" i="75" s="1"/>
  <c r="CF183" i="75"/>
  <c r="CG183" i="75" s="1"/>
  <c r="CE183" i="75"/>
  <c r="CD183" i="75"/>
  <c r="CC183" i="75"/>
  <c r="CB183" i="75"/>
  <c r="CA183" i="75"/>
  <c r="BZ183" i="75"/>
  <c r="BY183" i="75"/>
  <c r="BX183" i="75"/>
  <c r="BW183" i="75" s="1"/>
  <c r="BU183" i="75"/>
  <c r="BV183" i="75" s="1"/>
  <c r="BT183" i="75"/>
  <c r="BS183" i="75"/>
  <c r="BR183" i="75"/>
  <c r="BQ183" i="75"/>
  <c r="BP183" i="75"/>
  <c r="BO183" i="75"/>
  <c r="BN183" i="75"/>
  <c r="BM183" i="75"/>
  <c r="BL183" i="75" s="1"/>
  <c r="BJ183" i="75"/>
  <c r="GL183" i="75" s="1"/>
  <c r="BI183" i="75"/>
  <c r="BH183" i="75"/>
  <c r="GJ183" i="75" s="1"/>
  <c r="BG183" i="75"/>
  <c r="GI183" i="75" s="1"/>
  <c r="BF183" i="75"/>
  <c r="GH183" i="75" s="1"/>
  <c r="BE183" i="75"/>
  <c r="GG183" i="75" s="1"/>
  <c r="BD183" i="75"/>
  <c r="GF183" i="75" s="1"/>
  <c r="BC183" i="75"/>
  <c r="GE183" i="75" s="1"/>
  <c r="BB183" i="75"/>
  <c r="GD183" i="75" s="1"/>
  <c r="AY183" i="75"/>
  <c r="AX183" i="75"/>
  <c r="FZ183" i="75" s="1"/>
  <c r="AW183" i="75"/>
  <c r="FY183" i="75" s="1"/>
  <c r="AV183" i="75"/>
  <c r="FX183" i="75" s="1"/>
  <c r="AU183" i="75"/>
  <c r="FW183" i="75" s="1"/>
  <c r="AT183" i="75"/>
  <c r="FV183" i="75" s="1"/>
  <c r="AS183" i="75"/>
  <c r="FU183" i="75" s="1"/>
  <c r="AR183" i="75"/>
  <c r="FT183" i="75" s="1"/>
  <c r="AQ183" i="75"/>
  <c r="FS183" i="75" s="1"/>
  <c r="AN183" i="75"/>
  <c r="AO183" i="75" s="1"/>
  <c r="FQ183" i="75" s="1"/>
  <c r="AM183" i="75"/>
  <c r="FO183" i="75" s="1"/>
  <c r="AL183" i="75"/>
  <c r="FN183" i="75" s="1"/>
  <c r="AK183" i="75"/>
  <c r="FM183" i="75" s="1"/>
  <c r="AJ183" i="75"/>
  <c r="FL183" i="75" s="1"/>
  <c r="AI183" i="75"/>
  <c r="AH183" i="75"/>
  <c r="FJ183" i="75" s="1"/>
  <c r="AG183" i="75"/>
  <c r="FI183" i="75" s="1"/>
  <c r="AF183" i="75"/>
  <c r="FH183" i="75" s="1"/>
  <c r="AC183" i="75"/>
  <c r="FE183" i="75" s="1"/>
  <c r="AB183" i="75"/>
  <c r="FD183" i="75" s="1"/>
  <c r="AA183" i="75"/>
  <c r="FC183" i="75" s="1"/>
  <c r="Z183" i="75"/>
  <c r="FB183" i="75" s="1"/>
  <c r="Y183" i="75"/>
  <c r="FA183" i="75" s="1"/>
  <c r="X183" i="75"/>
  <c r="EZ183" i="75" s="1"/>
  <c r="W183" i="75"/>
  <c r="EY183" i="75" s="1"/>
  <c r="V183" i="75"/>
  <c r="EX183" i="75" s="1"/>
  <c r="U183" i="75"/>
  <c r="EW183" i="75" s="1"/>
  <c r="EV183" i="75" s="1"/>
  <c r="S183" i="75"/>
  <c r="T183" i="75" s="1"/>
  <c r="EU183" i="75" s="1"/>
  <c r="R183" i="75"/>
  <c r="ES183" i="75" s="1"/>
  <c r="Q183" i="75"/>
  <c r="ER183" i="75" s="1"/>
  <c r="P183" i="75"/>
  <c r="EQ183" i="75" s="1"/>
  <c r="O183" i="75"/>
  <c r="EP183" i="75" s="1"/>
  <c r="N183" i="75"/>
  <c r="EO183" i="75" s="1"/>
  <c r="M183" i="75"/>
  <c r="EN183" i="75" s="1"/>
  <c r="L183" i="75"/>
  <c r="EM183" i="75" s="1"/>
  <c r="K183" i="75"/>
  <c r="EL183" i="75" s="1"/>
  <c r="EK183" i="75" s="1"/>
  <c r="J183" i="75"/>
  <c r="D183" i="75"/>
  <c r="B183" i="75"/>
  <c r="EI182" i="75"/>
  <c r="EJ182" i="75" s="1"/>
  <c r="EH182" i="75"/>
  <c r="EG182" i="75"/>
  <c r="EF182" i="75"/>
  <c r="EE182" i="75"/>
  <c r="ED182" i="75"/>
  <c r="EC182" i="75"/>
  <c r="EB182" i="75"/>
  <c r="EA182" i="75"/>
  <c r="DZ182" i="75" s="1"/>
  <c r="DB182" i="75"/>
  <c r="DC182" i="75" s="1"/>
  <c r="DA182" i="75"/>
  <c r="CZ182" i="75"/>
  <c r="CY182" i="75"/>
  <c r="CX182" i="75"/>
  <c r="CW182" i="75"/>
  <c r="CV182" i="75"/>
  <c r="CU182" i="75"/>
  <c r="CT182" i="75"/>
  <c r="CS182" i="75" s="1"/>
  <c r="CQ182" i="75"/>
  <c r="CR182" i="75" s="1"/>
  <c r="CP182" i="75"/>
  <c r="CO182" i="75"/>
  <c r="CN182" i="75"/>
  <c r="CM182" i="75"/>
  <c r="CL182" i="75"/>
  <c r="CK182" i="75"/>
  <c r="CJ182" i="75"/>
  <c r="CI182" i="75"/>
  <c r="CH182" i="75"/>
  <c r="CF182" i="75"/>
  <c r="CG182" i="75" s="1"/>
  <c r="CE182" i="75"/>
  <c r="CD182" i="75"/>
  <c r="CC182" i="75"/>
  <c r="CB182" i="75"/>
  <c r="CA182" i="75"/>
  <c r="BZ182" i="75"/>
  <c r="BY182" i="75"/>
  <c r="BX182" i="75"/>
  <c r="BW182" i="75" s="1"/>
  <c r="BU182" i="75"/>
  <c r="BV182" i="75" s="1"/>
  <c r="BT182" i="75"/>
  <c r="BS182" i="75"/>
  <c r="BR182" i="75"/>
  <c r="BQ182" i="75"/>
  <c r="BP182" i="75"/>
  <c r="BO182" i="75"/>
  <c r="BN182" i="75"/>
  <c r="BM182" i="75"/>
  <c r="BL182" i="75" s="1"/>
  <c r="BJ182" i="75"/>
  <c r="GL182" i="75" s="1"/>
  <c r="BI182" i="75"/>
  <c r="GK182" i="75" s="1"/>
  <c r="BH182" i="75"/>
  <c r="GJ182" i="75" s="1"/>
  <c r="BG182" i="75"/>
  <c r="GI182" i="75" s="1"/>
  <c r="BF182" i="75"/>
  <c r="GH182" i="75" s="1"/>
  <c r="BE182" i="75"/>
  <c r="GG182" i="75" s="1"/>
  <c r="BD182" i="75"/>
  <c r="GF182" i="75" s="1"/>
  <c r="BC182" i="75"/>
  <c r="GE182" i="75" s="1"/>
  <c r="BB182" i="75"/>
  <c r="GD182" i="75" s="1"/>
  <c r="AY182" i="75"/>
  <c r="AZ182" i="75" s="1"/>
  <c r="GB182" i="75" s="1"/>
  <c r="AX182" i="75"/>
  <c r="FZ182" i="75" s="1"/>
  <c r="AW182" i="75"/>
  <c r="FY182" i="75" s="1"/>
  <c r="AV182" i="75"/>
  <c r="FX182" i="75" s="1"/>
  <c r="AU182" i="75"/>
  <c r="FW182" i="75" s="1"/>
  <c r="AT182" i="75"/>
  <c r="FV182" i="75" s="1"/>
  <c r="AS182" i="75"/>
  <c r="FU182" i="75" s="1"/>
  <c r="AR182" i="75"/>
  <c r="FT182" i="75" s="1"/>
  <c r="AQ182" i="75"/>
  <c r="FS182" i="75" s="1"/>
  <c r="AN182" i="75"/>
  <c r="FP182" i="75" s="1"/>
  <c r="AM182" i="75"/>
  <c r="FO182" i="75" s="1"/>
  <c r="AL182" i="75"/>
  <c r="FN182" i="75" s="1"/>
  <c r="AK182" i="75"/>
  <c r="FM182" i="75" s="1"/>
  <c r="AJ182" i="75"/>
  <c r="FL182" i="75" s="1"/>
  <c r="AI182" i="75"/>
  <c r="FK182" i="75" s="1"/>
  <c r="AH182" i="75"/>
  <c r="FJ182" i="75" s="1"/>
  <c r="AG182" i="75"/>
  <c r="FI182" i="75" s="1"/>
  <c r="AF182" i="75"/>
  <c r="FH182" i="75" s="1"/>
  <c r="AC182" i="75"/>
  <c r="FE182" i="75" s="1"/>
  <c r="AB182" i="75"/>
  <c r="FD182" i="75" s="1"/>
  <c r="AA182" i="75"/>
  <c r="FC182" i="75" s="1"/>
  <c r="Z182" i="75"/>
  <c r="FB182" i="75" s="1"/>
  <c r="Y182" i="75"/>
  <c r="FA182" i="75" s="1"/>
  <c r="X182" i="75"/>
  <c r="EZ182" i="75" s="1"/>
  <c r="W182" i="75"/>
  <c r="EY182" i="75" s="1"/>
  <c r="V182" i="75"/>
  <c r="EX182" i="75" s="1"/>
  <c r="U182" i="75"/>
  <c r="EW182" i="75" s="1"/>
  <c r="EV182" i="75" s="1"/>
  <c r="S182" i="75"/>
  <c r="ET182" i="75" s="1"/>
  <c r="R182" i="75"/>
  <c r="ES182" i="75" s="1"/>
  <c r="Q182" i="75"/>
  <c r="ER182" i="75" s="1"/>
  <c r="P182" i="75"/>
  <c r="EQ182" i="75" s="1"/>
  <c r="O182" i="75"/>
  <c r="EP182" i="75" s="1"/>
  <c r="N182" i="75"/>
  <c r="EO182" i="75" s="1"/>
  <c r="M182" i="75"/>
  <c r="EN182" i="75" s="1"/>
  <c r="L182" i="75"/>
  <c r="EM182" i="75" s="1"/>
  <c r="K182" i="75"/>
  <c r="EL182" i="75" s="1"/>
  <c r="EK182" i="75" s="1"/>
  <c r="J182" i="75"/>
  <c r="D182" i="75"/>
  <c r="B182" i="75"/>
  <c r="EI181" i="75"/>
  <c r="EJ181" i="75" s="1"/>
  <c r="EH181" i="75"/>
  <c r="EG181" i="75"/>
  <c r="EF181" i="75"/>
  <c r="EE181" i="75"/>
  <c r="ED181" i="75"/>
  <c r="EC181" i="75"/>
  <c r="EB181" i="75"/>
  <c r="EA181" i="75"/>
  <c r="DZ181" i="75" s="1"/>
  <c r="DB181" i="75"/>
  <c r="DC181" i="75" s="1"/>
  <c r="DA181" i="75"/>
  <c r="CZ181" i="75"/>
  <c r="CY181" i="75"/>
  <c r="CX181" i="75"/>
  <c r="CW181" i="75"/>
  <c r="CV181" i="75"/>
  <c r="CU181" i="75"/>
  <c r="CT181" i="75"/>
  <c r="CS181" i="75" s="1"/>
  <c r="CQ181" i="75"/>
  <c r="CR181" i="75" s="1"/>
  <c r="CP181" i="75"/>
  <c r="CO181" i="75"/>
  <c r="CN181" i="75"/>
  <c r="CM181" i="75"/>
  <c r="CL181" i="75"/>
  <c r="CK181" i="75"/>
  <c r="CJ181" i="75"/>
  <c r="CI181" i="75"/>
  <c r="CH181" i="75" s="1"/>
  <c r="CF181" i="75"/>
  <c r="CG181" i="75" s="1"/>
  <c r="CE181" i="75"/>
  <c r="CD181" i="75"/>
  <c r="CC181" i="75"/>
  <c r="CB181" i="75"/>
  <c r="CA181" i="75"/>
  <c r="BZ181" i="75"/>
  <c r="BY181" i="75"/>
  <c r="BX181" i="75"/>
  <c r="BW181" i="75" s="1"/>
  <c r="BU181" i="75"/>
  <c r="BV181" i="75" s="1"/>
  <c r="BT181" i="75"/>
  <c r="BS181" i="75"/>
  <c r="BR181" i="75"/>
  <c r="BQ181" i="75"/>
  <c r="BP181" i="75"/>
  <c r="BO181" i="75"/>
  <c r="BN181" i="75"/>
  <c r="BM181" i="75"/>
  <c r="BL181" i="75" s="1"/>
  <c r="BJ181" i="75"/>
  <c r="GL181" i="75" s="1"/>
  <c r="BI181" i="75"/>
  <c r="GK181" i="75" s="1"/>
  <c r="BH181" i="75"/>
  <c r="GJ181" i="75" s="1"/>
  <c r="BG181" i="75"/>
  <c r="GI181" i="75" s="1"/>
  <c r="BF181" i="75"/>
  <c r="GH181" i="75" s="1"/>
  <c r="BE181" i="75"/>
  <c r="GG181" i="75" s="1"/>
  <c r="BD181" i="75"/>
  <c r="GF181" i="75" s="1"/>
  <c r="BC181" i="75"/>
  <c r="GE181" i="75" s="1"/>
  <c r="BB181" i="75"/>
  <c r="GD181" i="75" s="1"/>
  <c r="AY181" i="75"/>
  <c r="AZ181" i="75" s="1"/>
  <c r="GB181" i="75" s="1"/>
  <c r="AX181" i="75"/>
  <c r="FZ181" i="75" s="1"/>
  <c r="AW181" i="75"/>
  <c r="FY181" i="75" s="1"/>
  <c r="AV181" i="75"/>
  <c r="FX181" i="75" s="1"/>
  <c r="AU181" i="75"/>
  <c r="FW181" i="75" s="1"/>
  <c r="AT181" i="75"/>
  <c r="FV181" i="75" s="1"/>
  <c r="AS181" i="75"/>
  <c r="FU181" i="75" s="1"/>
  <c r="AR181" i="75"/>
  <c r="FT181" i="75" s="1"/>
  <c r="AQ181" i="75"/>
  <c r="FS181" i="75" s="1"/>
  <c r="AN181" i="75"/>
  <c r="AO181" i="75" s="1"/>
  <c r="FQ181" i="75" s="1"/>
  <c r="AM181" i="75"/>
  <c r="FO181" i="75" s="1"/>
  <c r="AL181" i="75"/>
  <c r="FN181" i="75" s="1"/>
  <c r="AK181" i="75"/>
  <c r="FM181" i="75" s="1"/>
  <c r="AJ181" i="75"/>
  <c r="FL181" i="75" s="1"/>
  <c r="AI181" i="75"/>
  <c r="FK181" i="75" s="1"/>
  <c r="AH181" i="75"/>
  <c r="FJ181" i="75" s="1"/>
  <c r="AG181" i="75"/>
  <c r="FI181" i="75" s="1"/>
  <c r="AF181" i="75"/>
  <c r="FH181" i="75" s="1"/>
  <c r="AE181" i="75"/>
  <c r="FG181" i="75" s="1"/>
  <c r="AC181" i="75"/>
  <c r="AD181" i="75" s="1"/>
  <c r="FF181" i="75" s="1"/>
  <c r="AB181" i="75"/>
  <c r="FD181" i="75" s="1"/>
  <c r="AA181" i="75"/>
  <c r="FC181" i="75" s="1"/>
  <c r="Z181" i="75"/>
  <c r="FB181" i="75" s="1"/>
  <c r="Y181" i="75"/>
  <c r="FA181" i="75" s="1"/>
  <c r="X181" i="75"/>
  <c r="EZ181" i="75" s="1"/>
  <c r="W181" i="75"/>
  <c r="EY181" i="75" s="1"/>
  <c r="V181" i="75"/>
  <c r="EX181" i="75" s="1"/>
  <c r="U181" i="75"/>
  <c r="EW181" i="75" s="1"/>
  <c r="EV181" i="75" s="1"/>
  <c r="S181" i="75"/>
  <c r="R181" i="75"/>
  <c r="ES181" i="75" s="1"/>
  <c r="Q181" i="75"/>
  <c r="ER181" i="75" s="1"/>
  <c r="P181" i="75"/>
  <c r="EQ181" i="75" s="1"/>
  <c r="O181" i="75"/>
  <c r="EP181" i="75" s="1"/>
  <c r="N181" i="75"/>
  <c r="EO181" i="75" s="1"/>
  <c r="M181" i="75"/>
  <c r="EN181" i="75" s="1"/>
  <c r="L181" i="75"/>
  <c r="EM181" i="75" s="1"/>
  <c r="K181" i="75"/>
  <c r="EL181" i="75" s="1"/>
  <c r="EK181" i="75" s="1"/>
  <c r="J181" i="75"/>
  <c r="D181" i="75"/>
  <c r="B181" i="75"/>
  <c r="EI180" i="75"/>
  <c r="EJ180" i="75" s="1"/>
  <c r="EH180" i="75"/>
  <c r="EG180" i="75"/>
  <c r="EF180" i="75"/>
  <c r="EE180" i="75"/>
  <c r="ED180" i="75"/>
  <c r="EC180" i="75"/>
  <c r="EB180" i="75"/>
  <c r="EA180" i="75"/>
  <c r="DZ180" i="75" s="1"/>
  <c r="DB180" i="75"/>
  <c r="DC180" i="75" s="1"/>
  <c r="DA180" i="75"/>
  <c r="CZ180" i="75"/>
  <c r="CY180" i="75"/>
  <c r="CX180" i="75"/>
  <c r="CW180" i="75"/>
  <c r="CV180" i="75"/>
  <c r="CU180" i="75"/>
  <c r="CT180" i="75"/>
  <c r="CS180" i="75" s="1"/>
  <c r="CQ180" i="75"/>
  <c r="CR180" i="75" s="1"/>
  <c r="CP180" i="75"/>
  <c r="CO180" i="75"/>
  <c r="CN180" i="75"/>
  <c r="CM180" i="75"/>
  <c r="CL180" i="75"/>
  <c r="CK180" i="75"/>
  <c r="CJ180" i="75"/>
  <c r="CI180" i="75"/>
  <c r="CH180" i="75" s="1"/>
  <c r="CF180" i="75"/>
  <c r="CG180" i="75" s="1"/>
  <c r="CE180" i="75"/>
  <c r="CD180" i="75"/>
  <c r="CC180" i="75"/>
  <c r="CB180" i="75"/>
  <c r="CA180" i="75"/>
  <c r="BZ180" i="75"/>
  <c r="BY180" i="75"/>
  <c r="BX180" i="75"/>
  <c r="BW180" i="75" s="1"/>
  <c r="BU180" i="75"/>
  <c r="BV180" i="75" s="1"/>
  <c r="BT180" i="75"/>
  <c r="BS180" i="75"/>
  <c r="BR180" i="75"/>
  <c r="BQ180" i="75"/>
  <c r="BP180" i="75"/>
  <c r="BO180" i="75"/>
  <c r="BN180" i="75"/>
  <c r="BM180" i="75"/>
  <c r="BL180" i="75" s="1"/>
  <c r="BJ180" i="75"/>
  <c r="BK180" i="75" s="1"/>
  <c r="GM180" i="75" s="1"/>
  <c r="BI180" i="75"/>
  <c r="GK180" i="75" s="1"/>
  <c r="BH180" i="75"/>
  <c r="GJ180" i="75" s="1"/>
  <c r="BG180" i="75"/>
  <c r="GI180" i="75" s="1"/>
  <c r="BF180" i="75"/>
  <c r="GH180" i="75" s="1"/>
  <c r="BE180" i="75"/>
  <c r="GG180" i="75" s="1"/>
  <c r="BD180" i="75"/>
  <c r="GF180" i="75" s="1"/>
  <c r="BC180" i="75"/>
  <c r="GE180" i="75" s="1"/>
  <c r="BB180" i="75"/>
  <c r="GD180" i="75" s="1"/>
  <c r="AY180" i="75"/>
  <c r="GA180" i="75" s="1"/>
  <c r="AX180" i="75"/>
  <c r="FZ180" i="75" s="1"/>
  <c r="AW180" i="75"/>
  <c r="FY180" i="75" s="1"/>
  <c r="AV180" i="75"/>
  <c r="FX180" i="75" s="1"/>
  <c r="AU180" i="75"/>
  <c r="FW180" i="75" s="1"/>
  <c r="AT180" i="75"/>
  <c r="FV180" i="75" s="1"/>
  <c r="AS180" i="75"/>
  <c r="FU180" i="75" s="1"/>
  <c r="AR180" i="75"/>
  <c r="FT180" i="75" s="1"/>
  <c r="AQ180" i="75"/>
  <c r="FS180" i="75" s="1"/>
  <c r="AN180" i="75"/>
  <c r="AO180" i="75" s="1"/>
  <c r="FQ180" i="75" s="1"/>
  <c r="AM180" i="75"/>
  <c r="FO180" i="75" s="1"/>
  <c r="AL180" i="75"/>
  <c r="FN180" i="75" s="1"/>
  <c r="AK180" i="75"/>
  <c r="FM180" i="75" s="1"/>
  <c r="AJ180" i="75"/>
  <c r="FL180" i="75" s="1"/>
  <c r="AI180" i="75"/>
  <c r="FK180" i="75" s="1"/>
  <c r="AH180" i="75"/>
  <c r="FJ180" i="75" s="1"/>
  <c r="AG180" i="75"/>
  <c r="FI180" i="75" s="1"/>
  <c r="AF180" i="75"/>
  <c r="FH180" i="75" s="1"/>
  <c r="AC180" i="75"/>
  <c r="FE180" i="75" s="1"/>
  <c r="AB180" i="75"/>
  <c r="FD180" i="75" s="1"/>
  <c r="AA180" i="75"/>
  <c r="FC180" i="75" s="1"/>
  <c r="Z180" i="75"/>
  <c r="FB180" i="75" s="1"/>
  <c r="Y180" i="75"/>
  <c r="FA180" i="75" s="1"/>
  <c r="X180" i="75"/>
  <c r="EZ180" i="75" s="1"/>
  <c r="W180" i="75"/>
  <c r="EY180" i="75" s="1"/>
  <c r="V180" i="75"/>
  <c r="EX180" i="75" s="1"/>
  <c r="U180" i="75"/>
  <c r="EW180" i="75" s="1"/>
  <c r="EV180" i="75" s="1"/>
  <c r="S180" i="75"/>
  <c r="ET180" i="75" s="1"/>
  <c r="R180" i="75"/>
  <c r="ES180" i="75" s="1"/>
  <c r="Q180" i="75"/>
  <c r="ER180" i="75" s="1"/>
  <c r="P180" i="75"/>
  <c r="EQ180" i="75" s="1"/>
  <c r="O180" i="75"/>
  <c r="EP180" i="75" s="1"/>
  <c r="N180" i="75"/>
  <c r="EO180" i="75" s="1"/>
  <c r="M180" i="75"/>
  <c r="EN180" i="75" s="1"/>
  <c r="L180" i="75"/>
  <c r="EM180" i="75" s="1"/>
  <c r="K180" i="75"/>
  <c r="EL180" i="75" s="1"/>
  <c r="EK180" i="75" s="1"/>
  <c r="J180" i="75"/>
  <c r="D180" i="75"/>
  <c r="B180" i="75"/>
  <c r="FZ179" i="75"/>
  <c r="EI179" i="75"/>
  <c r="EJ179" i="75" s="1"/>
  <c r="EH179" i="75"/>
  <c r="EG179" i="75"/>
  <c r="EF179" i="75"/>
  <c r="EE179" i="75"/>
  <c r="ED179" i="75"/>
  <c r="EC179" i="75"/>
  <c r="EB179" i="75"/>
  <c r="EA179" i="75"/>
  <c r="DZ179" i="75" s="1"/>
  <c r="DB179" i="75"/>
  <c r="DC179" i="75" s="1"/>
  <c r="DA179" i="75"/>
  <c r="CZ179" i="75"/>
  <c r="CY179" i="75"/>
  <c r="CX179" i="75"/>
  <c r="CW179" i="75"/>
  <c r="CV179" i="75"/>
  <c r="CU179" i="75"/>
  <c r="CT179" i="75"/>
  <c r="CS179" i="75" s="1"/>
  <c r="CQ179" i="75"/>
  <c r="CR179" i="75" s="1"/>
  <c r="CP179" i="75"/>
  <c r="CO179" i="75"/>
  <c r="CN179" i="75"/>
  <c r="CM179" i="75"/>
  <c r="CL179" i="75"/>
  <c r="CK179" i="75"/>
  <c r="CJ179" i="75"/>
  <c r="CI179" i="75"/>
  <c r="CH179" i="75" s="1"/>
  <c r="CF179" i="75"/>
  <c r="CG179" i="75" s="1"/>
  <c r="CE179" i="75"/>
  <c r="CD179" i="75"/>
  <c r="CC179" i="75"/>
  <c r="CB179" i="75"/>
  <c r="CA179" i="75"/>
  <c r="BZ179" i="75"/>
  <c r="BY179" i="75"/>
  <c r="BX179" i="75"/>
  <c r="BW179" i="75" s="1"/>
  <c r="BU179" i="75"/>
  <c r="BV179" i="75" s="1"/>
  <c r="BT179" i="75"/>
  <c r="BS179" i="75"/>
  <c r="BR179" i="75"/>
  <c r="BQ179" i="75"/>
  <c r="BP179" i="75"/>
  <c r="BO179" i="75"/>
  <c r="BN179" i="75"/>
  <c r="BM179" i="75"/>
  <c r="BL179" i="75"/>
  <c r="BJ179" i="75"/>
  <c r="BI179" i="75"/>
  <c r="GK179" i="75" s="1"/>
  <c r="BH179" i="75"/>
  <c r="GJ179" i="75" s="1"/>
  <c r="BG179" i="75"/>
  <c r="GI179" i="75" s="1"/>
  <c r="BF179" i="75"/>
  <c r="GH179" i="75" s="1"/>
  <c r="BE179" i="75"/>
  <c r="GG179" i="75" s="1"/>
  <c r="BD179" i="75"/>
  <c r="GF179" i="75" s="1"/>
  <c r="BC179" i="75"/>
  <c r="GE179" i="75" s="1"/>
  <c r="BB179" i="75"/>
  <c r="GD179" i="75" s="1"/>
  <c r="AY179" i="75"/>
  <c r="GA179" i="75" s="1"/>
  <c r="AX179" i="75"/>
  <c r="AW179" i="75"/>
  <c r="FY179" i="75" s="1"/>
  <c r="AV179" i="75"/>
  <c r="FX179" i="75" s="1"/>
  <c r="AU179" i="75"/>
  <c r="FW179" i="75" s="1"/>
  <c r="AT179" i="75"/>
  <c r="FV179" i="75" s="1"/>
  <c r="AS179" i="75"/>
  <c r="FU179" i="75" s="1"/>
  <c r="AR179" i="75"/>
  <c r="FT179" i="75" s="1"/>
  <c r="AQ179" i="75"/>
  <c r="AP179" i="75" s="1"/>
  <c r="FR179" i="75" s="1"/>
  <c r="AN179" i="75"/>
  <c r="FP179" i="75" s="1"/>
  <c r="AM179" i="75"/>
  <c r="FO179" i="75" s="1"/>
  <c r="AL179" i="75"/>
  <c r="FN179" i="75" s="1"/>
  <c r="AK179" i="75"/>
  <c r="FM179" i="75" s="1"/>
  <c r="AJ179" i="75"/>
  <c r="FL179" i="75" s="1"/>
  <c r="AI179" i="75"/>
  <c r="FK179" i="75" s="1"/>
  <c r="AH179" i="75"/>
  <c r="FJ179" i="75" s="1"/>
  <c r="AG179" i="75"/>
  <c r="FI179" i="75" s="1"/>
  <c r="AF179" i="75"/>
  <c r="FH179" i="75" s="1"/>
  <c r="AC179" i="75"/>
  <c r="AD179" i="75" s="1"/>
  <c r="FF179" i="75" s="1"/>
  <c r="AB179" i="75"/>
  <c r="FD179" i="75" s="1"/>
  <c r="AA179" i="75"/>
  <c r="FC179" i="75" s="1"/>
  <c r="Z179" i="75"/>
  <c r="FB179" i="75" s="1"/>
  <c r="Y179" i="75"/>
  <c r="FA179" i="75" s="1"/>
  <c r="X179" i="75"/>
  <c r="EZ179" i="75" s="1"/>
  <c r="W179" i="75"/>
  <c r="EY179" i="75" s="1"/>
  <c r="V179" i="75"/>
  <c r="EX179" i="75" s="1"/>
  <c r="U179" i="75"/>
  <c r="EW179" i="75" s="1"/>
  <c r="EV179" i="75" s="1"/>
  <c r="S179" i="75"/>
  <c r="ET179" i="75" s="1"/>
  <c r="R179" i="75"/>
  <c r="ES179" i="75" s="1"/>
  <c r="Q179" i="75"/>
  <c r="ER179" i="75" s="1"/>
  <c r="P179" i="75"/>
  <c r="EQ179" i="75" s="1"/>
  <c r="O179" i="75"/>
  <c r="EP179" i="75" s="1"/>
  <c r="N179" i="75"/>
  <c r="EO179" i="75" s="1"/>
  <c r="M179" i="75"/>
  <c r="EN179" i="75" s="1"/>
  <c r="L179" i="75"/>
  <c r="EM179" i="75" s="1"/>
  <c r="K179" i="75"/>
  <c r="EL179" i="75" s="1"/>
  <c r="EK179" i="75" s="1"/>
  <c r="J179" i="75"/>
  <c r="D179" i="75"/>
  <c r="B179" i="75"/>
  <c r="EI178" i="75"/>
  <c r="EJ178" i="75" s="1"/>
  <c r="EH178" i="75"/>
  <c r="EG178" i="75"/>
  <c r="EF178" i="75"/>
  <c r="EE178" i="75"/>
  <c r="ED178" i="75"/>
  <c r="EC178" i="75"/>
  <c r="EB178" i="75"/>
  <c r="EA178" i="75"/>
  <c r="DZ178" i="75" s="1"/>
  <c r="DB178" i="75"/>
  <c r="DC178" i="75" s="1"/>
  <c r="DA178" i="75"/>
  <c r="CZ178" i="75"/>
  <c r="CY178" i="75"/>
  <c r="CX178" i="75"/>
  <c r="CW178" i="75"/>
  <c r="CV178" i="75"/>
  <c r="CU178" i="75"/>
  <c r="CT178" i="75"/>
  <c r="CS178" i="75" s="1"/>
  <c r="CQ178" i="75"/>
  <c r="CR178" i="75" s="1"/>
  <c r="CP178" i="75"/>
  <c r="CO178" i="75"/>
  <c r="CN178" i="75"/>
  <c r="CM178" i="75"/>
  <c r="CL178" i="75"/>
  <c r="CK178" i="75"/>
  <c r="CJ178" i="75"/>
  <c r="CI178" i="75"/>
  <c r="CH178" i="75" s="1"/>
  <c r="CF178" i="75"/>
  <c r="CG178" i="75" s="1"/>
  <c r="CE178" i="75"/>
  <c r="CD178" i="75"/>
  <c r="CC178" i="75"/>
  <c r="CB178" i="75"/>
  <c r="CA178" i="75"/>
  <c r="BZ178" i="75"/>
  <c r="BY178" i="75"/>
  <c r="BX178" i="75"/>
  <c r="BW178" i="75" s="1"/>
  <c r="BU178" i="75"/>
  <c r="BV178" i="75" s="1"/>
  <c r="BT178" i="75"/>
  <c r="BS178" i="75"/>
  <c r="BR178" i="75"/>
  <c r="BQ178" i="75"/>
  <c r="BP178" i="75"/>
  <c r="BO178" i="75"/>
  <c r="BN178" i="75"/>
  <c r="BM178" i="75"/>
  <c r="BL178" i="75" s="1"/>
  <c r="BJ178" i="75"/>
  <c r="GL178" i="75" s="1"/>
  <c r="BI178" i="75"/>
  <c r="GK178" i="75" s="1"/>
  <c r="BH178" i="75"/>
  <c r="GJ178" i="75" s="1"/>
  <c r="BG178" i="75"/>
  <c r="GI178" i="75" s="1"/>
  <c r="BF178" i="75"/>
  <c r="GH178" i="75" s="1"/>
  <c r="BE178" i="75"/>
  <c r="GG178" i="75" s="1"/>
  <c r="BD178" i="75"/>
  <c r="GF178" i="75" s="1"/>
  <c r="BC178" i="75"/>
  <c r="GE178" i="75" s="1"/>
  <c r="BB178" i="75"/>
  <c r="BA178" i="75" s="1"/>
  <c r="GC178" i="75" s="1"/>
  <c r="AY178" i="75"/>
  <c r="AZ178" i="75" s="1"/>
  <c r="GB178" i="75" s="1"/>
  <c r="AX178" i="75"/>
  <c r="FZ178" i="75" s="1"/>
  <c r="AW178" i="75"/>
  <c r="FY178" i="75" s="1"/>
  <c r="AV178" i="75"/>
  <c r="FX178" i="75" s="1"/>
  <c r="AU178" i="75"/>
  <c r="FW178" i="75" s="1"/>
  <c r="AT178" i="75"/>
  <c r="FV178" i="75" s="1"/>
  <c r="AS178" i="75"/>
  <c r="FU178" i="75" s="1"/>
  <c r="AR178" i="75"/>
  <c r="FT178" i="75" s="1"/>
  <c r="AQ178" i="75"/>
  <c r="FS178" i="75" s="1"/>
  <c r="AN178" i="75"/>
  <c r="AM178" i="75"/>
  <c r="FO178" i="75" s="1"/>
  <c r="AL178" i="75"/>
  <c r="FN178" i="75" s="1"/>
  <c r="AK178" i="75"/>
  <c r="FM178" i="75" s="1"/>
  <c r="AJ178" i="75"/>
  <c r="FL178" i="75" s="1"/>
  <c r="AI178" i="75"/>
  <c r="FK178" i="75" s="1"/>
  <c r="AH178" i="75"/>
  <c r="FJ178" i="75" s="1"/>
  <c r="AG178" i="75"/>
  <c r="FI178" i="75" s="1"/>
  <c r="AF178" i="75"/>
  <c r="FH178" i="75" s="1"/>
  <c r="AC178" i="75"/>
  <c r="FE178" i="75" s="1"/>
  <c r="AB178" i="75"/>
  <c r="FD178" i="75" s="1"/>
  <c r="AA178" i="75"/>
  <c r="FC178" i="75" s="1"/>
  <c r="Z178" i="75"/>
  <c r="FB178" i="75" s="1"/>
  <c r="Y178" i="75"/>
  <c r="FA178" i="75" s="1"/>
  <c r="X178" i="75"/>
  <c r="EZ178" i="75" s="1"/>
  <c r="W178" i="75"/>
  <c r="EY178" i="75" s="1"/>
  <c r="V178" i="75"/>
  <c r="EX178" i="75" s="1"/>
  <c r="U178" i="75"/>
  <c r="EW178" i="75" s="1"/>
  <c r="EV178" i="75" s="1"/>
  <c r="S178" i="75"/>
  <c r="ET178" i="75" s="1"/>
  <c r="R178" i="75"/>
  <c r="ES178" i="75" s="1"/>
  <c r="Q178" i="75"/>
  <c r="ER178" i="75" s="1"/>
  <c r="P178" i="75"/>
  <c r="EQ178" i="75" s="1"/>
  <c r="O178" i="75"/>
  <c r="EP178" i="75" s="1"/>
  <c r="N178" i="75"/>
  <c r="EO178" i="75" s="1"/>
  <c r="M178" i="75"/>
  <c r="EN178" i="75" s="1"/>
  <c r="L178" i="75"/>
  <c r="EM178" i="75" s="1"/>
  <c r="K178" i="75"/>
  <c r="EL178" i="75" s="1"/>
  <c r="EK178" i="75" s="1"/>
  <c r="J178" i="75"/>
  <c r="D178" i="75"/>
  <c r="B178" i="75"/>
  <c r="EI177" i="75"/>
  <c r="EJ177" i="75" s="1"/>
  <c r="EH177" i="75"/>
  <c r="EG177" i="75"/>
  <c r="EF177" i="75"/>
  <c r="EE177" i="75"/>
  <c r="ED177" i="75"/>
  <c r="EC177" i="75"/>
  <c r="EB177" i="75"/>
  <c r="EA177" i="75"/>
  <c r="DZ177" i="75" s="1"/>
  <c r="DB177" i="75"/>
  <c r="DC177" i="75" s="1"/>
  <c r="DA177" i="75"/>
  <c r="CZ177" i="75"/>
  <c r="CY177" i="75"/>
  <c r="CX177" i="75"/>
  <c r="CW177" i="75"/>
  <c r="CV177" i="75"/>
  <c r="CU177" i="75"/>
  <c r="CT177" i="75"/>
  <c r="CS177" i="75" s="1"/>
  <c r="CQ177" i="75"/>
  <c r="CR177" i="75" s="1"/>
  <c r="CP177" i="75"/>
  <c r="CO177" i="75"/>
  <c r="CN177" i="75"/>
  <c r="CM177" i="75"/>
  <c r="CL177" i="75"/>
  <c r="CK177" i="75"/>
  <c r="CJ177" i="75"/>
  <c r="CI177" i="75"/>
  <c r="CH177" i="75" s="1"/>
  <c r="CF177" i="75"/>
  <c r="CG177" i="75" s="1"/>
  <c r="CE177" i="75"/>
  <c r="CD177" i="75"/>
  <c r="CC177" i="75"/>
  <c r="CB177" i="75"/>
  <c r="CA177" i="75"/>
  <c r="BZ177" i="75"/>
  <c r="BY177" i="75"/>
  <c r="BX177" i="75"/>
  <c r="BW177" i="75" s="1"/>
  <c r="BU177" i="75"/>
  <c r="BV177" i="75" s="1"/>
  <c r="BT177" i="75"/>
  <c r="BS177" i="75"/>
  <c r="BR177" i="75"/>
  <c r="BQ177" i="75"/>
  <c r="BP177" i="75"/>
  <c r="BO177" i="75"/>
  <c r="BN177" i="75"/>
  <c r="BM177" i="75"/>
  <c r="BL177" i="75" s="1"/>
  <c r="BJ177" i="75"/>
  <c r="BK177" i="75" s="1"/>
  <c r="GM177" i="75" s="1"/>
  <c r="BI177" i="75"/>
  <c r="GK177" i="75" s="1"/>
  <c r="BH177" i="75"/>
  <c r="GJ177" i="75" s="1"/>
  <c r="BG177" i="75"/>
  <c r="GI177" i="75" s="1"/>
  <c r="BF177" i="75"/>
  <c r="GH177" i="75" s="1"/>
  <c r="BE177" i="75"/>
  <c r="GG177" i="75" s="1"/>
  <c r="BD177" i="75"/>
  <c r="GF177" i="75" s="1"/>
  <c r="BC177" i="75"/>
  <c r="GE177" i="75" s="1"/>
  <c r="BB177" i="75"/>
  <c r="GD177" i="75" s="1"/>
  <c r="AY177" i="75"/>
  <c r="GA177" i="75" s="1"/>
  <c r="AX177" i="75"/>
  <c r="FZ177" i="75" s="1"/>
  <c r="AW177" i="75"/>
  <c r="FY177" i="75" s="1"/>
  <c r="AV177" i="75"/>
  <c r="FX177" i="75" s="1"/>
  <c r="AU177" i="75"/>
  <c r="FW177" i="75" s="1"/>
  <c r="AT177" i="75"/>
  <c r="FV177" i="75" s="1"/>
  <c r="AS177" i="75"/>
  <c r="FU177" i="75" s="1"/>
  <c r="AR177" i="75"/>
  <c r="FT177" i="75" s="1"/>
  <c r="AQ177" i="75"/>
  <c r="AN177" i="75"/>
  <c r="AO177" i="75" s="1"/>
  <c r="FQ177" i="75" s="1"/>
  <c r="AM177" i="75"/>
  <c r="FO177" i="75" s="1"/>
  <c r="AL177" i="75"/>
  <c r="FN177" i="75" s="1"/>
  <c r="AK177" i="75"/>
  <c r="FM177" i="75" s="1"/>
  <c r="AJ177" i="75"/>
  <c r="FL177" i="75" s="1"/>
  <c r="AI177" i="75"/>
  <c r="FK177" i="75" s="1"/>
  <c r="AH177" i="75"/>
  <c r="FJ177" i="75" s="1"/>
  <c r="AG177" i="75"/>
  <c r="FI177" i="75" s="1"/>
  <c r="AF177" i="75"/>
  <c r="FH177" i="75" s="1"/>
  <c r="AC177" i="75"/>
  <c r="AB177" i="75"/>
  <c r="FD177" i="75" s="1"/>
  <c r="AA177" i="75"/>
  <c r="FC177" i="75" s="1"/>
  <c r="Z177" i="75"/>
  <c r="FB177" i="75" s="1"/>
  <c r="Y177" i="75"/>
  <c r="FA177" i="75" s="1"/>
  <c r="X177" i="75"/>
  <c r="EZ177" i="75" s="1"/>
  <c r="W177" i="75"/>
  <c r="EY177" i="75" s="1"/>
  <c r="V177" i="75"/>
  <c r="EX177" i="75" s="1"/>
  <c r="U177" i="75"/>
  <c r="EW177" i="75" s="1"/>
  <c r="EV177" i="75" s="1"/>
  <c r="S177" i="75"/>
  <c r="T177" i="75" s="1"/>
  <c r="EU177" i="75" s="1"/>
  <c r="R177" i="75"/>
  <c r="ES177" i="75" s="1"/>
  <c r="Q177" i="75"/>
  <c r="ER177" i="75" s="1"/>
  <c r="P177" i="75"/>
  <c r="EQ177" i="75" s="1"/>
  <c r="O177" i="75"/>
  <c r="EP177" i="75" s="1"/>
  <c r="N177" i="75"/>
  <c r="EO177" i="75" s="1"/>
  <c r="M177" i="75"/>
  <c r="EN177" i="75" s="1"/>
  <c r="L177" i="75"/>
  <c r="EM177" i="75" s="1"/>
  <c r="K177" i="75"/>
  <c r="EL177" i="75" s="1"/>
  <c r="EK177" i="75" s="1"/>
  <c r="J177" i="75"/>
  <c r="D177" i="75"/>
  <c r="B177" i="75"/>
  <c r="FY176" i="75"/>
  <c r="EI176" i="75"/>
  <c r="EJ176" i="75" s="1"/>
  <c r="EH176" i="75"/>
  <c r="EG176" i="75"/>
  <c r="EF176" i="75"/>
  <c r="EE176" i="75"/>
  <c r="ED176" i="75"/>
  <c r="EC176" i="75"/>
  <c r="EB176" i="75"/>
  <c r="EA176" i="75"/>
  <c r="DZ176" i="75" s="1"/>
  <c r="DB176" i="75"/>
  <c r="DC176" i="75" s="1"/>
  <c r="DA176" i="75"/>
  <c r="CZ176" i="75"/>
  <c r="CY176" i="75"/>
  <c r="CX176" i="75"/>
  <c r="CW176" i="75"/>
  <c r="CV176" i="75"/>
  <c r="CU176" i="75"/>
  <c r="CT176" i="75"/>
  <c r="CS176" i="75" s="1"/>
  <c r="CQ176" i="75"/>
  <c r="CR176" i="75" s="1"/>
  <c r="CP176" i="75"/>
  <c r="CO176" i="75"/>
  <c r="CN176" i="75"/>
  <c r="CM176" i="75"/>
  <c r="CL176" i="75"/>
  <c r="CK176" i="75"/>
  <c r="CJ176" i="75"/>
  <c r="CI176" i="75"/>
  <c r="CH176" i="75" s="1"/>
  <c r="CF176" i="75"/>
  <c r="CG176" i="75" s="1"/>
  <c r="CE176" i="75"/>
  <c r="CD176" i="75"/>
  <c r="CC176" i="75"/>
  <c r="CB176" i="75"/>
  <c r="CA176" i="75"/>
  <c r="BZ176" i="75"/>
  <c r="BY176" i="75"/>
  <c r="BX176" i="75"/>
  <c r="BW176" i="75"/>
  <c r="BU176" i="75"/>
  <c r="BV176" i="75" s="1"/>
  <c r="BT176" i="75"/>
  <c r="BS176" i="75"/>
  <c r="BR176" i="75"/>
  <c r="BQ176" i="75"/>
  <c r="BP176" i="75"/>
  <c r="BO176" i="75"/>
  <c r="BN176" i="75"/>
  <c r="BM176" i="75"/>
  <c r="BL176" i="75" s="1"/>
  <c r="BJ176" i="75"/>
  <c r="BI176" i="75"/>
  <c r="GK176" i="75" s="1"/>
  <c r="BH176" i="75"/>
  <c r="GJ176" i="75" s="1"/>
  <c r="BG176" i="75"/>
  <c r="GI176" i="75" s="1"/>
  <c r="BF176" i="75"/>
  <c r="GH176" i="75" s="1"/>
  <c r="BE176" i="75"/>
  <c r="GG176" i="75" s="1"/>
  <c r="BD176" i="75"/>
  <c r="GF176" i="75" s="1"/>
  <c r="BC176" i="75"/>
  <c r="GE176" i="75" s="1"/>
  <c r="BB176" i="75"/>
  <c r="GD176" i="75" s="1"/>
  <c r="AY176" i="75"/>
  <c r="GA176" i="75" s="1"/>
  <c r="AX176" i="75"/>
  <c r="FZ176" i="75" s="1"/>
  <c r="AW176" i="75"/>
  <c r="AV176" i="75"/>
  <c r="FX176" i="75" s="1"/>
  <c r="AU176" i="75"/>
  <c r="FW176" i="75" s="1"/>
  <c r="AT176" i="75"/>
  <c r="FV176" i="75" s="1"/>
  <c r="AS176" i="75"/>
  <c r="FU176" i="75" s="1"/>
  <c r="AR176" i="75"/>
  <c r="FT176" i="75" s="1"/>
  <c r="AQ176" i="75"/>
  <c r="AP176" i="75" s="1"/>
  <c r="FR176" i="75" s="1"/>
  <c r="AN176" i="75"/>
  <c r="FP176" i="75" s="1"/>
  <c r="AM176" i="75"/>
  <c r="FO176" i="75" s="1"/>
  <c r="AL176" i="75"/>
  <c r="FN176" i="75" s="1"/>
  <c r="AK176" i="75"/>
  <c r="FM176" i="75" s="1"/>
  <c r="AJ176" i="75"/>
  <c r="FL176" i="75" s="1"/>
  <c r="AI176" i="75"/>
  <c r="FK176" i="75" s="1"/>
  <c r="AH176" i="75"/>
  <c r="FJ176" i="75" s="1"/>
  <c r="AG176" i="75"/>
  <c r="FI176" i="75" s="1"/>
  <c r="AF176" i="75"/>
  <c r="AE176" i="75" s="1"/>
  <c r="FG176" i="75" s="1"/>
  <c r="AC176" i="75"/>
  <c r="AD176" i="75" s="1"/>
  <c r="FF176" i="75" s="1"/>
  <c r="AB176" i="75"/>
  <c r="FD176" i="75" s="1"/>
  <c r="AA176" i="75"/>
  <c r="FC176" i="75" s="1"/>
  <c r="Z176" i="75"/>
  <c r="FB176" i="75" s="1"/>
  <c r="Y176" i="75"/>
  <c r="FA176" i="75" s="1"/>
  <c r="X176" i="75"/>
  <c r="EZ176" i="75" s="1"/>
  <c r="W176" i="75"/>
  <c r="EY176" i="75" s="1"/>
  <c r="V176" i="75"/>
  <c r="EX176" i="75" s="1"/>
  <c r="U176" i="75"/>
  <c r="EW176" i="75" s="1"/>
  <c r="EV176" i="75" s="1"/>
  <c r="S176" i="75"/>
  <c r="ET176" i="75" s="1"/>
  <c r="R176" i="75"/>
  <c r="ES176" i="75" s="1"/>
  <c r="Q176" i="75"/>
  <c r="ER176" i="75" s="1"/>
  <c r="P176" i="75"/>
  <c r="EQ176" i="75" s="1"/>
  <c r="O176" i="75"/>
  <c r="EP176" i="75" s="1"/>
  <c r="N176" i="75"/>
  <c r="EO176" i="75" s="1"/>
  <c r="M176" i="75"/>
  <c r="EN176" i="75" s="1"/>
  <c r="L176" i="75"/>
  <c r="EM176" i="75" s="1"/>
  <c r="K176" i="75"/>
  <c r="EL176" i="75" s="1"/>
  <c r="EK176" i="75" s="1"/>
  <c r="J176" i="75"/>
  <c r="D176" i="75"/>
  <c r="B176" i="75"/>
  <c r="EI175" i="75"/>
  <c r="EJ175" i="75" s="1"/>
  <c r="EH175" i="75"/>
  <c r="EG175" i="75"/>
  <c r="EF175" i="75"/>
  <c r="EE175" i="75"/>
  <c r="ED175" i="75"/>
  <c r="EC175" i="75"/>
  <c r="EB175" i="75"/>
  <c r="EA175" i="75"/>
  <c r="DZ175" i="75" s="1"/>
  <c r="DB175" i="75"/>
  <c r="DC175" i="75" s="1"/>
  <c r="DA175" i="75"/>
  <c r="CZ175" i="75"/>
  <c r="CY175" i="75"/>
  <c r="CX175" i="75"/>
  <c r="CW175" i="75"/>
  <c r="CV175" i="75"/>
  <c r="CU175" i="75"/>
  <c r="CT175" i="75"/>
  <c r="CS175" i="75" s="1"/>
  <c r="CQ175" i="75"/>
  <c r="CR175" i="75" s="1"/>
  <c r="CP175" i="75"/>
  <c r="CO175" i="75"/>
  <c r="CN175" i="75"/>
  <c r="CM175" i="75"/>
  <c r="CL175" i="75"/>
  <c r="CK175" i="75"/>
  <c r="CJ175" i="75"/>
  <c r="CI175" i="75"/>
  <c r="CH175" i="75" s="1"/>
  <c r="CF175" i="75"/>
  <c r="CG175" i="75" s="1"/>
  <c r="CE175" i="75"/>
  <c r="CD175" i="75"/>
  <c r="CC175" i="75"/>
  <c r="CB175" i="75"/>
  <c r="CA175" i="75"/>
  <c r="BZ175" i="75"/>
  <c r="BY175" i="75"/>
  <c r="BX175" i="75"/>
  <c r="BW175" i="75" s="1"/>
  <c r="BU175" i="75"/>
  <c r="BV175" i="75" s="1"/>
  <c r="BT175" i="75"/>
  <c r="BS175" i="75"/>
  <c r="BR175" i="75"/>
  <c r="BQ175" i="75"/>
  <c r="BP175" i="75"/>
  <c r="BO175" i="75"/>
  <c r="BN175" i="75"/>
  <c r="BM175" i="75"/>
  <c r="BL175" i="75" s="1"/>
  <c r="BJ175" i="75"/>
  <c r="BK175" i="75" s="1"/>
  <c r="GM175" i="75" s="1"/>
  <c r="BI175" i="75"/>
  <c r="GK175" i="75" s="1"/>
  <c r="BH175" i="75"/>
  <c r="GJ175" i="75" s="1"/>
  <c r="BG175" i="75"/>
  <c r="GI175" i="75" s="1"/>
  <c r="BF175" i="75"/>
  <c r="GH175" i="75" s="1"/>
  <c r="BE175" i="75"/>
  <c r="GG175" i="75" s="1"/>
  <c r="BD175" i="75"/>
  <c r="GF175" i="75" s="1"/>
  <c r="BC175" i="75"/>
  <c r="GE175" i="75" s="1"/>
  <c r="BB175" i="75"/>
  <c r="GD175" i="75" s="1"/>
  <c r="AY175" i="75"/>
  <c r="AZ175" i="75" s="1"/>
  <c r="GB175" i="75" s="1"/>
  <c r="AX175" i="75"/>
  <c r="FZ175" i="75" s="1"/>
  <c r="AW175" i="75"/>
  <c r="FY175" i="75" s="1"/>
  <c r="AV175" i="75"/>
  <c r="FX175" i="75" s="1"/>
  <c r="AU175" i="75"/>
  <c r="FW175" i="75" s="1"/>
  <c r="AT175" i="75"/>
  <c r="FV175" i="75" s="1"/>
  <c r="AS175" i="75"/>
  <c r="FU175" i="75" s="1"/>
  <c r="AR175" i="75"/>
  <c r="FT175" i="75" s="1"/>
  <c r="AQ175" i="75"/>
  <c r="AN175" i="75"/>
  <c r="AM175" i="75"/>
  <c r="FO175" i="75" s="1"/>
  <c r="AL175" i="75"/>
  <c r="FN175" i="75" s="1"/>
  <c r="AK175" i="75"/>
  <c r="FM175" i="75" s="1"/>
  <c r="AJ175" i="75"/>
  <c r="FL175" i="75" s="1"/>
  <c r="AI175" i="75"/>
  <c r="FK175" i="75" s="1"/>
  <c r="AH175" i="75"/>
  <c r="FJ175" i="75" s="1"/>
  <c r="AG175" i="75"/>
  <c r="FI175" i="75" s="1"/>
  <c r="AF175" i="75"/>
  <c r="FH175" i="75" s="1"/>
  <c r="AC175" i="75"/>
  <c r="FE175" i="75" s="1"/>
  <c r="AB175" i="75"/>
  <c r="FD175" i="75" s="1"/>
  <c r="AA175" i="75"/>
  <c r="FC175" i="75" s="1"/>
  <c r="Z175" i="75"/>
  <c r="FB175" i="75" s="1"/>
  <c r="Y175" i="75"/>
  <c r="FA175" i="75" s="1"/>
  <c r="X175" i="75"/>
  <c r="EZ175" i="75" s="1"/>
  <c r="W175" i="75"/>
  <c r="EY175" i="75" s="1"/>
  <c r="V175" i="75"/>
  <c r="EX175" i="75" s="1"/>
  <c r="U175" i="75"/>
  <c r="EW175" i="75" s="1"/>
  <c r="EV175" i="75" s="1"/>
  <c r="S175" i="75"/>
  <c r="ET175" i="75" s="1"/>
  <c r="R175" i="75"/>
  <c r="ES175" i="75" s="1"/>
  <c r="Q175" i="75"/>
  <c r="ER175" i="75" s="1"/>
  <c r="P175" i="75"/>
  <c r="EQ175" i="75" s="1"/>
  <c r="O175" i="75"/>
  <c r="EP175" i="75" s="1"/>
  <c r="N175" i="75"/>
  <c r="EO175" i="75" s="1"/>
  <c r="M175" i="75"/>
  <c r="EN175" i="75" s="1"/>
  <c r="L175" i="75"/>
  <c r="EM175" i="75" s="1"/>
  <c r="K175" i="75"/>
  <c r="EL175" i="75" s="1"/>
  <c r="EK175" i="75" s="1"/>
  <c r="J175" i="75"/>
  <c r="D175" i="75"/>
  <c r="B175" i="75"/>
  <c r="EI174" i="75"/>
  <c r="EJ174" i="75" s="1"/>
  <c r="EH174" i="75"/>
  <c r="EG174" i="75"/>
  <c r="EF174" i="75"/>
  <c r="EE174" i="75"/>
  <c r="ED174" i="75"/>
  <c r="EC174" i="75"/>
  <c r="EB174" i="75"/>
  <c r="EA174" i="75"/>
  <c r="DZ174" i="75" s="1"/>
  <c r="DB174" i="75"/>
  <c r="DC174" i="75" s="1"/>
  <c r="DA174" i="75"/>
  <c r="CZ174" i="75"/>
  <c r="CY174" i="75"/>
  <c r="CX174" i="75"/>
  <c r="CW174" i="75"/>
  <c r="CV174" i="75"/>
  <c r="CU174" i="75"/>
  <c r="CT174" i="75"/>
  <c r="CS174" i="75" s="1"/>
  <c r="CQ174" i="75"/>
  <c r="CR174" i="75" s="1"/>
  <c r="CP174" i="75"/>
  <c r="CO174" i="75"/>
  <c r="CN174" i="75"/>
  <c r="CM174" i="75"/>
  <c r="CL174" i="75"/>
  <c r="CK174" i="75"/>
  <c r="CJ174" i="75"/>
  <c r="CI174" i="75"/>
  <c r="CH174" i="75" s="1"/>
  <c r="CF174" i="75"/>
  <c r="CG174" i="75" s="1"/>
  <c r="CE174" i="75"/>
  <c r="CD174" i="75"/>
  <c r="CC174" i="75"/>
  <c r="CB174" i="75"/>
  <c r="CA174" i="75"/>
  <c r="BZ174" i="75"/>
  <c r="BY174" i="75"/>
  <c r="BX174" i="75"/>
  <c r="BW174" i="75" s="1"/>
  <c r="BU174" i="75"/>
  <c r="BV174" i="75" s="1"/>
  <c r="BT174" i="75"/>
  <c r="BS174" i="75"/>
  <c r="BR174" i="75"/>
  <c r="BQ174" i="75"/>
  <c r="BP174" i="75"/>
  <c r="BO174" i="75"/>
  <c r="BN174" i="75"/>
  <c r="BM174" i="75"/>
  <c r="BL174" i="75" s="1"/>
  <c r="BJ174" i="75"/>
  <c r="BK174" i="75" s="1"/>
  <c r="GM174" i="75" s="1"/>
  <c r="BI174" i="75"/>
  <c r="GK174" i="75" s="1"/>
  <c r="BH174" i="75"/>
  <c r="GJ174" i="75" s="1"/>
  <c r="BG174" i="75"/>
  <c r="GI174" i="75" s="1"/>
  <c r="BF174" i="75"/>
  <c r="GH174" i="75" s="1"/>
  <c r="BE174" i="75"/>
  <c r="GG174" i="75" s="1"/>
  <c r="BD174" i="75"/>
  <c r="GF174" i="75" s="1"/>
  <c r="BC174" i="75"/>
  <c r="GE174" i="75" s="1"/>
  <c r="BB174" i="75"/>
  <c r="GD174" i="75" s="1"/>
  <c r="AY174" i="75"/>
  <c r="GA174" i="75" s="1"/>
  <c r="AX174" i="75"/>
  <c r="FZ174" i="75" s="1"/>
  <c r="AW174" i="75"/>
  <c r="FY174" i="75" s="1"/>
  <c r="AV174" i="75"/>
  <c r="FX174" i="75" s="1"/>
  <c r="AU174" i="75"/>
  <c r="FW174" i="75" s="1"/>
  <c r="AT174" i="75"/>
  <c r="FV174" i="75" s="1"/>
  <c r="AS174" i="75"/>
  <c r="FU174" i="75" s="1"/>
  <c r="AR174" i="75"/>
  <c r="FT174" i="75" s="1"/>
  <c r="AQ174" i="75"/>
  <c r="AP174" i="75" s="1"/>
  <c r="FR174" i="75" s="1"/>
  <c r="AN174" i="75"/>
  <c r="AO174" i="75" s="1"/>
  <c r="FQ174" i="75" s="1"/>
  <c r="AM174" i="75"/>
  <c r="FO174" i="75" s="1"/>
  <c r="AL174" i="75"/>
  <c r="FN174" i="75" s="1"/>
  <c r="AK174" i="75"/>
  <c r="FM174" i="75" s="1"/>
  <c r="AJ174" i="75"/>
  <c r="FL174" i="75" s="1"/>
  <c r="AI174" i="75"/>
  <c r="FK174" i="75" s="1"/>
  <c r="AH174" i="75"/>
  <c r="FJ174" i="75" s="1"/>
  <c r="AG174" i="75"/>
  <c r="FI174" i="75" s="1"/>
  <c r="AF174" i="75"/>
  <c r="FH174" i="75" s="1"/>
  <c r="AE174" i="75"/>
  <c r="FG174" i="75" s="1"/>
  <c r="AC174" i="75"/>
  <c r="AD174" i="75" s="1"/>
  <c r="FF174" i="75" s="1"/>
  <c r="AB174" i="75"/>
  <c r="FD174" i="75" s="1"/>
  <c r="AA174" i="75"/>
  <c r="FC174" i="75" s="1"/>
  <c r="Z174" i="75"/>
  <c r="FB174" i="75" s="1"/>
  <c r="Y174" i="75"/>
  <c r="FA174" i="75" s="1"/>
  <c r="X174" i="75"/>
  <c r="EZ174" i="75" s="1"/>
  <c r="W174" i="75"/>
  <c r="EY174" i="75" s="1"/>
  <c r="V174" i="75"/>
  <c r="EX174" i="75" s="1"/>
  <c r="U174" i="75"/>
  <c r="EW174" i="75" s="1"/>
  <c r="EV174" i="75" s="1"/>
  <c r="S174" i="75"/>
  <c r="T174" i="75" s="1"/>
  <c r="EU174" i="75" s="1"/>
  <c r="R174" i="75"/>
  <c r="ES174" i="75" s="1"/>
  <c r="Q174" i="75"/>
  <c r="ER174" i="75" s="1"/>
  <c r="P174" i="75"/>
  <c r="EQ174" i="75" s="1"/>
  <c r="O174" i="75"/>
  <c r="EP174" i="75" s="1"/>
  <c r="N174" i="75"/>
  <c r="EO174" i="75" s="1"/>
  <c r="M174" i="75"/>
  <c r="EN174" i="75" s="1"/>
  <c r="L174" i="75"/>
  <c r="EM174" i="75" s="1"/>
  <c r="K174" i="75"/>
  <c r="EL174" i="75" s="1"/>
  <c r="EK174" i="75" s="1"/>
  <c r="J174" i="75"/>
  <c r="D174" i="75"/>
  <c r="B174" i="75"/>
  <c r="GG173" i="75"/>
  <c r="EI173" i="75"/>
  <c r="EJ173" i="75" s="1"/>
  <c r="EH173" i="75"/>
  <c r="EG173" i="75"/>
  <c r="EF173" i="75"/>
  <c r="EE173" i="75"/>
  <c r="ED173" i="75"/>
  <c r="EC173" i="75"/>
  <c r="EB173" i="75"/>
  <c r="EA173" i="75"/>
  <c r="DZ173" i="75" s="1"/>
  <c r="DB173" i="75"/>
  <c r="DC173" i="75" s="1"/>
  <c r="DA173" i="75"/>
  <c r="CZ173" i="75"/>
  <c r="CY173" i="75"/>
  <c r="CX173" i="75"/>
  <c r="CW173" i="75"/>
  <c r="CV173" i="75"/>
  <c r="CU173" i="75"/>
  <c r="CT173" i="75"/>
  <c r="CS173" i="75" s="1"/>
  <c r="CQ173" i="75"/>
  <c r="CR173" i="75" s="1"/>
  <c r="CP173" i="75"/>
  <c r="CO173" i="75"/>
  <c r="CN173" i="75"/>
  <c r="CM173" i="75"/>
  <c r="CL173" i="75"/>
  <c r="CK173" i="75"/>
  <c r="CJ173" i="75"/>
  <c r="CI173" i="75"/>
  <c r="CH173" i="75" s="1"/>
  <c r="CF173" i="75"/>
  <c r="CG173" i="75" s="1"/>
  <c r="CE173" i="75"/>
  <c r="CD173" i="75"/>
  <c r="CC173" i="75"/>
  <c r="CB173" i="75"/>
  <c r="CA173" i="75"/>
  <c r="BZ173" i="75"/>
  <c r="BY173" i="75"/>
  <c r="BX173" i="75"/>
  <c r="BW173" i="75" s="1"/>
  <c r="BU173" i="75"/>
  <c r="BV173" i="75" s="1"/>
  <c r="BT173" i="75"/>
  <c r="BS173" i="75"/>
  <c r="BR173" i="75"/>
  <c r="BQ173" i="75"/>
  <c r="BP173" i="75"/>
  <c r="BO173" i="75"/>
  <c r="BN173" i="75"/>
  <c r="BM173" i="75"/>
  <c r="BL173" i="75" s="1"/>
  <c r="BJ173" i="75"/>
  <c r="GL173" i="75" s="1"/>
  <c r="BI173" i="75"/>
  <c r="GK173" i="75" s="1"/>
  <c r="BH173" i="75"/>
  <c r="GJ173" i="75" s="1"/>
  <c r="BG173" i="75"/>
  <c r="GI173" i="75" s="1"/>
  <c r="BF173" i="75"/>
  <c r="GH173" i="75" s="1"/>
  <c r="BE173" i="75"/>
  <c r="BD173" i="75"/>
  <c r="GF173" i="75" s="1"/>
  <c r="BC173" i="75"/>
  <c r="GE173" i="75" s="1"/>
  <c r="BB173" i="75"/>
  <c r="GD173" i="75" s="1"/>
  <c r="AY173" i="75"/>
  <c r="AZ173" i="75" s="1"/>
  <c r="GB173" i="75" s="1"/>
  <c r="AX173" i="75"/>
  <c r="FZ173" i="75" s="1"/>
  <c r="AW173" i="75"/>
  <c r="FY173" i="75" s="1"/>
  <c r="AV173" i="75"/>
  <c r="FX173" i="75" s="1"/>
  <c r="AU173" i="75"/>
  <c r="FW173" i="75" s="1"/>
  <c r="AT173" i="75"/>
  <c r="FV173" i="75" s="1"/>
  <c r="AS173" i="75"/>
  <c r="FU173" i="75" s="1"/>
  <c r="AR173" i="75"/>
  <c r="FT173" i="75" s="1"/>
  <c r="AQ173" i="75"/>
  <c r="AN173" i="75"/>
  <c r="FP173" i="75" s="1"/>
  <c r="AM173" i="75"/>
  <c r="FO173" i="75" s="1"/>
  <c r="AL173" i="75"/>
  <c r="FN173" i="75" s="1"/>
  <c r="AK173" i="75"/>
  <c r="FM173" i="75" s="1"/>
  <c r="AJ173" i="75"/>
  <c r="FL173" i="75" s="1"/>
  <c r="AI173" i="75"/>
  <c r="FK173" i="75" s="1"/>
  <c r="AH173" i="75"/>
  <c r="FJ173" i="75" s="1"/>
  <c r="AG173" i="75"/>
  <c r="FI173" i="75" s="1"/>
  <c r="AF173" i="75"/>
  <c r="AC173" i="75"/>
  <c r="AD173" i="75" s="1"/>
  <c r="FF173" i="75" s="1"/>
  <c r="AB173" i="75"/>
  <c r="FD173" i="75" s="1"/>
  <c r="AA173" i="75"/>
  <c r="FC173" i="75" s="1"/>
  <c r="Z173" i="75"/>
  <c r="FB173" i="75" s="1"/>
  <c r="Y173" i="75"/>
  <c r="FA173" i="75" s="1"/>
  <c r="X173" i="75"/>
  <c r="EZ173" i="75" s="1"/>
  <c r="W173" i="75"/>
  <c r="EY173" i="75" s="1"/>
  <c r="V173" i="75"/>
  <c r="EX173" i="75" s="1"/>
  <c r="U173" i="75"/>
  <c r="EW173" i="75" s="1"/>
  <c r="EV173" i="75" s="1"/>
  <c r="S173" i="75"/>
  <c r="ET173" i="75" s="1"/>
  <c r="R173" i="75"/>
  <c r="ES173" i="75" s="1"/>
  <c r="Q173" i="75"/>
  <c r="ER173" i="75" s="1"/>
  <c r="P173" i="75"/>
  <c r="EQ173" i="75" s="1"/>
  <c r="O173" i="75"/>
  <c r="EP173" i="75" s="1"/>
  <c r="N173" i="75"/>
  <c r="EO173" i="75" s="1"/>
  <c r="M173" i="75"/>
  <c r="EN173" i="75" s="1"/>
  <c r="L173" i="75"/>
  <c r="EM173" i="75" s="1"/>
  <c r="K173" i="75"/>
  <c r="EL173" i="75" s="1"/>
  <c r="EK173" i="75" s="1"/>
  <c r="J173" i="75"/>
  <c r="D173" i="75"/>
  <c r="B173" i="75"/>
  <c r="ES172" i="75"/>
  <c r="EI172" i="75"/>
  <c r="EJ172" i="75" s="1"/>
  <c r="EH172" i="75"/>
  <c r="EG172" i="75"/>
  <c r="EF172" i="75"/>
  <c r="EE172" i="75"/>
  <c r="ED172" i="75"/>
  <c r="EC172" i="75"/>
  <c r="EB172" i="75"/>
  <c r="EA172" i="75"/>
  <c r="DZ172" i="75" s="1"/>
  <c r="DB172" i="75"/>
  <c r="DC172" i="75" s="1"/>
  <c r="DA172" i="75"/>
  <c r="CZ172" i="75"/>
  <c r="CY172" i="75"/>
  <c r="CX172" i="75"/>
  <c r="CW172" i="75"/>
  <c r="CV172" i="75"/>
  <c r="CU172" i="75"/>
  <c r="CT172" i="75"/>
  <c r="CS172" i="75" s="1"/>
  <c r="CQ172" i="75"/>
  <c r="CR172" i="75" s="1"/>
  <c r="CP172" i="75"/>
  <c r="CO172" i="75"/>
  <c r="CN172" i="75"/>
  <c r="CM172" i="75"/>
  <c r="CL172" i="75"/>
  <c r="CK172" i="75"/>
  <c r="CJ172" i="75"/>
  <c r="CI172" i="75"/>
  <c r="CH172" i="75" s="1"/>
  <c r="CF172" i="75"/>
  <c r="CG172" i="75" s="1"/>
  <c r="CE172" i="75"/>
  <c r="CD172" i="75"/>
  <c r="CC172" i="75"/>
  <c r="CB172" i="75"/>
  <c r="CA172" i="75"/>
  <c r="BZ172" i="75"/>
  <c r="BY172" i="75"/>
  <c r="BX172" i="75"/>
  <c r="BW172" i="75" s="1"/>
  <c r="BU172" i="75"/>
  <c r="BV172" i="75" s="1"/>
  <c r="BT172" i="75"/>
  <c r="BS172" i="75"/>
  <c r="BR172" i="75"/>
  <c r="BQ172" i="75"/>
  <c r="BP172" i="75"/>
  <c r="BO172" i="75"/>
  <c r="BN172" i="75"/>
  <c r="BM172" i="75"/>
  <c r="BL172" i="75" s="1"/>
  <c r="BJ172" i="75"/>
  <c r="BK172" i="75" s="1"/>
  <c r="GM172" i="75" s="1"/>
  <c r="BI172" i="75"/>
  <c r="GK172" i="75" s="1"/>
  <c r="BH172" i="75"/>
  <c r="GJ172" i="75" s="1"/>
  <c r="BG172" i="75"/>
  <c r="GI172" i="75" s="1"/>
  <c r="BF172" i="75"/>
  <c r="GH172" i="75" s="1"/>
  <c r="BE172" i="75"/>
  <c r="GG172" i="75" s="1"/>
  <c r="BD172" i="75"/>
  <c r="GF172" i="75" s="1"/>
  <c r="BC172" i="75"/>
  <c r="GE172" i="75" s="1"/>
  <c r="BB172" i="75"/>
  <c r="GD172" i="75" s="1"/>
  <c r="AY172" i="75"/>
  <c r="AX172" i="75"/>
  <c r="FZ172" i="75" s="1"/>
  <c r="AW172" i="75"/>
  <c r="FY172" i="75" s="1"/>
  <c r="AV172" i="75"/>
  <c r="FX172" i="75" s="1"/>
  <c r="AU172" i="75"/>
  <c r="FW172" i="75" s="1"/>
  <c r="AT172" i="75"/>
  <c r="FV172" i="75" s="1"/>
  <c r="AS172" i="75"/>
  <c r="FU172" i="75" s="1"/>
  <c r="AR172" i="75"/>
  <c r="FT172" i="75" s="1"/>
  <c r="AQ172" i="75"/>
  <c r="AP172" i="75" s="1"/>
  <c r="FR172" i="75" s="1"/>
  <c r="AN172" i="75"/>
  <c r="FP172" i="75" s="1"/>
  <c r="AM172" i="75"/>
  <c r="FO172" i="75" s="1"/>
  <c r="AL172" i="75"/>
  <c r="FN172" i="75" s="1"/>
  <c r="AK172" i="75"/>
  <c r="FM172" i="75" s="1"/>
  <c r="AJ172" i="75"/>
  <c r="FL172" i="75" s="1"/>
  <c r="AI172" i="75"/>
  <c r="FK172" i="75" s="1"/>
  <c r="AH172" i="75"/>
  <c r="FJ172" i="75" s="1"/>
  <c r="AG172" i="75"/>
  <c r="FI172" i="75" s="1"/>
  <c r="AF172" i="75"/>
  <c r="AE172" i="75" s="1"/>
  <c r="FG172" i="75" s="1"/>
  <c r="AC172" i="75"/>
  <c r="FE172" i="75" s="1"/>
  <c r="AB172" i="75"/>
  <c r="FD172" i="75" s="1"/>
  <c r="AA172" i="75"/>
  <c r="FC172" i="75" s="1"/>
  <c r="Z172" i="75"/>
  <c r="FB172" i="75" s="1"/>
  <c r="Y172" i="75"/>
  <c r="FA172" i="75" s="1"/>
  <c r="X172" i="75"/>
  <c r="EZ172" i="75" s="1"/>
  <c r="W172" i="75"/>
  <c r="EY172" i="75" s="1"/>
  <c r="V172" i="75"/>
  <c r="EX172" i="75" s="1"/>
  <c r="U172" i="75"/>
  <c r="EW172" i="75" s="1"/>
  <c r="EV172" i="75" s="1"/>
  <c r="S172" i="75"/>
  <c r="T172" i="75" s="1"/>
  <c r="EU172" i="75" s="1"/>
  <c r="R172" i="75"/>
  <c r="Q172" i="75"/>
  <c r="ER172" i="75" s="1"/>
  <c r="P172" i="75"/>
  <c r="EQ172" i="75" s="1"/>
  <c r="O172" i="75"/>
  <c r="EP172" i="75" s="1"/>
  <c r="N172" i="75"/>
  <c r="EO172" i="75" s="1"/>
  <c r="M172" i="75"/>
  <c r="EN172" i="75" s="1"/>
  <c r="L172" i="75"/>
  <c r="EM172" i="75" s="1"/>
  <c r="K172" i="75"/>
  <c r="EL172" i="75" s="1"/>
  <c r="EK172" i="75" s="1"/>
  <c r="J172" i="75"/>
  <c r="D172" i="75"/>
  <c r="B172" i="75"/>
  <c r="EI171" i="75"/>
  <c r="EJ171" i="75" s="1"/>
  <c r="EH171" i="75"/>
  <c r="EG171" i="75"/>
  <c r="EF171" i="75"/>
  <c r="EE171" i="75"/>
  <c r="ED171" i="75"/>
  <c r="EC171" i="75"/>
  <c r="EB171" i="75"/>
  <c r="EA171" i="75"/>
  <c r="DZ171" i="75" s="1"/>
  <c r="DB171" i="75"/>
  <c r="DC171" i="75" s="1"/>
  <c r="DA171" i="75"/>
  <c r="CZ171" i="75"/>
  <c r="CY171" i="75"/>
  <c r="CX171" i="75"/>
  <c r="CW171" i="75"/>
  <c r="CV171" i="75"/>
  <c r="CU171" i="75"/>
  <c r="CT171" i="75"/>
  <c r="CS171" i="75" s="1"/>
  <c r="CQ171" i="75"/>
  <c r="CR171" i="75" s="1"/>
  <c r="CP171" i="75"/>
  <c r="CO171" i="75"/>
  <c r="CN171" i="75"/>
  <c r="CM171" i="75"/>
  <c r="CL171" i="75"/>
  <c r="CK171" i="75"/>
  <c r="CJ171" i="75"/>
  <c r="CI171" i="75"/>
  <c r="CH171" i="75" s="1"/>
  <c r="CF171" i="75"/>
  <c r="CG171" i="75" s="1"/>
  <c r="CE171" i="75"/>
  <c r="CD171" i="75"/>
  <c r="CC171" i="75"/>
  <c r="CB171" i="75"/>
  <c r="CA171" i="75"/>
  <c r="BZ171" i="75"/>
  <c r="BY171" i="75"/>
  <c r="BX171" i="75"/>
  <c r="BW171" i="75" s="1"/>
  <c r="BU171" i="75"/>
  <c r="BV171" i="75" s="1"/>
  <c r="BT171" i="75"/>
  <c r="BS171" i="75"/>
  <c r="BR171" i="75"/>
  <c r="BQ171" i="75"/>
  <c r="BP171" i="75"/>
  <c r="BO171" i="75"/>
  <c r="BN171" i="75"/>
  <c r="BM171" i="75"/>
  <c r="BL171" i="75" s="1"/>
  <c r="BJ171" i="75"/>
  <c r="GL171" i="75" s="1"/>
  <c r="BI171" i="75"/>
  <c r="GK171" i="75" s="1"/>
  <c r="BH171" i="75"/>
  <c r="GJ171" i="75" s="1"/>
  <c r="BG171" i="75"/>
  <c r="GI171" i="75" s="1"/>
  <c r="BF171" i="75"/>
  <c r="GH171" i="75" s="1"/>
  <c r="BE171" i="75"/>
  <c r="GG171" i="75" s="1"/>
  <c r="BD171" i="75"/>
  <c r="GF171" i="75" s="1"/>
  <c r="BC171" i="75"/>
  <c r="GE171" i="75" s="1"/>
  <c r="BB171" i="75"/>
  <c r="GD171" i="75" s="1"/>
  <c r="AY171" i="75"/>
  <c r="GA171" i="75" s="1"/>
  <c r="AX171" i="75"/>
  <c r="FZ171" i="75" s="1"/>
  <c r="AW171" i="75"/>
  <c r="FY171" i="75" s="1"/>
  <c r="AV171" i="75"/>
  <c r="FX171" i="75" s="1"/>
  <c r="AU171" i="75"/>
  <c r="FW171" i="75" s="1"/>
  <c r="AT171" i="75"/>
  <c r="FV171" i="75" s="1"/>
  <c r="AS171" i="75"/>
  <c r="FU171" i="75" s="1"/>
  <c r="AR171" i="75"/>
  <c r="FT171" i="75" s="1"/>
  <c r="AQ171" i="75"/>
  <c r="AP171" i="75" s="1"/>
  <c r="FR171" i="75" s="1"/>
  <c r="AN171" i="75"/>
  <c r="AO171" i="75" s="1"/>
  <c r="FQ171" i="75" s="1"/>
  <c r="AM171" i="75"/>
  <c r="FO171" i="75" s="1"/>
  <c r="AL171" i="75"/>
  <c r="FN171" i="75" s="1"/>
  <c r="AK171" i="75"/>
  <c r="FM171" i="75" s="1"/>
  <c r="AJ171" i="75"/>
  <c r="FL171" i="75" s="1"/>
  <c r="AI171" i="75"/>
  <c r="FK171" i="75" s="1"/>
  <c r="AH171" i="75"/>
  <c r="FJ171" i="75" s="1"/>
  <c r="AG171" i="75"/>
  <c r="FI171" i="75" s="1"/>
  <c r="AF171" i="75"/>
  <c r="FH171" i="75" s="1"/>
  <c r="AC171" i="75"/>
  <c r="AB171" i="75"/>
  <c r="FD171" i="75" s="1"/>
  <c r="AA171" i="75"/>
  <c r="FC171" i="75" s="1"/>
  <c r="Z171" i="75"/>
  <c r="FB171" i="75" s="1"/>
  <c r="Y171" i="75"/>
  <c r="FA171" i="75" s="1"/>
  <c r="X171" i="75"/>
  <c r="EZ171" i="75" s="1"/>
  <c r="W171" i="75"/>
  <c r="EY171" i="75" s="1"/>
  <c r="V171" i="75"/>
  <c r="EX171" i="75" s="1"/>
  <c r="U171" i="75"/>
  <c r="EW171" i="75" s="1"/>
  <c r="EV171" i="75" s="1"/>
  <c r="S171" i="75"/>
  <c r="T171" i="75" s="1"/>
  <c r="EU171" i="75" s="1"/>
  <c r="R171" i="75"/>
  <c r="ES171" i="75" s="1"/>
  <c r="Q171" i="75"/>
  <c r="ER171" i="75" s="1"/>
  <c r="P171" i="75"/>
  <c r="EQ171" i="75" s="1"/>
  <c r="O171" i="75"/>
  <c r="EP171" i="75" s="1"/>
  <c r="N171" i="75"/>
  <c r="EO171" i="75" s="1"/>
  <c r="M171" i="75"/>
  <c r="EN171" i="75" s="1"/>
  <c r="L171" i="75"/>
  <c r="EM171" i="75" s="1"/>
  <c r="K171" i="75"/>
  <c r="EL171" i="75" s="1"/>
  <c r="EK171" i="75" s="1"/>
  <c r="J171" i="75"/>
  <c r="D171" i="75"/>
  <c r="B171" i="75"/>
  <c r="EI170" i="75"/>
  <c r="EJ170" i="75" s="1"/>
  <c r="EH170" i="75"/>
  <c r="EG170" i="75"/>
  <c r="EF170" i="75"/>
  <c r="EE170" i="75"/>
  <c r="ED170" i="75"/>
  <c r="EC170" i="75"/>
  <c r="EB170" i="75"/>
  <c r="EA170" i="75"/>
  <c r="DZ170" i="75" s="1"/>
  <c r="DB170" i="75"/>
  <c r="DC170" i="75" s="1"/>
  <c r="DA170" i="75"/>
  <c r="CZ170" i="75"/>
  <c r="CY170" i="75"/>
  <c r="CX170" i="75"/>
  <c r="CW170" i="75"/>
  <c r="CV170" i="75"/>
  <c r="CU170" i="75"/>
  <c r="CT170" i="75"/>
  <c r="CS170" i="75" s="1"/>
  <c r="CQ170" i="75"/>
  <c r="CR170" i="75" s="1"/>
  <c r="CP170" i="75"/>
  <c r="CO170" i="75"/>
  <c r="CN170" i="75"/>
  <c r="CM170" i="75"/>
  <c r="CL170" i="75"/>
  <c r="CK170" i="75"/>
  <c r="CJ170" i="75"/>
  <c r="CI170" i="75"/>
  <c r="CH170" i="75" s="1"/>
  <c r="CF170" i="75"/>
  <c r="CG170" i="75" s="1"/>
  <c r="CE170" i="75"/>
  <c r="CD170" i="75"/>
  <c r="CC170" i="75"/>
  <c r="CB170" i="75"/>
  <c r="CA170" i="75"/>
  <c r="BZ170" i="75"/>
  <c r="BY170" i="75"/>
  <c r="BX170" i="75"/>
  <c r="BW170" i="75" s="1"/>
  <c r="BU170" i="75"/>
  <c r="BV170" i="75" s="1"/>
  <c r="BT170" i="75"/>
  <c r="BS170" i="75"/>
  <c r="BR170" i="75"/>
  <c r="BQ170" i="75"/>
  <c r="BP170" i="75"/>
  <c r="BO170" i="75"/>
  <c r="BN170" i="75"/>
  <c r="BM170" i="75"/>
  <c r="BL170" i="75" s="1"/>
  <c r="BJ170" i="75"/>
  <c r="GL170" i="75" s="1"/>
  <c r="BI170" i="75"/>
  <c r="GK170" i="75" s="1"/>
  <c r="BH170" i="75"/>
  <c r="GJ170" i="75" s="1"/>
  <c r="BG170" i="75"/>
  <c r="GI170" i="75" s="1"/>
  <c r="BF170" i="75"/>
  <c r="GH170" i="75" s="1"/>
  <c r="BE170" i="75"/>
  <c r="GG170" i="75" s="1"/>
  <c r="BD170" i="75"/>
  <c r="GF170" i="75" s="1"/>
  <c r="BC170" i="75"/>
  <c r="GE170" i="75" s="1"/>
  <c r="BB170" i="75"/>
  <c r="BA170" i="75" s="1"/>
  <c r="GC170" i="75" s="1"/>
  <c r="AY170" i="75"/>
  <c r="AZ170" i="75" s="1"/>
  <c r="GB170" i="75" s="1"/>
  <c r="AX170" i="75"/>
  <c r="FZ170" i="75" s="1"/>
  <c r="AW170" i="75"/>
  <c r="FY170" i="75" s="1"/>
  <c r="AV170" i="75"/>
  <c r="FX170" i="75" s="1"/>
  <c r="AU170" i="75"/>
  <c r="FW170" i="75" s="1"/>
  <c r="AT170" i="75"/>
  <c r="FV170" i="75" s="1"/>
  <c r="AS170" i="75"/>
  <c r="FU170" i="75" s="1"/>
  <c r="AR170" i="75"/>
  <c r="FT170" i="75" s="1"/>
  <c r="AQ170" i="75"/>
  <c r="FS170" i="75" s="1"/>
  <c r="AN170" i="75"/>
  <c r="AM170" i="75"/>
  <c r="FO170" i="75" s="1"/>
  <c r="AL170" i="75"/>
  <c r="FN170" i="75" s="1"/>
  <c r="AK170" i="75"/>
  <c r="FM170" i="75" s="1"/>
  <c r="AJ170" i="75"/>
  <c r="FL170" i="75" s="1"/>
  <c r="AI170" i="75"/>
  <c r="FK170" i="75" s="1"/>
  <c r="AH170" i="75"/>
  <c r="FJ170" i="75" s="1"/>
  <c r="AG170" i="75"/>
  <c r="FI170" i="75" s="1"/>
  <c r="AF170" i="75"/>
  <c r="AC170" i="75"/>
  <c r="AB170" i="75"/>
  <c r="FD170" i="75" s="1"/>
  <c r="AA170" i="75"/>
  <c r="FC170" i="75" s="1"/>
  <c r="Z170" i="75"/>
  <c r="FB170" i="75" s="1"/>
  <c r="Y170" i="75"/>
  <c r="FA170" i="75" s="1"/>
  <c r="X170" i="75"/>
  <c r="EZ170" i="75" s="1"/>
  <c r="W170" i="75"/>
  <c r="EY170" i="75" s="1"/>
  <c r="V170" i="75"/>
  <c r="EX170" i="75" s="1"/>
  <c r="U170" i="75"/>
  <c r="EW170" i="75" s="1"/>
  <c r="EV170" i="75" s="1"/>
  <c r="S170" i="75"/>
  <c r="ET170" i="75" s="1"/>
  <c r="R170" i="75"/>
  <c r="ES170" i="75" s="1"/>
  <c r="Q170" i="75"/>
  <c r="ER170" i="75" s="1"/>
  <c r="P170" i="75"/>
  <c r="EQ170" i="75" s="1"/>
  <c r="O170" i="75"/>
  <c r="EP170" i="75" s="1"/>
  <c r="N170" i="75"/>
  <c r="EO170" i="75" s="1"/>
  <c r="M170" i="75"/>
  <c r="EN170" i="75" s="1"/>
  <c r="L170" i="75"/>
  <c r="EM170" i="75" s="1"/>
  <c r="K170" i="75"/>
  <c r="EL170" i="75" s="1"/>
  <c r="EK170" i="75" s="1"/>
  <c r="J170" i="75"/>
  <c r="D170" i="75"/>
  <c r="B170" i="75"/>
  <c r="EI169" i="75"/>
  <c r="EJ169" i="75" s="1"/>
  <c r="EH169" i="75"/>
  <c r="EG169" i="75"/>
  <c r="EF169" i="75"/>
  <c r="EE169" i="75"/>
  <c r="ED169" i="75"/>
  <c r="EC169" i="75"/>
  <c r="EB169" i="75"/>
  <c r="EA169" i="75"/>
  <c r="DZ169" i="75" s="1"/>
  <c r="DB169" i="75"/>
  <c r="DC169" i="75" s="1"/>
  <c r="DA169" i="75"/>
  <c r="CZ169" i="75"/>
  <c r="CY169" i="75"/>
  <c r="CX169" i="75"/>
  <c r="CW169" i="75"/>
  <c r="CV169" i="75"/>
  <c r="CU169" i="75"/>
  <c r="CT169" i="75"/>
  <c r="CS169" i="75" s="1"/>
  <c r="CQ169" i="75"/>
  <c r="CR169" i="75" s="1"/>
  <c r="CP169" i="75"/>
  <c r="CO169" i="75"/>
  <c r="CN169" i="75"/>
  <c r="CM169" i="75"/>
  <c r="CL169" i="75"/>
  <c r="CK169" i="75"/>
  <c r="CJ169" i="75"/>
  <c r="CI169" i="75"/>
  <c r="CH169" i="75"/>
  <c r="CF169" i="75"/>
  <c r="CG169" i="75" s="1"/>
  <c r="CE169" i="75"/>
  <c r="CD169" i="75"/>
  <c r="CC169" i="75"/>
  <c r="CB169" i="75"/>
  <c r="CA169" i="75"/>
  <c r="BZ169" i="75"/>
  <c r="BY169" i="75"/>
  <c r="BX169" i="75"/>
  <c r="BW169" i="75" s="1"/>
  <c r="BU169" i="75"/>
  <c r="BV169" i="75" s="1"/>
  <c r="BT169" i="75"/>
  <c r="BS169" i="75"/>
  <c r="BR169" i="75"/>
  <c r="BQ169" i="75"/>
  <c r="BP169" i="75"/>
  <c r="BO169" i="75"/>
  <c r="BN169" i="75"/>
  <c r="BM169" i="75"/>
  <c r="BL169" i="75"/>
  <c r="BJ169" i="75"/>
  <c r="BI169" i="75"/>
  <c r="GK169" i="75" s="1"/>
  <c r="BH169" i="75"/>
  <c r="GJ169" i="75" s="1"/>
  <c r="BG169" i="75"/>
  <c r="GI169" i="75" s="1"/>
  <c r="BF169" i="75"/>
  <c r="GH169" i="75" s="1"/>
  <c r="BE169" i="75"/>
  <c r="GG169" i="75" s="1"/>
  <c r="BD169" i="75"/>
  <c r="GF169" i="75" s="1"/>
  <c r="BC169" i="75"/>
  <c r="GE169" i="75" s="1"/>
  <c r="BB169" i="75"/>
  <c r="GD169" i="75" s="1"/>
  <c r="AY169" i="75"/>
  <c r="AX169" i="75"/>
  <c r="FZ169" i="75" s="1"/>
  <c r="AW169" i="75"/>
  <c r="FY169" i="75" s="1"/>
  <c r="AV169" i="75"/>
  <c r="FX169" i="75" s="1"/>
  <c r="AU169" i="75"/>
  <c r="FW169" i="75" s="1"/>
  <c r="AT169" i="75"/>
  <c r="FV169" i="75" s="1"/>
  <c r="AS169" i="75"/>
  <c r="FU169" i="75" s="1"/>
  <c r="AR169" i="75"/>
  <c r="FT169" i="75" s="1"/>
  <c r="AQ169" i="75"/>
  <c r="FS169" i="75" s="1"/>
  <c r="AP169" i="75"/>
  <c r="FR169" i="75" s="1"/>
  <c r="AN169" i="75"/>
  <c r="AM169" i="75"/>
  <c r="FO169" i="75" s="1"/>
  <c r="AL169" i="75"/>
  <c r="FN169" i="75" s="1"/>
  <c r="AK169" i="75"/>
  <c r="FM169" i="75" s="1"/>
  <c r="AJ169" i="75"/>
  <c r="FL169" i="75" s="1"/>
  <c r="AI169" i="75"/>
  <c r="FK169" i="75" s="1"/>
  <c r="AH169" i="75"/>
  <c r="FJ169" i="75" s="1"/>
  <c r="AG169" i="75"/>
  <c r="FI169" i="75" s="1"/>
  <c r="AF169" i="75"/>
  <c r="AE169" i="75" s="1"/>
  <c r="FG169" i="75" s="1"/>
  <c r="AC169" i="75"/>
  <c r="FE169" i="75" s="1"/>
  <c r="AB169" i="75"/>
  <c r="FD169" i="75" s="1"/>
  <c r="AA169" i="75"/>
  <c r="FC169" i="75" s="1"/>
  <c r="Z169" i="75"/>
  <c r="FB169" i="75" s="1"/>
  <c r="Y169" i="75"/>
  <c r="FA169" i="75" s="1"/>
  <c r="X169" i="75"/>
  <c r="EZ169" i="75" s="1"/>
  <c r="W169" i="75"/>
  <c r="EY169" i="75" s="1"/>
  <c r="V169" i="75"/>
  <c r="EX169" i="75" s="1"/>
  <c r="U169" i="75"/>
  <c r="EW169" i="75" s="1"/>
  <c r="EV169" i="75" s="1"/>
  <c r="S169" i="75"/>
  <c r="T169" i="75" s="1"/>
  <c r="EU169" i="75" s="1"/>
  <c r="R169" i="75"/>
  <c r="ES169" i="75" s="1"/>
  <c r="Q169" i="75"/>
  <c r="ER169" i="75" s="1"/>
  <c r="P169" i="75"/>
  <c r="EQ169" i="75" s="1"/>
  <c r="O169" i="75"/>
  <c r="EP169" i="75" s="1"/>
  <c r="N169" i="75"/>
  <c r="EO169" i="75" s="1"/>
  <c r="M169" i="75"/>
  <c r="EN169" i="75" s="1"/>
  <c r="L169" i="75"/>
  <c r="EM169" i="75" s="1"/>
  <c r="K169" i="75"/>
  <c r="EL169" i="75" s="1"/>
  <c r="EK169" i="75" s="1"/>
  <c r="J169" i="75"/>
  <c r="D169" i="75"/>
  <c r="B169" i="75"/>
  <c r="EI168" i="75"/>
  <c r="EJ168" i="75" s="1"/>
  <c r="EH168" i="75"/>
  <c r="EG168" i="75"/>
  <c r="EF168" i="75"/>
  <c r="EE168" i="75"/>
  <c r="ED168" i="75"/>
  <c r="EC168" i="75"/>
  <c r="EB168" i="75"/>
  <c r="EA168" i="75"/>
  <c r="DZ168" i="75" s="1"/>
  <c r="DB168" i="75"/>
  <c r="DC168" i="75" s="1"/>
  <c r="DA168" i="75"/>
  <c r="CZ168" i="75"/>
  <c r="CY168" i="75"/>
  <c r="CX168" i="75"/>
  <c r="CW168" i="75"/>
  <c r="CV168" i="75"/>
  <c r="CU168" i="75"/>
  <c r="CT168" i="75"/>
  <c r="CS168" i="75" s="1"/>
  <c r="CQ168" i="75"/>
  <c r="CR168" i="75" s="1"/>
  <c r="CP168" i="75"/>
  <c r="CO168" i="75"/>
  <c r="CN168" i="75"/>
  <c r="CM168" i="75"/>
  <c r="CL168" i="75"/>
  <c r="CK168" i="75"/>
  <c r="CJ168" i="75"/>
  <c r="CI168" i="75"/>
  <c r="CH168" i="75" s="1"/>
  <c r="CF168" i="75"/>
  <c r="CG168" i="75" s="1"/>
  <c r="CE168" i="75"/>
  <c r="CD168" i="75"/>
  <c r="CC168" i="75"/>
  <c r="CB168" i="75"/>
  <c r="CA168" i="75"/>
  <c r="BZ168" i="75"/>
  <c r="BY168" i="75"/>
  <c r="BX168" i="75"/>
  <c r="BW168" i="75" s="1"/>
  <c r="BU168" i="75"/>
  <c r="BV168" i="75" s="1"/>
  <c r="BT168" i="75"/>
  <c r="BS168" i="75"/>
  <c r="BR168" i="75"/>
  <c r="BQ168" i="75"/>
  <c r="BP168" i="75"/>
  <c r="BO168" i="75"/>
  <c r="BN168" i="75"/>
  <c r="BM168" i="75"/>
  <c r="BL168" i="75" s="1"/>
  <c r="BJ168" i="75"/>
  <c r="BK168" i="75" s="1"/>
  <c r="GM168" i="75" s="1"/>
  <c r="BI168" i="75"/>
  <c r="GK168" i="75" s="1"/>
  <c r="BH168" i="75"/>
  <c r="GJ168" i="75" s="1"/>
  <c r="BG168" i="75"/>
  <c r="GI168" i="75" s="1"/>
  <c r="BF168" i="75"/>
  <c r="GH168" i="75" s="1"/>
  <c r="BE168" i="75"/>
  <c r="GG168" i="75" s="1"/>
  <c r="BD168" i="75"/>
  <c r="GF168" i="75" s="1"/>
  <c r="BC168" i="75"/>
  <c r="GE168" i="75" s="1"/>
  <c r="BB168" i="75"/>
  <c r="AY168" i="75"/>
  <c r="AX168" i="75"/>
  <c r="FZ168" i="75" s="1"/>
  <c r="AW168" i="75"/>
  <c r="FY168" i="75" s="1"/>
  <c r="AV168" i="75"/>
  <c r="FX168" i="75" s="1"/>
  <c r="AU168" i="75"/>
  <c r="FW168" i="75" s="1"/>
  <c r="AT168" i="75"/>
  <c r="FV168" i="75" s="1"/>
  <c r="AS168" i="75"/>
  <c r="FU168" i="75" s="1"/>
  <c r="AR168" i="75"/>
  <c r="FT168" i="75" s="1"/>
  <c r="AQ168" i="75"/>
  <c r="AN168" i="75"/>
  <c r="AO168" i="75" s="1"/>
  <c r="FQ168" i="75" s="1"/>
  <c r="AM168" i="75"/>
  <c r="FO168" i="75" s="1"/>
  <c r="AL168" i="75"/>
  <c r="FN168" i="75" s="1"/>
  <c r="AK168" i="75"/>
  <c r="FM168" i="75" s="1"/>
  <c r="AJ168" i="75"/>
  <c r="FL168" i="75" s="1"/>
  <c r="AI168" i="75"/>
  <c r="FK168" i="75" s="1"/>
  <c r="AH168" i="75"/>
  <c r="FJ168" i="75" s="1"/>
  <c r="AG168" i="75"/>
  <c r="FI168" i="75" s="1"/>
  <c r="AF168" i="75"/>
  <c r="FH168" i="75" s="1"/>
  <c r="AC168" i="75"/>
  <c r="AD168" i="75" s="1"/>
  <c r="FF168" i="75" s="1"/>
  <c r="AB168" i="75"/>
  <c r="FD168" i="75" s="1"/>
  <c r="AA168" i="75"/>
  <c r="FC168" i="75" s="1"/>
  <c r="Z168" i="75"/>
  <c r="FB168" i="75" s="1"/>
  <c r="Y168" i="75"/>
  <c r="FA168" i="75" s="1"/>
  <c r="X168" i="75"/>
  <c r="EZ168" i="75" s="1"/>
  <c r="W168" i="75"/>
  <c r="EY168" i="75" s="1"/>
  <c r="V168" i="75"/>
  <c r="EX168" i="75" s="1"/>
  <c r="U168" i="75"/>
  <c r="EW168" i="75" s="1"/>
  <c r="EV168" i="75" s="1"/>
  <c r="S168" i="75"/>
  <c r="R168" i="75"/>
  <c r="ES168" i="75" s="1"/>
  <c r="Q168" i="75"/>
  <c r="ER168" i="75" s="1"/>
  <c r="P168" i="75"/>
  <c r="EQ168" i="75" s="1"/>
  <c r="O168" i="75"/>
  <c r="EP168" i="75" s="1"/>
  <c r="N168" i="75"/>
  <c r="EO168" i="75" s="1"/>
  <c r="M168" i="75"/>
  <c r="EN168" i="75" s="1"/>
  <c r="L168" i="75"/>
  <c r="EM168" i="75" s="1"/>
  <c r="K168" i="75"/>
  <c r="EL168" i="75" s="1"/>
  <c r="EK168" i="75" s="1"/>
  <c r="J168" i="75"/>
  <c r="D168" i="75"/>
  <c r="B168" i="75"/>
  <c r="EI167" i="75"/>
  <c r="EJ167" i="75" s="1"/>
  <c r="EH167" i="75"/>
  <c r="EG167" i="75"/>
  <c r="EF167" i="75"/>
  <c r="EE167" i="75"/>
  <c r="ED167" i="75"/>
  <c r="EC167" i="75"/>
  <c r="EB167" i="75"/>
  <c r="EA167" i="75"/>
  <c r="DZ167" i="75" s="1"/>
  <c r="DB167" i="75"/>
  <c r="DC167" i="75" s="1"/>
  <c r="DA167" i="75"/>
  <c r="CZ167" i="75"/>
  <c r="CY167" i="75"/>
  <c r="CX167" i="75"/>
  <c r="CW167" i="75"/>
  <c r="CV167" i="75"/>
  <c r="CU167" i="75"/>
  <c r="CT167" i="75"/>
  <c r="CS167" i="75" s="1"/>
  <c r="CQ167" i="75"/>
  <c r="CR167" i="75" s="1"/>
  <c r="CP167" i="75"/>
  <c r="CO167" i="75"/>
  <c r="CN167" i="75"/>
  <c r="CM167" i="75"/>
  <c r="CL167" i="75"/>
  <c r="CK167" i="75"/>
  <c r="CJ167" i="75"/>
  <c r="CI167" i="75"/>
  <c r="CH167" i="75" s="1"/>
  <c r="CF167" i="75"/>
  <c r="CG167" i="75" s="1"/>
  <c r="CE167" i="75"/>
  <c r="CD167" i="75"/>
  <c r="CC167" i="75"/>
  <c r="CB167" i="75"/>
  <c r="CA167" i="75"/>
  <c r="BZ167" i="75"/>
  <c r="BY167" i="75"/>
  <c r="BX167" i="75"/>
  <c r="BW167" i="75" s="1"/>
  <c r="BU167" i="75"/>
  <c r="BV167" i="75" s="1"/>
  <c r="BT167" i="75"/>
  <c r="BS167" i="75"/>
  <c r="BR167" i="75"/>
  <c r="BQ167" i="75"/>
  <c r="BP167" i="75"/>
  <c r="BO167" i="75"/>
  <c r="BN167" i="75"/>
  <c r="BM167" i="75"/>
  <c r="BL167" i="75" s="1"/>
  <c r="BJ167" i="75"/>
  <c r="GL167" i="75" s="1"/>
  <c r="BI167" i="75"/>
  <c r="GK167" i="75" s="1"/>
  <c r="BH167" i="75"/>
  <c r="GJ167" i="75" s="1"/>
  <c r="BG167" i="75"/>
  <c r="GI167" i="75" s="1"/>
  <c r="BF167" i="75"/>
  <c r="GH167" i="75" s="1"/>
  <c r="BE167" i="75"/>
  <c r="GG167" i="75" s="1"/>
  <c r="BD167" i="75"/>
  <c r="GF167" i="75" s="1"/>
  <c r="BC167" i="75"/>
  <c r="GE167" i="75" s="1"/>
  <c r="BB167" i="75"/>
  <c r="GD167" i="75" s="1"/>
  <c r="BA167" i="75"/>
  <c r="GC167" i="75" s="1"/>
  <c r="AY167" i="75"/>
  <c r="AZ167" i="75" s="1"/>
  <c r="GB167" i="75" s="1"/>
  <c r="AX167" i="75"/>
  <c r="FZ167" i="75" s="1"/>
  <c r="AW167" i="75"/>
  <c r="FY167" i="75" s="1"/>
  <c r="AV167" i="75"/>
  <c r="FX167" i="75" s="1"/>
  <c r="AU167" i="75"/>
  <c r="FW167" i="75" s="1"/>
  <c r="AT167" i="75"/>
  <c r="FV167" i="75" s="1"/>
  <c r="AS167" i="75"/>
  <c r="FU167" i="75" s="1"/>
  <c r="AR167" i="75"/>
  <c r="FT167" i="75" s="1"/>
  <c r="AQ167" i="75"/>
  <c r="FS167" i="75" s="1"/>
  <c r="AN167" i="75"/>
  <c r="FP167" i="75" s="1"/>
  <c r="AM167" i="75"/>
  <c r="FO167" i="75" s="1"/>
  <c r="AL167" i="75"/>
  <c r="FN167" i="75" s="1"/>
  <c r="AK167" i="75"/>
  <c r="FM167" i="75" s="1"/>
  <c r="AJ167" i="75"/>
  <c r="FL167" i="75" s="1"/>
  <c r="AI167" i="75"/>
  <c r="FK167" i="75" s="1"/>
  <c r="AH167" i="75"/>
  <c r="FJ167" i="75" s="1"/>
  <c r="AG167" i="75"/>
  <c r="FI167" i="75" s="1"/>
  <c r="AF167" i="75"/>
  <c r="AC167" i="75"/>
  <c r="AD167" i="75" s="1"/>
  <c r="FF167" i="75" s="1"/>
  <c r="AB167" i="75"/>
  <c r="FD167" i="75" s="1"/>
  <c r="AA167" i="75"/>
  <c r="FC167" i="75" s="1"/>
  <c r="Z167" i="75"/>
  <c r="FB167" i="75" s="1"/>
  <c r="Y167" i="75"/>
  <c r="FA167" i="75" s="1"/>
  <c r="X167" i="75"/>
  <c r="EZ167" i="75" s="1"/>
  <c r="W167" i="75"/>
  <c r="EY167" i="75" s="1"/>
  <c r="V167" i="75"/>
  <c r="EX167" i="75" s="1"/>
  <c r="U167" i="75"/>
  <c r="EW167" i="75" s="1"/>
  <c r="EV167" i="75" s="1"/>
  <c r="S167" i="75"/>
  <c r="T167" i="75" s="1"/>
  <c r="EU167" i="75" s="1"/>
  <c r="R167" i="75"/>
  <c r="ES167" i="75" s="1"/>
  <c r="Q167" i="75"/>
  <c r="ER167" i="75" s="1"/>
  <c r="P167" i="75"/>
  <c r="EQ167" i="75" s="1"/>
  <c r="O167" i="75"/>
  <c r="EP167" i="75" s="1"/>
  <c r="N167" i="75"/>
  <c r="EO167" i="75" s="1"/>
  <c r="M167" i="75"/>
  <c r="EN167" i="75" s="1"/>
  <c r="L167" i="75"/>
  <c r="EM167" i="75" s="1"/>
  <c r="K167" i="75"/>
  <c r="EL167" i="75" s="1"/>
  <c r="EK167" i="75" s="1"/>
  <c r="J167" i="75"/>
  <c r="D167" i="75"/>
  <c r="B167" i="75"/>
  <c r="FB166" i="75"/>
  <c r="EI166" i="75"/>
  <c r="EJ166" i="75" s="1"/>
  <c r="EH166" i="75"/>
  <c r="EG166" i="75"/>
  <c r="EF166" i="75"/>
  <c r="EE166" i="75"/>
  <c r="ED166" i="75"/>
  <c r="EC166" i="75"/>
  <c r="EB166" i="75"/>
  <c r="EA166" i="75"/>
  <c r="DZ166" i="75" s="1"/>
  <c r="DB166" i="75"/>
  <c r="DC166" i="75" s="1"/>
  <c r="DA166" i="75"/>
  <c r="CZ166" i="75"/>
  <c r="CY166" i="75"/>
  <c r="CX166" i="75"/>
  <c r="CW166" i="75"/>
  <c r="CV166" i="75"/>
  <c r="CU166" i="75"/>
  <c r="CT166" i="75"/>
  <c r="CS166" i="75" s="1"/>
  <c r="CQ166" i="75"/>
  <c r="CR166" i="75" s="1"/>
  <c r="CP166" i="75"/>
  <c r="CO166" i="75"/>
  <c r="CN166" i="75"/>
  <c r="CM166" i="75"/>
  <c r="CL166" i="75"/>
  <c r="CK166" i="75"/>
  <c r="CJ166" i="75"/>
  <c r="CI166" i="75"/>
  <c r="CH166" i="75" s="1"/>
  <c r="CF166" i="75"/>
  <c r="CG166" i="75" s="1"/>
  <c r="CE166" i="75"/>
  <c r="CD166" i="75"/>
  <c r="CC166" i="75"/>
  <c r="CB166" i="75"/>
  <c r="CA166" i="75"/>
  <c r="BZ166" i="75"/>
  <c r="BY166" i="75"/>
  <c r="BX166" i="75"/>
  <c r="BW166" i="75" s="1"/>
  <c r="BU166" i="75"/>
  <c r="BV166" i="75" s="1"/>
  <c r="BT166" i="75"/>
  <c r="BS166" i="75"/>
  <c r="BR166" i="75"/>
  <c r="BQ166" i="75"/>
  <c r="BP166" i="75"/>
  <c r="BO166" i="75"/>
  <c r="BN166" i="75"/>
  <c r="BM166" i="75"/>
  <c r="BL166" i="75" s="1"/>
  <c r="BJ166" i="75"/>
  <c r="GL166" i="75" s="1"/>
  <c r="BI166" i="75"/>
  <c r="GK166" i="75" s="1"/>
  <c r="BH166" i="75"/>
  <c r="GJ166" i="75" s="1"/>
  <c r="BG166" i="75"/>
  <c r="GI166" i="75" s="1"/>
  <c r="BF166" i="75"/>
  <c r="GH166" i="75" s="1"/>
  <c r="BE166" i="75"/>
  <c r="GG166" i="75" s="1"/>
  <c r="BD166" i="75"/>
  <c r="GF166" i="75" s="1"/>
  <c r="BC166" i="75"/>
  <c r="GE166" i="75" s="1"/>
  <c r="BB166" i="75"/>
  <c r="BA166" i="75" s="1"/>
  <c r="GC166" i="75" s="1"/>
  <c r="AY166" i="75"/>
  <c r="GA166" i="75" s="1"/>
  <c r="AX166" i="75"/>
  <c r="FZ166" i="75" s="1"/>
  <c r="AW166" i="75"/>
  <c r="FY166" i="75" s="1"/>
  <c r="AV166" i="75"/>
  <c r="FX166" i="75" s="1"/>
  <c r="AU166" i="75"/>
  <c r="FW166" i="75" s="1"/>
  <c r="AT166" i="75"/>
  <c r="FV166" i="75" s="1"/>
  <c r="AS166" i="75"/>
  <c r="FU166" i="75" s="1"/>
  <c r="AR166" i="75"/>
  <c r="FT166" i="75" s="1"/>
  <c r="AQ166" i="75"/>
  <c r="AN166" i="75"/>
  <c r="AO166" i="75" s="1"/>
  <c r="FQ166" i="75" s="1"/>
  <c r="AM166" i="75"/>
  <c r="FO166" i="75" s="1"/>
  <c r="AL166" i="75"/>
  <c r="FN166" i="75" s="1"/>
  <c r="AK166" i="75"/>
  <c r="FM166" i="75" s="1"/>
  <c r="AJ166" i="75"/>
  <c r="FL166" i="75" s="1"/>
  <c r="AI166" i="75"/>
  <c r="FK166" i="75" s="1"/>
  <c r="AH166" i="75"/>
  <c r="FJ166" i="75" s="1"/>
  <c r="AG166" i="75"/>
  <c r="FI166" i="75" s="1"/>
  <c r="AF166" i="75"/>
  <c r="AC166" i="75"/>
  <c r="FE166" i="75" s="1"/>
  <c r="AB166" i="75"/>
  <c r="FD166" i="75" s="1"/>
  <c r="AA166" i="75"/>
  <c r="FC166" i="75" s="1"/>
  <c r="Z166" i="75"/>
  <c r="Y166" i="75"/>
  <c r="FA166" i="75" s="1"/>
  <c r="X166" i="75"/>
  <c r="EZ166" i="75" s="1"/>
  <c r="W166" i="75"/>
  <c r="EY166" i="75" s="1"/>
  <c r="V166" i="75"/>
  <c r="EX166" i="75" s="1"/>
  <c r="U166" i="75"/>
  <c r="EW166" i="75" s="1"/>
  <c r="EV166" i="75" s="1"/>
  <c r="S166" i="75"/>
  <c r="T166" i="75" s="1"/>
  <c r="EU166" i="75" s="1"/>
  <c r="R166" i="75"/>
  <c r="ES166" i="75" s="1"/>
  <c r="Q166" i="75"/>
  <c r="ER166" i="75" s="1"/>
  <c r="P166" i="75"/>
  <c r="EQ166" i="75" s="1"/>
  <c r="O166" i="75"/>
  <c r="EP166" i="75" s="1"/>
  <c r="N166" i="75"/>
  <c r="EO166" i="75" s="1"/>
  <c r="M166" i="75"/>
  <c r="EN166" i="75" s="1"/>
  <c r="L166" i="75"/>
  <c r="EM166" i="75" s="1"/>
  <c r="K166" i="75"/>
  <c r="EL166" i="75" s="1"/>
  <c r="EK166" i="75" s="1"/>
  <c r="J166" i="75"/>
  <c r="D166" i="75"/>
  <c r="B166" i="75"/>
  <c r="GE165" i="75"/>
  <c r="EI165" i="75"/>
  <c r="EJ165" i="75" s="1"/>
  <c r="EH165" i="75"/>
  <c r="EG165" i="75"/>
  <c r="EF165" i="75"/>
  <c r="EE165" i="75"/>
  <c r="ED165" i="75"/>
  <c r="EC165" i="75"/>
  <c r="EB165" i="75"/>
  <c r="EA165" i="75"/>
  <c r="DZ165" i="75" s="1"/>
  <c r="DB165" i="75"/>
  <c r="DC165" i="75" s="1"/>
  <c r="DA165" i="75"/>
  <c r="CZ165" i="75"/>
  <c r="CY165" i="75"/>
  <c r="CX165" i="75"/>
  <c r="CW165" i="75"/>
  <c r="CV165" i="75"/>
  <c r="CU165" i="75"/>
  <c r="CT165" i="75"/>
  <c r="CS165" i="75" s="1"/>
  <c r="CQ165" i="75"/>
  <c r="CR165" i="75" s="1"/>
  <c r="CP165" i="75"/>
  <c r="CO165" i="75"/>
  <c r="CN165" i="75"/>
  <c r="CM165" i="75"/>
  <c r="CL165" i="75"/>
  <c r="CK165" i="75"/>
  <c r="CJ165" i="75"/>
  <c r="CI165" i="75"/>
  <c r="CH165" i="75" s="1"/>
  <c r="CF165" i="75"/>
  <c r="CG165" i="75" s="1"/>
  <c r="CE165" i="75"/>
  <c r="CD165" i="75"/>
  <c r="CC165" i="75"/>
  <c r="CB165" i="75"/>
  <c r="CA165" i="75"/>
  <c r="BZ165" i="75"/>
  <c r="BY165" i="75"/>
  <c r="BX165" i="75"/>
  <c r="BW165" i="75" s="1"/>
  <c r="BU165" i="75"/>
  <c r="BV165" i="75" s="1"/>
  <c r="BT165" i="75"/>
  <c r="BS165" i="75"/>
  <c r="BR165" i="75"/>
  <c r="BQ165" i="75"/>
  <c r="BP165" i="75"/>
  <c r="BO165" i="75"/>
  <c r="BN165" i="75"/>
  <c r="BM165" i="75"/>
  <c r="BL165" i="75" s="1"/>
  <c r="BJ165" i="75"/>
  <c r="BK165" i="75" s="1"/>
  <c r="GM165" i="75" s="1"/>
  <c r="BI165" i="75"/>
  <c r="GK165" i="75" s="1"/>
  <c r="BH165" i="75"/>
  <c r="GJ165" i="75" s="1"/>
  <c r="BG165" i="75"/>
  <c r="GI165" i="75" s="1"/>
  <c r="BF165" i="75"/>
  <c r="GH165" i="75" s="1"/>
  <c r="BE165" i="75"/>
  <c r="GG165" i="75" s="1"/>
  <c r="BD165" i="75"/>
  <c r="GF165" i="75" s="1"/>
  <c r="BC165" i="75"/>
  <c r="BB165" i="75"/>
  <c r="AY165" i="75"/>
  <c r="AX165" i="75"/>
  <c r="FZ165" i="75" s="1"/>
  <c r="AW165" i="75"/>
  <c r="FY165" i="75" s="1"/>
  <c r="AV165" i="75"/>
  <c r="FX165" i="75" s="1"/>
  <c r="AU165" i="75"/>
  <c r="FW165" i="75" s="1"/>
  <c r="AT165" i="75"/>
  <c r="FV165" i="75" s="1"/>
  <c r="AS165" i="75"/>
  <c r="FU165" i="75" s="1"/>
  <c r="AR165" i="75"/>
  <c r="FT165" i="75" s="1"/>
  <c r="AQ165" i="75"/>
  <c r="FS165" i="75" s="1"/>
  <c r="AP165" i="75"/>
  <c r="FR165" i="75" s="1"/>
  <c r="AN165" i="75"/>
  <c r="FP165" i="75" s="1"/>
  <c r="AM165" i="75"/>
  <c r="FO165" i="75" s="1"/>
  <c r="AL165" i="75"/>
  <c r="FN165" i="75" s="1"/>
  <c r="AK165" i="75"/>
  <c r="FM165" i="75" s="1"/>
  <c r="AJ165" i="75"/>
  <c r="FL165" i="75" s="1"/>
  <c r="AI165" i="75"/>
  <c r="FK165" i="75" s="1"/>
  <c r="AH165" i="75"/>
  <c r="FJ165" i="75" s="1"/>
  <c r="AG165" i="75"/>
  <c r="FI165" i="75" s="1"/>
  <c r="AF165" i="75"/>
  <c r="AC165" i="75"/>
  <c r="FE165" i="75" s="1"/>
  <c r="AB165" i="75"/>
  <c r="FD165" i="75" s="1"/>
  <c r="AA165" i="75"/>
  <c r="FC165" i="75" s="1"/>
  <c r="Z165" i="75"/>
  <c r="FB165" i="75" s="1"/>
  <c r="Y165" i="75"/>
  <c r="FA165" i="75" s="1"/>
  <c r="X165" i="75"/>
  <c r="EZ165" i="75" s="1"/>
  <c r="W165" i="75"/>
  <c r="EY165" i="75" s="1"/>
  <c r="V165" i="75"/>
  <c r="EX165" i="75" s="1"/>
  <c r="U165" i="75"/>
  <c r="EW165" i="75" s="1"/>
  <c r="EV165" i="75" s="1"/>
  <c r="S165" i="75"/>
  <c r="R165" i="75"/>
  <c r="ES165" i="75" s="1"/>
  <c r="Q165" i="75"/>
  <c r="ER165" i="75" s="1"/>
  <c r="P165" i="75"/>
  <c r="EQ165" i="75" s="1"/>
  <c r="O165" i="75"/>
  <c r="EP165" i="75" s="1"/>
  <c r="N165" i="75"/>
  <c r="EO165" i="75" s="1"/>
  <c r="M165" i="75"/>
  <c r="EN165" i="75" s="1"/>
  <c r="L165" i="75"/>
  <c r="EM165" i="75" s="1"/>
  <c r="K165" i="75"/>
  <c r="EL165" i="75" s="1"/>
  <c r="EK165" i="75" s="1"/>
  <c r="J165" i="75"/>
  <c r="D165" i="75"/>
  <c r="B165" i="75"/>
  <c r="EI164" i="75"/>
  <c r="EJ164" i="75" s="1"/>
  <c r="EH164" i="75"/>
  <c r="EG164" i="75"/>
  <c r="EF164" i="75"/>
  <c r="EE164" i="75"/>
  <c r="ED164" i="75"/>
  <c r="EC164" i="75"/>
  <c r="EB164" i="75"/>
  <c r="EA164" i="75"/>
  <c r="DZ164" i="75" s="1"/>
  <c r="DB164" i="75"/>
  <c r="DC164" i="75" s="1"/>
  <c r="DA164" i="75"/>
  <c r="CZ164" i="75"/>
  <c r="CY164" i="75"/>
  <c r="CX164" i="75"/>
  <c r="CW164" i="75"/>
  <c r="CV164" i="75"/>
  <c r="CU164" i="75"/>
  <c r="CT164" i="75"/>
  <c r="CS164" i="75" s="1"/>
  <c r="CQ164" i="75"/>
  <c r="CR164" i="75" s="1"/>
  <c r="CP164" i="75"/>
  <c r="CO164" i="75"/>
  <c r="CN164" i="75"/>
  <c r="CM164" i="75"/>
  <c r="CL164" i="75"/>
  <c r="CK164" i="75"/>
  <c r="CJ164" i="75"/>
  <c r="CI164" i="75"/>
  <c r="CH164" i="75" s="1"/>
  <c r="CF164" i="75"/>
  <c r="CG164" i="75" s="1"/>
  <c r="CE164" i="75"/>
  <c r="CD164" i="75"/>
  <c r="CC164" i="75"/>
  <c r="CB164" i="75"/>
  <c r="CA164" i="75"/>
  <c r="BZ164" i="75"/>
  <c r="BY164" i="75"/>
  <c r="BX164" i="75"/>
  <c r="BW164" i="75" s="1"/>
  <c r="BU164" i="75"/>
  <c r="BV164" i="75" s="1"/>
  <c r="BT164" i="75"/>
  <c r="BS164" i="75"/>
  <c r="BR164" i="75"/>
  <c r="BQ164" i="75"/>
  <c r="BP164" i="75"/>
  <c r="BO164" i="75"/>
  <c r="BN164" i="75"/>
  <c r="BM164" i="75"/>
  <c r="BL164" i="75" s="1"/>
  <c r="BJ164" i="75"/>
  <c r="GL164" i="75" s="1"/>
  <c r="BI164" i="75"/>
  <c r="GK164" i="75" s="1"/>
  <c r="BH164" i="75"/>
  <c r="GJ164" i="75" s="1"/>
  <c r="BG164" i="75"/>
  <c r="GI164" i="75" s="1"/>
  <c r="BF164" i="75"/>
  <c r="GH164" i="75" s="1"/>
  <c r="BE164" i="75"/>
  <c r="GG164" i="75" s="1"/>
  <c r="BD164" i="75"/>
  <c r="GF164" i="75" s="1"/>
  <c r="BC164" i="75"/>
  <c r="GE164" i="75" s="1"/>
  <c r="BB164" i="75"/>
  <c r="GD164" i="75" s="1"/>
  <c r="BA164" i="75"/>
  <c r="GC164" i="75" s="1"/>
  <c r="AY164" i="75"/>
  <c r="GA164" i="75" s="1"/>
  <c r="AX164" i="75"/>
  <c r="FZ164" i="75" s="1"/>
  <c r="AW164" i="75"/>
  <c r="FY164" i="75" s="1"/>
  <c r="AV164" i="75"/>
  <c r="FX164" i="75" s="1"/>
  <c r="AU164" i="75"/>
  <c r="FW164" i="75" s="1"/>
  <c r="AT164" i="75"/>
  <c r="FV164" i="75" s="1"/>
  <c r="AS164" i="75"/>
  <c r="FU164" i="75" s="1"/>
  <c r="AR164" i="75"/>
  <c r="FT164" i="75" s="1"/>
  <c r="AQ164" i="75"/>
  <c r="FS164" i="75" s="1"/>
  <c r="AN164" i="75"/>
  <c r="AO164" i="75" s="1"/>
  <c r="FQ164" i="75" s="1"/>
  <c r="AM164" i="75"/>
  <c r="FO164" i="75" s="1"/>
  <c r="AL164" i="75"/>
  <c r="FN164" i="75" s="1"/>
  <c r="AK164" i="75"/>
  <c r="FM164" i="75" s="1"/>
  <c r="AJ164" i="75"/>
  <c r="FL164" i="75" s="1"/>
  <c r="AI164" i="75"/>
  <c r="FK164" i="75" s="1"/>
  <c r="AH164" i="75"/>
  <c r="FJ164" i="75" s="1"/>
  <c r="AG164" i="75"/>
  <c r="FI164" i="75" s="1"/>
  <c r="AF164" i="75"/>
  <c r="AE164" i="75" s="1"/>
  <c r="FG164" i="75" s="1"/>
  <c r="AC164" i="75"/>
  <c r="AD164" i="75" s="1"/>
  <c r="FF164" i="75" s="1"/>
  <c r="AB164" i="75"/>
  <c r="FD164" i="75" s="1"/>
  <c r="AA164" i="75"/>
  <c r="FC164" i="75" s="1"/>
  <c r="Z164" i="75"/>
  <c r="FB164" i="75" s="1"/>
  <c r="Y164" i="75"/>
  <c r="FA164" i="75" s="1"/>
  <c r="X164" i="75"/>
  <c r="EZ164" i="75" s="1"/>
  <c r="W164" i="75"/>
  <c r="EY164" i="75" s="1"/>
  <c r="V164" i="75"/>
  <c r="EX164" i="75" s="1"/>
  <c r="U164" i="75"/>
  <c r="EW164" i="75" s="1"/>
  <c r="EV164" i="75" s="1"/>
  <c r="S164" i="75"/>
  <c r="R164" i="75"/>
  <c r="ES164" i="75" s="1"/>
  <c r="Q164" i="75"/>
  <c r="ER164" i="75" s="1"/>
  <c r="P164" i="75"/>
  <c r="EQ164" i="75" s="1"/>
  <c r="O164" i="75"/>
  <c r="EP164" i="75" s="1"/>
  <c r="N164" i="75"/>
  <c r="EO164" i="75" s="1"/>
  <c r="M164" i="75"/>
  <c r="EN164" i="75" s="1"/>
  <c r="L164" i="75"/>
  <c r="EM164" i="75" s="1"/>
  <c r="K164" i="75"/>
  <c r="EL164" i="75" s="1"/>
  <c r="EK164" i="75" s="1"/>
  <c r="J164" i="75"/>
  <c r="D164" i="75"/>
  <c r="B164" i="75"/>
  <c r="EZ163" i="75"/>
  <c r="EI163" i="75"/>
  <c r="EJ163" i="75" s="1"/>
  <c r="EH163" i="75"/>
  <c r="EG163" i="75"/>
  <c r="EF163" i="75"/>
  <c r="EE163" i="75"/>
  <c r="ED163" i="75"/>
  <c r="EC163" i="75"/>
  <c r="EB163" i="75"/>
  <c r="EA163" i="75"/>
  <c r="DZ163" i="75" s="1"/>
  <c r="DB163" i="75"/>
  <c r="DC163" i="75" s="1"/>
  <c r="DA163" i="75"/>
  <c r="CZ163" i="75"/>
  <c r="CY163" i="75"/>
  <c r="CX163" i="75"/>
  <c r="CW163" i="75"/>
  <c r="CV163" i="75"/>
  <c r="CU163" i="75"/>
  <c r="CT163" i="75"/>
  <c r="CS163" i="75" s="1"/>
  <c r="CQ163" i="75"/>
  <c r="CR163" i="75" s="1"/>
  <c r="CP163" i="75"/>
  <c r="CO163" i="75"/>
  <c r="CN163" i="75"/>
  <c r="CM163" i="75"/>
  <c r="CL163" i="75"/>
  <c r="CK163" i="75"/>
  <c r="CJ163" i="75"/>
  <c r="CI163" i="75"/>
  <c r="CH163" i="75" s="1"/>
  <c r="CF163" i="75"/>
  <c r="CG163" i="75" s="1"/>
  <c r="CE163" i="75"/>
  <c r="CD163" i="75"/>
  <c r="CC163" i="75"/>
  <c r="CB163" i="75"/>
  <c r="CA163" i="75"/>
  <c r="BZ163" i="75"/>
  <c r="BY163" i="75"/>
  <c r="BX163" i="75"/>
  <c r="BW163" i="75" s="1"/>
  <c r="BU163" i="75"/>
  <c r="BV163" i="75" s="1"/>
  <c r="BT163" i="75"/>
  <c r="BS163" i="75"/>
  <c r="BR163" i="75"/>
  <c r="BQ163" i="75"/>
  <c r="BP163" i="75"/>
  <c r="BO163" i="75"/>
  <c r="BN163" i="75"/>
  <c r="BM163" i="75"/>
  <c r="BL163" i="75" s="1"/>
  <c r="BJ163" i="75"/>
  <c r="BK163" i="75" s="1"/>
  <c r="GM163" i="75" s="1"/>
  <c r="BI163" i="75"/>
  <c r="GK163" i="75" s="1"/>
  <c r="BH163" i="75"/>
  <c r="GJ163" i="75" s="1"/>
  <c r="BG163" i="75"/>
  <c r="GI163" i="75" s="1"/>
  <c r="BF163" i="75"/>
  <c r="GH163" i="75" s="1"/>
  <c r="BE163" i="75"/>
  <c r="GG163" i="75" s="1"/>
  <c r="BD163" i="75"/>
  <c r="GF163" i="75" s="1"/>
  <c r="BC163" i="75"/>
  <c r="GE163" i="75" s="1"/>
  <c r="BB163" i="75"/>
  <c r="BA163" i="75" s="1"/>
  <c r="GC163" i="75" s="1"/>
  <c r="AY163" i="75"/>
  <c r="GA163" i="75" s="1"/>
  <c r="AX163" i="75"/>
  <c r="FZ163" i="75" s="1"/>
  <c r="AW163" i="75"/>
  <c r="FY163" i="75" s="1"/>
  <c r="AV163" i="75"/>
  <c r="FX163" i="75" s="1"/>
  <c r="AU163" i="75"/>
  <c r="FW163" i="75" s="1"/>
  <c r="AT163" i="75"/>
  <c r="FV163" i="75" s="1"/>
  <c r="AS163" i="75"/>
  <c r="FU163" i="75" s="1"/>
  <c r="AR163" i="75"/>
  <c r="FT163" i="75" s="1"/>
  <c r="AQ163" i="75"/>
  <c r="AP163" i="75" s="1"/>
  <c r="FR163" i="75" s="1"/>
  <c r="AN163" i="75"/>
  <c r="AO163" i="75" s="1"/>
  <c r="FQ163" i="75" s="1"/>
  <c r="AM163" i="75"/>
  <c r="FO163" i="75" s="1"/>
  <c r="AL163" i="75"/>
  <c r="FN163" i="75" s="1"/>
  <c r="AK163" i="75"/>
  <c r="FM163" i="75" s="1"/>
  <c r="AJ163" i="75"/>
  <c r="FL163" i="75" s="1"/>
  <c r="AI163" i="75"/>
  <c r="FK163" i="75" s="1"/>
  <c r="AH163" i="75"/>
  <c r="FJ163" i="75" s="1"/>
  <c r="AG163" i="75"/>
  <c r="FI163" i="75" s="1"/>
  <c r="AF163" i="75"/>
  <c r="FH163" i="75" s="1"/>
  <c r="AC163" i="75"/>
  <c r="AB163" i="75"/>
  <c r="FD163" i="75" s="1"/>
  <c r="AA163" i="75"/>
  <c r="FC163" i="75" s="1"/>
  <c r="Z163" i="75"/>
  <c r="FB163" i="75" s="1"/>
  <c r="Y163" i="75"/>
  <c r="FA163" i="75" s="1"/>
  <c r="X163" i="75"/>
  <c r="W163" i="75"/>
  <c r="EY163" i="75" s="1"/>
  <c r="V163" i="75"/>
  <c r="EX163" i="75" s="1"/>
  <c r="U163" i="75"/>
  <c r="EW163" i="75" s="1"/>
  <c r="EV163" i="75" s="1"/>
  <c r="S163" i="75"/>
  <c r="T163" i="75" s="1"/>
  <c r="EU163" i="75" s="1"/>
  <c r="R163" i="75"/>
  <c r="ES163" i="75" s="1"/>
  <c r="Q163" i="75"/>
  <c r="ER163" i="75" s="1"/>
  <c r="P163" i="75"/>
  <c r="EQ163" i="75" s="1"/>
  <c r="O163" i="75"/>
  <c r="EP163" i="75" s="1"/>
  <c r="N163" i="75"/>
  <c r="EO163" i="75" s="1"/>
  <c r="M163" i="75"/>
  <c r="EN163" i="75" s="1"/>
  <c r="L163" i="75"/>
  <c r="EM163" i="75" s="1"/>
  <c r="K163" i="75"/>
  <c r="EL163" i="75" s="1"/>
  <c r="EK163" i="75" s="1"/>
  <c r="J163" i="75"/>
  <c r="D163" i="75"/>
  <c r="B163" i="75"/>
  <c r="EI162" i="75"/>
  <c r="EJ162" i="75" s="1"/>
  <c r="EH162" i="75"/>
  <c r="EG162" i="75"/>
  <c r="EF162" i="75"/>
  <c r="EE162" i="75"/>
  <c r="ED162" i="75"/>
  <c r="EC162" i="75"/>
  <c r="EB162" i="75"/>
  <c r="EA162" i="75"/>
  <c r="DZ162" i="75" s="1"/>
  <c r="DB162" i="75"/>
  <c r="DC162" i="75" s="1"/>
  <c r="DA162" i="75"/>
  <c r="CZ162" i="75"/>
  <c r="CY162" i="75"/>
  <c r="CX162" i="75"/>
  <c r="CW162" i="75"/>
  <c r="CV162" i="75"/>
  <c r="CU162" i="75"/>
  <c r="CT162" i="75"/>
  <c r="CS162" i="75" s="1"/>
  <c r="CQ162" i="75"/>
  <c r="CR162" i="75" s="1"/>
  <c r="CP162" i="75"/>
  <c r="CO162" i="75"/>
  <c r="CN162" i="75"/>
  <c r="CM162" i="75"/>
  <c r="CL162" i="75"/>
  <c r="CK162" i="75"/>
  <c r="CJ162" i="75"/>
  <c r="CI162" i="75"/>
  <c r="CH162" i="75" s="1"/>
  <c r="CF162" i="75"/>
  <c r="CG162" i="75" s="1"/>
  <c r="CE162" i="75"/>
  <c r="CD162" i="75"/>
  <c r="CC162" i="75"/>
  <c r="CB162" i="75"/>
  <c r="CA162" i="75"/>
  <c r="BZ162" i="75"/>
  <c r="BY162" i="75"/>
  <c r="BX162" i="75"/>
  <c r="BW162" i="75" s="1"/>
  <c r="BU162" i="75"/>
  <c r="BV162" i="75" s="1"/>
  <c r="BT162" i="75"/>
  <c r="BS162" i="75"/>
  <c r="BR162" i="75"/>
  <c r="BQ162" i="75"/>
  <c r="BP162" i="75"/>
  <c r="BO162" i="75"/>
  <c r="BN162" i="75"/>
  <c r="BM162" i="75"/>
  <c r="BL162" i="75"/>
  <c r="BJ162" i="75"/>
  <c r="BI162" i="75"/>
  <c r="GK162" i="75" s="1"/>
  <c r="BH162" i="75"/>
  <c r="GJ162" i="75" s="1"/>
  <c r="BG162" i="75"/>
  <c r="GI162" i="75" s="1"/>
  <c r="BF162" i="75"/>
  <c r="GH162" i="75" s="1"/>
  <c r="BE162" i="75"/>
  <c r="GG162" i="75" s="1"/>
  <c r="BD162" i="75"/>
  <c r="GF162" i="75" s="1"/>
  <c r="BC162" i="75"/>
  <c r="GE162" i="75" s="1"/>
  <c r="BB162" i="75"/>
  <c r="GD162" i="75" s="1"/>
  <c r="AY162" i="75"/>
  <c r="AX162" i="75"/>
  <c r="FZ162" i="75" s="1"/>
  <c r="AW162" i="75"/>
  <c r="FY162" i="75" s="1"/>
  <c r="AV162" i="75"/>
  <c r="FX162" i="75" s="1"/>
  <c r="AU162" i="75"/>
  <c r="FW162" i="75" s="1"/>
  <c r="AT162" i="75"/>
  <c r="FV162" i="75" s="1"/>
  <c r="AS162" i="75"/>
  <c r="FU162" i="75" s="1"/>
  <c r="AR162" i="75"/>
  <c r="FT162" i="75" s="1"/>
  <c r="AQ162" i="75"/>
  <c r="FS162" i="75" s="1"/>
  <c r="AN162" i="75"/>
  <c r="FP162" i="75" s="1"/>
  <c r="AM162" i="75"/>
  <c r="FO162" i="75" s="1"/>
  <c r="AL162" i="75"/>
  <c r="FN162" i="75" s="1"/>
  <c r="AK162" i="75"/>
  <c r="FM162" i="75" s="1"/>
  <c r="AJ162" i="75"/>
  <c r="FL162" i="75" s="1"/>
  <c r="AI162" i="75"/>
  <c r="FK162" i="75" s="1"/>
  <c r="AH162" i="75"/>
  <c r="FJ162" i="75" s="1"/>
  <c r="AG162" i="75"/>
  <c r="FI162" i="75" s="1"/>
  <c r="AF162" i="75"/>
  <c r="AE162" i="75" s="1"/>
  <c r="FG162" i="75" s="1"/>
  <c r="AC162" i="75"/>
  <c r="AD162" i="75" s="1"/>
  <c r="FF162" i="75" s="1"/>
  <c r="AB162" i="75"/>
  <c r="FD162" i="75" s="1"/>
  <c r="AA162" i="75"/>
  <c r="FC162" i="75" s="1"/>
  <c r="Z162" i="75"/>
  <c r="FB162" i="75" s="1"/>
  <c r="Y162" i="75"/>
  <c r="FA162" i="75" s="1"/>
  <c r="X162" i="75"/>
  <c r="EZ162" i="75" s="1"/>
  <c r="W162" i="75"/>
  <c r="EY162" i="75" s="1"/>
  <c r="V162" i="75"/>
  <c r="EX162" i="75" s="1"/>
  <c r="U162" i="75"/>
  <c r="EW162" i="75" s="1"/>
  <c r="EV162" i="75" s="1"/>
  <c r="S162" i="75"/>
  <c r="ET162" i="75" s="1"/>
  <c r="R162" i="75"/>
  <c r="ES162" i="75" s="1"/>
  <c r="Q162" i="75"/>
  <c r="ER162" i="75" s="1"/>
  <c r="P162" i="75"/>
  <c r="EQ162" i="75" s="1"/>
  <c r="O162" i="75"/>
  <c r="EP162" i="75" s="1"/>
  <c r="N162" i="75"/>
  <c r="EO162" i="75" s="1"/>
  <c r="M162" i="75"/>
  <c r="EN162" i="75" s="1"/>
  <c r="L162" i="75"/>
  <c r="EM162" i="75" s="1"/>
  <c r="K162" i="75"/>
  <c r="EL162" i="75" s="1"/>
  <c r="EK162" i="75" s="1"/>
  <c r="J162" i="75"/>
  <c r="D162" i="75"/>
  <c r="B162" i="75"/>
  <c r="FN161" i="75"/>
  <c r="FK161" i="75"/>
  <c r="FJ161" i="75"/>
  <c r="EI161" i="75"/>
  <c r="EJ161" i="75" s="1"/>
  <c r="EH161" i="75"/>
  <c r="EG161" i="75"/>
  <c r="EF161" i="75"/>
  <c r="EE161" i="75"/>
  <c r="ED161" i="75"/>
  <c r="EC161" i="75"/>
  <c r="EB161" i="75"/>
  <c r="EA161" i="75"/>
  <c r="DZ161" i="75" s="1"/>
  <c r="DB161" i="75"/>
  <c r="DC161" i="75" s="1"/>
  <c r="DA161" i="75"/>
  <c r="CZ161" i="75"/>
  <c r="CY161" i="75"/>
  <c r="CX161" i="75"/>
  <c r="CW161" i="75"/>
  <c r="CV161" i="75"/>
  <c r="CU161" i="75"/>
  <c r="CT161" i="75"/>
  <c r="CS161" i="75" s="1"/>
  <c r="CQ161" i="75"/>
  <c r="CR161" i="75" s="1"/>
  <c r="CP161" i="75"/>
  <c r="CO161" i="75"/>
  <c r="CN161" i="75"/>
  <c r="CM161" i="75"/>
  <c r="CL161" i="75"/>
  <c r="CK161" i="75"/>
  <c r="CJ161" i="75"/>
  <c r="CI161" i="75"/>
  <c r="CH161" i="75" s="1"/>
  <c r="CF161" i="75"/>
  <c r="CG161" i="75" s="1"/>
  <c r="CE161" i="75"/>
  <c r="CD161" i="75"/>
  <c r="CC161" i="75"/>
  <c r="CB161" i="75"/>
  <c r="CA161" i="75"/>
  <c r="BZ161" i="75"/>
  <c r="BY161" i="75"/>
  <c r="BX161" i="75"/>
  <c r="BW161" i="75" s="1"/>
  <c r="BU161" i="75"/>
  <c r="BV161" i="75" s="1"/>
  <c r="BT161" i="75"/>
  <c r="BS161" i="75"/>
  <c r="BR161" i="75"/>
  <c r="BQ161" i="75"/>
  <c r="BP161" i="75"/>
  <c r="BO161" i="75"/>
  <c r="BN161" i="75"/>
  <c r="BM161" i="75"/>
  <c r="BL161" i="75" s="1"/>
  <c r="BJ161" i="75"/>
  <c r="BI161" i="75"/>
  <c r="GK161" i="75" s="1"/>
  <c r="BH161" i="75"/>
  <c r="GJ161" i="75" s="1"/>
  <c r="BG161" i="75"/>
  <c r="GI161" i="75" s="1"/>
  <c r="BF161" i="75"/>
  <c r="GH161" i="75" s="1"/>
  <c r="BE161" i="75"/>
  <c r="GG161" i="75" s="1"/>
  <c r="BD161" i="75"/>
  <c r="GF161" i="75" s="1"/>
  <c r="BC161" i="75"/>
  <c r="GE161" i="75" s="1"/>
  <c r="BB161" i="75"/>
  <c r="GD161" i="75" s="1"/>
  <c r="BA161" i="75"/>
  <c r="GC161" i="75" s="1"/>
  <c r="AY161" i="75"/>
  <c r="AZ161" i="75" s="1"/>
  <c r="GB161" i="75" s="1"/>
  <c r="AX161" i="75"/>
  <c r="FZ161" i="75" s="1"/>
  <c r="AW161" i="75"/>
  <c r="FY161" i="75" s="1"/>
  <c r="AV161" i="75"/>
  <c r="FX161" i="75" s="1"/>
  <c r="AU161" i="75"/>
  <c r="FW161" i="75" s="1"/>
  <c r="AT161" i="75"/>
  <c r="FV161" i="75" s="1"/>
  <c r="AS161" i="75"/>
  <c r="FU161" i="75" s="1"/>
  <c r="AR161" i="75"/>
  <c r="FT161" i="75" s="1"/>
  <c r="AQ161" i="75"/>
  <c r="AP161" i="75" s="1"/>
  <c r="FR161" i="75" s="1"/>
  <c r="AN161" i="75"/>
  <c r="AO161" i="75" s="1"/>
  <c r="FQ161" i="75" s="1"/>
  <c r="AM161" i="75"/>
  <c r="FO161" i="75" s="1"/>
  <c r="AL161" i="75"/>
  <c r="AK161" i="75"/>
  <c r="FM161" i="75" s="1"/>
  <c r="AJ161" i="75"/>
  <c r="FL161" i="75" s="1"/>
  <c r="AI161" i="75"/>
  <c r="AH161" i="75"/>
  <c r="AG161" i="75"/>
  <c r="FI161" i="75" s="1"/>
  <c r="AF161" i="75"/>
  <c r="FH161" i="75" s="1"/>
  <c r="AC161" i="75"/>
  <c r="FE161" i="75" s="1"/>
  <c r="AB161" i="75"/>
  <c r="FD161" i="75" s="1"/>
  <c r="AA161" i="75"/>
  <c r="FC161" i="75" s="1"/>
  <c r="Z161" i="75"/>
  <c r="FB161" i="75" s="1"/>
  <c r="Y161" i="75"/>
  <c r="FA161" i="75" s="1"/>
  <c r="X161" i="75"/>
  <c r="EZ161" i="75" s="1"/>
  <c r="W161" i="75"/>
  <c r="EY161" i="75" s="1"/>
  <c r="V161" i="75"/>
  <c r="EX161" i="75" s="1"/>
  <c r="U161" i="75"/>
  <c r="EW161" i="75" s="1"/>
  <c r="EV161" i="75" s="1"/>
  <c r="S161" i="75"/>
  <c r="T161" i="75" s="1"/>
  <c r="EU161" i="75" s="1"/>
  <c r="R161" i="75"/>
  <c r="ES161" i="75" s="1"/>
  <c r="Q161" i="75"/>
  <c r="ER161" i="75" s="1"/>
  <c r="P161" i="75"/>
  <c r="EQ161" i="75" s="1"/>
  <c r="O161" i="75"/>
  <c r="EP161" i="75" s="1"/>
  <c r="N161" i="75"/>
  <c r="EO161" i="75" s="1"/>
  <c r="M161" i="75"/>
  <c r="EN161" i="75" s="1"/>
  <c r="L161" i="75"/>
  <c r="EM161" i="75" s="1"/>
  <c r="K161" i="75"/>
  <c r="EL161" i="75" s="1"/>
  <c r="EK161" i="75" s="1"/>
  <c r="J161" i="75"/>
  <c r="D161" i="75"/>
  <c r="B161" i="75"/>
  <c r="GE160" i="75"/>
  <c r="FZ160" i="75"/>
  <c r="FY160" i="75"/>
  <c r="FX160" i="75"/>
  <c r="EI160" i="75"/>
  <c r="EJ160" i="75" s="1"/>
  <c r="EH160" i="75"/>
  <c r="EG160" i="75"/>
  <c r="EF160" i="75"/>
  <c r="EE160" i="75"/>
  <c r="ED160" i="75"/>
  <c r="EC160" i="75"/>
  <c r="EB160" i="75"/>
  <c r="EA160" i="75"/>
  <c r="DZ160" i="75" s="1"/>
  <c r="DB160" i="75"/>
  <c r="DC160" i="75" s="1"/>
  <c r="DA160" i="75"/>
  <c r="CZ160" i="75"/>
  <c r="CY160" i="75"/>
  <c r="CX160" i="75"/>
  <c r="CW160" i="75"/>
  <c r="CV160" i="75"/>
  <c r="CU160" i="75"/>
  <c r="CT160" i="75"/>
  <c r="CS160" i="75" s="1"/>
  <c r="CQ160" i="75"/>
  <c r="CR160" i="75" s="1"/>
  <c r="CP160" i="75"/>
  <c r="CO160" i="75"/>
  <c r="CN160" i="75"/>
  <c r="CM160" i="75"/>
  <c r="CL160" i="75"/>
  <c r="CK160" i="75"/>
  <c r="CJ160" i="75"/>
  <c r="CI160" i="75"/>
  <c r="CH160" i="75"/>
  <c r="CF160" i="75"/>
  <c r="CG160" i="75" s="1"/>
  <c r="CE160" i="75"/>
  <c r="CD160" i="75"/>
  <c r="CC160" i="75"/>
  <c r="CB160" i="75"/>
  <c r="CA160" i="75"/>
  <c r="BZ160" i="75"/>
  <c r="BY160" i="75"/>
  <c r="BX160" i="75"/>
  <c r="BW160" i="75" s="1"/>
  <c r="BU160" i="75"/>
  <c r="BV160" i="75" s="1"/>
  <c r="BT160" i="75"/>
  <c r="BS160" i="75"/>
  <c r="BR160" i="75"/>
  <c r="BQ160" i="75"/>
  <c r="BP160" i="75"/>
  <c r="BO160" i="75"/>
  <c r="BN160" i="75"/>
  <c r="BM160" i="75"/>
  <c r="BL160" i="75" s="1"/>
  <c r="BJ160" i="75"/>
  <c r="GL160" i="75" s="1"/>
  <c r="BI160" i="75"/>
  <c r="GK160" i="75" s="1"/>
  <c r="BH160" i="75"/>
  <c r="GJ160" i="75" s="1"/>
  <c r="BG160" i="75"/>
  <c r="GI160" i="75" s="1"/>
  <c r="BF160" i="75"/>
  <c r="GH160" i="75" s="1"/>
  <c r="BE160" i="75"/>
  <c r="GG160" i="75" s="1"/>
  <c r="BD160" i="75"/>
  <c r="GF160" i="75" s="1"/>
  <c r="BC160" i="75"/>
  <c r="BB160" i="75"/>
  <c r="AY160" i="75"/>
  <c r="AZ160" i="75" s="1"/>
  <c r="GB160" i="75" s="1"/>
  <c r="AX160" i="75"/>
  <c r="AW160" i="75"/>
  <c r="AV160" i="75"/>
  <c r="AU160" i="75"/>
  <c r="FW160" i="75" s="1"/>
  <c r="AT160" i="75"/>
  <c r="FV160" i="75" s="1"/>
  <c r="AS160" i="75"/>
  <c r="FU160" i="75" s="1"/>
  <c r="AR160" i="75"/>
  <c r="FT160" i="75" s="1"/>
  <c r="AQ160" i="75"/>
  <c r="FS160" i="75" s="1"/>
  <c r="AO160" i="75"/>
  <c r="FQ160" i="75" s="1"/>
  <c r="AN160" i="75"/>
  <c r="FP160" i="75" s="1"/>
  <c r="AM160" i="75"/>
  <c r="FO160" i="75" s="1"/>
  <c r="AL160" i="75"/>
  <c r="FN160" i="75" s="1"/>
  <c r="AK160" i="75"/>
  <c r="FM160" i="75" s="1"/>
  <c r="AJ160" i="75"/>
  <c r="FL160" i="75" s="1"/>
  <c r="AI160" i="75"/>
  <c r="FK160" i="75" s="1"/>
  <c r="AH160" i="75"/>
  <c r="FJ160" i="75" s="1"/>
  <c r="AG160" i="75"/>
  <c r="FI160" i="75" s="1"/>
  <c r="AF160" i="75"/>
  <c r="FH160" i="75" s="1"/>
  <c r="AC160" i="75"/>
  <c r="AD160" i="75" s="1"/>
  <c r="FF160" i="75" s="1"/>
  <c r="AB160" i="75"/>
  <c r="FD160" i="75" s="1"/>
  <c r="AA160" i="75"/>
  <c r="FC160" i="75" s="1"/>
  <c r="Z160" i="75"/>
  <c r="FB160" i="75" s="1"/>
  <c r="Y160" i="75"/>
  <c r="FA160" i="75" s="1"/>
  <c r="X160" i="75"/>
  <c r="EZ160" i="75" s="1"/>
  <c r="W160" i="75"/>
  <c r="EY160" i="75" s="1"/>
  <c r="V160" i="75"/>
  <c r="EX160" i="75" s="1"/>
  <c r="U160" i="75"/>
  <c r="EW160" i="75" s="1"/>
  <c r="EV160" i="75" s="1"/>
  <c r="S160" i="75"/>
  <c r="ET160" i="75" s="1"/>
  <c r="R160" i="75"/>
  <c r="ES160" i="75" s="1"/>
  <c r="Q160" i="75"/>
  <c r="ER160" i="75" s="1"/>
  <c r="P160" i="75"/>
  <c r="EQ160" i="75" s="1"/>
  <c r="O160" i="75"/>
  <c r="EP160" i="75" s="1"/>
  <c r="N160" i="75"/>
  <c r="EO160" i="75" s="1"/>
  <c r="M160" i="75"/>
  <c r="EN160" i="75" s="1"/>
  <c r="L160" i="75"/>
  <c r="EM160" i="75" s="1"/>
  <c r="K160" i="75"/>
  <c r="EL160" i="75" s="1"/>
  <c r="EK160" i="75" s="1"/>
  <c r="J160" i="75"/>
  <c r="D160" i="75"/>
  <c r="B160" i="75"/>
  <c r="FL159" i="75"/>
  <c r="EI159" i="75"/>
  <c r="EJ159" i="75" s="1"/>
  <c r="EH159" i="75"/>
  <c r="EG159" i="75"/>
  <c r="EF159" i="75"/>
  <c r="EE159" i="75"/>
  <c r="ED159" i="75"/>
  <c r="EC159" i="75"/>
  <c r="EB159" i="75"/>
  <c r="EA159" i="75"/>
  <c r="DZ159" i="75" s="1"/>
  <c r="DB159" i="75"/>
  <c r="DC159" i="75" s="1"/>
  <c r="DA159" i="75"/>
  <c r="CZ159" i="75"/>
  <c r="CY159" i="75"/>
  <c r="CX159" i="75"/>
  <c r="CW159" i="75"/>
  <c r="CV159" i="75"/>
  <c r="CU159" i="75"/>
  <c r="CT159" i="75"/>
  <c r="CS159" i="75" s="1"/>
  <c r="CQ159" i="75"/>
  <c r="CR159" i="75" s="1"/>
  <c r="CP159" i="75"/>
  <c r="CO159" i="75"/>
  <c r="CN159" i="75"/>
  <c r="CM159" i="75"/>
  <c r="CL159" i="75"/>
  <c r="CK159" i="75"/>
  <c r="CJ159" i="75"/>
  <c r="CI159" i="75"/>
  <c r="CH159" i="75" s="1"/>
  <c r="CF159" i="75"/>
  <c r="CG159" i="75" s="1"/>
  <c r="CE159" i="75"/>
  <c r="CD159" i="75"/>
  <c r="CC159" i="75"/>
  <c r="CB159" i="75"/>
  <c r="CA159" i="75"/>
  <c r="BZ159" i="75"/>
  <c r="BY159" i="75"/>
  <c r="BX159" i="75"/>
  <c r="BW159" i="75" s="1"/>
  <c r="BU159" i="75"/>
  <c r="BV159" i="75" s="1"/>
  <c r="BT159" i="75"/>
  <c r="BS159" i="75"/>
  <c r="BR159" i="75"/>
  <c r="BQ159" i="75"/>
  <c r="BP159" i="75"/>
  <c r="BO159" i="75"/>
  <c r="BN159" i="75"/>
  <c r="BM159" i="75"/>
  <c r="BL159" i="75" s="1"/>
  <c r="BJ159" i="75"/>
  <c r="BI159" i="75"/>
  <c r="GK159" i="75" s="1"/>
  <c r="BH159" i="75"/>
  <c r="GJ159" i="75" s="1"/>
  <c r="BG159" i="75"/>
  <c r="GI159" i="75" s="1"/>
  <c r="BF159" i="75"/>
  <c r="GH159" i="75" s="1"/>
  <c r="BE159" i="75"/>
  <c r="GG159" i="75" s="1"/>
  <c r="BD159" i="75"/>
  <c r="GF159" i="75" s="1"/>
  <c r="BC159" i="75"/>
  <c r="GE159" i="75" s="1"/>
  <c r="BB159" i="75"/>
  <c r="AY159" i="75"/>
  <c r="AZ159" i="75" s="1"/>
  <c r="GB159" i="75" s="1"/>
  <c r="AX159" i="75"/>
  <c r="FZ159" i="75" s="1"/>
  <c r="AW159" i="75"/>
  <c r="FY159" i="75" s="1"/>
  <c r="AV159" i="75"/>
  <c r="FX159" i="75" s="1"/>
  <c r="AU159" i="75"/>
  <c r="FW159" i="75" s="1"/>
  <c r="AT159" i="75"/>
  <c r="FV159" i="75" s="1"/>
  <c r="AS159" i="75"/>
  <c r="FU159" i="75" s="1"/>
  <c r="AR159" i="75"/>
  <c r="FT159" i="75" s="1"/>
  <c r="AQ159" i="75"/>
  <c r="FS159" i="75" s="1"/>
  <c r="AN159" i="75"/>
  <c r="AM159" i="75"/>
  <c r="FO159" i="75" s="1"/>
  <c r="AL159" i="75"/>
  <c r="FN159" i="75" s="1"/>
  <c r="AK159" i="75"/>
  <c r="FM159" i="75" s="1"/>
  <c r="AJ159" i="75"/>
  <c r="AI159" i="75"/>
  <c r="FK159" i="75" s="1"/>
  <c r="AH159" i="75"/>
  <c r="FJ159" i="75" s="1"/>
  <c r="AG159" i="75"/>
  <c r="FI159" i="75" s="1"/>
  <c r="AF159" i="75"/>
  <c r="FH159" i="75" s="1"/>
  <c r="AC159" i="75"/>
  <c r="AD159" i="75" s="1"/>
  <c r="FF159" i="75" s="1"/>
  <c r="AB159" i="75"/>
  <c r="FD159" i="75" s="1"/>
  <c r="AA159" i="75"/>
  <c r="FC159" i="75" s="1"/>
  <c r="Z159" i="75"/>
  <c r="FB159" i="75" s="1"/>
  <c r="Y159" i="75"/>
  <c r="FA159" i="75" s="1"/>
  <c r="X159" i="75"/>
  <c r="EZ159" i="75" s="1"/>
  <c r="W159" i="75"/>
  <c r="EY159" i="75" s="1"/>
  <c r="V159" i="75"/>
  <c r="EX159" i="75" s="1"/>
  <c r="U159" i="75"/>
  <c r="EW159" i="75" s="1"/>
  <c r="EV159" i="75" s="1"/>
  <c r="S159" i="75"/>
  <c r="ET159" i="75" s="1"/>
  <c r="R159" i="75"/>
  <c r="ES159" i="75" s="1"/>
  <c r="Q159" i="75"/>
  <c r="ER159" i="75" s="1"/>
  <c r="P159" i="75"/>
  <c r="EQ159" i="75" s="1"/>
  <c r="O159" i="75"/>
  <c r="EP159" i="75" s="1"/>
  <c r="N159" i="75"/>
  <c r="EO159" i="75" s="1"/>
  <c r="M159" i="75"/>
  <c r="EN159" i="75" s="1"/>
  <c r="L159" i="75"/>
  <c r="EM159" i="75" s="1"/>
  <c r="K159" i="75"/>
  <c r="EL159" i="75" s="1"/>
  <c r="EK159" i="75" s="1"/>
  <c r="J159" i="75"/>
  <c r="D159" i="75"/>
  <c r="B159" i="75"/>
  <c r="EI158" i="75"/>
  <c r="EJ158" i="75" s="1"/>
  <c r="EH158" i="75"/>
  <c r="EG158" i="75"/>
  <c r="EF158" i="75"/>
  <c r="EE158" i="75"/>
  <c r="ED158" i="75"/>
  <c r="EC158" i="75"/>
  <c r="EB158" i="75"/>
  <c r="EA158" i="75"/>
  <c r="DZ158" i="75" s="1"/>
  <c r="DB158" i="75"/>
  <c r="DC158" i="75" s="1"/>
  <c r="DA158" i="75"/>
  <c r="CZ158" i="75"/>
  <c r="CY158" i="75"/>
  <c r="CX158" i="75"/>
  <c r="CW158" i="75"/>
  <c r="CV158" i="75"/>
  <c r="CU158" i="75"/>
  <c r="CT158" i="75"/>
  <c r="CS158" i="75" s="1"/>
  <c r="CQ158" i="75"/>
  <c r="CR158" i="75" s="1"/>
  <c r="CP158" i="75"/>
  <c r="CO158" i="75"/>
  <c r="CN158" i="75"/>
  <c r="CM158" i="75"/>
  <c r="CL158" i="75"/>
  <c r="CK158" i="75"/>
  <c r="CJ158" i="75"/>
  <c r="CI158" i="75"/>
  <c r="CH158" i="75"/>
  <c r="CF158" i="75"/>
  <c r="CG158" i="75" s="1"/>
  <c r="CE158" i="75"/>
  <c r="CD158" i="75"/>
  <c r="CC158" i="75"/>
  <c r="CB158" i="75"/>
  <c r="CA158" i="75"/>
  <c r="BZ158" i="75"/>
  <c r="BY158" i="75"/>
  <c r="BX158" i="75"/>
  <c r="BW158" i="75" s="1"/>
  <c r="BU158" i="75"/>
  <c r="BV158" i="75" s="1"/>
  <c r="BT158" i="75"/>
  <c r="BS158" i="75"/>
  <c r="BR158" i="75"/>
  <c r="BQ158" i="75"/>
  <c r="BP158" i="75"/>
  <c r="BO158" i="75"/>
  <c r="BN158" i="75"/>
  <c r="BM158" i="75"/>
  <c r="BL158" i="75" s="1"/>
  <c r="BJ158" i="75"/>
  <c r="BI158" i="75"/>
  <c r="GK158" i="75" s="1"/>
  <c r="BH158" i="75"/>
  <c r="GJ158" i="75" s="1"/>
  <c r="BG158" i="75"/>
  <c r="GI158" i="75" s="1"/>
  <c r="BF158" i="75"/>
  <c r="GH158" i="75" s="1"/>
  <c r="BE158" i="75"/>
  <c r="GG158" i="75" s="1"/>
  <c r="BD158" i="75"/>
  <c r="GF158" i="75" s="1"/>
  <c r="BC158" i="75"/>
  <c r="GE158" i="75" s="1"/>
  <c r="BB158" i="75"/>
  <c r="GD158" i="75" s="1"/>
  <c r="AY158" i="75"/>
  <c r="GA158" i="75" s="1"/>
  <c r="AX158" i="75"/>
  <c r="FZ158" i="75" s="1"/>
  <c r="AW158" i="75"/>
  <c r="FY158" i="75" s="1"/>
  <c r="AV158" i="75"/>
  <c r="FX158" i="75" s="1"/>
  <c r="AU158" i="75"/>
  <c r="FW158" i="75" s="1"/>
  <c r="AT158" i="75"/>
  <c r="FV158" i="75" s="1"/>
  <c r="AS158" i="75"/>
  <c r="FU158" i="75" s="1"/>
  <c r="AR158" i="75"/>
  <c r="FT158" i="75" s="1"/>
  <c r="AQ158" i="75"/>
  <c r="AN158" i="75"/>
  <c r="AO158" i="75" s="1"/>
  <c r="FQ158" i="75" s="1"/>
  <c r="AM158" i="75"/>
  <c r="FO158" i="75" s="1"/>
  <c r="AL158" i="75"/>
  <c r="FN158" i="75" s="1"/>
  <c r="AK158" i="75"/>
  <c r="FM158" i="75" s="1"/>
  <c r="AJ158" i="75"/>
  <c r="FL158" i="75" s="1"/>
  <c r="AI158" i="75"/>
  <c r="FK158" i="75" s="1"/>
  <c r="AH158" i="75"/>
  <c r="FJ158" i="75" s="1"/>
  <c r="AG158" i="75"/>
  <c r="FI158" i="75" s="1"/>
  <c r="AF158" i="75"/>
  <c r="FH158" i="75" s="1"/>
  <c r="AC158" i="75"/>
  <c r="FE158" i="75" s="1"/>
  <c r="AB158" i="75"/>
  <c r="FD158" i="75" s="1"/>
  <c r="AA158" i="75"/>
  <c r="FC158" i="75" s="1"/>
  <c r="Z158" i="75"/>
  <c r="FB158" i="75" s="1"/>
  <c r="Y158" i="75"/>
  <c r="FA158" i="75" s="1"/>
  <c r="X158" i="75"/>
  <c r="EZ158" i="75" s="1"/>
  <c r="W158" i="75"/>
  <c r="EY158" i="75" s="1"/>
  <c r="V158" i="75"/>
  <c r="EX158" i="75" s="1"/>
  <c r="U158" i="75"/>
  <c r="EW158" i="75" s="1"/>
  <c r="EV158" i="75" s="1"/>
  <c r="S158" i="75"/>
  <c r="T158" i="75" s="1"/>
  <c r="EU158" i="75" s="1"/>
  <c r="R158" i="75"/>
  <c r="ES158" i="75" s="1"/>
  <c r="Q158" i="75"/>
  <c r="ER158" i="75" s="1"/>
  <c r="P158" i="75"/>
  <c r="EQ158" i="75" s="1"/>
  <c r="O158" i="75"/>
  <c r="EP158" i="75" s="1"/>
  <c r="N158" i="75"/>
  <c r="EO158" i="75" s="1"/>
  <c r="M158" i="75"/>
  <c r="EN158" i="75" s="1"/>
  <c r="L158" i="75"/>
  <c r="EM158" i="75" s="1"/>
  <c r="K158" i="75"/>
  <c r="EL158" i="75" s="1"/>
  <c r="EK158" i="75" s="1"/>
  <c r="J158" i="75"/>
  <c r="D158" i="75"/>
  <c r="B158" i="75"/>
  <c r="EI157" i="75"/>
  <c r="EJ157" i="75" s="1"/>
  <c r="EH157" i="75"/>
  <c r="EG157" i="75"/>
  <c r="EF157" i="75"/>
  <c r="EE157" i="75"/>
  <c r="ED157" i="75"/>
  <c r="EC157" i="75"/>
  <c r="EB157" i="75"/>
  <c r="EA157" i="75"/>
  <c r="DZ157" i="75" s="1"/>
  <c r="DB157" i="75"/>
  <c r="DC157" i="75" s="1"/>
  <c r="DA157" i="75"/>
  <c r="CZ157" i="75"/>
  <c r="CY157" i="75"/>
  <c r="CX157" i="75"/>
  <c r="CW157" i="75"/>
  <c r="CV157" i="75"/>
  <c r="CU157" i="75"/>
  <c r="CT157" i="75"/>
  <c r="CS157" i="75" s="1"/>
  <c r="CQ157" i="75"/>
  <c r="CR157" i="75" s="1"/>
  <c r="CP157" i="75"/>
  <c r="CO157" i="75"/>
  <c r="CN157" i="75"/>
  <c r="CM157" i="75"/>
  <c r="CL157" i="75"/>
  <c r="CK157" i="75"/>
  <c r="CJ157" i="75"/>
  <c r="CI157" i="75"/>
  <c r="CH157" i="75" s="1"/>
  <c r="CF157" i="75"/>
  <c r="CG157" i="75" s="1"/>
  <c r="CE157" i="75"/>
  <c r="CD157" i="75"/>
  <c r="CC157" i="75"/>
  <c r="CB157" i="75"/>
  <c r="CA157" i="75"/>
  <c r="BZ157" i="75"/>
  <c r="BY157" i="75"/>
  <c r="BX157" i="75"/>
  <c r="BW157" i="75" s="1"/>
  <c r="BU157" i="75"/>
  <c r="BV157" i="75" s="1"/>
  <c r="BT157" i="75"/>
  <c r="BS157" i="75"/>
  <c r="BR157" i="75"/>
  <c r="BQ157" i="75"/>
  <c r="BP157" i="75"/>
  <c r="BO157" i="75"/>
  <c r="BN157" i="75"/>
  <c r="BM157" i="75"/>
  <c r="BL157" i="75" s="1"/>
  <c r="BJ157" i="75"/>
  <c r="GL157" i="75" s="1"/>
  <c r="BI157" i="75"/>
  <c r="GK157" i="75" s="1"/>
  <c r="BH157" i="75"/>
  <c r="GJ157" i="75" s="1"/>
  <c r="BG157" i="75"/>
  <c r="GI157" i="75" s="1"/>
  <c r="BF157" i="75"/>
  <c r="GH157" i="75" s="1"/>
  <c r="BE157" i="75"/>
  <c r="GG157" i="75" s="1"/>
  <c r="BD157" i="75"/>
  <c r="GF157" i="75" s="1"/>
  <c r="BC157" i="75"/>
  <c r="GE157" i="75" s="1"/>
  <c r="BB157" i="75"/>
  <c r="GD157" i="75" s="1"/>
  <c r="BA157" i="75"/>
  <c r="GC157" i="75" s="1"/>
  <c r="AY157" i="75"/>
  <c r="GA157" i="75" s="1"/>
  <c r="AX157" i="75"/>
  <c r="FZ157" i="75" s="1"/>
  <c r="AW157" i="75"/>
  <c r="FY157" i="75" s="1"/>
  <c r="AV157" i="75"/>
  <c r="FX157" i="75" s="1"/>
  <c r="AU157" i="75"/>
  <c r="FW157" i="75" s="1"/>
  <c r="AT157" i="75"/>
  <c r="FV157" i="75" s="1"/>
  <c r="AS157" i="75"/>
  <c r="FU157" i="75" s="1"/>
  <c r="AR157" i="75"/>
  <c r="FT157" i="75" s="1"/>
  <c r="AQ157" i="75"/>
  <c r="AP157" i="75" s="1"/>
  <c r="FR157" i="75" s="1"/>
  <c r="AN157" i="75"/>
  <c r="FP157" i="75" s="1"/>
  <c r="AM157" i="75"/>
  <c r="FO157" i="75" s="1"/>
  <c r="AL157" i="75"/>
  <c r="FN157" i="75" s="1"/>
  <c r="AK157" i="75"/>
  <c r="FM157" i="75" s="1"/>
  <c r="AJ157" i="75"/>
  <c r="FL157" i="75" s="1"/>
  <c r="AI157" i="75"/>
  <c r="FK157" i="75" s="1"/>
  <c r="AH157" i="75"/>
  <c r="FJ157" i="75" s="1"/>
  <c r="AG157" i="75"/>
  <c r="FI157" i="75" s="1"/>
  <c r="AF157" i="75"/>
  <c r="AE157" i="75" s="1"/>
  <c r="FG157" i="75" s="1"/>
  <c r="AC157" i="75"/>
  <c r="AD157" i="75" s="1"/>
  <c r="FF157" i="75" s="1"/>
  <c r="AB157" i="75"/>
  <c r="FD157" i="75" s="1"/>
  <c r="AA157" i="75"/>
  <c r="FC157" i="75" s="1"/>
  <c r="Z157" i="75"/>
  <c r="FB157" i="75" s="1"/>
  <c r="Y157" i="75"/>
  <c r="FA157" i="75" s="1"/>
  <c r="X157" i="75"/>
  <c r="EZ157" i="75" s="1"/>
  <c r="W157" i="75"/>
  <c r="EY157" i="75" s="1"/>
  <c r="V157" i="75"/>
  <c r="EX157" i="75" s="1"/>
  <c r="U157" i="75"/>
  <c r="EW157" i="75" s="1"/>
  <c r="EV157" i="75" s="1"/>
  <c r="S157" i="75"/>
  <c r="ET157" i="75" s="1"/>
  <c r="R157" i="75"/>
  <c r="ES157" i="75" s="1"/>
  <c r="Q157" i="75"/>
  <c r="ER157" i="75" s="1"/>
  <c r="P157" i="75"/>
  <c r="EQ157" i="75" s="1"/>
  <c r="O157" i="75"/>
  <c r="EP157" i="75" s="1"/>
  <c r="N157" i="75"/>
  <c r="EO157" i="75" s="1"/>
  <c r="M157" i="75"/>
  <c r="EN157" i="75" s="1"/>
  <c r="L157" i="75"/>
  <c r="EM157" i="75" s="1"/>
  <c r="K157" i="75"/>
  <c r="EL157" i="75" s="1"/>
  <c r="EK157" i="75" s="1"/>
  <c r="J157" i="75"/>
  <c r="D157" i="75"/>
  <c r="B157" i="75"/>
  <c r="ER156" i="75"/>
  <c r="EI156" i="75"/>
  <c r="EJ156" i="75" s="1"/>
  <c r="EH156" i="75"/>
  <c r="EG156" i="75"/>
  <c r="EF156" i="75"/>
  <c r="EE156" i="75"/>
  <c r="ED156" i="75"/>
  <c r="EC156" i="75"/>
  <c r="EB156" i="75"/>
  <c r="EA156" i="75"/>
  <c r="DZ156" i="75" s="1"/>
  <c r="DB156" i="75"/>
  <c r="DC156" i="75" s="1"/>
  <c r="DA156" i="75"/>
  <c r="CZ156" i="75"/>
  <c r="CY156" i="75"/>
  <c r="CX156" i="75"/>
  <c r="CW156" i="75"/>
  <c r="CV156" i="75"/>
  <c r="CU156" i="75"/>
  <c r="CT156" i="75"/>
  <c r="CS156" i="75" s="1"/>
  <c r="CQ156" i="75"/>
  <c r="CR156" i="75" s="1"/>
  <c r="CP156" i="75"/>
  <c r="CO156" i="75"/>
  <c r="CN156" i="75"/>
  <c r="CM156" i="75"/>
  <c r="CL156" i="75"/>
  <c r="CK156" i="75"/>
  <c r="CJ156" i="75"/>
  <c r="CI156" i="75"/>
  <c r="CH156" i="75" s="1"/>
  <c r="CF156" i="75"/>
  <c r="CG156" i="75" s="1"/>
  <c r="CE156" i="75"/>
  <c r="CD156" i="75"/>
  <c r="CC156" i="75"/>
  <c r="CB156" i="75"/>
  <c r="CA156" i="75"/>
  <c r="BZ156" i="75"/>
  <c r="BY156" i="75"/>
  <c r="BX156" i="75"/>
  <c r="BW156" i="75" s="1"/>
  <c r="BU156" i="75"/>
  <c r="BV156" i="75" s="1"/>
  <c r="BT156" i="75"/>
  <c r="BS156" i="75"/>
  <c r="BR156" i="75"/>
  <c r="BQ156" i="75"/>
  <c r="BP156" i="75"/>
  <c r="BO156" i="75"/>
  <c r="BN156" i="75"/>
  <c r="BM156" i="75"/>
  <c r="BL156" i="75" s="1"/>
  <c r="BJ156" i="75"/>
  <c r="BK156" i="75" s="1"/>
  <c r="GM156" i="75" s="1"/>
  <c r="BI156" i="75"/>
  <c r="GK156" i="75" s="1"/>
  <c r="BH156" i="75"/>
  <c r="GJ156" i="75" s="1"/>
  <c r="BG156" i="75"/>
  <c r="GI156" i="75" s="1"/>
  <c r="BF156" i="75"/>
  <c r="GH156" i="75" s="1"/>
  <c r="BE156" i="75"/>
  <c r="GG156" i="75" s="1"/>
  <c r="BD156" i="75"/>
  <c r="GF156" i="75" s="1"/>
  <c r="BC156" i="75"/>
  <c r="GE156" i="75" s="1"/>
  <c r="BB156" i="75"/>
  <c r="GD156" i="75" s="1"/>
  <c r="AY156" i="75"/>
  <c r="GA156" i="75" s="1"/>
  <c r="AX156" i="75"/>
  <c r="FZ156" i="75" s="1"/>
  <c r="AW156" i="75"/>
  <c r="FY156" i="75" s="1"/>
  <c r="AV156" i="75"/>
  <c r="FX156" i="75" s="1"/>
  <c r="AU156" i="75"/>
  <c r="FW156" i="75" s="1"/>
  <c r="AT156" i="75"/>
  <c r="FV156" i="75" s="1"/>
  <c r="AS156" i="75"/>
  <c r="FU156" i="75" s="1"/>
  <c r="AR156" i="75"/>
  <c r="FT156" i="75" s="1"/>
  <c r="AQ156" i="75"/>
  <c r="FS156" i="75" s="1"/>
  <c r="AN156" i="75"/>
  <c r="AO156" i="75" s="1"/>
  <c r="FQ156" i="75" s="1"/>
  <c r="AM156" i="75"/>
  <c r="FO156" i="75" s="1"/>
  <c r="AL156" i="75"/>
  <c r="FN156" i="75" s="1"/>
  <c r="AK156" i="75"/>
  <c r="FM156" i="75" s="1"/>
  <c r="AJ156" i="75"/>
  <c r="FL156" i="75" s="1"/>
  <c r="AI156" i="75"/>
  <c r="FK156" i="75" s="1"/>
  <c r="AH156" i="75"/>
  <c r="FJ156" i="75" s="1"/>
  <c r="AG156" i="75"/>
  <c r="FI156" i="75" s="1"/>
  <c r="AF156" i="75"/>
  <c r="AE156" i="75" s="1"/>
  <c r="FG156" i="75" s="1"/>
  <c r="AC156" i="75"/>
  <c r="FE156" i="75" s="1"/>
  <c r="AB156" i="75"/>
  <c r="FD156" i="75" s="1"/>
  <c r="AA156" i="75"/>
  <c r="FC156" i="75" s="1"/>
  <c r="Z156" i="75"/>
  <c r="FB156" i="75" s="1"/>
  <c r="Y156" i="75"/>
  <c r="FA156" i="75" s="1"/>
  <c r="X156" i="75"/>
  <c r="EZ156" i="75" s="1"/>
  <c r="W156" i="75"/>
  <c r="EY156" i="75" s="1"/>
  <c r="V156" i="75"/>
  <c r="EX156" i="75" s="1"/>
  <c r="U156" i="75"/>
  <c r="EW156" i="75" s="1"/>
  <c r="EV156" i="75" s="1"/>
  <c r="S156" i="75"/>
  <c r="ET156" i="75" s="1"/>
  <c r="R156" i="75"/>
  <c r="ES156" i="75" s="1"/>
  <c r="Q156" i="75"/>
  <c r="P156" i="75"/>
  <c r="EQ156" i="75" s="1"/>
  <c r="O156" i="75"/>
  <c r="EP156" i="75" s="1"/>
  <c r="N156" i="75"/>
  <c r="EO156" i="75" s="1"/>
  <c r="M156" i="75"/>
  <c r="EN156" i="75" s="1"/>
  <c r="L156" i="75"/>
  <c r="EM156" i="75" s="1"/>
  <c r="K156" i="75"/>
  <c r="EL156" i="75" s="1"/>
  <c r="EK156" i="75" s="1"/>
  <c r="J156" i="75"/>
  <c r="D156" i="75"/>
  <c r="B156" i="75"/>
  <c r="GM155" i="75"/>
  <c r="GL155" i="75"/>
  <c r="GK155" i="75"/>
  <c r="GJ155" i="75"/>
  <c r="GI155" i="75"/>
  <c r="GH155" i="75"/>
  <c r="GG155" i="75"/>
  <c r="GF155" i="75"/>
  <c r="GE155" i="75"/>
  <c r="GD155" i="75"/>
  <c r="GC155" i="75"/>
  <c r="GB155" i="75"/>
  <c r="GA155" i="75"/>
  <c r="FZ155" i="75"/>
  <c r="FY155" i="75"/>
  <c r="FX155" i="75"/>
  <c r="FW155" i="75"/>
  <c r="FV155" i="75"/>
  <c r="FU155" i="75"/>
  <c r="FT155" i="75"/>
  <c r="FS155" i="75"/>
  <c r="FR155" i="75"/>
  <c r="FQ155" i="75"/>
  <c r="FP155" i="75"/>
  <c r="FO155" i="75"/>
  <c r="FN155" i="75"/>
  <c r="FM155" i="75"/>
  <c r="FL155" i="75"/>
  <c r="FK155" i="75"/>
  <c r="FJ155" i="75"/>
  <c r="FI155" i="75"/>
  <c r="FH155" i="75"/>
  <c r="FG155" i="75"/>
  <c r="FE155" i="75"/>
  <c r="FD155" i="75"/>
  <c r="FC155" i="75"/>
  <c r="FB155" i="75"/>
  <c r="FA155" i="75"/>
  <c r="EZ155" i="75"/>
  <c r="EY155" i="75"/>
  <c r="EX155" i="75"/>
  <c r="EW155" i="75"/>
  <c r="ET155" i="75"/>
  <c r="ES155" i="75"/>
  <c r="ER155" i="75"/>
  <c r="EQ155" i="75"/>
  <c r="EP155" i="75"/>
  <c r="EO155" i="75"/>
  <c r="EN155" i="75"/>
  <c r="EM155" i="75"/>
  <c r="EL155" i="75"/>
  <c r="AD155" i="75"/>
  <c r="FF155" i="75" s="1"/>
  <c r="T155" i="75"/>
  <c r="EU155" i="75" s="1"/>
  <c r="J155" i="75"/>
  <c r="D155" i="75"/>
  <c r="B155" i="75"/>
  <c r="A155" i="75"/>
  <c r="GM154" i="75"/>
  <c r="GL154" i="75"/>
  <c r="GK154" i="75"/>
  <c r="GJ154" i="75"/>
  <c r="GI154" i="75"/>
  <c r="GH154" i="75"/>
  <c r="GG154" i="75"/>
  <c r="GF154" i="75"/>
  <c r="GE154" i="75"/>
  <c r="GD154" i="75"/>
  <c r="GC154" i="75"/>
  <c r="GB154" i="75"/>
  <c r="GA154" i="75"/>
  <c r="FZ154" i="75"/>
  <c r="FY154" i="75"/>
  <c r="FX154" i="75"/>
  <c r="FW154" i="75"/>
  <c r="FV154" i="75"/>
  <c r="FU154" i="75"/>
  <c r="FT154" i="75"/>
  <c r="FS154" i="75"/>
  <c r="FR154" i="75"/>
  <c r="FQ154" i="75"/>
  <c r="FP154" i="75"/>
  <c r="FO154" i="75"/>
  <c r="FN154" i="75"/>
  <c r="FM154" i="75"/>
  <c r="FL154" i="75"/>
  <c r="FK154" i="75"/>
  <c r="FJ154" i="75"/>
  <c r="FI154" i="75"/>
  <c r="FH154" i="75"/>
  <c r="FG154" i="75"/>
  <c r="FE154" i="75"/>
  <c r="FD154" i="75"/>
  <c r="FC154" i="75"/>
  <c r="FB154" i="75"/>
  <c r="FA154" i="75"/>
  <c r="EZ154" i="75"/>
  <c r="EY154" i="75"/>
  <c r="EX154" i="75"/>
  <c r="EW154" i="75"/>
  <c r="ET154" i="75"/>
  <c r="ES154" i="75"/>
  <c r="ER154" i="75"/>
  <c r="EQ154" i="75"/>
  <c r="EP154" i="75"/>
  <c r="EO154" i="75"/>
  <c r="EN154" i="75"/>
  <c r="EM154" i="75"/>
  <c r="EL154" i="75"/>
  <c r="AD154" i="75"/>
  <c r="FF154" i="75" s="1"/>
  <c r="T154" i="75"/>
  <c r="EU154" i="75" s="1"/>
  <c r="J154" i="75"/>
  <c r="D154" i="75"/>
  <c r="B154" i="75"/>
  <c r="A154" i="75"/>
  <c r="GM153" i="75"/>
  <c r="GL153" i="75"/>
  <c r="GK153" i="75"/>
  <c r="GJ153" i="75"/>
  <c r="GI153" i="75"/>
  <c r="GH153" i="75"/>
  <c r="GG153" i="75"/>
  <c r="GF153" i="75"/>
  <c r="GE153" i="75"/>
  <c r="GD153" i="75"/>
  <c r="GC153" i="75"/>
  <c r="GB153" i="75"/>
  <c r="GA153" i="75"/>
  <c r="FZ153" i="75"/>
  <c r="FY153" i="75"/>
  <c r="FX153" i="75"/>
  <c r="FW153" i="75"/>
  <c r="FV153" i="75"/>
  <c r="FU153" i="75"/>
  <c r="FT153" i="75"/>
  <c r="FS153" i="75"/>
  <c r="FR153" i="75"/>
  <c r="FQ153" i="75"/>
  <c r="FP153" i="75"/>
  <c r="FO153" i="75"/>
  <c r="FN153" i="75"/>
  <c r="FM153" i="75"/>
  <c r="FL153" i="75"/>
  <c r="FK153" i="75"/>
  <c r="FJ153" i="75"/>
  <c r="FI153" i="75"/>
  <c r="FH153" i="75"/>
  <c r="FG153" i="75"/>
  <c r="FE153" i="75"/>
  <c r="FD153" i="75"/>
  <c r="FC153" i="75"/>
  <c r="FB153" i="75"/>
  <c r="FA153" i="75"/>
  <c r="EZ153" i="75"/>
  <c r="EY153" i="75"/>
  <c r="EX153" i="75"/>
  <c r="EW153" i="75"/>
  <c r="ET153" i="75"/>
  <c r="ES153" i="75"/>
  <c r="ER153" i="75"/>
  <c r="EQ153" i="75"/>
  <c r="EP153" i="75"/>
  <c r="EO153" i="75"/>
  <c r="EN153" i="75"/>
  <c r="EM153" i="75"/>
  <c r="EL153" i="75"/>
  <c r="AD153" i="75"/>
  <c r="FF153" i="75" s="1"/>
  <c r="T153" i="75"/>
  <c r="EU153" i="75" s="1"/>
  <c r="J153" i="75"/>
  <c r="D153" i="75"/>
  <c r="B153" i="75"/>
  <c r="A153" i="75"/>
  <c r="GM152" i="75"/>
  <c r="GL152" i="75"/>
  <c r="GK152" i="75"/>
  <c r="GJ152" i="75"/>
  <c r="GI152" i="75"/>
  <c r="GH152" i="75"/>
  <c r="GG152" i="75"/>
  <c r="GF152" i="75"/>
  <c r="GE152" i="75"/>
  <c r="GD152" i="75"/>
  <c r="GC152" i="75"/>
  <c r="GB152" i="75"/>
  <c r="GA152" i="75"/>
  <c r="FZ152" i="75"/>
  <c r="FY152" i="75"/>
  <c r="FX152" i="75"/>
  <c r="FW152" i="75"/>
  <c r="FV152" i="75"/>
  <c r="FU152" i="75"/>
  <c r="FT152" i="75"/>
  <c r="FS152" i="75"/>
  <c r="FR152" i="75"/>
  <c r="FQ152" i="75"/>
  <c r="FP152" i="75"/>
  <c r="FO152" i="75"/>
  <c r="FN152" i="75"/>
  <c r="FM152" i="75"/>
  <c r="FL152" i="75"/>
  <c r="FK152" i="75"/>
  <c r="FJ152" i="75"/>
  <c r="FI152" i="75"/>
  <c r="FH152" i="75"/>
  <c r="FG152" i="75"/>
  <c r="FE152" i="75"/>
  <c r="FD152" i="75"/>
  <c r="FC152" i="75"/>
  <c r="FB152" i="75"/>
  <c r="FA152" i="75"/>
  <c r="EZ152" i="75"/>
  <c r="EY152" i="75"/>
  <c r="EX152" i="75"/>
  <c r="EW152" i="75"/>
  <c r="ET152" i="75"/>
  <c r="ES152" i="75"/>
  <c r="ER152" i="75"/>
  <c r="EQ152" i="75"/>
  <c r="EP152" i="75"/>
  <c r="EO152" i="75"/>
  <c r="EN152" i="75"/>
  <c r="EM152" i="75"/>
  <c r="EL152" i="75"/>
  <c r="AD152" i="75"/>
  <c r="FF152" i="75" s="1"/>
  <c r="T152" i="75"/>
  <c r="EU152" i="75" s="1"/>
  <c r="J152" i="75"/>
  <c r="E152" i="75"/>
  <c r="D152" i="75"/>
  <c r="B152" i="75"/>
  <c r="A152" i="75"/>
  <c r="GM151" i="75"/>
  <c r="GL151" i="75"/>
  <c r="GK151" i="75"/>
  <c r="GJ151" i="75"/>
  <c r="GI151" i="75"/>
  <c r="GH151" i="75"/>
  <c r="GG151" i="75"/>
  <c r="GF151" i="75"/>
  <c r="GE151" i="75"/>
  <c r="GD151" i="75"/>
  <c r="GC151" i="75"/>
  <c r="GB151" i="75"/>
  <c r="GA151" i="75"/>
  <c r="FZ151" i="75"/>
  <c r="FY151" i="75"/>
  <c r="FX151" i="75"/>
  <c r="FW151" i="75"/>
  <c r="FV151" i="75"/>
  <c r="FU151" i="75"/>
  <c r="FT151" i="75"/>
  <c r="FS151" i="75"/>
  <c r="FR151" i="75"/>
  <c r="FQ151" i="75"/>
  <c r="FP151" i="75"/>
  <c r="FO151" i="75"/>
  <c r="FN151" i="75"/>
  <c r="FM151" i="75"/>
  <c r="FL151" i="75"/>
  <c r="FK151" i="75"/>
  <c r="FJ151" i="75"/>
  <c r="FI151" i="75"/>
  <c r="FH151" i="75"/>
  <c r="FG151" i="75"/>
  <c r="FE151" i="75"/>
  <c r="FD151" i="75"/>
  <c r="FC151" i="75"/>
  <c r="FB151" i="75"/>
  <c r="FA151" i="75"/>
  <c r="EZ151" i="75"/>
  <c r="EY151" i="75"/>
  <c r="EX151" i="75"/>
  <c r="EW151" i="75"/>
  <c r="ET151" i="75"/>
  <c r="ES151" i="75"/>
  <c r="ER151" i="75"/>
  <c r="EQ151" i="75"/>
  <c r="EP151" i="75"/>
  <c r="EO151" i="75"/>
  <c r="EN151" i="75"/>
  <c r="EM151" i="75"/>
  <c r="EL151" i="75"/>
  <c r="AD151" i="75"/>
  <c r="FF151" i="75" s="1"/>
  <c r="T151" i="75"/>
  <c r="EU151" i="75" s="1"/>
  <c r="J151" i="75"/>
  <c r="E151" i="75"/>
  <c r="D151" i="75"/>
  <c r="B151" i="75"/>
  <c r="A151" i="75"/>
  <c r="GM150" i="75"/>
  <c r="GL150" i="75"/>
  <c r="GK150" i="75"/>
  <c r="GJ150" i="75"/>
  <c r="GI150" i="75"/>
  <c r="GH150" i="75"/>
  <c r="GG150" i="75"/>
  <c r="GF150" i="75"/>
  <c r="GE150" i="75"/>
  <c r="GD150" i="75"/>
  <c r="GC150" i="75"/>
  <c r="GB150" i="75"/>
  <c r="GA150" i="75"/>
  <c r="FZ150" i="75"/>
  <c r="FY150" i="75"/>
  <c r="FX150" i="75"/>
  <c r="FW150" i="75"/>
  <c r="FV150" i="75"/>
  <c r="FU150" i="75"/>
  <c r="FT150" i="75"/>
  <c r="FS150" i="75"/>
  <c r="FR150" i="75"/>
  <c r="FQ150" i="75"/>
  <c r="FP150" i="75"/>
  <c r="FO150" i="75"/>
  <c r="FN150" i="75"/>
  <c r="FM150" i="75"/>
  <c r="FL150" i="75"/>
  <c r="FK150" i="75"/>
  <c r="FJ150" i="75"/>
  <c r="FI150" i="75"/>
  <c r="FH150" i="75"/>
  <c r="FG150" i="75"/>
  <c r="FE150" i="75"/>
  <c r="FD150" i="75"/>
  <c r="FC150" i="75"/>
  <c r="FB150" i="75"/>
  <c r="FA150" i="75"/>
  <c r="EZ150" i="75"/>
  <c r="EY150" i="75"/>
  <c r="EX150" i="75"/>
  <c r="EW150" i="75"/>
  <c r="ET150" i="75"/>
  <c r="ES150" i="75"/>
  <c r="ER150" i="75"/>
  <c r="EQ150" i="75"/>
  <c r="EP150" i="75"/>
  <c r="EO150" i="75"/>
  <c r="EN150" i="75"/>
  <c r="EM150" i="75"/>
  <c r="EL150" i="75"/>
  <c r="AD150" i="75"/>
  <c r="FF150" i="75" s="1"/>
  <c r="T150" i="75"/>
  <c r="EU150" i="75" s="1"/>
  <c r="J150" i="75"/>
  <c r="E150" i="75"/>
  <c r="D150" i="75"/>
  <c r="B150" i="75"/>
  <c r="A150" i="75"/>
  <c r="GM149" i="75"/>
  <c r="GL149" i="75"/>
  <c r="GK149" i="75"/>
  <c r="GJ149" i="75"/>
  <c r="GI149" i="75"/>
  <c r="GH149" i="75"/>
  <c r="GG149" i="75"/>
  <c r="GF149" i="75"/>
  <c r="GE149" i="75"/>
  <c r="GD149" i="75"/>
  <c r="GC149" i="75"/>
  <c r="GB149" i="75"/>
  <c r="GA149" i="75"/>
  <c r="FZ149" i="75"/>
  <c r="FY149" i="75"/>
  <c r="FX149" i="75"/>
  <c r="FW149" i="75"/>
  <c r="FV149" i="75"/>
  <c r="FU149" i="75"/>
  <c r="FT149" i="75"/>
  <c r="FS149" i="75"/>
  <c r="FR149" i="75"/>
  <c r="FQ149" i="75"/>
  <c r="FP149" i="75"/>
  <c r="FO149" i="75"/>
  <c r="FN149" i="75"/>
  <c r="FM149" i="75"/>
  <c r="FL149" i="75"/>
  <c r="FK149" i="75"/>
  <c r="FJ149" i="75"/>
  <c r="FI149" i="75"/>
  <c r="FH149" i="75"/>
  <c r="FG149" i="75"/>
  <c r="FE149" i="75"/>
  <c r="FD149" i="75"/>
  <c r="FC149" i="75"/>
  <c r="FB149" i="75"/>
  <c r="FA149" i="75"/>
  <c r="EZ149" i="75"/>
  <c r="EY149" i="75"/>
  <c r="EX149" i="75"/>
  <c r="EW149" i="75"/>
  <c r="ET149" i="75"/>
  <c r="ES149" i="75"/>
  <c r="ER149" i="75"/>
  <c r="EQ149" i="75"/>
  <c r="EP149" i="75"/>
  <c r="EO149" i="75"/>
  <c r="EN149" i="75"/>
  <c r="EM149" i="75"/>
  <c r="EL149" i="75"/>
  <c r="AD149" i="75"/>
  <c r="FF149" i="75" s="1"/>
  <c r="T149" i="75"/>
  <c r="EU149" i="75" s="1"/>
  <c r="J149" i="75"/>
  <c r="D149" i="75"/>
  <c r="B149" i="75"/>
  <c r="A149" i="75"/>
  <c r="GM148" i="75"/>
  <c r="GL148" i="75"/>
  <c r="GK148" i="75"/>
  <c r="GJ148" i="75"/>
  <c r="GI148" i="75"/>
  <c r="GH148" i="75"/>
  <c r="GG148" i="75"/>
  <c r="GF148" i="75"/>
  <c r="GE148" i="75"/>
  <c r="GD148" i="75"/>
  <c r="GC148" i="75"/>
  <c r="GB148" i="75"/>
  <c r="GA148" i="75"/>
  <c r="FZ148" i="75"/>
  <c r="FY148" i="75"/>
  <c r="FX148" i="75"/>
  <c r="FW148" i="75"/>
  <c r="FV148" i="75"/>
  <c r="FU148" i="75"/>
  <c r="FT148" i="75"/>
  <c r="FS148" i="75"/>
  <c r="FR148" i="75"/>
  <c r="FQ148" i="75"/>
  <c r="FP148" i="75"/>
  <c r="FO148" i="75"/>
  <c r="FN148" i="75"/>
  <c r="FM148" i="75"/>
  <c r="FL148" i="75"/>
  <c r="FK148" i="75"/>
  <c r="FJ148" i="75"/>
  <c r="FI148" i="75"/>
  <c r="FH148" i="75"/>
  <c r="FG148" i="75"/>
  <c r="FE148" i="75"/>
  <c r="FD148" i="75"/>
  <c r="FC148" i="75"/>
  <c r="FB148" i="75"/>
  <c r="FA148" i="75"/>
  <c r="EZ148" i="75"/>
  <c r="EY148" i="75"/>
  <c r="EX148" i="75"/>
  <c r="EW148" i="75"/>
  <c r="ET148" i="75"/>
  <c r="ES148" i="75"/>
  <c r="ER148" i="75"/>
  <c r="EQ148" i="75"/>
  <c r="EP148" i="75"/>
  <c r="EO148" i="75"/>
  <c r="EN148" i="75"/>
  <c r="EM148" i="75"/>
  <c r="EL148" i="75"/>
  <c r="AD148" i="75"/>
  <c r="FF148" i="75" s="1"/>
  <c r="T148" i="75"/>
  <c r="EU148" i="75" s="1"/>
  <c r="J148" i="75"/>
  <c r="D148" i="75"/>
  <c r="B148" i="75"/>
  <c r="A148" i="75"/>
  <c r="GM147" i="75"/>
  <c r="GL147" i="75"/>
  <c r="GK147" i="75"/>
  <c r="GJ147" i="75"/>
  <c r="GI147" i="75"/>
  <c r="GH147" i="75"/>
  <c r="GG147" i="75"/>
  <c r="GF147" i="75"/>
  <c r="GE147" i="75"/>
  <c r="GD147" i="75"/>
  <c r="GC147" i="75"/>
  <c r="GB147" i="75"/>
  <c r="GA147" i="75"/>
  <c r="FZ147" i="75"/>
  <c r="FY147" i="75"/>
  <c r="FX147" i="75"/>
  <c r="FW147" i="75"/>
  <c r="FV147" i="75"/>
  <c r="FU147" i="75"/>
  <c r="FT147" i="75"/>
  <c r="FS147" i="75"/>
  <c r="FR147" i="75"/>
  <c r="FQ147" i="75"/>
  <c r="FP147" i="75"/>
  <c r="FO147" i="75"/>
  <c r="FN147" i="75"/>
  <c r="FM147" i="75"/>
  <c r="FL147" i="75"/>
  <c r="FK147" i="75"/>
  <c r="FJ147" i="75"/>
  <c r="FI147" i="75"/>
  <c r="FH147" i="75"/>
  <c r="FG147" i="75"/>
  <c r="FE147" i="75"/>
  <c r="FD147" i="75"/>
  <c r="FC147" i="75"/>
  <c r="FB147" i="75"/>
  <c r="FA147" i="75"/>
  <c r="EZ147" i="75"/>
  <c r="EY147" i="75"/>
  <c r="EX147" i="75"/>
  <c r="EW147" i="75"/>
  <c r="ET147" i="75"/>
  <c r="ES147" i="75"/>
  <c r="ER147" i="75"/>
  <c r="EQ147" i="75"/>
  <c r="EP147" i="75"/>
  <c r="EO147" i="75"/>
  <c r="EN147" i="75"/>
  <c r="EM147" i="75"/>
  <c r="EL147" i="75"/>
  <c r="AD147" i="75"/>
  <c r="FF147" i="75" s="1"/>
  <c r="T147" i="75"/>
  <c r="EU147" i="75" s="1"/>
  <c r="J147" i="75"/>
  <c r="D147" i="75"/>
  <c r="B147" i="75"/>
  <c r="A147" i="75"/>
  <c r="GM146" i="75"/>
  <c r="GL146" i="75"/>
  <c r="GK146" i="75"/>
  <c r="GJ146" i="75"/>
  <c r="GI146" i="75"/>
  <c r="GH146" i="75"/>
  <c r="GG146" i="75"/>
  <c r="GF146" i="75"/>
  <c r="GE146" i="75"/>
  <c r="GD146" i="75"/>
  <c r="GC146" i="75"/>
  <c r="GB146" i="75"/>
  <c r="GA146" i="75"/>
  <c r="FZ146" i="75"/>
  <c r="FY146" i="75"/>
  <c r="FX146" i="75"/>
  <c r="FW146" i="75"/>
  <c r="FV146" i="75"/>
  <c r="FU146" i="75"/>
  <c r="FT146" i="75"/>
  <c r="FS146" i="75"/>
  <c r="FR146" i="75"/>
  <c r="FQ146" i="75"/>
  <c r="FP146" i="75"/>
  <c r="FO146" i="75"/>
  <c r="FN146" i="75"/>
  <c r="FM146" i="75"/>
  <c r="FL146" i="75"/>
  <c r="FK146" i="75"/>
  <c r="FJ146" i="75"/>
  <c r="FI146" i="75"/>
  <c r="FH146" i="75"/>
  <c r="FG146" i="75"/>
  <c r="FE146" i="75"/>
  <c r="FD146" i="75"/>
  <c r="FC146" i="75"/>
  <c r="FB146" i="75"/>
  <c r="FA146" i="75"/>
  <c r="EZ146" i="75"/>
  <c r="EY146" i="75"/>
  <c r="EX146" i="75"/>
  <c r="EW146" i="75"/>
  <c r="ET146" i="75"/>
  <c r="ES146" i="75"/>
  <c r="ER146" i="75"/>
  <c r="EQ146" i="75"/>
  <c r="EP146" i="75"/>
  <c r="EO146" i="75"/>
  <c r="EN146" i="75"/>
  <c r="EM146" i="75"/>
  <c r="EL146" i="75"/>
  <c r="AD146" i="75"/>
  <c r="FF146" i="75" s="1"/>
  <c r="T146" i="75"/>
  <c r="EU146" i="75" s="1"/>
  <c r="J146" i="75"/>
  <c r="E146" i="75"/>
  <c r="D146" i="75"/>
  <c r="B146" i="75"/>
  <c r="A146" i="75"/>
  <c r="GM145" i="75"/>
  <c r="GL145" i="75"/>
  <c r="GK145" i="75"/>
  <c r="GJ145" i="75"/>
  <c r="GI145" i="75"/>
  <c r="GH145" i="75"/>
  <c r="GG145" i="75"/>
  <c r="GF145" i="75"/>
  <c r="GE145" i="75"/>
  <c r="GD145" i="75"/>
  <c r="GC145" i="75"/>
  <c r="GB145" i="75"/>
  <c r="GA145" i="75"/>
  <c r="FZ145" i="75"/>
  <c r="FY145" i="75"/>
  <c r="FX145" i="75"/>
  <c r="FW145" i="75"/>
  <c r="FV145" i="75"/>
  <c r="FU145" i="75"/>
  <c r="FT145" i="75"/>
  <c r="FS145" i="75"/>
  <c r="FR145" i="75"/>
  <c r="FQ145" i="75"/>
  <c r="FP145" i="75"/>
  <c r="FO145" i="75"/>
  <c r="FN145" i="75"/>
  <c r="FM145" i="75"/>
  <c r="FL145" i="75"/>
  <c r="FK145" i="75"/>
  <c r="FJ145" i="75"/>
  <c r="FI145" i="75"/>
  <c r="FH145" i="75"/>
  <c r="FG145" i="75"/>
  <c r="FE145" i="75"/>
  <c r="FD145" i="75"/>
  <c r="FC145" i="75"/>
  <c r="FB145" i="75"/>
  <c r="FA145" i="75"/>
  <c r="EZ145" i="75"/>
  <c r="EY145" i="75"/>
  <c r="EX145" i="75"/>
  <c r="EW145" i="75"/>
  <c r="ET145" i="75"/>
  <c r="ES145" i="75"/>
  <c r="ER145" i="75"/>
  <c r="EQ145" i="75"/>
  <c r="EP145" i="75"/>
  <c r="EO145" i="75"/>
  <c r="EN145" i="75"/>
  <c r="EM145" i="75"/>
  <c r="EL145" i="75"/>
  <c r="AD145" i="75"/>
  <c r="FF145" i="75" s="1"/>
  <c r="T145" i="75"/>
  <c r="EU145" i="75" s="1"/>
  <c r="J145" i="75"/>
  <c r="E145" i="75"/>
  <c r="D145" i="75"/>
  <c r="B145" i="75"/>
  <c r="A145" i="75"/>
  <c r="GM144" i="75"/>
  <c r="GL144" i="75"/>
  <c r="GK144" i="75"/>
  <c r="GJ144" i="75"/>
  <c r="GI144" i="75"/>
  <c r="GH144" i="75"/>
  <c r="GG144" i="75"/>
  <c r="GF144" i="75"/>
  <c r="GE144" i="75"/>
  <c r="GD144" i="75"/>
  <c r="GC144" i="75"/>
  <c r="GB144" i="75"/>
  <c r="GA144" i="75"/>
  <c r="FZ144" i="75"/>
  <c r="FY144" i="75"/>
  <c r="FX144" i="75"/>
  <c r="FW144" i="75"/>
  <c r="FV144" i="75"/>
  <c r="FU144" i="75"/>
  <c r="FT144" i="75"/>
  <c r="FS144" i="75"/>
  <c r="FR144" i="75"/>
  <c r="FQ144" i="75"/>
  <c r="FP144" i="75"/>
  <c r="FO144" i="75"/>
  <c r="FN144" i="75"/>
  <c r="FM144" i="75"/>
  <c r="FL144" i="75"/>
  <c r="FK144" i="75"/>
  <c r="FJ144" i="75"/>
  <c r="FI144" i="75"/>
  <c r="FH144" i="75"/>
  <c r="FG144" i="75"/>
  <c r="FE144" i="75"/>
  <c r="FD144" i="75"/>
  <c r="FC144" i="75"/>
  <c r="FB144" i="75"/>
  <c r="FA144" i="75"/>
  <c r="EZ144" i="75"/>
  <c r="EY144" i="75"/>
  <c r="EX144" i="75"/>
  <c r="EW144" i="75"/>
  <c r="ET144" i="75"/>
  <c r="ES144" i="75"/>
  <c r="ER144" i="75"/>
  <c r="EQ144" i="75"/>
  <c r="EP144" i="75"/>
  <c r="EO144" i="75"/>
  <c r="EN144" i="75"/>
  <c r="EM144" i="75"/>
  <c r="EL144" i="75"/>
  <c r="AD144" i="75"/>
  <c r="FF144" i="75" s="1"/>
  <c r="T144" i="75"/>
  <c r="EU144" i="75" s="1"/>
  <c r="J144" i="75"/>
  <c r="E144" i="75"/>
  <c r="D144" i="75"/>
  <c r="B144" i="75"/>
  <c r="A144" i="75"/>
  <c r="GM143" i="75"/>
  <c r="GL143" i="75"/>
  <c r="GK143" i="75"/>
  <c r="GJ143" i="75"/>
  <c r="GI143" i="75"/>
  <c r="GH143" i="75"/>
  <c r="GG143" i="75"/>
  <c r="GF143" i="75"/>
  <c r="GE143" i="75"/>
  <c r="GD143" i="75"/>
  <c r="GC143" i="75"/>
  <c r="GB143" i="75"/>
  <c r="GA143" i="75"/>
  <c r="FZ143" i="75"/>
  <c r="FY143" i="75"/>
  <c r="FX143" i="75"/>
  <c r="FW143" i="75"/>
  <c r="FV143" i="75"/>
  <c r="FU143" i="75"/>
  <c r="FT143" i="75"/>
  <c r="FS143" i="75"/>
  <c r="FR143" i="75"/>
  <c r="FQ143" i="75"/>
  <c r="FP143" i="75"/>
  <c r="FO143" i="75"/>
  <c r="FN143" i="75"/>
  <c r="FM143" i="75"/>
  <c r="FL143" i="75"/>
  <c r="FK143" i="75"/>
  <c r="FJ143" i="75"/>
  <c r="FI143" i="75"/>
  <c r="FH143" i="75"/>
  <c r="FG143" i="75"/>
  <c r="FE143" i="75"/>
  <c r="FD143" i="75"/>
  <c r="FC143" i="75"/>
  <c r="FB143" i="75"/>
  <c r="FA143" i="75"/>
  <c r="EZ143" i="75"/>
  <c r="EY143" i="75"/>
  <c r="EX143" i="75"/>
  <c r="EW143" i="75"/>
  <c r="ET143" i="75"/>
  <c r="ES143" i="75"/>
  <c r="ER143" i="75"/>
  <c r="EQ143" i="75"/>
  <c r="EP143" i="75"/>
  <c r="EO143" i="75"/>
  <c r="EN143" i="75"/>
  <c r="EM143" i="75"/>
  <c r="EL143" i="75"/>
  <c r="AD143" i="75"/>
  <c r="FF143" i="75" s="1"/>
  <c r="T143" i="75"/>
  <c r="EU143" i="75" s="1"/>
  <c r="J143" i="75"/>
  <c r="E143" i="75"/>
  <c r="D143" i="75"/>
  <c r="B143" i="75"/>
  <c r="A143" i="75"/>
  <c r="GM142" i="75"/>
  <c r="GL142" i="75"/>
  <c r="GK142" i="75"/>
  <c r="GJ142" i="75"/>
  <c r="GI142" i="75"/>
  <c r="GH142" i="75"/>
  <c r="GG142" i="75"/>
  <c r="GF142" i="75"/>
  <c r="GE142" i="75"/>
  <c r="GD142" i="75"/>
  <c r="GC142" i="75"/>
  <c r="GB142" i="75"/>
  <c r="GA142" i="75"/>
  <c r="FZ142" i="75"/>
  <c r="FY142" i="75"/>
  <c r="FX142" i="75"/>
  <c r="FW142" i="75"/>
  <c r="FV142" i="75"/>
  <c r="FU142" i="75"/>
  <c r="FT142" i="75"/>
  <c r="FS142" i="75"/>
  <c r="FR142" i="75"/>
  <c r="FQ142" i="75"/>
  <c r="FP142" i="75"/>
  <c r="FO142" i="75"/>
  <c r="FN142" i="75"/>
  <c r="FM142" i="75"/>
  <c r="FL142" i="75"/>
  <c r="FK142" i="75"/>
  <c r="FJ142" i="75"/>
  <c r="FI142" i="75"/>
  <c r="FH142" i="75"/>
  <c r="FG142" i="75"/>
  <c r="FE142" i="75"/>
  <c r="FD142" i="75"/>
  <c r="FC142" i="75"/>
  <c r="FB142" i="75"/>
  <c r="FA142" i="75"/>
  <c r="EZ142" i="75"/>
  <c r="EY142" i="75"/>
  <c r="EX142" i="75"/>
  <c r="EW142" i="75"/>
  <c r="ET142" i="75"/>
  <c r="ES142" i="75"/>
  <c r="ER142" i="75"/>
  <c r="EQ142" i="75"/>
  <c r="EP142" i="75"/>
  <c r="EO142" i="75"/>
  <c r="EN142" i="75"/>
  <c r="EM142" i="75"/>
  <c r="EL142" i="75"/>
  <c r="AD142" i="75"/>
  <c r="FF142" i="75" s="1"/>
  <c r="T142" i="75"/>
  <c r="EU142" i="75" s="1"/>
  <c r="J142" i="75"/>
  <c r="E142" i="75"/>
  <c r="D142" i="75"/>
  <c r="B142" i="75"/>
  <c r="A142" i="75"/>
  <c r="GM141" i="75"/>
  <c r="GL141" i="75"/>
  <c r="GK141" i="75"/>
  <c r="GJ141" i="75"/>
  <c r="GI141" i="75"/>
  <c r="GH141" i="75"/>
  <c r="GG141" i="75"/>
  <c r="GF141" i="75"/>
  <c r="GE141" i="75"/>
  <c r="GD141" i="75"/>
  <c r="GC141" i="75"/>
  <c r="GB141" i="75"/>
  <c r="GA141" i="75"/>
  <c r="FZ141" i="75"/>
  <c r="FY141" i="75"/>
  <c r="FX141" i="75"/>
  <c r="FW141" i="75"/>
  <c r="FV141" i="75"/>
  <c r="FU141" i="75"/>
  <c r="FT141" i="75"/>
  <c r="FS141" i="75"/>
  <c r="FR141" i="75"/>
  <c r="FQ141" i="75"/>
  <c r="FP141" i="75"/>
  <c r="FO141" i="75"/>
  <c r="FN141" i="75"/>
  <c r="FM141" i="75"/>
  <c r="FL141" i="75"/>
  <c r="FK141" i="75"/>
  <c r="FJ141" i="75"/>
  <c r="FI141" i="75"/>
  <c r="FH141" i="75"/>
  <c r="FG141" i="75"/>
  <c r="FE141" i="75"/>
  <c r="FD141" i="75"/>
  <c r="FC141" i="75"/>
  <c r="FB141" i="75"/>
  <c r="FA141" i="75"/>
  <c r="EZ141" i="75"/>
  <c r="EY141" i="75"/>
  <c r="EX141" i="75"/>
  <c r="EW141" i="75"/>
  <c r="ET141" i="75"/>
  <c r="ES141" i="75"/>
  <c r="ER141" i="75"/>
  <c r="EQ141" i="75"/>
  <c r="EP141" i="75"/>
  <c r="EO141" i="75"/>
  <c r="EN141" i="75"/>
  <c r="EM141" i="75"/>
  <c r="EL141" i="75"/>
  <c r="AD141" i="75"/>
  <c r="FF141" i="75" s="1"/>
  <c r="T141" i="75"/>
  <c r="EU141" i="75" s="1"/>
  <c r="J141" i="75"/>
  <c r="E141" i="75"/>
  <c r="D141" i="75"/>
  <c r="B141" i="75"/>
  <c r="A141" i="75"/>
  <c r="GM140" i="75"/>
  <c r="GL140" i="75"/>
  <c r="GK140" i="75"/>
  <c r="GJ140" i="75"/>
  <c r="GI140" i="75"/>
  <c r="GH140" i="75"/>
  <c r="GG140" i="75"/>
  <c r="GF140" i="75"/>
  <c r="GE140" i="75"/>
  <c r="GD140" i="75"/>
  <c r="GC140" i="75"/>
  <c r="GB140" i="75"/>
  <c r="GA140" i="75"/>
  <c r="FZ140" i="75"/>
  <c r="FY140" i="75"/>
  <c r="FX140" i="75"/>
  <c r="FW140" i="75"/>
  <c r="FV140" i="75"/>
  <c r="FU140" i="75"/>
  <c r="FT140" i="75"/>
  <c r="FS140" i="75"/>
  <c r="FR140" i="75"/>
  <c r="FQ140" i="75"/>
  <c r="FP140" i="75"/>
  <c r="FO140" i="75"/>
  <c r="FN140" i="75"/>
  <c r="FM140" i="75"/>
  <c r="FL140" i="75"/>
  <c r="FK140" i="75"/>
  <c r="FJ140" i="75"/>
  <c r="FI140" i="75"/>
  <c r="FH140" i="75"/>
  <c r="FG140" i="75"/>
  <c r="FE140" i="75"/>
  <c r="FD140" i="75"/>
  <c r="FC140" i="75"/>
  <c r="FB140" i="75"/>
  <c r="FA140" i="75"/>
  <c r="EZ140" i="75"/>
  <c r="EY140" i="75"/>
  <c r="EX140" i="75"/>
  <c r="EW140" i="75"/>
  <c r="ET140" i="75"/>
  <c r="ES140" i="75"/>
  <c r="ER140" i="75"/>
  <c r="EQ140" i="75"/>
  <c r="EP140" i="75"/>
  <c r="EO140" i="75"/>
  <c r="EN140" i="75"/>
  <c r="EM140" i="75"/>
  <c r="EL140" i="75"/>
  <c r="AD140" i="75"/>
  <c r="FF140" i="75" s="1"/>
  <c r="T140" i="75"/>
  <c r="EU140" i="75" s="1"/>
  <c r="J140" i="75"/>
  <c r="E140" i="75"/>
  <c r="D140" i="75"/>
  <c r="B140" i="75"/>
  <c r="A140" i="75"/>
  <c r="GM139" i="75"/>
  <c r="GL139" i="75"/>
  <c r="GK139" i="75"/>
  <c r="GJ139" i="75"/>
  <c r="GI139" i="75"/>
  <c r="GH139" i="75"/>
  <c r="GG139" i="75"/>
  <c r="GF139" i="75"/>
  <c r="GE139" i="75"/>
  <c r="GD139" i="75"/>
  <c r="GC139" i="75"/>
  <c r="GB139" i="75"/>
  <c r="GA139" i="75"/>
  <c r="FZ139" i="75"/>
  <c r="FY139" i="75"/>
  <c r="FX139" i="75"/>
  <c r="FW139" i="75"/>
  <c r="FV139" i="75"/>
  <c r="FU139" i="75"/>
  <c r="FT139" i="75"/>
  <c r="FS139" i="75"/>
  <c r="FR139" i="75"/>
  <c r="FQ139" i="75"/>
  <c r="FP139" i="75"/>
  <c r="FO139" i="75"/>
  <c r="FN139" i="75"/>
  <c r="FM139" i="75"/>
  <c r="FL139" i="75"/>
  <c r="FK139" i="75"/>
  <c r="FJ139" i="75"/>
  <c r="FI139" i="75"/>
  <c r="FH139" i="75"/>
  <c r="FG139" i="75"/>
  <c r="FE139" i="75"/>
  <c r="FD139" i="75"/>
  <c r="FC139" i="75"/>
  <c r="FB139" i="75"/>
  <c r="FA139" i="75"/>
  <c r="EZ139" i="75"/>
  <c r="EY139" i="75"/>
  <c r="EX139" i="75"/>
  <c r="EW139" i="75"/>
  <c r="ET139" i="75"/>
  <c r="ES139" i="75"/>
  <c r="ER139" i="75"/>
  <c r="EQ139" i="75"/>
  <c r="EP139" i="75"/>
  <c r="EO139" i="75"/>
  <c r="EN139" i="75"/>
  <c r="EM139" i="75"/>
  <c r="EL139" i="75"/>
  <c r="AD139" i="75"/>
  <c r="FF139" i="75" s="1"/>
  <c r="T139" i="75"/>
  <c r="EU139" i="75" s="1"/>
  <c r="J139" i="75"/>
  <c r="E139" i="75"/>
  <c r="D139" i="75"/>
  <c r="B139" i="75"/>
  <c r="A139" i="75"/>
  <c r="GM138" i="75"/>
  <c r="GL138" i="75"/>
  <c r="GK138" i="75"/>
  <c r="GJ138" i="75"/>
  <c r="GI138" i="75"/>
  <c r="GH138" i="75"/>
  <c r="GG138" i="75"/>
  <c r="GF138" i="75"/>
  <c r="GE138" i="75"/>
  <c r="GD138" i="75"/>
  <c r="GC138" i="75"/>
  <c r="GB138" i="75"/>
  <c r="GA138" i="75"/>
  <c r="FZ138" i="75"/>
  <c r="FY138" i="75"/>
  <c r="FX138" i="75"/>
  <c r="FW138" i="75"/>
  <c r="FV138" i="75"/>
  <c r="FU138" i="75"/>
  <c r="FT138" i="75"/>
  <c r="FS138" i="75"/>
  <c r="FR138" i="75"/>
  <c r="FQ138" i="75"/>
  <c r="FP138" i="75"/>
  <c r="FO138" i="75"/>
  <c r="FN138" i="75"/>
  <c r="FM138" i="75"/>
  <c r="FL138" i="75"/>
  <c r="FK138" i="75"/>
  <c r="FJ138" i="75"/>
  <c r="FI138" i="75"/>
  <c r="FH138" i="75"/>
  <c r="FG138" i="75"/>
  <c r="FE138" i="75"/>
  <c r="FD138" i="75"/>
  <c r="FC138" i="75"/>
  <c r="FB138" i="75"/>
  <c r="FA138" i="75"/>
  <c r="EZ138" i="75"/>
  <c r="EY138" i="75"/>
  <c r="EX138" i="75"/>
  <c r="EW138" i="75"/>
  <c r="ET138" i="75"/>
  <c r="ES138" i="75"/>
  <c r="ER138" i="75"/>
  <c r="EQ138" i="75"/>
  <c r="EP138" i="75"/>
  <c r="EO138" i="75"/>
  <c r="EN138" i="75"/>
  <c r="EM138" i="75"/>
  <c r="EL138" i="75"/>
  <c r="AD138" i="75"/>
  <c r="FF138" i="75" s="1"/>
  <c r="T138" i="75"/>
  <c r="EU138" i="75" s="1"/>
  <c r="J138" i="75"/>
  <c r="E138" i="75"/>
  <c r="D138" i="75"/>
  <c r="B138" i="75"/>
  <c r="A138" i="75"/>
  <c r="GM137" i="75"/>
  <c r="GL137" i="75"/>
  <c r="GK137" i="75"/>
  <c r="GJ137" i="75"/>
  <c r="GI137" i="75"/>
  <c r="GH137" i="75"/>
  <c r="GG137" i="75"/>
  <c r="GF137" i="75"/>
  <c r="GE137" i="75"/>
  <c r="GD137" i="75"/>
  <c r="GC137" i="75"/>
  <c r="GB137" i="75"/>
  <c r="GA137" i="75"/>
  <c r="FZ137" i="75"/>
  <c r="FY137" i="75"/>
  <c r="FX137" i="75"/>
  <c r="FW137" i="75"/>
  <c r="FV137" i="75"/>
  <c r="FU137" i="75"/>
  <c r="FT137" i="75"/>
  <c r="FS137" i="75"/>
  <c r="FR137" i="75"/>
  <c r="FQ137" i="75"/>
  <c r="FP137" i="75"/>
  <c r="FO137" i="75"/>
  <c r="FN137" i="75"/>
  <c r="FM137" i="75"/>
  <c r="FL137" i="75"/>
  <c r="FK137" i="75"/>
  <c r="FJ137" i="75"/>
  <c r="FI137" i="75"/>
  <c r="FH137" i="75"/>
  <c r="FG137" i="75"/>
  <c r="FE137" i="75"/>
  <c r="FD137" i="75"/>
  <c r="FC137" i="75"/>
  <c r="FB137" i="75"/>
  <c r="FA137" i="75"/>
  <c r="EZ137" i="75"/>
  <c r="EY137" i="75"/>
  <c r="EX137" i="75"/>
  <c r="EW137" i="75"/>
  <c r="ET137" i="75"/>
  <c r="ES137" i="75"/>
  <c r="ER137" i="75"/>
  <c r="EQ137" i="75"/>
  <c r="EP137" i="75"/>
  <c r="EO137" i="75"/>
  <c r="EN137" i="75"/>
  <c r="EM137" i="75"/>
  <c r="EL137" i="75"/>
  <c r="AD137" i="75"/>
  <c r="FF137" i="75" s="1"/>
  <c r="T137" i="75"/>
  <c r="EU137" i="75" s="1"/>
  <c r="J137" i="75"/>
  <c r="E137" i="75"/>
  <c r="D137" i="75"/>
  <c r="B137" i="75"/>
  <c r="A137" i="75"/>
  <c r="GM136" i="75"/>
  <c r="GL136" i="75"/>
  <c r="GK136" i="75"/>
  <c r="GJ136" i="75"/>
  <c r="GI136" i="75"/>
  <c r="GH136" i="75"/>
  <c r="GG136" i="75"/>
  <c r="GF136" i="75"/>
  <c r="GE136" i="75"/>
  <c r="GD136" i="75"/>
  <c r="GC136" i="75"/>
  <c r="GB136" i="75"/>
  <c r="GA136" i="75"/>
  <c r="FZ136" i="75"/>
  <c r="FY136" i="75"/>
  <c r="FX136" i="75"/>
  <c r="FW136" i="75"/>
  <c r="FV136" i="75"/>
  <c r="FU136" i="75"/>
  <c r="FT136" i="75"/>
  <c r="FS136" i="75"/>
  <c r="FR136" i="75"/>
  <c r="FQ136" i="75"/>
  <c r="FP136" i="75"/>
  <c r="FO136" i="75"/>
  <c r="FN136" i="75"/>
  <c r="FM136" i="75"/>
  <c r="FL136" i="75"/>
  <c r="FK136" i="75"/>
  <c r="FJ136" i="75"/>
  <c r="FI136" i="75"/>
  <c r="FH136" i="75"/>
  <c r="FG136" i="75"/>
  <c r="FE136" i="75"/>
  <c r="FD136" i="75"/>
  <c r="FC136" i="75"/>
  <c r="FB136" i="75"/>
  <c r="FA136" i="75"/>
  <c r="EZ136" i="75"/>
  <c r="EY136" i="75"/>
  <c r="EX136" i="75"/>
  <c r="EW136" i="75"/>
  <c r="ET136" i="75"/>
  <c r="ES136" i="75"/>
  <c r="ER136" i="75"/>
  <c r="EQ136" i="75"/>
  <c r="EP136" i="75"/>
  <c r="EO136" i="75"/>
  <c r="EN136" i="75"/>
  <c r="EM136" i="75"/>
  <c r="EL136" i="75"/>
  <c r="AD136" i="75"/>
  <c r="FF136" i="75" s="1"/>
  <c r="T136" i="75"/>
  <c r="EU136" i="75" s="1"/>
  <c r="J136" i="75"/>
  <c r="E136" i="75"/>
  <c r="D136" i="75"/>
  <c r="B136" i="75"/>
  <c r="A136" i="75"/>
  <c r="GM135" i="75"/>
  <c r="GL135" i="75"/>
  <c r="GK135" i="75"/>
  <c r="GJ135" i="75"/>
  <c r="GI135" i="75"/>
  <c r="GH135" i="75"/>
  <c r="GG135" i="75"/>
  <c r="GF135" i="75"/>
  <c r="GE135" i="75"/>
  <c r="GD135" i="75"/>
  <c r="GC135" i="75"/>
  <c r="GB135" i="75"/>
  <c r="GA135" i="75"/>
  <c r="FZ135" i="75"/>
  <c r="FY135" i="75"/>
  <c r="FX135" i="75"/>
  <c r="FW135" i="75"/>
  <c r="FV135" i="75"/>
  <c r="FU135" i="75"/>
  <c r="FT135" i="75"/>
  <c r="FS135" i="75"/>
  <c r="FR135" i="75"/>
  <c r="FQ135" i="75"/>
  <c r="FP135" i="75"/>
  <c r="FO135" i="75"/>
  <c r="FN135" i="75"/>
  <c r="FM135" i="75"/>
  <c r="FL135" i="75"/>
  <c r="FK135" i="75"/>
  <c r="FJ135" i="75"/>
  <c r="FI135" i="75"/>
  <c r="FH135" i="75"/>
  <c r="FG135" i="75"/>
  <c r="FE135" i="75"/>
  <c r="FD135" i="75"/>
  <c r="FC135" i="75"/>
  <c r="FB135" i="75"/>
  <c r="FA135" i="75"/>
  <c r="EZ135" i="75"/>
  <c r="EY135" i="75"/>
  <c r="EX135" i="75"/>
  <c r="EW135" i="75"/>
  <c r="ET135" i="75"/>
  <c r="ES135" i="75"/>
  <c r="ER135" i="75"/>
  <c r="EQ135" i="75"/>
  <c r="EP135" i="75"/>
  <c r="EO135" i="75"/>
  <c r="EN135" i="75"/>
  <c r="EM135" i="75"/>
  <c r="EL135" i="75"/>
  <c r="AD135" i="75"/>
  <c r="FF135" i="75" s="1"/>
  <c r="T135" i="75"/>
  <c r="EU135" i="75" s="1"/>
  <c r="J135" i="75"/>
  <c r="E135" i="75"/>
  <c r="D135" i="75"/>
  <c r="B135" i="75"/>
  <c r="A135" i="75"/>
  <c r="GM134" i="75"/>
  <c r="GL134" i="75"/>
  <c r="GK134" i="75"/>
  <c r="GJ134" i="75"/>
  <c r="GI134" i="75"/>
  <c r="GH134" i="75"/>
  <c r="GG134" i="75"/>
  <c r="GF134" i="75"/>
  <c r="GE134" i="75"/>
  <c r="GD134" i="75"/>
  <c r="GC134" i="75"/>
  <c r="GB134" i="75"/>
  <c r="GA134" i="75"/>
  <c r="FZ134" i="75"/>
  <c r="FY134" i="75"/>
  <c r="FX134" i="75"/>
  <c r="FW134" i="75"/>
  <c r="FV134" i="75"/>
  <c r="FU134" i="75"/>
  <c r="FT134" i="75"/>
  <c r="FS134" i="75"/>
  <c r="FR134" i="75"/>
  <c r="FQ134" i="75"/>
  <c r="FP134" i="75"/>
  <c r="FO134" i="75"/>
  <c r="FN134" i="75"/>
  <c r="FM134" i="75"/>
  <c r="FL134" i="75"/>
  <c r="FK134" i="75"/>
  <c r="FJ134" i="75"/>
  <c r="FI134" i="75"/>
  <c r="FH134" i="75"/>
  <c r="FG134" i="75"/>
  <c r="FE134" i="75"/>
  <c r="FD134" i="75"/>
  <c r="FC134" i="75"/>
  <c r="FB134" i="75"/>
  <c r="FA134" i="75"/>
  <c r="EZ134" i="75"/>
  <c r="EY134" i="75"/>
  <c r="EX134" i="75"/>
  <c r="EW134" i="75"/>
  <c r="ET134" i="75"/>
  <c r="ES134" i="75"/>
  <c r="ER134" i="75"/>
  <c r="EQ134" i="75"/>
  <c r="EP134" i="75"/>
  <c r="EO134" i="75"/>
  <c r="EN134" i="75"/>
  <c r="EM134" i="75"/>
  <c r="EL134" i="75"/>
  <c r="AD134" i="75"/>
  <c r="FF134" i="75" s="1"/>
  <c r="T134" i="75"/>
  <c r="EU134" i="75" s="1"/>
  <c r="J134" i="75"/>
  <c r="E134" i="75"/>
  <c r="D134" i="75"/>
  <c r="B134" i="75"/>
  <c r="A134" i="75"/>
  <c r="GM133" i="75"/>
  <c r="GL133" i="75"/>
  <c r="GK133" i="75"/>
  <c r="GJ133" i="75"/>
  <c r="GI133" i="75"/>
  <c r="GH133" i="75"/>
  <c r="GG133" i="75"/>
  <c r="GF133" i="75"/>
  <c r="GE133" i="75"/>
  <c r="GD133" i="75"/>
  <c r="GC133" i="75"/>
  <c r="GB133" i="75"/>
  <c r="GA133" i="75"/>
  <c r="FZ133" i="75"/>
  <c r="FY133" i="75"/>
  <c r="FX133" i="75"/>
  <c r="FW133" i="75"/>
  <c r="FV133" i="75"/>
  <c r="FU133" i="75"/>
  <c r="FT133" i="75"/>
  <c r="FS133" i="75"/>
  <c r="FR133" i="75"/>
  <c r="FQ133" i="75"/>
  <c r="FP133" i="75"/>
  <c r="FO133" i="75"/>
  <c r="FN133" i="75"/>
  <c r="FM133" i="75"/>
  <c r="FL133" i="75"/>
  <c r="FK133" i="75"/>
  <c r="FJ133" i="75"/>
  <c r="FI133" i="75"/>
  <c r="FH133" i="75"/>
  <c r="FG133" i="75"/>
  <c r="FE133" i="75"/>
  <c r="FD133" i="75"/>
  <c r="FC133" i="75"/>
  <c r="FB133" i="75"/>
  <c r="FA133" i="75"/>
  <c r="EZ133" i="75"/>
  <c r="EY133" i="75"/>
  <c r="EX133" i="75"/>
  <c r="EW133" i="75"/>
  <c r="ET133" i="75"/>
  <c r="ES133" i="75"/>
  <c r="ER133" i="75"/>
  <c r="EQ133" i="75"/>
  <c r="EP133" i="75"/>
  <c r="EO133" i="75"/>
  <c r="EN133" i="75"/>
  <c r="EM133" i="75"/>
  <c r="EL133" i="75"/>
  <c r="AD133" i="75"/>
  <c r="FF133" i="75" s="1"/>
  <c r="T133" i="75"/>
  <c r="EU133" i="75" s="1"/>
  <c r="J133" i="75"/>
  <c r="F133" i="75"/>
  <c r="D133" i="75"/>
  <c r="A133" i="75"/>
  <c r="GM132" i="75"/>
  <c r="GL132" i="75"/>
  <c r="GK132" i="75"/>
  <c r="GJ132" i="75"/>
  <c r="GI132" i="75"/>
  <c r="GH132" i="75"/>
  <c r="GG132" i="75"/>
  <c r="GF132" i="75"/>
  <c r="GE132" i="75"/>
  <c r="GD132" i="75"/>
  <c r="GC132" i="75"/>
  <c r="GB132" i="75"/>
  <c r="GA132" i="75"/>
  <c r="FZ132" i="75"/>
  <c r="FY132" i="75"/>
  <c r="FX132" i="75"/>
  <c r="FW132" i="75"/>
  <c r="FV132" i="75"/>
  <c r="FU132" i="75"/>
  <c r="FT132" i="75"/>
  <c r="FS132" i="75"/>
  <c r="FR132" i="75"/>
  <c r="FQ132" i="75"/>
  <c r="FP132" i="75"/>
  <c r="FO132" i="75"/>
  <c r="FN132" i="75"/>
  <c r="FM132" i="75"/>
  <c r="FL132" i="75"/>
  <c r="FK132" i="75"/>
  <c r="FJ132" i="75"/>
  <c r="FI132" i="75"/>
  <c r="FH132" i="75"/>
  <c r="FG132" i="75"/>
  <c r="FE132" i="75"/>
  <c r="FD132" i="75"/>
  <c r="FC132" i="75"/>
  <c r="FB132" i="75"/>
  <c r="FA132" i="75"/>
  <c r="EZ132" i="75"/>
  <c r="EY132" i="75"/>
  <c r="EX132" i="75"/>
  <c r="EW132" i="75"/>
  <c r="ET132" i="75"/>
  <c r="ES132" i="75"/>
  <c r="ER132" i="75"/>
  <c r="EQ132" i="75"/>
  <c r="EP132" i="75"/>
  <c r="EO132" i="75"/>
  <c r="EN132" i="75"/>
  <c r="EM132" i="75"/>
  <c r="EL132" i="75"/>
  <c r="AD132" i="75"/>
  <c r="FF132" i="75" s="1"/>
  <c r="T132" i="75"/>
  <c r="EU132" i="75" s="1"/>
  <c r="J132" i="75"/>
  <c r="F132" i="75"/>
  <c r="D132" i="75"/>
  <c r="A132" i="75"/>
  <c r="EI131" i="75"/>
  <c r="EJ131" i="75" s="1"/>
  <c r="EH131" i="75"/>
  <c r="EG131" i="75"/>
  <c r="EF131" i="75"/>
  <c r="EE131" i="75"/>
  <c r="ED131" i="75"/>
  <c r="EC131" i="75"/>
  <c r="EB131" i="75"/>
  <c r="EA131" i="75"/>
  <c r="DZ131" i="75" s="1"/>
  <c r="DB131" i="75"/>
  <c r="DC131" i="75" s="1"/>
  <c r="DA131" i="75"/>
  <c r="CZ131" i="75"/>
  <c r="CY131" i="75"/>
  <c r="CX131" i="75"/>
  <c r="CW131" i="75"/>
  <c r="CV131" i="75"/>
  <c r="CU131" i="75"/>
  <c r="CT131" i="75"/>
  <c r="CS131" i="75" s="1"/>
  <c r="CQ131" i="75"/>
  <c r="CR131" i="75" s="1"/>
  <c r="CP131" i="75"/>
  <c r="CO131" i="75"/>
  <c r="CN131" i="75"/>
  <c r="CM131" i="75"/>
  <c r="CL131" i="75"/>
  <c r="CK131" i="75"/>
  <c r="CJ131" i="75"/>
  <c r="CI131" i="75"/>
  <c r="CH131" i="75" s="1"/>
  <c r="CF131" i="75"/>
  <c r="CG131" i="75" s="1"/>
  <c r="CE131" i="75"/>
  <c r="CD131" i="75"/>
  <c r="CC131" i="75"/>
  <c r="CB131" i="75"/>
  <c r="CA131" i="75"/>
  <c r="BZ131" i="75"/>
  <c r="BY131" i="75"/>
  <c r="BX131" i="75"/>
  <c r="BW131" i="75" s="1"/>
  <c r="BU131" i="75"/>
  <c r="BV131" i="75" s="1"/>
  <c r="BT131" i="75"/>
  <c r="BS131" i="75"/>
  <c r="BR131" i="75"/>
  <c r="BQ131" i="75"/>
  <c r="BP131" i="75"/>
  <c r="BO131" i="75"/>
  <c r="BN131" i="75"/>
  <c r="BM131" i="75"/>
  <c r="BL131" i="75" s="1"/>
  <c r="BJ131" i="75"/>
  <c r="BI131" i="75"/>
  <c r="GK131" i="75" s="1"/>
  <c r="BH131" i="75"/>
  <c r="GJ131" i="75" s="1"/>
  <c r="BG131" i="75"/>
  <c r="GI131" i="75" s="1"/>
  <c r="BF131" i="75"/>
  <c r="GH131" i="75" s="1"/>
  <c r="BE131" i="75"/>
  <c r="GG131" i="75" s="1"/>
  <c r="BD131" i="75"/>
  <c r="GF131" i="75" s="1"/>
  <c r="BC131" i="75"/>
  <c r="GE131" i="75" s="1"/>
  <c r="BB131" i="75"/>
  <c r="GD131" i="75" s="1"/>
  <c r="AY131" i="75"/>
  <c r="AZ131" i="75" s="1"/>
  <c r="GB131" i="75" s="1"/>
  <c r="AX131" i="75"/>
  <c r="FZ131" i="75" s="1"/>
  <c r="AW131" i="75"/>
  <c r="FY131" i="75" s="1"/>
  <c r="AV131" i="75"/>
  <c r="FX131" i="75" s="1"/>
  <c r="AU131" i="75"/>
  <c r="FW131" i="75" s="1"/>
  <c r="AT131" i="75"/>
  <c r="FV131" i="75" s="1"/>
  <c r="AS131" i="75"/>
  <c r="FU131" i="75" s="1"/>
  <c r="AR131" i="75"/>
  <c r="FT131" i="75" s="1"/>
  <c r="AQ131" i="75"/>
  <c r="FS131" i="75" s="1"/>
  <c r="AN131" i="75"/>
  <c r="AM131" i="75"/>
  <c r="FO131" i="75" s="1"/>
  <c r="AL131" i="75"/>
  <c r="FN131" i="75" s="1"/>
  <c r="AK131" i="75"/>
  <c r="FM131" i="75" s="1"/>
  <c r="AJ131" i="75"/>
  <c r="FL131" i="75" s="1"/>
  <c r="AI131" i="75"/>
  <c r="FK131" i="75" s="1"/>
  <c r="AH131" i="75"/>
  <c r="FJ131" i="75" s="1"/>
  <c r="AG131" i="75"/>
  <c r="FI131" i="75" s="1"/>
  <c r="AF131" i="75"/>
  <c r="FH131" i="75" s="1"/>
  <c r="AC131" i="75"/>
  <c r="AB131" i="75"/>
  <c r="FD131" i="75" s="1"/>
  <c r="AA131" i="75"/>
  <c r="FC131" i="75" s="1"/>
  <c r="Z131" i="75"/>
  <c r="FB131" i="75" s="1"/>
  <c r="Y131" i="75"/>
  <c r="FA131" i="75" s="1"/>
  <c r="X131" i="75"/>
  <c r="EZ131" i="75" s="1"/>
  <c r="W131" i="75"/>
  <c r="EY131" i="75" s="1"/>
  <c r="V131" i="75"/>
  <c r="EX131" i="75" s="1"/>
  <c r="U131" i="75"/>
  <c r="EW131" i="75" s="1"/>
  <c r="EV131" i="75" s="1"/>
  <c r="S131" i="75"/>
  <c r="R131" i="75"/>
  <c r="ES131" i="75" s="1"/>
  <c r="Q131" i="75"/>
  <c r="ER131" i="75" s="1"/>
  <c r="P131" i="75"/>
  <c r="EQ131" i="75" s="1"/>
  <c r="O131" i="75"/>
  <c r="EP131" i="75" s="1"/>
  <c r="N131" i="75"/>
  <c r="EO131" i="75" s="1"/>
  <c r="M131" i="75"/>
  <c r="EN131" i="75" s="1"/>
  <c r="L131" i="75"/>
  <c r="EM131" i="75" s="1"/>
  <c r="K131" i="75"/>
  <c r="EL131" i="75" s="1"/>
  <c r="EK131" i="75" s="1"/>
  <c r="J131" i="75"/>
  <c r="F131" i="75"/>
  <c r="E131" i="75"/>
  <c r="D131" i="75"/>
  <c r="EL130" i="75"/>
  <c r="EK130" i="75" s="1"/>
  <c r="EI130" i="75"/>
  <c r="EJ130" i="75" s="1"/>
  <c r="EH130" i="75"/>
  <c r="EG130" i="75"/>
  <c r="EF130" i="75"/>
  <c r="EE130" i="75"/>
  <c r="ED130" i="75"/>
  <c r="EC130" i="75"/>
  <c r="EB130" i="75"/>
  <c r="EA130" i="75"/>
  <c r="DZ130" i="75" s="1"/>
  <c r="DB130" i="75"/>
  <c r="DC130" i="75" s="1"/>
  <c r="DA130" i="75"/>
  <c r="CZ130" i="75"/>
  <c r="CY130" i="75"/>
  <c r="CX130" i="75"/>
  <c r="CW130" i="75"/>
  <c r="CV130" i="75"/>
  <c r="CU130" i="75"/>
  <c r="CT130" i="75"/>
  <c r="CS130" i="75" s="1"/>
  <c r="CQ130" i="75"/>
  <c r="CR130" i="75" s="1"/>
  <c r="CP130" i="75"/>
  <c r="CO130" i="75"/>
  <c r="CN130" i="75"/>
  <c r="CM130" i="75"/>
  <c r="CL130" i="75"/>
  <c r="CK130" i="75"/>
  <c r="CJ130" i="75"/>
  <c r="CI130" i="75"/>
  <c r="CH130" i="75" s="1"/>
  <c r="CF130" i="75"/>
  <c r="CG130" i="75" s="1"/>
  <c r="CE130" i="75"/>
  <c r="CD130" i="75"/>
  <c r="CC130" i="75"/>
  <c r="CB130" i="75"/>
  <c r="CA130" i="75"/>
  <c r="BZ130" i="75"/>
  <c r="BY130" i="75"/>
  <c r="BX130" i="75"/>
  <c r="BW130" i="75"/>
  <c r="BU130" i="75"/>
  <c r="BV130" i="75" s="1"/>
  <c r="BT130" i="75"/>
  <c r="BS130" i="75"/>
  <c r="BR130" i="75"/>
  <c r="BQ130" i="75"/>
  <c r="BP130" i="75"/>
  <c r="BO130" i="75"/>
  <c r="BN130" i="75"/>
  <c r="BM130" i="75"/>
  <c r="BL130" i="75" s="1"/>
  <c r="BJ130" i="75"/>
  <c r="BK130" i="75" s="1"/>
  <c r="GM130" i="75" s="1"/>
  <c r="BI130" i="75"/>
  <c r="GK130" i="75" s="1"/>
  <c r="BH130" i="75"/>
  <c r="GJ130" i="75" s="1"/>
  <c r="BG130" i="75"/>
  <c r="GI130" i="75" s="1"/>
  <c r="BF130" i="75"/>
  <c r="GH130" i="75" s="1"/>
  <c r="BE130" i="75"/>
  <c r="GG130" i="75" s="1"/>
  <c r="BD130" i="75"/>
  <c r="GF130" i="75" s="1"/>
  <c r="BC130" i="75"/>
  <c r="GE130" i="75" s="1"/>
  <c r="BB130" i="75"/>
  <c r="GD130" i="75" s="1"/>
  <c r="AY130" i="75"/>
  <c r="GA130" i="75" s="1"/>
  <c r="AX130" i="75"/>
  <c r="FZ130" i="75" s="1"/>
  <c r="AW130" i="75"/>
  <c r="FY130" i="75" s="1"/>
  <c r="AV130" i="75"/>
  <c r="FX130" i="75" s="1"/>
  <c r="AU130" i="75"/>
  <c r="FW130" i="75" s="1"/>
  <c r="AT130" i="75"/>
  <c r="FV130" i="75" s="1"/>
  <c r="AS130" i="75"/>
  <c r="FU130" i="75" s="1"/>
  <c r="AR130" i="75"/>
  <c r="FT130" i="75" s="1"/>
  <c r="AQ130" i="75"/>
  <c r="AP130" i="75" s="1"/>
  <c r="FR130" i="75" s="1"/>
  <c r="AN130" i="75"/>
  <c r="AO130" i="75" s="1"/>
  <c r="FQ130" i="75" s="1"/>
  <c r="AM130" i="75"/>
  <c r="FO130" i="75" s="1"/>
  <c r="AL130" i="75"/>
  <c r="FN130" i="75" s="1"/>
  <c r="AK130" i="75"/>
  <c r="FM130" i="75" s="1"/>
  <c r="AJ130" i="75"/>
  <c r="FL130" i="75" s="1"/>
  <c r="AI130" i="75"/>
  <c r="FK130" i="75" s="1"/>
  <c r="AH130" i="75"/>
  <c r="FJ130" i="75" s="1"/>
  <c r="AG130" i="75"/>
  <c r="FI130" i="75" s="1"/>
  <c r="AF130" i="75"/>
  <c r="FH130" i="75" s="1"/>
  <c r="AE130" i="75"/>
  <c r="FG130" i="75" s="1"/>
  <c r="AC130" i="75"/>
  <c r="AD130" i="75" s="1"/>
  <c r="FF130" i="75" s="1"/>
  <c r="AB130" i="75"/>
  <c r="FD130" i="75" s="1"/>
  <c r="AA130" i="75"/>
  <c r="FC130" i="75" s="1"/>
  <c r="Z130" i="75"/>
  <c r="FB130" i="75" s="1"/>
  <c r="Y130" i="75"/>
  <c r="FA130" i="75" s="1"/>
  <c r="X130" i="75"/>
  <c r="EZ130" i="75" s="1"/>
  <c r="W130" i="75"/>
  <c r="EY130" i="75" s="1"/>
  <c r="V130" i="75"/>
  <c r="EX130" i="75" s="1"/>
  <c r="U130" i="75"/>
  <c r="EW130" i="75" s="1"/>
  <c r="EV130" i="75" s="1"/>
  <c r="S130" i="75"/>
  <c r="ET130" i="75" s="1"/>
  <c r="R130" i="75"/>
  <c r="ES130" i="75" s="1"/>
  <c r="Q130" i="75"/>
  <c r="ER130" i="75" s="1"/>
  <c r="P130" i="75"/>
  <c r="EQ130" i="75" s="1"/>
  <c r="O130" i="75"/>
  <c r="EP130" i="75" s="1"/>
  <c r="N130" i="75"/>
  <c r="EO130" i="75" s="1"/>
  <c r="M130" i="75"/>
  <c r="EN130" i="75" s="1"/>
  <c r="L130" i="75"/>
  <c r="EM130" i="75" s="1"/>
  <c r="K130" i="75"/>
  <c r="J130" i="75"/>
  <c r="F130" i="75"/>
  <c r="E130" i="75"/>
  <c r="D130" i="75"/>
  <c r="GF129" i="75"/>
  <c r="FL129" i="75"/>
  <c r="FK129" i="75"/>
  <c r="ES129" i="75"/>
  <c r="ER129" i="75"/>
  <c r="EI129" i="75"/>
  <c r="EJ129" i="75" s="1"/>
  <c r="EH129" i="75"/>
  <c r="EG129" i="75"/>
  <c r="EF129" i="75"/>
  <c r="EE129" i="75"/>
  <c r="ED129" i="75"/>
  <c r="EC129" i="75"/>
  <c r="EB129" i="75"/>
  <c r="EA129" i="75"/>
  <c r="DZ129" i="75" s="1"/>
  <c r="DB129" i="75"/>
  <c r="DC129" i="75" s="1"/>
  <c r="DA129" i="75"/>
  <c r="CZ129" i="75"/>
  <c r="CY129" i="75"/>
  <c r="CX129" i="75"/>
  <c r="CW129" i="75"/>
  <c r="CV129" i="75"/>
  <c r="CU129" i="75"/>
  <c r="CT129" i="75"/>
  <c r="CS129" i="75" s="1"/>
  <c r="CQ129" i="75"/>
  <c r="CR129" i="75" s="1"/>
  <c r="CP129" i="75"/>
  <c r="CO129" i="75"/>
  <c r="CN129" i="75"/>
  <c r="CM129" i="75"/>
  <c r="CL129" i="75"/>
  <c r="CK129" i="75"/>
  <c r="CJ129" i="75"/>
  <c r="CI129" i="75"/>
  <c r="CH129" i="75" s="1"/>
  <c r="CF129" i="75"/>
  <c r="CG129" i="75" s="1"/>
  <c r="CE129" i="75"/>
  <c r="CD129" i="75"/>
  <c r="CC129" i="75"/>
  <c r="CB129" i="75"/>
  <c r="CA129" i="75"/>
  <c r="BZ129" i="75"/>
  <c r="BY129" i="75"/>
  <c r="BX129" i="75"/>
  <c r="BW129" i="75" s="1"/>
  <c r="BU129" i="75"/>
  <c r="BV129" i="75" s="1"/>
  <c r="BT129" i="75"/>
  <c r="BS129" i="75"/>
  <c r="BR129" i="75"/>
  <c r="BQ129" i="75"/>
  <c r="BP129" i="75"/>
  <c r="BO129" i="75"/>
  <c r="BN129" i="75"/>
  <c r="BM129" i="75"/>
  <c r="BL129" i="75" s="1"/>
  <c r="BJ129" i="75"/>
  <c r="GL129" i="75" s="1"/>
  <c r="BI129" i="75"/>
  <c r="GK129" i="75" s="1"/>
  <c r="BH129" i="75"/>
  <c r="GJ129" i="75" s="1"/>
  <c r="BG129" i="75"/>
  <c r="GI129" i="75" s="1"/>
  <c r="BF129" i="75"/>
  <c r="GH129" i="75" s="1"/>
  <c r="BE129" i="75"/>
  <c r="GG129" i="75" s="1"/>
  <c r="BD129" i="75"/>
  <c r="BC129" i="75"/>
  <c r="GE129" i="75" s="1"/>
  <c r="BB129" i="75"/>
  <c r="GD129" i="75" s="1"/>
  <c r="BA129" i="75"/>
  <c r="GC129" i="75" s="1"/>
  <c r="AY129" i="75"/>
  <c r="AZ129" i="75" s="1"/>
  <c r="GB129" i="75" s="1"/>
  <c r="AX129" i="75"/>
  <c r="FZ129" i="75" s="1"/>
  <c r="AW129" i="75"/>
  <c r="FY129" i="75" s="1"/>
  <c r="AV129" i="75"/>
  <c r="FX129" i="75" s="1"/>
  <c r="AU129" i="75"/>
  <c r="FW129" i="75" s="1"/>
  <c r="AT129" i="75"/>
  <c r="FV129" i="75" s="1"/>
  <c r="AS129" i="75"/>
  <c r="FU129" i="75" s="1"/>
  <c r="AR129" i="75"/>
  <c r="FT129" i="75" s="1"/>
  <c r="AQ129" i="75"/>
  <c r="AN129" i="75"/>
  <c r="FP129" i="75" s="1"/>
  <c r="AM129" i="75"/>
  <c r="FO129" i="75" s="1"/>
  <c r="AL129" i="75"/>
  <c r="FN129" i="75" s="1"/>
  <c r="AK129" i="75"/>
  <c r="FM129" i="75" s="1"/>
  <c r="AJ129" i="75"/>
  <c r="AI129" i="75"/>
  <c r="AH129" i="75"/>
  <c r="FJ129" i="75" s="1"/>
  <c r="AG129" i="75"/>
  <c r="FI129" i="75" s="1"/>
  <c r="AF129" i="75"/>
  <c r="FH129" i="75" s="1"/>
  <c r="AC129" i="75"/>
  <c r="AD129" i="75" s="1"/>
  <c r="FF129" i="75" s="1"/>
  <c r="AB129" i="75"/>
  <c r="FD129" i="75" s="1"/>
  <c r="AA129" i="75"/>
  <c r="FC129" i="75" s="1"/>
  <c r="Z129" i="75"/>
  <c r="FB129" i="75" s="1"/>
  <c r="Y129" i="75"/>
  <c r="FA129" i="75" s="1"/>
  <c r="X129" i="75"/>
  <c r="EZ129" i="75" s="1"/>
  <c r="W129" i="75"/>
  <c r="EY129" i="75" s="1"/>
  <c r="V129" i="75"/>
  <c r="EX129" i="75" s="1"/>
  <c r="U129" i="75"/>
  <c r="EW129" i="75" s="1"/>
  <c r="EV129" i="75" s="1"/>
  <c r="S129" i="75"/>
  <c r="R129" i="75"/>
  <c r="Q129" i="75"/>
  <c r="P129" i="75"/>
  <c r="EQ129" i="75" s="1"/>
  <c r="O129" i="75"/>
  <c r="EP129" i="75" s="1"/>
  <c r="N129" i="75"/>
  <c r="EO129" i="75" s="1"/>
  <c r="M129" i="75"/>
  <c r="EN129" i="75" s="1"/>
  <c r="L129" i="75"/>
  <c r="EM129" i="75" s="1"/>
  <c r="K129" i="75"/>
  <c r="EL129" i="75" s="1"/>
  <c r="EK129" i="75" s="1"/>
  <c r="J129" i="75"/>
  <c r="F129" i="75"/>
  <c r="E129" i="75"/>
  <c r="D129" i="75"/>
  <c r="EI128" i="75"/>
  <c r="EJ128" i="75" s="1"/>
  <c r="EH128" i="75"/>
  <c r="EG128" i="75"/>
  <c r="EF128" i="75"/>
  <c r="EE128" i="75"/>
  <c r="ED128" i="75"/>
  <c r="EC128" i="75"/>
  <c r="EB128" i="75"/>
  <c r="EA128" i="75"/>
  <c r="DZ128" i="75" s="1"/>
  <c r="DB128" i="75"/>
  <c r="DC128" i="75" s="1"/>
  <c r="DA128" i="75"/>
  <c r="CZ128" i="75"/>
  <c r="CY128" i="75"/>
  <c r="CX128" i="75"/>
  <c r="CW128" i="75"/>
  <c r="CV128" i="75"/>
  <c r="CU128" i="75"/>
  <c r="CT128" i="75"/>
  <c r="CS128" i="75" s="1"/>
  <c r="CQ128" i="75"/>
  <c r="CR128" i="75" s="1"/>
  <c r="CP128" i="75"/>
  <c r="CO128" i="75"/>
  <c r="CN128" i="75"/>
  <c r="CM128" i="75"/>
  <c r="CL128" i="75"/>
  <c r="CK128" i="75"/>
  <c r="CJ128" i="75"/>
  <c r="CI128" i="75"/>
  <c r="CH128" i="75" s="1"/>
  <c r="CF128" i="75"/>
  <c r="CG128" i="75" s="1"/>
  <c r="CE128" i="75"/>
  <c r="CD128" i="75"/>
  <c r="CC128" i="75"/>
  <c r="CB128" i="75"/>
  <c r="CA128" i="75"/>
  <c r="BZ128" i="75"/>
  <c r="BY128" i="75"/>
  <c r="BX128" i="75"/>
  <c r="BW128" i="75" s="1"/>
  <c r="BU128" i="75"/>
  <c r="BV128" i="75" s="1"/>
  <c r="BT128" i="75"/>
  <c r="BS128" i="75"/>
  <c r="BR128" i="75"/>
  <c r="BQ128" i="75"/>
  <c r="BP128" i="75"/>
  <c r="BO128" i="75"/>
  <c r="BN128" i="75"/>
  <c r="BM128" i="75"/>
  <c r="BL128" i="75" s="1"/>
  <c r="BJ128" i="75"/>
  <c r="BK128" i="75" s="1"/>
  <c r="GM128" i="75" s="1"/>
  <c r="BI128" i="75"/>
  <c r="GK128" i="75" s="1"/>
  <c r="BH128" i="75"/>
  <c r="GJ128" i="75" s="1"/>
  <c r="BG128" i="75"/>
  <c r="GI128" i="75" s="1"/>
  <c r="BF128" i="75"/>
  <c r="GH128" i="75" s="1"/>
  <c r="BE128" i="75"/>
  <c r="GG128" i="75" s="1"/>
  <c r="BD128" i="75"/>
  <c r="GF128" i="75" s="1"/>
  <c r="BC128" i="75"/>
  <c r="GE128" i="75" s="1"/>
  <c r="BB128" i="75"/>
  <c r="BA128" i="75" s="1"/>
  <c r="GC128" i="75" s="1"/>
  <c r="AY128" i="75"/>
  <c r="GA128" i="75" s="1"/>
  <c r="AX128" i="75"/>
  <c r="FZ128" i="75" s="1"/>
  <c r="AW128" i="75"/>
  <c r="FY128" i="75" s="1"/>
  <c r="AV128" i="75"/>
  <c r="FX128" i="75" s="1"/>
  <c r="AU128" i="75"/>
  <c r="FW128" i="75" s="1"/>
  <c r="AT128" i="75"/>
  <c r="FV128" i="75" s="1"/>
  <c r="AS128" i="75"/>
  <c r="FU128" i="75" s="1"/>
  <c r="AR128" i="75"/>
  <c r="FT128" i="75" s="1"/>
  <c r="AQ128" i="75"/>
  <c r="AN128" i="75"/>
  <c r="FP128" i="75" s="1"/>
  <c r="AM128" i="75"/>
  <c r="FO128" i="75" s="1"/>
  <c r="AL128" i="75"/>
  <c r="FN128" i="75" s="1"/>
  <c r="AK128" i="75"/>
  <c r="FM128" i="75" s="1"/>
  <c r="AJ128" i="75"/>
  <c r="FL128" i="75" s="1"/>
  <c r="AI128" i="75"/>
  <c r="FK128" i="75" s="1"/>
  <c r="AH128" i="75"/>
  <c r="FJ128" i="75" s="1"/>
  <c r="AG128" i="75"/>
  <c r="FI128" i="75" s="1"/>
  <c r="AF128" i="75"/>
  <c r="AE128" i="75" s="1"/>
  <c r="FG128" i="75" s="1"/>
  <c r="AC128" i="75"/>
  <c r="FE128" i="75" s="1"/>
  <c r="AB128" i="75"/>
  <c r="FD128" i="75" s="1"/>
  <c r="AA128" i="75"/>
  <c r="FC128" i="75" s="1"/>
  <c r="Z128" i="75"/>
  <c r="FB128" i="75" s="1"/>
  <c r="Y128" i="75"/>
  <c r="FA128" i="75" s="1"/>
  <c r="X128" i="75"/>
  <c r="EZ128" i="75" s="1"/>
  <c r="W128" i="75"/>
  <c r="EY128" i="75" s="1"/>
  <c r="V128" i="75"/>
  <c r="EX128" i="75" s="1"/>
  <c r="U128" i="75"/>
  <c r="EW128" i="75" s="1"/>
  <c r="EV128" i="75" s="1"/>
  <c r="S128" i="75"/>
  <c r="ET128" i="75" s="1"/>
  <c r="R128" i="75"/>
  <c r="ES128" i="75" s="1"/>
  <c r="Q128" i="75"/>
  <c r="ER128" i="75" s="1"/>
  <c r="P128" i="75"/>
  <c r="EQ128" i="75" s="1"/>
  <c r="O128" i="75"/>
  <c r="EP128" i="75" s="1"/>
  <c r="N128" i="75"/>
  <c r="EO128" i="75" s="1"/>
  <c r="M128" i="75"/>
  <c r="EN128" i="75" s="1"/>
  <c r="L128" i="75"/>
  <c r="EM128" i="75" s="1"/>
  <c r="K128" i="75"/>
  <c r="EL128" i="75" s="1"/>
  <c r="EK128" i="75" s="1"/>
  <c r="J128" i="75"/>
  <c r="F128" i="75"/>
  <c r="E128" i="75"/>
  <c r="D128" i="75"/>
  <c r="FE127" i="75"/>
  <c r="FB127" i="75"/>
  <c r="EL127" i="75"/>
  <c r="EK127" i="75" s="1"/>
  <c r="EI127" i="75"/>
  <c r="EJ127" i="75" s="1"/>
  <c r="EH127" i="75"/>
  <c r="EG127" i="75"/>
  <c r="EF127" i="75"/>
  <c r="EE127" i="75"/>
  <c r="ED127" i="75"/>
  <c r="EC127" i="75"/>
  <c r="EB127" i="75"/>
  <c r="EA127" i="75"/>
  <c r="DZ127" i="75" s="1"/>
  <c r="DB127" i="75"/>
  <c r="DC127" i="75" s="1"/>
  <c r="DA127" i="75"/>
  <c r="CZ127" i="75"/>
  <c r="CY127" i="75"/>
  <c r="CX127" i="75"/>
  <c r="CW127" i="75"/>
  <c r="CV127" i="75"/>
  <c r="CU127" i="75"/>
  <c r="CT127" i="75"/>
  <c r="CS127" i="75" s="1"/>
  <c r="CQ127" i="75"/>
  <c r="CR127" i="75" s="1"/>
  <c r="CP127" i="75"/>
  <c r="CO127" i="75"/>
  <c r="CN127" i="75"/>
  <c r="CM127" i="75"/>
  <c r="CL127" i="75"/>
  <c r="CK127" i="75"/>
  <c r="CJ127" i="75"/>
  <c r="CI127" i="75"/>
  <c r="CH127" i="75" s="1"/>
  <c r="CF127" i="75"/>
  <c r="CG127" i="75" s="1"/>
  <c r="CE127" i="75"/>
  <c r="CD127" i="75"/>
  <c r="CC127" i="75"/>
  <c r="CB127" i="75"/>
  <c r="CA127" i="75"/>
  <c r="BZ127" i="75"/>
  <c r="BY127" i="75"/>
  <c r="BX127" i="75"/>
  <c r="BW127" i="75" s="1"/>
  <c r="BU127" i="75"/>
  <c r="BV127" i="75" s="1"/>
  <c r="BT127" i="75"/>
  <c r="BS127" i="75"/>
  <c r="BR127" i="75"/>
  <c r="BQ127" i="75"/>
  <c r="BP127" i="75"/>
  <c r="BO127" i="75"/>
  <c r="BN127" i="75"/>
  <c r="BM127" i="75"/>
  <c r="BL127" i="75" s="1"/>
  <c r="BJ127" i="75"/>
  <c r="BK127" i="75" s="1"/>
  <c r="GM127" i="75" s="1"/>
  <c r="BI127" i="75"/>
  <c r="GK127" i="75" s="1"/>
  <c r="BH127" i="75"/>
  <c r="GJ127" i="75" s="1"/>
  <c r="BG127" i="75"/>
  <c r="GI127" i="75" s="1"/>
  <c r="BF127" i="75"/>
  <c r="GH127" i="75" s="1"/>
  <c r="BE127" i="75"/>
  <c r="GG127" i="75" s="1"/>
  <c r="BD127" i="75"/>
  <c r="GF127" i="75" s="1"/>
  <c r="BC127" i="75"/>
  <c r="GE127" i="75" s="1"/>
  <c r="BB127" i="75"/>
  <c r="GD127" i="75" s="1"/>
  <c r="AY127" i="75"/>
  <c r="AZ127" i="75" s="1"/>
  <c r="GB127" i="75" s="1"/>
  <c r="AX127" i="75"/>
  <c r="FZ127" i="75" s="1"/>
  <c r="AW127" i="75"/>
  <c r="FY127" i="75" s="1"/>
  <c r="AV127" i="75"/>
  <c r="FX127" i="75" s="1"/>
  <c r="AU127" i="75"/>
  <c r="FW127" i="75" s="1"/>
  <c r="AT127" i="75"/>
  <c r="FV127" i="75" s="1"/>
  <c r="AS127" i="75"/>
  <c r="FU127" i="75" s="1"/>
  <c r="AR127" i="75"/>
  <c r="FT127" i="75" s="1"/>
  <c r="AQ127" i="75"/>
  <c r="AN127" i="75"/>
  <c r="AO127" i="75" s="1"/>
  <c r="FQ127" i="75" s="1"/>
  <c r="AM127" i="75"/>
  <c r="FO127" i="75" s="1"/>
  <c r="AL127" i="75"/>
  <c r="FN127" i="75" s="1"/>
  <c r="AK127" i="75"/>
  <c r="FM127" i="75" s="1"/>
  <c r="AJ127" i="75"/>
  <c r="FL127" i="75" s="1"/>
  <c r="AI127" i="75"/>
  <c r="FK127" i="75" s="1"/>
  <c r="AH127" i="75"/>
  <c r="FJ127" i="75" s="1"/>
  <c r="AG127" i="75"/>
  <c r="FI127" i="75" s="1"/>
  <c r="AF127" i="75"/>
  <c r="FH127" i="75" s="1"/>
  <c r="AC127" i="75"/>
  <c r="AD127" i="75" s="1"/>
  <c r="FF127" i="75" s="1"/>
  <c r="AB127" i="75"/>
  <c r="FD127" i="75" s="1"/>
  <c r="AA127" i="75"/>
  <c r="FC127" i="75" s="1"/>
  <c r="Z127" i="75"/>
  <c r="Y127" i="75"/>
  <c r="FA127" i="75" s="1"/>
  <c r="X127" i="75"/>
  <c r="EZ127" i="75" s="1"/>
  <c r="W127" i="75"/>
  <c r="EY127" i="75" s="1"/>
  <c r="V127" i="75"/>
  <c r="EX127" i="75" s="1"/>
  <c r="U127" i="75"/>
  <c r="EW127" i="75" s="1"/>
  <c r="EV127" i="75" s="1"/>
  <c r="S127" i="75"/>
  <c r="T127" i="75" s="1"/>
  <c r="EU127" i="75" s="1"/>
  <c r="R127" i="75"/>
  <c r="ES127" i="75" s="1"/>
  <c r="Q127" i="75"/>
  <c r="ER127" i="75" s="1"/>
  <c r="P127" i="75"/>
  <c r="EQ127" i="75" s="1"/>
  <c r="O127" i="75"/>
  <c r="EP127" i="75" s="1"/>
  <c r="N127" i="75"/>
  <c r="EO127" i="75" s="1"/>
  <c r="M127" i="75"/>
  <c r="EN127" i="75" s="1"/>
  <c r="L127" i="75"/>
  <c r="EM127" i="75" s="1"/>
  <c r="K127" i="75"/>
  <c r="J127" i="75"/>
  <c r="F127" i="75"/>
  <c r="E127" i="75"/>
  <c r="D127" i="75"/>
  <c r="EI126" i="75"/>
  <c r="EJ126" i="75" s="1"/>
  <c r="EH126" i="75"/>
  <c r="EG126" i="75"/>
  <c r="EF126" i="75"/>
  <c r="EE126" i="75"/>
  <c r="ED126" i="75"/>
  <c r="EC126" i="75"/>
  <c r="EB126" i="75"/>
  <c r="EA126" i="75"/>
  <c r="DZ126" i="75" s="1"/>
  <c r="DB126" i="75"/>
  <c r="DC126" i="75" s="1"/>
  <c r="DA126" i="75"/>
  <c r="CZ126" i="75"/>
  <c r="CY126" i="75"/>
  <c r="CX126" i="75"/>
  <c r="CW126" i="75"/>
  <c r="CV126" i="75"/>
  <c r="CU126" i="75"/>
  <c r="CT126" i="75"/>
  <c r="CS126" i="75" s="1"/>
  <c r="CQ126" i="75"/>
  <c r="CR126" i="75" s="1"/>
  <c r="CP126" i="75"/>
  <c r="CO126" i="75"/>
  <c r="CN126" i="75"/>
  <c r="CM126" i="75"/>
  <c r="CL126" i="75"/>
  <c r="CK126" i="75"/>
  <c r="CJ126" i="75"/>
  <c r="CI126" i="75"/>
  <c r="CH126" i="75"/>
  <c r="CF126" i="75"/>
  <c r="CG126" i="75" s="1"/>
  <c r="CE126" i="75"/>
  <c r="CD126" i="75"/>
  <c r="CC126" i="75"/>
  <c r="CB126" i="75"/>
  <c r="CA126" i="75"/>
  <c r="BZ126" i="75"/>
  <c r="BY126" i="75"/>
  <c r="BX126" i="75"/>
  <c r="BW126" i="75" s="1"/>
  <c r="BU126" i="75"/>
  <c r="BV126" i="75" s="1"/>
  <c r="BT126" i="75"/>
  <c r="BS126" i="75"/>
  <c r="BR126" i="75"/>
  <c r="BQ126" i="75"/>
  <c r="BP126" i="75"/>
  <c r="BO126" i="75"/>
  <c r="BN126" i="75"/>
  <c r="BM126" i="75"/>
  <c r="BL126" i="75" s="1"/>
  <c r="BJ126" i="75"/>
  <c r="GL126" i="75" s="1"/>
  <c r="BI126" i="75"/>
  <c r="GK126" i="75" s="1"/>
  <c r="BH126" i="75"/>
  <c r="GJ126" i="75" s="1"/>
  <c r="BG126" i="75"/>
  <c r="GI126" i="75" s="1"/>
  <c r="BF126" i="75"/>
  <c r="GH126" i="75" s="1"/>
  <c r="BE126" i="75"/>
  <c r="GG126" i="75" s="1"/>
  <c r="BD126" i="75"/>
  <c r="GF126" i="75" s="1"/>
  <c r="BC126" i="75"/>
  <c r="GE126" i="75" s="1"/>
  <c r="BB126" i="75"/>
  <c r="GD126" i="75" s="1"/>
  <c r="AY126" i="75"/>
  <c r="AZ126" i="75" s="1"/>
  <c r="GB126" i="75" s="1"/>
  <c r="AX126" i="75"/>
  <c r="FZ126" i="75" s="1"/>
  <c r="AW126" i="75"/>
  <c r="FY126" i="75" s="1"/>
  <c r="AV126" i="75"/>
  <c r="FX126" i="75" s="1"/>
  <c r="AU126" i="75"/>
  <c r="FW126" i="75" s="1"/>
  <c r="AT126" i="75"/>
  <c r="FV126" i="75" s="1"/>
  <c r="AS126" i="75"/>
  <c r="FU126" i="75" s="1"/>
  <c r="AR126" i="75"/>
  <c r="FT126" i="75" s="1"/>
  <c r="AQ126" i="75"/>
  <c r="FS126" i="75" s="1"/>
  <c r="AN126" i="75"/>
  <c r="AM126" i="75"/>
  <c r="FO126" i="75" s="1"/>
  <c r="AL126" i="75"/>
  <c r="FN126" i="75" s="1"/>
  <c r="AK126" i="75"/>
  <c r="FM126" i="75" s="1"/>
  <c r="AJ126" i="75"/>
  <c r="FL126" i="75" s="1"/>
  <c r="AI126" i="75"/>
  <c r="FK126" i="75" s="1"/>
  <c r="AH126" i="75"/>
  <c r="FJ126" i="75" s="1"/>
  <c r="AG126" i="75"/>
  <c r="FI126" i="75" s="1"/>
  <c r="AF126" i="75"/>
  <c r="AE126" i="75" s="1"/>
  <c r="FG126" i="75" s="1"/>
  <c r="AC126" i="75"/>
  <c r="AD126" i="75" s="1"/>
  <c r="FF126" i="75" s="1"/>
  <c r="AB126" i="75"/>
  <c r="FD126" i="75" s="1"/>
  <c r="AA126" i="75"/>
  <c r="FC126" i="75" s="1"/>
  <c r="Z126" i="75"/>
  <c r="FB126" i="75" s="1"/>
  <c r="Y126" i="75"/>
  <c r="FA126" i="75" s="1"/>
  <c r="X126" i="75"/>
  <c r="EZ126" i="75" s="1"/>
  <c r="W126" i="75"/>
  <c r="EY126" i="75" s="1"/>
  <c r="V126" i="75"/>
  <c r="EX126" i="75" s="1"/>
  <c r="U126" i="75"/>
  <c r="EW126" i="75" s="1"/>
  <c r="EV126" i="75" s="1"/>
  <c r="S126" i="75"/>
  <c r="R126" i="75"/>
  <c r="ES126" i="75" s="1"/>
  <c r="Q126" i="75"/>
  <c r="ER126" i="75" s="1"/>
  <c r="P126" i="75"/>
  <c r="EQ126" i="75" s="1"/>
  <c r="O126" i="75"/>
  <c r="EP126" i="75" s="1"/>
  <c r="N126" i="75"/>
  <c r="EO126" i="75" s="1"/>
  <c r="M126" i="75"/>
  <c r="EN126" i="75" s="1"/>
  <c r="L126" i="75"/>
  <c r="EM126" i="75" s="1"/>
  <c r="K126" i="75"/>
  <c r="EL126" i="75" s="1"/>
  <c r="EK126" i="75" s="1"/>
  <c r="J126" i="75"/>
  <c r="F126" i="75"/>
  <c r="E126" i="75"/>
  <c r="D126" i="75"/>
  <c r="EI125" i="75"/>
  <c r="EJ125" i="75" s="1"/>
  <c r="EH125" i="75"/>
  <c r="EG125" i="75"/>
  <c r="EF125" i="75"/>
  <c r="EE125" i="75"/>
  <c r="ED125" i="75"/>
  <c r="EC125" i="75"/>
  <c r="EB125" i="75"/>
  <c r="EA125" i="75"/>
  <c r="DZ125" i="75" s="1"/>
  <c r="DB125" i="75"/>
  <c r="DC125" i="75" s="1"/>
  <c r="DA125" i="75"/>
  <c r="CZ125" i="75"/>
  <c r="CY125" i="75"/>
  <c r="CX125" i="75"/>
  <c r="CW125" i="75"/>
  <c r="CV125" i="75"/>
  <c r="CU125" i="75"/>
  <c r="CT125" i="75"/>
  <c r="CS125" i="75" s="1"/>
  <c r="CQ125" i="75"/>
  <c r="CR125" i="75" s="1"/>
  <c r="CP125" i="75"/>
  <c r="CO125" i="75"/>
  <c r="CN125" i="75"/>
  <c r="CM125" i="75"/>
  <c r="CL125" i="75"/>
  <c r="CK125" i="75"/>
  <c r="CJ125" i="75"/>
  <c r="CI125" i="75"/>
  <c r="CH125" i="75" s="1"/>
  <c r="CF125" i="75"/>
  <c r="CG125" i="75" s="1"/>
  <c r="CE125" i="75"/>
  <c r="CD125" i="75"/>
  <c r="CC125" i="75"/>
  <c r="CB125" i="75"/>
  <c r="CA125" i="75"/>
  <c r="BZ125" i="75"/>
  <c r="BY125" i="75"/>
  <c r="BX125" i="75"/>
  <c r="BW125" i="75" s="1"/>
  <c r="BU125" i="75"/>
  <c r="BV125" i="75" s="1"/>
  <c r="BT125" i="75"/>
  <c r="BS125" i="75"/>
  <c r="BR125" i="75"/>
  <c r="BQ125" i="75"/>
  <c r="BP125" i="75"/>
  <c r="BO125" i="75"/>
  <c r="BN125" i="75"/>
  <c r="BM125" i="75"/>
  <c r="BL125" i="75" s="1"/>
  <c r="BJ125" i="75"/>
  <c r="BI125" i="75"/>
  <c r="GK125" i="75" s="1"/>
  <c r="BH125" i="75"/>
  <c r="GJ125" i="75" s="1"/>
  <c r="BG125" i="75"/>
  <c r="GI125" i="75" s="1"/>
  <c r="BF125" i="75"/>
  <c r="GH125" i="75" s="1"/>
  <c r="BE125" i="75"/>
  <c r="GG125" i="75" s="1"/>
  <c r="BD125" i="75"/>
  <c r="GF125" i="75" s="1"/>
  <c r="BC125" i="75"/>
  <c r="GE125" i="75" s="1"/>
  <c r="BB125" i="75"/>
  <c r="GD125" i="75" s="1"/>
  <c r="AY125" i="75"/>
  <c r="GA125" i="75" s="1"/>
  <c r="AX125" i="75"/>
  <c r="FZ125" i="75" s="1"/>
  <c r="AW125" i="75"/>
  <c r="FY125" i="75" s="1"/>
  <c r="AV125" i="75"/>
  <c r="FX125" i="75" s="1"/>
  <c r="AU125" i="75"/>
  <c r="FW125" i="75" s="1"/>
  <c r="AT125" i="75"/>
  <c r="FV125" i="75" s="1"/>
  <c r="AS125" i="75"/>
  <c r="FU125" i="75" s="1"/>
  <c r="AR125" i="75"/>
  <c r="FT125" i="75" s="1"/>
  <c r="AQ125" i="75"/>
  <c r="AN125" i="75"/>
  <c r="AM125" i="75"/>
  <c r="FO125" i="75" s="1"/>
  <c r="AL125" i="75"/>
  <c r="FN125" i="75" s="1"/>
  <c r="AK125" i="75"/>
  <c r="FM125" i="75" s="1"/>
  <c r="AJ125" i="75"/>
  <c r="FL125" i="75" s="1"/>
  <c r="AI125" i="75"/>
  <c r="FK125" i="75" s="1"/>
  <c r="AH125" i="75"/>
  <c r="FJ125" i="75" s="1"/>
  <c r="AG125" i="75"/>
  <c r="FI125" i="75" s="1"/>
  <c r="AF125" i="75"/>
  <c r="AE125" i="75" s="1"/>
  <c r="FG125" i="75" s="1"/>
  <c r="AC125" i="75"/>
  <c r="FE125" i="75" s="1"/>
  <c r="AB125" i="75"/>
  <c r="FD125" i="75" s="1"/>
  <c r="AA125" i="75"/>
  <c r="FC125" i="75" s="1"/>
  <c r="Z125" i="75"/>
  <c r="FB125" i="75" s="1"/>
  <c r="Y125" i="75"/>
  <c r="FA125" i="75" s="1"/>
  <c r="X125" i="75"/>
  <c r="EZ125" i="75" s="1"/>
  <c r="W125" i="75"/>
  <c r="EY125" i="75" s="1"/>
  <c r="V125" i="75"/>
  <c r="EX125" i="75" s="1"/>
  <c r="U125" i="75"/>
  <c r="EW125" i="75" s="1"/>
  <c r="EV125" i="75" s="1"/>
  <c r="S125" i="75"/>
  <c r="T125" i="75" s="1"/>
  <c r="EU125" i="75" s="1"/>
  <c r="R125" i="75"/>
  <c r="ES125" i="75" s="1"/>
  <c r="Q125" i="75"/>
  <c r="ER125" i="75" s="1"/>
  <c r="P125" i="75"/>
  <c r="EQ125" i="75" s="1"/>
  <c r="O125" i="75"/>
  <c r="EP125" i="75" s="1"/>
  <c r="N125" i="75"/>
  <c r="EO125" i="75" s="1"/>
  <c r="M125" i="75"/>
  <c r="EN125" i="75" s="1"/>
  <c r="L125" i="75"/>
  <c r="EM125" i="75" s="1"/>
  <c r="K125" i="75"/>
  <c r="EL125" i="75" s="1"/>
  <c r="EK125" i="75" s="1"/>
  <c r="J125" i="75"/>
  <c r="F125" i="75"/>
  <c r="E125" i="75"/>
  <c r="D125" i="75"/>
  <c r="FA124" i="75"/>
  <c r="EI124" i="75"/>
  <c r="EJ124" i="75" s="1"/>
  <c r="EH124" i="75"/>
  <c r="EG124" i="75"/>
  <c r="EF124" i="75"/>
  <c r="EE124" i="75"/>
  <c r="ED124" i="75"/>
  <c r="EC124" i="75"/>
  <c r="EB124" i="75"/>
  <c r="EA124" i="75"/>
  <c r="DZ124" i="75" s="1"/>
  <c r="DB124" i="75"/>
  <c r="DC124" i="75" s="1"/>
  <c r="DA124" i="75"/>
  <c r="CZ124" i="75"/>
  <c r="CY124" i="75"/>
  <c r="CX124" i="75"/>
  <c r="CW124" i="75"/>
  <c r="CV124" i="75"/>
  <c r="CU124" i="75"/>
  <c r="CT124" i="75"/>
  <c r="CS124" i="75" s="1"/>
  <c r="CQ124" i="75"/>
  <c r="CR124" i="75" s="1"/>
  <c r="CP124" i="75"/>
  <c r="CO124" i="75"/>
  <c r="CN124" i="75"/>
  <c r="CM124" i="75"/>
  <c r="CL124" i="75"/>
  <c r="CK124" i="75"/>
  <c r="CJ124" i="75"/>
  <c r="CI124" i="75"/>
  <c r="CH124" i="75" s="1"/>
  <c r="CF124" i="75"/>
  <c r="CG124" i="75" s="1"/>
  <c r="CE124" i="75"/>
  <c r="CD124" i="75"/>
  <c r="CC124" i="75"/>
  <c r="CB124" i="75"/>
  <c r="CA124" i="75"/>
  <c r="BZ124" i="75"/>
  <c r="BY124" i="75"/>
  <c r="BX124" i="75"/>
  <c r="BW124" i="75" s="1"/>
  <c r="BU124" i="75"/>
  <c r="BV124" i="75" s="1"/>
  <c r="BT124" i="75"/>
  <c r="BS124" i="75"/>
  <c r="BR124" i="75"/>
  <c r="BQ124" i="75"/>
  <c r="BP124" i="75"/>
  <c r="BO124" i="75"/>
  <c r="BN124" i="75"/>
  <c r="BM124" i="75"/>
  <c r="BL124" i="75" s="1"/>
  <c r="BJ124" i="75"/>
  <c r="BK124" i="75" s="1"/>
  <c r="GM124" i="75" s="1"/>
  <c r="BI124" i="75"/>
  <c r="GK124" i="75" s="1"/>
  <c r="BH124" i="75"/>
  <c r="GJ124" i="75" s="1"/>
  <c r="BG124" i="75"/>
  <c r="GI124" i="75" s="1"/>
  <c r="BF124" i="75"/>
  <c r="GH124" i="75" s="1"/>
  <c r="BE124" i="75"/>
  <c r="GG124" i="75" s="1"/>
  <c r="BD124" i="75"/>
  <c r="GF124" i="75" s="1"/>
  <c r="BC124" i="75"/>
  <c r="GE124" i="75" s="1"/>
  <c r="BB124" i="75"/>
  <c r="GD124" i="75" s="1"/>
  <c r="AY124" i="75"/>
  <c r="AX124" i="75"/>
  <c r="FZ124" i="75" s="1"/>
  <c r="AW124" i="75"/>
  <c r="FY124" i="75" s="1"/>
  <c r="AV124" i="75"/>
  <c r="FX124" i="75" s="1"/>
  <c r="AU124" i="75"/>
  <c r="FW124" i="75" s="1"/>
  <c r="AT124" i="75"/>
  <c r="FV124" i="75" s="1"/>
  <c r="AS124" i="75"/>
  <c r="FU124" i="75" s="1"/>
  <c r="AR124" i="75"/>
  <c r="FT124" i="75" s="1"/>
  <c r="AQ124" i="75"/>
  <c r="FS124" i="75" s="1"/>
  <c r="AN124" i="75"/>
  <c r="AO124" i="75" s="1"/>
  <c r="FQ124" i="75" s="1"/>
  <c r="AM124" i="75"/>
  <c r="FO124" i="75" s="1"/>
  <c r="AL124" i="75"/>
  <c r="FN124" i="75" s="1"/>
  <c r="AK124" i="75"/>
  <c r="FM124" i="75" s="1"/>
  <c r="AJ124" i="75"/>
  <c r="FL124" i="75" s="1"/>
  <c r="AI124" i="75"/>
  <c r="FK124" i="75" s="1"/>
  <c r="AH124" i="75"/>
  <c r="FJ124" i="75" s="1"/>
  <c r="AG124" i="75"/>
  <c r="FI124" i="75" s="1"/>
  <c r="AF124" i="75"/>
  <c r="AE124" i="75" s="1"/>
  <c r="FG124" i="75" s="1"/>
  <c r="AC124" i="75"/>
  <c r="AD124" i="75" s="1"/>
  <c r="FF124" i="75" s="1"/>
  <c r="AB124" i="75"/>
  <c r="FD124" i="75" s="1"/>
  <c r="AA124" i="75"/>
  <c r="FC124" i="75" s="1"/>
  <c r="Z124" i="75"/>
  <c r="FB124" i="75" s="1"/>
  <c r="Y124" i="75"/>
  <c r="X124" i="75"/>
  <c r="EZ124" i="75" s="1"/>
  <c r="W124" i="75"/>
  <c r="EY124" i="75" s="1"/>
  <c r="V124" i="75"/>
  <c r="EX124" i="75" s="1"/>
  <c r="U124" i="75"/>
  <c r="EW124" i="75" s="1"/>
  <c r="EV124" i="75" s="1"/>
  <c r="S124" i="75"/>
  <c r="ET124" i="75" s="1"/>
  <c r="R124" i="75"/>
  <c r="ES124" i="75" s="1"/>
  <c r="Q124" i="75"/>
  <c r="ER124" i="75" s="1"/>
  <c r="P124" i="75"/>
  <c r="EQ124" i="75" s="1"/>
  <c r="O124" i="75"/>
  <c r="EP124" i="75" s="1"/>
  <c r="N124" i="75"/>
  <c r="EO124" i="75" s="1"/>
  <c r="M124" i="75"/>
  <c r="EN124" i="75" s="1"/>
  <c r="L124" i="75"/>
  <c r="EM124" i="75" s="1"/>
  <c r="K124" i="75"/>
  <c r="EL124" i="75" s="1"/>
  <c r="EK124" i="75" s="1"/>
  <c r="J124" i="75"/>
  <c r="F124" i="75"/>
  <c r="E124" i="75"/>
  <c r="D124" i="75"/>
  <c r="FL123" i="75"/>
  <c r="EI123" i="75"/>
  <c r="EJ123" i="75" s="1"/>
  <c r="EH123" i="75"/>
  <c r="EG123" i="75"/>
  <c r="EF123" i="75"/>
  <c r="EE123" i="75"/>
  <c r="ED123" i="75"/>
  <c r="EC123" i="75"/>
  <c r="EB123" i="75"/>
  <c r="EA123" i="75"/>
  <c r="DZ123" i="75" s="1"/>
  <c r="DB123" i="75"/>
  <c r="DC123" i="75" s="1"/>
  <c r="DA123" i="75"/>
  <c r="CZ123" i="75"/>
  <c r="CY123" i="75"/>
  <c r="CX123" i="75"/>
  <c r="CW123" i="75"/>
  <c r="CV123" i="75"/>
  <c r="CU123" i="75"/>
  <c r="CT123" i="75"/>
  <c r="CS123" i="75" s="1"/>
  <c r="CQ123" i="75"/>
  <c r="CR123" i="75" s="1"/>
  <c r="CP123" i="75"/>
  <c r="CO123" i="75"/>
  <c r="CN123" i="75"/>
  <c r="CM123" i="75"/>
  <c r="CL123" i="75"/>
  <c r="CK123" i="75"/>
  <c r="CJ123" i="75"/>
  <c r="CI123" i="75"/>
  <c r="CH123" i="75" s="1"/>
  <c r="CF123" i="75"/>
  <c r="CG123" i="75" s="1"/>
  <c r="CE123" i="75"/>
  <c r="CD123" i="75"/>
  <c r="CC123" i="75"/>
  <c r="CB123" i="75"/>
  <c r="CA123" i="75"/>
  <c r="BZ123" i="75"/>
  <c r="BY123" i="75"/>
  <c r="BX123" i="75"/>
  <c r="BW123" i="75" s="1"/>
  <c r="BU123" i="75"/>
  <c r="BV123" i="75" s="1"/>
  <c r="BT123" i="75"/>
  <c r="BS123" i="75"/>
  <c r="BR123" i="75"/>
  <c r="BQ123" i="75"/>
  <c r="BP123" i="75"/>
  <c r="BO123" i="75"/>
  <c r="BN123" i="75"/>
  <c r="BM123" i="75"/>
  <c r="BL123" i="75" s="1"/>
  <c r="BJ123" i="75"/>
  <c r="BI123" i="75"/>
  <c r="GK123" i="75" s="1"/>
  <c r="BH123" i="75"/>
  <c r="GJ123" i="75" s="1"/>
  <c r="BG123" i="75"/>
  <c r="GI123" i="75" s="1"/>
  <c r="BF123" i="75"/>
  <c r="GH123" i="75" s="1"/>
  <c r="BE123" i="75"/>
  <c r="GG123" i="75" s="1"/>
  <c r="BD123" i="75"/>
  <c r="GF123" i="75" s="1"/>
  <c r="BC123" i="75"/>
  <c r="GE123" i="75" s="1"/>
  <c r="BB123" i="75"/>
  <c r="GD123" i="75" s="1"/>
  <c r="BA123" i="75"/>
  <c r="GC123" i="75" s="1"/>
  <c r="AY123" i="75"/>
  <c r="AZ123" i="75" s="1"/>
  <c r="GB123" i="75" s="1"/>
  <c r="AX123" i="75"/>
  <c r="FZ123" i="75" s="1"/>
  <c r="AW123" i="75"/>
  <c r="FY123" i="75" s="1"/>
  <c r="AV123" i="75"/>
  <c r="FX123" i="75" s="1"/>
  <c r="AU123" i="75"/>
  <c r="FW123" i="75" s="1"/>
  <c r="AT123" i="75"/>
  <c r="FV123" i="75" s="1"/>
  <c r="AS123" i="75"/>
  <c r="FU123" i="75" s="1"/>
  <c r="AR123" i="75"/>
  <c r="FT123" i="75" s="1"/>
  <c r="AQ123" i="75"/>
  <c r="FS123" i="75" s="1"/>
  <c r="AN123" i="75"/>
  <c r="FP123" i="75" s="1"/>
  <c r="AM123" i="75"/>
  <c r="FO123" i="75" s="1"/>
  <c r="AL123" i="75"/>
  <c r="FN123" i="75" s="1"/>
  <c r="AK123" i="75"/>
  <c r="FM123" i="75" s="1"/>
  <c r="AJ123" i="75"/>
  <c r="AI123" i="75"/>
  <c r="FK123" i="75" s="1"/>
  <c r="AH123" i="75"/>
  <c r="FJ123" i="75" s="1"/>
  <c r="AG123" i="75"/>
  <c r="FI123" i="75" s="1"/>
  <c r="AF123" i="75"/>
  <c r="FH123" i="75" s="1"/>
  <c r="AC123" i="75"/>
  <c r="AD123" i="75" s="1"/>
  <c r="FF123" i="75" s="1"/>
  <c r="AB123" i="75"/>
  <c r="FD123" i="75" s="1"/>
  <c r="AA123" i="75"/>
  <c r="FC123" i="75" s="1"/>
  <c r="Z123" i="75"/>
  <c r="FB123" i="75" s="1"/>
  <c r="Y123" i="75"/>
  <c r="FA123" i="75" s="1"/>
  <c r="X123" i="75"/>
  <c r="EZ123" i="75" s="1"/>
  <c r="W123" i="75"/>
  <c r="EY123" i="75" s="1"/>
  <c r="V123" i="75"/>
  <c r="EX123" i="75" s="1"/>
  <c r="U123" i="75"/>
  <c r="EW123" i="75" s="1"/>
  <c r="EV123" i="75" s="1"/>
  <c r="S123" i="75"/>
  <c r="T123" i="75" s="1"/>
  <c r="EU123" i="75" s="1"/>
  <c r="R123" i="75"/>
  <c r="ES123" i="75" s="1"/>
  <c r="Q123" i="75"/>
  <c r="ER123" i="75" s="1"/>
  <c r="P123" i="75"/>
  <c r="EQ123" i="75" s="1"/>
  <c r="O123" i="75"/>
  <c r="EP123" i="75" s="1"/>
  <c r="N123" i="75"/>
  <c r="EO123" i="75" s="1"/>
  <c r="M123" i="75"/>
  <c r="EN123" i="75" s="1"/>
  <c r="L123" i="75"/>
  <c r="EM123" i="75" s="1"/>
  <c r="K123" i="75"/>
  <c r="EL123" i="75" s="1"/>
  <c r="EK123" i="75" s="1"/>
  <c r="J123" i="75"/>
  <c r="F123" i="75"/>
  <c r="E123" i="75"/>
  <c r="D123" i="75"/>
  <c r="EI122" i="75"/>
  <c r="EJ122" i="75" s="1"/>
  <c r="EH122" i="75"/>
  <c r="EG122" i="75"/>
  <c r="EF122" i="75"/>
  <c r="EE122" i="75"/>
  <c r="ED122" i="75"/>
  <c r="EC122" i="75"/>
  <c r="EB122" i="75"/>
  <c r="EA122" i="75"/>
  <c r="DZ122" i="75" s="1"/>
  <c r="DB122" i="75"/>
  <c r="DC122" i="75" s="1"/>
  <c r="DA122" i="75"/>
  <c r="CZ122" i="75"/>
  <c r="CY122" i="75"/>
  <c r="CX122" i="75"/>
  <c r="CW122" i="75"/>
  <c r="CV122" i="75"/>
  <c r="CU122" i="75"/>
  <c r="CT122" i="75"/>
  <c r="CS122" i="75" s="1"/>
  <c r="CQ122" i="75"/>
  <c r="CR122" i="75" s="1"/>
  <c r="CP122" i="75"/>
  <c r="CO122" i="75"/>
  <c r="CN122" i="75"/>
  <c r="CM122" i="75"/>
  <c r="CL122" i="75"/>
  <c r="CK122" i="75"/>
  <c r="CJ122" i="75"/>
  <c r="CI122" i="75"/>
  <c r="CH122" i="75" s="1"/>
  <c r="CF122" i="75"/>
  <c r="CG122" i="75" s="1"/>
  <c r="CE122" i="75"/>
  <c r="CD122" i="75"/>
  <c r="CC122" i="75"/>
  <c r="CB122" i="75"/>
  <c r="CA122" i="75"/>
  <c r="BZ122" i="75"/>
  <c r="BY122" i="75"/>
  <c r="BX122" i="75"/>
  <c r="BW122" i="75" s="1"/>
  <c r="BU122" i="75"/>
  <c r="BV122" i="75" s="1"/>
  <c r="BT122" i="75"/>
  <c r="BS122" i="75"/>
  <c r="BR122" i="75"/>
  <c r="BQ122" i="75"/>
  <c r="BP122" i="75"/>
  <c r="BO122" i="75"/>
  <c r="BN122" i="75"/>
  <c r="BM122" i="75"/>
  <c r="BL122" i="75" s="1"/>
  <c r="BJ122" i="75"/>
  <c r="BI122" i="75"/>
  <c r="GK122" i="75" s="1"/>
  <c r="BH122" i="75"/>
  <c r="GJ122" i="75" s="1"/>
  <c r="BG122" i="75"/>
  <c r="GI122" i="75" s="1"/>
  <c r="BF122" i="75"/>
  <c r="GH122" i="75" s="1"/>
  <c r="BE122" i="75"/>
  <c r="GG122" i="75" s="1"/>
  <c r="BD122" i="75"/>
  <c r="GF122" i="75" s="1"/>
  <c r="BC122" i="75"/>
  <c r="GE122" i="75" s="1"/>
  <c r="BB122" i="75"/>
  <c r="BA122" i="75" s="1"/>
  <c r="GC122" i="75" s="1"/>
  <c r="AY122" i="75"/>
  <c r="GA122" i="75" s="1"/>
  <c r="AX122" i="75"/>
  <c r="FZ122" i="75" s="1"/>
  <c r="AW122" i="75"/>
  <c r="FY122" i="75" s="1"/>
  <c r="AV122" i="75"/>
  <c r="FX122" i="75" s="1"/>
  <c r="AU122" i="75"/>
  <c r="FW122" i="75" s="1"/>
  <c r="AT122" i="75"/>
  <c r="FV122" i="75" s="1"/>
  <c r="AS122" i="75"/>
  <c r="FU122" i="75" s="1"/>
  <c r="AR122" i="75"/>
  <c r="FT122" i="75" s="1"/>
  <c r="AQ122" i="75"/>
  <c r="AN122" i="75"/>
  <c r="AO122" i="75" s="1"/>
  <c r="FQ122" i="75" s="1"/>
  <c r="AM122" i="75"/>
  <c r="FO122" i="75" s="1"/>
  <c r="AL122" i="75"/>
  <c r="FN122" i="75" s="1"/>
  <c r="AK122" i="75"/>
  <c r="FM122" i="75" s="1"/>
  <c r="AJ122" i="75"/>
  <c r="FL122" i="75" s="1"/>
  <c r="AI122" i="75"/>
  <c r="FK122" i="75" s="1"/>
  <c r="AH122" i="75"/>
  <c r="FJ122" i="75" s="1"/>
  <c r="AG122" i="75"/>
  <c r="FI122" i="75" s="1"/>
  <c r="AF122" i="75"/>
  <c r="FH122" i="75" s="1"/>
  <c r="AE122" i="75"/>
  <c r="FG122" i="75" s="1"/>
  <c r="AC122" i="75"/>
  <c r="FE122" i="75" s="1"/>
  <c r="AB122" i="75"/>
  <c r="FD122" i="75" s="1"/>
  <c r="AA122" i="75"/>
  <c r="FC122" i="75" s="1"/>
  <c r="Z122" i="75"/>
  <c r="FB122" i="75" s="1"/>
  <c r="Y122" i="75"/>
  <c r="FA122" i="75" s="1"/>
  <c r="X122" i="75"/>
  <c r="EZ122" i="75" s="1"/>
  <c r="W122" i="75"/>
  <c r="EY122" i="75" s="1"/>
  <c r="V122" i="75"/>
  <c r="EX122" i="75" s="1"/>
  <c r="U122" i="75"/>
  <c r="EW122" i="75" s="1"/>
  <c r="EV122" i="75" s="1"/>
  <c r="S122" i="75"/>
  <c r="R122" i="75"/>
  <c r="ES122" i="75" s="1"/>
  <c r="Q122" i="75"/>
  <c r="ER122" i="75" s="1"/>
  <c r="P122" i="75"/>
  <c r="EQ122" i="75" s="1"/>
  <c r="O122" i="75"/>
  <c r="EP122" i="75" s="1"/>
  <c r="N122" i="75"/>
  <c r="EO122" i="75" s="1"/>
  <c r="M122" i="75"/>
  <c r="EN122" i="75" s="1"/>
  <c r="L122" i="75"/>
  <c r="EM122" i="75" s="1"/>
  <c r="K122" i="75"/>
  <c r="EL122" i="75" s="1"/>
  <c r="EK122" i="75" s="1"/>
  <c r="J122" i="75"/>
  <c r="F122" i="75"/>
  <c r="E122" i="75"/>
  <c r="D122" i="75"/>
  <c r="FV121" i="75"/>
  <c r="EI121" i="75"/>
  <c r="EJ121" i="75" s="1"/>
  <c r="EH121" i="75"/>
  <c r="EG121" i="75"/>
  <c r="EF121" i="75"/>
  <c r="EE121" i="75"/>
  <c r="ED121" i="75"/>
  <c r="EC121" i="75"/>
  <c r="EB121" i="75"/>
  <c r="EA121" i="75"/>
  <c r="DZ121" i="75"/>
  <c r="DB121" i="75"/>
  <c r="DC121" i="75" s="1"/>
  <c r="DA121" i="75"/>
  <c r="CZ121" i="75"/>
  <c r="CY121" i="75"/>
  <c r="CX121" i="75"/>
  <c r="CW121" i="75"/>
  <c r="CV121" i="75"/>
  <c r="CU121" i="75"/>
  <c r="CT121" i="75"/>
  <c r="CS121" i="75" s="1"/>
  <c r="CQ121" i="75"/>
  <c r="CR121" i="75" s="1"/>
  <c r="CP121" i="75"/>
  <c r="CO121" i="75"/>
  <c r="CN121" i="75"/>
  <c r="CM121" i="75"/>
  <c r="CL121" i="75"/>
  <c r="CK121" i="75"/>
  <c r="CJ121" i="75"/>
  <c r="CI121" i="75"/>
  <c r="CH121" i="75" s="1"/>
  <c r="CF121" i="75"/>
  <c r="CG121" i="75" s="1"/>
  <c r="CE121" i="75"/>
  <c r="CD121" i="75"/>
  <c r="CC121" i="75"/>
  <c r="CB121" i="75"/>
  <c r="CA121" i="75"/>
  <c r="BZ121" i="75"/>
  <c r="BY121" i="75"/>
  <c r="BX121" i="75"/>
  <c r="BW121" i="75" s="1"/>
  <c r="BU121" i="75"/>
  <c r="BV121" i="75" s="1"/>
  <c r="BT121" i="75"/>
  <c r="BS121" i="75"/>
  <c r="BR121" i="75"/>
  <c r="BQ121" i="75"/>
  <c r="BP121" i="75"/>
  <c r="BO121" i="75"/>
  <c r="BN121" i="75"/>
  <c r="BM121" i="75"/>
  <c r="BL121" i="75" s="1"/>
  <c r="BJ121" i="75"/>
  <c r="BI121" i="75"/>
  <c r="GK121" i="75" s="1"/>
  <c r="BH121" i="75"/>
  <c r="GJ121" i="75" s="1"/>
  <c r="BG121" i="75"/>
  <c r="GI121" i="75" s="1"/>
  <c r="BF121" i="75"/>
  <c r="GH121" i="75" s="1"/>
  <c r="BE121" i="75"/>
  <c r="GG121" i="75" s="1"/>
  <c r="BD121" i="75"/>
  <c r="GF121" i="75" s="1"/>
  <c r="BC121" i="75"/>
  <c r="GE121" i="75" s="1"/>
  <c r="BB121" i="75"/>
  <c r="GD121" i="75" s="1"/>
  <c r="AY121" i="75"/>
  <c r="AX121" i="75"/>
  <c r="FZ121" i="75" s="1"/>
  <c r="AW121" i="75"/>
  <c r="FY121" i="75" s="1"/>
  <c r="AV121" i="75"/>
  <c r="FX121" i="75" s="1"/>
  <c r="AU121" i="75"/>
  <c r="FW121" i="75" s="1"/>
  <c r="AT121" i="75"/>
  <c r="AS121" i="75"/>
  <c r="FU121" i="75" s="1"/>
  <c r="AR121" i="75"/>
  <c r="FT121" i="75" s="1"/>
  <c r="AQ121" i="75"/>
  <c r="AP121" i="75" s="1"/>
  <c r="FR121" i="75" s="1"/>
  <c r="AN121" i="75"/>
  <c r="FP121" i="75" s="1"/>
  <c r="AM121" i="75"/>
  <c r="FO121" i="75" s="1"/>
  <c r="AL121" i="75"/>
  <c r="FN121" i="75" s="1"/>
  <c r="AK121" i="75"/>
  <c r="FM121" i="75" s="1"/>
  <c r="AJ121" i="75"/>
  <c r="FL121" i="75" s="1"/>
  <c r="AI121" i="75"/>
  <c r="FK121" i="75" s="1"/>
  <c r="AH121" i="75"/>
  <c r="FJ121" i="75" s="1"/>
  <c r="AG121" i="75"/>
  <c r="FI121" i="75" s="1"/>
  <c r="AF121" i="75"/>
  <c r="FH121" i="75" s="1"/>
  <c r="AC121" i="75"/>
  <c r="FE121" i="75" s="1"/>
  <c r="AB121" i="75"/>
  <c r="FD121" i="75" s="1"/>
  <c r="AA121" i="75"/>
  <c r="FC121" i="75" s="1"/>
  <c r="Z121" i="75"/>
  <c r="FB121" i="75" s="1"/>
  <c r="Y121" i="75"/>
  <c r="FA121" i="75" s="1"/>
  <c r="X121" i="75"/>
  <c r="EZ121" i="75" s="1"/>
  <c r="W121" i="75"/>
  <c r="EY121" i="75" s="1"/>
  <c r="V121" i="75"/>
  <c r="EX121" i="75" s="1"/>
  <c r="U121" i="75"/>
  <c r="EW121" i="75" s="1"/>
  <c r="EV121" i="75" s="1"/>
  <c r="S121" i="75"/>
  <c r="ET121" i="75" s="1"/>
  <c r="R121" i="75"/>
  <c r="ES121" i="75" s="1"/>
  <c r="Q121" i="75"/>
  <c r="ER121" i="75" s="1"/>
  <c r="P121" i="75"/>
  <c r="EQ121" i="75" s="1"/>
  <c r="O121" i="75"/>
  <c r="EP121" i="75" s="1"/>
  <c r="N121" i="75"/>
  <c r="EO121" i="75" s="1"/>
  <c r="M121" i="75"/>
  <c r="EN121" i="75" s="1"/>
  <c r="L121" i="75"/>
  <c r="EM121" i="75" s="1"/>
  <c r="K121" i="75"/>
  <c r="EL121" i="75" s="1"/>
  <c r="EK121" i="75" s="1"/>
  <c r="J121" i="75"/>
  <c r="F121" i="75"/>
  <c r="D121" i="75"/>
  <c r="EI120" i="75"/>
  <c r="EJ120" i="75" s="1"/>
  <c r="EH120" i="75"/>
  <c r="EG120" i="75"/>
  <c r="EF120" i="75"/>
  <c r="EE120" i="75"/>
  <c r="ED120" i="75"/>
  <c r="EC120" i="75"/>
  <c r="EB120" i="75"/>
  <c r="EA120" i="75"/>
  <c r="DZ120" i="75" s="1"/>
  <c r="DB120" i="75"/>
  <c r="DC120" i="75" s="1"/>
  <c r="DA120" i="75"/>
  <c r="CZ120" i="75"/>
  <c r="CY120" i="75"/>
  <c r="CX120" i="75"/>
  <c r="CW120" i="75"/>
  <c r="CV120" i="75"/>
  <c r="CU120" i="75"/>
  <c r="CT120" i="75"/>
  <c r="CS120" i="75" s="1"/>
  <c r="CQ120" i="75"/>
  <c r="CR120" i="75" s="1"/>
  <c r="CP120" i="75"/>
  <c r="CO120" i="75"/>
  <c r="CN120" i="75"/>
  <c r="CM120" i="75"/>
  <c r="CL120" i="75"/>
  <c r="CK120" i="75"/>
  <c r="CJ120" i="75"/>
  <c r="CI120" i="75"/>
  <c r="CH120" i="75" s="1"/>
  <c r="CF120" i="75"/>
  <c r="CG120" i="75" s="1"/>
  <c r="CE120" i="75"/>
  <c r="CD120" i="75"/>
  <c r="CC120" i="75"/>
  <c r="CB120" i="75"/>
  <c r="CA120" i="75"/>
  <c r="BZ120" i="75"/>
  <c r="BY120" i="75"/>
  <c r="BX120" i="75"/>
  <c r="BW120" i="75" s="1"/>
  <c r="BU120" i="75"/>
  <c r="BV120" i="75" s="1"/>
  <c r="BT120" i="75"/>
  <c r="BS120" i="75"/>
  <c r="BR120" i="75"/>
  <c r="BQ120" i="75"/>
  <c r="BP120" i="75"/>
  <c r="BO120" i="75"/>
  <c r="BN120" i="75"/>
  <c r="BM120" i="75"/>
  <c r="BL120" i="75" s="1"/>
  <c r="BJ120" i="75"/>
  <c r="GL120" i="75" s="1"/>
  <c r="BI120" i="75"/>
  <c r="GK120" i="75" s="1"/>
  <c r="BH120" i="75"/>
  <c r="GJ120" i="75" s="1"/>
  <c r="BG120" i="75"/>
  <c r="GI120" i="75" s="1"/>
  <c r="BF120" i="75"/>
  <c r="GH120" i="75" s="1"/>
  <c r="BE120" i="75"/>
  <c r="GG120" i="75" s="1"/>
  <c r="BD120" i="75"/>
  <c r="GF120" i="75" s="1"/>
  <c r="BC120" i="75"/>
  <c r="GE120" i="75" s="1"/>
  <c r="BB120" i="75"/>
  <c r="BA120" i="75" s="1"/>
  <c r="GC120" i="75" s="1"/>
  <c r="AY120" i="75"/>
  <c r="AZ120" i="75" s="1"/>
  <c r="GB120" i="75" s="1"/>
  <c r="AX120" i="75"/>
  <c r="FZ120" i="75" s="1"/>
  <c r="AW120" i="75"/>
  <c r="FY120" i="75" s="1"/>
  <c r="AV120" i="75"/>
  <c r="FX120" i="75" s="1"/>
  <c r="AU120" i="75"/>
  <c r="FW120" i="75" s="1"/>
  <c r="AT120" i="75"/>
  <c r="FV120" i="75" s="1"/>
  <c r="AS120" i="75"/>
  <c r="FU120" i="75" s="1"/>
  <c r="AR120" i="75"/>
  <c r="FT120" i="75" s="1"/>
  <c r="AQ120" i="75"/>
  <c r="FS120" i="75" s="1"/>
  <c r="AN120" i="75"/>
  <c r="FP120" i="75" s="1"/>
  <c r="AM120" i="75"/>
  <c r="FO120" i="75" s="1"/>
  <c r="AL120" i="75"/>
  <c r="FN120" i="75" s="1"/>
  <c r="AK120" i="75"/>
  <c r="FM120" i="75" s="1"/>
  <c r="AJ120" i="75"/>
  <c r="FL120" i="75" s="1"/>
  <c r="AI120" i="75"/>
  <c r="FK120" i="75" s="1"/>
  <c r="AH120" i="75"/>
  <c r="FJ120" i="75" s="1"/>
  <c r="AG120" i="75"/>
  <c r="FI120" i="75" s="1"/>
  <c r="AF120" i="75"/>
  <c r="AE120" i="75" s="1"/>
  <c r="FG120" i="75" s="1"/>
  <c r="AC120" i="75"/>
  <c r="AD120" i="75" s="1"/>
  <c r="FF120" i="75" s="1"/>
  <c r="AB120" i="75"/>
  <c r="FD120" i="75" s="1"/>
  <c r="AA120" i="75"/>
  <c r="FC120" i="75" s="1"/>
  <c r="Z120" i="75"/>
  <c r="FB120" i="75" s="1"/>
  <c r="Y120" i="75"/>
  <c r="FA120" i="75" s="1"/>
  <c r="X120" i="75"/>
  <c r="EZ120" i="75" s="1"/>
  <c r="W120" i="75"/>
  <c r="EY120" i="75" s="1"/>
  <c r="V120" i="75"/>
  <c r="EX120" i="75" s="1"/>
  <c r="U120" i="75"/>
  <c r="EW120" i="75" s="1"/>
  <c r="EV120" i="75" s="1"/>
  <c r="S120" i="75"/>
  <c r="R120" i="75"/>
  <c r="ES120" i="75" s="1"/>
  <c r="Q120" i="75"/>
  <c r="ER120" i="75" s="1"/>
  <c r="P120" i="75"/>
  <c r="EQ120" i="75" s="1"/>
  <c r="O120" i="75"/>
  <c r="EP120" i="75" s="1"/>
  <c r="N120" i="75"/>
  <c r="EO120" i="75" s="1"/>
  <c r="M120" i="75"/>
  <c r="EN120" i="75" s="1"/>
  <c r="L120" i="75"/>
  <c r="EM120" i="75" s="1"/>
  <c r="K120" i="75"/>
  <c r="EL120" i="75" s="1"/>
  <c r="EK120" i="75" s="1"/>
  <c r="J120" i="75"/>
  <c r="F120" i="75"/>
  <c r="D120" i="75"/>
  <c r="GI119" i="75"/>
  <c r="EI119" i="75"/>
  <c r="EJ119" i="75" s="1"/>
  <c r="EH119" i="75"/>
  <c r="EG119" i="75"/>
  <c r="EF119" i="75"/>
  <c r="EE119" i="75"/>
  <c r="ED119" i="75"/>
  <c r="EC119" i="75"/>
  <c r="EB119" i="75"/>
  <c r="EA119" i="75"/>
  <c r="DZ119" i="75" s="1"/>
  <c r="DB119" i="75"/>
  <c r="DC119" i="75" s="1"/>
  <c r="DA119" i="75"/>
  <c r="CZ119" i="75"/>
  <c r="CY119" i="75"/>
  <c r="CX119" i="75"/>
  <c r="CW119" i="75"/>
  <c r="CV119" i="75"/>
  <c r="CU119" i="75"/>
  <c r="CT119" i="75"/>
  <c r="CS119" i="75" s="1"/>
  <c r="CQ119" i="75"/>
  <c r="CR119" i="75" s="1"/>
  <c r="CP119" i="75"/>
  <c r="CO119" i="75"/>
  <c r="CN119" i="75"/>
  <c r="CM119" i="75"/>
  <c r="CL119" i="75"/>
  <c r="CK119" i="75"/>
  <c r="CJ119" i="75"/>
  <c r="CI119" i="75"/>
  <c r="CH119" i="75" s="1"/>
  <c r="CF119" i="75"/>
  <c r="CG119" i="75" s="1"/>
  <c r="CE119" i="75"/>
  <c r="CD119" i="75"/>
  <c r="CC119" i="75"/>
  <c r="CB119" i="75"/>
  <c r="CA119" i="75"/>
  <c r="BZ119" i="75"/>
  <c r="BY119" i="75"/>
  <c r="BX119" i="75"/>
  <c r="BW119" i="75" s="1"/>
  <c r="BU119" i="75"/>
  <c r="BV119" i="75" s="1"/>
  <c r="BT119" i="75"/>
  <c r="BS119" i="75"/>
  <c r="BR119" i="75"/>
  <c r="BQ119" i="75"/>
  <c r="BP119" i="75"/>
  <c r="BO119" i="75"/>
  <c r="BN119" i="75"/>
  <c r="BM119" i="75"/>
  <c r="BL119" i="75" s="1"/>
  <c r="BJ119" i="75"/>
  <c r="BK119" i="75" s="1"/>
  <c r="GM119" i="75" s="1"/>
  <c r="BI119" i="75"/>
  <c r="GK119" i="75" s="1"/>
  <c r="BH119" i="75"/>
  <c r="GJ119" i="75" s="1"/>
  <c r="BG119" i="75"/>
  <c r="BF119" i="75"/>
  <c r="GH119" i="75" s="1"/>
  <c r="BE119" i="75"/>
  <c r="GG119" i="75" s="1"/>
  <c r="BD119" i="75"/>
  <c r="GF119" i="75" s="1"/>
  <c r="BC119" i="75"/>
  <c r="GE119" i="75" s="1"/>
  <c r="BB119" i="75"/>
  <c r="GD119" i="75" s="1"/>
  <c r="AY119" i="75"/>
  <c r="GA119" i="75" s="1"/>
  <c r="AX119" i="75"/>
  <c r="FZ119" i="75" s="1"/>
  <c r="AW119" i="75"/>
  <c r="FY119" i="75" s="1"/>
  <c r="AV119" i="75"/>
  <c r="FX119" i="75" s="1"/>
  <c r="AU119" i="75"/>
  <c r="FW119" i="75" s="1"/>
  <c r="AT119" i="75"/>
  <c r="FV119" i="75" s="1"/>
  <c r="AS119" i="75"/>
  <c r="FU119" i="75" s="1"/>
  <c r="AR119" i="75"/>
  <c r="FT119" i="75" s="1"/>
  <c r="AQ119" i="75"/>
  <c r="AN119" i="75"/>
  <c r="AM119" i="75"/>
  <c r="FO119" i="75" s="1"/>
  <c r="AL119" i="75"/>
  <c r="FN119" i="75" s="1"/>
  <c r="AK119" i="75"/>
  <c r="FM119" i="75" s="1"/>
  <c r="AJ119" i="75"/>
  <c r="FL119" i="75" s="1"/>
  <c r="AI119" i="75"/>
  <c r="FK119" i="75" s="1"/>
  <c r="AH119" i="75"/>
  <c r="FJ119" i="75" s="1"/>
  <c r="AG119" i="75"/>
  <c r="FI119" i="75" s="1"/>
  <c r="AF119" i="75"/>
  <c r="AE119" i="75" s="1"/>
  <c r="FG119" i="75" s="1"/>
  <c r="AC119" i="75"/>
  <c r="FE119" i="75" s="1"/>
  <c r="AB119" i="75"/>
  <c r="FD119" i="75" s="1"/>
  <c r="AA119" i="75"/>
  <c r="FC119" i="75" s="1"/>
  <c r="Z119" i="75"/>
  <c r="FB119" i="75" s="1"/>
  <c r="Y119" i="75"/>
  <c r="FA119" i="75" s="1"/>
  <c r="X119" i="75"/>
  <c r="EZ119" i="75" s="1"/>
  <c r="W119" i="75"/>
  <c r="EY119" i="75" s="1"/>
  <c r="V119" i="75"/>
  <c r="EX119" i="75" s="1"/>
  <c r="U119" i="75"/>
  <c r="EW119" i="75" s="1"/>
  <c r="EV119" i="75" s="1"/>
  <c r="S119" i="75"/>
  <c r="T119" i="75" s="1"/>
  <c r="EU119" i="75" s="1"/>
  <c r="R119" i="75"/>
  <c r="ES119" i="75" s="1"/>
  <c r="Q119" i="75"/>
  <c r="ER119" i="75" s="1"/>
  <c r="P119" i="75"/>
  <c r="EQ119" i="75" s="1"/>
  <c r="O119" i="75"/>
  <c r="EP119" i="75" s="1"/>
  <c r="N119" i="75"/>
  <c r="EO119" i="75" s="1"/>
  <c r="M119" i="75"/>
  <c r="EN119" i="75" s="1"/>
  <c r="L119" i="75"/>
  <c r="EM119" i="75" s="1"/>
  <c r="K119" i="75"/>
  <c r="EL119" i="75" s="1"/>
  <c r="EK119" i="75" s="1"/>
  <c r="J119" i="75"/>
  <c r="F119" i="75"/>
  <c r="D119" i="75"/>
  <c r="FT118" i="75"/>
  <c r="EI118" i="75"/>
  <c r="EJ118" i="75" s="1"/>
  <c r="EH118" i="75"/>
  <c r="EG118" i="75"/>
  <c r="EF118" i="75"/>
  <c r="EE118" i="75"/>
  <c r="ED118" i="75"/>
  <c r="EC118" i="75"/>
  <c r="EB118" i="75"/>
  <c r="EA118" i="75"/>
  <c r="DZ118" i="75" s="1"/>
  <c r="DB118" i="75"/>
  <c r="DC118" i="75" s="1"/>
  <c r="DA118" i="75"/>
  <c r="CZ118" i="75"/>
  <c r="CY118" i="75"/>
  <c r="CX118" i="75"/>
  <c r="CW118" i="75"/>
  <c r="CV118" i="75"/>
  <c r="CU118" i="75"/>
  <c r="CT118" i="75"/>
  <c r="CS118" i="75" s="1"/>
  <c r="CQ118" i="75"/>
  <c r="CR118" i="75" s="1"/>
  <c r="CP118" i="75"/>
  <c r="CO118" i="75"/>
  <c r="CN118" i="75"/>
  <c r="CM118" i="75"/>
  <c r="CL118" i="75"/>
  <c r="CK118" i="75"/>
  <c r="CJ118" i="75"/>
  <c r="CI118" i="75"/>
  <c r="CH118" i="75" s="1"/>
  <c r="CF118" i="75"/>
  <c r="CG118" i="75" s="1"/>
  <c r="CE118" i="75"/>
  <c r="CD118" i="75"/>
  <c r="CC118" i="75"/>
  <c r="CB118" i="75"/>
  <c r="CA118" i="75"/>
  <c r="BZ118" i="75"/>
  <c r="BY118" i="75"/>
  <c r="BX118" i="75"/>
  <c r="BW118" i="75" s="1"/>
  <c r="BU118" i="75"/>
  <c r="BV118" i="75" s="1"/>
  <c r="BT118" i="75"/>
  <c r="BS118" i="75"/>
  <c r="BR118" i="75"/>
  <c r="BQ118" i="75"/>
  <c r="BP118" i="75"/>
  <c r="BO118" i="75"/>
  <c r="BN118" i="75"/>
  <c r="BM118" i="75"/>
  <c r="BL118" i="75" s="1"/>
  <c r="BJ118" i="75"/>
  <c r="BK118" i="75" s="1"/>
  <c r="GM118" i="75" s="1"/>
  <c r="BI118" i="75"/>
  <c r="GK118" i="75" s="1"/>
  <c r="BH118" i="75"/>
  <c r="GJ118" i="75" s="1"/>
  <c r="BG118" i="75"/>
  <c r="GI118" i="75" s="1"/>
  <c r="BF118" i="75"/>
  <c r="GH118" i="75" s="1"/>
  <c r="BE118" i="75"/>
  <c r="GG118" i="75" s="1"/>
  <c r="BD118" i="75"/>
  <c r="GF118" i="75" s="1"/>
  <c r="BC118" i="75"/>
  <c r="GE118" i="75" s="1"/>
  <c r="BB118" i="75"/>
  <c r="GD118" i="75" s="1"/>
  <c r="AY118" i="75"/>
  <c r="AX118" i="75"/>
  <c r="FZ118" i="75" s="1"/>
  <c r="AW118" i="75"/>
  <c r="FY118" i="75" s="1"/>
  <c r="AV118" i="75"/>
  <c r="FX118" i="75" s="1"/>
  <c r="AU118" i="75"/>
  <c r="FW118" i="75" s="1"/>
  <c r="AT118" i="75"/>
  <c r="FV118" i="75" s="1"/>
  <c r="AS118" i="75"/>
  <c r="FU118" i="75" s="1"/>
  <c r="AR118" i="75"/>
  <c r="AQ118" i="75"/>
  <c r="AP118" i="75" s="1"/>
  <c r="FR118" i="75" s="1"/>
  <c r="AN118" i="75"/>
  <c r="AM118" i="75"/>
  <c r="FO118" i="75" s="1"/>
  <c r="AL118" i="75"/>
  <c r="FN118" i="75" s="1"/>
  <c r="AK118" i="75"/>
  <c r="FM118" i="75" s="1"/>
  <c r="AJ118" i="75"/>
  <c r="FL118" i="75" s="1"/>
  <c r="AI118" i="75"/>
  <c r="FK118" i="75" s="1"/>
  <c r="AH118" i="75"/>
  <c r="FJ118" i="75" s="1"/>
  <c r="AG118" i="75"/>
  <c r="FI118" i="75" s="1"/>
  <c r="AF118" i="75"/>
  <c r="FH118" i="75" s="1"/>
  <c r="AC118" i="75"/>
  <c r="AD118" i="75" s="1"/>
  <c r="FF118" i="75" s="1"/>
  <c r="AB118" i="75"/>
  <c r="FD118" i="75" s="1"/>
  <c r="AA118" i="75"/>
  <c r="FC118" i="75" s="1"/>
  <c r="Z118" i="75"/>
  <c r="FB118" i="75" s="1"/>
  <c r="Y118" i="75"/>
  <c r="FA118" i="75" s="1"/>
  <c r="X118" i="75"/>
  <c r="EZ118" i="75" s="1"/>
  <c r="W118" i="75"/>
  <c r="EY118" i="75" s="1"/>
  <c r="V118" i="75"/>
  <c r="EX118" i="75" s="1"/>
  <c r="U118" i="75"/>
  <c r="EW118" i="75" s="1"/>
  <c r="EV118" i="75" s="1"/>
  <c r="S118" i="75"/>
  <c r="T118" i="75" s="1"/>
  <c r="EU118" i="75" s="1"/>
  <c r="R118" i="75"/>
  <c r="ES118" i="75" s="1"/>
  <c r="Q118" i="75"/>
  <c r="ER118" i="75" s="1"/>
  <c r="P118" i="75"/>
  <c r="EQ118" i="75" s="1"/>
  <c r="O118" i="75"/>
  <c r="EP118" i="75" s="1"/>
  <c r="N118" i="75"/>
  <c r="EO118" i="75" s="1"/>
  <c r="M118" i="75"/>
  <c r="EN118" i="75" s="1"/>
  <c r="L118" i="75"/>
  <c r="EM118" i="75" s="1"/>
  <c r="K118" i="75"/>
  <c r="EL118" i="75" s="1"/>
  <c r="EK118" i="75" s="1"/>
  <c r="J118" i="75"/>
  <c r="F118" i="75"/>
  <c r="D118" i="75"/>
  <c r="GA117" i="75"/>
  <c r="EI117" i="75"/>
  <c r="EJ117" i="75" s="1"/>
  <c r="EH117" i="75"/>
  <c r="EG117" i="75"/>
  <c r="EF117" i="75"/>
  <c r="EE117" i="75"/>
  <c r="ED117" i="75"/>
  <c r="EC117" i="75"/>
  <c r="EB117" i="75"/>
  <c r="EA117" i="75"/>
  <c r="DZ117" i="75" s="1"/>
  <c r="DB117" i="75"/>
  <c r="DC117" i="75" s="1"/>
  <c r="DA117" i="75"/>
  <c r="CZ117" i="75"/>
  <c r="CY117" i="75"/>
  <c r="CX117" i="75"/>
  <c r="CW117" i="75"/>
  <c r="CV117" i="75"/>
  <c r="CU117" i="75"/>
  <c r="CT117" i="75"/>
  <c r="CS117" i="75" s="1"/>
  <c r="CQ117" i="75"/>
  <c r="CR117" i="75" s="1"/>
  <c r="CP117" i="75"/>
  <c r="CO117" i="75"/>
  <c r="CN117" i="75"/>
  <c r="CM117" i="75"/>
  <c r="CL117" i="75"/>
  <c r="CK117" i="75"/>
  <c r="CJ117" i="75"/>
  <c r="CI117" i="75"/>
  <c r="CH117" i="75" s="1"/>
  <c r="CF117" i="75"/>
  <c r="CG117" i="75" s="1"/>
  <c r="CE117" i="75"/>
  <c r="CD117" i="75"/>
  <c r="CC117" i="75"/>
  <c r="CB117" i="75"/>
  <c r="CA117" i="75"/>
  <c r="BZ117" i="75"/>
  <c r="BY117" i="75"/>
  <c r="BX117" i="75"/>
  <c r="BW117" i="75" s="1"/>
  <c r="BU117" i="75"/>
  <c r="BV117" i="75" s="1"/>
  <c r="BT117" i="75"/>
  <c r="BS117" i="75"/>
  <c r="BR117" i="75"/>
  <c r="BQ117" i="75"/>
  <c r="BP117" i="75"/>
  <c r="BO117" i="75"/>
  <c r="BN117" i="75"/>
  <c r="BM117" i="75"/>
  <c r="BL117" i="75" s="1"/>
  <c r="BJ117" i="75"/>
  <c r="GL117" i="75" s="1"/>
  <c r="BI117" i="75"/>
  <c r="GK117" i="75" s="1"/>
  <c r="BH117" i="75"/>
  <c r="GJ117" i="75" s="1"/>
  <c r="BG117" i="75"/>
  <c r="GI117" i="75" s="1"/>
  <c r="BF117" i="75"/>
  <c r="GH117" i="75" s="1"/>
  <c r="BE117" i="75"/>
  <c r="GG117" i="75" s="1"/>
  <c r="BD117" i="75"/>
  <c r="GF117" i="75" s="1"/>
  <c r="BC117" i="75"/>
  <c r="GE117" i="75" s="1"/>
  <c r="BB117" i="75"/>
  <c r="AY117" i="75"/>
  <c r="AZ117" i="75" s="1"/>
  <c r="GB117" i="75" s="1"/>
  <c r="AX117" i="75"/>
  <c r="FZ117" i="75" s="1"/>
  <c r="AW117" i="75"/>
  <c r="FY117" i="75" s="1"/>
  <c r="AV117" i="75"/>
  <c r="FX117" i="75" s="1"/>
  <c r="AU117" i="75"/>
  <c r="FW117" i="75" s="1"/>
  <c r="AT117" i="75"/>
  <c r="FV117" i="75" s="1"/>
  <c r="AS117" i="75"/>
  <c r="FU117" i="75" s="1"/>
  <c r="AR117" i="75"/>
  <c r="FT117" i="75" s="1"/>
  <c r="AQ117" i="75"/>
  <c r="AN117" i="75"/>
  <c r="AM117" i="75"/>
  <c r="FO117" i="75" s="1"/>
  <c r="AL117" i="75"/>
  <c r="FN117" i="75" s="1"/>
  <c r="AK117" i="75"/>
  <c r="FM117" i="75" s="1"/>
  <c r="AJ117" i="75"/>
  <c r="FL117" i="75" s="1"/>
  <c r="AI117" i="75"/>
  <c r="FK117" i="75" s="1"/>
  <c r="AH117" i="75"/>
  <c r="FJ117" i="75" s="1"/>
  <c r="AG117" i="75"/>
  <c r="FI117" i="75" s="1"/>
  <c r="AF117" i="75"/>
  <c r="FH117" i="75" s="1"/>
  <c r="AE117" i="75"/>
  <c r="FG117" i="75" s="1"/>
  <c r="AC117" i="75"/>
  <c r="AD117" i="75" s="1"/>
  <c r="FF117" i="75" s="1"/>
  <c r="AB117" i="75"/>
  <c r="FD117" i="75" s="1"/>
  <c r="AA117" i="75"/>
  <c r="FC117" i="75" s="1"/>
  <c r="Z117" i="75"/>
  <c r="FB117" i="75" s="1"/>
  <c r="Y117" i="75"/>
  <c r="FA117" i="75" s="1"/>
  <c r="X117" i="75"/>
  <c r="EZ117" i="75" s="1"/>
  <c r="W117" i="75"/>
  <c r="EY117" i="75" s="1"/>
  <c r="V117" i="75"/>
  <c r="EX117" i="75" s="1"/>
  <c r="U117" i="75"/>
  <c r="EW117" i="75" s="1"/>
  <c r="EV117" i="75" s="1"/>
  <c r="S117" i="75"/>
  <c r="R117" i="75"/>
  <c r="ES117" i="75" s="1"/>
  <c r="Q117" i="75"/>
  <c r="ER117" i="75" s="1"/>
  <c r="P117" i="75"/>
  <c r="EQ117" i="75" s="1"/>
  <c r="O117" i="75"/>
  <c r="EP117" i="75" s="1"/>
  <c r="N117" i="75"/>
  <c r="EO117" i="75" s="1"/>
  <c r="M117" i="75"/>
  <c r="EN117" i="75" s="1"/>
  <c r="L117" i="75"/>
  <c r="EM117" i="75" s="1"/>
  <c r="K117" i="75"/>
  <c r="EL117" i="75" s="1"/>
  <c r="EK117" i="75" s="1"/>
  <c r="J117" i="75"/>
  <c r="F117" i="75"/>
  <c r="D117" i="75"/>
  <c r="GI116" i="75"/>
  <c r="GG116" i="75"/>
  <c r="EI116" i="75"/>
  <c r="EJ116" i="75" s="1"/>
  <c r="EH116" i="75"/>
  <c r="EG116" i="75"/>
  <c r="EF116" i="75"/>
  <c r="EE116" i="75"/>
  <c r="ED116" i="75"/>
  <c r="EC116" i="75"/>
  <c r="EB116" i="75"/>
  <c r="EA116" i="75"/>
  <c r="DZ116" i="75" s="1"/>
  <c r="DB116" i="75"/>
  <c r="DC116" i="75" s="1"/>
  <c r="DA116" i="75"/>
  <c r="CZ116" i="75"/>
  <c r="CY116" i="75"/>
  <c r="CX116" i="75"/>
  <c r="CW116" i="75"/>
  <c r="CV116" i="75"/>
  <c r="CU116" i="75"/>
  <c r="CT116" i="75"/>
  <c r="CS116" i="75" s="1"/>
  <c r="CQ116" i="75"/>
  <c r="CR116" i="75" s="1"/>
  <c r="CP116" i="75"/>
  <c r="CO116" i="75"/>
  <c r="CN116" i="75"/>
  <c r="CM116" i="75"/>
  <c r="CL116" i="75"/>
  <c r="CK116" i="75"/>
  <c r="CJ116" i="75"/>
  <c r="CI116" i="75"/>
  <c r="CH116" i="75" s="1"/>
  <c r="CF116" i="75"/>
  <c r="CG116" i="75" s="1"/>
  <c r="CE116" i="75"/>
  <c r="CD116" i="75"/>
  <c r="CC116" i="75"/>
  <c r="CB116" i="75"/>
  <c r="CA116" i="75"/>
  <c r="BZ116" i="75"/>
  <c r="BY116" i="75"/>
  <c r="BX116" i="75"/>
  <c r="BW116" i="75" s="1"/>
  <c r="BU116" i="75"/>
  <c r="BV116" i="75" s="1"/>
  <c r="BT116" i="75"/>
  <c r="BS116" i="75"/>
  <c r="BR116" i="75"/>
  <c r="BQ116" i="75"/>
  <c r="BP116" i="75"/>
  <c r="BO116" i="75"/>
  <c r="BN116" i="75"/>
  <c r="BM116" i="75"/>
  <c r="BL116" i="75" s="1"/>
  <c r="BJ116" i="75"/>
  <c r="BI116" i="75"/>
  <c r="GK116" i="75" s="1"/>
  <c r="BH116" i="75"/>
  <c r="GJ116" i="75" s="1"/>
  <c r="BG116" i="75"/>
  <c r="BF116" i="75"/>
  <c r="GH116" i="75" s="1"/>
  <c r="BE116" i="75"/>
  <c r="BD116" i="75"/>
  <c r="GF116" i="75" s="1"/>
  <c r="BC116" i="75"/>
  <c r="GE116" i="75" s="1"/>
  <c r="BB116" i="75"/>
  <c r="GD116" i="75" s="1"/>
  <c r="AY116" i="75"/>
  <c r="AZ116" i="75" s="1"/>
  <c r="GB116" i="75" s="1"/>
  <c r="AX116" i="75"/>
  <c r="FZ116" i="75" s="1"/>
  <c r="AW116" i="75"/>
  <c r="FY116" i="75" s="1"/>
  <c r="AV116" i="75"/>
  <c r="FX116" i="75" s="1"/>
  <c r="AU116" i="75"/>
  <c r="FW116" i="75" s="1"/>
  <c r="AT116" i="75"/>
  <c r="FV116" i="75" s="1"/>
  <c r="AS116" i="75"/>
  <c r="FU116" i="75" s="1"/>
  <c r="AR116" i="75"/>
  <c r="FT116" i="75" s="1"/>
  <c r="AQ116" i="75"/>
  <c r="AP116" i="75" s="1"/>
  <c r="FR116" i="75" s="1"/>
  <c r="AN116" i="75"/>
  <c r="AM116" i="75"/>
  <c r="FO116" i="75" s="1"/>
  <c r="AL116" i="75"/>
  <c r="FN116" i="75" s="1"/>
  <c r="AK116" i="75"/>
  <c r="FM116" i="75" s="1"/>
  <c r="AJ116" i="75"/>
  <c r="FL116" i="75" s="1"/>
  <c r="AI116" i="75"/>
  <c r="FK116" i="75" s="1"/>
  <c r="AH116" i="75"/>
  <c r="FJ116" i="75" s="1"/>
  <c r="AG116" i="75"/>
  <c r="FI116" i="75" s="1"/>
  <c r="AF116" i="75"/>
  <c r="FH116" i="75" s="1"/>
  <c r="AC116" i="75"/>
  <c r="AB116" i="75"/>
  <c r="FD116" i="75" s="1"/>
  <c r="AA116" i="75"/>
  <c r="FC116" i="75" s="1"/>
  <c r="Z116" i="75"/>
  <c r="FB116" i="75" s="1"/>
  <c r="Y116" i="75"/>
  <c r="FA116" i="75" s="1"/>
  <c r="X116" i="75"/>
  <c r="EZ116" i="75" s="1"/>
  <c r="W116" i="75"/>
  <c r="EY116" i="75" s="1"/>
  <c r="V116" i="75"/>
  <c r="EX116" i="75" s="1"/>
  <c r="U116" i="75"/>
  <c r="EW116" i="75" s="1"/>
  <c r="EV116" i="75" s="1"/>
  <c r="S116" i="75"/>
  <c r="R116" i="75"/>
  <c r="ES116" i="75" s="1"/>
  <c r="Q116" i="75"/>
  <c r="ER116" i="75" s="1"/>
  <c r="P116" i="75"/>
  <c r="EQ116" i="75" s="1"/>
  <c r="O116" i="75"/>
  <c r="EP116" i="75" s="1"/>
  <c r="N116" i="75"/>
  <c r="EO116" i="75" s="1"/>
  <c r="M116" i="75"/>
  <c r="EN116" i="75" s="1"/>
  <c r="L116" i="75"/>
  <c r="EM116" i="75" s="1"/>
  <c r="K116" i="75"/>
  <c r="EL116" i="75" s="1"/>
  <c r="EK116" i="75" s="1"/>
  <c r="J116" i="75"/>
  <c r="F116" i="75"/>
  <c r="D116" i="75"/>
  <c r="EI115" i="75"/>
  <c r="EJ115" i="75" s="1"/>
  <c r="EH115" i="75"/>
  <c r="EG115" i="75"/>
  <c r="EF115" i="75"/>
  <c r="EE115" i="75"/>
  <c r="ED115" i="75"/>
  <c r="EC115" i="75"/>
  <c r="EB115" i="75"/>
  <c r="EA115" i="75"/>
  <c r="DZ115" i="75" s="1"/>
  <c r="DB115" i="75"/>
  <c r="DC115" i="75" s="1"/>
  <c r="DA115" i="75"/>
  <c r="CZ115" i="75"/>
  <c r="CY115" i="75"/>
  <c r="CX115" i="75"/>
  <c r="CW115" i="75"/>
  <c r="CV115" i="75"/>
  <c r="CU115" i="75"/>
  <c r="CT115" i="75"/>
  <c r="CS115" i="75" s="1"/>
  <c r="CQ115" i="75"/>
  <c r="CR115" i="75" s="1"/>
  <c r="CP115" i="75"/>
  <c r="CO115" i="75"/>
  <c r="CN115" i="75"/>
  <c r="CM115" i="75"/>
  <c r="CL115" i="75"/>
  <c r="CK115" i="75"/>
  <c r="CJ115" i="75"/>
  <c r="CI115" i="75"/>
  <c r="CH115" i="75" s="1"/>
  <c r="CF115" i="75"/>
  <c r="CG115" i="75" s="1"/>
  <c r="CE115" i="75"/>
  <c r="CD115" i="75"/>
  <c r="CC115" i="75"/>
  <c r="CB115" i="75"/>
  <c r="CA115" i="75"/>
  <c r="BZ115" i="75"/>
  <c r="BY115" i="75"/>
  <c r="BX115" i="75"/>
  <c r="BW115" i="75" s="1"/>
  <c r="BU115" i="75"/>
  <c r="BV115" i="75" s="1"/>
  <c r="BT115" i="75"/>
  <c r="BS115" i="75"/>
  <c r="BR115" i="75"/>
  <c r="BQ115" i="75"/>
  <c r="BP115" i="75"/>
  <c r="BO115" i="75"/>
  <c r="BN115" i="75"/>
  <c r="BM115" i="75"/>
  <c r="BL115" i="75" s="1"/>
  <c r="BJ115" i="75"/>
  <c r="BK115" i="75" s="1"/>
  <c r="GM115" i="75" s="1"/>
  <c r="BI115" i="75"/>
  <c r="GK115" i="75" s="1"/>
  <c r="BH115" i="75"/>
  <c r="GJ115" i="75" s="1"/>
  <c r="BG115" i="75"/>
  <c r="GI115" i="75" s="1"/>
  <c r="BF115" i="75"/>
  <c r="GH115" i="75" s="1"/>
  <c r="BE115" i="75"/>
  <c r="GG115" i="75" s="1"/>
  <c r="BD115" i="75"/>
  <c r="GF115" i="75" s="1"/>
  <c r="BC115" i="75"/>
  <c r="GE115" i="75" s="1"/>
  <c r="BB115" i="75"/>
  <c r="GD115" i="75" s="1"/>
  <c r="AY115" i="75"/>
  <c r="GA115" i="75" s="1"/>
  <c r="AX115" i="75"/>
  <c r="FZ115" i="75" s="1"/>
  <c r="AW115" i="75"/>
  <c r="FY115" i="75" s="1"/>
  <c r="AV115" i="75"/>
  <c r="FX115" i="75" s="1"/>
  <c r="AU115" i="75"/>
  <c r="FW115" i="75" s="1"/>
  <c r="AT115" i="75"/>
  <c r="FV115" i="75" s="1"/>
  <c r="AS115" i="75"/>
  <c r="FU115" i="75" s="1"/>
  <c r="AR115" i="75"/>
  <c r="FT115" i="75" s="1"/>
  <c r="AQ115" i="75"/>
  <c r="AN115" i="75"/>
  <c r="AO115" i="75" s="1"/>
  <c r="FQ115" i="75" s="1"/>
  <c r="AM115" i="75"/>
  <c r="FO115" i="75" s="1"/>
  <c r="AL115" i="75"/>
  <c r="FN115" i="75" s="1"/>
  <c r="AK115" i="75"/>
  <c r="FM115" i="75" s="1"/>
  <c r="AJ115" i="75"/>
  <c r="FL115" i="75" s="1"/>
  <c r="AI115" i="75"/>
  <c r="FK115" i="75" s="1"/>
  <c r="AH115" i="75"/>
  <c r="FJ115" i="75" s="1"/>
  <c r="AG115" i="75"/>
  <c r="FI115" i="75" s="1"/>
  <c r="AF115" i="75"/>
  <c r="AC115" i="75"/>
  <c r="AD115" i="75" s="1"/>
  <c r="FF115" i="75" s="1"/>
  <c r="AB115" i="75"/>
  <c r="FD115" i="75" s="1"/>
  <c r="AA115" i="75"/>
  <c r="FC115" i="75" s="1"/>
  <c r="Z115" i="75"/>
  <c r="FB115" i="75" s="1"/>
  <c r="Y115" i="75"/>
  <c r="FA115" i="75" s="1"/>
  <c r="X115" i="75"/>
  <c r="EZ115" i="75" s="1"/>
  <c r="W115" i="75"/>
  <c r="EY115" i="75" s="1"/>
  <c r="V115" i="75"/>
  <c r="EX115" i="75" s="1"/>
  <c r="U115" i="75"/>
  <c r="EW115" i="75" s="1"/>
  <c r="EV115" i="75" s="1"/>
  <c r="S115" i="75"/>
  <c r="R115" i="75"/>
  <c r="ES115" i="75" s="1"/>
  <c r="Q115" i="75"/>
  <c r="ER115" i="75" s="1"/>
  <c r="P115" i="75"/>
  <c r="EQ115" i="75" s="1"/>
  <c r="O115" i="75"/>
  <c r="EP115" i="75" s="1"/>
  <c r="N115" i="75"/>
  <c r="EO115" i="75" s="1"/>
  <c r="M115" i="75"/>
  <c r="EN115" i="75" s="1"/>
  <c r="L115" i="75"/>
  <c r="EM115" i="75" s="1"/>
  <c r="K115" i="75"/>
  <c r="EL115" i="75" s="1"/>
  <c r="EK115" i="75" s="1"/>
  <c r="J115" i="75"/>
  <c r="F115" i="75"/>
  <c r="D115" i="75"/>
  <c r="EI114" i="75"/>
  <c r="EJ114" i="75" s="1"/>
  <c r="EH114" i="75"/>
  <c r="EG114" i="75"/>
  <c r="EF114" i="75"/>
  <c r="EE114" i="75"/>
  <c r="ED114" i="75"/>
  <c r="EC114" i="75"/>
  <c r="EB114" i="75"/>
  <c r="EA114" i="75"/>
  <c r="DZ114" i="75" s="1"/>
  <c r="DB114" i="75"/>
  <c r="DC114" i="75" s="1"/>
  <c r="DA114" i="75"/>
  <c r="CZ114" i="75"/>
  <c r="CY114" i="75"/>
  <c r="CX114" i="75"/>
  <c r="CW114" i="75"/>
  <c r="CV114" i="75"/>
  <c r="CU114" i="75"/>
  <c r="CT114" i="75"/>
  <c r="CS114" i="75" s="1"/>
  <c r="CQ114" i="75"/>
  <c r="CR114" i="75" s="1"/>
  <c r="CP114" i="75"/>
  <c r="CO114" i="75"/>
  <c r="CN114" i="75"/>
  <c r="CM114" i="75"/>
  <c r="CL114" i="75"/>
  <c r="CK114" i="75"/>
  <c r="CJ114" i="75"/>
  <c r="CI114" i="75"/>
  <c r="CH114" i="75" s="1"/>
  <c r="CF114" i="75"/>
  <c r="CG114" i="75" s="1"/>
  <c r="CE114" i="75"/>
  <c r="CD114" i="75"/>
  <c r="CC114" i="75"/>
  <c r="CB114" i="75"/>
  <c r="CA114" i="75"/>
  <c r="BZ114" i="75"/>
  <c r="BY114" i="75"/>
  <c r="BX114" i="75"/>
  <c r="BW114" i="75" s="1"/>
  <c r="BU114" i="75"/>
  <c r="BV114" i="75" s="1"/>
  <c r="BT114" i="75"/>
  <c r="BS114" i="75"/>
  <c r="BR114" i="75"/>
  <c r="BQ114" i="75"/>
  <c r="BP114" i="75"/>
  <c r="BO114" i="75"/>
  <c r="BN114" i="75"/>
  <c r="BM114" i="75"/>
  <c r="BL114" i="75" s="1"/>
  <c r="BJ114" i="75"/>
  <c r="GL114" i="75" s="1"/>
  <c r="BI114" i="75"/>
  <c r="GK114" i="75" s="1"/>
  <c r="BH114" i="75"/>
  <c r="GJ114" i="75" s="1"/>
  <c r="BG114" i="75"/>
  <c r="GI114" i="75" s="1"/>
  <c r="BF114" i="75"/>
  <c r="GH114" i="75" s="1"/>
  <c r="BE114" i="75"/>
  <c r="GG114" i="75" s="1"/>
  <c r="BD114" i="75"/>
  <c r="GF114" i="75" s="1"/>
  <c r="BC114" i="75"/>
  <c r="GE114" i="75" s="1"/>
  <c r="BB114" i="75"/>
  <c r="GD114" i="75" s="1"/>
  <c r="AY114" i="75"/>
  <c r="AX114" i="75"/>
  <c r="FZ114" i="75" s="1"/>
  <c r="AW114" i="75"/>
  <c r="FY114" i="75" s="1"/>
  <c r="AV114" i="75"/>
  <c r="FX114" i="75" s="1"/>
  <c r="AU114" i="75"/>
  <c r="FW114" i="75" s="1"/>
  <c r="AT114" i="75"/>
  <c r="FV114" i="75" s="1"/>
  <c r="AS114" i="75"/>
  <c r="FU114" i="75" s="1"/>
  <c r="AR114" i="75"/>
  <c r="FT114" i="75" s="1"/>
  <c r="AQ114" i="75"/>
  <c r="FS114" i="75" s="1"/>
  <c r="AN114" i="75"/>
  <c r="AM114" i="75"/>
  <c r="FO114" i="75" s="1"/>
  <c r="AL114" i="75"/>
  <c r="FN114" i="75" s="1"/>
  <c r="AK114" i="75"/>
  <c r="FM114" i="75" s="1"/>
  <c r="AJ114" i="75"/>
  <c r="FL114" i="75" s="1"/>
  <c r="AI114" i="75"/>
  <c r="FK114" i="75" s="1"/>
  <c r="AH114" i="75"/>
  <c r="FJ114" i="75" s="1"/>
  <c r="AG114" i="75"/>
  <c r="FI114" i="75" s="1"/>
  <c r="AF114" i="75"/>
  <c r="AE114" i="75" s="1"/>
  <c r="FG114" i="75" s="1"/>
  <c r="AC114" i="75"/>
  <c r="FE114" i="75" s="1"/>
  <c r="AB114" i="75"/>
  <c r="FD114" i="75" s="1"/>
  <c r="AA114" i="75"/>
  <c r="FC114" i="75" s="1"/>
  <c r="Z114" i="75"/>
  <c r="FB114" i="75" s="1"/>
  <c r="Y114" i="75"/>
  <c r="FA114" i="75" s="1"/>
  <c r="X114" i="75"/>
  <c r="EZ114" i="75" s="1"/>
  <c r="W114" i="75"/>
  <c r="EY114" i="75" s="1"/>
  <c r="V114" i="75"/>
  <c r="EX114" i="75" s="1"/>
  <c r="U114" i="75"/>
  <c r="EW114" i="75" s="1"/>
  <c r="EV114" i="75" s="1"/>
  <c r="S114" i="75"/>
  <c r="ET114" i="75" s="1"/>
  <c r="R114" i="75"/>
  <c r="ES114" i="75" s="1"/>
  <c r="Q114" i="75"/>
  <c r="ER114" i="75" s="1"/>
  <c r="P114" i="75"/>
  <c r="EQ114" i="75" s="1"/>
  <c r="O114" i="75"/>
  <c r="EP114" i="75" s="1"/>
  <c r="N114" i="75"/>
  <c r="EO114" i="75" s="1"/>
  <c r="M114" i="75"/>
  <c r="EN114" i="75" s="1"/>
  <c r="L114" i="75"/>
  <c r="EM114" i="75" s="1"/>
  <c r="K114" i="75"/>
  <c r="EL114" i="75" s="1"/>
  <c r="EK114" i="75" s="1"/>
  <c r="J114" i="75"/>
  <c r="F114" i="75"/>
  <c r="D114" i="75"/>
  <c r="EI113" i="75"/>
  <c r="EJ113" i="75" s="1"/>
  <c r="EH113" i="75"/>
  <c r="EG113" i="75"/>
  <c r="EF113" i="75"/>
  <c r="EE113" i="75"/>
  <c r="ED113" i="75"/>
  <c r="EC113" i="75"/>
  <c r="EB113" i="75"/>
  <c r="EA113" i="75"/>
  <c r="DZ113" i="75" s="1"/>
  <c r="DB113" i="75"/>
  <c r="DC113" i="75" s="1"/>
  <c r="DA113" i="75"/>
  <c r="CZ113" i="75"/>
  <c r="CY113" i="75"/>
  <c r="CX113" i="75"/>
  <c r="CW113" i="75"/>
  <c r="CV113" i="75"/>
  <c r="CU113" i="75"/>
  <c r="CT113" i="75"/>
  <c r="CS113" i="75" s="1"/>
  <c r="CQ113" i="75"/>
  <c r="CR113" i="75" s="1"/>
  <c r="CP113" i="75"/>
  <c r="CO113" i="75"/>
  <c r="CN113" i="75"/>
  <c r="CM113" i="75"/>
  <c r="CL113" i="75"/>
  <c r="CK113" i="75"/>
  <c r="CJ113" i="75"/>
  <c r="CI113" i="75"/>
  <c r="CH113" i="75" s="1"/>
  <c r="CF113" i="75"/>
  <c r="CG113" i="75" s="1"/>
  <c r="CE113" i="75"/>
  <c r="CD113" i="75"/>
  <c r="CC113" i="75"/>
  <c r="CB113" i="75"/>
  <c r="CA113" i="75"/>
  <c r="BZ113" i="75"/>
  <c r="BY113" i="75"/>
  <c r="BX113" i="75"/>
  <c r="BW113" i="75" s="1"/>
  <c r="BU113" i="75"/>
  <c r="BV113" i="75" s="1"/>
  <c r="BT113" i="75"/>
  <c r="BS113" i="75"/>
  <c r="BR113" i="75"/>
  <c r="BQ113" i="75"/>
  <c r="BP113" i="75"/>
  <c r="BO113" i="75"/>
  <c r="BN113" i="75"/>
  <c r="BM113" i="75"/>
  <c r="BL113" i="75" s="1"/>
  <c r="BJ113" i="75"/>
  <c r="BK113" i="75" s="1"/>
  <c r="GM113" i="75" s="1"/>
  <c r="BI113" i="75"/>
  <c r="GK113" i="75" s="1"/>
  <c r="BH113" i="75"/>
  <c r="GJ113" i="75" s="1"/>
  <c r="BG113" i="75"/>
  <c r="GI113" i="75" s="1"/>
  <c r="BF113" i="75"/>
  <c r="GH113" i="75" s="1"/>
  <c r="BE113" i="75"/>
  <c r="GG113" i="75" s="1"/>
  <c r="BD113" i="75"/>
  <c r="GF113" i="75" s="1"/>
  <c r="BC113" i="75"/>
  <c r="GE113" i="75" s="1"/>
  <c r="BB113" i="75"/>
  <c r="GD113" i="75" s="1"/>
  <c r="AY113" i="75"/>
  <c r="AX113" i="75"/>
  <c r="FZ113" i="75" s="1"/>
  <c r="AW113" i="75"/>
  <c r="FY113" i="75" s="1"/>
  <c r="AV113" i="75"/>
  <c r="FX113" i="75" s="1"/>
  <c r="AU113" i="75"/>
  <c r="FW113" i="75" s="1"/>
  <c r="AT113" i="75"/>
  <c r="FV113" i="75" s="1"/>
  <c r="AS113" i="75"/>
  <c r="FU113" i="75" s="1"/>
  <c r="AR113" i="75"/>
  <c r="FT113" i="75" s="1"/>
  <c r="AQ113" i="75"/>
  <c r="FS113" i="75" s="1"/>
  <c r="AN113" i="75"/>
  <c r="AO113" i="75" s="1"/>
  <c r="FQ113" i="75" s="1"/>
  <c r="AM113" i="75"/>
  <c r="FO113" i="75" s="1"/>
  <c r="AL113" i="75"/>
  <c r="FN113" i="75" s="1"/>
  <c r="AK113" i="75"/>
  <c r="FM113" i="75" s="1"/>
  <c r="AJ113" i="75"/>
  <c r="FL113" i="75" s="1"/>
  <c r="AI113" i="75"/>
  <c r="FK113" i="75" s="1"/>
  <c r="AH113" i="75"/>
  <c r="FJ113" i="75" s="1"/>
  <c r="AG113" i="75"/>
  <c r="FI113" i="75" s="1"/>
  <c r="AF113" i="75"/>
  <c r="FH113" i="75" s="1"/>
  <c r="AE113" i="75"/>
  <c r="FG113" i="75" s="1"/>
  <c r="AC113" i="75"/>
  <c r="AD113" i="75" s="1"/>
  <c r="FF113" i="75" s="1"/>
  <c r="AB113" i="75"/>
  <c r="FD113" i="75" s="1"/>
  <c r="AA113" i="75"/>
  <c r="FC113" i="75" s="1"/>
  <c r="Z113" i="75"/>
  <c r="FB113" i="75" s="1"/>
  <c r="Y113" i="75"/>
  <c r="FA113" i="75" s="1"/>
  <c r="X113" i="75"/>
  <c r="EZ113" i="75" s="1"/>
  <c r="W113" i="75"/>
  <c r="EY113" i="75" s="1"/>
  <c r="V113" i="75"/>
  <c r="EX113" i="75" s="1"/>
  <c r="U113" i="75"/>
  <c r="EW113" i="75" s="1"/>
  <c r="EV113" i="75" s="1"/>
  <c r="S113" i="75"/>
  <c r="T113" i="75" s="1"/>
  <c r="EU113" i="75" s="1"/>
  <c r="R113" i="75"/>
  <c r="ES113" i="75" s="1"/>
  <c r="Q113" i="75"/>
  <c r="ER113" i="75" s="1"/>
  <c r="P113" i="75"/>
  <c r="EQ113" i="75" s="1"/>
  <c r="O113" i="75"/>
  <c r="EP113" i="75" s="1"/>
  <c r="N113" i="75"/>
  <c r="EO113" i="75" s="1"/>
  <c r="M113" i="75"/>
  <c r="EN113" i="75" s="1"/>
  <c r="L113" i="75"/>
  <c r="EM113" i="75" s="1"/>
  <c r="K113" i="75"/>
  <c r="EL113" i="75" s="1"/>
  <c r="EK113" i="75" s="1"/>
  <c r="J113" i="75"/>
  <c r="F113" i="75"/>
  <c r="D113" i="75"/>
  <c r="EI112" i="75"/>
  <c r="EJ112" i="75" s="1"/>
  <c r="EH112" i="75"/>
  <c r="EG112" i="75"/>
  <c r="EF112" i="75"/>
  <c r="EE112" i="75"/>
  <c r="ED112" i="75"/>
  <c r="EC112" i="75"/>
  <c r="EB112" i="75"/>
  <c r="EA112" i="75"/>
  <c r="DZ112" i="75" s="1"/>
  <c r="DB112" i="75"/>
  <c r="DC112" i="75" s="1"/>
  <c r="DA112" i="75"/>
  <c r="CZ112" i="75"/>
  <c r="CY112" i="75"/>
  <c r="CX112" i="75"/>
  <c r="CW112" i="75"/>
  <c r="CV112" i="75"/>
  <c r="CU112" i="75"/>
  <c r="CT112" i="75"/>
  <c r="CS112" i="75" s="1"/>
  <c r="CQ112" i="75"/>
  <c r="CR112" i="75" s="1"/>
  <c r="CP112" i="75"/>
  <c r="CO112" i="75"/>
  <c r="CN112" i="75"/>
  <c r="CM112" i="75"/>
  <c r="CL112" i="75"/>
  <c r="CK112" i="75"/>
  <c r="CJ112" i="75"/>
  <c r="CI112" i="75"/>
  <c r="CH112" i="75" s="1"/>
  <c r="CF112" i="75"/>
  <c r="CG112" i="75" s="1"/>
  <c r="CE112" i="75"/>
  <c r="CD112" i="75"/>
  <c r="CC112" i="75"/>
  <c r="CB112" i="75"/>
  <c r="CA112" i="75"/>
  <c r="BZ112" i="75"/>
  <c r="BY112" i="75"/>
  <c r="BX112" i="75"/>
  <c r="BW112" i="75"/>
  <c r="BU112" i="75"/>
  <c r="BV112" i="75" s="1"/>
  <c r="BT112" i="75"/>
  <c r="BS112" i="75"/>
  <c r="BR112" i="75"/>
  <c r="BQ112" i="75"/>
  <c r="BP112" i="75"/>
  <c r="BO112" i="75"/>
  <c r="BN112" i="75"/>
  <c r="BM112" i="75"/>
  <c r="BL112" i="75" s="1"/>
  <c r="BJ112" i="75"/>
  <c r="BK112" i="75" s="1"/>
  <c r="GM112" i="75" s="1"/>
  <c r="BI112" i="75"/>
  <c r="GK112" i="75" s="1"/>
  <c r="BH112" i="75"/>
  <c r="GJ112" i="75" s="1"/>
  <c r="BG112" i="75"/>
  <c r="GI112" i="75" s="1"/>
  <c r="BF112" i="75"/>
  <c r="GH112" i="75" s="1"/>
  <c r="BE112" i="75"/>
  <c r="GG112" i="75" s="1"/>
  <c r="BD112" i="75"/>
  <c r="GF112" i="75" s="1"/>
  <c r="BC112" i="75"/>
  <c r="GE112" i="75" s="1"/>
  <c r="BB112" i="75"/>
  <c r="BA112" i="75" s="1"/>
  <c r="GC112" i="75" s="1"/>
  <c r="AY112" i="75"/>
  <c r="GA112" i="75" s="1"/>
  <c r="AX112" i="75"/>
  <c r="FZ112" i="75" s="1"/>
  <c r="AW112" i="75"/>
  <c r="FY112" i="75" s="1"/>
  <c r="AV112" i="75"/>
  <c r="FX112" i="75" s="1"/>
  <c r="AU112" i="75"/>
  <c r="FW112" i="75" s="1"/>
  <c r="AT112" i="75"/>
  <c r="FV112" i="75" s="1"/>
  <c r="AS112" i="75"/>
  <c r="FU112" i="75" s="1"/>
  <c r="AR112" i="75"/>
  <c r="FT112" i="75" s="1"/>
  <c r="AQ112" i="75"/>
  <c r="AP112" i="75" s="1"/>
  <c r="FR112" i="75" s="1"/>
  <c r="AN112" i="75"/>
  <c r="FP112" i="75" s="1"/>
  <c r="AM112" i="75"/>
  <c r="FO112" i="75" s="1"/>
  <c r="AL112" i="75"/>
  <c r="FN112" i="75" s="1"/>
  <c r="AK112" i="75"/>
  <c r="FM112" i="75" s="1"/>
  <c r="AJ112" i="75"/>
  <c r="FL112" i="75" s="1"/>
  <c r="AI112" i="75"/>
  <c r="FK112" i="75" s="1"/>
  <c r="AH112" i="75"/>
  <c r="FJ112" i="75" s="1"/>
  <c r="AG112" i="75"/>
  <c r="FI112" i="75" s="1"/>
  <c r="AF112" i="75"/>
  <c r="AC112" i="75"/>
  <c r="AD112" i="75" s="1"/>
  <c r="FF112" i="75" s="1"/>
  <c r="AB112" i="75"/>
  <c r="FD112" i="75" s="1"/>
  <c r="AA112" i="75"/>
  <c r="FC112" i="75" s="1"/>
  <c r="Z112" i="75"/>
  <c r="FB112" i="75" s="1"/>
  <c r="Y112" i="75"/>
  <c r="FA112" i="75" s="1"/>
  <c r="X112" i="75"/>
  <c r="EZ112" i="75" s="1"/>
  <c r="W112" i="75"/>
  <c r="EY112" i="75" s="1"/>
  <c r="V112" i="75"/>
  <c r="EX112" i="75" s="1"/>
  <c r="U112" i="75"/>
  <c r="EW112" i="75" s="1"/>
  <c r="EV112" i="75" s="1"/>
  <c r="S112" i="75"/>
  <c r="ET112" i="75" s="1"/>
  <c r="R112" i="75"/>
  <c r="ES112" i="75" s="1"/>
  <c r="Q112" i="75"/>
  <c r="ER112" i="75" s="1"/>
  <c r="P112" i="75"/>
  <c r="EQ112" i="75" s="1"/>
  <c r="O112" i="75"/>
  <c r="EP112" i="75" s="1"/>
  <c r="N112" i="75"/>
  <c r="EO112" i="75" s="1"/>
  <c r="M112" i="75"/>
  <c r="EN112" i="75" s="1"/>
  <c r="L112" i="75"/>
  <c r="EM112" i="75" s="1"/>
  <c r="K112" i="75"/>
  <c r="EL112" i="75" s="1"/>
  <c r="EK112" i="75" s="1"/>
  <c r="J112" i="75"/>
  <c r="F112" i="75"/>
  <c r="D112" i="75"/>
  <c r="EW111" i="75"/>
  <c r="EV111" i="75" s="1"/>
  <c r="EI111" i="75"/>
  <c r="EJ111" i="75" s="1"/>
  <c r="EH111" i="75"/>
  <c r="EG111" i="75"/>
  <c r="EF111" i="75"/>
  <c r="EE111" i="75"/>
  <c r="ED111" i="75"/>
  <c r="EC111" i="75"/>
  <c r="EB111" i="75"/>
  <c r="EA111" i="75"/>
  <c r="DZ111" i="75" s="1"/>
  <c r="DB111" i="75"/>
  <c r="DC111" i="75" s="1"/>
  <c r="DA111" i="75"/>
  <c r="CZ111" i="75"/>
  <c r="CY111" i="75"/>
  <c r="CX111" i="75"/>
  <c r="CW111" i="75"/>
  <c r="CV111" i="75"/>
  <c r="CU111" i="75"/>
  <c r="CT111" i="75"/>
  <c r="CS111" i="75" s="1"/>
  <c r="CQ111" i="75"/>
  <c r="CR111" i="75" s="1"/>
  <c r="CP111" i="75"/>
  <c r="CO111" i="75"/>
  <c r="CN111" i="75"/>
  <c r="CM111" i="75"/>
  <c r="CL111" i="75"/>
  <c r="CK111" i="75"/>
  <c r="CJ111" i="75"/>
  <c r="CI111" i="75"/>
  <c r="CH111" i="75" s="1"/>
  <c r="CF111" i="75"/>
  <c r="CG111" i="75" s="1"/>
  <c r="CE111" i="75"/>
  <c r="CD111" i="75"/>
  <c r="CC111" i="75"/>
  <c r="CB111" i="75"/>
  <c r="CA111" i="75"/>
  <c r="BZ111" i="75"/>
  <c r="BY111" i="75"/>
  <c r="BX111" i="75"/>
  <c r="BW111" i="75" s="1"/>
  <c r="BU111" i="75"/>
  <c r="BV111" i="75" s="1"/>
  <c r="BT111" i="75"/>
  <c r="BS111" i="75"/>
  <c r="BR111" i="75"/>
  <c r="BQ111" i="75"/>
  <c r="BP111" i="75"/>
  <c r="BO111" i="75"/>
  <c r="BN111" i="75"/>
  <c r="BM111" i="75"/>
  <c r="BL111" i="75" s="1"/>
  <c r="BJ111" i="75"/>
  <c r="GL111" i="75" s="1"/>
  <c r="BI111" i="75"/>
  <c r="GK111" i="75" s="1"/>
  <c r="BH111" i="75"/>
  <c r="GJ111" i="75" s="1"/>
  <c r="BG111" i="75"/>
  <c r="GI111" i="75" s="1"/>
  <c r="BF111" i="75"/>
  <c r="GH111" i="75" s="1"/>
  <c r="BE111" i="75"/>
  <c r="GG111" i="75" s="1"/>
  <c r="BD111" i="75"/>
  <c r="GF111" i="75" s="1"/>
  <c r="BC111" i="75"/>
  <c r="GE111" i="75" s="1"/>
  <c r="BB111" i="75"/>
  <c r="BA111" i="75" s="1"/>
  <c r="GC111" i="75" s="1"/>
  <c r="AY111" i="75"/>
  <c r="AZ111" i="75" s="1"/>
  <c r="GB111" i="75" s="1"/>
  <c r="AX111" i="75"/>
  <c r="FZ111" i="75" s="1"/>
  <c r="AW111" i="75"/>
  <c r="FY111" i="75" s="1"/>
  <c r="AV111" i="75"/>
  <c r="FX111" i="75" s="1"/>
  <c r="AU111" i="75"/>
  <c r="FW111" i="75" s="1"/>
  <c r="AT111" i="75"/>
  <c r="FV111" i="75" s="1"/>
  <c r="AS111" i="75"/>
  <c r="FU111" i="75" s="1"/>
  <c r="AR111" i="75"/>
  <c r="FT111" i="75" s="1"/>
  <c r="AQ111" i="75"/>
  <c r="FS111" i="75" s="1"/>
  <c r="AN111" i="75"/>
  <c r="AM111" i="75"/>
  <c r="FO111" i="75" s="1"/>
  <c r="AL111" i="75"/>
  <c r="FN111" i="75" s="1"/>
  <c r="AK111" i="75"/>
  <c r="FM111" i="75" s="1"/>
  <c r="AJ111" i="75"/>
  <c r="FL111" i="75" s="1"/>
  <c r="AI111" i="75"/>
  <c r="FK111" i="75" s="1"/>
  <c r="AH111" i="75"/>
  <c r="FJ111" i="75" s="1"/>
  <c r="AG111" i="75"/>
  <c r="FI111" i="75" s="1"/>
  <c r="AF111" i="75"/>
  <c r="FH111" i="75" s="1"/>
  <c r="AC111" i="75"/>
  <c r="FE111" i="75" s="1"/>
  <c r="AB111" i="75"/>
  <c r="FD111" i="75" s="1"/>
  <c r="AA111" i="75"/>
  <c r="FC111" i="75" s="1"/>
  <c r="Z111" i="75"/>
  <c r="FB111" i="75" s="1"/>
  <c r="Y111" i="75"/>
  <c r="FA111" i="75" s="1"/>
  <c r="X111" i="75"/>
  <c r="EZ111" i="75" s="1"/>
  <c r="W111" i="75"/>
  <c r="EY111" i="75" s="1"/>
  <c r="V111" i="75"/>
  <c r="EX111" i="75" s="1"/>
  <c r="U111" i="75"/>
  <c r="S111" i="75"/>
  <c r="ET111" i="75" s="1"/>
  <c r="R111" i="75"/>
  <c r="ES111" i="75" s="1"/>
  <c r="Q111" i="75"/>
  <c r="ER111" i="75" s="1"/>
  <c r="P111" i="75"/>
  <c r="EQ111" i="75" s="1"/>
  <c r="O111" i="75"/>
  <c r="EP111" i="75" s="1"/>
  <c r="N111" i="75"/>
  <c r="EO111" i="75" s="1"/>
  <c r="M111" i="75"/>
  <c r="EN111" i="75" s="1"/>
  <c r="L111" i="75"/>
  <c r="EM111" i="75" s="1"/>
  <c r="K111" i="75"/>
  <c r="EL111" i="75" s="1"/>
  <c r="EK111" i="75" s="1"/>
  <c r="J111" i="75"/>
  <c r="F111" i="75"/>
  <c r="D111" i="75"/>
  <c r="EI110" i="75"/>
  <c r="EJ110" i="75" s="1"/>
  <c r="EH110" i="75"/>
  <c r="EG110" i="75"/>
  <c r="EF110" i="75"/>
  <c r="EE110" i="75"/>
  <c r="ED110" i="75"/>
  <c r="EC110" i="75"/>
  <c r="EB110" i="75"/>
  <c r="EA110" i="75"/>
  <c r="DZ110" i="75" s="1"/>
  <c r="DB110" i="75"/>
  <c r="DC110" i="75" s="1"/>
  <c r="DA110" i="75"/>
  <c r="CZ110" i="75"/>
  <c r="CY110" i="75"/>
  <c r="CX110" i="75"/>
  <c r="CW110" i="75"/>
  <c r="CV110" i="75"/>
  <c r="CU110" i="75"/>
  <c r="CT110" i="75"/>
  <c r="CS110" i="75" s="1"/>
  <c r="CQ110" i="75"/>
  <c r="CR110" i="75" s="1"/>
  <c r="CP110" i="75"/>
  <c r="CO110" i="75"/>
  <c r="CN110" i="75"/>
  <c r="CM110" i="75"/>
  <c r="CL110" i="75"/>
  <c r="CK110" i="75"/>
  <c r="CJ110" i="75"/>
  <c r="CI110" i="75"/>
  <c r="CH110" i="75" s="1"/>
  <c r="CF110" i="75"/>
  <c r="CG110" i="75" s="1"/>
  <c r="CE110" i="75"/>
  <c r="CD110" i="75"/>
  <c r="CC110" i="75"/>
  <c r="CB110" i="75"/>
  <c r="CA110" i="75"/>
  <c r="BZ110" i="75"/>
  <c r="BY110" i="75"/>
  <c r="BX110" i="75"/>
  <c r="BW110" i="75" s="1"/>
  <c r="BU110" i="75"/>
  <c r="BV110" i="75" s="1"/>
  <c r="BT110" i="75"/>
  <c r="BS110" i="75"/>
  <c r="BR110" i="75"/>
  <c r="BQ110" i="75"/>
  <c r="BP110" i="75"/>
  <c r="BO110" i="75"/>
  <c r="BN110" i="75"/>
  <c r="BM110" i="75"/>
  <c r="BL110" i="75" s="1"/>
  <c r="BJ110" i="75"/>
  <c r="GL110" i="75" s="1"/>
  <c r="BI110" i="75"/>
  <c r="GK110" i="75" s="1"/>
  <c r="BH110" i="75"/>
  <c r="GJ110" i="75" s="1"/>
  <c r="BG110" i="75"/>
  <c r="GI110" i="75" s="1"/>
  <c r="BF110" i="75"/>
  <c r="GH110" i="75" s="1"/>
  <c r="BE110" i="75"/>
  <c r="GG110" i="75" s="1"/>
  <c r="BD110" i="75"/>
  <c r="GF110" i="75" s="1"/>
  <c r="BC110" i="75"/>
  <c r="GE110" i="75" s="1"/>
  <c r="BB110" i="75"/>
  <c r="AY110" i="75"/>
  <c r="GA110" i="75" s="1"/>
  <c r="AX110" i="75"/>
  <c r="FZ110" i="75" s="1"/>
  <c r="AW110" i="75"/>
  <c r="FY110" i="75" s="1"/>
  <c r="AV110" i="75"/>
  <c r="FX110" i="75" s="1"/>
  <c r="AU110" i="75"/>
  <c r="FW110" i="75" s="1"/>
  <c r="AT110" i="75"/>
  <c r="FV110" i="75" s="1"/>
  <c r="AS110" i="75"/>
  <c r="FU110" i="75" s="1"/>
  <c r="AR110" i="75"/>
  <c r="FT110" i="75" s="1"/>
  <c r="AQ110" i="75"/>
  <c r="AP110" i="75" s="1"/>
  <c r="FR110" i="75" s="1"/>
  <c r="AN110" i="75"/>
  <c r="AO110" i="75" s="1"/>
  <c r="FQ110" i="75" s="1"/>
  <c r="AM110" i="75"/>
  <c r="FO110" i="75" s="1"/>
  <c r="AL110" i="75"/>
  <c r="FN110" i="75" s="1"/>
  <c r="AK110" i="75"/>
  <c r="FM110" i="75" s="1"/>
  <c r="AJ110" i="75"/>
  <c r="FL110" i="75" s="1"/>
  <c r="AI110" i="75"/>
  <c r="FK110" i="75" s="1"/>
  <c r="AH110" i="75"/>
  <c r="FJ110" i="75" s="1"/>
  <c r="AG110" i="75"/>
  <c r="FI110" i="75" s="1"/>
  <c r="AF110" i="75"/>
  <c r="FH110" i="75" s="1"/>
  <c r="AC110" i="75"/>
  <c r="FE110" i="75" s="1"/>
  <c r="AB110" i="75"/>
  <c r="FD110" i="75" s="1"/>
  <c r="AA110" i="75"/>
  <c r="FC110" i="75" s="1"/>
  <c r="Z110" i="75"/>
  <c r="FB110" i="75" s="1"/>
  <c r="Y110" i="75"/>
  <c r="FA110" i="75" s="1"/>
  <c r="X110" i="75"/>
  <c r="EZ110" i="75" s="1"/>
  <c r="W110" i="75"/>
  <c r="EY110" i="75" s="1"/>
  <c r="V110" i="75"/>
  <c r="EX110" i="75" s="1"/>
  <c r="U110" i="75"/>
  <c r="EW110" i="75" s="1"/>
  <c r="EV110" i="75" s="1"/>
  <c r="S110" i="75"/>
  <c r="ET110" i="75" s="1"/>
  <c r="R110" i="75"/>
  <c r="ES110" i="75" s="1"/>
  <c r="Q110" i="75"/>
  <c r="ER110" i="75" s="1"/>
  <c r="P110" i="75"/>
  <c r="EQ110" i="75" s="1"/>
  <c r="O110" i="75"/>
  <c r="EP110" i="75" s="1"/>
  <c r="N110" i="75"/>
  <c r="EO110" i="75" s="1"/>
  <c r="M110" i="75"/>
  <c r="EN110" i="75" s="1"/>
  <c r="L110" i="75"/>
  <c r="EM110" i="75" s="1"/>
  <c r="K110" i="75"/>
  <c r="EL110" i="75" s="1"/>
  <c r="EK110" i="75" s="1"/>
  <c r="J110" i="75"/>
  <c r="F110" i="75"/>
  <c r="D110" i="75"/>
  <c r="GF109" i="75"/>
  <c r="EI109" i="75"/>
  <c r="EJ109" i="75" s="1"/>
  <c r="EH109" i="75"/>
  <c r="EG109" i="75"/>
  <c r="EF109" i="75"/>
  <c r="EE109" i="75"/>
  <c r="ED109" i="75"/>
  <c r="EC109" i="75"/>
  <c r="EB109" i="75"/>
  <c r="EA109" i="75"/>
  <c r="DZ109" i="75" s="1"/>
  <c r="DB109" i="75"/>
  <c r="DC109" i="75" s="1"/>
  <c r="DA109" i="75"/>
  <c r="CZ109" i="75"/>
  <c r="CY109" i="75"/>
  <c r="CX109" i="75"/>
  <c r="CW109" i="75"/>
  <c r="CV109" i="75"/>
  <c r="CU109" i="75"/>
  <c r="CT109" i="75"/>
  <c r="CS109" i="75" s="1"/>
  <c r="CQ109" i="75"/>
  <c r="CR109" i="75" s="1"/>
  <c r="CP109" i="75"/>
  <c r="CO109" i="75"/>
  <c r="CN109" i="75"/>
  <c r="CM109" i="75"/>
  <c r="CL109" i="75"/>
  <c r="CK109" i="75"/>
  <c r="CJ109" i="75"/>
  <c r="CI109" i="75"/>
  <c r="CH109" i="75" s="1"/>
  <c r="CF109" i="75"/>
  <c r="CG109" i="75" s="1"/>
  <c r="CE109" i="75"/>
  <c r="CD109" i="75"/>
  <c r="CC109" i="75"/>
  <c r="CB109" i="75"/>
  <c r="CA109" i="75"/>
  <c r="BZ109" i="75"/>
  <c r="BY109" i="75"/>
  <c r="BX109" i="75"/>
  <c r="BW109" i="75" s="1"/>
  <c r="BU109" i="75"/>
  <c r="BV109" i="75" s="1"/>
  <c r="BT109" i="75"/>
  <c r="BS109" i="75"/>
  <c r="BR109" i="75"/>
  <c r="BQ109" i="75"/>
  <c r="BP109" i="75"/>
  <c r="BO109" i="75"/>
  <c r="BN109" i="75"/>
  <c r="BM109" i="75"/>
  <c r="BL109" i="75" s="1"/>
  <c r="BJ109" i="75"/>
  <c r="BK109" i="75" s="1"/>
  <c r="GM109" i="75" s="1"/>
  <c r="BI109" i="75"/>
  <c r="GK109" i="75" s="1"/>
  <c r="BH109" i="75"/>
  <c r="GJ109" i="75" s="1"/>
  <c r="BG109" i="75"/>
  <c r="GI109" i="75" s="1"/>
  <c r="BF109" i="75"/>
  <c r="GH109" i="75" s="1"/>
  <c r="BE109" i="75"/>
  <c r="GG109" i="75" s="1"/>
  <c r="BD109" i="75"/>
  <c r="BC109" i="75"/>
  <c r="GE109" i="75" s="1"/>
  <c r="BB109" i="75"/>
  <c r="AY109" i="75"/>
  <c r="GA109" i="75" s="1"/>
  <c r="AX109" i="75"/>
  <c r="FZ109" i="75" s="1"/>
  <c r="AW109" i="75"/>
  <c r="FY109" i="75" s="1"/>
  <c r="AV109" i="75"/>
  <c r="FX109" i="75" s="1"/>
  <c r="AU109" i="75"/>
  <c r="FW109" i="75" s="1"/>
  <c r="AT109" i="75"/>
  <c r="FV109" i="75" s="1"/>
  <c r="AS109" i="75"/>
  <c r="FU109" i="75" s="1"/>
  <c r="AR109" i="75"/>
  <c r="FT109" i="75" s="1"/>
  <c r="AQ109" i="75"/>
  <c r="FS109" i="75" s="1"/>
  <c r="AN109" i="75"/>
  <c r="AO109" i="75" s="1"/>
  <c r="FQ109" i="75" s="1"/>
  <c r="AM109" i="75"/>
  <c r="FO109" i="75" s="1"/>
  <c r="AL109" i="75"/>
  <c r="FN109" i="75" s="1"/>
  <c r="AK109" i="75"/>
  <c r="FM109" i="75" s="1"/>
  <c r="AJ109" i="75"/>
  <c r="FL109" i="75" s="1"/>
  <c r="AI109" i="75"/>
  <c r="FK109" i="75" s="1"/>
  <c r="AH109" i="75"/>
  <c r="FJ109" i="75" s="1"/>
  <c r="AG109" i="75"/>
  <c r="FI109" i="75" s="1"/>
  <c r="AF109" i="75"/>
  <c r="AC109" i="75"/>
  <c r="FE109" i="75" s="1"/>
  <c r="AB109" i="75"/>
  <c r="FD109" i="75" s="1"/>
  <c r="AA109" i="75"/>
  <c r="FC109" i="75" s="1"/>
  <c r="Z109" i="75"/>
  <c r="FB109" i="75" s="1"/>
  <c r="Y109" i="75"/>
  <c r="FA109" i="75" s="1"/>
  <c r="X109" i="75"/>
  <c r="EZ109" i="75" s="1"/>
  <c r="W109" i="75"/>
  <c r="EY109" i="75" s="1"/>
  <c r="V109" i="75"/>
  <c r="EX109" i="75" s="1"/>
  <c r="U109" i="75"/>
  <c r="EW109" i="75" s="1"/>
  <c r="EV109" i="75" s="1"/>
  <c r="S109" i="75"/>
  <c r="ET109" i="75" s="1"/>
  <c r="R109" i="75"/>
  <c r="ES109" i="75" s="1"/>
  <c r="Q109" i="75"/>
  <c r="ER109" i="75" s="1"/>
  <c r="P109" i="75"/>
  <c r="EQ109" i="75" s="1"/>
  <c r="O109" i="75"/>
  <c r="EP109" i="75" s="1"/>
  <c r="N109" i="75"/>
  <c r="EO109" i="75" s="1"/>
  <c r="M109" i="75"/>
  <c r="EN109" i="75" s="1"/>
  <c r="L109" i="75"/>
  <c r="EM109" i="75" s="1"/>
  <c r="K109" i="75"/>
  <c r="EL109" i="75" s="1"/>
  <c r="EK109" i="75" s="1"/>
  <c r="J109" i="75"/>
  <c r="F109" i="75"/>
  <c r="D109" i="75"/>
  <c r="GD108" i="75"/>
  <c r="EI108" i="75"/>
  <c r="EJ108" i="75" s="1"/>
  <c r="EH108" i="75"/>
  <c r="EG108" i="75"/>
  <c r="EF108" i="75"/>
  <c r="EE108" i="75"/>
  <c r="ED108" i="75"/>
  <c r="EC108" i="75"/>
  <c r="EB108" i="75"/>
  <c r="EA108" i="75"/>
  <c r="DZ108" i="75" s="1"/>
  <c r="DB108" i="75"/>
  <c r="DC108" i="75" s="1"/>
  <c r="DA108" i="75"/>
  <c r="CZ108" i="75"/>
  <c r="CY108" i="75"/>
  <c r="CX108" i="75"/>
  <c r="CW108" i="75"/>
  <c r="CV108" i="75"/>
  <c r="CU108" i="75"/>
  <c r="CT108" i="75"/>
  <c r="CS108" i="75" s="1"/>
  <c r="CQ108" i="75"/>
  <c r="CR108" i="75" s="1"/>
  <c r="CP108" i="75"/>
  <c r="CO108" i="75"/>
  <c r="CN108" i="75"/>
  <c r="CM108" i="75"/>
  <c r="CL108" i="75"/>
  <c r="CK108" i="75"/>
  <c r="CJ108" i="75"/>
  <c r="CI108" i="75"/>
  <c r="CH108" i="75" s="1"/>
  <c r="CF108" i="75"/>
  <c r="CG108" i="75" s="1"/>
  <c r="CE108" i="75"/>
  <c r="CD108" i="75"/>
  <c r="CC108" i="75"/>
  <c r="CB108" i="75"/>
  <c r="CA108" i="75"/>
  <c r="BZ108" i="75"/>
  <c r="BY108" i="75"/>
  <c r="BX108" i="75"/>
  <c r="BW108" i="75" s="1"/>
  <c r="BU108" i="75"/>
  <c r="BV108" i="75" s="1"/>
  <c r="BT108" i="75"/>
  <c r="BS108" i="75"/>
  <c r="BR108" i="75"/>
  <c r="BQ108" i="75"/>
  <c r="BP108" i="75"/>
  <c r="BO108" i="75"/>
  <c r="BN108" i="75"/>
  <c r="BM108" i="75"/>
  <c r="BL108" i="75" s="1"/>
  <c r="BJ108" i="75"/>
  <c r="BI108" i="75"/>
  <c r="GK108" i="75" s="1"/>
  <c r="BH108" i="75"/>
  <c r="GJ108" i="75" s="1"/>
  <c r="BG108" i="75"/>
  <c r="GI108" i="75" s="1"/>
  <c r="BF108" i="75"/>
  <c r="GH108" i="75" s="1"/>
  <c r="BE108" i="75"/>
  <c r="GG108" i="75" s="1"/>
  <c r="BD108" i="75"/>
  <c r="GF108" i="75" s="1"/>
  <c r="BC108" i="75"/>
  <c r="GE108" i="75" s="1"/>
  <c r="BB108" i="75"/>
  <c r="BA108" i="75" s="1"/>
  <c r="GC108" i="75" s="1"/>
  <c r="AY108" i="75"/>
  <c r="AZ108" i="75" s="1"/>
  <c r="GB108" i="75" s="1"/>
  <c r="AX108" i="75"/>
  <c r="FZ108" i="75" s="1"/>
  <c r="AW108" i="75"/>
  <c r="FY108" i="75" s="1"/>
  <c r="AV108" i="75"/>
  <c r="FX108" i="75" s="1"/>
  <c r="AU108" i="75"/>
  <c r="FW108" i="75" s="1"/>
  <c r="AT108" i="75"/>
  <c r="FV108" i="75" s="1"/>
  <c r="AS108" i="75"/>
  <c r="FU108" i="75" s="1"/>
  <c r="AR108" i="75"/>
  <c r="FT108" i="75" s="1"/>
  <c r="AQ108" i="75"/>
  <c r="FS108" i="75" s="1"/>
  <c r="AN108" i="75"/>
  <c r="AM108" i="75"/>
  <c r="FO108" i="75" s="1"/>
  <c r="AL108" i="75"/>
  <c r="FN108" i="75" s="1"/>
  <c r="AK108" i="75"/>
  <c r="FM108" i="75" s="1"/>
  <c r="AJ108" i="75"/>
  <c r="FL108" i="75" s="1"/>
  <c r="AI108" i="75"/>
  <c r="FK108" i="75" s="1"/>
  <c r="AH108" i="75"/>
  <c r="FJ108" i="75" s="1"/>
  <c r="AG108" i="75"/>
  <c r="FI108" i="75" s="1"/>
  <c r="AF108" i="75"/>
  <c r="AE108" i="75" s="1"/>
  <c r="FG108" i="75" s="1"/>
  <c r="AC108" i="75"/>
  <c r="AD108" i="75" s="1"/>
  <c r="FF108" i="75" s="1"/>
  <c r="AB108" i="75"/>
  <c r="FD108" i="75" s="1"/>
  <c r="AA108" i="75"/>
  <c r="FC108" i="75" s="1"/>
  <c r="Z108" i="75"/>
  <c r="FB108" i="75" s="1"/>
  <c r="Y108" i="75"/>
  <c r="FA108" i="75" s="1"/>
  <c r="X108" i="75"/>
  <c r="EZ108" i="75" s="1"/>
  <c r="W108" i="75"/>
  <c r="EY108" i="75" s="1"/>
  <c r="V108" i="75"/>
  <c r="EX108" i="75" s="1"/>
  <c r="U108" i="75"/>
  <c r="EW108" i="75" s="1"/>
  <c r="EV108" i="75" s="1"/>
  <c r="S108" i="75"/>
  <c r="T108" i="75" s="1"/>
  <c r="EU108" i="75" s="1"/>
  <c r="R108" i="75"/>
  <c r="ES108" i="75" s="1"/>
  <c r="Q108" i="75"/>
  <c r="ER108" i="75" s="1"/>
  <c r="P108" i="75"/>
  <c r="EQ108" i="75" s="1"/>
  <c r="O108" i="75"/>
  <c r="EP108" i="75" s="1"/>
  <c r="N108" i="75"/>
  <c r="EO108" i="75" s="1"/>
  <c r="M108" i="75"/>
  <c r="EN108" i="75" s="1"/>
  <c r="L108" i="75"/>
  <c r="EM108" i="75" s="1"/>
  <c r="K108" i="75"/>
  <c r="EL108" i="75" s="1"/>
  <c r="EK108" i="75" s="1"/>
  <c r="J108" i="75"/>
  <c r="F108" i="75"/>
  <c r="D108" i="75"/>
  <c r="EI107" i="75"/>
  <c r="EJ107" i="75" s="1"/>
  <c r="EH107" i="75"/>
  <c r="EG107" i="75"/>
  <c r="EF107" i="75"/>
  <c r="EE107" i="75"/>
  <c r="ED107" i="75"/>
  <c r="EC107" i="75"/>
  <c r="EB107" i="75"/>
  <c r="EA107" i="75"/>
  <c r="DZ107" i="75" s="1"/>
  <c r="DB107" i="75"/>
  <c r="DC107" i="75" s="1"/>
  <c r="DA107" i="75"/>
  <c r="CZ107" i="75"/>
  <c r="CY107" i="75"/>
  <c r="CX107" i="75"/>
  <c r="CW107" i="75"/>
  <c r="CV107" i="75"/>
  <c r="CU107" i="75"/>
  <c r="CT107" i="75"/>
  <c r="CS107" i="75" s="1"/>
  <c r="CQ107" i="75"/>
  <c r="CR107" i="75" s="1"/>
  <c r="CP107" i="75"/>
  <c r="CO107" i="75"/>
  <c r="CN107" i="75"/>
  <c r="CM107" i="75"/>
  <c r="CL107" i="75"/>
  <c r="CK107" i="75"/>
  <c r="CJ107" i="75"/>
  <c r="CI107" i="75"/>
  <c r="CH107" i="75" s="1"/>
  <c r="CF107" i="75"/>
  <c r="CG107" i="75" s="1"/>
  <c r="CE107" i="75"/>
  <c r="CD107" i="75"/>
  <c r="CC107" i="75"/>
  <c r="CB107" i="75"/>
  <c r="CA107" i="75"/>
  <c r="BZ107" i="75"/>
  <c r="BY107" i="75"/>
  <c r="BX107" i="75"/>
  <c r="BW107" i="75" s="1"/>
  <c r="BU107" i="75"/>
  <c r="BV107" i="75" s="1"/>
  <c r="BT107" i="75"/>
  <c r="BS107" i="75"/>
  <c r="BR107" i="75"/>
  <c r="BQ107" i="75"/>
  <c r="BP107" i="75"/>
  <c r="BO107" i="75"/>
  <c r="BN107" i="75"/>
  <c r="BM107" i="75"/>
  <c r="BL107" i="75" s="1"/>
  <c r="BJ107" i="75"/>
  <c r="GL107" i="75" s="1"/>
  <c r="BI107" i="75"/>
  <c r="GK107" i="75" s="1"/>
  <c r="BH107" i="75"/>
  <c r="GJ107" i="75" s="1"/>
  <c r="BG107" i="75"/>
  <c r="GI107" i="75" s="1"/>
  <c r="BF107" i="75"/>
  <c r="GH107" i="75" s="1"/>
  <c r="BE107" i="75"/>
  <c r="GG107" i="75" s="1"/>
  <c r="BD107" i="75"/>
  <c r="GF107" i="75" s="1"/>
  <c r="BC107" i="75"/>
  <c r="GE107" i="75" s="1"/>
  <c r="BB107" i="75"/>
  <c r="BA107" i="75" s="1"/>
  <c r="GC107" i="75" s="1"/>
  <c r="AY107" i="75"/>
  <c r="AZ107" i="75" s="1"/>
  <c r="GB107" i="75" s="1"/>
  <c r="AX107" i="75"/>
  <c r="FZ107" i="75" s="1"/>
  <c r="AW107" i="75"/>
  <c r="FY107" i="75" s="1"/>
  <c r="AV107" i="75"/>
  <c r="FX107" i="75" s="1"/>
  <c r="AU107" i="75"/>
  <c r="FW107" i="75" s="1"/>
  <c r="AT107" i="75"/>
  <c r="FV107" i="75" s="1"/>
  <c r="AS107" i="75"/>
  <c r="FU107" i="75" s="1"/>
  <c r="AR107" i="75"/>
  <c r="FT107" i="75" s="1"/>
  <c r="AQ107" i="75"/>
  <c r="FS107" i="75" s="1"/>
  <c r="AN107" i="75"/>
  <c r="FP107" i="75" s="1"/>
  <c r="AM107" i="75"/>
  <c r="FO107" i="75" s="1"/>
  <c r="AL107" i="75"/>
  <c r="FN107" i="75" s="1"/>
  <c r="AK107" i="75"/>
  <c r="FM107" i="75" s="1"/>
  <c r="AJ107" i="75"/>
  <c r="FL107" i="75" s="1"/>
  <c r="AI107" i="75"/>
  <c r="FK107" i="75" s="1"/>
  <c r="AH107" i="75"/>
  <c r="FJ107" i="75" s="1"/>
  <c r="AG107" i="75"/>
  <c r="FI107" i="75" s="1"/>
  <c r="AF107" i="75"/>
  <c r="AC107" i="75"/>
  <c r="AB107" i="75"/>
  <c r="FD107" i="75" s="1"/>
  <c r="AA107" i="75"/>
  <c r="FC107" i="75" s="1"/>
  <c r="Z107" i="75"/>
  <c r="FB107" i="75" s="1"/>
  <c r="Y107" i="75"/>
  <c r="FA107" i="75" s="1"/>
  <c r="X107" i="75"/>
  <c r="EZ107" i="75" s="1"/>
  <c r="W107" i="75"/>
  <c r="EY107" i="75" s="1"/>
  <c r="V107" i="75"/>
  <c r="EX107" i="75" s="1"/>
  <c r="U107" i="75"/>
  <c r="EW107" i="75" s="1"/>
  <c r="EV107" i="75" s="1"/>
  <c r="S107" i="75"/>
  <c r="T107" i="75" s="1"/>
  <c r="EU107" i="75" s="1"/>
  <c r="R107" i="75"/>
  <c r="ES107" i="75" s="1"/>
  <c r="Q107" i="75"/>
  <c r="ER107" i="75" s="1"/>
  <c r="P107" i="75"/>
  <c r="EQ107" i="75" s="1"/>
  <c r="O107" i="75"/>
  <c r="EP107" i="75" s="1"/>
  <c r="N107" i="75"/>
  <c r="EO107" i="75" s="1"/>
  <c r="M107" i="75"/>
  <c r="EN107" i="75" s="1"/>
  <c r="L107" i="75"/>
  <c r="EM107" i="75" s="1"/>
  <c r="K107" i="75"/>
  <c r="EL107" i="75" s="1"/>
  <c r="EK107" i="75" s="1"/>
  <c r="J107" i="75"/>
  <c r="F107" i="75"/>
  <c r="D107" i="75"/>
  <c r="FV106" i="75"/>
  <c r="FO106" i="75"/>
  <c r="EI106" i="75"/>
  <c r="EJ106" i="75" s="1"/>
  <c r="EH106" i="75"/>
  <c r="EG106" i="75"/>
  <c r="EF106" i="75"/>
  <c r="EE106" i="75"/>
  <c r="ED106" i="75"/>
  <c r="EC106" i="75"/>
  <c r="EB106" i="75"/>
  <c r="EA106" i="75"/>
  <c r="DZ106" i="75" s="1"/>
  <c r="DB106" i="75"/>
  <c r="DC106" i="75" s="1"/>
  <c r="DA106" i="75"/>
  <c r="CZ106" i="75"/>
  <c r="CY106" i="75"/>
  <c r="CX106" i="75"/>
  <c r="CW106" i="75"/>
  <c r="CV106" i="75"/>
  <c r="CU106" i="75"/>
  <c r="CT106" i="75"/>
  <c r="CS106" i="75" s="1"/>
  <c r="CQ106" i="75"/>
  <c r="CR106" i="75" s="1"/>
  <c r="CP106" i="75"/>
  <c r="CO106" i="75"/>
  <c r="CN106" i="75"/>
  <c r="CM106" i="75"/>
  <c r="CL106" i="75"/>
  <c r="CK106" i="75"/>
  <c r="CJ106" i="75"/>
  <c r="CI106" i="75"/>
  <c r="CH106" i="75" s="1"/>
  <c r="CF106" i="75"/>
  <c r="CG106" i="75" s="1"/>
  <c r="CE106" i="75"/>
  <c r="CD106" i="75"/>
  <c r="CC106" i="75"/>
  <c r="CB106" i="75"/>
  <c r="CA106" i="75"/>
  <c r="BZ106" i="75"/>
  <c r="BY106" i="75"/>
  <c r="BX106" i="75"/>
  <c r="BW106" i="75" s="1"/>
  <c r="BU106" i="75"/>
  <c r="BV106" i="75" s="1"/>
  <c r="BT106" i="75"/>
  <c r="BS106" i="75"/>
  <c r="BR106" i="75"/>
  <c r="BQ106" i="75"/>
  <c r="BP106" i="75"/>
  <c r="BO106" i="75"/>
  <c r="BN106" i="75"/>
  <c r="BM106" i="75"/>
  <c r="BL106" i="75" s="1"/>
  <c r="BJ106" i="75"/>
  <c r="GL106" i="75" s="1"/>
  <c r="BI106" i="75"/>
  <c r="GK106" i="75" s="1"/>
  <c r="BH106" i="75"/>
  <c r="GJ106" i="75" s="1"/>
  <c r="BG106" i="75"/>
  <c r="GI106" i="75" s="1"/>
  <c r="BF106" i="75"/>
  <c r="GH106" i="75" s="1"/>
  <c r="BE106" i="75"/>
  <c r="GG106" i="75" s="1"/>
  <c r="BD106" i="75"/>
  <c r="GF106" i="75" s="1"/>
  <c r="BC106" i="75"/>
  <c r="GE106" i="75" s="1"/>
  <c r="BB106" i="75"/>
  <c r="GD106" i="75" s="1"/>
  <c r="BA106" i="75"/>
  <c r="GC106" i="75" s="1"/>
  <c r="AY106" i="75"/>
  <c r="AZ106" i="75" s="1"/>
  <c r="GB106" i="75" s="1"/>
  <c r="AX106" i="75"/>
  <c r="FZ106" i="75" s="1"/>
  <c r="AW106" i="75"/>
  <c r="FY106" i="75" s="1"/>
  <c r="AV106" i="75"/>
  <c r="FX106" i="75" s="1"/>
  <c r="AU106" i="75"/>
  <c r="FW106" i="75" s="1"/>
  <c r="AT106" i="75"/>
  <c r="AS106" i="75"/>
  <c r="FU106" i="75" s="1"/>
  <c r="AR106" i="75"/>
  <c r="FT106" i="75" s="1"/>
  <c r="AQ106" i="75"/>
  <c r="AP106" i="75" s="1"/>
  <c r="FR106" i="75" s="1"/>
  <c r="AN106" i="75"/>
  <c r="AO106" i="75" s="1"/>
  <c r="FQ106" i="75" s="1"/>
  <c r="AM106" i="75"/>
  <c r="AL106" i="75"/>
  <c r="FN106" i="75" s="1"/>
  <c r="AK106" i="75"/>
  <c r="FM106" i="75" s="1"/>
  <c r="AJ106" i="75"/>
  <c r="FL106" i="75" s="1"/>
  <c r="AI106" i="75"/>
  <c r="FK106" i="75" s="1"/>
  <c r="AH106" i="75"/>
  <c r="FJ106" i="75" s="1"/>
  <c r="AG106" i="75"/>
  <c r="FI106" i="75" s="1"/>
  <c r="AF106" i="75"/>
  <c r="AC106" i="75"/>
  <c r="FE106" i="75" s="1"/>
  <c r="AB106" i="75"/>
  <c r="FD106" i="75" s="1"/>
  <c r="AA106" i="75"/>
  <c r="FC106" i="75" s="1"/>
  <c r="Z106" i="75"/>
  <c r="FB106" i="75" s="1"/>
  <c r="Y106" i="75"/>
  <c r="FA106" i="75" s="1"/>
  <c r="X106" i="75"/>
  <c r="EZ106" i="75" s="1"/>
  <c r="W106" i="75"/>
  <c r="EY106" i="75" s="1"/>
  <c r="V106" i="75"/>
  <c r="EX106" i="75" s="1"/>
  <c r="U106" i="75"/>
  <c r="EW106" i="75" s="1"/>
  <c r="EV106" i="75" s="1"/>
  <c r="S106" i="75"/>
  <c r="ET106" i="75" s="1"/>
  <c r="R106" i="75"/>
  <c r="ES106" i="75" s="1"/>
  <c r="Q106" i="75"/>
  <c r="ER106" i="75" s="1"/>
  <c r="P106" i="75"/>
  <c r="EQ106" i="75" s="1"/>
  <c r="O106" i="75"/>
  <c r="EP106" i="75" s="1"/>
  <c r="N106" i="75"/>
  <c r="EO106" i="75" s="1"/>
  <c r="M106" i="75"/>
  <c r="EN106" i="75" s="1"/>
  <c r="L106" i="75"/>
  <c r="EM106" i="75" s="1"/>
  <c r="K106" i="75"/>
  <c r="EL106" i="75" s="1"/>
  <c r="EK106" i="75" s="1"/>
  <c r="J106" i="75"/>
  <c r="F106" i="75"/>
  <c r="D106" i="75"/>
  <c r="GJ105" i="75"/>
  <c r="EI105" i="75"/>
  <c r="EJ105" i="75" s="1"/>
  <c r="EH105" i="75"/>
  <c r="EG105" i="75"/>
  <c r="EF105" i="75"/>
  <c r="EE105" i="75"/>
  <c r="ED105" i="75"/>
  <c r="EC105" i="75"/>
  <c r="EB105" i="75"/>
  <c r="EA105" i="75"/>
  <c r="DZ105" i="75" s="1"/>
  <c r="DB105" i="75"/>
  <c r="DC105" i="75" s="1"/>
  <c r="DA105" i="75"/>
  <c r="CZ105" i="75"/>
  <c r="CY105" i="75"/>
  <c r="CX105" i="75"/>
  <c r="CW105" i="75"/>
  <c r="CV105" i="75"/>
  <c r="CU105" i="75"/>
  <c r="CT105" i="75"/>
  <c r="CS105" i="75" s="1"/>
  <c r="CQ105" i="75"/>
  <c r="CR105" i="75" s="1"/>
  <c r="CP105" i="75"/>
  <c r="CO105" i="75"/>
  <c r="CN105" i="75"/>
  <c r="CM105" i="75"/>
  <c r="CL105" i="75"/>
  <c r="CK105" i="75"/>
  <c r="CJ105" i="75"/>
  <c r="CI105" i="75"/>
  <c r="CH105" i="75" s="1"/>
  <c r="CF105" i="75"/>
  <c r="CG105" i="75" s="1"/>
  <c r="CE105" i="75"/>
  <c r="CD105" i="75"/>
  <c r="CC105" i="75"/>
  <c r="CB105" i="75"/>
  <c r="CA105" i="75"/>
  <c r="BZ105" i="75"/>
  <c r="BY105" i="75"/>
  <c r="BX105" i="75"/>
  <c r="BW105" i="75" s="1"/>
  <c r="BU105" i="75"/>
  <c r="BV105" i="75" s="1"/>
  <c r="BT105" i="75"/>
  <c r="BS105" i="75"/>
  <c r="BR105" i="75"/>
  <c r="BQ105" i="75"/>
  <c r="BP105" i="75"/>
  <c r="BO105" i="75"/>
  <c r="BN105" i="75"/>
  <c r="BM105" i="75"/>
  <c r="BL105" i="75" s="1"/>
  <c r="BJ105" i="75"/>
  <c r="GL105" i="75" s="1"/>
  <c r="BI105" i="75"/>
  <c r="GK105" i="75" s="1"/>
  <c r="BH105" i="75"/>
  <c r="BG105" i="75"/>
  <c r="GI105" i="75" s="1"/>
  <c r="BF105" i="75"/>
  <c r="GH105" i="75" s="1"/>
  <c r="BE105" i="75"/>
  <c r="GG105" i="75" s="1"/>
  <c r="BD105" i="75"/>
  <c r="GF105" i="75" s="1"/>
  <c r="BC105" i="75"/>
  <c r="GE105" i="75" s="1"/>
  <c r="BB105" i="75"/>
  <c r="GD105" i="75" s="1"/>
  <c r="BA105" i="75"/>
  <c r="GC105" i="75" s="1"/>
  <c r="AY105" i="75"/>
  <c r="AZ105" i="75" s="1"/>
  <c r="GB105" i="75" s="1"/>
  <c r="AX105" i="75"/>
  <c r="FZ105" i="75" s="1"/>
  <c r="AW105" i="75"/>
  <c r="FY105" i="75" s="1"/>
  <c r="AV105" i="75"/>
  <c r="FX105" i="75" s="1"/>
  <c r="AU105" i="75"/>
  <c r="FW105" i="75" s="1"/>
  <c r="AT105" i="75"/>
  <c r="FV105" i="75" s="1"/>
  <c r="AS105" i="75"/>
  <c r="FU105" i="75" s="1"/>
  <c r="AR105" i="75"/>
  <c r="FT105" i="75" s="1"/>
  <c r="AQ105" i="75"/>
  <c r="AP105" i="75" s="1"/>
  <c r="FR105" i="75" s="1"/>
  <c r="AN105" i="75"/>
  <c r="FP105" i="75" s="1"/>
  <c r="AM105" i="75"/>
  <c r="FO105" i="75" s="1"/>
  <c r="AL105" i="75"/>
  <c r="FN105" i="75" s="1"/>
  <c r="AK105" i="75"/>
  <c r="FM105" i="75" s="1"/>
  <c r="AJ105" i="75"/>
  <c r="FL105" i="75" s="1"/>
  <c r="AI105" i="75"/>
  <c r="FK105" i="75" s="1"/>
  <c r="AH105" i="75"/>
  <c r="FJ105" i="75" s="1"/>
  <c r="AG105" i="75"/>
  <c r="FI105" i="75" s="1"/>
  <c r="AF105" i="75"/>
  <c r="FH105" i="75" s="1"/>
  <c r="AE105" i="75"/>
  <c r="FG105" i="75" s="1"/>
  <c r="AC105" i="75"/>
  <c r="AD105" i="75" s="1"/>
  <c r="FF105" i="75" s="1"/>
  <c r="AB105" i="75"/>
  <c r="FD105" i="75" s="1"/>
  <c r="AA105" i="75"/>
  <c r="FC105" i="75" s="1"/>
  <c r="Z105" i="75"/>
  <c r="FB105" i="75" s="1"/>
  <c r="Y105" i="75"/>
  <c r="FA105" i="75" s="1"/>
  <c r="X105" i="75"/>
  <c r="EZ105" i="75" s="1"/>
  <c r="W105" i="75"/>
  <c r="EY105" i="75" s="1"/>
  <c r="V105" i="75"/>
  <c r="EX105" i="75" s="1"/>
  <c r="U105" i="75"/>
  <c r="EW105" i="75" s="1"/>
  <c r="EV105" i="75" s="1"/>
  <c r="S105" i="75"/>
  <c r="ET105" i="75" s="1"/>
  <c r="R105" i="75"/>
  <c r="ES105" i="75" s="1"/>
  <c r="Q105" i="75"/>
  <c r="ER105" i="75" s="1"/>
  <c r="P105" i="75"/>
  <c r="EQ105" i="75" s="1"/>
  <c r="O105" i="75"/>
  <c r="EP105" i="75" s="1"/>
  <c r="N105" i="75"/>
  <c r="EO105" i="75" s="1"/>
  <c r="M105" i="75"/>
  <c r="EN105" i="75" s="1"/>
  <c r="L105" i="75"/>
  <c r="EM105" i="75" s="1"/>
  <c r="K105" i="75"/>
  <c r="EL105" i="75" s="1"/>
  <c r="EK105" i="75" s="1"/>
  <c r="J105" i="75"/>
  <c r="F105" i="75"/>
  <c r="D105" i="75"/>
  <c r="FV104" i="75"/>
  <c r="EI104" i="75"/>
  <c r="EJ104" i="75" s="1"/>
  <c r="EH104" i="75"/>
  <c r="EG104" i="75"/>
  <c r="EF104" i="75"/>
  <c r="EE104" i="75"/>
  <c r="ED104" i="75"/>
  <c r="EC104" i="75"/>
  <c r="EB104" i="75"/>
  <c r="EA104" i="75"/>
  <c r="DZ104" i="75" s="1"/>
  <c r="DB104" i="75"/>
  <c r="DC104" i="75" s="1"/>
  <c r="DA104" i="75"/>
  <c r="CZ104" i="75"/>
  <c r="CY104" i="75"/>
  <c r="CX104" i="75"/>
  <c r="CW104" i="75"/>
  <c r="CV104" i="75"/>
  <c r="CU104" i="75"/>
  <c r="CT104" i="75"/>
  <c r="CS104" i="75" s="1"/>
  <c r="CQ104" i="75"/>
  <c r="CR104" i="75" s="1"/>
  <c r="CP104" i="75"/>
  <c r="CO104" i="75"/>
  <c r="CN104" i="75"/>
  <c r="CM104" i="75"/>
  <c r="CL104" i="75"/>
  <c r="CK104" i="75"/>
  <c r="CJ104" i="75"/>
  <c r="CI104" i="75"/>
  <c r="CH104" i="75" s="1"/>
  <c r="CF104" i="75"/>
  <c r="CG104" i="75" s="1"/>
  <c r="CE104" i="75"/>
  <c r="CD104" i="75"/>
  <c r="CC104" i="75"/>
  <c r="CB104" i="75"/>
  <c r="CA104" i="75"/>
  <c r="BZ104" i="75"/>
  <c r="BY104" i="75"/>
  <c r="BX104" i="75"/>
  <c r="BW104" i="75" s="1"/>
  <c r="BU104" i="75"/>
  <c r="BV104" i="75" s="1"/>
  <c r="BT104" i="75"/>
  <c r="BS104" i="75"/>
  <c r="BR104" i="75"/>
  <c r="BQ104" i="75"/>
  <c r="BP104" i="75"/>
  <c r="BO104" i="75"/>
  <c r="BN104" i="75"/>
  <c r="BM104" i="75"/>
  <c r="BL104" i="75" s="1"/>
  <c r="BJ104" i="75"/>
  <c r="BK104" i="75" s="1"/>
  <c r="GM104" i="75" s="1"/>
  <c r="BI104" i="75"/>
  <c r="GK104" i="75" s="1"/>
  <c r="BH104" i="75"/>
  <c r="GJ104" i="75" s="1"/>
  <c r="BG104" i="75"/>
  <c r="GI104" i="75" s="1"/>
  <c r="BF104" i="75"/>
  <c r="GH104" i="75" s="1"/>
  <c r="BE104" i="75"/>
  <c r="GG104" i="75" s="1"/>
  <c r="BD104" i="75"/>
  <c r="GF104" i="75" s="1"/>
  <c r="BC104" i="75"/>
  <c r="GE104" i="75" s="1"/>
  <c r="BB104" i="75"/>
  <c r="AY104" i="75"/>
  <c r="GA104" i="75" s="1"/>
  <c r="AX104" i="75"/>
  <c r="FZ104" i="75" s="1"/>
  <c r="AW104" i="75"/>
  <c r="FY104" i="75" s="1"/>
  <c r="AV104" i="75"/>
  <c r="FX104" i="75" s="1"/>
  <c r="AU104" i="75"/>
  <c r="FW104" i="75" s="1"/>
  <c r="AT104" i="75"/>
  <c r="AS104" i="75"/>
  <c r="FU104" i="75" s="1"/>
  <c r="AR104" i="75"/>
  <c r="FT104" i="75" s="1"/>
  <c r="AQ104" i="75"/>
  <c r="AP104" i="75" s="1"/>
  <c r="FR104" i="75" s="1"/>
  <c r="AN104" i="75"/>
  <c r="FP104" i="75" s="1"/>
  <c r="AM104" i="75"/>
  <c r="FO104" i="75" s="1"/>
  <c r="AL104" i="75"/>
  <c r="FN104" i="75" s="1"/>
  <c r="AK104" i="75"/>
  <c r="FM104" i="75" s="1"/>
  <c r="AJ104" i="75"/>
  <c r="FL104" i="75" s="1"/>
  <c r="AI104" i="75"/>
  <c r="FK104" i="75" s="1"/>
  <c r="AH104" i="75"/>
  <c r="FJ104" i="75" s="1"/>
  <c r="AG104" i="75"/>
  <c r="FI104" i="75" s="1"/>
  <c r="AF104" i="75"/>
  <c r="AE104" i="75" s="1"/>
  <c r="FG104" i="75" s="1"/>
  <c r="AC104" i="75"/>
  <c r="AD104" i="75" s="1"/>
  <c r="FF104" i="75" s="1"/>
  <c r="AB104" i="75"/>
  <c r="FD104" i="75" s="1"/>
  <c r="AA104" i="75"/>
  <c r="FC104" i="75" s="1"/>
  <c r="Z104" i="75"/>
  <c r="FB104" i="75" s="1"/>
  <c r="Y104" i="75"/>
  <c r="FA104" i="75" s="1"/>
  <c r="X104" i="75"/>
  <c r="EZ104" i="75" s="1"/>
  <c r="W104" i="75"/>
  <c r="EY104" i="75" s="1"/>
  <c r="V104" i="75"/>
  <c r="EX104" i="75" s="1"/>
  <c r="U104" i="75"/>
  <c r="EW104" i="75" s="1"/>
  <c r="EV104" i="75" s="1"/>
  <c r="S104" i="75"/>
  <c r="ET104" i="75" s="1"/>
  <c r="R104" i="75"/>
  <c r="ES104" i="75" s="1"/>
  <c r="Q104" i="75"/>
  <c r="ER104" i="75" s="1"/>
  <c r="P104" i="75"/>
  <c r="EQ104" i="75" s="1"/>
  <c r="O104" i="75"/>
  <c r="EP104" i="75" s="1"/>
  <c r="N104" i="75"/>
  <c r="EO104" i="75" s="1"/>
  <c r="M104" i="75"/>
  <c r="EN104" i="75" s="1"/>
  <c r="L104" i="75"/>
  <c r="EM104" i="75" s="1"/>
  <c r="K104" i="75"/>
  <c r="EL104" i="75" s="1"/>
  <c r="EK104" i="75" s="1"/>
  <c r="J104" i="75"/>
  <c r="F104" i="75"/>
  <c r="D104" i="75"/>
  <c r="EI103" i="75"/>
  <c r="EJ103" i="75" s="1"/>
  <c r="EH103" i="75"/>
  <c r="EG103" i="75"/>
  <c r="EF103" i="75"/>
  <c r="EE103" i="75"/>
  <c r="ED103" i="75"/>
  <c r="EC103" i="75"/>
  <c r="EB103" i="75"/>
  <c r="EA103" i="75"/>
  <c r="DZ103" i="75" s="1"/>
  <c r="DB103" i="75"/>
  <c r="DC103" i="75" s="1"/>
  <c r="DA103" i="75"/>
  <c r="CZ103" i="75"/>
  <c r="CY103" i="75"/>
  <c r="CX103" i="75"/>
  <c r="CW103" i="75"/>
  <c r="CV103" i="75"/>
  <c r="CU103" i="75"/>
  <c r="CT103" i="75"/>
  <c r="CS103" i="75" s="1"/>
  <c r="CQ103" i="75"/>
  <c r="CR103" i="75" s="1"/>
  <c r="CP103" i="75"/>
  <c r="CO103" i="75"/>
  <c r="CN103" i="75"/>
  <c r="CM103" i="75"/>
  <c r="CL103" i="75"/>
  <c r="CK103" i="75"/>
  <c r="CJ103" i="75"/>
  <c r="CI103" i="75"/>
  <c r="CH103" i="75" s="1"/>
  <c r="CF103" i="75"/>
  <c r="CG103" i="75" s="1"/>
  <c r="CE103" i="75"/>
  <c r="CD103" i="75"/>
  <c r="CC103" i="75"/>
  <c r="CB103" i="75"/>
  <c r="CA103" i="75"/>
  <c r="BZ103" i="75"/>
  <c r="BY103" i="75"/>
  <c r="BX103" i="75"/>
  <c r="BW103" i="75" s="1"/>
  <c r="BU103" i="75"/>
  <c r="BV103" i="75" s="1"/>
  <c r="BT103" i="75"/>
  <c r="BS103" i="75"/>
  <c r="BR103" i="75"/>
  <c r="BQ103" i="75"/>
  <c r="BP103" i="75"/>
  <c r="BO103" i="75"/>
  <c r="BN103" i="75"/>
  <c r="BM103" i="75"/>
  <c r="BL103" i="75" s="1"/>
  <c r="BJ103" i="75"/>
  <c r="GL103" i="75" s="1"/>
  <c r="BI103" i="75"/>
  <c r="GK103" i="75" s="1"/>
  <c r="BH103" i="75"/>
  <c r="GJ103" i="75" s="1"/>
  <c r="BG103" i="75"/>
  <c r="GI103" i="75" s="1"/>
  <c r="BF103" i="75"/>
  <c r="GH103" i="75" s="1"/>
  <c r="BE103" i="75"/>
  <c r="GG103" i="75" s="1"/>
  <c r="BD103" i="75"/>
  <c r="GF103" i="75" s="1"/>
  <c r="BC103" i="75"/>
  <c r="GE103" i="75" s="1"/>
  <c r="BB103" i="75"/>
  <c r="GD103" i="75" s="1"/>
  <c r="AY103" i="75"/>
  <c r="GA103" i="75" s="1"/>
  <c r="AX103" i="75"/>
  <c r="FZ103" i="75" s="1"/>
  <c r="AW103" i="75"/>
  <c r="FY103" i="75" s="1"/>
  <c r="AV103" i="75"/>
  <c r="FX103" i="75" s="1"/>
  <c r="AU103" i="75"/>
  <c r="FW103" i="75" s="1"/>
  <c r="AT103" i="75"/>
  <c r="FV103" i="75" s="1"/>
  <c r="AS103" i="75"/>
  <c r="FU103" i="75" s="1"/>
  <c r="AR103" i="75"/>
  <c r="FT103" i="75" s="1"/>
  <c r="AQ103" i="75"/>
  <c r="AP103" i="75" s="1"/>
  <c r="FR103" i="75" s="1"/>
  <c r="AN103" i="75"/>
  <c r="FP103" i="75" s="1"/>
  <c r="AM103" i="75"/>
  <c r="FO103" i="75" s="1"/>
  <c r="AL103" i="75"/>
  <c r="FN103" i="75" s="1"/>
  <c r="AK103" i="75"/>
  <c r="FM103" i="75" s="1"/>
  <c r="AJ103" i="75"/>
  <c r="FL103" i="75" s="1"/>
  <c r="AI103" i="75"/>
  <c r="FK103" i="75" s="1"/>
  <c r="AH103" i="75"/>
  <c r="FJ103" i="75" s="1"/>
  <c r="AG103" i="75"/>
  <c r="FI103" i="75" s="1"/>
  <c r="AF103" i="75"/>
  <c r="AC103" i="75"/>
  <c r="AD103" i="75" s="1"/>
  <c r="FF103" i="75" s="1"/>
  <c r="AB103" i="75"/>
  <c r="FD103" i="75" s="1"/>
  <c r="AA103" i="75"/>
  <c r="FC103" i="75" s="1"/>
  <c r="Z103" i="75"/>
  <c r="FB103" i="75" s="1"/>
  <c r="Y103" i="75"/>
  <c r="FA103" i="75" s="1"/>
  <c r="X103" i="75"/>
  <c r="EZ103" i="75" s="1"/>
  <c r="W103" i="75"/>
  <c r="EY103" i="75" s="1"/>
  <c r="V103" i="75"/>
  <c r="EX103" i="75" s="1"/>
  <c r="U103" i="75"/>
  <c r="EW103" i="75" s="1"/>
  <c r="EV103" i="75" s="1"/>
  <c r="S103" i="75"/>
  <c r="T103" i="75" s="1"/>
  <c r="EU103" i="75" s="1"/>
  <c r="R103" i="75"/>
  <c r="ES103" i="75" s="1"/>
  <c r="Q103" i="75"/>
  <c r="ER103" i="75" s="1"/>
  <c r="P103" i="75"/>
  <c r="EQ103" i="75" s="1"/>
  <c r="O103" i="75"/>
  <c r="EP103" i="75" s="1"/>
  <c r="N103" i="75"/>
  <c r="EO103" i="75" s="1"/>
  <c r="M103" i="75"/>
  <c r="EN103" i="75" s="1"/>
  <c r="L103" i="75"/>
  <c r="EM103" i="75" s="1"/>
  <c r="K103" i="75"/>
  <c r="EL103" i="75" s="1"/>
  <c r="EK103" i="75" s="1"/>
  <c r="J103" i="75"/>
  <c r="F103" i="75"/>
  <c r="D103" i="75"/>
  <c r="EI102" i="75"/>
  <c r="EJ102" i="75" s="1"/>
  <c r="EH102" i="75"/>
  <c r="EG102" i="75"/>
  <c r="EF102" i="75"/>
  <c r="EE102" i="75"/>
  <c r="ED102" i="75"/>
  <c r="EC102" i="75"/>
  <c r="EB102" i="75"/>
  <c r="EA102" i="75"/>
  <c r="DZ102" i="75" s="1"/>
  <c r="DB102" i="75"/>
  <c r="DC102" i="75" s="1"/>
  <c r="DA102" i="75"/>
  <c r="CZ102" i="75"/>
  <c r="CY102" i="75"/>
  <c r="CX102" i="75"/>
  <c r="CW102" i="75"/>
  <c r="CV102" i="75"/>
  <c r="CU102" i="75"/>
  <c r="CT102" i="75"/>
  <c r="CS102" i="75" s="1"/>
  <c r="CQ102" i="75"/>
  <c r="CR102" i="75" s="1"/>
  <c r="CP102" i="75"/>
  <c r="CO102" i="75"/>
  <c r="CN102" i="75"/>
  <c r="CM102" i="75"/>
  <c r="CL102" i="75"/>
  <c r="CK102" i="75"/>
  <c r="CJ102" i="75"/>
  <c r="CI102" i="75"/>
  <c r="CH102" i="75" s="1"/>
  <c r="CF102" i="75"/>
  <c r="CG102" i="75" s="1"/>
  <c r="CE102" i="75"/>
  <c r="CD102" i="75"/>
  <c r="CC102" i="75"/>
  <c r="CB102" i="75"/>
  <c r="CA102" i="75"/>
  <c r="BZ102" i="75"/>
  <c r="BY102" i="75"/>
  <c r="BX102" i="75"/>
  <c r="BW102" i="75" s="1"/>
  <c r="BU102" i="75"/>
  <c r="BV102" i="75" s="1"/>
  <c r="BT102" i="75"/>
  <c r="BS102" i="75"/>
  <c r="BR102" i="75"/>
  <c r="BQ102" i="75"/>
  <c r="BP102" i="75"/>
  <c r="BO102" i="75"/>
  <c r="BN102" i="75"/>
  <c r="BM102" i="75"/>
  <c r="BL102" i="75" s="1"/>
  <c r="BJ102" i="75"/>
  <c r="BK102" i="75" s="1"/>
  <c r="GM102" i="75" s="1"/>
  <c r="BI102" i="75"/>
  <c r="GK102" i="75" s="1"/>
  <c r="BH102" i="75"/>
  <c r="GJ102" i="75" s="1"/>
  <c r="BG102" i="75"/>
  <c r="GI102" i="75" s="1"/>
  <c r="BF102" i="75"/>
  <c r="GH102" i="75" s="1"/>
  <c r="BE102" i="75"/>
  <c r="GG102" i="75" s="1"/>
  <c r="BD102" i="75"/>
  <c r="GF102" i="75" s="1"/>
  <c r="BC102" i="75"/>
  <c r="GE102" i="75" s="1"/>
  <c r="BB102" i="75"/>
  <c r="GD102" i="75" s="1"/>
  <c r="BA102" i="75"/>
  <c r="GC102" i="75" s="1"/>
  <c r="AY102" i="75"/>
  <c r="GA102" i="75" s="1"/>
  <c r="AX102" i="75"/>
  <c r="FZ102" i="75" s="1"/>
  <c r="AW102" i="75"/>
  <c r="FY102" i="75" s="1"/>
  <c r="AV102" i="75"/>
  <c r="FX102" i="75" s="1"/>
  <c r="AU102" i="75"/>
  <c r="FW102" i="75" s="1"/>
  <c r="AT102" i="75"/>
  <c r="FV102" i="75" s="1"/>
  <c r="AS102" i="75"/>
  <c r="FU102" i="75" s="1"/>
  <c r="AR102" i="75"/>
  <c r="FT102" i="75" s="1"/>
  <c r="AQ102" i="75"/>
  <c r="AP102" i="75" s="1"/>
  <c r="FR102" i="75" s="1"/>
  <c r="AN102" i="75"/>
  <c r="AM102" i="75"/>
  <c r="FO102" i="75" s="1"/>
  <c r="AL102" i="75"/>
  <c r="FN102" i="75" s="1"/>
  <c r="AK102" i="75"/>
  <c r="FM102" i="75" s="1"/>
  <c r="AJ102" i="75"/>
  <c r="FL102" i="75" s="1"/>
  <c r="AI102" i="75"/>
  <c r="FK102" i="75" s="1"/>
  <c r="AH102" i="75"/>
  <c r="FJ102" i="75" s="1"/>
  <c r="AG102" i="75"/>
  <c r="FI102" i="75" s="1"/>
  <c r="AF102" i="75"/>
  <c r="FH102" i="75" s="1"/>
  <c r="AC102" i="75"/>
  <c r="AD102" i="75" s="1"/>
  <c r="FF102" i="75" s="1"/>
  <c r="AB102" i="75"/>
  <c r="FD102" i="75" s="1"/>
  <c r="AA102" i="75"/>
  <c r="FC102" i="75" s="1"/>
  <c r="Z102" i="75"/>
  <c r="FB102" i="75" s="1"/>
  <c r="Y102" i="75"/>
  <c r="FA102" i="75" s="1"/>
  <c r="X102" i="75"/>
  <c r="EZ102" i="75" s="1"/>
  <c r="W102" i="75"/>
  <c r="EY102" i="75" s="1"/>
  <c r="V102" i="75"/>
  <c r="EX102" i="75" s="1"/>
  <c r="U102" i="75"/>
  <c r="EW102" i="75" s="1"/>
  <c r="EV102" i="75" s="1"/>
  <c r="S102" i="75"/>
  <c r="R102" i="75"/>
  <c r="ES102" i="75" s="1"/>
  <c r="Q102" i="75"/>
  <c r="ER102" i="75" s="1"/>
  <c r="P102" i="75"/>
  <c r="EQ102" i="75" s="1"/>
  <c r="O102" i="75"/>
  <c r="EP102" i="75" s="1"/>
  <c r="N102" i="75"/>
  <c r="EO102" i="75" s="1"/>
  <c r="M102" i="75"/>
  <c r="EN102" i="75" s="1"/>
  <c r="L102" i="75"/>
  <c r="EM102" i="75" s="1"/>
  <c r="K102" i="75"/>
  <c r="EL102" i="75" s="1"/>
  <c r="EK102" i="75" s="1"/>
  <c r="J102" i="75"/>
  <c r="F102" i="75"/>
  <c r="D102" i="75"/>
  <c r="GM101" i="75"/>
  <c r="GL101" i="75"/>
  <c r="GK101" i="75"/>
  <c r="GJ101" i="75"/>
  <c r="GI101" i="75"/>
  <c r="GH101" i="75"/>
  <c r="GG101" i="75"/>
  <c r="GF101" i="75"/>
  <c r="GE101" i="75"/>
  <c r="GD101" i="75"/>
  <c r="GC101" i="75"/>
  <c r="GB101" i="75"/>
  <c r="GA101" i="75"/>
  <c r="FZ101" i="75"/>
  <c r="FY101" i="75"/>
  <c r="FX101" i="75"/>
  <c r="FW101" i="75"/>
  <c r="FV101" i="75"/>
  <c r="FU101" i="75"/>
  <c r="FT101" i="75"/>
  <c r="FS101" i="75"/>
  <c r="FR101" i="75"/>
  <c r="FQ101" i="75"/>
  <c r="FP101" i="75"/>
  <c r="FO101" i="75"/>
  <c r="FN101" i="75"/>
  <c r="FM101" i="75"/>
  <c r="FL101" i="75"/>
  <c r="FK101" i="75"/>
  <c r="FJ101" i="75"/>
  <c r="FI101" i="75"/>
  <c r="FH101" i="75"/>
  <c r="FG101" i="75"/>
  <c r="FE101" i="75"/>
  <c r="FD101" i="75"/>
  <c r="FC101" i="75"/>
  <c r="FB101" i="75"/>
  <c r="FA101" i="75"/>
  <c r="EZ101" i="75"/>
  <c r="EY101" i="75"/>
  <c r="EX101" i="75"/>
  <c r="EW101" i="75"/>
  <c r="ET101" i="75"/>
  <c r="ES101" i="75"/>
  <c r="ER101" i="75"/>
  <c r="EQ101" i="75"/>
  <c r="EP101" i="75"/>
  <c r="EO101" i="75"/>
  <c r="EN101" i="75"/>
  <c r="EM101" i="75"/>
  <c r="EL101" i="75"/>
  <c r="AD101" i="75"/>
  <c r="FF101" i="75" s="1"/>
  <c r="T101" i="75"/>
  <c r="EU101" i="75" s="1"/>
  <c r="J101" i="75"/>
  <c r="F101" i="75"/>
  <c r="E101" i="75"/>
  <c r="D101" i="75"/>
  <c r="GM100" i="75"/>
  <c r="GL100" i="75"/>
  <c r="GK100" i="75"/>
  <c r="GJ100" i="75"/>
  <c r="GI100" i="75"/>
  <c r="GH100" i="75"/>
  <c r="GG100" i="75"/>
  <c r="GF100" i="75"/>
  <c r="GE100" i="75"/>
  <c r="GD100" i="75"/>
  <c r="GC100" i="75"/>
  <c r="GB100" i="75"/>
  <c r="GA100" i="75"/>
  <c r="FZ100" i="75"/>
  <c r="FY100" i="75"/>
  <c r="FX100" i="75"/>
  <c r="FW100" i="75"/>
  <c r="FV100" i="75"/>
  <c r="FU100" i="75"/>
  <c r="FT100" i="75"/>
  <c r="FS100" i="75"/>
  <c r="FR100" i="75"/>
  <c r="FQ100" i="75"/>
  <c r="FP100" i="75"/>
  <c r="FO100" i="75"/>
  <c r="FN100" i="75"/>
  <c r="FM100" i="75"/>
  <c r="FL100" i="75"/>
  <c r="FK100" i="75"/>
  <c r="FJ100" i="75"/>
  <c r="FI100" i="75"/>
  <c r="FH100" i="75"/>
  <c r="FG100" i="75"/>
  <c r="FE100" i="75"/>
  <c r="FD100" i="75"/>
  <c r="FC100" i="75"/>
  <c r="FB100" i="75"/>
  <c r="FA100" i="75"/>
  <c r="EZ100" i="75"/>
  <c r="EY100" i="75"/>
  <c r="EX100" i="75"/>
  <c r="EW100" i="75"/>
  <c r="ET100" i="75"/>
  <c r="ES100" i="75"/>
  <c r="ER100" i="75"/>
  <c r="EQ100" i="75"/>
  <c r="EP100" i="75"/>
  <c r="EO100" i="75"/>
  <c r="EN100" i="75"/>
  <c r="EM100" i="75"/>
  <c r="EL100" i="75"/>
  <c r="AD100" i="75"/>
  <c r="FF100" i="75" s="1"/>
  <c r="T100" i="75"/>
  <c r="EU100" i="75" s="1"/>
  <c r="J100" i="75"/>
  <c r="F100" i="75"/>
  <c r="E100" i="75"/>
  <c r="D100" i="75"/>
  <c r="GM99" i="75"/>
  <c r="GL99" i="75"/>
  <c r="GK99" i="75"/>
  <c r="GJ99" i="75"/>
  <c r="GI99" i="75"/>
  <c r="GH99" i="75"/>
  <c r="GG99" i="75"/>
  <c r="GF99" i="75"/>
  <c r="GE99" i="75"/>
  <c r="GD99" i="75"/>
  <c r="GC99" i="75"/>
  <c r="GB99" i="75"/>
  <c r="GA99" i="75"/>
  <c r="FZ99" i="75"/>
  <c r="FY99" i="75"/>
  <c r="FX99" i="75"/>
  <c r="FW99" i="75"/>
  <c r="FV99" i="75"/>
  <c r="FU99" i="75"/>
  <c r="FT99" i="75"/>
  <c r="FS99" i="75"/>
  <c r="FR99" i="75"/>
  <c r="FQ99" i="75"/>
  <c r="FP99" i="75"/>
  <c r="FO99" i="75"/>
  <c r="FN99" i="75"/>
  <c r="FM99" i="75"/>
  <c r="FL99" i="75"/>
  <c r="FK99" i="75"/>
  <c r="FJ99" i="75"/>
  <c r="FI99" i="75"/>
  <c r="FH99" i="75"/>
  <c r="FG99" i="75"/>
  <c r="FE99" i="75"/>
  <c r="FD99" i="75"/>
  <c r="FC99" i="75"/>
  <c r="FB99" i="75"/>
  <c r="FA99" i="75"/>
  <c r="EZ99" i="75"/>
  <c r="EY99" i="75"/>
  <c r="EX99" i="75"/>
  <c r="EW99" i="75"/>
  <c r="ET99" i="75"/>
  <c r="ES99" i="75"/>
  <c r="ER99" i="75"/>
  <c r="EQ99" i="75"/>
  <c r="EP99" i="75"/>
  <c r="EO99" i="75"/>
  <c r="EN99" i="75"/>
  <c r="EM99" i="75"/>
  <c r="EL99" i="75"/>
  <c r="AD99" i="75"/>
  <c r="FF99" i="75" s="1"/>
  <c r="T99" i="75"/>
  <c r="EU99" i="75" s="1"/>
  <c r="J99" i="75"/>
  <c r="F99" i="75"/>
  <c r="E99" i="75"/>
  <c r="D99" i="75"/>
  <c r="GM98" i="75"/>
  <c r="GL98" i="75"/>
  <c r="GK98" i="75"/>
  <c r="GJ98" i="75"/>
  <c r="GI98" i="75"/>
  <c r="GH98" i="75"/>
  <c r="GG98" i="75"/>
  <c r="GF98" i="75"/>
  <c r="GE98" i="75"/>
  <c r="GD98" i="75"/>
  <c r="GC98" i="75"/>
  <c r="GB98" i="75"/>
  <c r="GA98" i="75"/>
  <c r="FZ98" i="75"/>
  <c r="FY98" i="75"/>
  <c r="FX98" i="75"/>
  <c r="FW98" i="75"/>
  <c r="FV98" i="75"/>
  <c r="FU98" i="75"/>
  <c r="FT98" i="75"/>
  <c r="FS98" i="75"/>
  <c r="FR98" i="75"/>
  <c r="FQ98" i="75"/>
  <c r="FP98" i="75"/>
  <c r="FO98" i="75"/>
  <c r="FN98" i="75"/>
  <c r="FM98" i="75"/>
  <c r="FL98" i="75"/>
  <c r="FK98" i="75"/>
  <c r="FJ98" i="75"/>
  <c r="FI98" i="75"/>
  <c r="FH98" i="75"/>
  <c r="FG98" i="75"/>
  <c r="FE98" i="75"/>
  <c r="FD98" i="75"/>
  <c r="FC98" i="75"/>
  <c r="FB98" i="75"/>
  <c r="FA98" i="75"/>
  <c r="EZ98" i="75"/>
  <c r="EY98" i="75"/>
  <c r="EX98" i="75"/>
  <c r="EW98" i="75"/>
  <c r="ET98" i="75"/>
  <c r="ES98" i="75"/>
  <c r="ER98" i="75"/>
  <c r="EQ98" i="75"/>
  <c r="EP98" i="75"/>
  <c r="EO98" i="75"/>
  <c r="EN98" i="75"/>
  <c r="EM98" i="75"/>
  <c r="EL98" i="75"/>
  <c r="AD98" i="75"/>
  <c r="FF98" i="75" s="1"/>
  <c r="T98" i="75"/>
  <c r="EU98" i="75" s="1"/>
  <c r="J98" i="75"/>
  <c r="F98" i="75"/>
  <c r="E98" i="75"/>
  <c r="D98" i="75"/>
  <c r="GM97" i="75"/>
  <c r="GL97" i="75"/>
  <c r="GK97" i="75"/>
  <c r="GJ97" i="75"/>
  <c r="GI97" i="75"/>
  <c r="GH97" i="75"/>
  <c r="GG97" i="75"/>
  <c r="GF97" i="75"/>
  <c r="GE97" i="75"/>
  <c r="GD97" i="75"/>
  <c r="GC97" i="75"/>
  <c r="GB97" i="75"/>
  <c r="GA97" i="75"/>
  <c r="FZ97" i="75"/>
  <c r="FY97" i="75"/>
  <c r="FX97" i="75"/>
  <c r="FW97" i="75"/>
  <c r="FV97" i="75"/>
  <c r="FU97" i="75"/>
  <c r="FT97" i="75"/>
  <c r="FS97" i="75"/>
  <c r="FR97" i="75"/>
  <c r="FQ97" i="75"/>
  <c r="FP97" i="75"/>
  <c r="FO97" i="75"/>
  <c r="FN97" i="75"/>
  <c r="FM97" i="75"/>
  <c r="FL97" i="75"/>
  <c r="FK97" i="75"/>
  <c r="FJ97" i="75"/>
  <c r="FI97" i="75"/>
  <c r="FH97" i="75"/>
  <c r="FG97" i="75"/>
  <c r="FE97" i="75"/>
  <c r="FD97" i="75"/>
  <c r="FC97" i="75"/>
  <c r="FB97" i="75"/>
  <c r="FA97" i="75"/>
  <c r="EZ97" i="75"/>
  <c r="EY97" i="75"/>
  <c r="EX97" i="75"/>
  <c r="EW97" i="75"/>
  <c r="ET97" i="75"/>
  <c r="ES97" i="75"/>
  <c r="ER97" i="75"/>
  <c r="EQ97" i="75"/>
  <c r="EP97" i="75"/>
  <c r="EO97" i="75"/>
  <c r="EN97" i="75"/>
  <c r="EM97" i="75"/>
  <c r="EL97" i="75"/>
  <c r="AD97" i="75"/>
  <c r="FF97" i="75" s="1"/>
  <c r="T97" i="75"/>
  <c r="EU97" i="75" s="1"/>
  <c r="J97" i="75"/>
  <c r="F97" i="75"/>
  <c r="E97" i="75"/>
  <c r="D97" i="75"/>
  <c r="EI96" i="75"/>
  <c r="EJ96" i="75" s="1"/>
  <c r="EH96" i="75"/>
  <c r="EG96" i="75"/>
  <c r="EF96" i="75"/>
  <c r="EE96" i="75"/>
  <c r="ED96" i="75"/>
  <c r="EC96" i="75"/>
  <c r="EB96" i="75"/>
  <c r="EA96" i="75"/>
  <c r="DZ96" i="75" s="1"/>
  <c r="DB96" i="75"/>
  <c r="DC96" i="75" s="1"/>
  <c r="DA96" i="75"/>
  <c r="CZ96" i="75"/>
  <c r="CY96" i="75"/>
  <c r="CX96" i="75"/>
  <c r="CW96" i="75"/>
  <c r="CV96" i="75"/>
  <c r="CU96" i="75"/>
  <c r="CT96" i="75"/>
  <c r="CS96" i="75" s="1"/>
  <c r="CQ96" i="75"/>
  <c r="CR96" i="75" s="1"/>
  <c r="CP96" i="75"/>
  <c r="CO96" i="75"/>
  <c r="CN96" i="75"/>
  <c r="CM96" i="75"/>
  <c r="CL96" i="75"/>
  <c r="CK96" i="75"/>
  <c r="CJ96" i="75"/>
  <c r="CI96" i="75"/>
  <c r="CH96" i="75" s="1"/>
  <c r="CF96" i="75"/>
  <c r="CG96" i="75" s="1"/>
  <c r="CE96" i="75"/>
  <c r="CD96" i="75"/>
  <c r="CC96" i="75"/>
  <c r="CB96" i="75"/>
  <c r="CA96" i="75"/>
  <c r="BZ96" i="75"/>
  <c r="BY96" i="75"/>
  <c r="BX96" i="75"/>
  <c r="BW96" i="75" s="1"/>
  <c r="BU96" i="75"/>
  <c r="BV96" i="75" s="1"/>
  <c r="BT96" i="75"/>
  <c r="BS96" i="75"/>
  <c r="BR96" i="75"/>
  <c r="BQ96" i="75"/>
  <c r="BP96" i="75"/>
  <c r="BO96" i="75"/>
  <c r="BN96" i="75"/>
  <c r="BM96" i="75"/>
  <c r="BL96" i="75" s="1"/>
  <c r="BJ96" i="75"/>
  <c r="BI96" i="75"/>
  <c r="GK96" i="75" s="1"/>
  <c r="BH96" i="75"/>
  <c r="GJ96" i="75" s="1"/>
  <c r="BG96" i="75"/>
  <c r="GI96" i="75" s="1"/>
  <c r="BF96" i="75"/>
  <c r="GH96" i="75" s="1"/>
  <c r="BE96" i="75"/>
  <c r="GG96" i="75" s="1"/>
  <c r="BD96" i="75"/>
  <c r="GF96" i="75" s="1"/>
  <c r="BC96" i="75"/>
  <c r="GE96" i="75" s="1"/>
  <c r="BB96" i="75"/>
  <c r="GD96" i="75" s="1"/>
  <c r="AY96" i="75"/>
  <c r="GA96" i="75" s="1"/>
  <c r="AX96" i="75"/>
  <c r="FZ96" i="75" s="1"/>
  <c r="AW96" i="75"/>
  <c r="FY96" i="75" s="1"/>
  <c r="AV96" i="75"/>
  <c r="FX96" i="75" s="1"/>
  <c r="AU96" i="75"/>
  <c r="FW96" i="75" s="1"/>
  <c r="AT96" i="75"/>
  <c r="FV96" i="75" s="1"/>
  <c r="AS96" i="75"/>
  <c r="FU96" i="75" s="1"/>
  <c r="AR96" i="75"/>
  <c r="FT96" i="75" s="1"/>
  <c r="AQ96" i="75"/>
  <c r="FS96" i="75" s="1"/>
  <c r="AN96" i="75"/>
  <c r="AM96" i="75"/>
  <c r="FO96" i="75" s="1"/>
  <c r="AL96" i="75"/>
  <c r="FN96" i="75" s="1"/>
  <c r="AK96" i="75"/>
  <c r="FM96" i="75" s="1"/>
  <c r="AJ96" i="75"/>
  <c r="FL96" i="75" s="1"/>
  <c r="AI96" i="75"/>
  <c r="FK96" i="75" s="1"/>
  <c r="AH96" i="75"/>
  <c r="FJ96" i="75" s="1"/>
  <c r="AG96" i="75"/>
  <c r="FI96" i="75" s="1"/>
  <c r="AF96" i="75"/>
  <c r="AE96" i="75" s="1"/>
  <c r="FG96" i="75" s="1"/>
  <c r="AC96" i="75"/>
  <c r="FE96" i="75" s="1"/>
  <c r="AB96" i="75"/>
  <c r="FD96" i="75" s="1"/>
  <c r="AA96" i="75"/>
  <c r="FC96" i="75" s="1"/>
  <c r="Z96" i="75"/>
  <c r="FB96" i="75" s="1"/>
  <c r="Y96" i="75"/>
  <c r="FA96" i="75" s="1"/>
  <c r="X96" i="75"/>
  <c r="EZ96" i="75" s="1"/>
  <c r="W96" i="75"/>
  <c r="EY96" i="75" s="1"/>
  <c r="V96" i="75"/>
  <c r="EX96" i="75" s="1"/>
  <c r="U96" i="75"/>
  <c r="EW96" i="75" s="1"/>
  <c r="EV96" i="75" s="1"/>
  <c r="S96" i="75"/>
  <c r="R96" i="75"/>
  <c r="ES96" i="75" s="1"/>
  <c r="Q96" i="75"/>
  <c r="ER96" i="75" s="1"/>
  <c r="P96" i="75"/>
  <c r="EQ96" i="75" s="1"/>
  <c r="O96" i="75"/>
  <c r="EP96" i="75" s="1"/>
  <c r="N96" i="75"/>
  <c r="EO96" i="75" s="1"/>
  <c r="M96" i="75"/>
  <c r="EN96" i="75" s="1"/>
  <c r="L96" i="75"/>
  <c r="EM96" i="75" s="1"/>
  <c r="K96" i="75"/>
  <c r="EL96" i="75" s="1"/>
  <c r="EK96" i="75" s="1"/>
  <c r="J96" i="75"/>
  <c r="F96" i="75"/>
  <c r="D96" i="75"/>
  <c r="EI95" i="75"/>
  <c r="EJ95" i="75" s="1"/>
  <c r="EH95" i="75"/>
  <c r="EG95" i="75"/>
  <c r="EF95" i="75"/>
  <c r="EE95" i="75"/>
  <c r="ED95" i="75"/>
  <c r="EC95" i="75"/>
  <c r="EB95" i="75"/>
  <c r="EA95" i="75"/>
  <c r="DZ95" i="75" s="1"/>
  <c r="DB95" i="75"/>
  <c r="DC95" i="75" s="1"/>
  <c r="DA95" i="75"/>
  <c r="CZ95" i="75"/>
  <c r="CY95" i="75"/>
  <c r="CX95" i="75"/>
  <c r="CW95" i="75"/>
  <c r="CV95" i="75"/>
  <c r="CU95" i="75"/>
  <c r="CT95" i="75"/>
  <c r="CS95" i="75" s="1"/>
  <c r="CQ95" i="75"/>
  <c r="CR95" i="75" s="1"/>
  <c r="CP95" i="75"/>
  <c r="CO95" i="75"/>
  <c r="CN95" i="75"/>
  <c r="CM95" i="75"/>
  <c r="CL95" i="75"/>
  <c r="CK95" i="75"/>
  <c r="CJ95" i="75"/>
  <c r="CI95" i="75"/>
  <c r="CH95" i="75" s="1"/>
  <c r="CF95" i="75"/>
  <c r="CG95" i="75" s="1"/>
  <c r="CE95" i="75"/>
  <c r="CD95" i="75"/>
  <c r="CC95" i="75"/>
  <c r="CB95" i="75"/>
  <c r="CA95" i="75"/>
  <c r="BZ95" i="75"/>
  <c r="BY95" i="75"/>
  <c r="BX95" i="75"/>
  <c r="BW95" i="75" s="1"/>
  <c r="BU95" i="75"/>
  <c r="BV95" i="75" s="1"/>
  <c r="BT95" i="75"/>
  <c r="BS95" i="75"/>
  <c r="BR95" i="75"/>
  <c r="BQ95" i="75"/>
  <c r="BP95" i="75"/>
  <c r="BO95" i="75"/>
  <c r="BN95" i="75"/>
  <c r="BM95" i="75"/>
  <c r="BL95" i="75" s="1"/>
  <c r="BJ95" i="75"/>
  <c r="BK95" i="75" s="1"/>
  <c r="GM95" i="75" s="1"/>
  <c r="BI95" i="75"/>
  <c r="GK95" i="75" s="1"/>
  <c r="BH95" i="75"/>
  <c r="GJ95" i="75" s="1"/>
  <c r="BG95" i="75"/>
  <c r="GI95" i="75" s="1"/>
  <c r="BF95" i="75"/>
  <c r="GH95" i="75" s="1"/>
  <c r="BE95" i="75"/>
  <c r="GG95" i="75" s="1"/>
  <c r="BD95" i="75"/>
  <c r="GF95" i="75" s="1"/>
  <c r="BC95" i="75"/>
  <c r="GE95" i="75" s="1"/>
  <c r="BB95" i="75"/>
  <c r="BA95" i="75" s="1"/>
  <c r="GC95" i="75" s="1"/>
  <c r="AY95" i="75"/>
  <c r="AZ95" i="75" s="1"/>
  <c r="GB95" i="75" s="1"/>
  <c r="AX95" i="75"/>
  <c r="FZ95" i="75" s="1"/>
  <c r="AW95" i="75"/>
  <c r="FY95" i="75" s="1"/>
  <c r="AV95" i="75"/>
  <c r="FX95" i="75" s="1"/>
  <c r="AU95" i="75"/>
  <c r="FW95" i="75" s="1"/>
  <c r="AT95" i="75"/>
  <c r="FV95" i="75" s="1"/>
  <c r="AS95" i="75"/>
  <c r="FU95" i="75" s="1"/>
  <c r="AR95" i="75"/>
  <c r="FT95" i="75" s="1"/>
  <c r="AQ95" i="75"/>
  <c r="FS95" i="75" s="1"/>
  <c r="AN95" i="75"/>
  <c r="FP95" i="75" s="1"/>
  <c r="AM95" i="75"/>
  <c r="FO95" i="75" s="1"/>
  <c r="AL95" i="75"/>
  <c r="FN95" i="75" s="1"/>
  <c r="AK95" i="75"/>
  <c r="FM95" i="75" s="1"/>
  <c r="AJ95" i="75"/>
  <c r="FL95" i="75" s="1"/>
  <c r="AI95" i="75"/>
  <c r="FK95" i="75" s="1"/>
  <c r="AH95" i="75"/>
  <c r="FJ95" i="75" s="1"/>
  <c r="AG95" i="75"/>
  <c r="FI95" i="75" s="1"/>
  <c r="AF95" i="75"/>
  <c r="AE95" i="75" s="1"/>
  <c r="FG95" i="75" s="1"/>
  <c r="AC95" i="75"/>
  <c r="AD95" i="75" s="1"/>
  <c r="FF95" i="75" s="1"/>
  <c r="AB95" i="75"/>
  <c r="FD95" i="75" s="1"/>
  <c r="AA95" i="75"/>
  <c r="FC95" i="75" s="1"/>
  <c r="Z95" i="75"/>
  <c r="FB95" i="75" s="1"/>
  <c r="Y95" i="75"/>
  <c r="FA95" i="75" s="1"/>
  <c r="X95" i="75"/>
  <c r="EZ95" i="75" s="1"/>
  <c r="W95" i="75"/>
  <c r="EY95" i="75" s="1"/>
  <c r="V95" i="75"/>
  <c r="EX95" i="75" s="1"/>
  <c r="U95" i="75"/>
  <c r="EW95" i="75" s="1"/>
  <c r="EV95" i="75" s="1"/>
  <c r="S95" i="75"/>
  <c r="R95" i="75"/>
  <c r="ES95" i="75" s="1"/>
  <c r="Q95" i="75"/>
  <c r="ER95" i="75" s="1"/>
  <c r="P95" i="75"/>
  <c r="EQ95" i="75" s="1"/>
  <c r="O95" i="75"/>
  <c r="EP95" i="75" s="1"/>
  <c r="N95" i="75"/>
  <c r="EO95" i="75" s="1"/>
  <c r="M95" i="75"/>
  <c r="EN95" i="75" s="1"/>
  <c r="L95" i="75"/>
  <c r="EM95" i="75" s="1"/>
  <c r="K95" i="75"/>
  <c r="EL95" i="75" s="1"/>
  <c r="EK95" i="75" s="1"/>
  <c r="J95" i="75"/>
  <c r="F95" i="75"/>
  <c r="D95" i="75"/>
  <c r="EI94" i="75"/>
  <c r="EJ94" i="75" s="1"/>
  <c r="EH94" i="75"/>
  <c r="EG94" i="75"/>
  <c r="EF94" i="75"/>
  <c r="EE94" i="75"/>
  <c r="ED94" i="75"/>
  <c r="EC94" i="75"/>
  <c r="EB94" i="75"/>
  <c r="EA94" i="75"/>
  <c r="DZ94" i="75" s="1"/>
  <c r="DB94" i="75"/>
  <c r="DC94" i="75" s="1"/>
  <c r="DA94" i="75"/>
  <c r="CZ94" i="75"/>
  <c r="CY94" i="75"/>
  <c r="CX94" i="75"/>
  <c r="CW94" i="75"/>
  <c r="CV94" i="75"/>
  <c r="CU94" i="75"/>
  <c r="CT94" i="75"/>
  <c r="CS94" i="75" s="1"/>
  <c r="CQ94" i="75"/>
  <c r="CR94" i="75" s="1"/>
  <c r="CP94" i="75"/>
  <c r="CO94" i="75"/>
  <c r="CN94" i="75"/>
  <c r="CM94" i="75"/>
  <c r="CL94" i="75"/>
  <c r="CK94" i="75"/>
  <c r="CJ94" i="75"/>
  <c r="CI94" i="75"/>
  <c r="CH94" i="75" s="1"/>
  <c r="CF94" i="75"/>
  <c r="CG94" i="75" s="1"/>
  <c r="CE94" i="75"/>
  <c r="CD94" i="75"/>
  <c r="CC94" i="75"/>
  <c r="CB94" i="75"/>
  <c r="CA94" i="75"/>
  <c r="BZ94" i="75"/>
  <c r="BY94" i="75"/>
  <c r="BX94" i="75"/>
  <c r="BW94" i="75" s="1"/>
  <c r="BU94" i="75"/>
  <c r="BV94" i="75" s="1"/>
  <c r="BT94" i="75"/>
  <c r="BS94" i="75"/>
  <c r="BR94" i="75"/>
  <c r="BQ94" i="75"/>
  <c r="BP94" i="75"/>
  <c r="BO94" i="75"/>
  <c r="BN94" i="75"/>
  <c r="BM94" i="75"/>
  <c r="BL94" i="75"/>
  <c r="BJ94" i="75"/>
  <c r="BK94" i="75" s="1"/>
  <c r="GM94" i="75" s="1"/>
  <c r="BI94" i="75"/>
  <c r="GK94" i="75" s="1"/>
  <c r="BH94" i="75"/>
  <c r="GJ94" i="75" s="1"/>
  <c r="BG94" i="75"/>
  <c r="GI94" i="75" s="1"/>
  <c r="BF94" i="75"/>
  <c r="GH94" i="75" s="1"/>
  <c r="BE94" i="75"/>
  <c r="GG94" i="75" s="1"/>
  <c r="BD94" i="75"/>
  <c r="GF94" i="75" s="1"/>
  <c r="BC94" i="75"/>
  <c r="GE94" i="75" s="1"/>
  <c r="BB94" i="75"/>
  <c r="BA94" i="75" s="1"/>
  <c r="GC94" i="75" s="1"/>
  <c r="AY94" i="75"/>
  <c r="GA94" i="75" s="1"/>
  <c r="AX94" i="75"/>
  <c r="FZ94" i="75" s="1"/>
  <c r="AW94" i="75"/>
  <c r="FY94" i="75" s="1"/>
  <c r="AV94" i="75"/>
  <c r="FX94" i="75" s="1"/>
  <c r="AU94" i="75"/>
  <c r="FW94" i="75" s="1"/>
  <c r="AT94" i="75"/>
  <c r="FV94" i="75" s="1"/>
  <c r="AS94" i="75"/>
  <c r="FU94" i="75" s="1"/>
  <c r="AR94" i="75"/>
  <c r="FT94" i="75" s="1"/>
  <c r="AQ94" i="75"/>
  <c r="FS94" i="75" s="1"/>
  <c r="AP94" i="75"/>
  <c r="FR94" i="75" s="1"/>
  <c r="AN94" i="75"/>
  <c r="AO94" i="75" s="1"/>
  <c r="FQ94" i="75" s="1"/>
  <c r="AM94" i="75"/>
  <c r="FO94" i="75" s="1"/>
  <c r="AL94" i="75"/>
  <c r="FN94" i="75" s="1"/>
  <c r="AK94" i="75"/>
  <c r="FM94" i="75" s="1"/>
  <c r="AJ94" i="75"/>
  <c r="FL94" i="75" s="1"/>
  <c r="AI94" i="75"/>
  <c r="FK94" i="75" s="1"/>
  <c r="AH94" i="75"/>
  <c r="FJ94" i="75" s="1"/>
  <c r="AG94" i="75"/>
  <c r="FI94" i="75" s="1"/>
  <c r="AF94" i="75"/>
  <c r="AC94" i="75"/>
  <c r="FE94" i="75" s="1"/>
  <c r="AB94" i="75"/>
  <c r="FD94" i="75" s="1"/>
  <c r="AA94" i="75"/>
  <c r="FC94" i="75" s="1"/>
  <c r="Z94" i="75"/>
  <c r="FB94" i="75" s="1"/>
  <c r="Y94" i="75"/>
  <c r="FA94" i="75" s="1"/>
  <c r="X94" i="75"/>
  <c r="EZ94" i="75" s="1"/>
  <c r="W94" i="75"/>
  <c r="EY94" i="75" s="1"/>
  <c r="V94" i="75"/>
  <c r="EX94" i="75" s="1"/>
  <c r="U94" i="75"/>
  <c r="EW94" i="75" s="1"/>
  <c r="EV94" i="75" s="1"/>
  <c r="S94" i="75"/>
  <c r="R94" i="75"/>
  <c r="ES94" i="75" s="1"/>
  <c r="Q94" i="75"/>
  <c r="ER94" i="75" s="1"/>
  <c r="P94" i="75"/>
  <c r="EQ94" i="75" s="1"/>
  <c r="O94" i="75"/>
  <c r="EP94" i="75" s="1"/>
  <c r="N94" i="75"/>
  <c r="EO94" i="75" s="1"/>
  <c r="M94" i="75"/>
  <c r="EN94" i="75" s="1"/>
  <c r="L94" i="75"/>
  <c r="EM94" i="75" s="1"/>
  <c r="K94" i="75"/>
  <c r="EL94" i="75" s="1"/>
  <c r="EK94" i="75" s="1"/>
  <c r="J94" i="75"/>
  <c r="F94" i="75"/>
  <c r="D94" i="75"/>
  <c r="EI93" i="75"/>
  <c r="EJ93" i="75" s="1"/>
  <c r="EH93" i="75"/>
  <c r="EG93" i="75"/>
  <c r="EF93" i="75"/>
  <c r="EE93" i="75"/>
  <c r="ED93" i="75"/>
  <c r="EC93" i="75"/>
  <c r="EB93" i="75"/>
  <c r="EA93" i="75"/>
  <c r="DZ93" i="75"/>
  <c r="DB93" i="75"/>
  <c r="DC93" i="75" s="1"/>
  <c r="DA93" i="75"/>
  <c r="CZ93" i="75"/>
  <c r="CY93" i="75"/>
  <c r="CX93" i="75"/>
  <c r="CW93" i="75"/>
  <c r="CV93" i="75"/>
  <c r="CU93" i="75"/>
  <c r="CT93" i="75"/>
  <c r="CS93" i="75" s="1"/>
  <c r="CQ93" i="75"/>
  <c r="CR93" i="75" s="1"/>
  <c r="CP93" i="75"/>
  <c r="CO93" i="75"/>
  <c r="CN93" i="75"/>
  <c r="CM93" i="75"/>
  <c r="CL93" i="75"/>
  <c r="CK93" i="75"/>
  <c r="CJ93" i="75"/>
  <c r="CI93" i="75"/>
  <c r="CH93" i="75" s="1"/>
  <c r="CF93" i="75"/>
  <c r="CG93" i="75" s="1"/>
  <c r="CE93" i="75"/>
  <c r="CD93" i="75"/>
  <c r="CC93" i="75"/>
  <c r="CB93" i="75"/>
  <c r="CA93" i="75"/>
  <c r="BZ93" i="75"/>
  <c r="BY93" i="75"/>
  <c r="BX93" i="75"/>
  <c r="BW93" i="75" s="1"/>
  <c r="BU93" i="75"/>
  <c r="BV93" i="75" s="1"/>
  <c r="BT93" i="75"/>
  <c r="BS93" i="75"/>
  <c r="BR93" i="75"/>
  <c r="BQ93" i="75"/>
  <c r="BP93" i="75"/>
  <c r="BO93" i="75"/>
  <c r="BN93" i="75"/>
  <c r="BM93" i="75"/>
  <c r="BL93" i="75" s="1"/>
  <c r="BJ93" i="75"/>
  <c r="GL93" i="75" s="1"/>
  <c r="BI93" i="75"/>
  <c r="GK93" i="75" s="1"/>
  <c r="BH93" i="75"/>
  <c r="GJ93" i="75" s="1"/>
  <c r="BG93" i="75"/>
  <c r="GI93" i="75" s="1"/>
  <c r="BF93" i="75"/>
  <c r="GH93" i="75" s="1"/>
  <c r="BE93" i="75"/>
  <c r="GG93" i="75" s="1"/>
  <c r="BD93" i="75"/>
  <c r="GF93" i="75" s="1"/>
  <c r="BC93" i="75"/>
  <c r="GE93" i="75" s="1"/>
  <c r="BB93" i="75"/>
  <c r="BA93" i="75" s="1"/>
  <c r="GC93" i="75" s="1"/>
  <c r="AY93" i="75"/>
  <c r="GA93" i="75" s="1"/>
  <c r="AX93" i="75"/>
  <c r="FZ93" i="75" s="1"/>
  <c r="AW93" i="75"/>
  <c r="FY93" i="75" s="1"/>
  <c r="AV93" i="75"/>
  <c r="FX93" i="75" s="1"/>
  <c r="AU93" i="75"/>
  <c r="FW93" i="75" s="1"/>
  <c r="AT93" i="75"/>
  <c r="FV93" i="75" s="1"/>
  <c r="AS93" i="75"/>
  <c r="FU93" i="75" s="1"/>
  <c r="AR93" i="75"/>
  <c r="FT93" i="75" s="1"/>
  <c r="AQ93" i="75"/>
  <c r="AP93" i="75" s="1"/>
  <c r="FR93" i="75" s="1"/>
  <c r="AN93" i="75"/>
  <c r="AM93" i="75"/>
  <c r="FO93" i="75" s="1"/>
  <c r="AL93" i="75"/>
  <c r="FN93" i="75" s="1"/>
  <c r="AK93" i="75"/>
  <c r="FM93" i="75" s="1"/>
  <c r="AJ93" i="75"/>
  <c r="FL93" i="75" s="1"/>
  <c r="AI93" i="75"/>
  <c r="FK93" i="75" s="1"/>
  <c r="AH93" i="75"/>
  <c r="FJ93" i="75" s="1"/>
  <c r="AG93" i="75"/>
  <c r="FI93" i="75" s="1"/>
  <c r="AF93" i="75"/>
  <c r="FH93" i="75" s="1"/>
  <c r="AC93" i="75"/>
  <c r="FE93" i="75" s="1"/>
  <c r="AB93" i="75"/>
  <c r="FD93" i="75" s="1"/>
  <c r="AA93" i="75"/>
  <c r="FC93" i="75" s="1"/>
  <c r="Z93" i="75"/>
  <c r="FB93" i="75" s="1"/>
  <c r="Y93" i="75"/>
  <c r="FA93" i="75" s="1"/>
  <c r="X93" i="75"/>
  <c r="EZ93" i="75" s="1"/>
  <c r="W93" i="75"/>
  <c r="EY93" i="75" s="1"/>
  <c r="V93" i="75"/>
  <c r="EX93" i="75" s="1"/>
  <c r="U93" i="75"/>
  <c r="EW93" i="75" s="1"/>
  <c r="EV93" i="75" s="1"/>
  <c r="S93" i="75"/>
  <c r="ET93" i="75" s="1"/>
  <c r="R93" i="75"/>
  <c r="ES93" i="75" s="1"/>
  <c r="Q93" i="75"/>
  <c r="ER93" i="75" s="1"/>
  <c r="P93" i="75"/>
  <c r="EQ93" i="75" s="1"/>
  <c r="O93" i="75"/>
  <c r="EP93" i="75" s="1"/>
  <c r="N93" i="75"/>
  <c r="EO93" i="75" s="1"/>
  <c r="M93" i="75"/>
  <c r="EN93" i="75" s="1"/>
  <c r="L93" i="75"/>
  <c r="EM93" i="75" s="1"/>
  <c r="K93" i="75"/>
  <c r="EL93" i="75" s="1"/>
  <c r="EK93" i="75" s="1"/>
  <c r="J93" i="75"/>
  <c r="F93" i="75"/>
  <c r="D93" i="75"/>
  <c r="EI92" i="75"/>
  <c r="EJ92" i="75" s="1"/>
  <c r="EH92" i="75"/>
  <c r="EG92" i="75"/>
  <c r="EF92" i="75"/>
  <c r="EE92" i="75"/>
  <c r="ED92" i="75"/>
  <c r="EC92" i="75"/>
  <c r="EB92" i="75"/>
  <c r="EA92" i="75"/>
  <c r="DZ92" i="75" s="1"/>
  <c r="DB92" i="75"/>
  <c r="DC92" i="75" s="1"/>
  <c r="DA92" i="75"/>
  <c r="CZ92" i="75"/>
  <c r="CY92" i="75"/>
  <c r="CX92" i="75"/>
  <c r="CW92" i="75"/>
  <c r="CV92" i="75"/>
  <c r="CU92" i="75"/>
  <c r="CT92" i="75"/>
  <c r="CS92" i="75" s="1"/>
  <c r="CQ92" i="75"/>
  <c r="CR92" i="75" s="1"/>
  <c r="CP92" i="75"/>
  <c r="CO92" i="75"/>
  <c r="CN92" i="75"/>
  <c r="CM92" i="75"/>
  <c r="CL92" i="75"/>
  <c r="CK92" i="75"/>
  <c r="CJ92" i="75"/>
  <c r="CI92" i="75"/>
  <c r="CH92" i="75" s="1"/>
  <c r="CF92" i="75"/>
  <c r="CG92" i="75" s="1"/>
  <c r="CE92" i="75"/>
  <c r="CD92" i="75"/>
  <c r="CC92" i="75"/>
  <c r="CB92" i="75"/>
  <c r="CA92" i="75"/>
  <c r="BZ92" i="75"/>
  <c r="BY92" i="75"/>
  <c r="BX92" i="75"/>
  <c r="BW92" i="75" s="1"/>
  <c r="BU92" i="75"/>
  <c r="BV92" i="75" s="1"/>
  <c r="BT92" i="75"/>
  <c r="BS92" i="75"/>
  <c r="BR92" i="75"/>
  <c r="BQ92" i="75"/>
  <c r="BP92" i="75"/>
  <c r="BO92" i="75"/>
  <c r="BN92" i="75"/>
  <c r="BM92" i="75"/>
  <c r="BL92" i="75" s="1"/>
  <c r="BJ92" i="75"/>
  <c r="GL92" i="75" s="1"/>
  <c r="BI92" i="75"/>
  <c r="GK92" i="75" s="1"/>
  <c r="BH92" i="75"/>
  <c r="GJ92" i="75" s="1"/>
  <c r="BG92" i="75"/>
  <c r="GI92" i="75" s="1"/>
  <c r="BF92" i="75"/>
  <c r="GH92" i="75" s="1"/>
  <c r="BE92" i="75"/>
  <c r="GG92" i="75" s="1"/>
  <c r="BD92" i="75"/>
  <c r="GF92" i="75" s="1"/>
  <c r="BC92" i="75"/>
  <c r="GE92" i="75" s="1"/>
  <c r="BB92" i="75"/>
  <c r="BA92" i="75" s="1"/>
  <c r="GC92" i="75" s="1"/>
  <c r="AY92" i="75"/>
  <c r="GA92" i="75" s="1"/>
  <c r="AX92" i="75"/>
  <c r="FZ92" i="75" s="1"/>
  <c r="AW92" i="75"/>
  <c r="FY92" i="75" s="1"/>
  <c r="AV92" i="75"/>
  <c r="FX92" i="75" s="1"/>
  <c r="AU92" i="75"/>
  <c r="FW92" i="75" s="1"/>
  <c r="AT92" i="75"/>
  <c r="FV92" i="75" s="1"/>
  <c r="AS92" i="75"/>
  <c r="FU92" i="75" s="1"/>
  <c r="AR92" i="75"/>
  <c r="FT92" i="75" s="1"/>
  <c r="AQ92" i="75"/>
  <c r="FS92" i="75" s="1"/>
  <c r="AN92" i="75"/>
  <c r="AO92" i="75" s="1"/>
  <c r="FQ92" i="75" s="1"/>
  <c r="AM92" i="75"/>
  <c r="FO92" i="75" s="1"/>
  <c r="AL92" i="75"/>
  <c r="FN92" i="75" s="1"/>
  <c r="AK92" i="75"/>
  <c r="FM92" i="75" s="1"/>
  <c r="AJ92" i="75"/>
  <c r="FL92" i="75" s="1"/>
  <c r="AI92" i="75"/>
  <c r="FK92" i="75" s="1"/>
  <c r="AH92" i="75"/>
  <c r="FJ92" i="75" s="1"/>
  <c r="AG92" i="75"/>
  <c r="FI92" i="75" s="1"/>
  <c r="AF92" i="75"/>
  <c r="AE92" i="75" s="1"/>
  <c r="FG92" i="75" s="1"/>
  <c r="AC92" i="75"/>
  <c r="AD92" i="75" s="1"/>
  <c r="FF92" i="75" s="1"/>
  <c r="AB92" i="75"/>
  <c r="FD92" i="75" s="1"/>
  <c r="AA92" i="75"/>
  <c r="FC92" i="75" s="1"/>
  <c r="Z92" i="75"/>
  <c r="FB92" i="75" s="1"/>
  <c r="Y92" i="75"/>
  <c r="FA92" i="75" s="1"/>
  <c r="X92" i="75"/>
  <c r="EZ92" i="75" s="1"/>
  <c r="W92" i="75"/>
  <c r="EY92" i="75" s="1"/>
  <c r="V92" i="75"/>
  <c r="EX92" i="75" s="1"/>
  <c r="U92" i="75"/>
  <c r="EW92" i="75" s="1"/>
  <c r="EV92" i="75" s="1"/>
  <c r="S92" i="75"/>
  <c r="ET92" i="75" s="1"/>
  <c r="R92" i="75"/>
  <c r="ES92" i="75" s="1"/>
  <c r="Q92" i="75"/>
  <c r="ER92" i="75" s="1"/>
  <c r="P92" i="75"/>
  <c r="EQ92" i="75" s="1"/>
  <c r="O92" i="75"/>
  <c r="EP92" i="75" s="1"/>
  <c r="N92" i="75"/>
  <c r="EO92" i="75" s="1"/>
  <c r="M92" i="75"/>
  <c r="EN92" i="75" s="1"/>
  <c r="L92" i="75"/>
  <c r="EM92" i="75" s="1"/>
  <c r="K92" i="75"/>
  <c r="EL92" i="75" s="1"/>
  <c r="EK92" i="75" s="1"/>
  <c r="J92" i="75"/>
  <c r="F92" i="75"/>
  <c r="D92" i="75"/>
  <c r="EI91" i="75"/>
  <c r="EJ91" i="75" s="1"/>
  <c r="EH91" i="75"/>
  <c r="EG91" i="75"/>
  <c r="EF91" i="75"/>
  <c r="EE91" i="75"/>
  <c r="ED91" i="75"/>
  <c r="EC91" i="75"/>
  <c r="EB91" i="75"/>
  <c r="EA91" i="75"/>
  <c r="DZ91" i="75" s="1"/>
  <c r="DB91" i="75"/>
  <c r="DC91" i="75" s="1"/>
  <c r="DA91" i="75"/>
  <c r="CZ91" i="75"/>
  <c r="CY91" i="75"/>
  <c r="CX91" i="75"/>
  <c r="CW91" i="75"/>
  <c r="CV91" i="75"/>
  <c r="CU91" i="75"/>
  <c r="CT91" i="75"/>
  <c r="CS91" i="75" s="1"/>
  <c r="CQ91" i="75"/>
  <c r="CR91" i="75" s="1"/>
  <c r="CP91" i="75"/>
  <c r="CO91" i="75"/>
  <c r="CN91" i="75"/>
  <c r="CM91" i="75"/>
  <c r="CL91" i="75"/>
  <c r="CK91" i="75"/>
  <c r="CJ91" i="75"/>
  <c r="CI91" i="75"/>
  <c r="CH91" i="75" s="1"/>
  <c r="CF91" i="75"/>
  <c r="CG91" i="75" s="1"/>
  <c r="CE91" i="75"/>
  <c r="CD91" i="75"/>
  <c r="CC91" i="75"/>
  <c r="CB91" i="75"/>
  <c r="CA91" i="75"/>
  <c r="BZ91" i="75"/>
  <c r="BY91" i="75"/>
  <c r="BX91" i="75"/>
  <c r="BW91" i="75" s="1"/>
  <c r="BU91" i="75"/>
  <c r="BV91" i="75" s="1"/>
  <c r="BT91" i="75"/>
  <c r="BS91" i="75"/>
  <c r="BR91" i="75"/>
  <c r="BQ91" i="75"/>
  <c r="BP91" i="75"/>
  <c r="BO91" i="75"/>
  <c r="BN91" i="75"/>
  <c r="BM91" i="75"/>
  <c r="BL91" i="75" s="1"/>
  <c r="BJ91" i="75"/>
  <c r="GL91" i="75" s="1"/>
  <c r="BI91" i="75"/>
  <c r="GK91" i="75" s="1"/>
  <c r="BH91" i="75"/>
  <c r="GJ91" i="75" s="1"/>
  <c r="BG91" i="75"/>
  <c r="GI91" i="75" s="1"/>
  <c r="BF91" i="75"/>
  <c r="GH91" i="75" s="1"/>
  <c r="BE91" i="75"/>
  <c r="GG91" i="75" s="1"/>
  <c r="BD91" i="75"/>
  <c r="GF91" i="75" s="1"/>
  <c r="BC91" i="75"/>
  <c r="GE91" i="75" s="1"/>
  <c r="BB91" i="75"/>
  <c r="GD91" i="75" s="1"/>
  <c r="AY91" i="75"/>
  <c r="GA91" i="75" s="1"/>
  <c r="AX91" i="75"/>
  <c r="FZ91" i="75" s="1"/>
  <c r="AW91" i="75"/>
  <c r="FY91" i="75" s="1"/>
  <c r="AV91" i="75"/>
  <c r="FX91" i="75" s="1"/>
  <c r="AU91" i="75"/>
  <c r="FW91" i="75" s="1"/>
  <c r="AT91" i="75"/>
  <c r="FV91" i="75" s="1"/>
  <c r="AS91" i="75"/>
  <c r="FU91" i="75" s="1"/>
  <c r="AR91" i="75"/>
  <c r="FT91" i="75" s="1"/>
  <c r="AQ91" i="75"/>
  <c r="FS91" i="75" s="1"/>
  <c r="AN91" i="75"/>
  <c r="AO91" i="75" s="1"/>
  <c r="FQ91" i="75" s="1"/>
  <c r="AM91" i="75"/>
  <c r="FO91" i="75" s="1"/>
  <c r="AL91" i="75"/>
  <c r="FN91" i="75" s="1"/>
  <c r="AK91" i="75"/>
  <c r="FM91" i="75" s="1"/>
  <c r="AJ91" i="75"/>
  <c r="FL91" i="75" s="1"/>
  <c r="AI91" i="75"/>
  <c r="FK91" i="75" s="1"/>
  <c r="AH91" i="75"/>
  <c r="FJ91" i="75" s="1"/>
  <c r="AG91" i="75"/>
  <c r="FI91" i="75" s="1"/>
  <c r="AF91" i="75"/>
  <c r="AC91" i="75"/>
  <c r="FE91" i="75" s="1"/>
  <c r="AB91" i="75"/>
  <c r="FD91" i="75" s="1"/>
  <c r="AA91" i="75"/>
  <c r="FC91" i="75" s="1"/>
  <c r="Z91" i="75"/>
  <c r="FB91" i="75" s="1"/>
  <c r="Y91" i="75"/>
  <c r="FA91" i="75" s="1"/>
  <c r="X91" i="75"/>
  <c r="EZ91" i="75" s="1"/>
  <c r="W91" i="75"/>
  <c r="EY91" i="75" s="1"/>
  <c r="V91" i="75"/>
  <c r="EX91" i="75" s="1"/>
  <c r="U91" i="75"/>
  <c r="EW91" i="75" s="1"/>
  <c r="EV91" i="75" s="1"/>
  <c r="S91" i="75"/>
  <c r="ET91" i="75" s="1"/>
  <c r="R91" i="75"/>
  <c r="ES91" i="75" s="1"/>
  <c r="Q91" i="75"/>
  <c r="ER91" i="75" s="1"/>
  <c r="P91" i="75"/>
  <c r="EQ91" i="75" s="1"/>
  <c r="O91" i="75"/>
  <c r="EP91" i="75" s="1"/>
  <c r="N91" i="75"/>
  <c r="EO91" i="75" s="1"/>
  <c r="M91" i="75"/>
  <c r="EN91" i="75" s="1"/>
  <c r="L91" i="75"/>
  <c r="EM91" i="75" s="1"/>
  <c r="K91" i="75"/>
  <c r="EL91" i="75" s="1"/>
  <c r="EK91" i="75" s="1"/>
  <c r="J91" i="75"/>
  <c r="F91" i="75"/>
  <c r="D91" i="75"/>
  <c r="GF90" i="75"/>
  <c r="FH90" i="75"/>
  <c r="FG90" i="75"/>
  <c r="EI90" i="75"/>
  <c r="EJ90" i="75" s="1"/>
  <c r="EH90" i="75"/>
  <c r="EG90" i="75"/>
  <c r="EF90" i="75"/>
  <c r="EE90" i="75"/>
  <c r="ED90" i="75"/>
  <c r="EC90" i="75"/>
  <c r="EB90" i="75"/>
  <c r="EA90" i="75"/>
  <c r="DZ90" i="75" s="1"/>
  <c r="DB90" i="75"/>
  <c r="DC90" i="75" s="1"/>
  <c r="DA90" i="75"/>
  <c r="CZ90" i="75"/>
  <c r="CY90" i="75"/>
  <c r="CX90" i="75"/>
  <c r="CW90" i="75"/>
  <c r="CV90" i="75"/>
  <c r="CU90" i="75"/>
  <c r="CT90" i="75"/>
  <c r="CS90" i="75" s="1"/>
  <c r="CQ90" i="75"/>
  <c r="CR90" i="75" s="1"/>
  <c r="CP90" i="75"/>
  <c r="CO90" i="75"/>
  <c r="CN90" i="75"/>
  <c r="CM90" i="75"/>
  <c r="CL90" i="75"/>
  <c r="CK90" i="75"/>
  <c r="CJ90" i="75"/>
  <c r="CI90" i="75"/>
  <c r="CH90" i="75" s="1"/>
  <c r="CF90" i="75"/>
  <c r="CG90" i="75" s="1"/>
  <c r="CE90" i="75"/>
  <c r="CD90" i="75"/>
  <c r="CC90" i="75"/>
  <c r="CB90" i="75"/>
  <c r="CA90" i="75"/>
  <c r="BZ90" i="75"/>
  <c r="BY90" i="75"/>
  <c r="BX90" i="75"/>
  <c r="BW90" i="75" s="1"/>
  <c r="BU90" i="75"/>
  <c r="BV90" i="75" s="1"/>
  <c r="BT90" i="75"/>
  <c r="BS90" i="75"/>
  <c r="BR90" i="75"/>
  <c r="BQ90" i="75"/>
  <c r="BP90" i="75"/>
  <c r="BO90" i="75"/>
  <c r="BN90" i="75"/>
  <c r="BM90" i="75"/>
  <c r="BL90" i="75" s="1"/>
  <c r="BJ90" i="75"/>
  <c r="BK90" i="75" s="1"/>
  <c r="GM90" i="75" s="1"/>
  <c r="BI90" i="75"/>
  <c r="GK90" i="75" s="1"/>
  <c r="BH90" i="75"/>
  <c r="GJ90" i="75" s="1"/>
  <c r="BG90" i="75"/>
  <c r="GI90" i="75" s="1"/>
  <c r="BF90" i="75"/>
  <c r="GH90" i="75" s="1"/>
  <c r="BE90" i="75"/>
  <c r="GG90" i="75" s="1"/>
  <c r="BD90" i="75"/>
  <c r="BC90" i="75"/>
  <c r="GE90" i="75" s="1"/>
  <c r="BB90" i="75"/>
  <c r="GD90" i="75" s="1"/>
  <c r="AY90" i="75"/>
  <c r="AZ90" i="75" s="1"/>
  <c r="GB90" i="75" s="1"/>
  <c r="AX90" i="75"/>
  <c r="FZ90" i="75" s="1"/>
  <c r="AW90" i="75"/>
  <c r="FY90" i="75" s="1"/>
  <c r="AV90" i="75"/>
  <c r="FX90" i="75" s="1"/>
  <c r="AU90" i="75"/>
  <c r="FW90" i="75" s="1"/>
  <c r="AT90" i="75"/>
  <c r="FV90" i="75" s="1"/>
  <c r="AS90" i="75"/>
  <c r="FU90" i="75" s="1"/>
  <c r="AR90" i="75"/>
  <c r="FT90" i="75" s="1"/>
  <c r="AQ90" i="75"/>
  <c r="FS90" i="75" s="1"/>
  <c r="AN90" i="75"/>
  <c r="AO90" i="75" s="1"/>
  <c r="FQ90" i="75" s="1"/>
  <c r="AM90" i="75"/>
  <c r="FO90" i="75" s="1"/>
  <c r="AL90" i="75"/>
  <c r="FN90" i="75" s="1"/>
  <c r="AK90" i="75"/>
  <c r="FM90" i="75" s="1"/>
  <c r="AJ90" i="75"/>
  <c r="FL90" i="75" s="1"/>
  <c r="AI90" i="75"/>
  <c r="FK90" i="75" s="1"/>
  <c r="AH90" i="75"/>
  <c r="FJ90" i="75" s="1"/>
  <c r="AG90" i="75"/>
  <c r="FI90" i="75" s="1"/>
  <c r="AF90" i="75"/>
  <c r="AE90" i="75" s="1"/>
  <c r="AC90" i="75"/>
  <c r="AB90" i="75"/>
  <c r="FD90" i="75" s="1"/>
  <c r="AA90" i="75"/>
  <c r="FC90" i="75" s="1"/>
  <c r="Z90" i="75"/>
  <c r="FB90" i="75" s="1"/>
  <c r="Y90" i="75"/>
  <c r="FA90" i="75" s="1"/>
  <c r="X90" i="75"/>
  <c r="EZ90" i="75" s="1"/>
  <c r="W90" i="75"/>
  <c r="EY90" i="75" s="1"/>
  <c r="V90" i="75"/>
  <c r="EX90" i="75" s="1"/>
  <c r="U90" i="75"/>
  <c r="EW90" i="75" s="1"/>
  <c r="EV90" i="75" s="1"/>
  <c r="S90" i="75"/>
  <c r="T90" i="75" s="1"/>
  <c r="EU90" i="75" s="1"/>
  <c r="R90" i="75"/>
  <c r="ES90" i="75" s="1"/>
  <c r="Q90" i="75"/>
  <c r="ER90" i="75" s="1"/>
  <c r="P90" i="75"/>
  <c r="EQ90" i="75" s="1"/>
  <c r="O90" i="75"/>
  <c r="EP90" i="75" s="1"/>
  <c r="N90" i="75"/>
  <c r="EO90" i="75" s="1"/>
  <c r="M90" i="75"/>
  <c r="EN90" i="75" s="1"/>
  <c r="L90" i="75"/>
  <c r="EM90" i="75" s="1"/>
  <c r="K90" i="75"/>
  <c r="EL90" i="75" s="1"/>
  <c r="EK90" i="75" s="1"/>
  <c r="J90" i="75"/>
  <c r="F90" i="75"/>
  <c r="D90" i="75"/>
  <c r="EI89" i="75"/>
  <c r="EJ89" i="75" s="1"/>
  <c r="EH89" i="75"/>
  <c r="EG89" i="75"/>
  <c r="EF89" i="75"/>
  <c r="EE89" i="75"/>
  <c r="ED89" i="75"/>
  <c r="EC89" i="75"/>
  <c r="EB89" i="75"/>
  <c r="EA89" i="75"/>
  <c r="DZ89" i="75"/>
  <c r="DB89" i="75"/>
  <c r="DC89" i="75" s="1"/>
  <c r="DA89" i="75"/>
  <c r="CZ89" i="75"/>
  <c r="CY89" i="75"/>
  <c r="CX89" i="75"/>
  <c r="CW89" i="75"/>
  <c r="CV89" i="75"/>
  <c r="CU89" i="75"/>
  <c r="CT89" i="75"/>
  <c r="CS89" i="75" s="1"/>
  <c r="CQ89" i="75"/>
  <c r="CR89" i="75" s="1"/>
  <c r="CP89" i="75"/>
  <c r="CO89" i="75"/>
  <c r="CN89" i="75"/>
  <c r="CM89" i="75"/>
  <c r="CL89" i="75"/>
  <c r="CK89" i="75"/>
  <c r="CJ89" i="75"/>
  <c r="CI89" i="75"/>
  <c r="CH89" i="75" s="1"/>
  <c r="CF89" i="75"/>
  <c r="CG89" i="75" s="1"/>
  <c r="CE89" i="75"/>
  <c r="CD89" i="75"/>
  <c r="CC89" i="75"/>
  <c r="CB89" i="75"/>
  <c r="CA89" i="75"/>
  <c r="BZ89" i="75"/>
  <c r="BY89" i="75"/>
  <c r="BX89" i="75"/>
  <c r="BW89" i="75" s="1"/>
  <c r="BU89" i="75"/>
  <c r="BV89" i="75" s="1"/>
  <c r="BT89" i="75"/>
  <c r="BS89" i="75"/>
  <c r="BR89" i="75"/>
  <c r="BQ89" i="75"/>
  <c r="BP89" i="75"/>
  <c r="BO89" i="75"/>
  <c r="BN89" i="75"/>
  <c r="BM89" i="75"/>
  <c r="BL89" i="75" s="1"/>
  <c r="BJ89" i="75"/>
  <c r="GL89" i="75" s="1"/>
  <c r="BI89" i="75"/>
  <c r="GK89" i="75" s="1"/>
  <c r="BH89" i="75"/>
  <c r="GJ89" i="75" s="1"/>
  <c r="BG89" i="75"/>
  <c r="GI89" i="75" s="1"/>
  <c r="BF89" i="75"/>
  <c r="GH89" i="75" s="1"/>
  <c r="BE89" i="75"/>
  <c r="GG89" i="75" s="1"/>
  <c r="BD89" i="75"/>
  <c r="GF89" i="75" s="1"/>
  <c r="BC89" i="75"/>
  <c r="GE89" i="75" s="1"/>
  <c r="BB89" i="75"/>
  <c r="AY89" i="75"/>
  <c r="GA89" i="75" s="1"/>
  <c r="AX89" i="75"/>
  <c r="FZ89" i="75" s="1"/>
  <c r="AW89" i="75"/>
  <c r="FY89" i="75" s="1"/>
  <c r="AV89" i="75"/>
  <c r="FX89" i="75" s="1"/>
  <c r="AU89" i="75"/>
  <c r="FW89" i="75" s="1"/>
  <c r="AT89" i="75"/>
  <c r="FV89" i="75" s="1"/>
  <c r="AS89" i="75"/>
  <c r="FU89" i="75" s="1"/>
  <c r="AR89" i="75"/>
  <c r="FT89" i="75" s="1"/>
  <c r="AQ89" i="75"/>
  <c r="FS89" i="75" s="1"/>
  <c r="AN89" i="75"/>
  <c r="FP89" i="75" s="1"/>
  <c r="AM89" i="75"/>
  <c r="FO89" i="75" s="1"/>
  <c r="AL89" i="75"/>
  <c r="FN89" i="75" s="1"/>
  <c r="AK89" i="75"/>
  <c r="FM89" i="75" s="1"/>
  <c r="AJ89" i="75"/>
  <c r="FL89" i="75" s="1"/>
  <c r="AI89" i="75"/>
  <c r="FK89" i="75" s="1"/>
  <c r="AH89" i="75"/>
  <c r="FJ89" i="75" s="1"/>
  <c r="AG89" i="75"/>
  <c r="FI89" i="75" s="1"/>
  <c r="AF89" i="75"/>
  <c r="AE89" i="75" s="1"/>
  <c r="FG89" i="75" s="1"/>
  <c r="AC89" i="75"/>
  <c r="AB89" i="75"/>
  <c r="FD89" i="75" s="1"/>
  <c r="AA89" i="75"/>
  <c r="FC89" i="75" s="1"/>
  <c r="Z89" i="75"/>
  <c r="FB89" i="75" s="1"/>
  <c r="Y89" i="75"/>
  <c r="FA89" i="75" s="1"/>
  <c r="X89" i="75"/>
  <c r="EZ89" i="75" s="1"/>
  <c r="W89" i="75"/>
  <c r="EY89" i="75" s="1"/>
  <c r="V89" i="75"/>
  <c r="EX89" i="75" s="1"/>
  <c r="U89" i="75"/>
  <c r="EW89" i="75" s="1"/>
  <c r="EV89" i="75" s="1"/>
  <c r="S89" i="75"/>
  <c r="T89" i="75" s="1"/>
  <c r="EU89" i="75" s="1"/>
  <c r="R89" i="75"/>
  <c r="ES89" i="75" s="1"/>
  <c r="Q89" i="75"/>
  <c r="ER89" i="75" s="1"/>
  <c r="P89" i="75"/>
  <c r="EQ89" i="75" s="1"/>
  <c r="O89" i="75"/>
  <c r="EP89" i="75" s="1"/>
  <c r="N89" i="75"/>
  <c r="EO89" i="75" s="1"/>
  <c r="M89" i="75"/>
  <c r="EN89" i="75" s="1"/>
  <c r="L89" i="75"/>
  <c r="EM89" i="75" s="1"/>
  <c r="K89" i="75"/>
  <c r="EL89" i="75" s="1"/>
  <c r="EK89" i="75" s="1"/>
  <c r="J89" i="75"/>
  <c r="F89" i="75"/>
  <c r="D89" i="75"/>
  <c r="EI88" i="75"/>
  <c r="EJ88" i="75" s="1"/>
  <c r="EH88" i="75"/>
  <c r="EG88" i="75"/>
  <c r="EF88" i="75"/>
  <c r="EE88" i="75"/>
  <c r="ED88" i="75"/>
  <c r="EC88" i="75"/>
  <c r="EB88" i="75"/>
  <c r="EA88" i="75"/>
  <c r="DZ88" i="75" s="1"/>
  <c r="DB88" i="75"/>
  <c r="DC88" i="75" s="1"/>
  <c r="DA88" i="75"/>
  <c r="CZ88" i="75"/>
  <c r="CY88" i="75"/>
  <c r="CX88" i="75"/>
  <c r="CW88" i="75"/>
  <c r="CV88" i="75"/>
  <c r="CU88" i="75"/>
  <c r="CT88" i="75"/>
  <c r="CS88" i="75" s="1"/>
  <c r="CQ88" i="75"/>
  <c r="CR88" i="75" s="1"/>
  <c r="CP88" i="75"/>
  <c r="CO88" i="75"/>
  <c r="CN88" i="75"/>
  <c r="CM88" i="75"/>
  <c r="CL88" i="75"/>
  <c r="CK88" i="75"/>
  <c r="CJ88" i="75"/>
  <c r="CI88" i="75"/>
  <c r="CH88" i="75" s="1"/>
  <c r="CF88" i="75"/>
  <c r="CG88" i="75" s="1"/>
  <c r="CE88" i="75"/>
  <c r="CD88" i="75"/>
  <c r="CC88" i="75"/>
  <c r="CB88" i="75"/>
  <c r="CA88" i="75"/>
  <c r="BZ88" i="75"/>
  <c r="BY88" i="75"/>
  <c r="BX88" i="75"/>
  <c r="BW88" i="75" s="1"/>
  <c r="BU88" i="75"/>
  <c r="BV88" i="75" s="1"/>
  <c r="BT88" i="75"/>
  <c r="BS88" i="75"/>
  <c r="BR88" i="75"/>
  <c r="BQ88" i="75"/>
  <c r="BP88" i="75"/>
  <c r="BO88" i="75"/>
  <c r="BN88" i="75"/>
  <c r="BM88" i="75"/>
  <c r="BL88" i="75" s="1"/>
  <c r="BJ88" i="75"/>
  <c r="BI88" i="75"/>
  <c r="GK88" i="75" s="1"/>
  <c r="BH88" i="75"/>
  <c r="GJ88" i="75" s="1"/>
  <c r="BG88" i="75"/>
  <c r="GI88" i="75" s="1"/>
  <c r="BF88" i="75"/>
  <c r="GH88" i="75" s="1"/>
  <c r="BE88" i="75"/>
  <c r="GG88" i="75" s="1"/>
  <c r="BD88" i="75"/>
  <c r="GF88" i="75" s="1"/>
  <c r="BC88" i="75"/>
  <c r="GE88" i="75" s="1"/>
  <c r="BB88" i="75"/>
  <c r="GD88" i="75" s="1"/>
  <c r="AY88" i="75"/>
  <c r="AZ88" i="75" s="1"/>
  <c r="GB88" i="75" s="1"/>
  <c r="AX88" i="75"/>
  <c r="FZ88" i="75" s="1"/>
  <c r="AW88" i="75"/>
  <c r="FY88" i="75" s="1"/>
  <c r="AV88" i="75"/>
  <c r="FX88" i="75" s="1"/>
  <c r="AU88" i="75"/>
  <c r="FW88" i="75" s="1"/>
  <c r="AT88" i="75"/>
  <c r="FV88" i="75" s="1"/>
  <c r="AS88" i="75"/>
  <c r="FU88" i="75" s="1"/>
  <c r="AR88" i="75"/>
  <c r="FT88" i="75" s="1"/>
  <c r="AQ88" i="75"/>
  <c r="AN88" i="75"/>
  <c r="AM88" i="75"/>
  <c r="FO88" i="75" s="1"/>
  <c r="AL88" i="75"/>
  <c r="FN88" i="75" s="1"/>
  <c r="AK88" i="75"/>
  <c r="FM88" i="75" s="1"/>
  <c r="AJ88" i="75"/>
  <c r="FL88" i="75" s="1"/>
  <c r="AI88" i="75"/>
  <c r="FK88" i="75" s="1"/>
  <c r="AH88" i="75"/>
  <c r="FJ88" i="75" s="1"/>
  <c r="AG88" i="75"/>
  <c r="FI88" i="75" s="1"/>
  <c r="AF88" i="75"/>
  <c r="AC88" i="75"/>
  <c r="AB88" i="75"/>
  <c r="FD88" i="75" s="1"/>
  <c r="AA88" i="75"/>
  <c r="FC88" i="75" s="1"/>
  <c r="Z88" i="75"/>
  <c r="FB88" i="75" s="1"/>
  <c r="Y88" i="75"/>
  <c r="FA88" i="75" s="1"/>
  <c r="X88" i="75"/>
  <c r="EZ88" i="75" s="1"/>
  <c r="W88" i="75"/>
  <c r="EY88" i="75" s="1"/>
  <c r="V88" i="75"/>
  <c r="EX88" i="75" s="1"/>
  <c r="U88" i="75"/>
  <c r="EW88" i="75" s="1"/>
  <c r="EV88" i="75" s="1"/>
  <c r="S88" i="75"/>
  <c r="ET88" i="75" s="1"/>
  <c r="R88" i="75"/>
  <c r="ES88" i="75" s="1"/>
  <c r="Q88" i="75"/>
  <c r="ER88" i="75" s="1"/>
  <c r="P88" i="75"/>
  <c r="EQ88" i="75" s="1"/>
  <c r="O88" i="75"/>
  <c r="EP88" i="75" s="1"/>
  <c r="N88" i="75"/>
  <c r="EO88" i="75" s="1"/>
  <c r="M88" i="75"/>
  <c r="EN88" i="75" s="1"/>
  <c r="L88" i="75"/>
  <c r="EM88" i="75" s="1"/>
  <c r="K88" i="75"/>
  <c r="EL88" i="75" s="1"/>
  <c r="EK88" i="75" s="1"/>
  <c r="J88" i="75"/>
  <c r="F88" i="75"/>
  <c r="D88" i="75"/>
  <c r="EI87" i="75"/>
  <c r="EJ87" i="75" s="1"/>
  <c r="EH87" i="75"/>
  <c r="EG87" i="75"/>
  <c r="EF87" i="75"/>
  <c r="EE87" i="75"/>
  <c r="ED87" i="75"/>
  <c r="EC87" i="75"/>
  <c r="EB87" i="75"/>
  <c r="EA87" i="75"/>
  <c r="DZ87" i="75" s="1"/>
  <c r="DB87" i="75"/>
  <c r="DC87" i="75" s="1"/>
  <c r="DA87" i="75"/>
  <c r="CZ87" i="75"/>
  <c r="CY87" i="75"/>
  <c r="CX87" i="75"/>
  <c r="CW87" i="75"/>
  <c r="CV87" i="75"/>
  <c r="CU87" i="75"/>
  <c r="CT87" i="75"/>
  <c r="CS87" i="75"/>
  <c r="CQ87" i="75"/>
  <c r="CR87" i="75" s="1"/>
  <c r="CP87" i="75"/>
  <c r="CO87" i="75"/>
  <c r="CN87" i="75"/>
  <c r="CM87" i="75"/>
  <c r="CL87" i="75"/>
  <c r="CK87" i="75"/>
  <c r="CJ87" i="75"/>
  <c r="CI87" i="75"/>
  <c r="CH87" i="75" s="1"/>
  <c r="CF87" i="75"/>
  <c r="CG87" i="75" s="1"/>
  <c r="CE87" i="75"/>
  <c r="CD87" i="75"/>
  <c r="CC87" i="75"/>
  <c r="CB87" i="75"/>
  <c r="CA87" i="75"/>
  <c r="BZ87" i="75"/>
  <c r="BY87" i="75"/>
  <c r="BX87" i="75"/>
  <c r="BW87" i="75" s="1"/>
  <c r="BU87" i="75"/>
  <c r="BV87" i="75" s="1"/>
  <c r="BT87" i="75"/>
  <c r="BS87" i="75"/>
  <c r="BR87" i="75"/>
  <c r="BQ87" i="75"/>
  <c r="BP87" i="75"/>
  <c r="BO87" i="75"/>
  <c r="BN87" i="75"/>
  <c r="BM87" i="75"/>
  <c r="BL87" i="75" s="1"/>
  <c r="BJ87" i="75"/>
  <c r="GL87" i="75" s="1"/>
  <c r="BI87" i="75"/>
  <c r="GK87" i="75" s="1"/>
  <c r="BH87" i="75"/>
  <c r="GJ87" i="75" s="1"/>
  <c r="BG87" i="75"/>
  <c r="GI87" i="75" s="1"/>
  <c r="BF87" i="75"/>
  <c r="GH87" i="75" s="1"/>
  <c r="BE87" i="75"/>
  <c r="GG87" i="75" s="1"/>
  <c r="BD87" i="75"/>
  <c r="GF87" i="75" s="1"/>
  <c r="BC87" i="75"/>
  <c r="GE87" i="75" s="1"/>
  <c r="BB87" i="75"/>
  <c r="BA87" i="75" s="1"/>
  <c r="GC87" i="75" s="1"/>
  <c r="AY87" i="75"/>
  <c r="GA87" i="75" s="1"/>
  <c r="AX87" i="75"/>
  <c r="FZ87" i="75" s="1"/>
  <c r="AW87" i="75"/>
  <c r="FY87" i="75" s="1"/>
  <c r="AV87" i="75"/>
  <c r="FX87" i="75" s="1"/>
  <c r="AU87" i="75"/>
  <c r="FW87" i="75" s="1"/>
  <c r="AT87" i="75"/>
  <c r="FV87" i="75" s="1"/>
  <c r="AS87" i="75"/>
  <c r="FU87" i="75" s="1"/>
  <c r="AR87" i="75"/>
  <c r="FT87" i="75" s="1"/>
  <c r="AQ87" i="75"/>
  <c r="AP87" i="75" s="1"/>
  <c r="FR87" i="75" s="1"/>
  <c r="AN87" i="75"/>
  <c r="AM87" i="75"/>
  <c r="FO87" i="75" s="1"/>
  <c r="AL87" i="75"/>
  <c r="FN87" i="75" s="1"/>
  <c r="AK87" i="75"/>
  <c r="FM87" i="75" s="1"/>
  <c r="AJ87" i="75"/>
  <c r="FL87" i="75" s="1"/>
  <c r="AI87" i="75"/>
  <c r="FK87" i="75" s="1"/>
  <c r="AH87" i="75"/>
  <c r="FJ87" i="75" s="1"/>
  <c r="AG87" i="75"/>
  <c r="FI87" i="75" s="1"/>
  <c r="AF87" i="75"/>
  <c r="FH87" i="75" s="1"/>
  <c r="AC87" i="75"/>
  <c r="FE87" i="75" s="1"/>
  <c r="AB87" i="75"/>
  <c r="FD87" i="75" s="1"/>
  <c r="AA87" i="75"/>
  <c r="FC87" i="75" s="1"/>
  <c r="Z87" i="75"/>
  <c r="FB87" i="75" s="1"/>
  <c r="Y87" i="75"/>
  <c r="FA87" i="75" s="1"/>
  <c r="X87" i="75"/>
  <c r="EZ87" i="75" s="1"/>
  <c r="W87" i="75"/>
  <c r="EY87" i="75" s="1"/>
  <c r="V87" i="75"/>
  <c r="EX87" i="75" s="1"/>
  <c r="U87" i="75"/>
  <c r="EW87" i="75" s="1"/>
  <c r="EV87" i="75" s="1"/>
  <c r="S87" i="75"/>
  <c r="ET87" i="75" s="1"/>
  <c r="R87" i="75"/>
  <c r="ES87" i="75" s="1"/>
  <c r="Q87" i="75"/>
  <c r="ER87" i="75" s="1"/>
  <c r="P87" i="75"/>
  <c r="EQ87" i="75" s="1"/>
  <c r="O87" i="75"/>
  <c r="EP87" i="75" s="1"/>
  <c r="N87" i="75"/>
  <c r="EO87" i="75" s="1"/>
  <c r="M87" i="75"/>
  <c r="EN87" i="75" s="1"/>
  <c r="L87" i="75"/>
  <c r="EM87" i="75" s="1"/>
  <c r="K87" i="75"/>
  <c r="EL87" i="75" s="1"/>
  <c r="EK87" i="75" s="1"/>
  <c r="J87" i="75"/>
  <c r="F87" i="75"/>
  <c r="D87" i="75"/>
  <c r="EI86" i="75"/>
  <c r="EJ86" i="75" s="1"/>
  <c r="EH86" i="75"/>
  <c r="EG86" i="75"/>
  <c r="EF86" i="75"/>
  <c r="EE86" i="75"/>
  <c r="ED86" i="75"/>
  <c r="EC86" i="75"/>
  <c r="EB86" i="75"/>
  <c r="EA86" i="75"/>
  <c r="DZ86" i="75" s="1"/>
  <c r="DB86" i="75"/>
  <c r="DC86" i="75" s="1"/>
  <c r="DA86" i="75"/>
  <c r="CZ86" i="75"/>
  <c r="CY86" i="75"/>
  <c r="CX86" i="75"/>
  <c r="CW86" i="75"/>
  <c r="CV86" i="75"/>
  <c r="CU86" i="75"/>
  <c r="CT86" i="75"/>
  <c r="CS86" i="75" s="1"/>
  <c r="CQ86" i="75"/>
  <c r="CR86" i="75" s="1"/>
  <c r="CP86" i="75"/>
  <c r="CO86" i="75"/>
  <c r="CN86" i="75"/>
  <c r="CM86" i="75"/>
  <c r="CL86" i="75"/>
  <c r="CK86" i="75"/>
  <c r="CJ86" i="75"/>
  <c r="CI86" i="75"/>
  <c r="CH86" i="75" s="1"/>
  <c r="CF86" i="75"/>
  <c r="CG86" i="75" s="1"/>
  <c r="CE86" i="75"/>
  <c r="CD86" i="75"/>
  <c r="CC86" i="75"/>
  <c r="CB86" i="75"/>
  <c r="CA86" i="75"/>
  <c r="BZ86" i="75"/>
  <c r="BY86" i="75"/>
  <c r="BX86" i="75"/>
  <c r="BW86" i="75" s="1"/>
  <c r="BU86" i="75"/>
  <c r="BV86" i="75" s="1"/>
  <c r="BT86" i="75"/>
  <c r="BS86" i="75"/>
  <c r="BR86" i="75"/>
  <c r="BQ86" i="75"/>
  <c r="BP86" i="75"/>
  <c r="BO86" i="75"/>
  <c r="BN86" i="75"/>
  <c r="BM86" i="75"/>
  <c r="BL86" i="75"/>
  <c r="BJ86" i="75"/>
  <c r="GL86" i="75" s="1"/>
  <c r="BI86" i="75"/>
  <c r="GK86" i="75" s="1"/>
  <c r="BH86" i="75"/>
  <c r="GJ86" i="75" s="1"/>
  <c r="BG86" i="75"/>
  <c r="GI86" i="75" s="1"/>
  <c r="BF86" i="75"/>
  <c r="GH86" i="75" s="1"/>
  <c r="BE86" i="75"/>
  <c r="GG86" i="75" s="1"/>
  <c r="BD86" i="75"/>
  <c r="GF86" i="75" s="1"/>
  <c r="BC86" i="75"/>
  <c r="GE86" i="75" s="1"/>
  <c r="BB86" i="75"/>
  <c r="AY86" i="75"/>
  <c r="GA86" i="75" s="1"/>
  <c r="AX86" i="75"/>
  <c r="FZ86" i="75" s="1"/>
  <c r="AW86" i="75"/>
  <c r="FY86" i="75" s="1"/>
  <c r="AV86" i="75"/>
  <c r="FX86" i="75" s="1"/>
  <c r="AU86" i="75"/>
  <c r="FW86" i="75" s="1"/>
  <c r="AT86" i="75"/>
  <c r="FV86" i="75" s="1"/>
  <c r="AS86" i="75"/>
  <c r="FU86" i="75" s="1"/>
  <c r="AR86" i="75"/>
  <c r="FT86" i="75" s="1"/>
  <c r="AQ86" i="75"/>
  <c r="FS86" i="75" s="1"/>
  <c r="AN86" i="75"/>
  <c r="AO86" i="75" s="1"/>
  <c r="FQ86" i="75" s="1"/>
  <c r="AM86" i="75"/>
  <c r="FO86" i="75" s="1"/>
  <c r="AL86" i="75"/>
  <c r="FN86" i="75" s="1"/>
  <c r="AK86" i="75"/>
  <c r="FM86" i="75" s="1"/>
  <c r="AJ86" i="75"/>
  <c r="FL86" i="75" s="1"/>
  <c r="AI86" i="75"/>
  <c r="FK86" i="75" s="1"/>
  <c r="AH86" i="75"/>
  <c r="FJ86" i="75" s="1"/>
  <c r="AG86" i="75"/>
  <c r="FI86" i="75" s="1"/>
  <c r="AF86" i="75"/>
  <c r="AE86" i="75" s="1"/>
  <c r="FG86" i="75" s="1"/>
  <c r="AC86" i="75"/>
  <c r="FE86" i="75" s="1"/>
  <c r="AB86" i="75"/>
  <c r="FD86" i="75" s="1"/>
  <c r="AA86" i="75"/>
  <c r="FC86" i="75" s="1"/>
  <c r="Z86" i="75"/>
  <c r="FB86" i="75" s="1"/>
  <c r="Y86" i="75"/>
  <c r="FA86" i="75" s="1"/>
  <c r="X86" i="75"/>
  <c r="EZ86" i="75" s="1"/>
  <c r="W86" i="75"/>
  <c r="EY86" i="75" s="1"/>
  <c r="V86" i="75"/>
  <c r="EX86" i="75" s="1"/>
  <c r="U86" i="75"/>
  <c r="EW86" i="75" s="1"/>
  <c r="EV86" i="75" s="1"/>
  <c r="S86" i="75"/>
  <c r="ET86" i="75" s="1"/>
  <c r="R86" i="75"/>
  <c r="ES86" i="75" s="1"/>
  <c r="Q86" i="75"/>
  <c r="ER86" i="75" s="1"/>
  <c r="P86" i="75"/>
  <c r="EQ86" i="75" s="1"/>
  <c r="O86" i="75"/>
  <c r="EP86" i="75" s="1"/>
  <c r="N86" i="75"/>
  <c r="EO86" i="75" s="1"/>
  <c r="M86" i="75"/>
  <c r="EN86" i="75" s="1"/>
  <c r="L86" i="75"/>
  <c r="EM86" i="75" s="1"/>
  <c r="K86" i="75"/>
  <c r="EL86" i="75" s="1"/>
  <c r="EK86" i="75" s="1"/>
  <c r="J86" i="75"/>
  <c r="F86" i="75"/>
  <c r="D86" i="75"/>
  <c r="EI85" i="75"/>
  <c r="EJ85" i="75" s="1"/>
  <c r="EH85" i="75"/>
  <c r="EG85" i="75"/>
  <c r="EF85" i="75"/>
  <c r="EE85" i="75"/>
  <c r="ED85" i="75"/>
  <c r="EC85" i="75"/>
  <c r="EB85" i="75"/>
  <c r="EA85" i="75"/>
  <c r="DZ85" i="75" s="1"/>
  <c r="DB85" i="75"/>
  <c r="DC85" i="75" s="1"/>
  <c r="DA85" i="75"/>
  <c r="CZ85" i="75"/>
  <c r="CY85" i="75"/>
  <c r="CX85" i="75"/>
  <c r="CW85" i="75"/>
  <c r="CV85" i="75"/>
  <c r="CU85" i="75"/>
  <c r="CT85" i="75"/>
  <c r="CS85" i="75" s="1"/>
  <c r="CQ85" i="75"/>
  <c r="CR85" i="75" s="1"/>
  <c r="CP85" i="75"/>
  <c r="CO85" i="75"/>
  <c r="CN85" i="75"/>
  <c r="CM85" i="75"/>
  <c r="CL85" i="75"/>
  <c r="CK85" i="75"/>
  <c r="CJ85" i="75"/>
  <c r="CI85" i="75"/>
  <c r="CH85" i="75" s="1"/>
  <c r="CF85" i="75"/>
  <c r="CG85" i="75" s="1"/>
  <c r="CE85" i="75"/>
  <c r="CD85" i="75"/>
  <c r="CC85" i="75"/>
  <c r="CB85" i="75"/>
  <c r="CA85" i="75"/>
  <c r="BZ85" i="75"/>
  <c r="BY85" i="75"/>
  <c r="BX85" i="75"/>
  <c r="BW85" i="75"/>
  <c r="BU85" i="75"/>
  <c r="BV85" i="75" s="1"/>
  <c r="BT85" i="75"/>
  <c r="BS85" i="75"/>
  <c r="BR85" i="75"/>
  <c r="BQ85" i="75"/>
  <c r="BP85" i="75"/>
  <c r="BO85" i="75"/>
  <c r="BN85" i="75"/>
  <c r="BM85" i="75"/>
  <c r="BL85" i="75" s="1"/>
  <c r="BJ85" i="75"/>
  <c r="BK85" i="75" s="1"/>
  <c r="GM85" i="75" s="1"/>
  <c r="BI85" i="75"/>
  <c r="GK85" i="75" s="1"/>
  <c r="BH85" i="75"/>
  <c r="GJ85" i="75" s="1"/>
  <c r="BG85" i="75"/>
  <c r="GI85" i="75" s="1"/>
  <c r="BF85" i="75"/>
  <c r="GH85" i="75" s="1"/>
  <c r="BE85" i="75"/>
  <c r="GG85" i="75" s="1"/>
  <c r="BD85" i="75"/>
  <c r="GF85" i="75" s="1"/>
  <c r="BC85" i="75"/>
  <c r="GE85" i="75" s="1"/>
  <c r="BB85" i="75"/>
  <c r="BA85" i="75" s="1"/>
  <c r="GC85" i="75" s="1"/>
  <c r="AY85" i="75"/>
  <c r="GA85" i="75" s="1"/>
  <c r="AX85" i="75"/>
  <c r="FZ85" i="75" s="1"/>
  <c r="AW85" i="75"/>
  <c r="FY85" i="75" s="1"/>
  <c r="AV85" i="75"/>
  <c r="FX85" i="75" s="1"/>
  <c r="AU85" i="75"/>
  <c r="FW85" i="75" s="1"/>
  <c r="AT85" i="75"/>
  <c r="FV85" i="75" s="1"/>
  <c r="AS85" i="75"/>
  <c r="FU85" i="75" s="1"/>
  <c r="AR85" i="75"/>
  <c r="FT85" i="75" s="1"/>
  <c r="AQ85" i="75"/>
  <c r="FS85" i="75" s="1"/>
  <c r="AN85" i="75"/>
  <c r="FP85" i="75" s="1"/>
  <c r="AM85" i="75"/>
  <c r="FO85" i="75" s="1"/>
  <c r="AL85" i="75"/>
  <c r="FN85" i="75" s="1"/>
  <c r="AK85" i="75"/>
  <c r="FM85" i="75" s="1"/>
  <c r="AJ85" i="75"/>
  <c r="FL85" i="75" s="1"/>
  <c r="AI85" i="75"/>
  <c r="FK85" i="75" s="1"/>
  <c r="AH85" i="75"/>
  <c r="FJ85" i="75" s="1"/>
  <c r="AG85" i="75"/>
  <c r="FI85" i="75" s="1"/>
  <c r="AF85" i="75"/>
  <c r="AE85" i="75" s="1"/>
  <c r="FG85" i="75" s="1"/>
  <c r="AC85" i="75"/>
  <c r="FE85" i="75" s="1"/>
  <c r="AB85" i="75"/>
  <c r="FD85" i="75" s="1"/>
  <c r="AA85" i="75"/>
  <c r="FC85" i="75" s="1"/>
  <c r="Z85" i="75"/>
  <c r="FB85" i="75" s="1"/>
  <c r="Y85" i="75"/>
  <c r="FA85" i="75" s="1"/>
  <c r="X85" i="75"/>
  <c r="EZ85" i="75" s="1"/>
  <c r="W85" i="75"/>
  <c r="EY85" i="75" s="1"/>
  <c r="V85" i="75"/>
  <c r="EX85" i="75" s="1"/>
  <c r="U85" i="75"/>
  <c r="EW85" i="75" s="1"/>
  <c r="EV85" i="75" s="1"/>
  <c r="S85" i="75"/>
  <c r="T85" i="75" s="1"/>
  <c r="EU85" i="75" s="1"/>
  <c r="R85" i="75"/>
  <c r="ES85" i="75" s="1"/>
  <c r="Q85" i="75"/>
  <c r="ER85" i="75" s="1"/>
  <c r="P85" i="75"/>
  <c r="EQ85" i="75" s="1"/>
  <c r="O85" i="75"/>
  <c r="EP85" i="75" s="1"/>
  <c r="N85" i="75"/>
  <c r="EO85" i="75" s="1"/>
  <c r="M85" i="75"/>
  <c r="EN85" i="75" s="1"/>
  <c r="L85" i="75"/>
  <c r="EM85" i="75" s="1"/>
  <c r="K85" i="75"/>
  <c r="EL85" i="75" s="1"/>
  <c r="EK85" i="75" s="1"/>
  <c r="J85" i="75"/>
  <c r="F85" i="75"/>
  <c r="D85" i="75"/>
  <c r="EM84" i="75"/>
  <c r="EL84" i="75"/>
  <c r="EK84" i="75" s="1"/>
  <c r="EI84" i="75"/>
  <c r="EJ84" i="75" s="1"/>
  <c r="EH84" i="75"/>
  <c r="EG84" i="75"/>
  <c r="EF84" i="75"/>
  <c r="EE84" i="75"/>
  <c r="ED84" i="75"/>
  <c r="EC84" i="75"/>
  <c r="EB84" i="75"/>
  <c r="EA84" i="75"/>
  <c r="DZ84" i="75" s="1"/>
  <c r="DB84" i="75"/>
  <c r="DC84" i="75" s="1"/>
  <c r="DA84" i="75"/>
  <c r="CZ84" i="75"/>
  <c r="CY84" i="75"/>
  <c r="CX84" i="75"/>
  <c r="CW84" i="75"/>
  <c r="CV84" i="75"/>
  <c r="CU84" i="75"/>
  <c r="CT84" i="75"/>
  <c r="CS84" i="75" s="1"/>
  <c r="CQ84" i="75"/>
  <c r="CR84" i="75" s="1"/>
  <c r="CP84" i="75"/>
  <c r="CO84" i="75"/>
  <c r="CN84" i="75"/>
  <c r="CM84" i="75"/>
  <c r="CL84" i="75"/>
  <c r="CK84" i="75"/>
  <c r="CJ84" i="75"/>
  <c r="CI84" i="75"/>
  <c r="CH84" i="75" s="1"/>
  <c r="CF84" i="75"/>
  <c r="CG84" i="75" s="1"/>
  <c r="CE84" i="75"/>
  <c r="CD84" i="75"/>
  <c r="CC84" i="75"/>
  <c r="CB84" i="75"/>
  <c r="CA84" i="75"/>
  <c r="BZ84" i="75"/>
  <c r="BY84" i="75"/>
  <c r="BX84" i="75"/>
  <c r="BW84" i="75" s="1"/>
  <c r="BU84" i="75"/>
  <c r="BV84" i="75" s="1"/>
  <c r="BT84" i="75"/>
  <c r="BS84" i="75"/>
  <c r="BR84" i="75"/>
  <c r="BQ84" i="75"/>
  <c r="BP84" i="75"/>
  <c r="BO84" i="75"/>
  <c r="BN84" i="75"/>
  <c r="BM84" i="75"/>
  <c r="BL84" i="75" s="1"/>
  <c r="BJ84" i="75"/>
  <c r="GL84" i="75" s="1"/>
  <c r="BI84" i="75"/>
  <c r="GK84" i="75" s="1"/>
  <c r="BH84" i="75"/>
  <c r="GJ84" i="75" s="1"/>
  <c r="BG84" i="75"/>
  <c r="GI84" i="75" s="1"/>
  <c r="BF84" i="75"/>
  <c r="GH84" i="75" s="1"/>
  <c r="BE84" i="75"/>
  <c r="GG84" i="75" s="1"/>
  <c r="BD84" i="75"/>
  <c r="GF84" i="75" s="1"/>
  <c r="BC84" i="75"/>
  <c r="GE84" i="75" s="1"/>
  <c r="BB84" i="75"/>
  <c r="AY84" i="75"/>
  <c r="AZ84" i="75" s="1"/>
  <c r="GB84" i="75" s="1"/>
  <c r="AX84" i="75"/>
  <c r="FZ84" i="75" s="1"/>
  <c r="AW84" i="75"/>
  <c r="FY84" i="75" s="1"/>
  <c r="AV84" i="75"/>
  <c r="FX84" i="75" s="1"/>
  <c r="AU84" i="75"/>
  <c r="FW84" i="75" s="1"/>
  <c r="AT84" i="75"/>
  <c r="FV84" i="75" s="1"/>
  <c r="AS84" i="75"/>
  <c r="FU84" i="75" s="1"/>
  <c r="AR84" i="75"/>
  <c r="FT84" i="75" s="1"/>
  <c r="AQ84" i="75"/>
  <c r="AP84" i="75" s="1"/>
  <c r="FR84" i="75" s="1"/>
  <c r="AN84" i="75"/>
  <c r="FP84" i="75" s="1"/>
  <c r="AM84" i="75"/>
  <c r="FO84" i="75" s="1"/>
  <c r="AL84" i="75"/>
  <c r="FN84" i="75" s="1"/>
  <c r="AK84" i="75"/>
  <c r="FM84" i="75" s="1"/>
  <c r="AJ84" i="75"/>
  <c r="FL84" i="75" s="1"/>
  <c r="AI84" i="75"/>
  <c r="FK84" i="75" s="1"/>
  <c r="AH84" i="75"/>
  <c r="FJ84" i="75" s="1"/>
  <c r="AG84" i="75"/>
  <c r="FI84" i="75" s="1"/>
  <c r="AF84" i="75"/>
  <c r="AC84" i="75"/>
  <c r="AB84" i="75"/>
  <c r="FD84" i="75" s="1"/>
  <c r="AA84" i="75"/>
  <c r="FC84" i="75" s="1"/>
  <c r="Z84" i="75"/>
  <c r="FB84" i="75" s="1"/>
  <c r="Y84" i="75"/>
  <c r="FA84" i="75" s="1"/>
  <c r="X84" i="75"/>
  <c r="EZ84" i="75" s="1"/>
  <c r="W84" i="75"/>
  <c r="EY84" i="75" s="1"/>
  <c r="V84" i="75"/>
  <c r="EX84" i="75" s="1"/>
  <c r="U84" i="75"/>
  <c r="EW84" i="75" s="1"/>
  <c r="EV84" i="75" s="1"/>
  <c r="S84" i="75"/>
  <c r="T84" i="75" s="1"/>
  <c r="EU84" i="75" s="1"/>
  <c r="R84" i="75"/>
  <c r="ES84" i="75" s="1"/>
  <c r="Q84" i="75"/>
  <c r="ER84" i="75" s="1"/>
  <c r="P84" i="75"/>
  <c r="EQ84" i="75" s="1"/>
  <c r="O84" i="75"/>
  <c r="EP84" i="75" s="1"/>
  <c r="N84" i="75"/>
  <c r="EO84" i="75" s="1"/>
  <c r="M84" i="75"/>
  <c r="EN84" i="75" s="1"/>
  <c r="L84" i="75"/>
  <c r="K84" i="75"/>
  <c r="J84" i="75"/>
  <c r="F84" i="75"/>
  <c r="D84" i="75"/>
  <c r="FH83" i="75"/>
  <c r="EO83" i="75"/>
  <c r="EM83" i="75"/>
  <c r="EI83" i="75"/>
  <c r="EJ83" i="75" s="1"/>
  <c r="EH83" i="75"/>
  <c r="EG83" i="75"/>
  <c r="EF83" i="75"/>
  <c r="EE83" i="75"/>
  <c r="ED83" i="75"/>
  <c r="EC83" i="75"/>
  <c r="EB83" i="75"/>
  <c r="EA83" i="75"/>
  <c r="DZ83" i="75" s="1"/>
  <c r="DB83" i="75"/>
  <c r="DC83" i="75" s="1"/>
  <c r="DA83" i="75"/>
  <c r="CZ83" i="75"/>
  <c r="CY83" i="75"/>
  <c r="CX83" i="75"/>
  <c r="CW83" i="75"/>
  <c r="CV83" i="75"/>
  <c r="CU83" i="75"/>
  <c r="CT83" i="75"/>
  <c r="CS83" i="75"/>
  <c r="CQ83" i="75"/>
  <c r="CR83" i="75" s="1"/>
  <c r="CP83" i="75"/>
  <c r="CO83" i="75"/>
  <c r="CN83" i="75"/>
  <c r="CM83" i="75"/>
  <c r="CL83" i="75"/>
  <c r="CK83" i="75"/>
  <c r="CJ83" i="75"/>
  <c r="CI83" i="75"/>
  <c r="CH83" i="75" s="1"/>
  <c r="CF83" i="75"/>
  <c r="CG83" i="75" s="1"/>
  <c r="CE83" i="75"/>
  <c r="CD83" i="75"/>
  <c r="CC83" i="75"/>
  <c r="CB83" i="75"/>
  <c r="CA83" i="75"/>
  <c r="BZ83" i="75"/>
  <c r="BY83" i="75"/>
  <c r="BX83" i="75"/>
  <c r="BW83" i="75" s="1"/>
  <c r="BU83" i="75"/>
  <c r="BV83" i="75" s="1"/>
  <c r="BT83" i="75"/>
  <c r="BS83" i="75"/>
  <c r="BR83" i="75"/>
  <c r="BQ83" i="75"/>
  <c r="BP83" i="75"/>
  <c r="BO83" i="75"/>
  <c r="BN83" i="75"/>
  <c r="BM83" i="75"/>
  <c r="BL83" i="75" s="1"/>
  <c r="BJ83" i="75"/>
  <c r="GL83" i="75" s="1"/>
  <c r="BI83" i="75"/>
  <c r="GK83" i="75" s="1"/>
  <c r="BH83" i="75"/>
  <c r="GJ83" i="75" s="1"/>
  <c r="BG83" i="75"/>
  <c r="GI83" i="75" s="1"/>
  <c r="BF83" i="75"/>
  <c r="GH83" i="75" s="1"/>
  <c r="BE83" i="75"/>
  <c r="GG83" i="75" s="1"/>
  <c r="BD83" i="75"/>
  <c r="GF83" i="75" s="1"/>
  <c r="BC83" i="75"/>
  <c r="GE83" i="75" s="1"/>
  <c r="BB83" i="75"/>
  <c r="BA83" i="75" s="1"/>
  <c r="GC83" i="75" s="1"/>
  <c r="AY83" i="75"/>
  <c r="AZ83" i="75" s="1"/>
  <c r="GB83" i="75" s="1"/>
  <c r="AX83" i="75"/>
  <c r="FZ83" i="75" s="1"/>
  <c r="AW83" i="75"/>
  <c r="FY83" i="75" s="1"/>
  <c r="AV83" i="75"/>
  <c r="FX83" i="75" s="1"/>
  <c r="AU83" i="75"/>
  <c r="FW83" i="75" s="1"/>
  <c r="AT83" i="75"/>
  <c r="FV83" i="75" s="1"/>
  <c r="AS83" i="75"/>
  <c r="FU83" i="75" s="1"/>
  <c r="AR83" i="75"/>
  <c r="FT83" i="75" s="1"/>
  <c r="AQ83" i="75"/>
  <c r="FS83" i="75" s="1"/>
  <c r="AN83" i="75"/>
  <c r="AM83" i="75"/>
  <c r="FO83" i="75" s="1"/>
  <c r="AL83" i="75"/>
  <c r="FN83" i="75" s="1"/>
  <c r="AK83" i="75"/>
  <c r="FM83" i="75" s="1"/>
  <c r="AJ83" i="75"/>
  <c r="FL83" i="75" s="1"/>
  <c r="AI83" i="75"/>
  <c r="FK83" i="75" s="1"/>
  <c r="AH83" i="75"/>
  <c r="FJ83" i="75" s="1"/>
  <c r="AG83" i="75"/>
  <c r="FI83" i="75" s="1"/>
  <c r="AF83" i="75"/>
  <c r="AE83" i="75" s="1"/>
  <c r="FG83" i="75" s="1"/>
  <c r="AC83" i="75"/>
  <c r="FE83" i="75" s="1"/>
  <c r="AB83" i="75"/>
  <c r="FD83" i="75" s="1"/>
  <c r="AA83" i="75"/>
  <c r="FC83" i="75" s="1"/>
  <c r="Z83" i="75"/>
  <c r="FB83" i="75" s="1"/>
  <c r="Y83" i="75"/>
  <c r="FA83" i="75" s="1"/>
  <c r="X83" i="75"/>
  <c r="EZ83" i="75" s="1"/>
  <c r="W83" i="75"/>
  <c r="EY83" i="75" s="1"/>
  <c r="V83" i="75"/>
  <c r="EX83" i="75" s="1"/>
  <c r="U83" i="75"/>
  <c r="EW83" i="75" s="1"/>
  <c r="EV83" i="75" s="1"/>
  <c r="S83" i="75"/>
  <c r="ET83" i="75" s="1"/>
  <c r="R83" i="75"/>
  <c r="ES83" i="75" s="1"/>
  <c r="Q83" i="75"/>
  <c r="ER83" i="75" s="1"/>
  <c r="P83" i="75"/>
  <c r="EQ83" i="75" s="1"/>
  <c r="O83" i="75"/>
  <c r="EP83" i="75" s="1"/>
  <c r="N83" i="75"/>
  <c r="M83" i="75"/>
  <c r="EN83" i="75" s="1"/>
  <c r="L83" i="75"/>
  <c r="K83" i="75"/>
  <c r="EL83" i="75" s="1"/>
  <c r="EK83" i="75" s="1"/>
  <c r="J83" i="75"/>
  <c r="F83" i="75"/>
  <c r="D83" i="75"/>
  <c r="EI82" i="75"/>
  <c r="EJ82" i="75" s="1"/>
  <c r="EH82" i="75"/>
  <c r="EG82" i="75"/>
  <c r="EF82" i="75"/>
  <c r="EE82" i="75"/>
  <c r="ED82" i="75"/>
  <c r="EC82" i="75"/>
  <c r="EB82" i="75"/>
  <c r="EA82" i="75"/>
  <c r="DZ82" i="75" s="1"/>
  <c r="DB82" i="75"/>
  <c r="DC82" i="75" s="1"/>
  <c r="DA82" i="75"/>
  <c r="CZ82" i="75"/>
  <c r="CY82" i="75"/>
  <c r="CX82" i="75"/>
  <c r="CW82" i="75"/>
  <c r="CV82" i="75"/>
  <c r="CU82" i="75"/>
  <c r="CT82" i="75"/>
  <c r="CS82" i="75" s="1"/>
  <c r="CQ82" i="75"/>
  <c r="CR82" i="75" s="1"/>
  <c r="CP82" i="75"/>
  <c r="CO82" i="75"/>
  <c r="CN82" i="75"/>
  <c r="CM82" i="75"/>
  <c r="CL82" i="75"/>
  <c r="CK82" i="75"/>
  <c r="CJ82" i="75"/>
  <c r="CI82" i="75"/>
  <c r="CH82" i="75" s="1"/>
  <c r="CF82" i="75"/>
  <c r="CG82" i="75" s="1"/>
  <c r="CE82" i="75"/>
  <c r="CD82" i="75"/>
  <c r="CC82" i="75"/>
  <c r="CB82" i="75"/>
  <c r="CA82" i="75"/>
  <c r="BZ82" i="75"/>
  <c r="BY82" i="75"/>
  <c r="BX82" i="75"/>
  <c r="BW82" i="75" s="1"/>
  <c r="BU82" i="75"/>
  <c r="BV82" i="75" s="1"/>
  <c r="BT82" i="75"/>
  <c r="BS82" i="75"/>
  <c r="BR82" i="75"/>
  <c r="BQ82" i="75"/>
  <c r="BP82" i="75"/>
  <c r="BO82" i="75"/>
  <c r="BN82" i="75"/>
  <c r="BM82" i="75"/>
  <c r="BL82" i="75" s="1"/>
  <c r="BJ82" i="75"/>
  <c r="BK82" i="75" s="1"/>
  <c r="GM82" i="75" s="1"/>
  <c r="BI82" i="75"/>
  <c r="GK82" i="75" s="1"/>
  <c r="BH82" i="75"/>
  <c r="GJ82" i="75" s="1"/>
  <c r="BG82" i="75"/>
  <c r="GI82" i="75" s="1"/>
  <c r="BF82" i="75"/>
  <c r="GH82" i="75" s="1"/>
  <c r="BE82" i="75"/>
  <c r="GG82" i="75" s="1"/>
  <c r="BD82" i="75"/>
  <c r="GF82" i="75" s="1"/>
  <c r="BC82" i="75"/>
  <c r="GE82" i="75" s="1"/>
  <c r="BB82" i="75"/>
  <c r="GD82" i="75" s="1"/>
  <c r="AY82" i="75"/>
  <c r="AZ82" i="75" s="1"/>
  <c r="GB82" i="75" s="1"/>
  <c r="AX82" i="75"/>
  <c r="FZ82" i="75" s="1"/>
  <c r="AW82" i="75"/>
  <c r="FY82" i="75" s="1"/>
  <c r="AV82" i="75"/>
  <c r="FX82" i="75" s="1"/>
  <c r="AU82" i="75"/>
  <c r="FW82" i="75" s="1"/>
  <c r="AT82" i="75"/>
  <c r="FV82" i="75" s="1"/>
  <c r="AS82" i="75"/>
  <c r="FU82" i="75" s="1"/>
  <c r="AR82" i="75"/>
  <c r="FT82" i="75" s="1"/>
  <c r="AQ82" i="75"/>
  <c r="AN82" i="75"/>
  <c r="AO82" i="75" s="1"/>
  <c r="FQ82" i="75" s="1"/>
  <c r="AM82" i="75"/>
  <c r="FO82" i="75" s="1"/>
  <c r="AL82" i="75"/>
  <c r="FN82" i="75" s="1"/>
  <c r="AK82" i="75"/>
  <c r="FM82" i="75" s="1"/>
  <c r="AJ82" i="75"/>
  <c r="FL82" i="75" s="1"/>
  <c r="AI82" i="75"/>
  <c r="FK82" i="75" s="1"/>
  <c r="AH82" i="75"/>
  <c r="FJ82" i="75" s="1"/>
  <c r="AG82" i="75"/>
  <c r="FI82" i="75" s="1"/>
  <c r="AF82" i="75"/>
  <c r="FH82" i="75" s="1"/>
  <c r="AC82" i="75"/>
  <c r="AD82" i="75" s="1"/>
  <c r="FF82" i="75" s="1"/>
  <c r="AB82" i="75"/>
  <c r="FD82" i="75" s="1"/>
  <c r="AA82" i="75"/>
  <c r="FC82" i="75" s="1"/>
  <c r="Z82" i="75"/>
  <c r="FB82" i="75" s="1"/>
  <c r="Y82" i="75"/>
  <c r="FA82" i="75" s="1"/>
  <c r="X82" i="75"/>
  <c r="EZ82" i="75" s="1"/>
  <c r="W82" i="75"/>
  <c r="EY82" i="75" s="1"/>
  <c r="V82" i="75"/>
  <c r="EX82" i="75" s="1"/>
  <c r="U82" i="75"/>
  <c r="EW82" i="75" s="1"/>
  <c r="EV82" i="75" s="1"/>
  <c r="S82" i="75"/>
  <c r="ET82" i="75" s="1"/>
  <c r="R82" i="75"/>
  <c r="ES82" i="75" s="1"/>
  <c r="Q82" i="75"/>
  <c r="ER82" i="75" s="1"/>
  <c r="P82" i="75"/>
  <c r="EQ82" i="75" s="1"/>
  <c r="O82" i="75"/>
  <c r="EP82" i="75" s="1"/>
  <c r="N82" i="75"/>
  <c r="EO82" i="75" s="1"/>
  <c r="M82" i="75"/>
  <c r="EN82" i="75" s="1"/>
  <c r="L82" i="75"/>
  <c r="EM82" i="75" s="1"/>
  <c r="K82" i="75"/>
  <c r="EL82" i="75" s="1"/>
  <c r="EK82" i="75" s="1"/>
  <c r="J82" i="75"/>
  <c r="F82" i="75"/>
  <c r="D82" i="75"/>
  <c r="FD81" i="75"/>
  <c r="EI81" i="75"/>
  <c r="EJ81" i="75" s="1"/>
  <c r="EH81" i="75"/>
  <c r="EG81" i="75"/>
  <c r="EF81" i="75"/>
  <c r="EE81" i="75"/>
  <c r="ED81" i="75"/>
  <c r="EC81" i="75"/>
  <c r="EB81" i="75"/>
  <c r="EA81" i="75"/>
  <c r="DZ81" i="75" s="1"/>
  <c r="DB81" i="75"/>
  <c r="DC81" i="75" s="1"/>
  <c r="DA81" i="75"/>
  <c r="CZ81" i="75"/>
  <c r="CY81" i="75"/>
  <c r="CX81" i="75"/>
  <c r="CW81" i="75"/>
  <c r="CV81" i="75"/>
  <c r="CU81" i="75"/>
  <c r="CT81" i="75"/>
  <c r="CS81" i="75" s="1"/>
  <c r="CQ81" i="75"/>
  <c r="CR81" i="75" s="1"/>
  <c r="CP81" i="75"/>
  <c r="CO81" i="75"/>
  <c r="CN81" i="75"/>
  <c r="CM81" i="75"/>
  <c r="CL81" i="75"/>
  <c r="CK81" i="75"/>
  <c r="CJ81" i="75"/>
  <c r="CI81" i="75"/>
  <c r="CH81" i="75" s="1"/>
  <c r="CF81" i="75"/>
  <c r="CG81" i="75" s="1"/>
  <c r="CE81" i="75"/>
  <c r="CD81" i="75"/>
  <c r="CC81" i="75"/>
  <c r="CB81" i="75"/>
  <c r="CA81" i="75"/>
  <c r="BZ81" i="75"/>
  <c r="BY81" i="75"/>
  <c r="BX81" i="75"/>
  <c r="BW81" i="75" s="1"/>
  <c r="BU81" i="75"/>
  <c r="BV81" i="75" s="1"/>
  <c r="BT81" i="75"/>
  <c r="BS81" i="75"/>
  <c r="BR81" i="75"/>
  <c r="BQ81" i="75"/>
  <c r="BP81" i="75"/>
  <c r="BO81" i="75"/>
  <c r="BN81" i="75"/>
  <c r="BM81" i="75"/>
  <c r="BL81" i="75" s="1"/>
  <c r="BJ81" i="75"/>
  <c r="BK81" i="75" s="1"/>
  <c r="GM81" i="75" s="1"/>
  <c r="BI81" i="75"/>
  <c r="GK81" i="75" s="1"/>
  <c r="BH81" i="75"/>
  <c r="GJ81" i="75" s="1"/>
  <c r="BG81" i="75"/>
  <c r="GI81" i="75" s="1"/>
  <c r="BF81" i="75"/>
  <c r="GH81" i="75" s="1"/>
  <c r="BE81" i="75"/>
  <c r="GG81" i="75" s="1"/>
  <c r="BD81" i="75"/>
  <c r="GF81" i="75" s="1"/>
  <c r="BC81" i="75"/>
  <c r="GE81" i="75" s="1"/>
  <c r="BB81" i="75"/>
  <c r="GD81" i="75" s="1"/>
  <c r="AY81" i="75"/>
  <c r="GA81" i="75" s="1"/>
  <c r="AX81" i="75"/>
  <c r="FZ81" i="75" s="1"/>
  <c r="AW81" i="75"/>
  <c r="FY81" i="75" s="1"/>
  <c r="AV81" i="75"/>
  <c r="FX81" i="75" s="1"/>
  <c r="AU81" i="75"/>
  <c r="FW81" i="75" s="1"/>
  <c r="AT81" i="75"/>
  <c r="FV81" i="75" s="1"/>
  <c r="AS81" i="75"/>
  <c r="FU81" i="75" s="1"/>
  <c r="AR81" i="75"/>
  <c r="FT81" i="75" s="1"/>
  <c r="AQ81" i="75"/>
  <c r="FS81" i="75" s="1"/>
  <c r="AP81" i="75"/>
  <c r="FR81" i="75" s="1"/>
  <c r="AN81" i="75"/>
  <c r="FP81" i="75" s="1"/>
  <c r="AM81" i="75"/>
  <c r="FO81" i="75" s="1"/>
  <c r="AL81" i="75"/>
  <c r="FN81" i="75" s="1"/>
  <c r="AK81" i="75"/>
  <c r="FM81" i="75" s="1"/>
  <c r="AJ81" i="75"/>
  <c r="FL81" i="75" s="1"/>
  <c r="AI81" i="75"/>
  <c r="FK81" i="75" s="1"/>
  <c r="AH81" i="75"/>
  <c r="FJ81" i="75" s="1"/>
  <c r="AG81" i="75"/>
  <c r="FI81" i="75" s="1"/>
  <c r="AF81" i="75"/>
  <c r="AE81" i="75" s="1"/>
  <c r="FG81" i="75" s="1"/>
  <c r="AC81" i="75"/>
  <c r="AD81" i="75" s="1"/>
  <c r="FF81" i="75" s="1"/>
  <c r="AB81" i="75"/>
  <c r="AA81" i="75"/>
  <c r="FC81" i="75" s="1"/>
  <c r="Z81" i="75"/>
  <c r="FB81" i="75" s="1"/>
  <c r="Y81" i="75"/>
  <c r="FA81" i="75" s="1"/>
  <c r="X81" i="75"/>
  <c r="EZ81" i="75" s="1"/>
  <c r="W81" i="75"/>
  <c r="EY81" i="75" s="1"/>
  <c r="V81" i="75"/>
  <c r="EX81" i="75" s="1"/>
  <c r="U81" i="75"/>
  <c r="EW81" i="75" s="1"/>
  <c r="EV81" i="75" s="1"/>
  <c r="S81" i="75"/>
  <c r="T81" i="75" s="1"/>
  <c r="EU81" i="75" s="1"/>
  <c r="R81" i="75"/>
  <c r="ES81" i="75" s="1"/>
  <c r="Q81" i="75"/>
  <c r="ER81" i="75" s="1"/>
  <c r="P81" i="75"/>
  <c r="EQ81" i="75" s="1"/>
  <c r="O81" i="75"/>
  <c r="EP81" i="75" s="1"/>
  <c r="N81" i="75"/>
  <c r="EO81" i="75" s="1"/>
  <c r="M81" i="75"/>
  <c r="EN81" i="75" s="1"/>
  <c r="L81" i="75"/>
  <c r="EM81" i="75" s="1"/>
  <c r="K81" i="75"/>
  <c r="EL81" i="75" s="1"/>
  <c r="EK81" i="75" s="1"/>
  <c r="J81" i="75"/>
  <c r="F81" i="75"/>
  <c r="D81" i="75"/>
  <c r="EI80" i="75"/>
  <c r="EJ80" i="75" s="1"/>
  <c r="EH80" i="75"/>
  <c r="EG80" i="75"/>
  <c r="EF80" i="75"/>
  <c r="EE80" i="75"/>
  <c r="ED80" i="75"/>
  <c r="EC80" i="75"/>
  <c r="EB80" i="75"/>
  <c r="EA80" i="75"/>
  <c r="DZ80" i="75" s="1"/>
  <c r="DB80" i="75"/>
  <c r="DC80" i="75" s="1"/>
  <c r="DA80" i="75"/>
  <c r="CZ80" i="75"/>
  <c r="CY80" i="75"/>
  <c r="CX80" i="75"/>
  <c r="CW80" i="75"/>
  <c r="CV80" i="75"/>
  <c r="CU80" i="75"/>
  <c r="CT80" i="75"/>
  <c r="CS80" i="75" s="1"/>
  <c r="CQ80" i="75"/>
  <c r="CR80" i="75" s="1"/>
  <c r="CP80" i="75"/>
  <c r="CO80" i="75"/>
  <c r="CN80" i="75"/>
  <c r="CM80" i="75"/>
  <c r="CL80" i="75"/>
  <c r="CK80" i="75"/>
  <c r="CJ80" i="75"/>
  <c r="CI80" i="75"/>
  <c r="CH80" i="75" s="1"/>
  <c r="CF80" i="75"/>
  <c r="CG80" i="75" s="1"/>
  <c r="CE80" i="75"/>
  <c r="CD80" i="75"/>
  <c r="CC80" i="75"/>
  <c r="CB80" i="75"/>
  <c r="CA80" i="75"/>
  <c r="BZ80" i="75"/>
  <c r="BY80" i="75"/>
  <c r="BX80" i="75"/>
  <c r="BW80" i="75" s="1"/>
  <c r="BU80" i="75"/>
  <c r="BV80" i="75" s="1"/>
  <c r="BT80" i="75"/>
  <c r="BS80" i="75"/>
  <c r="BR80" i="75"/>
  <c r="BQ80" i="75"/>
  <c r="BP80" i="75"/>
  <c r="BO80" i="75"/>
  <c r="BN80" i="75"/>
  <c r="BM80" i="75"/>
  <c r="BL80" i="75" s="1"/>
  <c r="BJ80" i="75"/>
  <c r="BK80" i="75" s="1"/>
  <c r="GM80" i="75" s="1"/>
  <c r="BI80" i="75"/>
  <c r="GK80" i="75" s="1"/>
  <c r="BH80" i="75"/>
  <c r="GJ80" i="75" s="1"/>
  <c r="BG80" i="75"/>
  <c r="GI80" i="75" s="1"/>
  <c r="BF80" i="75"/>
  <c r="GH80" i="75" s="1"/>
  <c r="BE80" i="75"/>
  <c r="GG80" i="75" s="1"/>
  <c r="BD80" i="75"/>
  <c r="GF80" i="75" s="1"/>
  <c r="BC80" i="75"/>
  <c r="GE80" i="75" s="1"/>
  <c r="BB80" i="75"/>
  <c r="BA80" i="75" s="1"/>
  <c r="GC80" i="75" s="1"/>
  <c r="AY80" i="75"/>
  <c r="GA80" i="75" s="1"/>
  <c r="AX80" i="75"/>
  <c r="FZ80" i="75" s="1"/>
  <c r="AW80" i="75"/>
  <c r="FY80" i="75" s="1"/>
  <c r="AV80" i="75"/>
  <c r="FX80" i="75" s="1"/>
  <c r="AU80" i="75"/>
  <c r="FW80" i="75" s="1"/>
  <c r="AT80" i="75"/>
  <c r="FV80" i="75" s="1"/>
  <c r="AS80" i="75"/>
  <c r="FU80" i="75" s="1"/>
  <c r="AR80" i="75"/>
  <c r="FT80" i="75" s="1"/>
  <c r="AQ80" i="75"/>
  <c r="FS80" i="75" s="1"/>
  <c r="AN80" i="75"/>
  <c r="FP80" i="75" s="1"/>
  <c r="AM80" i="75"/>
  <c r="FO80" i="75" s="1"/>
  <c r="AL80" i="75"/>
  <c r="FN80" i="75" s="1"/>
  <c r="AK80" i="75"/>
  <c r="FM80" i="75" s="1"/>
  <c r="AJ80" i="75"/>
  <c r="FL80" i="75" s="1"/>
  <c r="AI80" i="75"/>
  <c r="FK80" i="75" s="1"/>
  <c r="AH80" i="75"/>
  <c r="FJ80" i="75" s="1"/>
  <c r="AG80" i="75"/>
  <c r="FI80" i="75" s="1"/>
  <c r="AF80" i="75"/>
  <c r="AE80" i="75" s="1"/>
  <c r="FG80" i="75" s="1"/>
  <c r="AC80" i="75"/>
  <c r="AD80" i="75" s="1"/>
  <c r="FF80" i="75" s="1"/>
  <c r="AB80" i="75"/>
  <c r="FD80" i="75" s="1"/>
  <c r="AA80" i="75"/>
  <c r="FC80" i="75" s="1"/>
  <c r="Z80" i="75"/>
  <c r="FB80" i="75" s="1"/>
  <c r="Y80" i="75"/>
  <c r="FA80" i="75" s="1"/>
  <c r="X80" i="75"/>
  <c r="EZ80" i="75" s="1"/>
  <c r="W80" i="75"/>
  <c r="EY80" i="75" s="1"/>
  <c r="V80" i="75"/>
  <c r="EX80" i="75" s="1"/>
  <c r="U80" i="75"/>
  <c r="EW80" i="75" s="1"/>
  <c r="EV80" i="75" s="1"/>
  <c r="S80" i="75"/>
  <c r="ET80" i="75" s="1"/>
  <c r="R80" i="75"/>
  <c r="ES80" i="75" s="1"/>
  <c r="Q80" i="75"/>
  <c r="ER80" i="75" s="1"/>
  <c r="P80" i="75"/>
  <c r="EQ80" i="75" s="1"/>
  <c r="O80" i="75"/>
  <c r="EP80" i="75" s="1"/>
  <c r="N80" i="75"/>
  <c r="EO80" i="75" s="1"/>
  <c r="M80" i="75"/>
  <c r="EN80" i="75" s="1"/>
  <c r="L80" i="75"/>
  <c r="EM80" i="75" s="1"/>
  <c r="K80" i="75"/>
  <c r="EL80" i="75" s="1"/>
  <c r="EK80" i="75" s="1"/>
  <c r="J80" i="75"/>
  <c r="F80" i="75"/>
  <c r="D80" i="75"/>
  <c r="EI79" i="75"/>
  <c r="EJ79" i="75" s="1"/>
  <c r="EH79" i="75"/>
  <c r="EG79" i="75"/>
  <c r="EF79" i="75"/>
  <c r="EE79" i="75"/>
  <c r="ED79" i="75"/>
  <c r="EC79" i="75"/>
  <c r="EB79" i="75"/>
  <c r="EA79" i="75"/>
  <c r="DZ79" i="75" s="1"/>
  <c r="DB79" i="75"/>
  <c r="DC79" i="75" s="1"/>
  <c r="DA79" i="75"/>
  <c r="CZ79" i="75"/>
  <c r="CY79" i="75"/>
  <c r="CX79" i="75"/>
  <c r="CW79" i="75"/>
  <c r="CV79" i="75"/>
  <c r="CU79" i="75"/>
  <c r="CT79" i="75"/>
  <c r="CS79" i="75" s="1"/>
  <c r="CQ79" i="75"/>
  <c r="CR79" i="75" s="1"/>
  <c r="CP79" i="75"/>
  <c r="CO79" i="75"/>
  <c r="CN79" i="75"/>
  <c r="CM79" i="75"/>
  <c r="CL79" i="75"/>
  <c r="CK79" i="75"/>
  <c r="CJ79" i="75"/>
  <c r="CI79" i="75"/>
  <c r="CH79" i="75" s="1"/>
  <c r="CF79" i="75"/>
  <c r="CG79" i="75" s="1"/>
  <c r="CE79" i="75"/>
  <c r="CD79" i="75"/>
  <c r="CC79" i="75"/>
  <c r="CB79" i="75"/>
  <c r="CA79" i="75"/>
  <c r="BZ79" i="75"/>
  <c r="BY79" i="75"/>
  <c r="BX79" i="75"/>
  <c r="BW79" i="75" s="1"/>
  <c r="BU79" i="75"/>
  <c r="BV79" i="75" s="1"/>
  <c r="BT79" i="75"/>
  <c r="BS79" i="75"/>
  <c r="BR79" i="75"/>
  <c r="BQ79" i="75"/>
  <c r="BP79" i="75"/>
  <c r="BO79" i="75"/>
  <c r="BN79" i="75"/>
  <c r="BM79" i="75"/>
  <c r="BL79" i="75" s="1"/>
  <c r="BJ79" i="75"/>
  <c r="GL79" i="75" s="1"/>
  <c r="BI79" i="75"/>
  <c r="GK79" i="75" s="1"/>
  <c r="BH79" i="75"/>
  <c r="GJ79" i="75" s="1"/>
  <c r="BG79" i="75"/>
  <c r="GI79" i="75" s="1"/>
  <c r="BF79" i="75"/>
  <c r="GH79" i="75" s="1"/>
  <c r="BE79" i="75"/>
  <c r="GG79" i="75" s="1"/>
  <c r="BD79" i="75"/>
  <c r="GF79" i="75" s="1"/>
  <c r="BC79" i="75"/>
  <c r="GE79" i="75" s="1"/>
  <c r="BB79" i="75"/>
  <c r="BA79" i="75" s="1"/>
  <c r="GC79" i="75" s="1"/>
  <c r="AY79" i="75"/>
  <c r="AZ79" i="75" s="1"/>
  <c r="GB79" i="75" s="1"/>
  <c r="AX79" i="75"/>
  <c r="FZ79" i="75" s="1"/>
  <c r="AW79" i="75"/>
  <c r="FY79" i="75" s="1"/>
  <c r="AV79" i="75"/>
  <c r="FX79" i="75" s="1"/>
  <c r="AU79" i="75"/>
  <c r="FW79" i="75" s="1"/>
  <c r="AT79" i="75"/>
  <c r="FV79" i="75" s="1"/>
  <c r="AS79" i="75"/>
  <c r="FU79" i="75" s="1"/>
  <c r="AR79" i="75"/>
  <c r="FT79" i="75" s="1"/>
  <c r="AQ79" i="75"/>
  <c r="FS79" i="75" s="1"/>
  <c r="AN79" i="75"/>
  <c r="AO79" i="75" s="1"/>
  <c r="FQ79" i="75" s="1"/>
  <c r="AM79" i="75"/>
  <c r="FO79" i="75" s="1"/>
  <c r="AL79" i="75"/>
  <c r="FN79" i="75" s="1"/>
  <c r="AK79" i="75"/>
  <c r="FM79" i="75" s="1"/>
  <c r="AJ79" i="75"/>
  <c r="FL79" i="75" s="1"/>
  <c r="AI79" i="75"/>
  <c r="FK79" i="75" s="1"/>
  <c r="AH79" i="75"/>
  <c r="FJ79" i="75" s="1"/>
  <c r="AG79" i="75"/>
  <c r="FI79" i="75" s="1"/>
  <c r="AF79" i="75"/>
  <c r="AC79" i="75"/>
  <c r="AD79" i="75" s="1"/>
  <c r="FF79" i="75" s="1"/>
  <c r="AB79" i="75"/>
  <c r="FD79" i="75" s="1"/>
  <c r="AA79" i="75"/>
  <c r="FC79" i="75" s="1"/>
  <c r="Z79" i="75"/>
  <c r="FB79" i="75" s="1"/>
  <c r="Y79" i="75"/>
  <c r="FA79" i="75" s="1"/>
  <c r="X79" i="75"/>
  <c r="EZ79" i="75" s="1"/>
  <c r="W79" i="75"/>
  <c r="EY79" i="75" s="1"/>
  <c r="V79" i="75"/>
  <c r="EX79" i="75" s="1"/>
  <c r="U79" i="75"/>
  <c r="EW79" i="75" s="1"/>
  <c r="EV79" i="75" s="1"/>
  <c r="S79" i="75"/>
  <c r="T79" i="75" s="1"/>
  <c r="EU79" i="75" s="1"/>
  <c r="R79" i="75"/>
  <c r="ES79" i="75" s="1"/>
  <c r="Q79" i="75"/>
  <c r="ER79" i="75" s="1"/>
  <c r="P79" i="75"/>
  <c r="EQ79" i="75" s="1"/>
  <c r="O79" i="75"/>
  <c r="EP79" i="75" s="1"/>
  <c r="N79" i="75"/>
  <c r="EO79" i="75" s="1"/>
  <c r="M79" i="75"/>
  <c r="EN79" i="75" s="1"/>
  <c r="L79" i="75"/>
  <c r="EM79" i="75" s="1"/>
  <c r="K79" i="75"/>
  <c r="EL79" i="75" s="1"/>
  <c r="EK79" i="75" s="1"/>
  <c r="J79" i="75"/>
  <c r="F79" i="75"/>
  <c r="D79" i="75"/>
  <c r="EI78" i="75"/>
  <c r="EJ78" i="75" s="1"/>
  <c r="EH78" i="75"/>
  <c r="EG78" i="75"/>
  <c r="EF78" i="75"/>
  <c r="EE78" i="75"/>
  <c r="ED78" i="75"/>
  <c r="EC78" i="75"/>
  <c r="EB78" i="75"/>
  <c r="EA78" i="75"/>
  <c r="DZ78" i="75" s="1"/>
  <c r="DB78" i="75"/>
  <c r="DC78" i="75" s="1"/>
  <c r="DA78" i="75"/>
  <c r="CZ78" i="75"/>
  <c r="CY78" i="75"/>
  <c r="CX78" i="75"/>
  <c r="CW78" i="75"/>
  <c r="CV78" i="75"/>
  <c r="CU78" i="75"/>
  <c r="CT78" i="75"/>
  <c r="CS78" i="75" s="1"/>
  <c r="CQ78" i="75"/>
  <c r="CR78" i="75" s="1"/>
  <c r="CP78" i="75"/>
  <c r="CO78" i="75"/>
  <c r="CN78" i="75"/>
  <c r="CM78" i="75"/>
  <c r="CL78" i="75"/>
  <c r="CK78" i="75"/>
  <c r="CJ78" i="75"/>
  <c r="CI78" i="75"/>
  <c r="CH78" i="75" s="1"/>
  <c r="CF78" i="75"/>
  <c r="CG78" i="75" s="1"/>
  <c r="CE78" i="75"/>
  <c r="CD78" i="75"/>
  <c r="CC78" i="75"/>
  <c r="CB78" i="75"/>
  <c r="CA78" i="75"/>
  <c r="BZ78" i="75"/>
  <c r="BY78" i="75"/>
  <c r="BX78" i="75"/>
  <c r="BW78" i="75" s="1"/>
  <c r="BU78" i="75"/>
  <c r="BV78" i="75" s="1"/>
  <c r="BT78" i="75"/>
  <c r="BS78" i="75"/>
  <c r="BR78" i="75"/>
  <c r="BQ78" i="75"/>
  <c r="BP78" i="75"/>
  <c r="BO78" i="75"/>
  <c r="BN78" i="75"/>
  <c r="BM78" i="75"/>
  <c r="BL78" i="75" s="1"/>
  <c r="BJ78" i="75"/>
  <c r="BK78" i="75" s="1"/>
  <c r="GM78" i="75" s="1"/>
  <c r="BI78" i="75"/>
  <c r="GK78" i="75" s="1"/>
  <c r="BH78" i="75"/>
  <c r="GJ78" i="75" s="1"/>
  <c r="BG78" i="75"/>
  <c r="GI78" i="75" s="1"/>
  <c r="BF78" i="75"/>
  <c r="GH78" i="75" s="1"/>
  <c r="BE78" i="75"/>
  <c r="GG78" i="75" s="1"/>
  <c r="BD78" i="75"/>
  <c r="GF78" i="75" s="1"/>
  <c r="BC78" i="75"/>
  <c r="GE78" i="75" s="1"/>
  <c r="BB78" i="75"/>
  <c r="BA78" i="75" s="1"/>
  <c r="GC78" i="75" s="1"/>
  <c r="AY78" i="75"/>
  <c r="GA78" i="75" s="1"/>
  <c r="AX78" i="75"/>
  <c r="FZ78" i="75" s="1"/>
  <c r="AW78" i="75"/>
  <c r="FY78" i="75" s="1"/>
  <c r="AV78" i="75"/>
  <c r="FX78" i="75" s="1"/>
  <c r="AU78" i="75"/>
  <c r="FW78" i="75" s="1"/>
  <c r="AT78" i="75"/>
  <c r="FV78" i="75" s="1"/>
  <c r="AS78" i="75"/>
  <c r="FU78" i="75" s="1"/>
  <c r="AR78" i="75"/>
  <c r="FT78" i="75" s="1"/>
  <c r="AQ78" i="75"/>
  <c r="AP78" i="75" s="1"/>
  <c r="FR78" i="75" s="1"/>
  <c r="AN78" i="75"/>
  <c r="FP78" i="75" s="1"/>
  <c r="AM78" i="75"/>
  <c r="FO78" i="75" s="1"/>
  <c r="AL78" i="75"/>
  <c r="FN78" i="75" s="1"/>
  <c r="AK78" i="75"/>
  <c r="FM78" i="75" s="1"/>
  <c r="AJ78" i="75"/>
  <c r="FL78" i="75" s="1"/>
  <c r="AI78" i="75"/>
  <c r="FK78" i="75" s="1"/>
  <c r="AH78" i="75"/>
  <c r="FJ78" i="75" s="1"/>
  <c r="AG78" i="75"/>
  <c r="FI78" i="75" s="1"/>
  <c r="AF78" i="75"/>
  <c r="FH78" i="75" s="1"/>
  <c r="AC78" i="75"/>
  <c r="FE78" i="75" s="1"/>
  <c r="AB78" i="75"/>
  <c r="FD78" i="75" s="1"/>
  <c r="AA78" i="75"/>
  <c r="FC78" i="75" s="1"/>
  <c r="Z78" i="75"/>
  <c r="FB78" i="75" s="1"/>
  <c r="Y78" i="75"/>
  <c r="FA78" i="75" s="1"/>
  <c r="X78" i="75"/>
  <c r="EZ78" i="75" s="1"/>
  <c r="W78" i="75"/>
  <c r="EY78" i="75" s="1"/>
  <c r="V78" i="75"/>
  <c r="EX78" i="75" s="1"/>
  <c r="U78" i="75"/>
  <c r="EW78" i="75" s="1"/>
  <c r="EV78" i="75" s="1"/>
  <c r="S78" i="75"/>
  <c r="T78" i="75" s="1"/>
  <c r="EU78" i="75" s="1"/>
  <c r="R78" i="75"/>
  <c r="ES78" i="75" s="1"/>
  <c r="Q78" i="75"/>
  <c r="ER78" i="75" s="1"/>
  <c r="P78" i="75"/>
  <c r="EQ78" i="75" s="1"/>
  <c r="O78" i="75"/>
  <c r="EP78" i="75" s="1"/>
  <c r="N78" i="75"/>
  <c r="EO78" i="75" s="1"/>
  <c r="M78" i="75"/>
  <c r="EN78" i="75" s="1"/>
  <c r="L78" i="75"/>
  <c r="EM78" i="75" s="1"/>
  <c r="K78" i="75"/>
  <c r="EL78" i="75" s="1"/>
  <c r="EK78" i="75" s="1"/>
  <c r="J78" i="75"/>
  <c r="F78" i="75"/>
  <c r="D78" i="75"/>
  <c r="EI77" i="75"/>
  <c r="EJ77" i="75" s="1"/>
  <c r="EH77" i="75"/>
  <c r="EG77" i="75"/>
  <c r="EF77" i="75"/>
  <c r="EE77" i="75"/>
  <c r="ED77" i="75"/>
  <c r="EC77" i="75"/>
  <c r="EB77" i="75"/>
  <c r="EA77" i="75"/>
  <c r="DZ77" i="75" s="1"/>
  <c r="DB77" i="75"/>
  <c r="DC77" i="75" s="1"/>
  <c r="DA77" i="75"/>
  <c r="CZ77" i="75"/>
  <c r="CY77" i="75"/>
  <c r="CX77" i="75"/>
  <c r="CW77" i="75"/>
  <c r="CV77" i="75"/>
  <c r="CU77" i="75"/>
  <c r="CT77" i="75"/>
  <c r="CS77" i="75" s="1"/>
  <c r="CQ77" i="75"/>
  <c r="CR77" i="75" s="1"/>
  <c r="CP77" i="75"/>
  <c r="CO77" i="75"/>
  <c r="CN77" i="75"/>
  <c r="CM77" i="75"/>
  <c r="CL77" i="75"/>
  <c r="CK77" i="75"/>
  <c r="CJ77" i="75"/>
  <c r="CI77" i="75"/>
  <c r="CH77" i="75" s="1"/>
  <c r="CF77" i="75"/>
  <c r="CG77" i="75" s="1"/>
  <c r="CE77" i="75"/>
  <c r="CD77" i="75"/>
  <c r="CC77" i="75"/>
  <c r="CB77" i="75"/>
  <c r="CA77" i="75"/>
  <c r="BZ77" i="75"/>
  <c r="BY77" i="75"/>
  <c r="BX77" i="75"/>
  <c r="BW77" i="75" s="1"/>
  <c r="BU77" i="75"/>
  <c r="BV77" i="75" s="1"/>
  <c r="BT77" i="75"/>
  <c r="BS77" i="75"/>
  <c r="BR77" i="75"/>
  <c r="BQ77" i="75"/>
  <c r="BP77" i="75"/>
  <c r="BO77" i="75"/>
  <c r="BN77" i="75"/>
  <c r="BM77" i="75"/>
  <c r="BL77" i="75" s="1"/>
  <c r="BJ77" i="75"/>
  <c r="GL77" i="75" s="1"/>
  <c r="BI77" i="75"/>
  <c r="GK77" i="75" s="1"/>
  <c r="BH77" i="75"/>
  <c r="GJ77" i="75" s="1"/>
  <c r="BG77" i="75"/>
  <c r="GI77" i="75" s="1"/>
  <c r="BF77" i="75"/>
  <c r="GH77" i="75" s="1"/>
  <c r="BE77" i="75"/>
  <c r="GG77" i="75" s="1"/>
  <c r="BD77" i="75"/>
  <c r="GF77" i="75" s="1"/>
  <c r="BC77" i="75"/>
  <c r="GE77" i="75" s="1"/>
  <c r="BB77" i="75"/>
  <c r="BA77" i="75" s="1"/>
  <c r="GC77" i="75" s="1"/>
  <c r="AY77" i="75"/>
  <c r="AZ77" i="75" s="1"/>
  <c r="GB77" i="75" s="1"/>
  <c r="AX77" i="75"/>
  <c r="FZ77" i="75" s="1"/>
  <c r="AW77" i="75"/>
  <c r="FY77" i="75" s="1"/>
  <c r="AV77" i="75"/>
  <c r="FX77" i="75" s="1"/>
  <c r="AU77" i="75"/>
  <c r="FW77" i="75" s="1"/>
  <c r="AT77" i="75"/>
  <c r="FV77" i="75" s="1"/>
  <c r="AS77" i="75"/>
  <c r="FU77" i="75" s="1"/>
  <c r="AR77" i="75"/>
  <c r="FT77" i="75" s="1"/>
  <c r="AQ77" i="75"/>
  <c r="AP77" i="75" s="1"/>
  <c r="FR77" i="75" s="1"/>
  <c r="AN77" i="75"/>
  <c r="AO77" i="75" s="1"/>
  <c r="FQ77" i="75" s="1"/>
  <c r="AM77" i="75"/>
  <c r="FO77" i="75" s="1"/>
  <c r="AL77" i="75"/>
  <c r="FN77" i="75" s="1"/>
  <c r="AK77" i="75"/>
  <c r="FM77" i="75" s="1"/>
  <c r="AJ77" i="75"/>
  <c r="FL77" i="75" s="1"/>
  <c r="AI77" i="75"/>
  <c r="FK77" i="75" s="1"/>
  <c r="AH77" i="75"/>
  <c r="FJ77" i="75" s="1"/>
  <c r="AG77" i="75"/>
  <c r="FI77" i="75" s="1"/>
  <c r="AF77" i="75"/>
  <c r="FH77" i="75" s="1"/>
  <c r="AE77" i="75"/>
  <c r="FG77" i="75" s="1"/>
  <c r="AC77" i="75"/>
  <c r="FE77" i="75" s="1"/>
  <c r="AB77" i="75"/>
  <c r="FD77" i="75" s="1"/>
  <c r="AA77" i="75"/>
  <c r="FC77" i="75" s="1"/>
  <c r="Z77" i="75"/>
  <c r="FB77" i="75" s="1"/>
  <c r="Y77" i="75"/>
  <c r="FA77" i="75" s="1"/>
  <c r="X77" i="75"/>
  <c r="EZ77" i="75" s="1"/>
  <c r="W77" i="75"/>
  <c r="EY77" i="75" s="1"/>
  <c r="V77" i="75"/>
  <c r="EX77" i="75" s="1"/>
  <c r="U77" i="75"/>
  <c r="EW77" i="75" s="1"/>
  <c r="EV77" i="75" s="1"/>
  <c r="S77" i="75"/>
  <c r="ET77" i="75" s="1"/>
  <c r="R77" i="75"/>
  <c r="ES77" i="75" s="1"/>
  <c r="Q77" i="75"/>
  <c r="ER77" i="75" s="1"/>
  <c r="P77" i="75"/>
  <c r="EQ77" i="75" s="1"/>
  <c r="O77" i="75"/>
  <c r="EP77" i="75" s="1"/>
  <c r="N77" i="75"/>
  <c r="EO77" i="75" s="1"/>
  <c r="M77" i="75"/>
  <c r="EN77" i="75" s="1"/>
  <c r="L77" i="75"/>
  <c r="EM77" i="75" s="1"/>
  <c r="K77" i="75"/>
  <c r="EL77" i="75" s="1"/>
  <c r="EK77" i="75" s="1"/>
  <c r="J77" i="75"/>
  <c r="F77" i="75"/>
  <c r="D77" i="75"/>
  <c r="GI76" i="75"/>
  <c r="EI76" i="75"/>
  <c r="EJ76" i="75" s="1"/>
  <c r="EH76" i="75"/>
  <c r="EG76" i="75"/>
  <c r="EF76" i="75"/>
  <c r="EE76" i="75"/>
  <c r="ED76" i="75"/>
  <c r="EC76" i="75"/>
  <c r="EB76" i="75"/>
  <c r="EA76" i="75"/>
  <c r="DZ76" i="75" s="1"/>
  <c r="DB76" i="75"/>
  <c r="DC76" i="75" s="1"/>
  <c r="DA76" i="75"/>
  <c r="CZ76" i="75"/>
  <c r="CY76" i="75"/>
  <c r="CX76" i="75"/>
  <c r="CW76" i="75"/>
  <c r="CV76" i="75"/>
  <c r="CU76" i="75"/>
  <c r="CT76" i="75"/>
  <c r="CS76" i="75" s="1"/>
  <c r="CQ76" i="75"/>
  <c r="CR76" i="75" s="1"/>
  <c r="CP76" i="75"/>
  <c r="CO76" i="75"/>
  <c r="CN76" i="75"/>
  <c r="CM76" i="75"/>
  <c r="CL76" i="75"/>
  <c r="CK76" i="75"/>
  <c r="CJ76" i="75"/>
  <c r="CI76" i="75"/>
  <c r="CH76" i="75"/>
  <c r="CF76" i="75"/>
  <c r="CG76" i="75" s="1"/>
  <c r="CE76" i="75"/>
  <c r="CD76" i="75"/>
  <c r="CC76" i="75"/>
  <c r="CB76" i="75"/>
  <c r="CA76" i="75"/>
  <c r="BZ76" i="75"/>
  <c r="BY76" i="75"/>
  <c r="BX76" i="75"/>
  <c r="BW76" i="75" s="1"/>
  <c r="BU76" i="75"/>
  <c r="BV76" i="75" s="1"/>
  <c r="BT76" i="75"/>
  <c r="BS76" i="75"/>
  <c r="BR76" i="75"/>
  <c r="BQ76" i="75"/>
  <c r="BP76" i="75"/>
  <c r="BO76" i="75"/>
  <c r="BN76" i="75"/>
  <c r="BM76" i="75"/>
  <c r="BL76" i="75" s="1"/>
  <c r="BJ76" i="75"/>
  <c r="GL76" i="75" s="1"/>
  <c r="BI76" i="75"/>
  <c r="GK76" i="75" s="1"/>
  <c r="BH76" i="75"/>
  <c r="GJ76" i="75" s="1"/>
  <c r="BG76" i="75"/>
  <c r="BF76" i="75"/>
  <c r="GH76" i="75" s="1"/>
  <c r="BE76" i="75"/>
  <c r="GG76" i="75" s="1"/>
  <c r="BD76" i="75"/>
  <c r="GF76" i="75" s="1"/>
  <c r="BC76" i="75"/>
  <c r="GE76" i="75" s="1"/>
  <c r="BB76" i="75"/>
  <c r="GD76" i="75" s="1"/>
  <c r="BA76" i="75"/>
  <c r="GC76" i="75" s="1"/>
  <c r="AY76" i="75"/>
  <c r="AZ76" i="75" s="1"/>
  <c r="GB76" i="75" s="1"/>
  <c r="AX76" i="75"/>
  <c r="FZ76" i="75" s="1"/>
  <c r="AW76" i="75"/>
  <c r="FY76" i="75" s="1"/>
  <c r="AV76" i="75"/>
  <c r="FX76" i="75" s="1"/>
  <c r="AU76" i="75"/>
  <c r="FW76" i="75" s="1"/>
  <c r="AT76" i="75"/>
  <c r="FV76" i="75" s="1"/>
  <c r="AS76" i="75"/>
  <c r="FU76" i="75" s="1"/>
  <c r="AR76" i="75"/>
  <c r="FT76" i="75" s="1"/>
  <c r="AQ76" i="75"/>
  <c r="FS76" i="75" s="1"/>
  <c r="AN76" i="75"/>
  <c r="FP76" i="75" s="1"/>
  <c r="AM76" i="75"/>
  <c r="FO76" i="75" s="1"/>
  <c r="AL76" i="75"/>
  <c r="FN76" i="75" s="1"/>
  <c r="AK76" i="75"/>
  <c r="FM76" i="75" s="1"/>
  <c r="AJ76" i="75"/>
  <c r="FL76" i="75" s="1"/>
  <c r="AI76" i="75"/>
  <c r="FK76" i="75" s="1"/>
  <c r="AH76" i="75"/>
  <c r="FJ76" i="75" s="1"/>
  <c r="AG76" i="75"/>
  <c r="FI76" i="75" s="1"/>
  <c r="AF76" i="75"/>
  <c r="FH76" i="75" s="1"/>
  <c r="AE76" i="75"/>
  <c r="FG76" i="75" s="1"/>
  <c r="AC76" i="75"/>
  <c r="AD76" i="75" s="1"/>
  <c r="FF76" i="75" s="1"/>
  <c r="AB76" i="75"/>
  <c r="FD76" i="75" s="1"/>
  <c r="AA76" i="75"/>
  <c r="FC76" i="75" s="1"/>
  <c r="Z76" i="75"/>
  <c r="FB76" i="75" s="1"/>
  <c r="Y76" i="75"/>
  <c r="FA76" i="75" s="1"/>
  <c r="X76" i="75"/>
  <c r="EZ76" i="75" s="1"/>
  <c r="W76" i="75"/>
  <c r="EY76" i="75" s="1"/>
  <c r="V76" i="75"/>
  <c r="EX76" i="75" s="1"/>
  <c r="U76" i="75"/>
  <c r="EW76" i="75" s="1"/>
  <c r="EV76" i="75" s="1"/>
  <c r="S76" i="75"/>
  <c r="T76" i="75" s="1"/>
  <c r="EU76" i="75" s="1"/>
  <c r="R76" i="75"/>
  <c r="ES76" i="75" s="1"/>
  <c r="Q76" i="75"/>
  <c r="ER76" i="75" s="1"/>
  <c r="P76" i="75"/>
  <c r="EQ76" i="75" s="1"/>
  <c r="O76" i="75"/>
  <c r="EP76" i="75" s="1"/>
  <c r="N76" i="75"/>
  <c r="EO76" i="75" s="1"/>
  <c r="M76" i="75"/>
  <c r="EN76" i="75" s="1"/>
  <c r="L76" i="75"/>
  <c r="EM76" i="75" s="1"/>
  <c r="K76" i="75"/>
  <c r="EL76" i="75" s="1"/>
  <c r="EK76" i="75" s="1"/>
  <c r="J76" i="75"/>
  <c r="F76" i="75"/>
  <c r="D76" i="75"/>
  <c r="EI75" i="75"/>
  <c r="EJ75" i="75" s="1"/>
  <c r="EH75" i="75"/>
  <c r="EG75" i="75"/>
  <c r="EF75" i="75"/>
  <c r="EE75" i="75"/>
  <c r="ED75" i="75"/>
  <c r="EC75" i="75"/>
  <c r="EB75" i="75"/>
  <c r="EA75" i="75"/>
  <c r="DZ75" i="75" s="1"/>
  <c r="DB75" i="75"/>
  <c r="DC75" i="75" s="1"/>
  <c r="DA75" i="75"/>
  <c r="CZ75" i="75"/>
  <c r="CY75" i="75"/>
  <c r="CX75" i="75"/>
  <c r="CW75" i="75"/>
  <c r="CV75" i="75"/>
  <c r="CU75" i="75"/>
  <c r="CT75" i="75"/>
  <c r="CS75" i="75" s="1"/>
  <c r="CQ75" i="75"/>
  <c r="CR75" i="75" s="1"/>
  <c r="CP75" i="75"/>
  <c r="CO75" i="75"/>
  <c r="CN75" i="75"/>
  <c r="CM75" i="75"/>
  <c r="CL75" i="75"/>
  <c r="CK75" i="75"/>
  <c r="CJ75" i="75"/>
  <c r="CI75" i="75"/>
  <c r="CH75" i="75" s="1"/>
  <c r="CF75" i="75"/>
  <c r="CG75" i="75" s="1"/>
  <c r="CE75" i="75"/>
  <c r="CD75" i="75"/>
  <c r="CC75" i="75"/>
  <c r="CB75" i="75"/>
  <c r="CA75" i="75"/>
  <c r="BZ75" i="75"/>
  <c r="BY75" i="75"/>
  <c r="BX75" i="75"/>
  <c r="BW75" i="75"/>
  <c r="BU75" i="75"/>
  <c r="BV75" i="75" s="1"/>
  <c r="BT75" i="75"/>
  <c r="BS75" i="75"/>
  <c r="BR75" i="75"/>
  <c r="BQ75" i="75"/>
  <c r="BP75" i="75"/>
  <c r="BO75" i="75"/>
  <c r="BN75" i="75"/>
  <c r="BM75" i="75"/>
  <c r="BL75" i="75" s="1"/>
  <c r="BJ75" i="75"/>
  <c r="GL75" i="75" s="1"/>
  <c r="BI75" i="75"/>
  <c r="GK75" i="75" s="1"/>
  <c r="BH75" i="75"/>
  <c r="GJ75" i="75" s="1"/>
  <c r="BG75" i="75"/>
  <c r="GI75" i="75" s="1"/>
  <c r="BF75" i="75"/>
  <c r="GH75" i="75" s="1"/>
  <c r="BE75" i="75"/>
  <c r="GG75" i="75" s="1"/>
  <c r="BD75" i="75"/>
  <c r="GF75" i="75" s="1"/>
  <c r="BC75" i="75"/>
  <c r="GE75" i="75" s="1"/>
  <c r="BB75" i="75"/>
  <c r="GD75" i="75" s="1"/>
  <c r="BA75" i="75"/>
  <c r="GC75" i="75" s="1"/>
  <c r="AY75" i="75"/>
  <c r="AZ75" i="75" s="1"/>
  <c r="GB75" i="75" s="1"/>
  <c r="AX75" i="75"/>
  <c r="FZ75" i="75" s="1"/>
  <c r="AW75" i="75"/>
  <c r="FY75" i="75" s="1"/>
  <c r="AV75" i="75"/>
  <c r="FX75" i="75" s="1"/>
  <c r="AU75" i="75"/>
  <c r="FW75" i="75" s="1"/>
  <c r="AT75" i="75"/>
  <c r="FV75" i="75" s="1"/>
  <c r="AS75" i="75"/>
  <c r="FU75" i="75" s="1"/>
  <c r="AR75" i="75"/>
  <c r="FT75" i="75" s="1"/>
  <c r="AQ75" i="75"/>
  <c r="AP75" i="75" s="1"/>
  <c r="FR75" i="75" s="1"/>
  <c r="AN75" i="75"/>
  <c r="FP75" i="75" s="1"/>
  <c r="AM75" i="75"/>
  <c r="FO75" i="75" s="1"/>
  <c r="AL75" i="75"/>
  <c r="FN75" i="75" s="1"/>
  <c r="AK75" i="75"/>
  <c r="FM75" i="75" s="1"/>
  <c r="AJ75" i="75"/>
  <c r="FL75" i="75" s="1"/>
  <c r="AI75" i="75"/>
  <c r="FK75" i="75" s="1"/>
  <c r="AH75" i="75"/>
  <c r="FJ75" i="75" s="1"/>
  <c r="AG75" i="75"/>
  <c r="FI75" i="75" s="1"/>
  <c r="AF75" i="75"/>
  <c r="AE75" i="75" s="1"/>
  <c r="FG75" i="75" s="1"/>
  <c r="AC75" i="75"/>
  <c r="FE75" i="75" s="1"/>
  <c r="AB75" i="75"/>
  <c r="FD75" i="75" s="1"/>
  <c r="AA75" i="75"/>
  <c r="FC75" i="75" s="1"/>
  <c r="Z75" i="75"/>
  <c r="FB75" i="75" s="1"/>
  <c r="Y75" i="75"/>
  <c r="FA75" i="75" s="1"/>
  <c r="X75" i="75"/>
  <c r="EZ75" i="75" s="1"/>
  <c r="W75" i="75"/>
  <c r="EY75" i="75" s="1"/>
  <c r="V75" i="75"/>
  <c r="EX75" i="75" s="1"/>
  <c r="U75" i="75"/>
  <c r="EW75" i="75" s="1"/>
  <c r="EV75" i="75" s="1"/>
  <c r="S75" i="75"/>
  <c r="T75" i="75" s="1"/>
  <c r="EU75" i="75" s="1"/>
  <c r="R75" i="75"/>
  <c r="ES75" i="75" s="1"/>
  <c r="Q75" i="75"/>
  <c r="ER75" i="75" s="1"/>
  <c r="P75" i="75"/>
  <c r="EQ75" i="75" s="1"/>
  <c r="O75" i="75"/>
  <c r="EP75" i="75" s="1"/>
  <c r="N75" i="75"/>
  <c r="EO75" i="75" s="1"/>
  <c r="M75" i="75"/>
  <c r="EN75" i="75" s="1"/>
  <c r="L75" i="75"/>
  <c r="EM75" i="75" s="1"/>
  <c r="K75" i="75"/>
  <c r="EL75" i="75" s="1"/>
  <c r="EK75" i="75" s="1"/>
  <c r="J75" i="75"/>
  <c r="F75" i="75"/>
  <c r="D75" i="75"/>
  <c r="FJ74" i="75"/>
  <c r="EM74" i="75"/>
  <c r="EI74" i="75"/>
  <c r="EJ74" i="75" s="1"/>
  <c r="EH74" i="75"/>
  <c r="EG74" i="75"/>
  <c r="EF74" i="75"/>
  <c r="EE74" i="75"/>
  <c r="ED74" i="75"/>
  <c r="EC74" i="75"/>
  <c r="EB74" i="75"/>
  <c r="EA74" i="75"/>
  <c r="DZ74" i="75" s="1"/>
  <c r="DB74" i="75"/>
  <c r="DC74" i="75" s="1"/>
  <c r="DA74" i="75"/>
  <c r="CZ74" i="75"/>
  <c r="CY74" i="75"/>
  <c r="CX74" i="75"/>
  <c r="CW74" i="75"/>
  <c r="CV74" i="75"/>
  <c r="CU74" i="75"/>
  <c r="CT74" i="75"/>
  <c r="CS74" i="75" s="1"/>
  <c r="CQ74" i="75"/>
  <c r="CR74" i="75" s="1"/>
  <c r="CP74" i="75"/>
  <c r="CO74" i="75"/>
  <c r="CN74" i="75"/>
  <c r="CM74" i="75"/>
  <c r="CL74" i="75"/>
  <c r="CK74" i="75"/>
  <c r="CJ74" i="75"/>
  <c r="CI74" i="75"/>
  <c r="CH74" i="75" s="1"/>
  <c r="CF74" i="75"/>
  <c r="CG74" i="75" s="1"/>
  <c r="CE74" i="75"/>
  <c r="CD74" i="75"/>
  <c r="CC74" i="75"/>
  <c r="CB74" i="75"/>
  <c r="CA74" i="75"/>
  <c r="BZ74" i="75"/>
  <c r="BY74" i="75"/>
  <c r="BX74" i="75"/>
  <c r="BW74" i="75" s="1"/>
  <c r="BU74" i="75"/>
  <c r="BV74" i="75" s="1"/>
  <c r="BT74" i="75"/>
  <c r="BS74" i="75"/>
  <c r="BR74" i="75"/>
  <c r="BQ74" i="75"/>
  <c r="BP74" i="75"/>
  <c r="BO74" i="75"/>
  <c r="BN74" i="75"/>
  <c r="BM74" i="75"/>
  <c r="BL74" i="75" s="1"/>
  <c r="BJ74" i="75"/>
  <c r="GL74" i="75" s="1"/>
  <c r="BI74" i="75"/>
  <c r="GK74" i="75" s="1"/>
  <c r="BH74" i="75"/>
  <c r="GJ74" i="75" s="1"/>
  <c r="BG74" i="75"/>
  <c r="GI74" i="75" s="1"/>
  <c r="BF74" i="75"/>
  <c r="GH74" i="75" s="1"/>
  <c r="BE74" i="75"/>
  <c r="GG74" i="75" s="1"/>
  <c r="BD74" i="75"/>
  <c r="GF74" i="75" s="1"/>
  <c r="BC74" i="75"/>
  <c r="GE74" i="75" s="1"/>
  <c r="BB74" i="75"/>
  <c r="GD74" i="75" s="1"/>
  <c r="AY74" i="75"/>
  <c r="AX74" i="75"/>
  <c r="FZ74" i="75" s="1"/>
  <c r="AW74" i="75"/>
  <c r="FY74" i="75" s="1"/>
  <c r="AV74" i="75"/>
  <c r="FX74" i="75" s="1"/>
  <c r="AU74" i="75"/>
  <c r="FW74" i="75" s="1"/>
  <c r="AT74" i="75"/>
  <c r="FV74" i="75" s="1"/>
  <c r="AS74" i="75"/>
  <c r="FU74" i="75" s="1"/>
  <c r="AR74" i="75"/>
  <c r="FT74" i="75" s="1"/>
  <c r="AQ74" i="75"/>
  <c r="AP74" i="75" s="1"/>
  <c r="FR74" i="75" s="1"/>
  <c r="AN74" i="75"/>
  <c r="FP74" i="75" s="1"/>
  <c r="AM74" i="75"/>
  <c r="FO74" i="75" s="1"/>
  <c r="AL74" i="75"/>
  <c r="FN74" i="75" s="1"/>
  <c r="AK74" i="75"/>
  <c r="FM74" i="75" s="1"/>
  <c r="AJ74" i="75"/>
  <c r="FL74" i="75" s="1"/>
  <c r="AI74" i="75"/>
  <c r="FK74" i="75" s="1"/>
  <c r="AH74" i="75"/>
  <c r="AG74" i="75"/>
  <c r="FI74" i="75" s="1"/>
  <c r="AF74" i="75"/>
  <c r="FH74" i="75" s="1"/>
  <c r="AC74" i="75"/>
  <c r="AD74" i="75" s="1"/>
  <c r="FF74" i="75" s="1"/>
  <c r="AB74" i="75"/>
  <c r="FD74" i="75" s="1"/>
  <c r="AA74" i="75"/>
  <c r="FC74" i="75" s="1"/>
  <c r="Z74" i="75"/>
  <c r="FB74" i="75" s="1"/>
  <c r="Y74" i="75"/>
  <c r="FA74" i="75" s="1"/>
  <c r="X74" i="75"/>
  <c r="EZ74" i="75" s="1"/>
  <c r="W74" i="75"/>
  <c r="EY74" i="75" s="1"/>
  <c r="V74" i="75"/>
  <c r="EX74" i="75" s="1"/>
  <c r="U74" i="75"/>
  <c r="EW74" i="75" s="1"/>
  <c r="EV74" i="75" s="1"/>
  <c r="S74" i="75"/>
  <c r="T74" i="75" s="1"/>
  <c r="EU74" i="75" s="1"/>
  <c r="R74" i="75"/>
  <c r="ES74" i="75" s="1"/>
  <c r="Q74" i="75"/>
  <c r="ER74" i="75" s="1"/>
  <c r="P74" i="75"/>
  <c r="EQ74" i="75" s="1"/>
  <c r="O74" i="75"/>
  <c r="EP74" i="75" s="1"/>
  <c r="N74" i="75"/>
  <c r="EO74" i="75" s="1"/>
  <c r="M74" i="75"/>
  <c r="EN74" i="75" s="1"/>
  <c r="L74" i="75"/>
  <c r="K74" i="75"/>
  <c r="EL74" i="75" s="1"/>
  <c r="EK74" i="75" s="1"/>
  <c r="J74" i="75"/>
  <c r="F74" i="75"/>
  <c r="D74" i="75"/>
  <c r="FP73" i="75"/>
  <c r="FM73" i="75"/>
  <c r="FL73" i="75"/>
  <c r="ES73" i="75"/>
  <c r="EM73" i="75"/>
  <c r="EI73" i="75"/>
  <c r="EJ73" i="75" s="1"/>
  <c r="EH73" i="75"/>
  <c r="EG73" i="75"/>
  <c r="EF73" i="75"/>
  <c r="EE73" i="75"/>
  <c r="ED73" i="75"/>
  <c r="EC73" i="75"/>
  <c r="EB73" i="75"/>
  <c r="EA73" i="75"/>
  <c r="DZ73" i="75" s="1"/>
  <c r="DB73" i="75"/>
  <c r="DC73" i="75" s="1"/>
  <c r="DA73" i="75"/>
  <c r="CZ73" i="75"/>
  <c r="CY73" i="75"/>
  <c r="CX73" i="75"/>
  <c r="CW73" i="75"/>
  <c r="CV73" i="75"/>
  <c r="CU73" i="75"/>
  <c r="CT73" i="75"/>
  <c r="CS73" i="75" s="1"/>
  <c r="CQ73" i="75"/>
  <c r="CR73" i="75" s="1"/>
  <c r="CP73" i="75"/>
  <c r="CO73" i="75"/>
  <c r="CN73" i="75"/>
  <c r="CM73" i="75"/>
  <c r="CL73" i="75"/>
  <c r="CK73" i="75"/>
  <c r="CJ73" i="75"/>
  <c r="CI73" i="75"/>
  <c r="CH73" i="75" s="1"/>
  <c r="CF73" i="75"/>
  <c r="CG73" i="75" s="1"/>
  <c r="CE73" i="75"/>
  <c r="CD73" i="75"/>
  <c r="CC73" i="75"/>
  <c r="CB73" i="75"/>
  <c r="CA73" i="75"/>
  <c r="BZ73" i="75"/>
  <c r="BY73" i="75"/>
  <c r="BX73" i="75"/>
  <c r="BW73" i="75"/>
  <c r="BU73" i="75"/>
  <c r="BV73" i="75" s="1"/>
  <c r="BT73" i="75"/>
  <c r="BS73" i="75"/>
  <c r="BR73" i="75"/>
  <c r="BQ73" i="75"/>
  <c r="BP73" i="75"/>
  <c r="BO73" i="75"/>
  <c r="BN73" i="75"/>
  <c r="BM73" i="75"/>
  <c r="BL73" i="75" s="1"/>
  <c r="BJ73" i="75"/>
  <c r="GL73" i="75" s="1"/>
  <c r="BI73" i="75"/>
  <c r="GK73" i="75" s="1"/>
  <c r="BH73" i="75"/>
  <c r="GJ73" i="75" s="1"/>
  <c r="BG73" i="75"/>
  <c r="GI73" i="75" s="1"/>
  <c r="BF73" i="75"/>
  <c r="GH73" i="75" s="1"/>
  <c r="BE73" i="75"/>
  <c r="GG73" i="75" s="1"/>
  <c r="BD73" i="75"/>
  <c r="GF73" i="75" s="1"/>
  <c r="BC73" i="75"/>
  <c r="GE73" i="75" s="1"/>
  <c r="BB73" i="75"/>
  <c r="GD73" i="75" s="1"/>
  <c r="BA73" i="75"/>
  <c r="GC73" i="75" s="1"/>
  <c r="AY73" i="75"/>
  <c r="AZ73" i="75" s="1"/>
  <c r="GB73" i="75" s="1"/>
  <c r="AX73" i="75"/>
  <c r="FZ73" i="75" s="1"/>
  <c r="AW73" i="75"/>
  <c r="FY73" i="75" s="1"/>
  <c r="AV73" i="75"/>
  <c r="FX73" i="75" s="1"/>
  <c r="AU73" i="75"/>
  <c r="FW73" i="75" s="1"/>
  <c r="AT73" i="75"/>
  <c r="FV73" i="75" s="1"/>
  <c r="AS73" i="75"/>
  <c r="FU73" i="75" s="1"/>
  <c r="AR73" i="75"/>
  <c r="FT73" i="75" s="1"/>
  <c r="AQ73" i="75"/>
  <c r="AP73" i="75" s="1"/>
  <c r="FR73" i="75" s="1"/>
  <c r="AN73" i="75"/>
  <c r="AO73" i="75" s="1"/>
  <c r="FQ73" i="75" s="1"/>
  <c r="AM73" i="75"/>
  <c r="FO73" i="75" s="1"/>
  <c r="AL73" i="75"/>
  <c r="FN73" i="75" s="1"/>
  <c r="AK73" i="75"/>
  <c r="AJ73" i="75"/>
  <c r="AI73" i="75"/>
  <c r="FK73" i="75" s="1"/>
  <c r="AH73" i="75"/>
  <c r="FJ73" i="75" s="1"/>
  <c r="AG73" i="75"/>
  <c r="FI73" i="75" s="1"/>
  <c r="AF73" i="75"/>
  <c r="AE73" i="75" s="1"/>
  <c r="FG73" i="75" s="1"/>
  <c r="AC73" i="75"/>
  <c r="AD73" i="75" s="1"/>
  <c r="FF73" i="75" s="1"/>
  <c r="AB73" i="75"/>
  <c r="FD73" i="75" s="1"/>
  <c r="AA73" i="75"/>
  <c r="FC73" i="75" s="1"/>
  <c r="Z73" i="75"/>
  <c r="FB73" i="75" s="1"/>
  <c r="Y73" i="75"/>
  <c r="FA73" i="75" s="1"/>
  <c r="X73" i="75"/>
  <c r="EZ73" i="75" s="1"/>
  <c r="W73" i="75"/>
  <c r="EY73" i="75" s="1"/>
  <c r="V73" i="75"/>
  <c r="EX73" i="75" s="1"/>
  <c r="U73" i="75"/>
  <c r="EW73" i="75" s="1"/>
  <c r="EV73" i="75" s="1"/>
  <c r="S73" i="75"/>
  <c r="ET73" i="75" s="1"/>
  <c r="R73" i="75"/>
  <c r="Q73" i="75"/>
  <c r="ER73" i="75" s="1"/>
  <c r="P73" i="75"/>
  <c r="EQ73" i="75" s="1"/>
  <c r="O73" i="75"/>
  <c r="EP73" i="75" s="1"/>
  <c r="N73" i="75"/>
  <c r="EO73" i="75" s="1"/>
  <c r="M73" i="75"/>
  <c r="EN73" i="75" s="1"/>
  <c r="L73" i="75"/>
  <c r="K73" i="75"/>
  <c r="EL73" i="75" s="1"/>
  <c r="EK73" i="75" s="1"/>
  <c r="J73" i="75"/>
  <c r="F73" i="75"/>
  <c r="D73" i="75"/>
  <c r="GL72" i="75"/>
  <c r="FE72" i="75"/>
  <c r="EI72" i="75"/>
  <c r="EJ72" i="75" s="1"/>
  <c r="EH72" i="75"/>
  <c r="EG72" i="75"/>
  <c r="EF72" i="75"/>
  <c r="EE72" i="75"/>
  <c r="ED72" i="75"/>
  <c r="EC72" i="75"/>
  <c r="EB72" i="75"/>
  <c r="EA72" i="75"/>
  <c r="DZ72" i="75"/>
  <c r="DB72" i="75"/>
  <c r="DC72" i="75" s="1"/>
  <c r="DA72" i="75"/>
  <c r="CZ72" i="75"/>
  <c r="CY72" i="75"/>
  <c r="CX72" i="75"/>
  <c r="CW72" i="75"/>
  <c r="CV72" i="75"/>
  <c r="CU72" i="75"/>
  <c r="CT72" i="75"/>
  <c r="CS72" i="75" s="1"/>
  <c r="CQ72" i="75"/>
  <c r="CR72" i="75" s="1"/>
  <c r="CP72" i="75"/>
  <c r="CO72" i="75"/>
  <c r="CN72" i="75"/>
  <c r="CM72" i="75"/>
  <c r="CL72" i="75"/>
  <c r="CK72" i="75"/>
  <c r="CJ72" i="75"/>
  <c r="CI72" i="75"/>
  <c r="CH72" i="75" s="1"/>
  <c r="CF72" i="75"/>
  <c r="CG72" i="75" s="1"/>
  <c r="CE72" i="75"/>
  <c r="CD72" i="75"/>
  <c r="CC72" i="75"/>
  <c r="CB72" i="75"/>
  <c r="CA72" i="75"/>
  <c r="BZ72" i="75"/>
  <c r="BY72" i="75"/>
  <c r="BX72" i="75"/>
  <c r="BW72" i="75" s="1"/>
  <c r="BU72" i="75"/>
  <c r="BV72" i="75" s="1"/>
  <c r="BT72" i="75"/>
  <c r="BS72" i="75"/>
  <c r="BR72" i="75"/>
  <c r="BQ72" i="75"/>
  <c r="BP72" i="75"/>
  <c r="BO72" i="75"/>
  <c r="BN72" i="75"/>
  <c r="BM72" i="75"/>
  <c r="BL72" i="75" s="1"/>
  <c r="BJ72" i="75"/>
  <c r="BK72" i="75" s="1"/>
  <c r="GM72" i="75" s="1"/>
  <c r="BI72" i="75"/>
  <c r="GK72" i="75" s="1"/>
  <c r="BH72" i="75"/>
  <c r="GJ72" i="75" s="1"/>
  <c r="BG72" i="75"/>
  <c r="GI72" i="75" s="1"/>
  <c r="BF72" i="75"/>
  <c r="GH72" i="75" s="1"/>
  <c r="BE72" i="75"/>
  <c r="GG72" i="75" s="1"/>
  <c r="BD72" i="75"/>
  <c r="GF72" i="75" s="1"/>
  <c r="BC72" i="75"/>
  <c r="GE72" i="75" s="1"/>
  <c r="BB72" i="75"/>
  <c r="GD72" i="75" s="1"/>
  <c r="AY72" i="75"/>
  <c r="AZ72" i="75" s="1"/>
  <c r="GB72" i="75" s="1"/>
  <c r="AX72" i="75"/>
  <c r="FZ72" i="75" s="1"/>
  <c r="AW72" i="75"/>
  <c r="FY72" i="75" s="1"/>
  <c r="AV72" i="75"/>
  <c r="FX72" i="75" s="1"/>
  <c r="AU72" i="75"/>
  <c r="FW72" i="75" s="1"/>
  <c r="AT72" i="75"/>
  <c r="FV72" i="75" s="1"/>
  <c r="AS72" i="75"/>
  <c r="FU72" i="75" s="1"/>
  <c r="AR72" i="75"/>
  <c r="FT72" i="75" s="1"/>
  <c r="AQ72" i="75"/>
  <c r="AP72" i="75" s="1"/>
  <c r="FR72" i="75" s="1"/>
  <c r="AN72" i="75"/>
  <c r="FP72" i="75" s="1"/>
  <c r="AM72" i="75"/>
  <c r="FO72" i="75" s="1"/>
  <c r="AL72" i="75"/>
  <c r="FN72" i="75" s="1"/>
  <c r="AK72" i="75"/>
  <c r="FM72" i="75" s="1"/>
  <c r="AJ72" i="75"/>
  <c r="FL72" i="75" s="1"/>
  <c r="AI72" i="75"/>
  <c r="FK72" i="75" s="1"/>
  <c r="AH72" i="75"/>
  <c r="FJ72" i="75" s="1"/>
  <c r="AG72" i="75"/>
  <c r="FI72" i="75" s="1"/>
  <c r="AF72" i="75"/>
  <c r="FH72" i="75" s="1"/>
  <c r="AC72" i="75"/>
  <c r="AD72" i="75" s="1"/>
  <c r="FF72" i="75" s="1"/>
  <c r="AB72" i="75"/>
  <c r="FD72" i="75" s="1"/>
  <c r="AA72" i="75"/>
  <c r="FC72" i="75" s="1"/>
  <c r="Z72" i="75"/>
  <c r="FB72" i="75" s="1"/>
  <c r="Y72" i="75"/>
  <c r="FA72" i="75" s="1"/>
  <c r="X72" i="75"/>
  <c r="EZ72" i="75" s="1"/>
  <c r="W72" i="75"/>
  <c r="EY72" i="75" s="1"/>
  <c r="V72" i="75"/>
  <c r="EX72" i="75" s="1"/>
  <c r="U72" i="75"/>
  <c r="EW72" i="75" s="1"/>
  <c r="EV72" i="75" s="1"/>
  <c r="S72" i="75"/>
  <c r="R72" i="75"/>
  <c r="ES72" i="75" s="1"/>
  <c r="Q72" i="75"/>
  <c r="ER72" i="75" s="1"/>
  <c r="P72" i="75"/>
  <c r="EQ72" i="75" s="1"/>
  <c r="O72" i="75"/>
  <c r="EP72" i="75" s="1"/>
  <c r="N72" i="75"/>
  <c r="EO72" i="75" s="1"/>
  <c r="M72" i="75"/>
  <c r="EN72" i="75" s="1"/>
  <c r="L72" i="75"/>
  <c r="EM72" i="75" s="1"/>
  <c r="K72" i="75"/>
  <c r="EL72" i="75" s="1"/>
  <c r="EK72" i="75" s="1"/>
  <c r="J72" i="75"/>
  <c r="F72" i="75"/>
  <c r="D72" i="75"/>
  <c r="GM59" i="75"/>
  <c r="GL59" i="75"/>
  <c r="GK59" i="75"/>
  <c r="GJ59" i="75"/>
  <c r="GI59" i="75"/>
  <c r="GH59" i="75"/>
  <c r="GG59" i="75"/>
  <c r="GF59" i="75"/>
  <c r="GE59" i="75"/>
  <c r="GD59" i="75"/>
  <c r="GC59" i="75"/>
  <c r="GB59" i="75"/>
  <c r="GA59" i="75"/>
  <c r="FZ59" i="75"/>
  <c r="FY59" i="75"/>
  <c r="FX59" i="75"/>
  <c r="FW59" i="75"/>
  <c r="FV59" i="75"/>
  <c r="FU59" i="75"/>
  <c r="FT59" i="75"/>
  <c r="FS59" i="75"/>
  <c r="FR59" i="75"/>
  <c r="FQ59" i="75"/>
  <c r="FP59" i="75"/>
  <c r="FO59" i="75"/>
  <c r="FN59" i="75"/>
  <c r="FM59" i="75"/>
  <c r="FL59" i="75"/>
  <c r="FK59" i="75"/>
  <c r="FJ59" i="75"/>
  <c r="FI59" i="75"/>
  <c r="FH59" i="75"/>
  <c r="FG59" i="75"/>
  <c r="FE59" i="75"/>
  <c r="FD59" i="75"/>
  <c r="FC59" i="75"/>
  <c r="FB59" i="75"/>
  <c r="FA59" i="75"/>
  <c r="EZ59" i="75"/>
  <c r="EY59" i="75"/>
  <c r="EX59" i="75"/>
  <c r="EW59" i="75"/>
  <c r="ET59" i="75"/>
  <c r="ES59" i="75"/>
  <c r="ER59" i="75"/>
  <c r="EQ59" i="75"/>
  <c r="EP59" i="75"/>
  <c r="EO59" i="75"/>
  <c r="EN59" i="75"/>
  <c r="EM59" i="75"/>
  <c r="EL59" i="75"/>
  <c r="AD59" i="75"/>
  <c r="FF59" i="75" s="1"/>
  <c r="T59" i="75"/>
  <c r="EU59" i="75" s="1"/>
  <c r="J59" i="75"/>
  <c r="E59" i="75"/>
  <c r="D59" i="75"/>
  <c r="C59" i="75"/>
  <c r="B59" i="75"/>
  <c r="GM58" i="75"/>
  <c r="GL58" i="75"/>
  <c r="GK58" i="75"/>
  <c r="GJ58" i="75"/>
  <c r="GI58" i="75"/>
  <c r="GH58" i="75"/>
  <c r="GG58" i="75"/>
  <c r="GF58" i="75"/>
  <c r="GE58" i="75"/>
  <c r="GD58" i="75"/>
  <c r="GC58" i="75"/>
  <c r="GB58" i="75"/>
  <c r="GA58" i="75"/>
  <c r="FZ58" i="75"/>
  <c r="FY58" i="75"/>
  <c r="FX58" i="75"/>
  <c r="FW58" i="75"/>
  <c r="FV58" i="75"/>
  <c r="FU58" i="75"/>
  <c r="FT58" i="75"/>
  <c r="FS58" i="75"/>
  <c r="FR58" i="75"/>
  <c r="FQ58" i="75"/>
  <c r="FP58" i="75"/>
  <c r="FO58" i="75"/>
  <c r="FN58" i="75"/>
  <c r="FM58" i="75"/>
  <c r="FL58" i="75"/>
  <c r="FK58" i="75"/>
  <c r="FJ58" i="75"/>
  <c r="FI58" i="75"/>
  <c r="FH58" i="75"/>
  <c r="FG58" i="75"/>
  <c r="FE58" i="75"/>
  <c r="FD58" i="75"/>
  <c r="FC58" i="75"/>
  <c r="FB58" i="75"/>
  <c r="FA58" i="75"/>
  <c r="EZ58" i="75"/>
  <c r="EY58" i="75"/>
  <c r="EX58" i="75"/>
  <c r="EW58" i="75"/>
  <c r="ET58" i="75"/>
  <c r="ES58" i="75"/>
  <c r="ER58" i="75"/>
  <c r="EQ58" i="75"/>
  <c r="EP58" i="75"/>
  <c r="EO58" i="75"/>
  <c r="EN58" i="75"/>
  <c r="EM58" i="75"/>
  <c r="EL58" i="75"/>
  <c r="AD58" i="75"/>
  <c r="FF58" i="75" s="1"/>
  <c r="T58" i="75"/>
  <c r="EU58" i="75" s="1"/>
  <c r="J58" i="75"/>
  <c r="E58" i="75"/>
  <c r="D58" i="75"/>
  <c r="C58" i="75"/>
  <c r="B58" i="75"/>
  <c r="GM57" i="75"/>
  <c r="GL57" i="75"/>
  <c r="GK57" i="75"/>
  <c r="GJ57" i="75"/>
  <c r="GI57" i="75"/>
  <c r="GH57" i="75"/>
  <c r="GG57" i="75"/>
  <c r="GF57" i="75"/>
  <c r="GE57" i="75"/>
  <c r="GD57" i="75"/>
  <c r="GC57" i="75"/>
  <c r="GB57" i="75"/>
  <c r="GA57" i="75"/>
  <c r="FZ57" i="75"/>
  <c r="FY57" i="75"/>
  <c r="FX57" i="75"/>
  <c r="FW57" i="75"/>
  <c r="FV57" i="75"/>
  <c r="FU57" i="75"/>
  <c r="FT57" i="75"/>
  <c r="FS57" i="75"/>
  <c r="FR57" i="75"/>
  <c r="FQ57" i="75"/>
  <c r="FP57" i="75"/>
  <c r="FO57" i="75"/>
  <c r="FN57" i="75"/>
  <c r="FM57" i="75"/>
  <c r="FL57" i="75"/>
  <c r="FK57" i="75"/>
  <c r="FJ57" i="75"/>
  <c r="FI57" i="75"/>
  <c r="FH57" i="75"/>
  <c r="FG57" i="75"/>
  <c r="FE57" i="75"/>
  <c r="FD57" i="75"/>
  <c r="FC57" i="75"/>
  <c r="FB57" i="75"/>
  <c r="FA57" i="75"/>
  <c r="EZ57" i="75"/>
  <c r="EY57" i="75"/>
  <c r="EX57" i="75"/>
  <c r="EW57" i="75"/>
  <c r="ET57" i="75"/>
  <c r="ES57" i="75"/>
  <c r="ER57" i="75"/>
  <c r="EQ57" i="75"/>
  <c r="EP57" i="75"/>
  <c r="EO57" i="75"/>
  <c r="EN57" i="75"/>
  <c r="EM57" i="75"/>
  <c r="EL57" i="75"/>
  <c r="AD57" i="75"/>
  <c r="FF57" i="75" s="1"/>
  <c r="T57" i="75"/>
  <c r="EU57" i="75" s="1"/>
  <c r="J57" i="75"/>
  <c r="E57" i="75"/>
  <c r="D57" i="75"/>
  <c r="C57" i="75"/>
  <c r="B57" i="75"/>
  <c r="EI56" i="75"/>
  <c r="EJ56" i="75" s="1"/>
  <c r="EH56" i="75"/>
  <c r="EG56" i="75"/>
  <c r="EF56" i="75"/>
  <c r="EE56" i="75"/>
  <c r="ED56" i="75"/>
  <c r="EC56" i="75"/>
  <c r="EB56" i="75"/>
  <c r="EA56" i="75"/>
  <c r="DZ56" i="75" s="1"/>
  <c r="DB56" i="75"/>
  <c r="DC56" i="75" s="1"/>
  <c r="DA56" i="75"/>
  <c r="CZ56" i="75"/>
  <c r="CY56" i="75"/>
  <c r="CX56" i="75"/>
  <c r="CW56" i="75"/>
  <c r="CV56" i="75"/>
  <c r="CU56" i="75"/>
  <c r="CT56" i="75"/>
  <c r="CS56" i="75" s="1"/>
  <c r="CQ56" i="75"/>
  <c r="CR56" i="75" s="1"/>
  <c r="CP56" i="75"/>
  <c r="CO56" i="75"/>
  <c r="CN56" i="75"/>
  <c r="CM56" i="75"/>
  <c r="CL56" i="75"/>
  <c r="CK56" i="75"/>
  <c r="CJ56" i="75"/>
  <c r="CI56" i="75"/>
  <c r="CH56" i="75" s="1"/>
  <c r="CF56" i="75"/>
  <c r="CG56" i="75" s="1"/>
  <c r="CE56" i="75"/>
  <c r="CD56" i="75"/>
  <c r="CC56" i="75"/>
  <c r="CB56" i="75"/>
  <c r="CA56" i="75"/>
  <c r="BZ56" i="75"/>
  <c r="BY56" i="75"/>
  <c r="BX56" i="75"/>
  <c r="BW56" i="75" s="1"/>
  <c r="BU56" i="75"/>
  <c r="BV56" i="75" s="1"/>
  <c r="BT56" i="75"/>
  <c r="BS56" i="75"/>
  <c r="BR56" i="75"/>
  <c r="BQ56" i="75"/>
  <c r="BP56" i="75"/>
  <c r="BO56" i="75"/>
  <c r="BN56" i="75"/>
  <c r="BM56" i="75"/>
  <c r="BL56" i="75" s="1"/>
  <c r="BJ56" i="75"/>
  <c r="BK56" i="75" s="1"/>
  <c r="GM56" i="75" s="1"/>
  <c r="BI56" i="75"/>
  <c r="GK56" i="75" s="1"/>
  <c r="BH56" i="75"/>
  <c r="GJ56" i="75" s="1"/>
  <c r="BG56" i="75"/>
  <c r="GI56" i="75" s="1"/>
  <c r="BF56" i="75"/>
  <c r="GH56" i="75" s="1"/>
  <c r="BE56" i="75"/>
  <c r="GG56" i="75" s="1"/>
  <c r="BD56" i="75"/>
  <c r="GF56" i="75" s="1"/>
  <c r="BC56" i="75"/>
  <c r="GE56" i="75" s="1"/>
  <c r="BB56" i="75"/>
  <c r="BA56" i="75" s="1"/>
  <c r="GC56" i="75" s="1"/>
  <c r="AY56" i="75"/>
  <c r="GA56" i="75" s="1"/>
  <c r="AX56" i="75"/>
  <c r="FZ56" i="75" s="1"/>
  <c r="AW56" i="75"/>
  <c r="FY56" i="75" s="1"/>
  <c r="AV56" i="75"/>
  <c r="FX56" i="75" s="1"/>
  <c r="AU56" i="75"/>
  <c r="FW56" i="75" s="1"/>
  <c r="AT56" i="75"/>
  <c r="FV56" i="75" s="1"/>
  <c r="AS56" i="75"/>
  <c r="FU56" i="75" s="1"/>
  <c r="AR56" i="75"/>
  <c r="FT56" i="75" s="1"/>
  <c r="AQ56" i="75"/>
  <c r="FS56" i="75" s="1"/>
  <c r="AN56" i="75"/>
  <c r="AO56" i="75" s="1"/>
  <c r="FQ56" i="75" s="1"/>
  <c r="AM56" i="75"/>
  <c r="FO56" i="75" s="1"/>
  <c r="AL56" i="75"/>
  <c r="FN56" i="75" s="1"/>
  <c r="AK56" i="75"/>
  <c r="FM56" i="75" s="1"/>
  <c r="AJ56" i="75"/>
  <c r="FL56" i="75" s="1"/>
  <c r="AI56" i="75"/>
  <c r="FK56" i="75" s="1"/>
  <c r="AH56" i="75"/>
  <c r="FJ56" i="75" s="1"/>
  <c r="AG56" i="75"/>
  <c r="FI56" i="75" s="1"/>
  <c r="AF56" i="75"/>
  <c r="AE56" i="75" s="1"/>
  <c r="FG56" i="75" s="1"/>
  <c r="AC56" i="75"/>
  <c r="AD56" i="75" s="1"/>
  <c r="FF56" i="75" s="1"/>
  <c r="AB56" i="75"/>
  <c r="FD56" i="75" s="1"/>
  <c r="AA56" i="75"/>
  <c r="FC56" i="75" s="1"/>
  <c r="Z56" i="75"/>
  <c r="FB56" i="75" s="1"/>
  <c r="Y56" i="75"/>
  <c r="FA56" i="75" s="1"/>
  <c r="X56" i="75"/>
  <c r="EZ56" i="75" s="1"/>
  <c r="W56" i="75"/>
  <c r="EY56" i="75" s="1"/>
  <c r="V56" i="75"/>
  <c r="EX56" i="75" s="1"/>
  <c r="U56" i="75"/>
  <c r="EW56" i="75" s="1"/>
  <c r="EV56" i="75" s="1"/>
  <c r="S56" i="75"/>
  <c r="T56" i="75" s="1"/>
  <c r="EU56" i="75" s="1"/>
  <c r="R56" i="75"/>
  <c r="ES56" i="75" s="1"/>
  <c r="Q56" i="75"/>
  <c r="ER56" i="75" s="1"/>
  <c r="P56" i="75"/>
  <c r="EQ56" i="75" s="1"/>
  <c r="O56" i="75"/>
  <c r="EP56" i="75" s="1"/>
  <c r="N56" i="75"/>
  <c r="EO56" i="75" s="1"/>
  <c r="M56" i="75"/>
  <c r="EN56" i="75" s="1"/>
  <c r="L56" i="75"/>
  <c r="EM56" i="75" s="1"/>
  <c r="K56" i="75"/>
  <c r="EL56" i="75" s="1"/>
  <c r="EK56" i="75" s="1"/>
  <c r="J56" i="75"/>
  <c r="E56" i="75"/>
  <c r="D56" i="75"/>
  <c r="C56" i="75"/>
  <c r="B56" i="75"/>
  <c r="EI55" i="75"/>
  <c r="EJ55" i="75" s="1"/>
  <c r="EH55" i="75"/>
  <c r="EG55" i="75"/>
  <c r="EF55" i="75"/>
  <c r="EE55" i="75"/>
  <c r="ED55" i="75"/>
  <c r="EC55" i="75"/>
  <c r="EB55" i="75"/>
  <c r="EA55" i="75"/>
  <c r="DZ55" i="75" s="1"/>
  <c r="DB55" i="75"/>
  <c r="DC55" i="75" s="1"/>
  <c r="DA55" i="75"/>
  <c r="CZ55" i="75"/>
  <c r="CY55" i="75"/>
  <c r="CX55" i="75"/>
  <c r="CW55" i="75"/>
  <c r="CV55" i="75"/>
  <c r="CU55" i="75"/>
  <c r="CT55" i="75"/>
  <c r="CS55" i="75" s="1"/>
  <c r="CQ55" i="75"/>
  <c r="CR55" i="75" s="1"/>
  <c r="CP55" i="75"/>
  <c r="CO55" i="75"/>
  <c r="CN55" i="75"/>
  <c r="CM55" i="75"/>
  <c r="CL55" i="75"/>
  <c r="CK55" i="75"/>
  <c r="CJ55" i="75"/>
  <c r="CI55" i="75"/>
  <c r="CH55" i="75" s="1"/>
  <c r="CF55" i="75"/>
  <c r="CG55" i="75" s="1"/>
  <c r="CE55" i="75"/>
  <c r="CD55" i="75"/>
  <c r="CC55" i="75"/>
  <c r="CB55" i="75"/>
  <c r="CA55" i="75"/>
  <c r="BZ55" i="75"/>
  <c r="BY55" i="75"/>
  <c r="BX55" i="75"/>
  <c r="BW55" i="75" s="1"/>
  <c r="BU55" i="75"/>
  <c r="BV55" i="75" s="1"/>
  <c r="BT55" i="75"/>
  <c r="BS55" i="75"/>
  <c r="BR55" i="75"/>
  <c r="BQ55" i="75"/>
  <c r="BP55" i="75"/>
  <c r="BO55" i="75"/>
  <c r="BN55" i="75"/>
  <c r="BM55" i="75"/>
  <c r="BL55" i="75" s="1"/>
  <c r="BJ55" i="75"/>
  <c r="GL55" i="75" s="1"/>
  <c r="BI55" i="75"/>
  <c r="GK55" i="75" s="1"/>
  <c r="BH55" i="75"/>
  <c r="GJ55" i="75" s="1"/>
  <c r="BG55" i="75"/>
  <c r="GI55" i="75" s="1"/>
  <c r="BF55" i="75"/>
  <c r="GH55" i="75" s="1"/>
  <c r="BE55" i="75"/>
  <c r="GG55" i="75" s="1"/>
  <c r="BD55" i="75"/>
  <c r="GF55" i="75" s="1"/>
  <c r="BC55" i="75"/>
  <c r="GE55" i="75" s="1"/>
  <c r="BB55" i="75"/>
  <c r="BA55" i="75" s="1"/>
  <c r="GC55" i="75" s="1"/>
  <c r="AY55" i="75"/>
  <c r="GA55" i="75" s="1"/>
  <c r="AX55" i="75"/>
  <c r="FZ55" i="75" s="1"/>
  <c r="AW55" i="75"/>
  <c r="FY55" i="75" s="1"/>
  <c r="AV55" i="75"/>
  <c r="FX55" i="75" s="1"/>
  <c r="AU55" i="75"/>
  <c r="FW55" i="75" s="1"/>
  <c r="AT55" i="75"/>
  <c r="FV55" i="75" s="1"/>
  <c r="AS55" i="75"/>
  <c r="FU55" i="75" s="1"/>
  <c r="AR55" i="75"/>
  <c r="FT55" i="75" s="1"/>
  <c r="AQ55" i="75"/>
  <c r="FS55" i="75" s="1"/>
  <c r="AN55" i="75"/>
  <c r="AO55" i="75" s="1"/>
  <c r="FQ55" i="75" s="1"/>
  <c r="AM55" i="75"/>
  <c r="FO55" i="75" s="1"/>
  <c r="AL55" i="75"/>
  <c r="FN55" i="75" s="1"/>
  <c r="AK55" i="75"/>
  <c r="FM55" i="75" s="1"/>
  <c r="AJ55" i="75"/>
  <c r="FL55" i="75" s="1"/>
  <c r="AI55" i="75"/>
  <c r="FK55" i="75" s="1"/>
  <c r="AH55" i="75"/>
  <c r="FJ55" i="75" s="1"/>
  <c r="AG55" i="75"/>
  <c r="FI55" i="75" s="1"/>
  <c r="AF55" i="75"/>
  <c r="AE55" i="75" s="1"/>
  <c r="FG55" i="75" s="1"/>
  <c r="AC55" i="75"/>
  <c r="FE55" i="75" s="1"/>
  <c r="AB55" i="75"/>
  <c r="FD55" i="75" s="1"/>
  <c r="AA55" i="75"/>
  <c r="FC55" i="75" s="1"/>
  <c r="Z55" i="75"/>
  <c r="FB55" i="75" s="1"/>
  <c r="Y55" i="75"/>
  <c r="FA55" i="75" s="1"/>
  <c r="X55" i="75"/>
  <c r="EZ55" i="75" s="1"/>
  <c r="W55" i="75"/>
  <c r="EY55" i="75" s="1"/>
  <c r="V55" i="75"/>
  <c r="EX55" i="75" s="1"/>
  <c r="U55" i="75"/>
  <c r="EW55" i="75" s="1"/>
  <c r="EV55" i="75" s="1"/>
  <c r="S55" i="75"/>
  <c r="T55" i="75" s="1"/>
  <c r="EU55" i="75" s="1"/>
  <c r="R55" i="75"/>
  <c r="ES55" i="75" s="1"/>
  <c r="Q55" i="75"/>
  <c r="ER55" i="75" s="1"/>
  <c r="P55" i="75"/>
  <c r="EQ55" i="75" s="1"/>
  <c r="O55" i="75"/>
  <c r="EP55" i="75" s="1"/>
  <c r="N55" i="75"/>
  <c r="EO55" i="75" s="1"/>
  <c r="M55" i="75"/>
  <c r="EN55" i="75" s="1"/>
  <c r="L55" i="75"/>
  <c r="EM55" i="75" s="1"/>
  <c r="K55" i="75"/>
  <c r="EL55" i="75" s="1"/>
  <c r="EK55" i="75" s="1"/>
  <c r="J55" i="75"/>
  <c r="E55" i="75"/>
  <c r="D55" i="75"/>
  <c r="C55" i="75"/>
  <c r="B55" i="75"/>
  <c r="FD54" i="75"/>
  <c r="FC54" i="75"/>
  <c r="EI54" i="75"/>
  <c r="EJ54" i="75" s="1"/>
  <c r="EH54" i="75"/>
  <c r="EG54" i="75"/>
  <c r="EF54" i="75"/>
  <c r="EE54" i="75"/>
  <c r="ED54" i="75"/>
  <c r="EC54" i="75"/>
  <c r="EB54" i="75"/>
  <c r="EA54" i="75"/>
  <c r="DZ54" i="75"/>
  <c r="DB54" i="75"/>
  <c r="DC54" i="75" s="1"/>
  <c r="DA54" i="75"/>
  <c r="CZ54" i="75"/>
  <c r="CY54" i="75"/>
  <c r="CX54" i="75"/>
  <c r="CW54" i="75"/>
  <c r="CV54" i="75"/>
  <c r="CU54" i="75"/>
  <c r="CT54" i="75"/>
  <c r="CS54" i="75" s="1"/>
  <c r="CQ54" i="75"/>
  <c r="CR54" i="75" s="1"/>
  <c r="CP54" i="75"/>
  <c r="CO54" i="75"/>
  <c r="CN54" i="75"/>
  <c r="CM54" i="75"/>
  <c r="CL54" i="75"/>
  <c r="CK54" i="75"/>
  <c r="CJ54" i="75"/>
  <c r="CI54" i="75"/>
  <c r="CH54" i="75" s="1"/>
  <c r="CF54" i="75"/>
  <c r="CG54" i="75" s="1"/>
  <c r="CE54" i="75"/>
  <c r="CD54" i="75"/>
  <c r="CC54" i="75"/>
  <c r="CB54" i="75"/>
  <c r="CA54" i="75"/>
  <c r="BZ54" i="75"/>
  <c r="BY54" i="75"/>
  <c r="BX54" i="75"/>
  <c r="BW54" i="75" s="1"/>
  <c r="BU54" i="75"/>
  <c r="BV54" i="75" s="1"/>
  <c r="BT54" i="75"/>
  <c r="BS54" i="75"/>
  <c r="BR54" i="75"/>
  <c r="BQ54" i="75"/>
  <c r="BP54" i="75"/>
  <c r="BO54" i="75"/>
  <c r="BN54" i="75"/>
  <c r="BM54" i="75"/>
  <c r="BL54" i="75" s="1"/>
  <c r="BJ54" i="75"/>
  <c r="BK54" i="75" s="1"/>
  <c r="GM54" i="75" s="1"/>
  <c r="BI54" i="75"/>
  <c r="GK54" i="75" s="1"/>
  <c r="BH54" i="75"/>
  <c r="GJ54" i="75" s="1"/>
  <c r="BG54" i="75"/>
  <c r="GI54" i="75" s="1"/>
  <c r="BF54" i="75"/>
  <c r="GH54" i="75" s="1"/>
  <c r="BE54" i="75"/>
  <c r="GG54" i="75" s="1"/>
  <c r="BD54" i="75"/>
  <c r="GF54" i="75" s="1"/>
  <c r="BC54" i="75"/>
  <c r="GE54" i="75" s="1"/>
  <c r="BB54" i="75"/>
  <c r="GD54" i="75" s="1"/>
  <c r="AY54" i="75"/>
  <c r="GA54" i="75" s="1"/>
  <c r="AX54" i="75"/>
  <c r="FZ54" i="75" s="1"/>
  <c r="AW54" i="75"/>
  <c r="FY54" i="75" s="1"/>
  <c r="AV54" i="75"/>
  <c r="FX54" i="75" s="1"/>
  <c r="AU54" i="75"/>
  <c r="FW54" i="75" s="1"/>
  <c r="AT54" i="75"/>
  <c r="FV54" i="75" s="1"/>
  <c r="AS54" i="75"/>
  <c r="FU54" i="75" s="1"/>
  <c r="AR54" i="75"/>
  <c r="FT54" i="75" s="1"/>
  <c r="AQ54" i="75"/>
  <c r="AP54" i="75" s="1"/>
  <c r="FR54" i="75" s="1"/>
  <c r="AN54" i="75"/>
  <c r="AO54" i="75" s="1"/>
  <c r="FQ54" i="75" s="1"/>
  <c r="AM54" i="75"/>
  <c r="FO54" i="75" s="1"/>
  <c r="AL54" i="75"/>
  <c r="FN54" i="75" s="1"/>
  <c r="AK54" i="75"/>
  <c r="FM54" i="75" s="1"/>
  <c r="AJ54" i="75"/>
  <c r="FL54" i="75" s="1"/>
  <c r="AI54" i="75"/>
  <c r="FK54" i="75" s="1"/>
  <c r="AH54" i="75"/>
  <c r="FJ54" i="75" s="1"/>
  <c r="AG54" i="75"/>
  <c r="FI54" i="75" s="1"/>
  <c r="AF54" i="75"/>
  <c r="FH54" i="75" s="1"/>
  <c r="AC54" i="75"/>
  <c r="FE54" i="75" s="1"/>
  <c r="AB54" i="75"/>
  <c r="AA54" i="75"/>
  <c r="Z54" i="75"/>
  <c r="FB54" i="75" s="1"/>
  <c r="Y54" i="75"/>
  <c r="FA54" i="75" s="1"/>
  <c r="X54" i="75"/>
  <c r="EZ54" i="75" s="1"/>
  <c r="W54" i="75"/>
  <c r="EY54" i="75" s="1"/>
  <c r="V54" i="75"/>
  <c r="EX54" i="75" s="1"/>
  <c r="U54" i="75"/>
  <c r="EW54" i="75" s="1"/>
  <c r="EV54" i="75" s="1"/>
  <c r="S54" i="75"/>
  <c r="ET54" i="75" s="1"/>
  <c r="R54" i="75"/>
  <c r="ES54" i="75" s="1"/>
  <c r="Q54" i="75"/>
  <c r="ER54" i="75" s="1"/>
  <c r="P54" i="75"/>
  <c r="EQ54" i="75" s="1"/>
  <c r="O54" i="75"/>
  <c r="EP54" i="75" s="1"/>
  <c r="N54" i="75"/>
  <c r="EO54" i="75" s="1"/>
  <c r="M54" i="75"/>
  <c r="EN54" i="75" s="1"/>
  <c r="L54" i="75"/>
  <c r="EM54" i="75" s="1"/>
  <c r="K54" i="75"/>
  <c r="EL54" i="75" s="1"/>
  <c r="EK54" i="75" s="1"/>
  <c r="J54" i="75"/>
  <c r="E54" i="75"/>
  <c r="D54" i="75"/>
  <c r="C54" i="75"/>
  <c r="B54" i="75"/>
  <c r="GH53" i="75"/>
  <c r="FO53" i="75"/>
  <c r="FK53" i="75"/>
  <c r="FI53" i="75"/>
  <c r="EI53" i="75"/>
  <c r="EJ53" i="75" s="1"/>
  <c r="EH53" i="75"/>
  <c r="EG53" i="75"/>
  <c r="EF53" i="75"/>
  <c r="EE53" i="75"/>
  <c r="ED53" i="75"/>
  <c r="EC53" i="75"/>
  <c r="EB53" i="75"/>
  <c r="EA53" i="75"/>
  <c r="DZ53" i="75" s="1"/>
  <c r="DB53" i="75"/>
  <c r="DC53" i="75" s="1"/>
  <c r="DA53" i="75"/>
  <c r="CZ53" i="75"/>
  <c r="CY53" i="75"/>
  <c r="CX53" i="75"/>
  <c r="CW53" i="75"/>
  <c r="CV53" i="75"/>
  <c r="CU53" i="75"/>
  <c r="CT53" i="75"/>
  <c r="CS53" i="75" s="1"/>
  <c r="CQ53" i="75"/>
  <c r="CR53" i="75" s="1"/>
  <c r="CP53" i="75"/>
  <c r="CO53" i="75"/>
  <c r="CN53" i="75"/>
  <c r="CM53" i="75"/>
  <c r="CL53" i="75"/>
  <c r="CK53" i="75"/>
  <c r="CJ53" i="75"/>
  <c r="CI53" i="75"/>
  <c r="CH53" i="75" s="1"/>
  <c r="CF53" i="75"/>
  <c r="CG53" i="75" s="1"/>
  <c r="CE53" i="75"/>
  <c r="CD53" i="75"/>
  <c r="CC53" i="75"/>
  <c r="CB53" i="75"/>
  <c r="CA53" i="75"/>
  <c r="BZ53" i="75"/>
  <c r="BY53" i="75"/>
  <c r="BX53" i="75"/>
  <c r="BW53" i="75" s="1"/>
  <c r="BU53" i="75"/>
  <c r="BV53" i="75" s="1"/>
  <c r="BT53" i="75"/>
  <c r="BS53" i="75"/>
  <c r="BR53" i="75"/>
  <c r="BQ53" i="75"/>
  <c r="BP53" i="75"/>
  <c r="BO53" i="75"/>
  <c r="BN53" i="75"/>
  <c r="BM53" i="75"/>
  <c r="BL53" i="75"/>
  <c r="BJ53" i="75"/>
  <c r="BK53" i="75" s="1"/>
  <c r="GM53" i="75" s="1"/>
  <c r="BI53" i="75"/>
  <c r="GK53" i="75" s="1"/>
  <c r="BH53" i="75"/>
  <c r="GJ53" i="75" s="1"/>
  <c r="BG53" i="75"/>
  <c r="GI53" i="75" s="1"/>
  <c r="BF53" i="75"/>
  <c r="BE53" i="75"/>
  <c r="GG53" i="75" s="1"/>
  <c r="BD53" i="75"/>
  <c r="GF53" i="75" s="1"/>
  <c r="BC53" i="75"/>
  <c r="GE53" i="75" s="1"/>
  <c r="BB53" i="75"/>
  <c r="AY53" i="75"/>
  <c r="GA53" i="75" s="1"/>
  <c r="AX53" i="75"/>
  <c r="FZ53" i="75" s="1"/>
  <c r="AW53" i="75"/>
  <c r="FY53" i="75" s="1"/>
  <c r="AV53" i="75"/>
  <c r="FX53" i="75" s="1"/>
  <c r="AU53" i="75"/>
  <c r="FW53" i="75" s="1"/>
  <c r="AT53" i="75"/>
  <c r="FV53" i="75" s="1"/>
  <c r="AS53" i="75"/>
  <c r="FU53" i="75" s="1"/>
  <c r="AR53" i="75"/>
  <c r="FT53" i="75" s="1"/>
  <c r="AQ53" i="75"/>
  <c r="FS53" i="75" s="1"/>
  <c r="AN53" i="75"/>
  <c r="AO53" i="75" s="1"/>
  <c r="FQ53" i="75" s="1"/>
  <c r="AM53" i="75"/>
  <c r="AL53" i="75"/>
  <c r="FN53" i="75" s="1"/>
  <c r="AK53" i="75"/>
  <c r="FM53" i="75" s="1"/>
  <c r="AJ53" i="75"/>
  <c r="FL53" i="75" s="1"/>
  <c r="AI53" i="75"/>
  <c r="AH53" i="75"/>
  <c r="FJ53" i="75" s="1"/>
  <c r="AG53" i="75"/>
  <c r="AF53" i="75"/>
  <c r="AE53" i="75" s="1"/>
  <c r="FG53" i="75" s="1"/>
  <c r="AC53" i="75"/>
  <c r="FE53" i="75" s="1"/>
  <c r="AB53" i="75"/>
  <c r="FD53" i="75" s="1"/>
  <c r="AA53" i="75"/>
  <c r="FC53" i="75" s="1"/>
  <c r="Z53" i="75"/>
  <c r="FB53" i="75" s="1"/>
  <c r="Y53" i="75"/>
  <c r="FA53" i="75" s="1"/>
  <c r="X53" i="75"/>
  <c r="EZ53" i="75" s="1"/>
  <c r="W53" i="75"/>
  <c r="EY53" i="75" s="1"/>
  <c r="V53" i="75"/>
  <c r="EX53" i="75" s="1"/>
  <c r="U53" i="75"/>
  <c r="EW53" i="75" s="1"/>
  <c r="EV53" i="75" s="1"/>
  <c r="S53" i="75"/>
  <c r="T53" i="75" s="1"/>
  <c r="EU53" i="75" s="1"/>
  <c r="R53" i="75"/>
  <c r="ES53" i="75" s="1"/>
  <c r="Q53" i="75"/>
  <c r="ER53" i="75" s="1"/>
  <c r="P53" i="75"/>
  <c r="EQ53" i="75" s="1"/>
  <c r="O53" i="75"/>
  <c r="EP53" i="75" s="1"/>
  <c r="N53" i="75"/>
  <c r="EO53" i="75" s="1"/>
  <c r="M53" i="75"/>
  <c r="EN53" i="75" s="1"/>
  <c r="L53" i="75"/>
  <c r="EM53" i="75" s="1"/>
  <c r="K53" i="75"/>
  <c r="EL53" i="75" s="1"/>
  <c r="EK53" i="75" s="1"/>
  <c r="J53" i="75"/>
  <c r="E53" i="75"/>
  <c r="D53" i="75"/>
  <c r="C53" i="75"/>
  <c r="B53" i="75"/>
  <c r="GK52" i="75"/>
  <c r="EI52" i="75"/>
  <c r="EJ52" i="75" s="1"/>
  <c r="EH52" i="75"/>
  <c r="EG52" i="75"/>
  <c r="EF52" i="75"/>
  <c r="EE52" i="75"/>
  <c r="ED52" i="75"/>
  <c r="EC52" i="75"/>
  <c r="EB52" i="75"/>
  <c r="EA52" i="75"/>
  <c r="DZ52" i="75" s="1"/>
  <c r="DB52" i="75"/>
  <c r="DC52" i="75" s="1"/>
  <c r="DA52" i="75"/>
  <c r="CZ52" i="75"/>
  <c r="CY52" i="75"/>
  <c r="CX52" i="75"/>
  <c r="CW52" i="75"/>
  <c r="CV52" i="75"/>
  <c r="CU52" i="75"/>
  <c r="CT52" i="75"/>
  <c r="CS52" i="75" s="1"/>
  <c r="CQ52" i="75"/>
  <c r="CR52" i="75" s="1"/>
  <c r="CP52" i="75"/>
  <c r="CO52" i="75"/>
  <c r="CN52" i="75"/>
  <c r="CM52" i="75"/>
  <c r="CL52" i="75"/>
  <c r="CK52" i="75"/>
  <c r="CJ52" i="75"/>
  <c r="CI52" i="75"/>
  <c r="CH52" i="75" s="1"/>
  <c r="CF52" i="75"/>
  <c r="CG52" i="75" s="1"/>
  <c r="CE52" i="75"/>
  <c r="CD52" i="75"/>
  <c r="CC52" i="75"/>
  <c r="CB52" i="75"/>
  <c r="CA52" i="75"/>
  <c r="BZ52" i="75"/>
  <c r="BY52" i="75"/>
  <c r="BX52" i="75"/>
  <c r="BW52" i="75" s="1"/>
  <c r="BU52" i="75"/>
  <c r="BV52" i="75" s="1"/>
  <c r="BT52" i="75"/>
  <c r="BS52" i="75"/>
  <c r="BR52" i="75"/>
  <c r="BQ52" i="75"/>
  <c r="BP52" i="75"/>
  <c r="BO52" i="75"/>
  <c r="BN52" i="75"/>
  <c r="BM52" i="75"/>
  <c r="BL52" i="75"/>
  <c r="BJ52" i="75"/>
  <c r="BK52" i="75" s="1"/>
  <c r="GM52" i="75" s="1"/>
  <c r="BI52" i="75"/>
  <c r="BH52" i="75"/>
  <c r="GJ52" i="75" s="1"/>
  <c r="BG52" i="75"/>
  <c r="GI52" i="75" s="1"/>
  <c r="BF52" i="75"/>
  <c r="GH52" i="75" s="1"/>
  <c r="BE52" i="75"/>
  <c r="GG52" i="75" s="1"/>
  <c r="BD52" i="75"/>
  <c r="GF52" i="75" s="1"/>
  <c r="BC52" i="75"/>
  <c r="GE52" i="75" s="1"/>
  <c r="BB52" i="75"/>
  <c r="AY52" i="75"/>
  <c r="GA52" i="75" s="1"/>
  <c r="AX52" i="75"/>
  <c r="FZ52" i="75" s="1"/>
  <c r="AW52" i="75"/>
  <c r="FY52" i="75" s="1"/>
  <c r="AV52" i="75"/>
  <c r="FX52" i="75" s="1"/>
  <c r="AU52" i="75"/>
  <c r="FW52" i="75" s="1"/>
  <c r="AT52" i="75"/>
  <c r="FV52" i="75" s="1"/>
  <c r="AS52" i="75"/>
  <c r="FU52" i="75" s="1"/>
  <c r="AR52" i="75"/>
  <c r="FT52" i="75" s="1"/>
  <c r="AQ52" i="75"/>
  <c r="AP52" i="75" s="1"/>
  <c r="FR52" i="75" s="1"/>
  <c r="AN52" i="75"/>
  <c r="FP52" i="75" s="1"/>
  <c r="AM52" i="75"/>
  <c r="FO52" i="75" s="1"/>
  <c r="AL52" i="75"/>
  <c r="FN52" i="75" s="1"/>
  <c r="AK52" i="75"/>
  <c r="FM52" i="75" s="1"/>
  <c r="AJ52" i="75"/>
  <c r="FL52" i="75" s="1"/>
  <c r="AI52" i="75"/>
  <c r="FK52" i="75" s="1"/>
  <c r="AH52" i="75"/>
  <c r="FJ52" i="75" s="1"/>
  <c r="AG52" i="75"/>
  <c r="FI52" i="75" s="1"/>
  <c r="AF52" i="75"/>
  <c r="FH52" i="75" s="1"/>
  <c r="AC52" i="75"/>
  <c r="FE52" i="75" s="1"/>
  <c r="AB52" i="75"/>
  <c r="FD52" i="75" s="1"/>
  <c r="AA52" i="75"/>
  <c r="FC52" i="75" s="1"/>
  <c r="Z52" i="75"/>
  <c r="FB52" i="75" s="1"/>
  <c r="Y52" i="75"/>
  <c r="FA52" i="75" s="1"/>
  <c r="X52" i="75"/>
  <c r="EZ52" i="75" s="1"/>
  <c r="W52" i="75"/>
  <c r="EY52" i="75" s="1"/>
  <c r="V52" i="75"/>
  <c r="EX52" i="75" s="1"/>
  <c r="U52" i="75"/>
  <c r="EW52" i="75" s="1"/>
  <c r="EV52" i="75" s="1"/>
  <c r="S52" i="75"/>
  <c r="T52" i="75" s="1"/>
  <c r="EU52" i="75" s="1"/>
  <c r="R52" i="75"/>
  <c r="ES52" i="75" s="1"/>
  <c r="Q52" i="75"/>
  <c r="ER52" i="75" s="1"/>
  <c r="P52" i="75"/>
  <c r="EQ52" i="75" s="1"/>
  <c r="O52" i="75"/>
  <c r="EP52" i="75" s="1"/>
  <c r="N52" i="75"/>
  <c r="EO52" i="75" s="1"/>
  <c r="M52" i="75"/>
  <c r="EN52" i="75" s="1"/>
  <c r="L52" i="75"/>
  <c r="EM52" i="75" s="1"/>
  <c r="K52" i="75"/>
  <c r="EL52" i="75" s="1"/>
  <c r="EK52" i="75" s="1"/>
  <c r="J52" i="75"/>
  <c r="E52" i="75"/>
  <c r="D52" i="75"/>
  <c r="C52" i="75"/>
  <c r="B52" i="75"/>
  <c r="DY51" i="75"/>
  <c r="DX51" i="75"/>
  <c r="DW51" i="75"/>
  <c r="DV51" i="75"/>
  <c r="DU51" i="75"/>
  <c r="DT51" i="75"/>
  <c r="DS51" i="75"/>
  <c r="DR51" i="75"/>
  <c r="DQ51" i="75"/>
  <c r="DP51" i="75"/>
  <c r="DO51" i="75"/>
  <c r="DN51" i="75"/>
  <c r="DM51" i="75"/>
  <c r="DL51" i="75"/>
  <c r="DK51" i="75"/>
  <c r="DJ51" i="75"/>
  <c r="DI51" i="75"/>
  <c r="DH51" i="75"/>
  <c r="DG51" i="75"/>
  <c r="DF51" i="75"/>
  <c r="DE51" i="75"/>
  <c r="DD51" i="75"/>
  <c r="I51" i="75"/>
  <c r="H51" i="75"/>
  <c r="G51" i="75"/>
  <c r="F51" i="75"/>
  <c r="E51" i="75"/>
  <c r="D51" i="75"/>
  <c r="C51" i="75"/>
  <c r="B51" i="75"/>
  <c r="EI50" i="75"/>
  <c r="EJ50" i="75" s="1"/>
  <c r="EH50" i="75"/>
  <c r="EG50" i="75"/>
  <c r="EF50" i="75"/>
  <c r="EE50" i="75"/>
  <c r="ED50" i="75"/>
  <c r="EC50" i="75"/>
  <c r="EB50" i="75"/>
  <c r="EA50" i="75"/>
  <c r="DZ50" i="75" s="1"/>
  <c r="DB50" i="75"/>
  <c r="DC50" i="75" s="1"/>
  <c r="DA50" i="75"/>
  <c r="CZ50" i="75"/>
  <c r="CY50" i="75"/>
  <c r="CX50" i="75"/>
  <c r="CW50" i="75"/>
  <c r="CV50" i="75"/>
  <c r="CU50" i="75"/>
  <c r="CT50" i="75"/>
  <c r="CS50" i="75" s="1"/>
  <c r="CQ50" i="75"/>
  <c r="CR50" i="75" s="1"/>
  <c r="CP50" i="75"/>
  <c r="CO50" i="75"/>
  <c r="CN50" i="75"/>
  <c r="CM50" i="75"/>
  <c r="CL50" i="75"/>
  <c r="CK50" i="75"/>
  <c r="CJ50" i="75"/>
  <c r="CI50" i="75"/>
  <c r="CH50" i="75" s="1"/>
  <c r="CF50" i="75"/>
  <c r="CG50" i="75" s="1"/>
  <c r="CE50" i="75"/>
  <c r="CD50" i="75"/>
  <c r="CC50" i="75"/>
  <c r="CB50" i="75"/>
  <c r="CA50" i="75"/>
  <c r="BZ50" i="75"/>
  <c r="BY50" i="75"/>
  <c r="BX50" i="75"/>
  <c r="BW50" i="75" s="1"/>
  <c r="BU50" i="75"/>
  <c r="BV50" i="75" s="1"/>
  <c r="BT50" i="75"/>
  <c r="BS50" i="75"/>
  <c r="BR50" i="75"/>
  <c r="BQ50" i="75"/>
  <c r="BP50" i="75"/>
  <c r="BO50" i="75"/>
  <c r="BN50" i="75"/>
  <c r="BM50" i="75"/>
  <c r="BL50" i="75" s="1"/>
  <c r="BJ50" i="75"/>
  <c r="BK50" i="75" s="1"/>
  <c r="GM50" i="75" s="1"/>
  <c r="BI50" i="75"/>
  <c r="GK50" i="75" s="1"/>
  <c r="BH50" i="75"/>
  <c r="GJ50" i="75" s="1"/>
  <c r="BG50" i="75"/>
  <c r="GI50" i="75" s="1"/>
  <c r="BF50" i="75"/>
  <c r="GH50" i="75" s="1"/>
  <c r="BE50" i="75"/>
  <c r="GG50" i="75" s="1"/>
  <c r="BD50" i="75"/>
  <c r="GF50" i="75" s="1"/>
  <c r="BC50" i="75"/>
  <c r="GE50" i="75" s="1"/>
  <c r="BB50" i="75"/>
  <c r="GD50" i="75" s="1"/>
  <c r="AY50" i="75"/>
  <c r="GA50" i="75" s="1"/>
  <c r="AX50" i="75"/>
  <c r="FZ50" i="75" s="1"/>
  <c r="AW50" i="75"/>
  <c r="FY50" i="75" s="1"/>
  <c r="AV50" i="75"/>
  <c r="FX50" i="75" s="1"/>
  <c r="AU50" i="75"/>
  <c r="FW50" i="75" s="1"/>
  <c r="AT50" i="75"/>
  <c r="FV50" i="75" s="1"/>
  <c r="AS50" i="75"/>
  <c r="FU50" i="75" s="1"/>
  <c r="AR50" i="75"/>
  <c r="FT50" i="75" s="1"/>
  <c r="AQ50" i="75"/>
  <c r="AN50" i="75"/>
  <c r="AO50" i="75" s="1"/>
  <c r="FQ50" i="75" s="1"/>
  <c r="AM50" i="75"/>
  <c r="FO50" i="75" s="1"/>
  <c r="AL50" i="75"/>
  <c r="FN50" i="75" s="1"/>
  <c r="AK50" i="75"/>
  <c r="FM50" i="75" s="1"/>
  <c r="AJ50" i="75"/>
  <c r="FL50" i="75" s="1"/>
  <c r="AI50" i="75"/>
  <c r="FK50" i="75" s="1"/>
  <c r="AH50" i="75"/>
  <c r="FJ50" i="75" s="1"/>
  <c r="AG50" i="75"/>
  <c r="FI50" i="75" s="1"/>
  <c r="AF50" i="75"/>
  <c r="FH50" i="75" s="1"/>
  <c r="AE50" i="75"/>
  <c r="FG50" i="75" s="1"/>
  <c r="AC50" i="75"/>
  <c r="FE50" i="75" s="1"/>
  <c r="AB50" i="75"/>
  <c r="FD50" i="75" s="1"/>
  <c r="AA50" i="75"/>
  <c r="FC50" i="75" s="1"/>
  <c r="Z50" i="75"/>
  <c r="FB50" i="75" s="1"/>
  <c r="Y50" i="75"/>
  <c r="FA50" i="75" s="1"/>
  <c r="X50" i="75"/>
  <c r="EZ50" i="75" s="1"/>
  <c r="W50" i="75"/>
  <c r="EY50" i="75" s="1"/>
  <c r="V50" i="75"/>
  <c r="EX50" i="75" s="1"/>
  <c r="U50" i="75"/>
  <c r="EW50" i="75" s="1"/>
  <c r="EV50" i="75" s="1"/>
  <c r="S50" i="75"/>
  <c r="ET50" i="75" s="1"/>
  <c r="R50" i="75"/>
  <c r="ES50" i="75" s="1"/>
  <c r="Q50" i="75"/>
  <c r="ER50" i="75" s="1"/>
  <c r="P50" i="75"/>
  <c r="EQ50" i="75" s="1"/>
  <c r="O50" i="75"/>
  <c r="EP50" i="75" s="1"/>
  <c r="N50" i="75"/>
  <c r="EO50" i="75" s="1"/>
  <c r="M50" i="75"/>
  <c r="EN50" i="75" s="1"/>
  <c r="L50" i="75"/>
  <c r="EM50" i="75" s="1"/>
  <c r="K50" i="75"/>
  <c r="EL50" i="75" s="1"/>
  <c r="EK50" i="75" s="1"/>
  <c r="J50" i="75"/>
  <c r="E50" i="75"/>
  <c r="D50" i="75"/>
  <c r="C50" i="75"/>
  <c r="B50" i="75"/>
  <c r="EI49" i="75"/>
  <c r="EJ49" i="75" s="1"/>
  <c r="EH49" i="75"/>
  <c r="EG49" i="75"/>
  <c r="EF49" i="75"/>
  <c r="EE49" i="75"/>
  <c r="ED49" i="75"/>
  <c r="EC49" i="75"/>
  <c r="EB49" i="75"/>
  <c r="EA49" i="75"/>
  <c r="DZ49" i="75" s="1"/>
  <c r="DB49" i="75"/>
  <c r="DC49" i="75" s="1"/>
  <c r="DA49" i="75"/>
  <c r="CZ49" i="75"/>
  <c r="CY49" i="75"/>
  <c r="CX49" i="75"/>
  <c r="CW49" i="75"/>
  <c r="CV49" i="75"/>
  <c r="CU49" i="75"/>
  <c r="CT49" i="75"/>
  <c r="CS49" i="75" s="1"/>
  <c r="CQ49" i="75"/>
  <c r="CR49" i="75" s="1"/>
  <c r="CP49" i="75"/>
  <c r="CO49" i="75"/>
  <c r="CN49" i="75"/>
  <c r="CM49" i="75"/>
  <c r="CL49" i="75"/>
  <c r="CK49" i="75"/>
  <c r="CJ49" i="75"/>
  <c r="CI49" i="75"/>
  <c r="CH49" i="75" s="1"/>
  <c r="CF49" i="75"/>
  <c r="CG49" i="75" s="1"/>
  <c r="CE49" i="75"/>
  <c r="CD49" i="75"/>
  <c r="CC49" i="75"/>
  <c r="CB49" i="75"/>
  <c r="CA49" i="75"/>
  <c r="BZ49" i="75"/>
  <c r="BY49" i="75"/>
  <c r="BX49" i="75"/>
  <c r="BW49" i="75" s="1"/>
  <c r="BU49" i="75"/>
  <c r="BV49" i="75" s="1"/>
  <c r="BT49" i="75"/>
  <c r="BS49" i="75"/>
  <c r="BR49" i="75"/>
  <c r="BQ49" i="75"/>
  <c r="BP49" i="75"/>
  <c r="BO49" i="75"/>
  <c r="BN49" i="75"/>
  <c r="BM49" i="75"/>
  <c r="BL49" i="75" s="1"/>
  <c r="BJ49" i="75"/>
  <c r="BK49" i="75" s="1"/>
  <c r="GM49" i="75" s="1"/>
  <c r="BI49" i="75"/>
  <c r="GK49" i="75" s="1"/>
  <c r="BH49" i="75"/>
  <c r="GJ49" i="75" s="1"/>
  <c r="BG49" i="75"/>
  <c r="GI49" i="75" s="1"/>
  <c r="BF49" i="75"/>
  <c r="GH49" i="75" s="1"/>
  <c r="BE49" i="75"/>
  <c r="GG49" i="75" s="1"/>
  <c r="BD49" i="75"/>
  <c r="GF49" i="75" s="1"/>
  <c r="BC49" i="75"/>
  <c r="GE49" i="75" s="1"/>
  <c r="BB49" i="75"/>
  <c r="BA49" i="75" s="1"/>
  <c r="GC49" i="75" s="1"/>
  <c r="AY49" i="75"/>
  <c r="GA49" i="75" s="1"/>
  <c r="AX49" i="75"/>
  <c r="FZ49" i="75" s="1"/>
  <c r="AW49" i="75"/>
  <c r="FY49" i="75" s="1"/>
  <c r="AV49" i="75"/>
  <c r="FX49" i="75" s="1"/>
  <c r="AU49" i="75"/>
  <c r="FW49" i="75" s="1"/>
  <c r="AT49" i="75"/>
  <c r="FV49" i="75" s="1"/>
  <c r="AS49" i="75"/>
  <c r="FU49" i="75" s="1"/>
  <c r="AR49" i="75"/>
  <c r="FT49" i="75" s="1"/>
  <c r="AQ49" i="75"/>
  <c r="FS49" i="75" s="1"/>
  <c r="AN49" i="75"/>
  <c r="AM49" i="75"/>
  <c r="FO49" i="75" s="1"/>
  <c r="AL49" i="75"/>
  <c r="FN49" i="75" s="1"/>
  <c r="AK49" i="75"/>
  <c r="FM49" i="75" s="1"/>
  <c r="AJ49" i="75"/>
  <c r="FL49" i="75" s="1"/>
  <c r="AI49" i="75"/>
  <c r="FK49" i="75" s="1"/>
  <c r="AH49" i="75"/>
  <c r="FJ49" i="75" s="1"/>
  <c r="AG49" i="75"/>
  <c r="FI49" i="75" s="1"/>
  <c r="AF49" i="75"/>
  <c r="AE49" i="75" s="1"/>
  <c r="FG49" i="75" s="1"/>
  <c r="AC49" i="75"/>
  <c r="FE49" i="75" s="1"/>
  <c r="AB49" i="75"/>
  <c r="FD49" i="75" s="1"/>
  <c r="AA49" i="75"/>
  <c r="FC49" i="75" s="1"/>
  <c r="Z49" i="75"/>
  <c r="FB49" i="75" s="1"/>
  <c r="Y49" i="75"/>
  <c r="FA49" i="75" s="1"/>
  <c r="X49" i="75"/>
  <c r="EZ49" i="75" s="1"/>
  <c r="W49" i="75"/>
  <c r="EY49" i="75" s="1"/>
  <c r="V49" i="75"/>
  <c r="EX49" i="75" s="1"/>
  <c r="U49" i="75"/>
  <c r="EW49" i="75" s="1"/>
  <c r="EV49" i="75" s="1"/>
  <c r="S49" i="75"/>
  <c r="ET49" i="75" s="1"/>
  <c r="R49" i="75"/>
  <c r="ES49" i="75" s="1"/>
  <c r="Q49" i="75"/>
  <c r="ER49" i="75" s="1"/>
  <c r="P49" i="75"/>
  <c r="EQ49" i="75" s="1"/>
  <c r="O49" i="75"/>
  <c r="EP49" i="75" s="1"/>
  <c r="N49" i="75"/>
  <c r="EO49" i="75" s="1"/>
  <c r="M49" i="75"/>
  <c r="EN49" i="75" s="1"/>
  <c r="L49" i="75"/>
  <c r="EM49" i="75" s="1"/>
  <c r="K49" i="75"/>
  <c r="EL49" i="75" s="1"/>
  <c r="EK49" i="75" s="1"/>
  <c r="J49" i="75"/>
  <c r="E49" i="75"/>
  <c r="D49" i="75"/>
  <c r="C49" i="75"/>
  <c r="B49" i="75"/>
  <c r="EI48" i="75"/>
  <c r="EJ48" i="75" s="1"/>
  <c r="EH48" i="75"/>
  <c r="EG48" i="75"/>
  <c r="EF48" i="75"/>
  <c r="EE48" i="75"/>
  <c r="ED48" i="75"/>
  <c r="EC48" i="75"/>
  <c r="EB48" i="75"/>
  <c r="EA48" i="75"/>
  <c r="DZ48" i="75" s="1"/>
  <c r="DB48" i="75"/>
  <c r="DC48" i="75" s="1"/>
  <c r="DA48" i="75"/>
  <c r="CZ48" i="75"/>
  <c r="CY48" i="75"/>
  <c r="CX48" i="75"/>
  <c r="CW48" i="75"/>
  <c r="CV48" i="75"/>
  <c r="CU48" i="75"/>
  <c r="CT48" i="75"/>
  <c r="CS48" i="75" s="1"/>
  <c r="CQ48" i="75"/>
  <c r="CR48" i="75" s="1"/>
  <c r="CP48" i="75"/>
  <c r="CO48" i="75"/>
  <c r="CN48" i="75"/>
  <c r="CM48" i="75"/>
  <c r="CL48" i="75"/>
  <c r="CK48" i="75"/>
  <c r="CJ48" i="75"/>
  <c r="CI48" i="75"/>
  <c r="CH48" i="75" s="1"/>
  <c r="CF48" i="75"/>
  <c r="CG48" i="75" s="1"/>
  <c r="CE48" i="75"/>
  <c r="CD48" i="75"/>
  <c r="CC48" i="75"/>
  <c r="CB48" i="75"/>
  <c r="CA48" i="75"/>
  <c r="BZ48" i="75"/>
  <c r="BY48" i="75"/>
  <c r="BX48" i="75"/>
  <c r="BW48" i="75" s="1"/>
  <c r="BU48" i="75"/>
  <c r="BV48" i="75" s="1"/>
  <c r="BT48" i="75"/>
  <c r="BS48" i="75"/>
  <c r="BR48" i="75"/>
  <c r="BQ48" i="75"/>
  <c r="BP48" i="75"/>
  <c r="BO48" i="75"/>
  <c r="BN48" i="75"/>
  <c r="BM48" i="75"/>
  <c r="BL48" i="75" s="1"/>
  <c r="BJ48" i="75"/>
  <c r="BK48" i="75" s="1"/>
  <c r="GM48" i="75" s="1"/>
  <c r="BI48" i="75"/>
  <c r="GK48" i="75" s="1"/>
  <c r="BH48" i="75"/>
  <c r="GJ48" i="75" s="1"/>
  <c r="BG48" i="75"/>
  <c r="GI48" i="75" s="1"/>
  <c r="BF48" i="75"/>
  <c r="GH48" i="75" s="1"/>
  <c r="BE48" i="75"/>
  <c r="GG48" i="75" s="1"/>
  <c r="BD48" i="75"/>
  <c r="GF48" i="75" s="1"/>
  <c r="BC48" i="75"/>
  <c r="GE48" i="75" s="1"/>
  <c r="BB48" i="75"/>
  <c r="GD48" i="75" s="1"/>
  <c r="AY48" i="75"/>
  <c r="GA48" i="75" s="1"/>
  <c r="AX48" i="75"/>
  <c r="FZ48" i="75" s="1"/>
  <c r="AW48" i="75"/>
  <c r="FY48" i="75" s="1"/>
  <c r="AV48" i="75"/>
  <c r="FX48" i="75" s="1"/>
  <c r="AU48" i="75"/>
  <c r="FW48" i="75" s="1"/>
  <c r="AT48" i="75"/>
  <c r="FV48" i="75" s="1"/>
  <c r="AS48" i="75"/>
  <c r="FU48" i="75" s="1"/>
  <c r="AR48" i="75"/>
  <c r="FT48" i="75" s="1"/>
  <c r="AQ48" i="75"/>
  <c r="AP48" i="75" s="1"/>
  <c r="FR48" i="75" s="1"/>
  <c r="AN48" i="75"/>
  <c r="AO48" i="75" s="1"/>
  <c r="FQ48" i="75" s="1"/>
  <c r="AM48" i="75"/>
  <c r="FO48" i="75" s="1"/>
  <c r="AL48" i="75"/>
  <c r="FN48" i="75" s="1"/>
  <c r="AK48" i="75"/>
  <c r="FM48" i="75" s="1"/>
  <c r="AJ48" i="75"/>
  <c r="FL48" i="75" s="1"/>
  <c r="AI48" i="75"/>
  <c r="FK48" i="75" s="1"/>
  <c r="AH48" i="75"/>
  <c r="FJ48" i="75" s="1"/>
  <c r="AG48" i="75"/>
  <c r="FI48" i="75" s="1"/>
  <c r="AF48" i="75"/>
  <c r="FH48" i="75" s="1"/>
  <c r="AC48" i="75"/>
  <c r="FE48" i="75" s="1"/>
  <c r="AB48" i="75"/>
  <c r="FD48" i="75" s="1"/>
  <c r="AA48" i="75"/>
  <c r="FC48" i="75" s="1"/>
  <c r="Z48" i="75"/>
  <c r="FB48" i="75" s="1"/>
  <c r="Y48" i="75"/>
  <c r="FA48" i="75" s="1"/>
  <c r="X48" i="75"/>
  <c r="EZ48" i="75" s="1"/>
  <c r="W48" i="75"/>
  <c r="EY48" i="75" s="1"/>
  <c r="V48" i="75"/>
  <c r="EX48" i="75" s="1"/>
  <c r="U48" i="75"/>
  <c r="EW48" i="75" s="1"/>
  <c r="EV48" i="75" s="1"/>
  <c r="S48" i="75"/>
  <c r="ET48" i="75" s="1"/>
  <c r="R48" i="75"/>
  <c r="ES48" i="75" s="1"/>
  <c r="Q48" i="75"/>
  <c r="ER48" i="75" s="1"/>
  <c r="P48" i="75"/>
  <c r="EQ48" i="75" s="1"/>
  <c r="O48" i="75"/>
  <c r="EP48" i="75" s="1"/>
  <c r="N48" i="75"/>
  <c r="EO48" i="75" s="1"/>
  <c r="M48" i="75"/>
  <c r="EN48" i="75" s="1"/>
  <c r="L48" i="75"/>
  <c r="EM48" i="75" s="1"/>
  <c r="K48" i="75"/>
  <c r="EL48" i="75" s="1"/>
  <c r="EK48" i="75" s="1"/>
  <c r="J48" i="75"/>
  <c r="E48" i="75"/>
  <c r="D48" i="75"/>
  <c r="C48" i="75"/>
  <c r="B48" i="75"/>
  <c r="GL47" i="75"/>
  <c r="EI47" i="75"/>
  <c r="EJ47" i="75" s="1"/>
  <c r="EH47" i="75"/>
  <c r="EG47" i="75"/>
  <c r="EF47" i="75"/>
  <c r="EE47" i="75"/>
  <c r="ED47" i="75"/>
  <c r="EC47" i="75"/>
  <c r="EB47" i="75"/>
  <c r="EA47" i="75"/>
  <c r="DZ47" i="75" s="1"/>
  <c r="DB47" i="75"/>
  <c r="DC47" i="75" s="1"/>
  <c r="DA47" i="75"/>
  <c r="CZ47" i="75"/>
  <c r="CY47" i="75"/>
  <c r="CX47" i="75"/>
  <c r="CW47" i="75"/>
  <c r="CV47" i="75"/>
  <c r="CU47" i="75"/>
  <c r="CT47" i="75"/>
  <c r="CS47" i="75" s="1"/>
  <c r="CQ47" i="75"/>
  <c r="CR47" i="75" s="1"/>
  <c r="CP47" i="75"/>
  <c r="CO47" i="75"/>
  <c r="CN47" i="75"/>
  <c r="CM47" i="75"/>
  <c r="CL47" i="75"/>
  <c r="CK47" i="75"/>
  <c r="CJ47" i="75"/>
  <c r="CI47" i="75"/>
  <c r="CH47" i="75" s="1"/>
  <c r="CF47" i="75"/>
  <c r="CG47" i="75" s="1"/>
  <c r="CE47" i="75"/>
  <c r="CD47" i="75"/>
  <c r="CC47" i="75"/>
  <c r="CB47" i="75"/>
  <c r="CA47" i="75"/>
  <c r="BZ47" i="75"/>
  <c r="BY47" i="75"/>
  <c r="BX47" i="75"/>
  <c r="BW47" i="75"/>
  <c r="BU47" i="75"/>
  <c r="BV47" i="75" s="1"/>
  <c r="BT47" i="75"/>
  <c r="BS47" i="75"/>
  <c r="BR47" i="75"/>
  <c r="BQ47" i="75"/>
  <c r="BP47" i="75"/>
  <c r="BO47" i="75"/>
  <c r="BN47" i="75"/>
  <c r="BM47" i="75"/>
  <c r="BL47" i="75" s="1"/>
  <c r="BJ47" i="75"/>
  <c r="BK47" i="75" s="1"/>
  <c r="GM47" i="75" s="1"/>
  <c r="BI47" i="75"/>
  <c r="GK47" i="75" s="1"/>
  <c r="BH47" i="75"/>
  <c r="GJ47" i="75" s="1"/>
  <c r="BG47" i="75"/>
  <c r="GI47" i="75" s="1"/>
  <c r="BF47" i="75"/>
  <c r="GH47" i="75" s="1"/>
  <c r="BE47" i="75"/>
  <c r="GG47" i="75" s="1"/>
  <c r="BD47" i="75"/>
  <c r="GF47" i="75" s="1"/>
  <c r="BC47" i="75"/>
  <c r="GE47" i="75" s="1"/>
  <c r="BB47" i="75"/>
  <c r="GD47" i="75" s="1"/>
  <c r="AY47" i="75"/>
  <c r="GA47" i="75" s="1"/>
  <c r="AX47" i="75"/>
  <c r="FZ47" i="75" s="1"/>
  <c r="AW47" i="75"/>
  <c r="FY47" i="75" s="1"/>
  <c r="AV47" i="75"/>
  <c r="FX47" i="75" s="1"/>
  <c r="AU47" i="75"/>
  <c r="FW47" i="75" s="1"/>
  <c r="AT47" i="75"/>
  <c r="FV47" i="75" s="1"/>
  <c r="AS47" i="75"/>
  <c r="FU47" i="75" s="1"/>
  <c r="AR47" i="75"/>
  <c r="FT47" i="75" s="1"/>
  <c r="AQ47" i="75"/>
  <c r="FS47" i="75" s="1"/>
  <c r="AN47" i="75"/>
  <c r="FP47" i="75" s="1"/>
  <c r="AM47" i="75"/>
  <c r="FO47" i="75" s="1"/>
  <c r="AL47" i="75"/>
  <c r="FN47" i="75" s="1"/>
  <c r="AK47" i="75"/>
  <c r="FM47" i="75" s="1"/>
  <c r="AJ47" i="75"/>
  <c r="FL47" i="75" s="1"/>
  <c r="AI47" i="75"/>
  <c r="FK47" i="75" s="1"/>
  <c r="AH47" i="75"/>
  <c r="FJ47" i="75" s="1"/>
  <c r="AG47" i="75"/>
  <c r="FI47" i="75" s="1"/>
  <c r="AF47" i="75"/>
  <c r="AC47" i="75"/>
  <c r="AD47" i="75" s="1"/>
  <c r="FF47" i="75" s="1"/>
  <c r="AB47" i="75"/>
  <c r="FD47" i="75" s="1"/>
  <c r="AA47" i="75"/>
  <c r="FC47" i="75" s="1"/>
  <c r="Z47" i="75"/>
  <c r="FB47" i="75" s="1"/>
  <c r="Y47" i="75"/>
  <c r="FA47" i="75" s="1"/>
  <c r="X47" i="75"/>
  <c r="EZ47" i="75" s="1"/>
  <c r="W47" i="75"/>
  <c r="EY47" i="75" s="1"/>
  <c r="V47" i="75"/>
  <c r="EX47" i="75" s="1"/>
  <c r="U47" i="75"/>
  <c r="EW47" i="75" s="1"/>
  <c r="EV47" i="75" s="1"/>
  <c r="S47" i="75"/>
  <c r="ET47" i="75" s="1"/>
  <c r="R47" i="75"/>
  <c r="ES47" i="75" s="1"/>
  <c r="Q47" i="75"/>
  <c r="ER47" i="75" s="1"/>
  <c r="P47" i="75"/>
  <c r="EQ47" i="75" s="1"/>
  <c r="O47" i="75"/>
  <c r="EP47" i="75" s="1"/>
  <c r="N47" i="75"/>
  <c r="EO47" i="75" s="1"/>
  <c r="M47" i="75"/>
  <c r="EN47" i="75" s="1"/>
  <c r="L47" i="75"/>
  <c r="EM47" i="75" s="1"/>
  <c r="K47" i="75"/>
  <c r="EL47" i="75" s="1"/>
  <c r="EK47" i="75" s="1"/>
  <c r="J47" i="75"/>
  <c r="E47" i="75"/>
  <c r="D47" i="75"/>
  <c r="C47" i="75"/>
  <c r="B47" i="75"/>
  <c r="EI46" i="75"/>
  <c r="EJ46" i="75" s="1"/>
  <c r="EJ51" i="75" s="1"/>
  <c r="EH46" i="75"/>
  <c r="EH51" i="75" s="1"/>
  <c r="EG46" i="75"/>
  <c r="EG51" i="75" s="1"/>
  <c r="EF46" i="75"/>
  <c r="EF51" i="75" s="1"/>
  <c r="EE46" i="75"/>
  <c r="EE51" i="75" s="1"/>
  <c r="ED46" i="75"/>
  <c r="ED51" i="75" s="1"/>
  <c r="EC46" i="75"/>
  <c r="EC51" i="75" s="1"/>
  <c r="EB46" i="75"/>
  <c r="EB51" i="75" s="1"/>
  <c r="EA46" i="75"/>
  <c r="EA51" i="75" s="1"/>
  <c r="DB46" i="75"/>
  <c r="DC46" i="75" s="1"/>
  <c r="DA46" i="75"/>
  <c r="CZ46" i="75"/>
  <c r="CY46" i="75"/>
  <c r="CX46" i="75"/>
  <c r="CW46" i="75"/>
  <c r="CV46" i="75"/>
  <c r="CU46" i="75"/>
  <c r="CT46" i="75"/>
  <c r="CS46" i="75" s="1"/>
  <c r="CQ46" i="75"/>
  <c r="CR46" i="75" s="1"/>
  <c r="CR51" i="75" s="1"/>
  <c r="CP46" i="75"/>
  <c r="CP51" i="75" s="1"/>
  <c r="CO46" i="75"/>
  <c r="CO51" i="75" s="1"/>
  <c r="CN46" i="75"/>
  <c r="CN51" i="75" s="1"/>
  <c r="CM46" i="75"/>
  <c r="CM51" i="75" s="1"/>
  <c r="CL46" i="75"/>
  <c r="CL51" i="75" s="1"/>
  <c r="CK46" i="75"/>
  <c r="CK51" i="75" s="1"/>
  <c r="CJ46" i="75"/>
  <c r="CJ51" i="75" s="1"/>
  <c r="CI46" i="75"/>
  <c r="CH46" i="75" s="1"/>
  <c r="CH51" i="75" s="1"/>
  <c r="CF46" i="75"/>
  <c r="CF51" i="75" s="1"/>
  <c r="CE46" i="75"/>
  <c r="CE51" i="75" s="1"/>
  <c r="CD46" i="75"/>
  <c r="CD51" i="75" s="1"/>
  <c r="CC46" i="75"/>
  <c r="CC51" i="75" s="1"/>
  <c r="CB46" i="75"/>
  <c r="CB51" i="75" s="1"/>
  <c r="CA46" i="75"/>
  <c r="CA51" i="75" s="1"/>
  <c r="BZ46" i="75"/>
  <c r="BZ51" i="75" s="1"/>
  <c r="BY46" i="75"/>
  <c r="BY51" i="75" s="1"/>
  <c r="BX46" i="75"/>
  <c r="BW46" i="75" s="1"/>
  <c r="BW51" i="75" s="1"/>
  <c r="BU46" i="75"/>
  <c r="BU51" i="75" s="1"/>
  <c r="BT46" i="75"/>
  <c r="BT51" i="75" s="1"/>
  <c r="BS46" i="75"/>
  <c r="BS51" i="75" s="1"/>
  <c r="BR46" i="75"/>
  <c r="BR51" i="75" s="1"/>
  <c r="BQ46" i="75"/>
  <c r="BQ51" i="75" s="1"/>
  <c r="BP46" i="75"/>
  <c r="BP51" i="75" s="1"/>
  <c r="BO46" i="75"/>
  <c r="BO51" i="75" s="1"/>
  <c r="BN46" i="75"/>
  <c r="BN51" i="75" s="1"/>
  <c r="BM46" i="75"/>
  <c r="BM51" i="75" s="1"/>
  <c r="BJ46" i="75"/>
  <c r="BJ51" i="75" s="1"/>
  <c r="GL51" i="75" s="1"/>
  <c r="BI46" i="75"/>
  <c r="BI51" i="75" s="1"/>
  <c r="GK51" i="75" s="1"/>
  <c r="BH46" i="75"/>
  <c r="BG46" i="75"/>
  <c r="BG51" i="75" s="1"/>
  <c r="GI51" i="75" s="1"/>
  <c r="BF46" i="75"/>
  <c r="BF51" i="75" s="1"/>
  <c r="GH51" i="75" s="1"/>
  <c r="BE46" i="75"/>
  <c r="BE51" i="75" s="1"/>
  <c r="GG51" i="75" s="1"/>
  <c r="BD46" i="75"/>
  <c r="BD51" i="75" s="1"/>
  <c r="GF51" i="75" s="1"/>
  <c r="BC46" i="75"/>
  <c r="BC51" i="75" s="1"/>
  <c r="GE51" i="75" s="1"/>
  <c r="BB46" i="75"/>
  <c r="BA46" i="75" s="1"/>
  <c r="AY46" i="75"/>
  <c r="AX46" i="75"/>
  <c r="AX51" i="75" s="1"/>
  <c r="FZ51" i="75" s="1"/>
  <c r="AW46" i="75"/>
  <c r="FY46" i="75" s="1"/>
  <c r="AV46" i="75"/>
  <c r="FX46" i="75" s="1"/>
  <c r="AU46" i="75"/>
  <c r="FW46" i="75" s="1"/>
  <c r="AT46" i="75"/>
  <c r="AT51" i="75" s="1"/>
  <c r="FV51" i="75" s="1"/>
  <c r="AS46" i="75"/>
  <c r="FU46" i="75" s="1"/>
  <c r="AR46" i="75"/>
  <c r="AR51" i="75" s="1"/>
  <c r="FT51" i="75" s="1"/>
  <c r="AQ46" i="75"/>
  <c r="FS46" i="75" s="1"/>
  <c r="AN46" i="75"/>
  <c r="AM46" i="75"/>
  <c r="AM51" i="75" s="1"/>
  <c r="FO51" i="75" s="1"/>
  <c r="AL46" i="75"/>
  <c r="AL51" i="75" s="1"/>
  <c r="FN51" i="75" s="1"/>
  <c r="AK46" i="75"/>
  <c r="AK51" i="75" s="1"/>
  <c r="FM51" i="75" s="1"/>
  <c r="AJ46" i="75"/>
  <c r="AJ51" i="75" s="1"/>
  <c r="FL51" i="75" s="1"/>
  <c r="AI46" i="75"/>
  <c r="AI51" i="75" s="1"/>
  <c r="FK51" i="75" s="1"/>
  <c r="AH46" i="75"/>
  <c r="AH51" i="75" s="1"/>
  <c r="FJ51" i="75" s="1"/>
  <c r="AG46" i="75"/>
  <c r="AG51" i="75" s="1"/>
  <c r="FI51" i="75" s="1"/>
  <c r="AF46" i="75"/>
  <c r="AF51" i="75" s="1"/>
  <c r="FH51" i="75" s="1"/>
  <c r="AC46" i="75"/>
  <c r="FE46" i="75" s="1"/>
  <c r="AB46" i="75"/>
  <c r="FD46" i="75" s="1"/>
  <c r="AA46" i="75"/>
  <c r="FC46" i="75" s="1"/>
  <c r="Z46" i="75"/>
  <c r="Z51" i="75" s="1"/>
  <c r="FB51" i="75" s="1"/>
  <c r="Y46" i="75"/>
  <c r="FA46" i="75" s="1"/>
  <c r="X46" i="75"/>
  <c r="X51" i="75" s="1"/>
  <c r="EZ51" i="75" s="1"/>
  <c r="W46" i="75"/>
  <c r="EY46" i="75" s="1"/>
  <c r="V46" i="75"/>
  <c r="V51" i="75" s="1"/>
  <c r="EX51" i="75" s="1"/>
  <c r="U46" i="75"/>
  <c r="EW46" i="75" s="1"/>
  <c r="EV46" i="75" s="1"/>
  <c r="EV51" i="75" s="1"/>
  <c r="S46" i="75"/>
  <c r="T46" i="75" s="1"/>
  <c r="EU46" i="75" s="1"/>
  <c r="R46" i="75"/>
  <c r="Q46" i="75"/>
  <c r="Q51" i="75" s="1"/>
  <c r="ER51" i="75" s="1"/>
  <c r="P46" i="75"/>
  <c r="P51" i="75" s="1"/>
  <c r="EQ51" i="75" s="1"/>
  <c r="O46" i="75"/>
  <c r="O51" i="75" s="1"/>
  <c r="EP51" i="75" s="1"/>
  <c r="N46" i="75"/>
  <c r="N51" i="75" s="1"/>
  <c r="EO51" i="75" s="1"/>
  <c r="M46" i="75"/>
  <c r="M51" i="75" s="1"/>
  <c r="EN51" i="75" s="1"/>
  <c r="L46" i="75"/>
  <c r="L51" i="75" s="1"/>
  <c r="EM51" i="75" s="1"/>
  <c r="K46" i="75"/>
  <c r="J46" i="75"/>
  <c r="J51" i="75" s="1"/>
  <c r="E46" i="75"/>
  <c r="D46" i="75"/>
  <c r="C46" i="75"/>
  <c r="B46" i="75"/>
  <c r="EI45" i="75"/>
  <c r="EJ45" i="75" s="1"/>
  <c r="EH45" i="75"/>
  <c r="EG45" i="75"/>
  <c r="EF45" i="75"/>
  <c r="EE45" i="75"/>
  <c r="ED45" i="75"/>
  <c r="EC45" i="75"/>
  <c r="EB45" i="75"/>
  <c r="EA45" i="75"/>
  <c r="DZ45" i="75"/>
  <c r="DB45" i="75"/>
  <c r="DC45" i="75" s="1"/>
  <c r="DA45" i="75"/>
  <c r="CZ45" i="75"/>
  <c r="CY45" i="75"/>
  <c r="CX45" i="75"/>
  <c r="CW45" i="75"/>
  <c r="CV45" i="75"/>
  <c r="CU45" i="75"/>
  <c r="CT45" i="75"/>
  <c r="CS45" i="75" s="1"/>
  <c r="CQ45" i="75"/>
  <c r="CR45" i="75" s="1"/>
  <c r="CP45" i="75"/>
  <c r="CO45" i="75"/>
  <c r="CN45" i="75"/>
  <c r="CM45" i="75"/>
  <c r="CL45" i="75"/>
  <c r="CK45" i="75"/>
  <c r="CJ45" i="75"/>
  <c r="CI45" i="75"/>
  <c r="CH45" i="75" s="1"/>
  <c r="CF45" i="75"/>
  <c r="CG45" i="75" s="1"/>
  <c r="CE45" i="75"/>
  <c r="CD45" i="75"/>
  <c r="CC45" i="75"/>
  <c r="CB45" i="75"/>
  <c r="CA45" i="75"/>
  <c r="BZ45" i="75"/>
  <c r="BY45" i="75"/>
  <c r="BX45" i="75"/>
  <c r="BW45" i="75" s="1"/>
  <c r="BU45" i="75"/>
  <c r="BV45" i="75" s="1"/>
  <c r="BT45" i="75"/>
  <c r="BS45" i="75"/>
  <c r="BR45" i="75"/>
  <c r="BQ45" i="75"/>
  <c r="BP45" i="75"/>
  <c r="BO45" i="75"/>
  <c r="BN45" i="75"/>
  <c r="BM45" i="75"/>
  <c r="BL45" i="75" s="1"/>
  <c r="BJ45" i="75"/>
  <c r="BK45" i="75" s="1"/>
  <c r="GM45" i="75" s="1"/>
  <c r="BI45" i="75"/>
  <c r="GK45" i="75" s="1"/>
  <c r="BH45" i="75"/>
  <c r="GJ45" i="75" s="1"/>
  <c r="BG45" i="75"/>
  <c r="GI45" i="75" s="1"/>
  <c r="BF45" i="75"/>
  <c r="GH45" i="75" s="1"/>
  <c r="BE45" i="75"/>
  <c r="GG45" i="75" s="1"/>
  <c r="BD45" i="75"/>
  <c r="GF45" i="75" s="1"/>
  <c r="BC45" i="75"/>
  <c r="GE45" i="75" s="1"/>
  <c r="BB45" i="75"/>
  <c r="BA45" i="75" s="1"/>
  <c r="GC45" i="75" s="1"/>
  <c r="AY45" i="75"/>
  <c r="GA45" i="75" s="1"/>
  <c r="AX45" i="75"/>
  <c r="FZ45" i="75" s="1"/>
  <c r="AW45" i="75"/>
  <c r="FY45" i="75" s="1"/>
  <c r="AV45" i="75"/>
  <c r="FX45" i="75" s="1"/>
  <c r="AU45" i="75"/>
  <c r="FW45" i="75" s="1"/>
  <c r="AT45" i="75"/>
  <c r="FV45" i="75" s="1"/>
  <c r="AS45" i="75"/>
  <c r="FU45" i="75" s="1"/>
  <c r="AR45" i="75"/>
  <c r="FT45" i="75" s="1"/>
  <c r="AQ45" i="75"/>
  <c r="FS45" i="75" s="1"/>
  <c r="AP45" i="75"/>
  <c r="FR45" i="75" s="1"/>
  <c r="AN45" i="75"/>
  <c r="AO45" i="75" s="1"/>
  <c r="FQ45" i="75" s="1"/>
  <c r="AM45" i="75"/>
  <c r="FO45" i="75" s="1"/>
  <c r="AL45" i="75"/>
  <c r="FN45" i="75" s="1"/>
  <c r="AK45" i="75"/>
  <c r="FM45" i="75" s="1"/>
  <c r="AJ45" i="75"/>
  <c r="FL45" i="75" s="1"/>
  <c r="AI45" i="75"/>
  <c r="FK45" i="75" s="1"/>
  <c r="AH45" i="75"/>
  <c r="FJ45" i="75" s="1"/>
  <c r="AG45" i="75"/>
  <c r="FI45" i="75" s="1"/>
  <c r="AF45" i="75"/>
  <c r="AE45" i="75" s="1"/>
  <c r="FG45" i="75" s="1"/>
  <c r="AC45" i="75"/>
  <c r="FE45" i="75" s="1"/>
  <c r="AB45" i="75"/>
  <c r="FD45" i="75" s="1"/>
  <c r="AA45" i="75"/>
  <c r="FC45" i="75" s="1"/>
  <c r="Z45" i="75"/>
  <c r="FB45" i="75" s="1"/>
  <c r="Y45" i="75"/>
  <c r="FA45" i="75" s="1"/>
  <c r="X45" i="75"/>
  <c r="EZ45" i="75" s="1"/>
  <c r="W45" i="75"/>
  <c r="EY45" i="75" s="1"/>
  <c r="V45" i="75"/>
  <c r="EX45" i="75" s="1"/>
  <c r="U45" i="75"/>
  <c r="EW45" i="75" s="1"/>
  <c r="EV45" i="75" s="1"/>
  <c r="S45" i="75"/>
  <c r="ET45" i="75" s="1"/>
  <c r="R45" i="75"/>
  <c r="ES45" i="75" s="1"/>
  <c r="Q45" i="75"/>
  <c r="ER45" i="75" s="1"/>
  <c r="P45" i="75"/>
  <c r="EQ45" i="75" s="1"/>
  <c r="O45" i="75"/>
  <c r="EP45" i="75" s="1"/>
  <c r="N45" i="75"/>
  <c r="EO45" i="75" s="1"/>
  <c r="M45" i="75"/>
  <c r="EN45" i="75" s="1"/>
  <c r="L45" i="75"/>
  <c r="EM45" i="75" s="1"/>
  <c r="K45" i="75"/>
  <c r="EL45" i="75" s="1"/>
  <c r="EK45" i="75" s="1"/>
  <c r="J45" i="75"/>
  <c r="E45" i="75"/>
  <c r="D45" i="75"/>
  <c r="C45" i="75"/>
  <c r="B45" i="75"/>
  <c r="EI44" i="75"/>
  <c r="EJ44" i="75" s="1"/>
  <c r="EH44" i="75"/>
  <c r="EG44" i="75"/>
  <c r="EF44" i="75"/>
  <c r="EE44" i="75"/>
  <c r="ED44" i="75"/>
  <c r="EC44" i="75"/>
  <c r="EB44" i="75"/>
  <c r="EA44" i="75"/>
  <c r="DZ44" i="75" s="1"/>
  <c r="DB44" i="75"/>
  <c r="DC44" i="75" s="1"/>
  <c r="DA44" i="75"/>
  <c r="CZ44" i="75"/>
  <c r="CY44" i="75"/>
  <c r="CX44" i="75"/>
  <c r="CW44" i="75"/>
  <c r="CV44" i="75"/>
  <c r="CU44" i="75"/>
  <c r="CT44" i="75"/>
  <c r="CS44" i="75" s="1"/>
  <c r="CQ44" i="75"/>
  <c r="CR44" i="75" s="1"/>
  <c r="CP44" i="75"/>
  <c r="CO44" i="75"/>
  <c r="CN44" i="75"/>
  <c r="CM44" i="75"/>
  <c r="CL44" i="75"/>
  <c r="CK44" i="75"/>
  <c r="CJ44" i="75"/>
  <c r="CI44" i="75"/>
  <c r="CH44" i="75" s="1"/>
  <c r="CF44" i="75"/>
  <c r="CG44" i="75" s="1"/>
  <c r="CE44" i="75"/>
  <c r="CD44" i="75"/>
  <c r="CC44" i="75"/>
  <c r="CB44" i="75"/>
  <c r="CA44" i="75"/>
  <c r="BZ44" i="75"/>
  <c r="BY44" i="75"/>
  <c r="BX44" i="75"/>
  <c r="BW44" i="75" s="1"/>
  <c r="BU44" i="75"/>
  <c r="BV44" i="75" s="1"/>
  <c r="BT44" i="75"/>
  <c r="BS44" i="75"/>
  <c r="BR44" i="75"/>
  <c r="BQ44" i="75"/>
  <c r="BP44" i="75"/>
  <c r="BO44" i="75"/>
  <c r="BN44" i="75"/>
  <c r="BM44" i="75"/>
  <c r="BL44" i="75" s="1"/>
  <c r="BJ44" i="75"/>
  <c r="GL44" i="75" s="1"/>
  <c r="BI44" i="75"/>
  <c r="GK44" i="75" s="1"/>
  <c r="BH44" i="75"/>
  <c r="GJ44" i="75" s="1"/>
  <c r="BG44" i="75"/>
  <c r="GI44" i="75" s="1"/>
  <c r="BF44" i="75"/>
  <c r="GH44" i="75" s="1"/>
  <c r="BE44" i="75"/>
  <c r="GG44" i="75" s="1"/>
  <c r="BD44" i="75"/>
  <c r="GF44" i="75" s="1"/>
  <c r="BC44" i="75"/>
  <c r="GE44" i="75" s="1"/>
  <c r="BB44" i="75"/>
  <c r="BA44" i="75" s="1"/>
  <c r="GC44" i="75" s="1"/>
  <c r="AY44" i="75"/>
  <c r="AZ44" i="75" s="1"/>
  <c r="GB44" i="75" s="1"/>
  <c r="AX44" i="75"/>
  <c r="FZ44" i="75" s="1"/>
  <c r="AW44" i="75"/>
  <c r="FY44" i="75" s="1"/>
  <c r="AV44" i="75"/>
  <c r="FX44" i="75" s="1"/>
  <c r="AU44" i="75"/>
  <c r="FW44" i="75" s="1"/>
  <c r="AT44" i="75"/>
  <c r="FV44" i="75" s="1"/>
  <c r="AS44" i="75"/>
  <c r="FU44" i="75" s="1"/>
  <c r="AR44" i="75"/>
  <c r="FT44" i="75" s="1"/>
  <c r="AQ44" i="75"/>
  <c r="FS44" i="75" s="1"/>
  <c r="AN44" i="75"/>
  <c r="FP44" i="75" s="1"/>
  <c r="AM44" i="75"/>
  <c r="FO44" i="75" s="1"/>
  <c r="AL44" i="75"/>
  <c r="FN44" i="75" s="1"/>
  <c r="AK44" i="75"/>
  <c r="FM44" i="75" s="1"/>
  <c r="AJ44" i="75"/>
  <c r="FL44" i="75" s="1"/>
  <c r="AI44" i="75"/>
  <c r="FK44" i="75" s="1"/>
  <c r="AH44" i="75"/>
  <c r="FJ44" i="75" s="1"/>
  <c r="AG44" i="75"/>
  <c r="FI44" i="75" s="1"/>
  <c r="AF44" i="75"/>
  <c r="AE44" i="75" s="1"/>
  <c r="FG44" i="75" s="1"/>
  <c r="AC44" i="75"/>
  <c r="FE44" i="75" s="1"/>
  <c r="AB44" i="75"/>
  <c r="FD44" i="75" s="1"/>
  <c r="AA44" i="75"/>
  <c r="FC44" i="75" s="1"/>
  <c r="Z44" i="75"/>
  <c r="FB44" i="75" s="1"/>
  <c r="Y44" i="75"/>
  <c r="FA44" i="75" s="1"/>
  <c r="X44" i="75"/>
  <c r="EZ44" i="75" s="1"/>
  <c r="W44" i="75"/>
  <c r="EY44" i="75" s="1"/>
  <c r="V44" i="75"/>
  <c r="EX44" i="75" s="1"/>
  <c r="U44" i="75"/>
  <c r="EW44" i="75" s="1"/>
  <c r="EV44" i="75" s="1"/>
  <c r="S44" i="75"/>
  <c r="ET44" i="75" s="1"/>
  <c r="R44" i="75"/>
  <c r="ES44" i="75" s="1"/>
  <c r="Q44" i="75"/>
  <c r="ER44" i="75" s="1"/>
  <c r="P44" i="75"/>
  <c r="EQ44" i="75" s="1"/>
  <c r="O44" i="75"/>
  <c r="EP44" i="75" s="1"/>
  <c r="N44" i="75"/>
  <c r="EO44" i="75" s="1"/>
  <c r="M44" i="75"/>
  <c r="EN44" i="75" s="1"/>
  <c r="L44" i="75"/>
  <c r="EM44" i="75" s="1"/>
  <c r="K44" i="75"/>
  <c r="EL44" i="75" s="1"/>
  <c r="EK44" i="75" s="1"/>
  <c r="J44" i="75"/>
  <c r="E44" i="75"/>
  <c r="D44" i="75"/>
  <c r="C44" i="75"/>
  <c r="B44" i="75"/>
  <c r="EI43" i="75"/>
  <c r="EJ43" i="75" s="1"/>
  <c r="EH43" i="75"/>
  <c r="EG43" i="75"/>
  <c r="EF43" i="75"/>
  <c r="EE43" i="75"/>
  <c r="ED43" i="75"/>
  <c r="EC43" i="75"/>
  <c r="EB43" i="75"/>
  <c r="EA43" i="75"/>
  <c r="DZ43" i="75" s="1"/>
  <c r="DB43" i="75"/>
  <c r="DC43" i="75" s="1"/>
  <c r="DA43" i="75"/>
  <c r="CZ43" i="75"/>
  <c r="CY43" i="75"/>
  <c r="CX43" i="75"/>
  <c r="CW43" i="75"/>
  <c r="CV43" i="75"/>
  <c r="CU43" i="75"/>
  <c r="CT43" i="75"/>
  <c r="CS43" i="75" s="1"/>
  <c r="CQ43" i="75"/>
  <c r="CR43" i="75" s="1"/>
  <c r="CP43" i="75"/>
  <c r="CO43" i="75"/>
  <c r="CN43" i="75"/>
  <c r="CM43" i="75"/>
  <c r="CL43" i="75"/>
  <c r="CK43" i="75"/>
  <c r="CJ43" i="75"/>
  <c r="CI43" i="75"/>
  <c r="CH43" i="75" s="1"/>
  <c r="CF43" i="75"/>
  <c r="CG43" i="75" s="1"/>
  <c r="CE43" i="75"/>
  <c r="CD43" i="75"/>
  <c r="CC43" i="75"/>
  <c r="CB43" i="75"/>
  <c r="CA43" i="75"/>
  <c r="BZ43" i="75"/>
  <c r="BY43" i="75"/>
  <c r="BX43" i="75"/>
  <c r="BW43" i="75" s="1"/>
  <c r="BU43" i="75"/>
  <c r="BV43" i="75" s="1"/>
  <c r="BT43" i="75"/>
  <c r="BS43" i="75"/>
  <c r="BR43" i="75"/>
  <c r="BQ43" i="75"/>
  <c r="BP43" i="75"/>
  <c r="BO43" i="75"/>
  <c r="BN43" i="75"/>
  <c r="BM43" i="75"/>
  <c r="BL43" i="75"/>
  <c r="BJ43" i="75"/>
  <c r="BK43" i="75" s="1"/>
  <c r="GM43" i="75" s="1"/>
  <c r="BI43" i="75"/>
  <c r="GK43" i="75" s="1"/>
  <c r="BH43" i="75"/>
  <c r="GJ43" i="75" s="1"/>
  <c r="BG43" i="75"/>
  <c r="GI43" i="75" s="1"/>
  <c r="BF43" i="75"/>
  <c r="GH43" i="75" s="1"/>
  <c r="BE43" i="75"/>
  <c r="GG43" i="75" s="1"/>
  <c r="BD43" i="75"/>
  <c r="GF43" i="75" s="1"/>
  <c r="BC43" i="75"/>
  <c r="GE43" i="75" s="1"/>
  <c r="BB43" i="75"/>
  <c r="GD43" i="75" s="1"/>
  <c r="AY43" i="75"/>
  <c r="GA43" i="75" s="1"/>
  <c r="AX43" i="75"/>
  <c r="FZ43" i="75" s="1"/>
  <c r="AW43" i="75"/>
  <c r="FY43" i="75" s="1"/>
  <c r="AV43" i="75"/>
  <c r="FX43" i="75" s="1"/>
  <c r="AU43" i="75"/>
  <c r="FW43" i="75" s="1"/>
  <c r="AT43" i="75"/>
  <c r="FV43" i="75" s="1"/>
  <c r="AS43" i="75"/>
  <c r="FU43" i="75" s="1"/>
  <c r="AR43" i="75"/>
  <c r="FT43" i="75" s="1"/>
  <c r="AQ43" i="75"/>
  <c r="FS43" i="75" s="1"/>
  <c r="AP43" i="75"/>
  <c r="FR43" i="75" s="1"/>
  <c r="AN43" i="75"/>
  <c r="AO43" i="75" s="1"/>
  <c r="FQ43" i="75" s="1"/>
  <c r="AM43" i="75"/>
  <c r="FO43" i="75" s="1"/>
  <c r="AL43" i="75"/>
  <c r="FN43" i="75" s="1"/>
  <c r="AK43" i="75"/>
  <c r="FM43" i="75" s="1"/>
  <c r="AJ43" i="75"/>
  <c r="FL43" i="75" s="1"/>
  <c r="AI43" i="75"/>
  <c r="FK43" i="75" s="1"/>
  <c r="AH43" i="75"/>
  <c r="FJ43" i="75" s="1"/>
  <c r="AG43" i="75"/>
  <c r="FI43" i="75" s="1"/>
  <c r="AF43" i="75"/>
  <c r="FH43" i="75" s="1"/>
  <c r="AC43" i="75"/>
  <c r="FE43" i="75" s="1"/>
  <c r="AB43" i="75"/>
  <c r="FD43" i="75" s="1"/>
  <c r="AA43" i="75"/>
  <c r="FC43" i="75" s="1"/>
  <c r="Z43" i="75"/>
  <c r="FB43" i="75" s="1"/>
  <c r="Y43" i="75"/>
  <c r="FA43" i="75" s="1"/>
  <c r="X43" i="75"/>
  <c r="EZ43" i="75" s="1"/>
  <c r="W43" i="75"/>
  <c r="EY43" i="75" s="1"/>
  <c r="V43" i="75"/>
  <c r="EX43" i="75" s="1"/>
  <c r="U43" i="75"/>
  <c r="EW43" i="75" s="1"/>
  <c r="EV43" i="75" s="1"/>
  <c r="S43" i="75"/>
  <c r="T43" i="75" s="1"/>
  <c r="EU43" i="75" s="1"/>
  <c r="R43" i="75"/>
  <c r="ES43" i="75" s="1"/>
  <c r="Q43" i="75"/>
  <c r="ER43" i="75" s="1"/>
  <c r="P43" i="75"/>
  <c r="EQ43" i="75" s="1"/>
  <c r="O43" i="75"/>
  <c r="EP43" i="75" s="1"/>
  <c r="N43" i="75"/>
  <c r="EO43" i="75" s="1"/>
  <c r="M43" i="75"/>
  <c r="EN43" i="75" s="1"/>
  <c r="L43" i="75"/>
  <c r="EM43" i="75" s="1"/>
  <c r="K43" i="75"/>
  <c r="EL43" i="75" s="1"/>
  <c r="EK43" i="75" s="1"/>
  <c r="J43" i="75"/>
  <c r="E43" i="75"/>
  <c r="D43" i="75"/>
  <c r="C43" i="75"/>
  <c r="B43" i="75"/>
  <c r="EI42" i="75"/>
  <c r="EJ42" i="75" s="1"/>
  <c r="EH42" i="75"/>
  <c r="EG42" i="75"/>
  <c r="EF42" i="75"/>
  <c r="EE42" i="75"/>
  <c r="ED42" i="75"/>
  <c r="EC42" i="75"/>
  <c r="EB42" i="75"/>
  <c r="EA42" i="75"/>
  <c r="DZ42" i="75" s="1"/>
  <c r="DB42" i="75"/>
  <c r="DC42" i="75" s="1"/>
  <c r="DA42" i="75"/>
  <c r="CZ42" i="75"/>
  <c r="CY42" i="75"/>
  <c r="CX42" i="75"/>
  <c r="CW42" i="75"/>
  <c r="CV42" i="75"/>
  <c r="CU42" i="75"/>
  <c r="CT42" i="75"/>
  <c r="CS42" i="75" s="1"/>
  <c r="CQ42" i="75"/>
  <c r="CR42" i="75" s="1"/>
  <c r="CP42" i="75"/>
  <c r="CO42" i="75"/>
  <c r="CN42" i="75"/>
  <c r="CM42" i="75"/>
  <c r="CL42" i="75"/>
  <c r="CK42" i="75"/>
  <c r="CJ42" i="75"/>
  <c r="CI42" i="75"/>
  <c r="CH42" i="75" s="1"/>
  <c r="CF42" i="75"/>
  <c r="CG42" i="75" s="1"/>
  <c r="CE42" i="75"/>
  <c r="CD42" i="75"/>
  <c r="CC42" i="75"/>
  <c r="CB42" i="75"/>
  <c r="CA42" i="75"/>
  <c r="BZ42" i="75"/>
  <c r="BY42" i="75"/>
  <c r="BX42" i="75"/>
  <c r="BW42" i="75" s="1"/>
  <c r="BU42" i="75"/>
  <c r="BV42" i="75" s="1"/>
  <c r="BT42" i="75"/>
  <c r="BS42" i="75"/>
  <c r="BR42" i="75"/>
  <c r="BQ42" i="75"/>
  <c r="BP42" i="75"/>
  <c r="BO42" i="75"/>
  <c r="BN42" i="75"/>
  <c r="BM42" i="75"/>
  <c r="BL42" i="75" s="1"/>
  <c r="BJ42" i="75"/>
  <c r="BK42" i="75" s="1"/>
  <c r="GM42" i="75" s="1"/>
  <c r="BI42" i="75"/>
  <c r="GK42" i="75" s="1"/>
  <c r="BH42" i="75"/>
  <c r="GJ42" i="75" s="1"/>
  <c r="BG42" i="75"/>
  <c r="GI42" i="75" s="1"/>
  <c r="BF42" i="75"/>
  <c r="GH42" i="75" s="1"/>
  <c r="BE42" i="75"/>
  <c r="GG42" i="75" s="1"/>
  <c r="BD42" i="75"/>
  <c r="GF42" i="75" s="1"/>
  <c r="BC42" i="75"/>
  <c r="GE42" i="75" s="1"/>
  <c r="BB42" i="75"/>
  <c r="BA42" i="75" s="1"/>
  <c r="GC42" i="75" s="1"/>
  <c r="AY42" i="75"/>
  <c r="GA42" i="75" s="1"/>
  <c r="AX42" i="75"/>
  <c r="FZ42" i="75" s="1"/>
  <c r="AW42" i="75"/>
  <c r="FY42" i="75" s="1"/>
  <c r="AV42" i="75"/>
  <c r="FX42" i="75" s="1"/>
  <c r="AU42" i="75"/>
  <c r="FW42" i="75" s="1"/>
  <c r="AT42" i="75"/>
  <c r="FV42" i="75" s="1"/>
  <c r="AS42" i="75"/>
  <c r="FU42" i="75" s="1"/>
  <c r="AR42" i="75"/>
  <c r="FT42" i="75" s="1"/>
  <c r="AQ42" i="75"/>
  <c r="FS42" i="75" s="1"/>
  <c r="AN42" i="75"/>
  <c r="FP42" i="75" s="1"/>
  <c r="AM42" i="75"/>
  <c r="FO42" i="75" s="1"/>
  <c r="AL42" i="75"/>
  <c r="FN42" i="75" s="1"/>
  <c r="AK42" i="75"/>
  <c r="FM42" i="75" s="1"/>
  <c r="AJ42" i="75"/>
  <c r="FL42" i="75" s="1"/>
  <c r="AI42" i="75"/>
  <c r="FK42" i="75" s="1"/>
  <c r="AH42" i="75"/>
  <c r="FJ42" i="75" s="1"/>
  <c r="AG42" i="75"/>
  <c r="FI42" i="75" s="1"/>
  <c r="AF42" i="75"/>
  <c r="AC42" i="75"/>
  <c r="AD42" i="75" s="1"/>
  <c r="FF42" i="75" s="1"/>
  <c r="AB42" i="75"/>
  <c r="FD42" i="75" s="1"/>
  <c r="AA42" i="75"/>
  <c r="FC42" i="75" s="1"/>
  <c r="Z42" i="75"/>
  <c r="FB42" i="75" s="1"/>
  <c r="Y42" i="75"/>
  <c r="FA42" i="75" s="1"/>
  <c r="X42" i="75"/>
  <c r="EZ42" i="75" s="1"/>
  <c r="W42" i="75"/>
  <c r="EY42" i="75" s="1"/>
  <c r="V42" i="75"/>
  <c r="EX42" i="75" s="1"/>
  <c r="U42" i="75"/>
  <c r="EW42" i="75" s="1"/>
  <c r="EV42" i="75" s="1"/>
  <c r="S42" i="75"/>
  <c r="ET42" i="75" s="1"/>
  <c r="R42" i="75"/>
  <c r="ES42" i="75" s="1"/>
  <c r="Q42" i="75"/>
  <c r="ER42" i="75" s="1"/>
  <c r="P42" i="75"/>
  <c r="EQ42" i="75" s="1"/>
  <c r="O42" i="75"/>
  <c r="EP42" i="75" s="1"/>
  <c r="N42" i="75"/>
  <c r="EO42" i="75" s="1"/>
  <c r="M42" i="75"/>
  <c r="EN42" i="75" s="1"/>
  <c r="L42" i="75"/>
  <c r="EM42" i="75" s="1"/>
  <c r="K42" i="75"/>
  <c r="EL42" i="75" s="1"/>
  <c r="EK42" i="75" s="1"/>
  <c r="J42" i="75"/>
  <c r="E42" i="75"/>
  <c r="D42" i="75"/>
  <c r="C42" i="75"/>
  <c r="B42" i="75"/>
  <c r="EI41" i="75"/>
  <c r="EJ41" i="75" s="1"/>
  <c r="EH41" i="75"/>
  <c r="EG41" i="75"/>
  <c r="EF41" i="75"/>
  <c r="EE41" i="75"/>
  <c r="ED41" i="75"/>
  <c r="EC41" i="75"/>
  <c r="EB41" i="75"/>
  <c r="EA41" i="75"/>
  <c r="DZ41" i="75" s="1"/>
  <c r="DB41" i="75"/>
  <c r="DC41" i="75" s="1"/>
  <c r="DA41" i="75"/>
  <c r="CZ41" i="75"/>
  <c r="CY41" i="75"/>
  <c r="CX41" i="75"/>
  <c r="CW41" i="75"/>
  <c r="CV41" i="75"/>
  <c r="CU41" i="75"/>
  <c r="CT41" i="75"/>
  <c r="CS41" i="75" s="1"/>
  <c r="CQ41" i="75"/>
  <c r="CR41" i="75" s="1"/>
  <c r="CP41" i="75"/>
  <c r="CO41" i="75"/>
  <c r="CN41" i="75"/>
  <c r="CM41" i="75"/>
  <c r="CL41" i="75"/>
  <c r="CK41" i="75"/>
  <c r="CJ41" i="75"/>
  <c r="CI41" i="75"/>
  <c r="CH41" i="75" s="1"/>
  <c r="CF41" i="75"/>
  <c r="CG41" i="75" s="1"/>
  <c r="CE41" i="75"/>
  <c r="CD41" i="75"/>
  <c r="CC41" i="75"/>
  <c r="CB41" i="75"/>
  <c r="CA41" i="75"/>
  <c r="BZ41" i="75"/>
  <c r="BY41" i="75"/>
  <c r="BX41" i="75"/>
  <c r="BW41" i="75" s="1"/>
  <c r="BU41" i="75"/>
  <c r="BV41" i="75" s="1"/>
  <c r="BT41" i="75"/>
  <c r="BS41" i="75"/>
  <c r="BR41" i="75"/>
  <c r="BQ41" i="75"/>
  <c r="BP41" i="75"/>
  <c r="BO41" i="75"/>
  <c r="BN41" i="75"/>
  <c r="BM41" i="75"/>
  <c r="BL41" i="75" s="1"/>
  <c r="BJ41" i="75"/>
  <c r="BI41" i="75"/>
  <c r="GK41" i="75" s="1"/>
  <c r="BH41" i="75"/>
  <c r="GJ41" i="75" s="1"/>
  <c r="BG41" i="75"/>
  <c r="GI41" i="75" s="1"/>
  <c r="BF41" i="75"/>
  <c r="GH41" i="75" s="1"/>
  <c r="BE41" i="75"/>
  <c r="GG41" i="75" s="1"/>
  <c r="BD41" i="75"/>
  <c r="GF41" i="75" s="1"/>
  <c r="BC41" i="75"/>
  <c r="GE41" i="75" s="1"/>
  <c r="BB41" i="75"/>
  <c r="BA41" i="75" s="1"/>
  <c r="GC41" i="75" s="1"/>
  <c r="AY41" i="75"/>
  <c r="GA41" i="75" s="1"/>
  <c r="AX41" i="75"/>
  <c r="FZ41" i="75" s="1"/>
  <c r="AW41" i="75"/>
  <c r="FY41" i="75" s="1"/>
  <c r="AV41" i="75"/>
  <c r="FX41" i="75" s="1"/>
  <c r="AU41" i="75"/>
  <c r="FW41" i="75" s="1"/>
  <c r="AT41" i="75"/>
  <c r="FV41" i="75" s="1"/>
  <c r="AS41" i="75"/>
  <c r="FU41" i="75" s="1"/>
  <c r="AR41" i="75"/>
  <c r="FT41" i="75" s="1"/>
  <c r="AQ41" i="75"/>
  <c r="FS41" i="75" s="1"/>
  <c r="AN41" i="75"/>
  <c r="AM41" i="75"/>
  <c r="FO41" i="75" s="1"/>
  <c r="AL41" i="75"/>
  <c r="FN41" i="75" s="1"/>
  <c r="AK41" i="75"/>
  <c r="FM41" i="75" s="1"/>
  <c r="AJ41" i="75"/>
  <c r="FL41" i="75" s="1"/>
  <c r="AI41" i="75"/>
  <c r="FK41" i="75" s="1"/>
  <c r="AH41" i="75"/>
  <c r="FJ41" i="75" s="1"/>
  <c r="AG41" i="75"/>
  <c r="FI41" i="75" s="1"/>
  <c r="AF41" i="75"/>
  <c r="AE41" i="75" s="1"/>
  <c r="FG41" i="75" s="1"/>
  <c r="AC41" i="75"/>
  <c r="FE41" i="75" s="1"/>
  <c r="AB41" i="75"/>
  <c r="FD41" i="75" s="1"/>
  <c r="AA41" i="75"/>
  <c r="FC41" i="75" s="1"/>
  <c r="Z41" i="75"/>
  <c r="FB41" i="75" s="1"/>
  <c r="Y41" i="75"/>
  <c r="FA41" i="75" s="1"/>
  <c r="X41" i="75"/>
  <c r="EZ41" i="75" s="1"/>
  <c r="W41" i="75"/>
  <c r="EY41" i="75" s="1"/>
  <c r="V41" i="75"/>
  <c r="EX41" i="75" s="1"/>
  <c r="U41" i="75"/>
  <c r="EW41" i="75" s="1"/>
  <c r="EV41" i="75" s="1"/>
  <c r="S41" i="75"/>
  <c r="ET41" i="75" s="1"/>
  <c r="R41" i="75"/>
  <c r="ES41" i="75" s="1"/>
  <c r="Q41" i="75"/>
  <c r="ER41" i="75" s="1"/>
  <c r="P41" i="75"/>
  <c r="EQ41" i="75" s="1"/>
  <c r="O41" i="75"/>
  <c r="EP41" i="75" s="1"/>
  <c r="N41" i="75"/>
  <c r="EO41" i="75" s="1"/>
  <c r="M41" i="75"/>
  <c r="EN41" i="75" s="1"/>
  <c r="L41" i="75"/>
  <c r="EM41" i="75" s="1"/>
  <c r="K41" i="75"/>
  <c r="EL41" i="75" s="1"/>
  <c r="EK41" i="75" s="1"/>
  <c r="J41" i="75"/>
  <c r="E41" i="75"/>
  <c r="D41" i="75"/>
  <c r="C41" i="75"/>
  <c r="B41" i="75"/>
  <c r="GM40" i="75"/>
  <c r="GL40" i="75"/>
  <c r="GK40" i="75"/>
  <c r="GJ40" i="75"/>
  <c r="GI40" i="75"/>
  <c r="GH40" i="75"/>
  <c r="GG40" i="75"/>
  <c r="GF40" i="75"/>
  <c r="GE40" i="75"/>
  <c r="GD40" i="75"/>
  <c r="GC40" i="75"/>
  <c r="GB40" i="75"/>
  <c r="GA40" i="75"/>
  <c r="FZ40" i="75"/>
  <c r="FY40" i="75"/>
  <c r="FX40" i="75"/>
  <c r="FW40" i="75"/>
  <c r="FV40" i="75"/>
  <c r="FU40" i="75"/>
  <c r="FT40" i="75"/>
  <c r="FS40" i="75"/>
  <c r="FR40" i="75"/>
  <c r="FQ40" i="75"/>
  <c r="FP40" i="75"/>
  <c r="FO40" i="75"/>
  <c r="FN40" i="75"/>
  <c r="FM40" i="75"/>
  <c r="FL40" i="75"/>
  <c r="FK40" i="75"/>
  <c r="FJ40" i="75"/>
  <c r="FI40" i="75"/>
  <c r="FH40" i="75"/>
  <c r="FG40" i="75"/>
  <c r="FE40" i="75"/>
  <c r="FD40" i="75"/>
  <c r="FC40" i="75"/>
  <c r="FB40" i="75"/>
  <c r="FA40" i="75"/>
  <c r="EZ40" i="75"/>
  <c r="EY40" i="75"/>
  <c r="EX40" i="75"/>
  <c r="EW40" i="75"/>
  <c r="ET40" i="75"/>
  <c r="ES40" i="75"/>
  <c r="ER40" i="75"/>
  <c r="EQ40" i="75"/>
  <c r="EP40" i="75"/>
  <c r="EO40" i="75"/>
  <c r="EN40" i="75"/>
  <c r="EM40" i="75"/>
  <c r="EL40" i="75"/>
  <c r="AD40" i="75"/>
  <c r="FF40" i="75" s="1"/>
  <c r="T40" i="75"/>
  <c r="EU40" i="75" s="1"/>
  <c r="J40" i="75"/>
  <c r="D40" i="75"/>
  <c r="B40" i="75"/>
  <c r="GH39" i="75"/>
  <c r="EI39" i="75"/>
  <c r="EJ39" i="75" s="1"/>
  <c r="EH39" i="75"/>
  <c r="EG39" i="75"/>
  <c r="EF39" i="75"/>
  <c r="EE39" i="75"/>
  <c r="ED39" i="75"/>
  <c r="EC39" i="75"/>
  <c r="EB39" i="75"/>
  <c r="EA39" i="75"/>
  <c r="DZ39" i="75" s="1"/>
  <c r="DB39" i="75"/>
  <c r="DC39" i="75" s="1"/>
  <c r="DA39" i="75"/>
  <c r="CZ39" i="75"/>
  <c r="CY39" i="75"/>
  <c r="CX39" i="75"/>
  <c r="CW39" i="75"/>
  <c r="CV39" i="75"/>
  <c r="CU39" i="75"/>
  <c r="CT39" i="75"/>
  <c r="CS39" i="75" s="1"/>
  <c r="CQ39" i="75"/>
  <c r="CR39" i="75" s="1"/>
  <c r="CP39" i="75"/>
  <c r="CO39" i="75"/>
  <c r="CN39" i="75"/>
  <c r="CM39" i="75"/>
  <c r="CL39" i="75"/>
  <c r="CK39" i="75"/>
  <c r="CJ39" i="75"/>
  <c r="CI39" i="75"/>
  <c r="CH39" i="75" s="1"/>
  <c r="CF39" i="75"/>
  <c r="CG39" i="75" s="1"/>
  <c r="CE39" i="75"/>
  <c r="CD39" i="75"/>
  <c r="CC39" i="75"/>
  <c r="CB39" i="75"/>
  <c r="CA39" i="75"/>
  <c r="BZ39" i="75"/>
  <c r="BY39" i="75"/>
  <c r="BX39" i="75"/>
  <c r="BW39" i="75" s="1"/>
  <c r="BU39" i="75"/>
  <c r="BV39" i="75" s="1"/>
  <c r="BT39" i="75"/>
  <c r="BS39" i="75"/>
  <c r="BR39" i="75"/>
  <c r="BQ39" i="75"/>
  <c r="BP39" i="75"/>
  <c r="BO39" i="75"/>
  <c r="BN39" i="75"/>
  <c r="BM39" i="75"/>
  <c r="BL39" i="75" s="1"/>
  <c r="BJ39" i="75"/>
  <c r="BK39" i="75" s="1"/>
  <c r="GM39" i="75" s="1"/>
  <c r="BI39" i="75"/>
  <c r="GK39" i="75" s="1"/>
  <c r="BH39" i="75"/>
  <c r="GJ39" i="75" s="1"/>
  <c r="BG39" i="75"/>
  <c r="GI39" i="75" s="1"/>
  <c r="BF39" i="75"/>
  <c r="BE39" i="75"/>
  <c r="GG39" i="75" s="1"/>
  <c r="BD39" i="75"/>
  <c r="GF39" i="75" s="1"/>
  <c r="BC39" i="75"/>
  <c r="GE39" i="75" s="1"/>
  <c r="BB39" i="75"/>
  <c r="GD39" i="75" s="1"/>
  <c r="BA39" i="75"/>
  <c r="GC39" i="75" s="1"/>
  <c r="AY39" i="75"/>
  <c r="GA39" i="75" s="1"/>
  <c r="AX39" i="75"/>
  <c r="FZ39" i="75" s="1"/>
  <c r="AW39" i="75"/>
  <c r="FY39" i="75" s="1"/>
  <c r="AV39" i="75"/>
  <c r="FX39" i="75" s="1"/>
  <c r="AU39" i="75"/>
  <c r="FW39" i="75" s="1"/>
  <c r="AT39" i="75"/>
  <c r="FV39" i="75" s="1"/>
  <c r="AS39" i="75"/>
  <c r="FU39" i="75" s="1"/>
  <c r="AR39" i="75"/>
  <c r="FT39" i="75" s="1"/>
  <c r="AQ39" i="75"/>
  <c r="FS39" i="75" s="1"/>
  <c r="AN39" i="75"/>
  <c r="AO39" i="75" s="1"/>
  <c r="FQ39" i="75" s="1"/>
  <c r="AM39" i="75"/>
  <c r="FO39" i="75" s="1"/>
  <c r="AL39" i="75"/>
  <c r="FN39" i="75" s="1"/>
  <c r="AK39" i="75"/>
  <c r="FM39" i="75" s="1"/>
  <c r="AJ39" i="75"/>
  <c r="FL39" i="75" s="1"/>
  <c r="AI39" i="75"/>
  <c r="FK39" i="75" s="1"/>
  <c r="AH39" i="75"/>
  <c r="FJ39" i="75" s="1"/>
  <c r="AG39" i="75"/>
  <c r="FI39" i="75" s="1"/>
  <c r="AF39" i="75"/>
  <c r="AE39" i="75" s="1"/>
  <c r="FG39" i="75" s="1"/>
  <c r="AC39" i="75"/>
  <c r="FE39" i="75" s="1"/>
  <c r="AB39" i="75"/>
  <c r="FD39" i="75" s="1"/>
  <c r="AA39" i="75"/>
  <c r="FC39" i="75" s="1"/>
  <c r="Z39" i="75"/>
  <c r="FB39" i="75" s="1"/>
  <c r="Y39" i="75"/>
  <c r="FA39" i="75" s="1"/>
  <c r="X39" i="75"/>
  <c r="EZ39" i="75" s="1"/>
  <c r="W39" i="75"/>
  <c r="EY39" i="75" s="1"/>
  <c r="V39" i="75"/>
  <c r="EX39" i="75" s="1"/>
  <c r="U39" i="75"/>
  <c r="EW39" i="75" s="1"/>
  <c r="EV39" i="75" s="1"/>
  <c r="S39" i="75"/>
  <c r="R39" i="75"/>
  <c r="ES39" i="75" s="1"/>
  <c r="Q39" i="75"/>
  <c r="ER39" i="75" s="1"/>
  <c r="P39" i="75"/>
  <c r="EQ39" i="75" s="1"/>
  <c r="O39" i="75"/>
  <c r="EP39" i="75" s="1"/>
  <c r="N39" i="75"/>
  <c r="EO39" i="75" s="1"/>
  <c r="M39" i="75"/>
  <c r="EN39" i="75" s="1"/>
  <c r="L39" i="75"/>
  <c r="EM39" i="75" s="1"/>
  <c r="K39" i="75"/>
  <c r="EL39" i="75" s="1"/>
  <c r="EK39" i="75" s="1"/>
  <c r="J39" i="75"/>
  <c r="D39" i="75"/>
  <c r="B39" i="75"/>
  <c r="GG38" i="75"/>
  <c r="EI38" i="75"/>
  <c r="EJ38" i="75" s="1"/>
  <c r="EH38" i="75"/>
  <c r="EG38" i="75"/>
  <c r="EF38" i="75"/>
  <c r="EE38" i="75"/>
  <c r="ED38" i="75"/>
  <c r="EC38" i="75"/>
  <c r="EB38" i="75"/>
  <c r="EA38" i="75"/>
  <c r="DZ38" i="75" s="1"/>
  <c r="DB38" i="75"/>
  <c r="DC38" i="75" s="1"/>
  <c r="DA38" i="75"/>
  <c r="CZ38" i="75"/>
  <c r="CY38" i="75"/>
  <c r="CX38" i="75"/>
  <c r="CW38" i="75"/>
  <c r="CV38" i="75"/>
  <c r="CU38" i="75"/>
  <c r="CT38" i="75"/>
  <c r="CS38" i="75" s="1"/>
  <c r="CQ38" i="75"/>
  <c r="CR38" i="75" s="1"/>
  <c r="CP38" i="75"/>
  <c r="CO38" i="75"/>
  <c r="CN38" i="75"/>
  <c r="CM38" i="75"/>
  <c r="CL38" i="75"/>
  <c r="CK38" i="75"/>
  <c r="CJ38" i="75"/>
  <c r="CI38" i="75"/>
  <c r="CH38" i="75" s="1"/>
  <c r="CF38" i="75"/>
  <c r="CG38" i="75" s="1"/>
  <c r="CE38" i="75"/>
  <c r="CD38" i="75"/>
  <c r="CC38" i="75"/>
  <c r="CB38" i="75"/>
  <c r="CA38" i="75"/>
  <c r="BZ38" i="75"/>
  <c r="BY38" i="75"/>
  <c r="BX38" i="75"/>
  <c r="BW38" i="75"/>
  <c r="BU38" i="75"/>
  <c r="BV38" i="75" s="1"/>
  <c r="BT38" i="75"/>
  <c r="BS38" i="75"/>
  <c r="BR38" i="75"/>
  <c r="BQ38" i="75"/>
  <c r="BP38" i="75"/>
  <c r="BO38" i="75"/>
  <c r="BN38" i="75"/>
  <c r="BM38" i="75"/>
  <c r="BL38" i="75"/>
  <c r="BJ38" i="75"/>
  <c r="GL38" i="75" s="1"/>
  <c r="BI38" i="75"/>
  <c r="GK38" i="75" s="1"/>
  <c r="BH38" i="75"/>
  <c r="GJ38" i="75" s="1"/>
  <c r="BG38" i="75"/>
  <c r="GI38" i="75" s="1"/>
  <c r="BF38" i="75"/>
  <c r="GH38" i="75" s="1"/>
  <c r="BE38" i="75"/>
  <c r="BD38" i="75"/>
  <c r="GF38" i="75" s="1"/>
  <c r="BC38" i="75"/>
  <c r="GE38" i="75" s="1"/>
  <c r="BB38" i="75"/>
  <c r="BA38" i="75" s="1"/>
  <c r="GC38" i="75" s="1"/>
  <c r="AY38" i="75"/>
  <c r="AZ38" i="75" s="1"/>
  <c r="GB38" i="75" s="1"/>
  <c r="AX38" i="75"/>
  <c r="FZ38" i="75" s="1"/>
  <c r="AW38" i="75"/>
  <c r="FY38" i="75" s="1"/>
  <c r="AV38" i="75"/>
  <c r="FX38" i="75" s="1"/>
  <c r="AU38" i="75"/>
  <c r="FW38" i="75" s="1"/>
  <c r="AT38" i="75"/>
  <c r="FV38" i="75" s="1"/>
  <c r="AS38" i="75"/>
  <c r="FU38" i="75" s="1"/>
  <c r="AR38" i="75"/>
  <c r="FT38" i="75" s="1"/>
  <c r="AQ38" i="75"/>
  <c r="FS38" i="75" s="1"/>
  <c r="AN38" i="75"/>
  <c r="FP38" i="75" s="1"/>
  <c r="AM38" i="75"/>
  <c r="FO38" i="75" s="1"/>
  <c r="AL38" i="75"/>
  <c r="FN38" i="75" s="1"/>
  <c r="AK38" i="75"/>
  <c r="FM38" i="75" s="1"/>
  <c r="AJ38" i="75"/>
  <c r="FL38" i="75" s="1"/>
  <c r="AI38" i="75"/>
  <c r="FK38" i="75" s="1"/>
  <c r="AH38" i="75"/>
  <c r="FJ38" i="75" s="1"/>
  <c r="AG38" i="75"/>
  <c r="FI38" i="75" s="1"/>
  <c r="AF38" i="75"/>
  <c r="FH38" i="75" s="1"/>
  <c r="AC38" i="75"/>
  <c r="AD38" i="75" s="1"/>
  <c r="FF38" i="75" s="1"/>
  <c r="AB38" i="75"/>
  <c r="FD38" i="75" s="1"/>
  <c r="AA38" i="75"/>
  <c r="FC38" i="75" s="1"/>
  <c r="Z38" i="75"/>
  <c r="FB38" i="75" s="1"/>
  <c r="Y38" i="75"/>
  <c r="FA38" i="75" s="1"/>
  <c r="X38" i="75"/>
  <c r="EZ38" i="75" s="1"/>
  <c r="W38" i="75"/>
  <c r="EY38" i="75" s="1"/>
  <c r="V38" i="75"/>
  <c r="EX38" i="75" s="1"/>
  <c r="U38" i="75"/>
  <c r="EW38" i="75" s="1"/>
  <c r="EV38" i="75" s="1"/>
  <c r="S38" i="75"/>
  <c r="ET38" i="75" s="1"/>
  <c r="R38" i="75"/>
  <c r="ES38" i="75" s="1"/>
  <c r="Q38" i="75"/>
  <c r="ER38" i="75" s="1"/>
  <c r="P38" i="75"/>
  <c r="EQ38" i="75" s="1"/>
  <c r="O38" i="75"/>
  <c r="EP38" i="75" s="1"/>
  <c r="N38" i="75"/>
  <c r="EO38" i="75" s="1"/>
  <c r="M38" i="75"/>
  <c r="EN38" i="75" s="1"/>
  <c r="L38" i="75"/>
  <c r="EM38" i="75" s="1"/>
  <c r="K38" i="75"/>
  <c r="EL38" i="75" s="1"/>
  <c r="EK38" i="75" s="1"/>
  <c r="J38" i="75"/>
  <c r="D38" i="75"/>
  <c r="B38" i="75"/>
  <c r="GK37" i="75"/>
  <c r="GJ37" i="75"/>
  <c r="EI37" i="75"/>
  <c r="EJ37" i="75" s="1"/>
  <c r="EH37" i="75"/>
  <c r="EG37" i="75"/>
  <c r="EF37" i="75"/>
  <c r="EE37" i="75"/>
  <c r="ED37" i="75"/>
  <c r="EC37" i="75"/>
  <c r="EB37" i="75"/>
  <c r="EA37" i="75"/>
  <c r="DZ37" i="75" s="1"/>
  <c r="DB37" i="75"/>
  <c r="DC37" i="75" s="1"/>
  <c r="DA37" i="75"/>
  <c r="CZ37" i="75"/>
  <c r="CY37" i="75"/>
  <c r="CX37" i="75"/>
  <c r="CW37" i="75"/>
  <c r="CV37" i="75"/>
  <c r="CU37" i="75"/>
  <c r="CT37" i="75"/>
  <c r="CS37" i="75"/>
  <c r="CQ37" i="75"/>
  <c r="CR37" i="75" s="1"/>
  <c r="CP37" i="75"/>
  <c r="CO37" i="75"/>
  <c r="CN37" i="75"/>
  <c r="CM37" i="75"/>
  <c r="CL37" i="75"/>
  <c r="CK37" i="75"/>
  <c r="CJ37" i="75"/>
  <c r="CI37" i="75"/>
  <c r="CH37" i="75"/>
  <c r="CF37" i="75"/>
  <c r="CG37" i="75" s="1"/>
  <c r="CE37" i="75"/>
  <c r="CD37" i="75"/>
  <c r="CC37" i="75"/>
  <c r="CB37" i="75"/>
  <c r="CA37" i="75"/>
  <c r="BZ37" i="75"/>
  <c r="BY37" i="75"/>
  <c r="BX37" i="75"/>
  <c r="BW37" i="75" s="1"/>
  <c r="BU37" i="75"/>
  <c r="BV37" i="75" s="1"/>
  <c r="BT37" i="75"/>
  <c r="BS37" i="75"/>
  <c r="BR37" i="75"/>
  <c r="BQ37" i="75"/>
  <c r="BP37" i="75"/>
  <c r="BO37" i="75"/>
  <c r="BN37" i="75"/>
  <c r="BM37" i="75"/>
  <c r="BL37" i="75" s="1"/>
  <c r="BJ37" i="75"/>
  <c r="BI37" i="75"/>
  <c r="BH37" i="75"/>
  <c r="BG37" i="75"/>
  <c r="GI37" i="75" s="1"/>
  <c r="BF37" i="75"/>
  <c r="GH37" i="75" s="1"/>
  <c r="BE37" i="75"/>
  <c r="GG37" i="75" s="1"/>
  <c r="BD37" i="75"/>
  <c r="GF37" i="75" s="1"/>
  <c r="BC37" i="75"/>
  <c r="GE37" i="75" s="1"/>
  <c r="BB37" i="75"/>
  <c r="BA37" i="75" s="1"/>
  <c r="GC37" i="75" s="1"/>
  <c r="AY37" i="75"/>
  <c r="GA37" i="75" s="1"/>
  <c r="AX37" i="75"/>
  <c r="FZ37" i="75" s="1"/>
  <c r="AW37" i="75"/>
  <c r="FY37" i="75" s="1"/>
  <c r="AV37" i="75"/>
  <c r="FX37" i="75" s="1"/>
  <c r="AU37" i="75"/>
  <c r="FW37" i="75" s="1"/>
  <c r="AT37" i="75"/>
  <c r="FV37" i="75" s="1"/>
  <c r="AS37" i="75"/>
  <c r="FU37" i="75" s="1"/>
  <c r="AR37" i="75"/>
  <c r="FT37" i="75" s="1"/>
  <c r="AQ37" i="75"/>
  <c r="FS37" i="75" s="1"/>
  <c r="AN37" i="75"/>
  <c r="AO37" i="75" s="1"/>
  <c r="FQ37" i="75" s="1"/>
  <c r="AM37" i="75"/>
  <c r="FO37" i="75" s="1"/>
  <c r="AL37" i="75"/>
  <c r="FN37" i="75" s="1"/>
  <c r="AK37" i="75"/>
  <c r="FM37" i="75" s="1"/>
  <c r="AJ37" i="75"/>
  <c r="FL37" i="75" s="1"/>
  <c r="AI37" i="75"/>
  <c r="FK37" i="75" s="1"/>
  <c r="AH37" i="75"/>
  <c r="FJ37" i="75" s="1"/>
  <c r="AG37" i="75"/>
  <c r="FI37" i="75" s="1"/>
  <c r="AF37" i="75"/>
  <c r="AE37" i="75" s="1"/>
  <c r="FG37" i="75" s="1"/>
  <c r="AC37" i="75"/>
  <c r="FE37" i="75" s="1"/>
  <c r="AB37" i="75"/>
  <c r="FD37" i="75" s="1"/>
  <c r="AA37" i="75"/>
  <c r="FC37" i="75" s="1"/>
  <c r="Z37" i="75"/>
  <c r="FB37" i="75" s="1"/>
  <c r="Y37" i="75"/>
  <c r="FA37" i="75" s="1"/>
  <c r="X37" i="75"/>
  <c r="EZ37" i="75" s="1"/>
  <c r="W37" i="75"/>
  <c r="EY37" i="75" s="1"/>
  <c r="V37" i="75"/>
  <c r="EX37" i="75" s="1"/>
  <c r="U37" i="75"/>
  <c r="EW37" i="75" s="1"/>
  <c r="EV37" i="75" s="1"/>
  <c r="S37" i="75"/>
  <c r="T37" i="75" s="1"/>
  <c r="EU37" i="75" s="1"/>
  <c r="R37" i="75"/>
  <c r="ES37" i="75" s="1"/>
  <c r="Q37" i="75"/>
  <c r="ER37" i="75" s="1"/>
  <c r="P37" i="75"/>
  <c r="EQ37" i="75" s="1"/>
  <c r="O37" i="75"/>
  <c r="EP37" i="75" s="1"/>
  <c r="N37" i="75"/>
  <c r="EO37" i="75" s="1"/>
  <c r="M37" i="75"/>
  <c r="EN37" i="75" s="1"/>
  <c r="L37" i="75"/>
  <c r="EM37" i="75" s="1"/>
  <c r="K37" i="75"/>
  <c r="EL37" i="75" s="1"/>
  <c r="EK37" i="75" s="1"/>
  <c r="J37" i="75"/>
  <c r="D37" i="75"/>
  <c r="B37" i="75"/>
  <c r="EI36" i="75"/>
  <c r="EJ36" i="75" s="1"/>
  <c r="EH36" i="75"/>
  <c r="EG36" i="75"/>
  <c r="EF36" i="75"/>
  <c r="EE36" i="75"/>
  <c r="ED36" i="75"/>
  <c r="EC36" i="75"/>
  <c r="EB36" i="75"/>
  <c r="EA36" i="75"/>
  <c r="DZ36" i="75" s="1"/>
  <c r="DB36" i="75"/>
  <c r="DC36" i="75" s="1"/>
  <c r="DA36" i="75"/>
  <c r="CZ36" i="75"/>
  <c r="CY36" i="75"/>
  <c r="CX36" i="75"/>
  <c r="CW36" i="75"/>
  <c r="CV36" i="75"/>
  <c r="CU36" i="75"/>
  <c r="CT36" i="75"/>
  <c r="CS36" i="75" s="1"/>
  <c r="CQ36" i="75"/>
  <c r="CR36" i="75" s="1"/>
  <c r="CP36" i="75"/>
  <c r="CO36" i="75"/>
  <c r="CN36" i="75"/>
  <c r="CM36" i="75"/>
  <c r="CL36" i="75"/>
  <c r="CK36" i="75"/>
  <c r="CJ36" i="75"/>
  <c r="CI36" i="75"/>
  <c r="CH36" i="75" s="1"/>
  <c r="CF36" i="75"/>
  <c r="CG36" i="75" s="1"/>
  <c r="CE36" i="75"/>
  <c r="CD36" i="75"/>
  <c r="CC36" i="75"/>
  <c r="CB36" i="75"/>
  <c r="CA36" i="75"/>
  <c r="BZ36" i="75"/>
  <c r="BY36" i="75"/>
  <c r="BX36" i="75"/>
  <c r="BW36" i="75" s="1"/>
  <c r="BU36" i="75"/>
  <c r="BV36" i="75" s="1"/>
  <c r="BT36" i="75"/>
  <c r="BS36" i="75"/>
  <c r="BR36" i="75"/>
  <c r="BQ36" i="75"/>
  <c r="BP36" i="75"/>
  <c r="BO36" i="75"/>
  <c r="BN36" i="75"/>
  <c r="BM36" i="75"/>
  <c r="BL36" i="75"/>
  <c r="BJ36" i="75"/>
  <c r="GL36" i="75" s="1"/>
  <c r="BI36" i="75"/>
  <c r="GK36" i="75" s="1"/>
  <c r="BH36" i="75"/>
  <c r="GJ36" i="75" s="1"/>
  <c r="BG36" i="75"/>
  <c r="GI36" i="75" s="1"/>
  <c r="BF36" i="75"/>
  <c r="GH36" i="75" s="1"/>
  <c r="BE36" i="75"/>
  <c r="GG36" i="75" s="1"/>
  <c r="BD36" i="75"/>
  <c r="GF36" i="75" s="1"/>
  <c r="BC36" i="75"/>
  <c r="GE36" i="75" s="1"/>
  <c r="BB36" i="75"/>
  <c r="GD36" i="75" s="1"/>
  <c r="BA36" i="75"/>
  <c r="GC36" i="75" s="1"/>
  <c r="AY36" i="75"/>
  <c r="GA36" i="75" s="1"/>
  <c r="AX36" i="75"/>
  <c r="FZ36" i="75" s="1"/>
  <c r="AW36" i="75"/>
  <c r="FY36" i="75" s="1"/>
  <c r="AV36" i="75"/>
  <c r="FX36" i="75" s="1"/>
  <c r="AU36" i="75"/>
  <c r="FW36" i="75" s="1"/>
  <c r="AT36" i="75"/>
  <c r="FV36" i="75" s="1"/>
  <c r="AS36" i="75"/>
  <c r="FU36" i="75" s="1"/>
  <c r="AR36" i="75"/>
  <c r="FT36" i="75" s="1"/>
  <c r="AQ36" i="75"/>
  <c r="AP36" i="75" s="1"/>
  <c r="FR36" i="75" s="1"/>
  <c r="AN36" i="75"/>
  <c r="FP36" i="75" s="1"/>
  <c r="AM36" i="75"/>
  <c r="FO36" i="75" s="1"/>
  <c r="AL36" i="75"/>
  <c r="FN36" i="75" s="1"/>
  <c r="AK36" i="75"/>
  <c r="FM36" i="75" s="1"/>
  <c r="AJ36" i="75"/>
  <c r="FL36" i="75" s="1"/>
  <c r="AI36" i="75"/>
  <c r="FK36" i="75" s="1"/>
  <c r="AH36" i="75"/>
  <c r="FJ36" i="75" s="1"/>
  <c r="AG36" i="75"/>
  <c r="FI36" i="75" s="1"/>
  <c r="AF36" i="75"/>
  <c r="FH36" i="75" s="1"/>
  <c r="AC36" i="75"/>
  <c r="AB36" i="75"/>
  <c r="FD36" i="75" s="1"/>
  <c r="AA36" i="75"/>
  <c r="FC36" i="75" s="1"/>
  <c r="Z36" i="75"/>
  <c r="FB36" i="75" s="1"/>
  <c r="Y36" i="75"/>
  <c r="FA36" i="75" s="1"/>
  <c r="X36" i="75"/>
  <c r="EZ36" i="75" s="1"/>
  <c r="W36" i="75"/>
  <c r="EY36" i="75" s="1"/>
  <c r="V36" i="75"/>
  <c r="EX36" i="75" s="1"/>
  <c r="U36" i="75"/>
  <c r="EW36" i="75" s="1"/>
  <c r="EV36" i="75" s="1"/>
  <c r="S36" i="75"/>
  <c r="ET36" i="75" s="1"/>
  <c r="R36" i="75"/>
  <c r="ES36" i="75" s="1"/>
  <c r="Q36" i="75"/>
  <c r="ER36" i="75" s="1"/>
  <c r="P36" i="75"/>
  <c r="EQ36" i="75" s="1"/>
  <c r="O36" i="75"/>
  <c r="EP36" i="75" s="1"/>
  <c r="N36" i="75"/>
  <c r="EO36" i="75" s="1"/>
  <c r="M36" i="75"/>
  <c r="EN36" i="75" s="1"/>
  <c r="L36" i="75"/>
  <c r="EM36" i="75" s="1"/>
  <c r="K36" i="75"/>
  <c r="EL36" i="75" s="1"/>
  <c r="EK36" i="75" s="1"/>
  <c r="J36" i="75"/>
  <c r="D36" i="75"/>
  <c r="B36" i="75"/>
  <c r="EI35" i="75"/>
  <c r="EJ35" i="75" s="1"/>
  <c r="EH35" i="75"/>
  <c r="EG35" i="75"/>
  <c r="EF35" i="75"/>
  <c r="EE35" i="75"/>
  <c r="ED35" i="75"/>
  <c r="EC35" i="75"/>
  <c r="EB35" i="75"/>
  <c r="EA35" i="75"/>
  <c r="DZ35" i="75"/>
  <c r="DB35" i="75"/>
  <c r="DC35" i="75" s="1"/>
  <c r="DA35" i="75"/>
  <c r="CZ35" i="75"/>
  <c r="CY35" i="75"/>
  <c r="CX35" i="75"/>
  <c r="CW35" i="75"/>
  <c r="CV35" i="75"/>
  <c r="CU35" i="75"/>
  <c r="CT35" i="75"/>
  <c r="CS35" i="75" s="1"/>
  <c r="CQ35" i="75"/>
  <c r="CR35" i="75" s="1"/>
  <c r="CP35" i="75"/>
  <c r="CO35" i="75"/>
  <c r="CN35" i="75"/>
  <c r="CM35" i="75"/>
  <c r="CL35" i="75"/>
  <c r="CK35" i="75"/>
  <c r="CJ35" i="75"/>
  <c r="CI35" i="75"/>
  <c r="CH35" i="75"/>
  <c r="CF35" i="75"/>
  <c r="CG35" i="75" s="1"/>
  <c r="CE35" i="75"/>
  <c r="CD35" i="75"/>
  <c r="CC35" i="75"/>
  <c r="CB35" i="75"/>
  <c r="CA35" i="75"/>
  <c r="BZ35" i="75"/>
  <c r="BY35" i="75"/>
  <c r="BX35" i="75"/>
  <c r="BW35" i="75" s="1"/>
  <c r="BU35" i="75"/>
  <c r="BV35" i="75" s="1"/>
  <c r="BT35" i="75"/>
  <c r="BS35" i="75"/>
  <c r="BR35" i="75"/>
  <c r="BQ35" i="75"/>
  <c r="BP35" i="75"/>
  <c r="BO35" i="75"/>
  <c r="BN35" i="75"/>
  <c r="BM35" i="75"/>
  <c r="BL35" i="75" s="1"/>
  <c r="BJ35" i="75"/>
  <c r="GL35" i="75" s="1"/>
  <c r="BI35" i="75"/>
  <c r="GK35" i="75" s="1"/>
  <c r="BH35" i="75"/>
  <c r="GJ35" i="75" s="1"/>
  <c r="BG35" i="75"/>
  <c r="GI35" i="75" s="1"/>
  <c r="BF35" i="75"/>
  <c r="GH35" i="75" s="1"/>
  <c r="BE35" i="75"/>
  <c r="GG35" i="75" s="1"/>
  <c r="BD35" i="75"/>
  <c r="GF35" i="75" s="1"/>
  <c r="BC35" i="75"/>
  <c r="GE35" i="75" s="1"/>
  <c r="BB35" i="75"/>
  <c r="GD35" i="75" s="1"/>
  <c r="BA35" i="75"/>
  <c r="GC35" i="75" s="1"/>
  <c r="AY35" i="75"/>
  <c r="AZ35" i="75" s="1"/>
  <c r="GB35" i="75" s="1"/>
  <c r="AX35" i="75"/>
  <c r="FZ35" i="75" s="1"/>
  <c r="AW35" i="75"/>
  <c r="FY35" i="75" s="1"/>
  <c r="AV35" i="75"/>
  <c r="FX35" i="75" s="1"/>
  <c r="AU35" i="75"/>
  <c r="FW35" i="75" s="1"/>
  <c r="AT35" i="75"/>
  <c r="FV35" i="75" s="1"/>
  <c r="AS35" i="75"/>
  <c r="FU35" i="75" s="1"/>
  <c r="AR35" i="75"/>
  <c r="FT35" i="75" s="1"/>
  <c r="AQ35" i="75"/>
  <c r="FS35" i="75" s="1"/>
  <c r="AN35" i="75"/>
  <c r="AO35" i="75" s="1"/>
  <c r="FQ35" i="75" s="1"/>
  <c r="AM35" i="75"/>
  <c r="FO35" i="75" s="1"/>
  <c r="AL35" i="75"/>
  <c r="FN35" i="75" s="1"/>
  <c r="AK35" i="75"/>
  <c r="FM35" i="75" s="1"/>
  <c r="AJ35" i="75"/>
  <c r="FL35" i="75" s="1"/>
  <c r="AI35" i="75"/>
  <c r="FK35" i="75" s="1"/>
  <c r="AH35" i="75"/>
  <c r="FJ35" i="75" s="1"/>
  <c r="AG35" i="75"/>
  <c r="FI35" i="75" s="1"/>
  <c r="AF35" i="75"/>
  <c r="FH35" i="75" s="1"/>
  <c r="AC35" i="75"/>
  <c r="FE35" i="75" s="1"/>
  <c r="AB35" i="75"/>
  <c r="FD35" i="75" s="1"/>
  <c r="AA35" i="75"/>
  <c r="FC35" i="75" s="1"/>
  <c r="Z35" i="75"/>
  <c r="FB35" i="75" s="1"/>
  <c r="Y35" i="75"/>
  <c r="FA35" i="75" s="1"/>
  <c r="X35" i="75"/>
  <c r="EZ35" i="75" s="1"/>
  <c r="W35" i="75"/>
  <c r="EY35" i="75" s="1"/>
  <c r="V35" i="75"/>
  <c r="EX35" i="75" s="1"/>
  <c r="U35" i="75"/>
  <c r="EW35" i="75" s="1"/>
  <c r="EV35" i="75" s="1"/>
  <c r="S35" i="75"/>
  <c r="ET35" i="75" s="1"/>
  <c r="R35" i="75"/>
  <c r="ES35" i="75" s="1"/>
  <c r="Q35" i="75"/>
  <c r="ER35" i="75" s="1"/>
  <c r="P35" i="75"/>
  <c r="EQ35" i="75" s="1"/>
  <c r="O35" i="75"/>
  <c r="EP35" i="75" s="1"/>
  <c r="N35" i="75"/>
  <c r="EO35" i="75" s="1"/>
  <c r="M35" i="75"/>
  <c r="EN35" i="75" s="1"/>
  <c r="L35" i="75"/>
  <c r="EM35" i="75" s="1"/>
  <c r="K35" i="75"/>
  <c r="EL35" i="75" s="1"/>
  <c r="EK35" i="75" s="1"/>
  <c r="J35" i="75"/>
  <c r="D35" i="75"/>
  <c r="B35" i="75"/>
  <c r="GL34" i="75"/>
  <c r="EI34" i="75"/>
  <c r="EJ34" i="75" s="1"/>
  <c r="EH34" i="75"/>
  <c r="EG34" i="75"/>
  <c r="EF34" i="75"/>
  <c r="EE34" i="75"/>
  <c r="ED34" i="75"/>
  <c r="EC34" i="75"/>
  <c r="EB34" i="75"/>
  <c r="EA34" i="75"/>
  <c r="DZ34" i="75"/>
  <c r="DB34" i="75"/>
  <c r="DC34" i="75" s="1"/>
  <c r="DA34" i="75"/>
  <c r="CZ34" i="75"/>
  <c r="CY34" i="75"/>
  <c r="CX34" i="75"/>
  <c r="CW34" i="75"/>
  <c r="CV34" i="75"/>
  <c r="CU34" i="75"/>
  <c r="CT34" i="75"/>
  <c r="CS34" i="75" s="1"/>
  <c r="CQ34" i="75"/>
  <c r="CR34" i="75" s="1"/>
  <c r="CP34" i="75"/>
  <c r="CO34" i="75"/>
  <c r="CN34" i="75"/>
  <c r="CM34" i="75"/>
  <c r="CL34" i="75"/>
  <c r="CK34" i="75"/>
  <c r="CJ34" i="75"/>
  <c r="CI34" i="75"/>
  <c r="CH34" i="75"/>
  <c r="CF34" i="75"/>
  <c r="CG34" i="75" s="1"/>
  <c r="CE34" i="75"/>
  <c r="CD34" i="75"/>
  <c r="CC34" i="75"/>
  <c r="CB34" i="75"/>
  <c r="CA34" i="75"/>
  <c r="BZ34" i="75"/>
  <c r="BY34" i="75"/>
  <c r="BX34" i="75"/>
  <c r="BW34" i="75" s="1"/>
  <c r="BU34" i="75"/>
  <c r="BV34" i="75" s="1"/>
  <c r="BT34" i="75"/>
  <c r="BS34" i="75"/>
  <c r="BR34" i="75"/>
  <c r="BQ34" i="75"/>
  <c r="BP34" i="75"/>
  <c r="BO34" i="75"/>
  <c r="BN34" i="75"/>
  <c r="BM34" i="75"/>
  <c r="BL34" i="75" s="1"/>
  <c r="BJ34" i="75"/>
  <c r="BK34" i="75" s="1"/>
  <c r="GM34" i="75" s="1"/>
  <c r="BI34" i="75"/>
  <c r="GK34" i="75" s="1"/>
  <c r="BH34" i="75"/>
  <c r="GJ34" i="75" s="1"/>
  <c r="BG34" i="75"/>
  <c r="GI34" i="75" s="1"/>
  <c r="BF34" i="75"/>
  <c r="GH34" i="75" s="1"/>
  <c r="BE34" i="75"/>
  <c r="GG34" i="75" s="1"/>
  <c r="BD34" i="75"/>
  <c r="GF34" i="75" s="1"/>
  <c r="BC34" i="75"/>
  <c r="GE34" i="75" s="1"/>
  <c r="BB34" i="75"/>
  <c r="GD34" i="75" s="1"/>
  <c r="AY34" i="75"/>
  <c r="GA34" i="75" s="1"/>
  <c r="AX34" i="75"/>
  <c r="FZ34" i="75" s="1"/>
  <c r="AW34" i="75"/>
  <c r="FY34" i="75" s="1"/>
  <c r="AV34" i="75"/>
  <c r="FX34" i="75" s="1"/>
  <c r="AU34" i="75"/>
  <c r="FW34" i="75" s="1"/>
  <c r="AT34" i="75"/>
  <c r="FV34" i="75" s="1"/>
  <c r="AS34" i="75"/>
  <c r="FU34" i="75" s="1"/>
  <c r="AR34" i="75"/>
  <c r="FT34" i="75" s="1"/>
  <c r="AQ34" i="75"/>
  <c r="AN34" i="75"/>
  <c r="AO34" i="75" s="1"/>
  <c r="FQ34" i="75" s="1"/>
  <c r="AM34" i="75"/>
  <c r="FO34" i="75" s="1"/>
  <c r="AL34" i="75"/>
  <c r="FN34" i="75" s="1"/>
  <c r="AK34" i="75"/>
  <c r="FM34" i="75" s="1"/>
  <c r="AJ34" i="75"/>
  <c r="FL34" i="75" s="1"/>
  <c r="AI34" i="75"/>
  <c r="FK34" i="75" s="1"/>
  <c r="AH34" i="75"/>
  <c r="FJ34" i="75" s="1"/>
  <c r="AG34" i="75"/>
  <c r="FI34" i="75" s="1"/>
  <c r="AF34" i="75"/>
  <c r="FH34" i="75" s="1"/>
  <c r="AC34" i="75"/>
  <c r="FE34" i="75" s="1"/>
  <c r="AB34" i="75"/>
  <c r="FD34" i="75" s="1"/>
  <c r="AA34" i="75"/>
  <c r="FC34" i="75" s="1"/>
  <c r="Z34" i="75"/>
  <c r="FB34" i="75" s="1"/>
  <c r="Y34" i="75"/>
  <c r="FA34" i="75" s="1"/>
  <c r="X34" i="75"/>
  <c r="EZ34" i="75" s="1"/>
  <c r="W34" i="75"/>
  <c r="EY34" i="75" s="1"/>
  <c r="V34" i="75"/>
  <c r="EX34" i="75" s="1"/>
  <c r="U34" i="75"/>
  <c r="EW34" i="75" s="1"/>
  <c r="EV34" i="75" s="1"/>
  <c r="S34" i="75"/>
  <c r="T34" i="75" s="1"/>
  <c r="EU34" i="75" s="1"/>
  <c r="R34" i="75"/>
  <c r="ES34" i="75" s="1"/>
  <c r="Q34" i="75"/>
  <c r="ER34" i="75" s="1"/>
  <c r="P34" i="75"/>
  <c r="EQ34" i="75" s="1"/>
  <c r="O34" i="75"/>
  <c r="EP34" i="75" s="1"/>
  <c r="N34" i="75"/>
  <c r="EO34" i="75" s="1"/>
  <c r="M34" i="75"/>
  <c r="EN34" i="75" s="1"/>
  <c r="L34" i="75"/>
  <c r="EM34" i="75" s="1"/>
  <c r="K34" i="75"/>
  <c r="EL34" i="75" s="1"/>
  <c r="EK34" i="75" s="1"/>
  <c r="J34" i="75"/>
  <c r="D34" i="75"/>
  <c r="B34" i="75"/>
  <c r="EI33" i="75"/>
  <c r="EJ33" i="75" s="1"/>
  <c r="EH33" i="75"/>
  <c r="EG33" i="75"/>
  <c r="EF33" i="75"/>
  <c r="EE33" i="75"/>
  <c r="ED33" i="75"/>
  <c r="EC33" i="75"/>
  <c r="EB33" i="75"/>
  <c r="EA33" i="75"/>
  <c r="DZ33" i="75" s="1"/>
  <c r="DB33" i="75"/>
  <c r="DC33" i="75" s="1"/>
  <c r="DA33" i="75"/>
  <c r="CZ33" i="75"/>
  <c r="CY33" i="75"/>
  <c r="CX33" i="75"/>
  <c r="CW33" i="75"/>
  <c r="CV33" i="75"/>
  <c r="CU33" i="75"/>
  <c r="CT33" i="75"/>
  <c r="CS33" i="75" s="1"/>
  <c r="CQ33" i="75"/>
  <c r="CR33" i="75" s="1"/>
  <c r="CP33" i="75"/>
  <c r="CO33" i="75"/>
  <c r="CN33" i="75"/>
  <c r="CM33" i="75"/>
  <c r="CL33" i="75"/>
  <c r="CK33" i="75"/>
  <c r="CJ33" i="75"/>
  <c r="CI33" i="75"/>
  <c r="CH33" i="75" s="1"/>
  <c r="CF33" i="75"/>
  <c r="CG33" i="75" s="1"/>
  <c r="CE33" i="75"/>
  <c r="CD33" i="75"/>
  <c r="CC33" i="75"/>
  <c r="CB33" i="75"/>
  <c r="CA33" i="75"/>
  <c r="BZ33" i="75"/>
  <c r="BY33" i="75"/>
  <c r="BX33" i="75"/>
  <c r="BW33" i="75" s="1"/>
  <c r="BU33" i="75"/>
  <c r="BV33" i="75" s="1"/>
  <c r="BT33" i="75"/>
  <c r="BS33" i="75"/>
  <c r="BR33" i="75"/>
  <c r="BQ33" i="75"/>
  <c r="BP33" i="75"/>
  <c r="BO33" i="75"/>
  <c r="BN33" i="75"/>
  <c r="BM33" i="75"/>
  <c r="BL33" i="75" s="1"/>
  <c r="BJ33" i="75"/>
  <c r="BK33" i="75" s="1"/>
  <c r="GM33" i="75" s="1"/>
  <c r="BI33" i="75"/>
  <c r="GK33" i="75" s="1"/>
  <c r="BH33" i="75"/>
  <c r="GJ33" i="75" s="1"/>
  <c r="BG33" i="75"/>
  <c r="GI33" i="75" s="1"/>
  <c r="BF33" i="75"/>
  <c r="GH33" i="75" s="1"/>
  <c r="BE33" i="75"/>
  <c r="GG33" i="75" s="1"/>
  <c r="BD33" i="75"/>
  <c r="GF33" i="75" s="1"/>
  <c r="BC33" i="75"/>
  <c r="GE33" i="75" s="1"/>
  <c r="BB33" i="75"/>
  <c r="GD33" i="75" s="1"/>
  <c r="AY33" i="75"/>
  <c r="GA33" i="75" s="1"/>
  <c r="AX33" i="75"/>
  <c r="FZ33" i="75" s="1"/>
  <c r="AW33" i="75"/>
  <c r="FY33" i="75" s="1"/>
  <c r="AV33" i="75"/>
  <c r="FX33" i="75" s="1"/>
  <c r="AU33" i="75"/>
  <c r="FW33" i="75" s="1"/>
  <c r="AT33" i="75"/>
  <c r="FV33" i="75" s="1"/>
  <c r="AS33" i="75"/>
  <c r="FU33" i="75" s="1"/>
  <c r="AR33" i="75"/>
  <c r="FT33" i="75" s="1"/>
  <c r="AQ33" i="75"/>
  <c r="FS33" i="75" s="1"/>
  <c r="AN33" i="75"/>
  <c r="AO33" i="75" s="1"/>
  <c r="FQ33" i="75" s="1"/>
  <c r="AM33" i="75"/>
  <c r="FO33" i="75" s="1"/>
  <c r="AL33" i="75"/>
  <c r="FN33" i="75" s="1"/>
  <c r="AK33" i="75"/>
  <c r="FM33" i="75" s="1"/>
  <c r="AJ33" i="75"/>
  <c r="FL33" i="75" s="1"/>
  <c r="AI33" i="75"/>
  <c r="FK33" i="75" s="1"/>
  <c r="AH33" i="75"/>
  <c r="FJ33" i="75" s="1"/>
  <c r="AG33" i="75"/>
  <c r="FI33" i="75" s="1"/>
  <c r="AF33" i="75"/>
  <c r="FH33" i="75" s="1"/>
  <c r="AE33" i="75"/>
  <c r="FG33" i="75" s="1"/>
  <c r="AC33" i="75"/>
  <c r="FE33" i="75" s="1"/>
  <c r="AB33" i="75"/>
  <c r="FD33" i="75" s="1"/>
  <c r="AA33" i="75"/>
  <c r="FC33" i="75" s="1"/>
  <c r="Z33" i="75"/>
  <c r="FB33" i="75" s="1"/>
  <c r="Y33" i="75"/>
  <c r="FA33" i="75" s="1"/>
  <c r="X33" i="75"/>
  <c r="EZ33" i="75" s="1"/>
  <c r="W33" i="75"/>
  <c r="EY33" i="75" s="1"/>
  <c r="V33" i="75"/>
  <c r="EX33" i="75" s="1"/>
  <c r="U33" i="75"/>
  <c r="EW33" i="75" s="1"/>
  <c r="EV33" i="75" s="1"/>
  <c r="S33" i="75"/>
  <c r="ET33" i="75" s="1"/>
  <c r="R33" i="75"/>
  <c r="ES33" i="75" s="1"/>
  <c r="Q33" i="75"/>
  <c r="ER33" i="75" s="1"/>
  <c r="P33" i="75"/>
  <c r="EQ33" i="75" s="1"/>
  <c r="O33" i="75"/>
  <c r="EP33" i="75" s="1"/>
  <c r="N33" i="75"/>
  <c r="EO33" i="75" s="1"/>
  <c r="M33" i="75"/>
  <c r="EN33" i="75" s="1"/>
  <c r="L33" i="75"/>
  <c r="EM33" i="75" s="1"/>
  <c r="K33" i="75"/>
  <c r="EL33" i="75" s="1"/>
  <c r="EK33" i="75" s="1"/>
  <c r="J33" i="75"/>
  <c r="D33" i="75"/>
  <c r="B33" i="75"/>
  <c r="EI32" i="75"/>
  <c r="EJ32" i="75" s="1"/>
  <c r="EH32" i="75"/>
  <c r="EG32" i="75"/>
  <c r="EF32" i="75"/>
  <c r="EE32" i="75"/>
  <c r="ED32" i="75"/>
  <c r="EC32" i="75"/>
  <c r="EB32" i="75"/>
  <c r="EA32" i="75"/>
  <c r="DZ32" i="75" s="1"/>
  <c r="DB32" i="75"/>
  <c r="DC32" i="75" s="1"/>
  <c r="DA32" i="75"/>
  <c r="CZ32" i="75"/>
  <c r="CY32" i="75"/>
  <c r="CX32" i="75"/>
  <c r="CW32" i="75"/>
  <c r="CV32" i="75"/>
  <c r="CU32" i="75"/>
  <c r="CT32" i="75"/>
  <c r="CS32" i="75" s="1"/>
  <c r="CQ32" i="75"/>
  <c r="CR32" i="75" s="1"/>
  <c r="CP32" i="75"/>
  <c r="CO32" i="75"/>
  <c r="CN32" i="75"/>
  <c r="CM32" i="75"/>
  <c r="CL32" i="75"/>
  <c r="CK32" i="75"/>
  <c r="CJ32" i="75"/>
  <c r="CI32" i="75"/>
  <c r="CH32" i="75"/>
  <c r="CF32" i="75"/>
  <c r="CG32" i="75" s="1"/>
  <c r="CE32" i="75"/>
  <c r="CD32" i="75"/>
  <c r="CC32" i="75"/>
  <c r="CB32" i="75"/>
  <c r="CA32" i="75"/>
  <c r="BZ32" i="75"/>
  <c r="BY32" i="75"/>
  <c r="BX32" i="75"/>
  <c r="BW32" i="75" s="1"/>
  <c r="BU32" i="75"/>
  <c r="BV32" i="75" s="1"/>
  <c r="BT32" i="75"/>
  <c r="BS32" i="75"/>
  <c r="BR32" i="75"/>
  <c r="BQ32" i="75"/>
  <c r="BP32" i="75"/>
  <c r="BO32" i="75"/>
  <c r="BN32" i="75"/>
  <c r="BM32" i="75"/>
  <c r="BL32" i="75" s="1"/>
  <c r="BJ32" i="75"/>
  <c r="GL32" i="75" s="1"/>
  <c r="BI32" i="75"/>
  <c r="GK32" i="75" s="1"/>
  <c r="BH32" i="75"/>
  <c r="GJ32" i="75" s="1"/>
  <c r="BG32" i="75"/>
  <c r="GI32" i="75" s="1"/>
  <c r="BF32" i="75"/>
  <c r="GH32" i="75" s="1"/>
  <c r="BE32" i="75"/>
  <c r="GG32" i="75" s="1"/>
  <c r="BD32" i="75"/>
  <c r="GF32" i="75" s="1"/>
  <c r="BC32" i="75"/>
  <c r="GE32" i="75" s="1"/>
  <c r="BB32" i="75"/>
  <c r="GD32" i="75" s="1"/>
  <c r="AY32" i="75"/>
  <c r="AZ32" i="75" s="1"/>
  <c r="GB32" i="75" s="1"/>
  <c r="AX32" i="75"/>
  <c r="FZ32" i="75" s="1"/>
  <c r="AW32" i="75"/>
  <c r="FY32" i="75" s="1"/>
  <c r="AV32" i="75"/>
  <c r="FX32" i="75" s="1"/>
  <c r="AU32" i="75"/>
  <c r="FW32" i="75" s="1"/>
  <c r="AT32" i="75"/>
  <c r="FV32" i="75" s="1"/>
  <c r="AS32" i="75"/>
  <c r="FU32" i="75" s="1"/>
  <c r="AR32" i="75"/>
  <c r="FT32" i="75" s="1"/>
  <c r="AQ32" i="75"/>
  <c r="AP32" i="75" s="1"/>
  <c r="FR32" i="75" s="1"/>
  <c r="AN32" i="75"/>
  <c r="FP32" i="75" s="1"/>
  <c r="AM32" i="75"/>
  <c r="FO32" i="75" s="1"/>
  <c r="AL32" i="75"/>
  <c r="FN32" i="75" s="1"/>
  <c r="AK32" i="75"/>
  <c r="FM32" i="75" s="1"/>
  <c r="AJ32" i="75"/>
  <c r="FL32" i="75" s="1"/>
  <c r="AI32" i="75"/>
  <c r="FK32" i="75" s="1"/>
  <c r="AH32" i="75"/>
  <c r="FJ32" i="75" s="1"/>
  <c r="AG32" i="75"/>
  <c r="FI32" i="75" s="1"/>
  <c r="AF32" i="75"/>
  <c r="FH32" i="75" s="1"/>
  <c r="AC32" i="75"/>
  <c r="AD32" i="75" s="1"/>
  <c r="FF32" i="75" s="1"/>
  <c r="AB32" i="75"/>
  <c r="FD32" i="75" s="1"/>
  <c r="AA32" i="75"/>
  <c r="FC32" i="75" s="1"/>
  <c r="Z32" i="75"/>
  <c r="FB32" i="75" s="1"/>
  <c r="Y32" i="75"/>
  <c r="FA32" i="75" s="1"/>
  <c r="X32" i="75"/>
  <c r="EZ32" i="75" s="1"/>
  <c r="W32" i="75"/>
  <c r="EY32" i="75" s="1"/>
  <c r="V32" i="75"/>
  <c r="EX32" i="75" s="1"/>
  <c r="U32" i="75"/>
  <c r="EW32" i="75" s="1"/>
  <c r="EV32" i="75" s="1"/>
  <c r="S32" i="75"/>
  <c r="ET32" i="75" s="1"/>
  <c r="R32" i="75"/>
  <c r="ES32" i="75" s="1"/>
  <c r="Q32" i="75"/>
  <c r="ER32" i="75" s="1"/>
  <c r="P32" i="75"/>
  <c r="EQ32" i="75" s="1"/>
  <c r="O32" i="75"/>
  <c r="EP32" i="75" s="1"/>
  <c r="N32" i="75"/>
  <c r="EO32" i="75" s="1"/>
  <c r="M32" i="75"/>
  <c r="EN32" i="75" s="1"/>
  <c r="L32" i="75"/>
  <c r="EM32" i="75" s="1"/>
  <c r="K32" i="75"/>
  <c r="EL32" i="75" s="1"/>
  <c r="EK32" i="75" s="1"/>
  <c r="J32" i="75"/>
  <c r="D32" i="75"/>
  <c r="B32" i="75"/>
  <c r="EI31" i="75"/>
  <c r="EJ31" i="75" s="1"/>
  <c r="EH31" i="75"/>
  <c r="EG31" i="75"/>
  <c r="EF31" i="75"/>
  <c r="EE31" i="75"/>
  <c r="ED31" i="75"/>
  <c r="EC31" i="75"/>
  <c r="EB31" i="75"/>
  <c r="EA31" i="75"/>
  <c r="DZ31" i="75"/>
  <c r="DB31" i="75"/>
  <c r="DC31" i="75" s="1"/>
  <c r="DA31" i="75"/>
  <c r="CZ31" i="75"/>
  <c r="CY31" i="75"/>
  <c r="CX31" i="75"/>
  <c r="CW31" i="75"/>
  <c r="CV31" i="75"/>
  <c r="CU31" i="75"/>
  <c r="CT31" i="75"/>
  <c r="CS31" i="75" s="1"/>
  <c r="CQ31" i="75"/>
  <c r="CR31" i="75" s="1"/>
  <c r="CP31" i="75"/>
  <c r="CO31" i="75"/>
  <c r="CN31" i="75"/>
  <c r="CM31" i="75"/>
  <c r="CL31" i="75"/>
  <c r="CK31" i="75"/>
  <c r="CJ31" i="75"/>
  <c r="CI31" i="75"/>
  <c r="CH31" i="75" s="1"/>
  <c r="CF31" i="75"/>
  <c r="CG31" i="75" s="1"/>
  <c r="CE31" i="75"/>
  <c r="CD31" i="75"/>
  <c r="CC31" i="75"/>
  <c r="CB31" i="75"/>
  <c r="CA31" i="75"/>
  <c r="BZ31" i="75"/>
  <c r="BY31" i="75"/>
  <c r="BX31" i="75"/>
  <c r="BW31" i="75" s="1"/>
  <c r="BU31" i="75"/>
  <c r="BV31" i="75" s="1"/>
  <c r="BT31" i="75"/>
  <c r="BS31" i="75"/>
  <c r="BR31" i="75"/>
  <c r="BQ31" i="75"/>
  <c r="BP31" i="75"/>
  <c r="BO31" i="75"/>
  <c r="BN31" i="75"/>
  <c r="BM31" i="75"/>
  <c r="BL31" i="75" s="1"/>
  <c r="BJ31" i="75"/>
  <c r="BK31" i="75" s="1"/>
  <c r="GM31" i="75" s="1"/>
  <c r="BI31" i="75"/>
  <c r="GK31" i="75" s="1"/>
  <c r="BH31" i="75"/>
  <c r="GJ31" i="75" s="1"/>
  <c r="BG31" i="75"/>
  <c r="GI31" i="75" s="1"/>
  <c r="BF31" i="75"/>
  <c r="GH31" i="75" s="1"/>
  <c r="BE31" i="75"/>
  <c r="GG31" i="75" s="1"/>
  <c r="BD31" i="75"/>
  <c r="GF31" i="75" s="1"/>
  <c r="BC31" i="75"/>
  <c r="GE31" i="75" s="1"/>
  <c r="BB31" i="75"/>
  <c r="BA31" i="75" s="1"/>
  <c r="GC31" i="75" s="1"/>
  <c r="AY31" i="75"/>
  <c r="GA31" i="75" s="1"/>
  <c r="AX31" i="75"/>
  <c r="FZ31" i="75" s="1"/>
  <c r="AW31" i="75"/>
  <c r="FY31" i="75" s="1"/>
  <c r="AV31" i="75"/>
  <c r="FX31" i="75" s="1"/>
  <c r="AU31" i="75"/>
  <c r="FW31" i="75" s="1"/>
  <c r="AT31" i="75"/>
  <c r="FV31" i="75" s="1"/>
  <c r="AS31" i="75"/>
  <c r="FU31" i="75" s="1"/>
  <c r="AR31" i="75"/>
  <c r="FT31" i="75" s="1"/>
  <c r="AQ31" i="75"/>
  <c r="AP31" i="75" s="1"/>
  <c r="FR31" i="75" s="1"/>
  <c r="AN31" i="75"/>
  <c r="AO31" i="75" s="1"/>
  <c r="FQ31" i="75" s="1"/>
  <c r="AM31" i="75"/>
  <c r="FO31" i="75" s="1"/>
  <c r="AL31" i="75"/>
  <c r="FN31" i="75" s="1"/>
  <c r="AK31" i="75"/>
  <c r="FM31" i="75" s="1"/>
  <c r="AJ31" i="75"/>
  <c r="FL31" i="75" s="1"/>
  <c r="AI31" i="75"/>
  <c r="FK31" i="75" s="1"/>
  <c r="AH31" i="75"/>
  <c r="FJ31" i="75" s="1"/>
  <c r="AG31" i="75"/>
  <c r="FI31" i="75" s="1"/>
  <c r="AF31" i="75"/>
  <c r="FH31" i="75" s="1"/>
  <c r="AC31" i="75"/>
  <c r="FE31" i="75" s="1"/>
  <c r="AB31" i="75"/>
  <c r="FD31" i="75" s="1"/>
  <c r="AA31" i="75"/>
  <c r="FC31" i="75" s="1"/>
  <c r="Z31" i="75"/>
  <c r="FB31" i="75" s="1"/>
  <c r="Y31" i="75"/>
  <c r="FA31" i="75" s="1"/>
  <c r="X31" i="75"/>
  <c r="EZ31" i="75" s="1"/>
  <c r="W31" i="75"/>
  <c r="EY31" i="75" s="1"/>
  <c r="V31" i="75"/>
  <c r="EX31" i="75" s="1"/>
  <c r="U31" i="75"/>
  <c r="EW31" i="75" s="1"/>
  <c r="EV31" i="75" s="1"/>
  <c r="S31" i="75"/>
  <c r="ET31" i="75" s="1"/>
  <c r="R31" i="75"/>
  <c r="ES31" i="75" s="1"/>
  <c r="Q31" i="75"/>
  <c r="ER31" i="75" s="1"/>
  <c r="P31" i="75"/>
  <c r="EQ31" i="75" s="1"/>
  <c r="O31" i="75"/>
  <c r="EP31" i="75" s="1"/>
  <c r="N31" i="75"/>
  <c r="EO31" i="75" s="1"/>
  <c r="M31" i="75"/>
  <c r="EN31" i="75" s="1"/>
  <c r="L31" i="75"/>
  <c r="EM31" i="75" s="1"/>
  <c r="K31" i="75"/>
  <c r="EL31" i="75" s="1"/>
  <c r="EK31" i="75" s="1"/>
  <c r="J31" i="75"/>
  <c r="D31" i="75"/>
  <c r="B31" i="75"/>
  <c r="FM30" i="75"/>
  <c r="EI30" i="75"/>
  <c r="EJ30" i="75" s="1"/>
  <c r="EH30" i="75"/>
  <c r="EG30" i="75"/>
  <c r="EF30" i="75"/>
  <c r="EE30" i="75"/>
  <c r="ED30" i="75"/>
  <c r="EC30" i="75"/>
  <c r="EB30" i="75"/>
  <c r="EA30" i="75"/>
  <c r="DZ30" i="75" s="1"/>
  <c r="DB30" i="75"/>
  <c r="DC30" i="75" s="1"/>
  <c r="DA30" i="75"/>
  <c r="CZ30" i="75"/>
  <c r="CY30" i="75"/>
  <c r="CX30" i="75"/>
  <c r="CW30" i="75"/>
  <c r="CV30" i="75"/>
  <c r="CU30" i="75"/>
  <c r="CT30" i="75"/>
  <c r="CS30" i="75" s="1"/>
  <c r="CQ30" i="75"/>
  <c r="CR30" i="75" s="1"/>
  <c r="CP30" i="75"/>
  <c r="CO30" i="75"/>
  <c r="CN30" i="75"/>
  <c r="CM30" i="75"/>
  <c r="CL30" i="75"/>
  <c r="CK30" i="75"/>
  <c r="CJ30" i="75"/>
  <c r="CI30" i="75"/>
  <c r="CH30" i="75" s="1"/>
  <c r="CF30" i="75"/>
  <c r="CG30" i="75" s="1"/>
  <c r="CE30" i="75"/>
  <c r="CD30" i="75"/>
  <c r="CC30" i="75"/>
  <c r="CB30" i="75"/>
  <c r="CA30" i="75"/>
  <c r="BZ30" i="75"/>
  <c r="BY30" i="75"/>
  <c r="BX30" i="75"/>
  <c r="BW30" i="75" s="1"/>
  <c r="BU30" i="75"/>
  <c r="BV30" i="75" s="1"/>
  <c r="BT30" i="75"/>
  <c r="BS30" i="75"/>
  <c r="BR30" i="75"/>
  <c r="BQ30" i="75"/>
  <c r="BP30" i="75"/>
  <c r="BO30" i="75"/>
  <c r="BN30" i="75"/>
  <c r="BM30" i="75"/>
  <c r="BL30" i="75" s="1"/>
  <c r="BJ30" i="75"/>
  <c r="GL30" i="75" s="1"/>
  <c r="BI30" i="75"/>
  <c r="GK30" i="75" s="1"/>
  <c r="BH30" i="75"/>
  <c r="GJ30" i="75" s="1"/>
  <c r="BG30" i="75"/>
  <c r="GI30" i="75" s="1"/>
  <c r="BF30" i="75"/>
  <c r="GH30" i="75" s="1"/>
  <c r="BE30" i="75"/>
  <c r="GG30" i="75" s="1"/>
  <c r="BD30" i="75"/>
  <c r="GF30" i="75" s="1"/>
  <c r="BC30" i="75"/>
  <c r="GE30" i="75" s="1"/>
  <c r="BB30" i="75"/>
  <c r="BA30" i="75" s="1"/>
  <c r="GC30" i="75" s="1"/>
  <c r="AY30" i="75"/>
  <c r="AZ30" i="75" s="1"/>
  <c r="GB30" i="75" s="1"/>
  <c r="AX30" i="75"/>
  <c r="FZ30" i="75" s="1"/>
  <c r="AW30" i="75"/>
  <c r="FY30" i="75" s="1"/>
  <c r="AV30" i="75"/>
  <c r="FX30" i="75" s="1"/>
  <c r="AU30" i="75"/>
  <c r="FW30" i="75" s="1"/>
  <c r="AT30" i="75"/>
  <c r="FV30" i="75" s="1"/>
  <c r="AS30" i="75"/>
  <c r="FU30" i="75" s="1"/>
  <c r="AR30" i="75"/>
  <c r="FT30" i="75" s="1"/>
  <c r="AQ30" i="75"/>
  <c r="FS30" i="75" s="1"/>
  <c r="AN30" i="75"/>
  <c r="FP30" i="75" s="1"/>
  <c r="AM30" i="75"/>
  <c r="FO30" i="75" s="1"/>
  <c r="AL30" i="75"/>
  <c r="FN30" i="75" s="1"/>
  <c r="AK30" i="75"/>
  <c r="AJ30" i="75"/>
  <c r="FL30" i="75" s="1"/>
  <c r="AI30" i="75"/>
  <c r="FK30" i="75" s="1"/>
  <c r="AH30" i="75"/>
  <c r="FJ30" i="75" s="1"/>
  <c r="AG30" i="75"/>
  <c r="FI30" i="75" s="1"/>
  <c r="AF30" i="75"/>
  <c r="AC30" i="75"/>
  <c r="AD30" i="75" s="1"/>
  <c r="FF30" i="75" s="1"/>
  <c r="AB30" i="75"/>
  <c r="FD30" i="75" s="1"/>
  <c r="AA30" i="75"/>
  <c r="FC30" i="75" s="1"/>
  <c r="Z30" i="75"/>
  <c r="FB30" i="75" s="1"/>
  <c r="Y30" i="75"/>
  <c r="FA30" i="75" s="1"/>
  <c r="X30" i="75"/>
  <c r="EZ30" i="75" s="1"/>
  <c r="W30" i="75"/>
  <c r="EY30" i="75" s="1"/>
  <c r="V30" i="75"/>
  <c r="EX30" i="75" s="1"/>
  <c r="U30" i="75"/>
  <c r="EW30" i="75" s="1"/>
  <c r="EV30" i="75" s="1"/>
  <c r="S30" i="75"/>
  <c r="ET30" i="75" s="1"/>
  <c r="R30" i="75"/>
  <c r="ES30" i="75" s="1"/>
  <c r="Q30" i="75"/>
  <c r="ER30" i="75" s="1"/>
  <c r="P30" i="75"/>
  <c r="EQ30" i="75" s="1"/>
  <c r="O30" i="75"/>
  <c r="EP30" i="75" s="1"/>
  <c r="N30" i="75"/>
  <c r="EO30" i="75" s="1"/>
  <c r="M30" i="75"/>
  <c r="EN30" i="75" s="1"/>
  <c r="L30" i="75"/>
  <c r="EM30" i="75" s="1"/>
  <c r="K30" i="75"/>
  <c r="EL30" i="75" s="1"/>
  <c r="EK30" i="75" s="1"/>
  <c r="J30" i="75"/>
  <c r="D30" i="75"/>
  <c r="B30" i="75"/>
  <c r="FY29" i="75"/>
  <c r="FP29" i="75"/>
  <c r="EI29" i="75"/>
  <c r="EJ29" i="75" s="1"/>
  <c r="EH29" i="75"/>
  <c r="EG29" i="75"/>
  <c r="EF29" i="75"/>
  <c r="EE29" i="75"/>
  <c r="ED29" i="75"/>
  <c r="EC29" i="75"/>
  <c r="EB29" i="75"/>
  <c r="EA29" i="75"/>
  <c r="DZ29" i="75" s="1"/>
  <c r="DB29" i="75"/>
  <c r="DC29" i="75" s="1"/>
  <c r="DA29" i="75"/>
  <c r="CZ29" i="75"/>
  <c r="CY29" i="75"/>
  <c r="CX29" i="75"/>
  <c r="CW29" i="75"/>
  <c r="CV29" i="75"/>
  <c r="CU29" i="75"/>
  <c r="CT29" i="75"/>
  <c r="CS29" i="75" s="1"/>
  <c r="CQ29" i="75"/>
  <c r="CR29" i="75" s="1"/>
  <c r="CP29" i="75"/>
  <c r="CO29" i="75"/>
  <c r="CN29" i="75"/>
  <c r="CM29" i="75"/>
  <c r="CL29" i="75"/>
  <c r="CK29" i="75"/>
  <c r="CJ29" i="75"/>
  <c r="CI29" i="75"/>
  <c r="CH29" i="75" s="1"/>
  <c r="CF29" i="75"/>
  <c r="CG29" i="75" s="1"/>
  <c r="CE29" i="75"/>
  <c r="CD29" i="75"/>
  <c r="CC29" i="75"/>
  <c r="CB29" i="75"/>
  <c r="CA29" i="75"/>
  <c r="BZ29" i="75"/>
  <c r="BY29" i="75"/>
  <c r="BX29" i="75"/>
  <c r="BW29" i="75" s="1"/>
  <c r="BU29" i="75"/>
  <c r="BV29" i="75" s="1"/>
  <c r="BT29" i="75"/>
  <c r="BS29" i="75"/>
  <c r="BR29" i="75"/>
  <c r="BQ29" i="75"/>
  <c r="BP29" i="75"/>
  <c r="BO29" i="75"/>
  <c r="BN29" i="75"/>
  <c r="BM29" i="75"/>
  <c r="BL29" i="75" s="1"/>
  <c r="BJ29" i="75"/>
  <c r="GL29" i="75" s="1"/>
  <c r="BI29" i="75"/>
  <c r="GK29" i="75" s="1"/>
  <c r="BH29" i="75"/>
  <c r="GJ29" i="75" s="1"/>
  <c r="BG29" i="75"/>
  <c r="GI29" i="75" s="1"/>
  <c r="BF29" i="75"/>
  <c r="GH29" i="75" s="1"/>
  <c r="BE29" i="75"/>
  <c r="GG29" i="75" s="1"/>
  <c r="BD29" i="75"/>
  <c r="GF29" i="75" s="1"/>
  <c r="BC29" i="75"/>
  <c r="GE29" i="75" s="1"/>
  <c r="BB29" i="75"/>
  <c r="GD29" i="75" s="1"/>
  <c r="AY29" i="75"/>
  <c r="GA29" i="75" s="1"/>
  <c r="AX29" i="75"/>
  <c r="FZ29" i="75" s="1"/>
  <c r="AW29" i="75"/>
  <c r="AV29" i="75"/>
  <c r="FX29" i="75" s="1"/>
  <c r="AU29" i="75"/>
  <c r="FW29" i="75" s="1"/>
  <c r="AT29" i="75"/>
  <c r="FV29" i="75" s="1"/>
  <c r="AS29" i="75"/>
  <c r="FU29" i="75" s="1"/>
  <c r="AR29" i="75"/>
  <c r="FT29" i="75" s="1"/>
  <c r="AQ29" i="75"/>
  <c r="FS29" i="75" s="1"/>
  <c r="AN29" i="75"/>
  <c r="AO29" i="75" s="1"/>
  <c r="FQ29" i="75" s="1"/>
  <c r="AM29" i="75"/>
  <c r="FO29" i="75" s="1"/>
  <c r="AL29" i="75"/>
  <c r="FN29" i="75" s="1"/>
  <c r="AK29" i="75"/>
  <c r="FM29" i="75" s="1"/>
  <c r="AJ29" i="75"/>
  <c r="FL29" i="75" s="1"/>
  <c r="AI29" i="75"/>
  <c r="FK29" i="75" s="1"/>
  <c r="AH29" i="75"/>
  <c r="FJ29" i="75" s="1"/>
  <c r="AG29" i="75"/>
  <c r="FI29" i="75" s="1"/>
  <c r="AF29" i="75"/>
  <c r="AE29" i="75" s="1"/>
  <c r="FG29" i="75" s="1"/>
  <c r="AC29" i="75"/>
  <c r="AD29" i="75" s="1"/>
  <c r="FF29" i="75" s="1"/>
  <c r="AB29" i="75"/>
  <c r="FD29" i="75" s="1"/>
  <c r="AA29" i="75"/>
  <c r="FC29" i="75" s="1"/>
  <c r="Z29" i="75"/>
  <c r="FB29" i="75" s="1"/>
  <c r="Y29" i="75"/>
  <c r="FA29" i="75" s="1"/>
  <c r="X29" i="75"/>
  <c r="EZ29" i="75" s="1"/>
  <c r="W29" i="75"/>
  <c r="EY29" i="75" s="1"/>
  <c r="V29" i="75"/>
  <c r="EX29" i="75" s="1"/>
  <c r="U29" i="75"/>
  <c r="EW29" i="75" s="1"/>
  <c r="EV29" i="75" s="1"/>
  <c r="S29" i="75"/>
  <c r="ET29" i="75" s="1"/>
  <c r="R29" i="75"/>
  <c r="ES29" i="75" s="1"/>
  <c r="Q29" i="75"/>
  <c r="ER29" i="75" s="1"/>
  <c r="P29" i="75"/>
  <c r="EQ29" i="75" s="1"/>
  <c r="O29" i="75"/>
  <c r="EP29" i="75" s="1"/>
  <c r="N29" i="75"/>
  <c r="EO29" i="75" s="1"/>
  <c r="M29" i="75"/>
  <c r="EN29" i="75" s="1"/>
  <c r="L29" i="75"/>
  <c r="EM29" i="75" s="1"/>
  <c r="K29" i="75"/>
  <c r="EL29" i="75" s="1"/>
  <c r="EK29" i="75" s="1"/>
  <c r="J29" i="75"/>
  <c r="D29" i="75"/>
  <c r="B29" i="75"/>
  <c r="GH28" i="75"/>
  <c r="EI28" i="75"/>
  <c r="EJ28" i="75" s="1"/>
  <c r="EH28" i="75"/>
  <c r="EG28" i="75"/>
  <c r="EF28" i="75"/>
  <c r="EE28" i="75"/>
  <c r="ED28" i="75"/>
  <c r="EC28" i="75"/>
  <c r="EB28" i="75"/>
  <c r="EA28" i="75"/>
  <c r="DZ28" i="75" s="1"/>
  <c r="DB28" i="75"/>
  <c r="DC28" i="75" s="1"/>
  <c r="DA28" i="75"/>
  <c r="CZ28" i="75"/>
  <c r="CY28" i="75"/>
  <c r="CX28" i="75"/>
  <c r="CW28" i="75"/>
  <c r="CV28" i="75"/>
  <c r="CU28" i="75"/>
  <c r="CT28" i="75"/>
  <c r="CS28" i="75" s="1"/>
  <c r="CQ28" i="75"/>
  <c r="CR28" i="75" s="1"/>
  <c r="CP28" i="75"/>
  <c r="CO28" i="75"/>
  <c r="CN28" i="75"/>
  <c r="CM28" i="75"/>
  <c r="CL28" i="75"/>
  <c r="CK28" i="75"/>
  <c r="CJ28" i="75"/>
  <c r="CI28" i="75"/>
  <c r="CH28" i="75" s="1"/>
  <c r="CF28" i="75"/>
  <c r="CG28" i="75" s="1"/>
  <c r="CE28" i="75"/>
  <c r="CD28" i="75"/>
  <c r="CC28" i="75"/>
  <c r="CB28" i="75"/>
  <c r="CA28" i="75"/>
  <c r="BZ28" i="75"/>
  <c r="BY28" i="75"/>
  <c r="BX28" i="75"/>
  <c r="BW28" i="75"/>
  <c r="BU28" i="75"/>
  <c r="BV28" i="75" s="1"/>
  <c r="BT28" i="75"/>
  <c r="BS28" i="75"/>
  <c r="BR28" i="75"/>
  <c r="BQ28" i="75"/>
  <c r="BP28" i="75"/>
  <c r="BO28" i="75"/>
  <c r="BN28" i="75"/>
  <c r="BM28" i="75"/>
  <c r="BL28" i="75" s="1"/>
  <c r="BJ28" i="75"/>
  <c r="BK28" i="75" s="1"/>
  <c r="GM28" i="75" s="1"/>
  <c r="BI28" i="75"/>
  <c r="GK28" i="75" s="1"/>
  <c r="BH28" i="75"/>
  <c r="GJ28" i="75" s="1"/>
  <c r="BG28" i="75"/>
  <c r="GI28" i="75" s="1"/>
  <c r="BF28" i="75"/>
  <c r="BE28" i="75"/>
  <c r="GG28" i="75" s="1"/>
  <c r="BD28" i="75"/>
  <c r="GF28" i="75" s="1"/>
  <c r="BC28" i="75"/>
  <c r="GE28" i="75" s="1"/>
  <c r="BB28" i="75"/>
  <c r="BA28" i="75" s="1"/>
  <c r="GC28" i="75" s="1"/>
  <c r="AY28" i="75"/>
  <c r="AZ28" i="75" s="1"/>
  <c r="GB28" i="75" s="1"/>
  <c r="AX28" i="75"/>
  <c r="FZ28" i="75" s="1"/>
  <c r="AW28" i="75"/>
  <c r="FY28" i="75" s="1"/>
  <c r="AV28" i="75"/>
  <c r="FX28" i="75" s="1"/>
  <c r="AU28" i="75"/>
  <c r="FW28" i="75" s="1"/>
  <c r="AT28" i="75"/>
  <c r="FV28" i="75" s="1"/>
  <c r="AS28" i="75"/>
  <c r="FU28" i="75" s="1"/>
  <c r="AR28" i="75"/>
  <c r="FT28" i="75" s="1"/>
  <c r="AQ28" i="75"/>
  <c r="FS28" i="75" s="1"/>
  <c r="AN28" i="75"/>
  <c r="FP28" i="75" s="1"/>
  <c r="AM28" i="75"/>
  <c r="FO28" i="75" s="1"/>
  <c r="AL28" i="75"/>
  <c r="FN28" i="75" s="1"/>
  <c r="AK28" i="75"/>
  <c r="FM28" i="75" s="1"/>
  <c r="AJ28" i="75"/>
  <c r="FL28" i="75" s="1"/>
  <c r="AI28" i="75"/>
  <c r="FK28" i="75" s="1"/>
  <c r="AH28" i="75"/>
  <c r="FJ28" i="75" s="1"/>
  <c r="AG28" i="75"/>
  <c r="FI28" i="75" s="1"/>
  <c r="AF28" i="75"/>
  <c r="FH28" i="75" s="1"/>
  <c r="AC28" i="75"/>
  <c r="FE28" i="75" s="1"/>
  <c r="AB28" i="75"/>
  <c r="FD28" i="75" s="1"/>
  <c r="AA28" i="75"/>
  <c r="FC28" i="75" s="1"/>
  <c r="Z28" i="75"/>
  <c r="FB28" i="75" s="1"/>
  <c r="Y28" i="75"/>
  <c r="FA28" i="75" s="1"/>
  <c r="X28" i="75"/>
  <c r="EZ28" i="75" s="1"/>
  <c r="W28" i="75"/>
  <c r="EY28" i="75" s="1"/>
  <c r="V28" i="75"/>
  <c r="EX28" i="75" s="1"/>
  <c r="U28" i="75"/>
  <c r="EW28" i="75" s="1"/>
  <c r="EV28" i="75" s="1"/>
  <c r="S28" i="75"/>
  <c r="ET28" i="75" s="1"/>
  <c r="R28" i="75"/>
  <c r="ES28" i="75" s="1"/>
  <c r="Q28" i="75"/>
  <c r="ER28" i="75" s="1"/>
  <c r="P28" i="75"/>
  <c r="EQ28" i="75" s="1"/>
  <c r="O28" i="75"/>
  <c r="EP28" i="75" s="1"/>
  <c r="N28" i="75"/>
  <c r="EO28" i="75" s="1"/>
  <c r="M28" i="75"/>
  <c r="EN28" i="75" s="1"/>
  <c r="L28" i="75"/>
  <c r="EM28" i="75" s="1"/>
  <c r="K28" i="75"/>
  <c r="EL28" i="75" s="1"/>
  <c r="EK28" i="75" s="1"/>
  <c r="J28" i="75"/>
  <c r="D28" i="75"/>
  <c r="B28" i="75"/>
  <c r="EI27" i="75"/>
  <c r="EJ27" i="75" s="1"/>
  <c r="EH27" i="75"/>
  <c r="EG27" i="75"/>
  <c r="EF27" i="75"/>
  <c r="EE27" i="75"/>
  <c r="ED27" i="75"/>
  <c r="EC27" i="75"/>
  <c r="EB27" i="75"/>
  <c r="EA27" i="75"/>
  <c r="DZ27" i="75" s="1"/>
  <c r="DB27" i="75"/>
  <c r="DC27" i="75" s="1"/>
  <c r="DA27" i="75"/>
  <c r="CZ27" i="75"/>
  <c r="CY27" i="75"/>
  <c r="CX27" i="75"/>
  <c r="CW27" i="75"/>
  <c r="CV27" i="75"/>
  <c r="CU27" i="75"/>
  <c r="CT27" i="75"/>
  <c r="CS27" i="75" s="1"/>
  <c r="CQ27" i="75"/>
  <c r="CR27" i="75" s="1"/>
  <c r="CP27" i="75"/>
  <c r="CO27" i="75"/>
  <c r="CN27" i="75"/>
  <c r="CM27" i="75"/>
  <c r="CL27" i="75"/>
  <c r="CK27" i="75"/>
  <c r="CJ27" i="75"/>
  <c r="CI27" i="75"/>
  <c r="CH27" i="75" s="1"/>
  <c r="CF27" i="75"/>
  <c r="CG27" i="75" s="1"/>
  <c r="CE27" i="75"/>
  <c r="CD27" i="75"/>
  <c r="CC27" i="75"/>
  <c r="CB27" i="75"/>
  <c r="CA27" i="75"/>
  <c r="BZ27" i="75"/>
  <c r="BY27" i="75"/>
  <c r="BX27" i="75"/>
  <c r="BW27" i="75" s="1"/>
  <c r="BU27" i="75"/>
  <c r="BV27" i="75" s="1"/>
  <c r="BT27" i="75"/>
  <c r="BS27" i="75"/>
  <c r="BR27" i="75"/>
  <c r="BQ27" i="75"/>
  <c r="BP27" i="75"/>
  <c r="BO27" i="75"/>
  <c r="BN27" i="75"/>
  <c r="BM27" i="75"/>
  <c r="BL27" i="75" s="1"/>
  <c r="BJ27" i="75"/>
  <c r="BK27" i="75" s="1"/>
  <c r="GM27" i="75" s="1"/>
  <c r="BI27" i="75"/>
  <c r="GK27" i="75" s="1"/>
  <c r="BH27" i="75"/>
  <c r="GJ27" i="75" s="1"/>
  <c r="BG27" i="75"/>
  <c r="GI27" i="75" s="1"/>
  <c r="BF27" i="75"/>
  <c r="GH27" i="75" s="1"/>
  <c r="BE27" i="75"/>
  <c r="GG27" i="75" s="1"/>
  <c r="BD27" i="75"/>
  <c r="GF27" i="75" s="1"/>
  <c r="BC27" i="75"/>
  <c r="GE27" i="75" s="1"/>
  <c r="BB27" i="75"/>
  <c r="GD27" i="75" s="1"/>
  <c r="AY27" i="75"/>
  <c r="GA27" i="75" s="1"/>
  <c r="AX27" i="75"/>
  <c r="FZ27" i="75" s="1"/>
  <c r="AW27" i="75"/>
  <c r="FY27" i="75" s="1"/>
  <c r="AV27" i="75"/>
  <c r="FX27" i="75" s="1"/>
  <c r="AU27" i="75"/>
  <c r="FW27" i="75" s="1"/>
  <c r="AT27" i="75"/>
  <c r="FV27" i="75" s="1"/>
  <c r="AS27" i="75"/>
  <c r="FU27" i="75" s="1"/>
  <c r="AR27" i="75"/>
  <c r="FT27" i="75" s="1"/>
  <c r="AQ27" i="75"/>
  <c r="FS27" i="75" s="1"/>
  <c r="AN27" i="75"/>
  <c r="FP27" i="75" s="1"/>
  <c r="AM27" i="75"/>
  <c r="FO27" i="75" s="1"/>
  <c r="AL27" i="75"/>
  <c r="FN27" i="75" s="1"/>
  <c r="AK27" i="75"/>
  <c r="FM27" i="75" s="1"/>
  <c r="AJ27" i="75"/>
  <c r="FL27" i="75" s="1"/>
  <c r="AI27" i="75"/>
  <c r="FK27" i="75" s="1"/>
  <c r="AH27" i="75"/>
  <c r="FJ27" i="75" s="1"/>
  <c r="AG27" i="75"/>
  <c r="FI27" i="75" s="1"/>
  <c r="AF27" i="75"/>
  <c r="FH27" i="75" s="1"/>
  <c r="AC27" i="75"/>
  <c r="AD27" i="75" s="1"/>
  <c r="FF27" i="75" s="1"/>
  <c r="AB27" i="75"/>
  <c r="FD27" i="75" s="1"/>
  <c r="AA27" i="75"/>
  <c r="FC27" i="75" s="1"/>
  <c r="Z27" i="75"/>
  <c r="FB27" i="75" s="1"/>
  <c r="Y27" i="75"/>
  <c r="FA27" i="75" s="1"/>
  <c r="X27" i="75"/>
  <c r="EZ27" i="75" s="1"/>
  <c r="W27" i="75"/>
  <c r="EY27" i="75" s="1"/>
  <c r="V27" i="75"/>
  <c r="EX27" i="75" s="1"/>
  <c r="U27" i="75"/>
  <c r="EW27" i="75" s="1"/>
  <c r="EV27" i="75" s="1"/>
  <c r="S27" i="75"/>
  <c r="T27" i="75" s="1"/>
  <c r="EU27" i="75" s="1"/>
  <c r="R27" i="75"/>
  <c r="ES27" i="75" s="1"/>
  <c r="Q27" i="75"/>
  <c r="ER27" i="75" s="1"/>
  <c r="P27" i="75"/>
  <c r="EQ27" i="75" s="1"/>
  <c r="O27" i="75"/>
  <c r="EP27" i="75" s="1"/>
  <c r="N27" i="75"/>
  <c r="EO27" i="75" s="1"/>
  <c r="M27" i="75"/>
  <c r="EN27" i="75" s="1"/>
  <c r="L27" i="75"/>
  <c r="EM27" i="75" s="1"/>
  <c r="K27" i="75"/>
  <c r="EL27" i="75" s="1"/>
  <c r="EK27" i="75" s="1"/>
  <c r="J27" i="75"/>
  <c r="D27" i="75"/>
  <c r="B27" i="75"/>
  <c r="EI26" i="75"/>
  <c r="EJ26" i="75" s="1"/>
  <c r="EH26" i="75"/>
  <c r="EG26" i="75"/>
  <c r="EF26" i="75"/>
  <c r="EE26" i="75"/>
  <c r="ED26" i="75"/>
  <c r="EC26" i="75"/>
  <c r="EB26" i="75"/>
  <c r="EA26" i="75"/>
  <c r="DZ26" i="75" s="1"/>
  <c r="DB26" i="75"/>
  <c r="DC26" i="75" s="1"/>
  <c r="DA26" i="75"/>
  <c r="CZ26" i="75"/>
  <c r="CY26" i="75"/>
  <c r="CX26" i="75"/>
  <c r="CW26" i="75"/>
  <c r="CV26" i="75"/>
  <c r="CU26" i="75"/>
  <c r="CT26" i="75"/>
  <c r="CS26" i="75" s="1"/>
  <c r="CQ26" i="75"/>
  <c r="CR26" i="75" s="1"/>
  <c r="CP26" i="75"/>
  <c r="CO26" i="75"/>
  <c r="CN26" i="75"/>
  <c r="CM26" i="75"/>
  <c r="CL26" i="75"/>
  <c r="CK26" i="75"/>
  <c r="CJ26" i="75"/>
  <c r="CI26" i="75"/>
  <c r="CH26" i="75" s="1"/>
  <c r="CF26" i="75"/>
  <c r="CG26" i="75" s="1"/>
  <c r="CE26" i="75"/>
  <c r="CD26" i="75"/>
  <c r="CC26" i="75"/>
  <c r="CB26" i="75"/>
  <c r="CA26" i="75"/>
  <c r="BZ26" i="75"/>
  <c r="BY26" i="75"/>
  <c r="BX26" i="75"/>
  <c r="BW26" i="75"/>
  <c r="BU26" i="75"/>
  <c r="BV26" i="75" s="1"/>
  <c r="BT26" i="75"/>
  <c r="BS26" i="75"/>
  <c r="BR26" i="75"/>
  <c r="BQ26" i="75"/>
  <c r="BP26" i="75"/>
  <c r="BO26" i="75"/>
  <c r="BN26" i="75"/>
  <c r="BM26" i="75"/>
  <c r="BL26" i="75" s="1"/>
  <c r="BJ26" i="75"/>
  <c r="GL26" i="75" s="1"/>
  <c r="BI26" i="75"/>
  <c r="GK26" i="75" s="1"/>
  <c r="BH26" i="75"/>
  <c r="GJ26" i="75" s="1"/>
  <c r="BG26" i="75"/>
  <c r="GI26" i="75" s="1"/>
  <c r="BF26" i="75"/>
  <c r="GH26" i="75" s="1"/>
  <c r="BE26" i="75"/>
  <c r="GG26" i="75" s="1"/>
  <c r="BD26" i="75"/>
  <c r="GF26" i="75" s="1"/>
  <c r="BC26" i="75"/>
  <c r="GE26" i="75" s="1"/>
  <c r="BB26" i="75"/>
  <c r="GD26" i="75" s="1"/>
  <c r="BA26" i="75"/>
  <c r="GC26" i="75" s="1"/>
  <c r="AY26" i="75"/>
  <c r="GA26" i="75" s="1"/>
  <c r="AX26" i="75"/>
  <c r="FZ26" i="75" s="1"/>
  <c r="AW26" i="75"/>
  <c r="FY26" i="75" s="1"/>
  <c r="AV26" i="75"/>
  <c r="FX26" i="75" s="1"/>
  <c r="AU26" i="75"/>
  <c r="FW26" i="75" s="1"/>
  <c r="AT26" i="75"/>
  <c r="FV26" i="75" s="1"/>
  <c r="AS26" i="75"/>
  <c r="FU26" i="75" s="1"/>
  <c r="AR26" i="75"/>
  <c r="FT26" i="75" s="1"/>
  <c r="AQ26" i="75"/>
  <c r="AP26" i="75" s="1"/>
  <c r="FR26" i="75" s="1"/>
  <c r="AN26" i="75"/>
  <c r="FP26" i="75" s="1"/>
  <c r="AM26" i="75"/>
  <c r="FO26" i="75" s="1"/>
  <c r="AL26" i="75"/>
  <c r="FN26" i="75" s="1"/>
  <c r="AK26" i="75"/>
  <c r="FM26" i="75" s="1"/>
  <c r="AJ26" i="75"/>
  <c r="FL26" i="75" s="1"/>
  <c r="AI26" i="75"/>
  <c r="FK26" i="75" s="1"/>
  <c r="AH26" i="75"/>
  <c r="FJ26" i="75" s="1"/>
  <c r="AG26" i="75"/>
  <c r="FI26" i="75" s="1"/>
  <c r="AF26" i="75"/>
  <c r="AE26" i="75" s="1"/>
  <c r="FG26" i="75" s="1"/>
  <c r="AC26" i="75"/>
  <c r="AD26" i="75" s="1"/>
  <c r="FF26" i="75" s="1"/>
  <c r="AB26" i="75"/>
  <c r="FD26" i="75" s="1"/>
  <c r="AA26" i="75"/>
  <c r="FC26" i="75" s="1"/>
  <c r="Z26" i="75"/>
  <c r="FB26" i="75" s="1"/>
  <c r="Y26" i="75"/>
  <c r="FA26" i="75" s="1"/>
  <c r="X26" i="75"/>
  <c r="EZ26" i="75" s="1"/>
  <c r="W26" i="75"/>
  <c r="EY26" i="75" s="1"/>
  <c r="V26" i="75"/>
  <c r="EX26" i="75" s="1"/>
  <c r="U26" i="75"/>
  <c r="EW26" i="75" s="1"/>
  <c r="EV26" i="75" s="1"/>
  <c r="S26" i="75"/>
  <c r="ET26" i="75" s="1"/>
  <c r="R26" i="75"/>
  <c r="ES26" i="75" s="1"/>
  <c r="Q26" i="75"/>
  <c r="ER26" i="75" s="1"/>
  <c r="P26" i="75"/>
  <c r="EQ26" i="75" s="1"/>
  <c r="O26" i="75"/>
  <c r="EP26" i="75" s="1"/>
  <c r="N26" i="75"/>
  <c r="EO26" i="75" s="1"/>
  <c r="M26" i="75"/>
  <c r="EN26" i="75" s="1"/>
  <c r="L26" i="75"/>
  <c r="EM26" i="75" s="1"/>
  <c r="K26" i="75"/>
  <c r="EL26" i="75" s="1"/>
  <c r="EK26" i="75" s="1"/>
  <c r="J26" i="75"/>
  <c r="D26" i="75"/>
  <c r="B26" i="75"/>
  <c r="FS25" i="75"/>
  <c r="FO25" i="75"/>
  <c r="EI25" i="75"/>
  <c r="EJ25" i="75" s="1"/>
  <c r="EH25" i="75"/>
  <c r="EG25" i="75"/>
  <c r="EF25" i="75"/>
  <c r="EE25" i="75"/>
  <c r="ED25" i="75"/>
  <c r="EC25" i="75"/>
  <c r="EB25" i="75"/>
  <c r="EA25" i="75"/>
  <c r="DZ25" i="75" s="1"/>
  <c r="DB25" i="75"/>
  <c r="DC25" i="75" s="1"/>
  <c r="DA25" i="75"/>
  <c r="CZ25" i="75"/>
  <c r="CY25" i="75"/>
  <c r="CX25" i="75"/>
  <c r="CW25" i="75"/>
  <c r="CV25" i="75"/>
  <c r="CU25" i="75"/>
  <c r="CT25" i="75"/>
  <c r="CS25" i="75" s="1"/>
  <c r="CQ25" i="75"/>
  <c r="CR25" i="75" s="1"/>
  <c r="CP25" i="75"/>
  <c r="CO25" i="75"/>
  <c r="CN25" i="75"/>
  <c r="CM25" i="75"/>
  <c r="CL25" i="75"/>
  <c r="CK25" i="75"/>
  <c r="CJ25" i="75"/>
  <c r="CI25" i="75"/>
  <c r="CH25" i="75"/>
  <c r="CF25" i="75"/>
  <c r="CG25" i="75" s="1"/>
  <c r="CE25" i="75"/>
  <c r="CD25" i="75"/>
  <c r="CC25" i="75"/>
  <c r="CB25" i="75"/>
  <c r="CA25" i="75"/>
  <c r="BZ25" i="75"/>
  <c r="BY25" i="75"/>
  <c r="BX25" i="75"/>
  <c r="BW25" i="75" s="1"/>
  <c r="BU25" i="75"/>
  <c r="BV25" i="75" s="1"/>
  <c r="BT25" i="75"/>
  <c r="BS25" i="75"/>
  <c r="BR25" i="75"/>
  <c r="BQ25" i="75"/>
  <c r="BP25" i="75"/>
  <c r="BO25" i="75"/>
  <c r="BN25" i="75"/>
  <c r="BM25" i="75"/>
  <c r="BL25" i="75" s="1"/>
  <c r="BJ25" i="75"/>
  <c r="GL25" i="75" s="1"/>
  <c r="BI25" i="75"/>
  <c r="GK25" i="75" s="1"/>
  <c r="BH25" i="75"/>
  <c r="GJ25" i="75" s="1"/>
  <c r="BG25" i="75"/>
  <c r="GI25" i="75" s="1"/>
  <c r="BF25" i="75"/>
  <c r="GH25" i="75" s="1"/>
  <c r="BE25" i="75"/>
  <c r="GG25" i="75" s="1"/>
  <c r="BD25" i="75"/>
  <c r="GF25" i="75" s="1"/>
  <c r="BC25" i="75"/>
  <c r="GE25" i="75" s="1"/>
  <c r="BB25" i="75"/>
  <c r="GD25" i="75" s="1"/>
  <c r="BA25" i="75"/>
  <c r="GC25" i="75" s="1"/>
  <c r="AY25" i="75"/>
  <c r="AZ25" i="75" s="1"/>
  <c r="GB25" i="75" s="1"/>
  <c r="AX25" i="75"/>
  <c r="FZ25" i="75" s="1"/>
  <c r="AW25" i="75"/>
  <c r="FY25" i="75" s="1"/>
  <c r="AV25" i="75"/>
  <c r="FX25" i="75" s="1"/>
  <c r="AU25" i="75"/>
  <c r="FW25" i="75" s="1"/>
  <c r="AT25" i="75"/>
  <c r="FV25" i="75" s="1"/>
  <c r="AS25" i="75"/>
  <c r="FU25" i="75" s="1"/>
  <c r="AR25" i="75"/>
  <c r="FT25" i="75" s="1"/>
  <c r="AQ25" i="75"/>
  <c r="AP25" i="75" s="1"/>
  <c r="FR25" i="75" s="1"/>
  <c r="AN25" i="75"/>
  <c r="FP25" i="75" s="1"/>
  <c r="AM25" i="75"/>
  <c r="AL25" i="75"/>
  <c r="FN25" i="75" s="1"/>
  <c r="AK25" i="75"/>
  <c r="FM25" i="75" s="1"/>
  <c r="AJ25" i="75"/>
  <c r="FL25" i="75" s="1"/>
  <c r="AI25" i="75"/>
  <c r="FK25" i="75" s="1"/>
  <c r="AH25" i="75"/>
  <c r="FJ25" i="75" s="1"/>
  <c r="AG25" i="75"/>
  <c r="FI25" i="75" s="1"/>
  <c r="AF25" i="75"/>
  <c r="FH25" i="75" s="1"/>
  <c r="AE25" i="75"/>
  <c r="FG25" i="75" s="1"/>
  <c r="AC25" i="75"/>
  <c r="FE25" i="75" s="1"/>
  <c r="AB25" i="75"/>
  <c r="FD25" i="75" s="1"/>
  <c r="AA25" i="75"/>
  <c r="FC25" i="75" s="1"/>
  <c r="Z25" i="75"/>
  <c r="FB25" i="75" s="1"/>
  <c r="Y25" i="75"/>
  <c r="FA25" i="75" s="1"/>
  <c r="X25" i="75"/>
  <c r="EZ25" i="75" s="1"/>
  <c r="W25" i="75"/>
  <c r="EY25" i="75" s="1"/>
  <c r="V25" i="75"/>
  <c r="EX25" i="75" s="1"/>
  <c r="U25" i="75"/>
  <c r="EW25" i="75" s="1"/>
  <c r="EV25" i="75" s="1"/>
  <c r="S25" i="75"/>
  <c r="ET25" i="75" s="1"/>
  <c r="R25" i="75"/>
  <c r="ES25" i="75" s="1"/>
  <c r="Q25" i="75"/>
  <c r="ER25" i="75" s="1"/>
  <c r="P25" i="75"/>
  <c r="EQ25" i="75" s="1"/>
  <c r="O25" i="75"/>
  <c r="EP25" i="75" s="1"/>
  <c r="N25" i="75"/>
  <c r="EO25" i="75" s="1"/>
  <c r="M25" i="75"/>
  <c r="EN25" i="75" s="1"/>
  <c r="L25" i="75"/>
  <c r="EM25" i="75" s="1"/>
  <c r="K25" i="75"/>
  <c r="EL25" i="75" s="1"/>
  <c r="EK25" i="75" s="1"/>
  <c r="J25" i="75"/>
  <c r="D25" i="75"/>
  <c r="B25" i="75"/>
  <c r="GM24" i="75"/>
  <c r="GL24" i="75"/>
  <c r="GK24" i="75"/>
  <c r="GJ24" i="75"/>
  <c r="GI24" i="75"/>
  <c r="GH24" i="75"/>
  <c r="GG24" i="75"/>
  <c r="GF24" i="75"/>
  <c r="GE24" i="75"/>
  <c r="GD24" i="75"/>
  <c r="GC24" i="75"/>
  <c r="GB24" i="75"/>
  <c r="GA24" i="75"/>
  <c r="FZ24" i="75"/>
  <c r="FY24" i="75"/>
  <c r="FX24" i="75"/>
  <c r="FW24" i="75"/>
  <c r="FV24" i="75"/>
  <c r="FU24" i="75"/>
  <c r="FT24" i="75"/>
  <c r="FS24" i="75"/>
  <c r="FR24" i="75"/>
  <c r="FE24" i="75"/>
  <c r="FD24" i="75"/>
  <c r="FC24" i="75"/>
  <c r="FB24" i="75"/>
  <c r="FA24" i="75"/>
  <c r="EZ24" i="75"/>
  <c r="EY24" i="75"/>
  <c r="EX24" i="75"/>
  <c r="EW24" i="75"/>
  <c r="ET24" i="75"/>
  <c r="ES24" i="75"/>
  <c r="ER24" i="75"/>
  <c r="EQ24" i="75"/>
  <c r="EP24" i="75"/>
  <c r="EO24" i="75"/>
  <c r="EN24" i="75"/>
  <c r="EM24" i="75"/>
  <c r="EL24" i="75"/>
  <c r="AD24" i="75"/>
  <c r="FF24" i="75" s="1"/>
  <c r="T24" i="75"/>
  <c r="EU24" i="75" s="1"/>
  <c r="J24" i="75"/>
  <c r="E24" i="75"/>
  <c r="D24" i="75"/>
  <c r="C24" i="75"/>
  <c r="B24" i="75"/>
  <c r="GM23" i="75"/>
  <c r="GL23" i="75"/>
  <c r="GK23" i="75"/>
  <c r="GJ23" i="75"/>
  <c r="GI23" i="75"/>
  <c r="GH23" i="75"/>
  <c r="GG23" i="75"/>
  <c r="GF23" i="75"/>
  <c r="GE23" i="75"/>
  <c r="GD23" i="75"/>
  <c r="GC23" i="75"/>
  <c r="GB23" i="75"/>
  <c r="GA23" i="75"/>
  <c r="FZ23" i="75"/>
  <c r="FY23" i="75"/>
  <c r="FX23" i="75"/>
  <c r="FW23" i="75"/>
  <c r="FV23" i="75"/>
  <c r="FU23" i="75"/>
  <c r="FT23" i="75"/>
  <c r="FS23" i="75"/>
  <c r="FR23" i="75"/>
  <c r="FE23" i="75"/>
  <c r="FD23" i="75"/>
  <c r="FC23" i="75"/>
  <c r="FB23" i="75"/>
  <c r="FA23" i="75"/>
  <c r="EZ23" i="75"/>
  <c r="EY23" i="75"/>
  <c r="EX23" i="75"/>
  <c r="EW23" i="75"/>
  <c r="ET23" i="75"/>
  <c r="ES23" i="75"/>
  <c r="ER23" i="75"/>
  <c r="EQ23" i="75"/>
  <c r="EP23" i="75"/>
  <c r="EO23" i="75"/>
  <c r="EN23" i="75"/>
  <c r="EM23" i="75"/>
  <c r="EL23" i="75"/>
  <c r="AD23" i="75"/>
  <c r="FF23" i="75" s="1"/>
  <c r="T23" i="75"/>
  <c r="EU23" i="75" s="1"/>
  <c r="J23" i="75"/>
  <c r="E23" i="75"/>
  <c r="D23" i="75"/>
  <c r="C23" i="75"/>
  <c r="B23" i="75"/>
  <c r="GH22" i="75"/>
  <c r="GG22" i="75"/>
  <c r="FN22" i="75"/>
  <c r="ET22" i="75"/>
  <c r="EL22" i="75"/>
  <c r="EK22" i="75" s="1"/>
  <c r="EI22" i="75"/>
  <c r="EJ22" i="75" s="1"/>
  <c r="EH22" i="75"/>
  <c r="EG22" i="75"/>
  <c r="EF22" i="75"/>
  <c r="EE22" i="75"/>
  <c r="ED22" i="75"/>
  <c r="EC22" i="75"/>
  <c r="EB22" i="75"/>
  <c r="EA22" i="75"/>
  <c r="DZ22" i="75" s="1"/>
  <c r="DB22" i="75"/>
  <c r="DC22" i="75" s="1"/>
  <c r="DA22" i="75"/>
  <c r="CZ22" i="75"/>
  <c r="CY22" i="75"/>
  <c r="CX22" i="75"/>
  <c r="CW22" i="75"/>
  <c r="CV22" i="75"/>
  <c r="CU22" i="75"/>
  <c r="CT22" i="75"/>
  <c r="CS22" i="75" s="1"/>
  <c r="CQ22" i="75"/>
  <c r="CR22" i="75" s="1"/>
  <c r="CP22" i="75"/>
  <c r="CO22" i="75"/>
  <c r="CN22" i="75"/>
  <c r="CM22" i="75"/>
  <c r="CL22" i="75"/>
  <c r="CK22" i="75"/>
  <c r="CJ22" i="75"/>
  <c r="CI22" i="75"/>
  <c r="CH22" i="75" s="1"/>
  <c r="CF22" i="75"/>
  <c r="CG22" i="75" s="1"/>
  <c r="CE22" i="75"/>
  <c r="CD22" i="75"/>
  <c r="CC22" i="75"/>
  <c r="CB22" i="75"/>
  <c r="CA22" i="75"/>
  <c r="BZ22" i="75"/>
  <c r="BY22" i="75"/>
  <c r="BX22" i="75"/>
  <c r="BW22" i="75" s="1"/>
  <c r="BU22" i="75"/>
  <c r="BV22" i="75" s="1"/>
  <c r="BT22" i="75"/>
  <c r="BS22" i="75"/>
  <c r="BR22" i="75"/>
  <c r="BQ22" i="75"/>
  <c r="BP22" i="75"/>
  <c r="BO22" i="75"/>
  <c r="BN22" i="75"/>
  <c r="BM22" i="75"/>
  <c r="BL22" i="75" s="1"/>
  <c r="BJ22" i="75"/>
  <c r="BK22" i="75" s="1"/>
  <c r="GM22" i="75" s="1"/>
  <c r="BI22" i="75"/>
  <c r="GK22" i="75" s="1"/>
  <c r="BH22" i="75"/>
  <c r="GJ22" i="75" s="1"/>
  <c r="BG22" i="75"/>
  <c r="GI22" i="75" s="1"/>
  <c r="BF22" i="75"/>
  <c r="BE22" i="75"/>
  <c r="BD22" i="75"/>
  <c r="GF22" i="75" s="1"/>
  <c r="BC22" i="75"/>
  <c r="GE22" i="75" s="1"/>
  <c r="BB22" i="75"/>
  <c r="GD22" i="75" s="1"/>
  <c r="BA22" i="75"/>
  <c r="GC22" i="75" s="1"/>
  <c r="AY22" i="75"/>
  <c r="GA22" i="75" s="1"/>
  <c r="AX22" i="75"/>
  <c r="FZ22" i="75" s="1"/>
  <c r="AW22" i="75"/>
  <c r="FY22" i="75" s="1"/>
  <c r="AV22" i="75"/>
  <c r="FX22" i="75" s="1"/>
  <c r="AU22" i="75"/>
  <c r="FW22" i="75" s="1"/>
  <c r="AT22" i="75"/>
  <c r="FV22" i="75" s="1"/>
  <c r="AS22" i="75"/>
  <c r="FU22" i="75" s="1"/>
  <c r="AR22" i="75"/>
  <c r="FT22" i="75" s="1"/>
  <c r="AQ22" i="75"/>
  <c r="FS22" i="75" s="1"/>
  <c r="AP22" i="75"/>
  <c r="FR22" i="75" s="1"/>
  <c r="AN22" i="75"/>
  <c r="AO22" i="75" s="1"/>
  <c r="FQ22" i="75" s="1"/>
  <c r="AM22" i="75"/>
  <c r="FO22" i="75" s="1"/>
  <c r="AL22" i="75"/>
  <c r="AK22" i="75"/>
  <c r="FM22" i="75" s="1"/>
  <c r="AJ22" i="75"/>
  <c r="FL22" i="75" s="1"/>
  <c r="AI22" i="75"/>
  <c r="FK22" i="75" s="1"/>
  <c r="AH22" i="75"/>
  <c r="FJ22" i="75" s="1"/>
  <c r="AG22" i="75"/>
  <c r="FI22" i="75" s="1"/>
  <c r="AF22" i="75"/>
  <c r="FH22" i="75" s="1"/>
  <c r="AC22" i="75"/>
  <c r="FE22" i="75" s="1"/>
  <c r="AB22" i="75"/>
  <c r="FD22" i="75" s="1"/>
  <c r="AA22" i="75"/>
  <c r="FC22" i="75" s="1"/>
  <c r="Z22" i="75"/>
  <c r="FB22" i="75" s="1"/>
  <c r="Y22" i="75"/>
  <c r="FA22" i="75" s="1"/>
  <c r="X22" i="75"/>
  <c r="EZ22" i="75" s="1"/>
  <c r="W22" i="75"/>
  <c r="EY22" i="75" s="1"/>
  <c r="V22" i="75"/>
  <c r="EX22" i="75" s="1"/>
  <c r="U22" i="75"/>
  <c r="EW22" i="75" s="1"/>
  <c r="EV22" i="75" s="1"/>
  <c r="S22" i="75"/>
  <c r="T22" i="75" s="1"/>
  <c r="EU22" i="75" s="1"/>
  <c r="R22" i="75"/>
  <c r="ES22" i="75" s="1"/>
  <c r="Q22" i="75"/>
  <c r="ER22" i="75" s="1"/>
  <c r="P22" i="75"/>
  <c r="EQ22" i="75" s="1"/>
  <c r="O22" i="75"/>
  <c r="EP22" i="75" s="1"/>
  <c r="N22" i="75"/>
  <c r="EO22" i="75" s="1"/>
  <c r="M22" i="75"/>
  <c r="EN22" i="75" s="1"/>
  <c r="L22" i="75"/>
  <c r="EM22" i="75" s="1"/>
  <c r="K22" i="75"/>
  <c r="J22" i="75"/>
  <c r="F22" i="75"/>
  <c r="E22" i="75"/>
  <c r="D22" i="75"/>
  <c r="C22" i="75"/>
  <c r="EI21" i="75"/>
  <c r="EJ21" i="75" s="1"/>
  <c r="EH21" i="75"/>
  <c r="EG21" i="75"/>
  <c r="EF21" i="75"/>
  <c r="EE21" i="75"/>
  <c r="ED21" i="75"/>
  <c r="EC21" i="75"/>
  <c r="EB21" i="75"/>
  <c r="EA21" i="75"/>
  <c r="DZ21" i="75" s="1"/>
  <c r="DB21" i="75"/>
  <c r="DC21" i="75" s="1"/>
  <c r="DA21" i="75"/>
  <c r="CZ21" i="75"/>
  <c r="CY21" i="75"/>
  <c r="CX21" i="75"/>
  <c r="CW21" i="75"/>
  <c r="CV21" i="75"/>
  <c r="CU21" i="75"/>
  <c r="CT21" i="75"/>
  <c r="CS21" i="75" s="1"/>
  <c r="CQ21" i="75"/>
  <c r="CR21" i="75" s="1"/>
  <c r="CP21" i="75"/>
  <c r="CO21" i="75"/>
  <c r="CN21" i="75"/>
  <c r="CM21" i="75"/>
  <c r="CL21" i="75"/>
  <c r="CK21" i="75"/>
  <c r="CJ21" i="75"/>
  <c r="CI21" i="75"/>
  <c r="CH21" i="75" s="1"/>
  <c r="CF21" i="75"/>
  <c r="CG21" i="75" s="1"/>
  <c r="CE21" i="75"/>
  <c r="CD21" i="75"/>
  <c r="CC21" i="75"/>
  <c r="CB21" i="75"/>
  <c r="CA21" i="75"/>
  <c r="BZ21" i="75"/>
  <c r="BY21" i="75"/>
  <c r="BX21" i="75"/>
  <c r="BW21" i="75" s="1"/>
  <c r="BU21" i="75"/>
  <c r="BV21" i="75" s="1"/>
  <c r="BT21" i="75"/>
  <c r="BS21" i="75"/>
  <c r="BR21" i="75"/>
  <c r="BQ21" i="75"/>
  <c r="BP21" i="75"/>
  <c r="BO21" i="75"/>
  <c r="BN21" i="75"/>
  <c r="BM21" i="75"/>
  <c r="BL21" i="75" s="1"/>
  <c r="BJ21" i="75"/>
  <c r="GL21" i="75" s="1"/>
  <c r="BI21" i="75"/>
  <c r="GK21" i="75" s="1"/>
  <c r="BH21" i="75"/>
  <c r="GJ21" i="75" s="1"/>
  <c r="BG21" i="75"/>
  <c r="GI21" i="75" s="1"/>
  <c r="BF21" i="75"/>
  <c r="GH21" i="75" s="1"/>
  <c r="BE21" i="75"/>
  <c r="GG21" i="75" s="1"/>
  <c r="BD21" i="75"/>
  <c r="GF21" i="75" s="1"/>
  <c r="BC21" i="75"/>
  <c r="GE21" i="75" s="1"/>
  <c r="BB21" i="75"/>
  <c r="BA21" i="75" s="1"/>
  <c r="GC21" i="75" s="1"/>
  <c r="AY21" i="75"/>
  <c r="AZ21" i="75" s="1"/>
  <c r="GB21" i="75" s="1"/>
  <c r="AX21" i="75"/>
  <c r="FZ21" i="75" s="1"/>
  <c r="AW21" i="75"/>
  <c r="FY21" i="75" s="1"/>
  <c r="AV21" i="75"/>
  <c r="FX21" i="75" s="1"/>
  <c r="AU21" i="75"/>
  <c r="FW21" i="75" s="1"/>
  <c r="AT21" i="75"/>
  <c r="FV21" i="75" s="1"/>
  <c r="AS21" i="75"/>
  <c r="FU21" i="75" s="1"/>
  <c r="AR21" i="75"/>
  <c r="FT21" i="75" s="1"/>
  <c r="AQ21" i="75"/>
  <c r="FS21" i="75" s="1"/>
  <c r="AN21" i="75"/>
  <c r="FP21" i="75" s="1"/>
  <c r="AM21" i="75"/>
  <c r="FO21" i="75" s="1"/>
  <c r="AL21" i="75"/>
  <c r="FN21" i="75" s="1"/>
  <c r="AK21" i="75"/>
  <c r="FM21" i="75" s="1"/>
  <c r="AJ21" i="75"/>
  <c r="FL21" i="75" s="1"/>
  <c r="AI21" i="75"/>
  <c r="FK21" i="75" s="1"/>
  <c r="AH21" i="75"/>
  <c r="FJ21" i="75" s="1"/>
  <c r="AG21" i="75"/>
  <c r="FI21" i="75" s="1"/>
  <c r="AF21" i="75"/>
  <c r="AC21" i="75"/>
  <c r="FE21" i="75" s="1"/>
  <c r="AB21" i="75"/>
  <c r="FD21" i="75" s="1"/>
  <c r="AA21" i="75"/>
  <c r="FC21" i="75" s="1"/>
  <c r="Z21" i="75"/>
  <c r="FB21" i="75" s="1"/>
  <c r="Y21" i="75"/>
  <c r="FA21" i="75" s="1"/>
  <c r="X21" i="75"/>
  <c r="EZ21" i="75" s="1"/>
  <c r="W21" i="75"/>
  <c r="EY21" i="75" s="1"/>
  <c r="V21" i="75"/>
  <c r="EX21" i="75" s="1"/>
  <c r="U21" i="75"/>
  <c r="EW21" i="75" s="1"/>
  <c r="EV21" i="75" s="1"/>
  <c r="S21" i="75"/>
  <c r="ET21" i="75" s="1"/>
  <c r="R21" i="75"/>
  <c r="ES21" i="75" s="1"/>
  <c r="Q21" i="75"/>
  <c r="ER21" i="75" s="1"/>
  <c r="P21" i="75"/>
  <c r="EQ21" i="75" s="1"/>
  <c r="O21" i="75"/>
  <c r="EP21" i="75" s="1"/>
  <c r="N21" i="75"/>
  <c r="EO21" i="75" s="1"/>
  <c r="M21" i="75"/>
  <c r="EN21" i="75" s="1"/>
  <c r="L21" i="75"/>
  <c r="EM21" i="75" s="1"/>
  <c r="K21" i="75"/>
  <c r="EL21" i="75" s="1"/>
  <c r="EK21" i="75" s="1"/>
  <c r="J21" i="75"/>
  <c r="F21" i="75"/>
  <c r="E21" i="75"/>
  <c r="D21" i="75"/>
  <c r="C21" i="75"/>
  <c r="EP20" i="75"/>
  <c r="EO20" i="75"/>
  <c r="EI20" i="75"/>
  <c r="EJ20" i="75" s="1"/>
  <c r="EH20" i="75"/>
  <c r="EG20" i="75"/>
  <c r="EF20" i="75"/>
  <c r="EE20" i="75"/>
  <c r="ED20" i="75"/>
  <c r="EC20" i="75"/>
  <c r="EB20" i="75"/>
  <c r="EA20" i="75"/>
  <c r="DZ20" i="75" s="1"/>
  <c r="DB20" i="75"/>
  <c r="DC20" i="75" s="1"/>
  <c r="DA20" i="75"/>
  <c r="CZ20" i="75"/>
  <c r="CY20" i="75"/>
  <c r="CX20" i="75"/>
  <c r="CW20" i="75"/>
  <c r="CV20" i="75"/>
  <c r="CU20" i="75"/>
  <c r="CT20" i="75"/>
  <c r="CS20" i="75" s="1"/>
  <c r="CQ20" i="75"/>
  <c r="CR20" i="75" s="1"/>
  <c r="CP20" i="75"/>
  <c r="CO20" i="75"/>
  <c r="CN20" i="75"/>
  <c r="CM20" i="75"/>
  <c r="CL20" i="75"/>
  <c r="CK20" i="75"/>
  <c r="CJ20" i="75"/>
  <c r="CI20" i="75"/>
  <c r="CH20" i="75" s="1"/>
  <c r="CF20" i="75"/>
  <c r="CG20" i="75" s="1"/>
  <c r="CE20" i="75"/>
  <c r="CD20" i="75"/>
  <c r="CC20" i="75"/>
  <c r="CB20" i="75"/>
  <c r="CA20" i="75"/>
  <c r="BZ20" i="75"/>
  <c r="BY20" i="75"/>
  <c r="BX20" i="75"/>
  <c r="BW20" i="75" s="1"/>
  <c r="BU20" i="75"/>
  <c r="BV20" i="75" s="1"/>
  <c r="BT20" i="75"/>
  <c r="BS20" i="75"/>
  <c r="BR20" i="75"/>
  <c r="BQ20" i="75"/>
  <c r="BP20" i="75"/>
  <c r="BO20" i="75"/>
  <c r="BN20" i="75"/>
  <c r="BM20" i="75"/>
  <c r="BL20" i="75" s="1"/>
  <c r="BJ20" i="75"/>
  <c r="GL20" i="75" s="1"/>
  <c r="BI20" i="75"/>
  <c r="GK20" i="75" s="1"/>
  <c r="BH20" i="75"/>
  <c r="GJ20" i="75" s="1"/>
  <c r="BG20" i="75"/>
  <c r="GI20" i="75" s="1"/>
  <c r="BF20" i="75"/>
  <c r="GH20" i="75" s="1"/>
  <c r="BE20" i="75"/>
  <c r="GG20" i="75" s="1"/>
  <c r="BD20" i="75"/>
  <c r="GF20" i="75" s="1"/>
  <c r="BC20" i="75"/>
  <c r="GE20" i="75" s="1"/>
  <c r="BB20" i="75"/>
  <c r="BA20" i="75" s="1"/>
  <c r="GC20" i="75" s="1"/>
  <c r="AY20" i="75"/>
  <c r="GA20" i="75" s="1"/>
  <c r="AX20" i="75"/>
  <c r="FZ20" i="75" s="1"/>
  <c r="AW20" i="75"/>
  <c r="FY20" i="75" s="1"/>
  <c r="AV20" i="75"/>
  <c r="FX20" i="75" s="1"/>
  <c r="AU20" i="75"/>
  <c r="FW20" i="75" s="1"/>
  <c r="AT20" i="75"/>
  <c r="FV20" i="75" s="1"/>
  <c r="AS20" i="75"/>
  <c r="FU20" i="75" s="1"/>
  <c r="AR20" i="75"/>
  <c r="FT20" i="75" s="1"/>
  <c r="AQ20" i="75"/>
  <c r="AP20" i="75" s="1"/>
  <c r="FR20" i="75" s="1"/>
  <c r="AN20" i="75"/>
  <c r="AO20" i="75" s="1"/>
  <c r="FQ20" i="75" s="1"/>
  <c r="AM20" i="75"/>
  <c r="FO20" i="75" s="1"/>
  <c r="AL20" i="75"/>
  <c r="FN20" i="75" s="1"/>
  <c r="AK20" i="75"/>
  <c r="FM20" i="75" s="1"/>
  <c r="AJ20" i="75"/>
  <c r="FL20" i="75" s="1"/>
  <c r="AI20" i="75"/>
  <c r="FK20" i="75" s="1"/>
  <c r="AH20" i="75"/>
  <c r="FJ20" i="75" s="1"/>
  <c r="AG20" i="75"/>
  <c r="FI20" i="75" s="1"/>
  <c r="AF20" i="75"/>
  <c r="FH20" i="75" s="1"/>
  <c r="AC20" i="75"/>
  <c r="FE20" i="75" s="1"/>
  <c r="AB20" i="75"/>
  <c r="FD20" i="75" s="1"/>
  <c r="AA20" i="75"/>
  <c r="FC20" i="75" s="1"/>
  <c r="Z20" i="75"/>
  <c r="FB20" i="75" s="1"/>
  <c r="Y20" i="75"/>
  <c r="FA20" i="75" s="1"/>
  <c r="X20" i="75"/>
  <c r="EZ20" i="75" s="1"/>
  <c r="W20" i="75"/>
  <c r="EY20" i="75" s="1"/>
  <c r="V20" i="75"/>
  <c r="EX20" i="75" s="1"/>
  <c r="U20" i="75"/>
  <c r="EW20" i="75" s="1"/>
  <c r="EV20" i="75" s="1"/>
  <c r="S20" i="75"/>
  <c r="T20" i="75" s="1"/>
  <c r="EU20" i="75" s="1"/>
  <c r="R20" i="75"/>
  <c r="ES20" i="75" s="1"/>
  <c r="Q20" i="75"/>
  <c r="ER20" i="75" s="1"/>
  <c r="P20" i="75"/>
  <c r="EQ20" i="75" s="1"/>
  <c r="O20" i="75"/>
  <c r="N20" i="75"/>
  <c r="M20" i="75"/>
  <c r="EN20" i="75" s="1"/>
  <c r="L20" i="75"/>
  <c r="EM20" i="75" s="1"/>
  <c r="K20" i="75"/>
  <c r="EL20" i="75" s="1"/>
  <c r="EK20" i="75" s="1"/>
  <c r="J20" i="75"/>
  <c r="F20" i="75"/>
  <c r="E20" i="75"/>
  <c r="D20" i="75"/>
  <c r="C20" i="75"/>
  <c r="GL19" i="75"/>
  <c r="FJ19" i="75"/>
  <c r="EP19" i="75"/>
  <c r="EO19" i="75"/>
  <c r="EN19" i="75"/>
  <c r="EI19" i="75"/>
  <c r="EJ19" i="75" s="1"/>
  <c r="EH19" i="75"/>
  <c r="EG19" i="75"/>
  <c r="EF19" i="75"/>
  <c r="EE19" i="75"/>
  <c r="ED19" i="75"/>
  <c r="EC19" i="75"/>
  <c r="EB19" i="75"/>
  <c r="EA19" i="75"/>
  <c r="DZ19" i="75" s="1"/>
  <c r="DB19" i="75"/>
  <c r="DC19" i="75" s="1"/>
  <c r="DA19" i="75"/>
  <c r="CZ19" i="75"/>
  <c r="CY19" i="75"/>
  <c r="CX19" i="75"/>
  <c r="CW19" i="75"/>
  <c r="CV19" i="75"/>
  <c r="CU19" i="75"/>
  <c r="CT19" i="75"/>
  <c r="CS19" i="75" s="1"/>
  <c r="CQ19" i="75"/>
  <c r="CR19" i="75" s="1"/>
  <c r="CP19" i="75"/>
  <c r="CO19" i="75"/>
  <c r="CN19" i="75"/>
  <c r="CM19" i="75"/>
  <c r="CL19" i="75"/>
  <c r="CK19" i="75"/>
  <c r="CJ19" i="75"/>
  <c r="CI19" i="75"/>
  <c r="CH19" i="75" s="1"/>
  <c r="CF19" i="75"/>
  <c r="CG19" i="75" s="1"/>
  <c r="CE19" i="75"/>
  <c r="CD19" i="75"/>
  <c r="CC19" i="75"/>
  <c r="CB19" i="75"/>
  <c r="CA19" i="75"/>
  <c r="BZ19" i="75"/>
  <c r="BY19" i="75"/>
  <c r="BX19" i="75"/>
  <c r="BW19" i="75" s="1"/>
  <c r="BU19" i="75"/>
  <c r="BV19" i="75" s="1"/>
  <c r="BT19" i="75"/>
  <c r="BS19" i="75"/>
  <c r="BR19" i="75"/>
  <c r="BQ19" i="75"/>
  <c r="BP19" i="75"/>
  <c r="BO19" i="75"/>
  <c r="BN19" i="75"/>
  <c r="BM19" i="75"/>
  <c r="BL19" i="75" s="1"/>
  <c r="BJ19" i="75"/>
  <c r="BK19" i="75" s="1"/>
  <c r="GM19" i="75" s="1"/>
  <c r="BI19" i="75"/>
  <c r="GK19" i="75" s="1"/>
  <c r="BH19" i="75"/>
  <c r="GJ19" i="75" s="1"/>
  <c r="BG19" i="75"/>
  <c r="GI19" i="75" s="1"/>
  <c r="BF19" i="75"/>
  <c r="GH19" i="75" s="1"/>
  <c r="BE19" i="75"/>
  <c r="GG19" i="75" s="1"/>
  <c r="BD19" i="75"/>
  <c r="GF19" i="75" s="1"/>
  <c r="BC19" i="75"/>
  <c r="GE19" i="75" s="1"/>
  <c r="BB19" i="75"/>
  <c r="GD19" i="75" s="1"/>
  <c r="BA19" i="75"/>
  <c r="GC19" i="75" s="1"/>
  <c r="AY19" i="75"/>
  <c r="GA19" i="75" s="1"/>
  <c r="AX19" i="75"/>
  <c r="FZ19" i="75" s="1"/>
  <c r="AW19" i="75"/>
  <c r="FY19" i="75" s="1"/>
  <c r="AV19" i="75"/>
  <c r="FX19" i="75" s="1"/>
  <c r="AU19" i="75"/>
  <c r="FW19" i="75" s="1"/>
  <c r="AT19" i="75"/>
  <c r="FV19" i="75" s="1"/>
  <c r="AS19" i="75"/>
  <c r="FU19" i="75" s="1"/>
  <c r="AR19" i="75"/>
  <c r="FT19" i="75" s="1"/>
  <c r="AQ19" i="75"/>
  <c r="FS19" i="75" s="1"/>
  <c r="AN19" i="75"/>
  <c r="FP19" i="75" s="1"/>
  <c r="AM19" i="75"/>
  <c r="FO19" i="75" s="1"/>
  <c r="AL19" i="75"/>
  <c r="FN19" i="75" s="1"/>
  <c r="AK19" i="75"/>
  <c r="FM19" i="75" s="1"/>
  <c r="AJ19" i="75"/>
  <c r="FL19" i="75" s="1"/>
  <c r="AI19" i="75"/>
  <c r="FK19" i="75" s="1"/>
  <c r="AH19" i="75"/>
  <c r="AG19" i="75"/>
  <c r="FI19" i="75" s="1"/>
  <c r="AF19" i="75"/>
  <c r="FH19" i="75" s="1"/>
  <c r="AE19" i="75"/>
  <c r="FG19" i="75" s="1"/>
  <c r="AC19" i="75"/>
  <c r="FE19" i="75" s="1"/>
  <c r="AB19" i="75"/>
  <c r="FD19" i="75" s="1"/>
  <c r="AA19" i="75"/>
  <c r="FC19" i="75" s="1"/>
  <c r="Z19" i="75"/>
  <c r="FB19" i="75" s="1"/>
  <c r="Y19" i="75"/>
  <c r="FA19" i="75" s="1"/>
  <c r="X19" i="75"/>
  <c r="EZ19" i="75" s="1"/>
  <c r="W19" i="75"/>
  <c r="EY19" i="75" s="1"/>
  <c r="V19" i="75"/>
  <c r="EX19" i="75" s="1"/>
  <c r="U19" i="75"/>
  <c r="EW19" i="75" s="1"/>
  <c r="EV19" i="75" s="1"/>
  <c r="S19" i="75"/>
  <c r="R19" i="75"/>
  <c r="ES19" i="75" s="1"/>
  <c r="Q19" i="75"/>
  <c r="ER19" i="75" s="1"/>
  <c r="P19" i="75"/>
  <c r="EQ19" i="75" s="1"/>
  <c r="O19" i="75"/>
  <c r="N19" i="75"/>
  <c r="M19" i="75"/>
  <c r="L19" i="75"/>
  <c r="EM19" i="75" s="1"/>
  <c r="K19" i="75"/>
  <c r="EL19" i="75" s="1"/>
  <c r="EK19" i="75" s="1"/>
  <c r="J19" i="75"/>
  <c r="F19" i="75"/>
  <c r="E19" i="75"/>
  <c r="D19" i="75"/>
  <c r="C19" i="75"/>
  <c r="GH18" i="75"/>
  <c r="EI18" i="75"/>
  <c r="EJ18" i="75" s="1"/>
  <c r="EH18" i="75"/>
  <c r="EG18" i="75"/>
  <c r="EF18" i="75"/>
  <c r="EE18" i="75"/>
  <c r="ED18" i="75"/>
  <c r="EC18" i="75"/>
  <c r="EB18" i="75"/>
  <c r="EA18" i="75"/>
  <c r="DZ18" i="75" s="1"/>
  <c r="DB18" i="75"/>
  <c r="DC18" i="75" s="1"/>
  <c r="DA18" i="75"/>
  <c r="CZ18" i="75"/>
  <c r="CY18" i="75"/>
  <c r="CX18" i="75"/>
  <c r="CW18" i="75"/>
  <c r="CV18" i="75"/>
  <c r="CU18" i="75"/>
  <c r="CT18" i="75"/>
  <c r="CS18" i="75" s="1"/>
  <c r="CQ18" i="75"/>
  <c r="CR18" i="75" s="1"/>
  <c r="CP18" i="75"/>
  <c r="CO18" i="75"/>
  <c r="CN18" i="75"/>
  <c r="CM18" i="75"/>
  <c r="CL18" i="75"/>
  <c r="CK18" i="75"/>
  <c r="CJ18" i="75"/>
  <c r="CI18" i="75"/>
  <c r="CH18" i="75" s="1"/>
  <c r="CF18" i="75"/>
  <c r="CG18" i="75" s="1"/>
  <c r="CE18" i="75"/>
  <c r="CD18" i="75"/>
  <c r="CC18" i="75"/>
  <c r="CB18" i="75"/>
  <c r="CA18" i="75"/>
  <c r="BZ18" i="75"/>
  <c r="BY18" i="75"/>
  <c r="BX18" i="75"/>
  <c r="BW18" i="75" s="1"/>
  <c r="BU18" i="75"/>
  <c r="BV18" i="75" s="1"/>
  <c r="BT18" i="75"/>
  <c r="BS18" i="75"/>
  <c r="BR18" i="75"/>
  <c r="BQ18" i="75"/>
  <c r="BP18" i="75"/>
  <c r="BO18" i="75"/>
  <c r="BN18" i="75"/>
  <c r="BM18" i="75"/>
  <c r="BL18" i="75" s="1"/>
  <c r="BJ18" i="75"/>
  <c r="BK18" i="75" s="1"/>
  <c r="GM18" i="75" s="1"/>
  <c r="BI18" i="75"/>
  <c r="GK18" i="75" s="1"/>
  <c r="BH18" i="75"/>
  <c r="GJ18" i="75" s="1"/>
  <c r="BG18" i="75"/>
  <c r="GI18" i="75" s="1"/>
  <c r="BF18" i="75"/>
  <c r="BE18" i="75"/>
  <c r="GG18" i="75" s="1"/>
  <c r="BD18" i="75"/>
  <c r="GF18" i="75" s="1"/>
  <c r="BC18" i="75"/>
  <c r="GE18" i="75" s="1"/>
  <c r="BB18" i="75"/>
  <c r="BA18" i="75" s="1"/>
  <c r="GC18" i="75" s="1"/>
  <c r="AY18" i="75"/>
  <c r="AZ18" i="75" s="1"/>
  <c r="GB18" i="75" s="1"/>
  <c r="AX18" i="75"/>
  <c r="FZ18" i="75" s="1"/>
  <c r="AW18" i="75"/>
  <c r="FY18" i="75" s="1"/>
  <c r="AV18" i="75"/>
  <c r="FX18" i="75" s="1"/>
  <c r="AU18" i="75"/>
  <c r="FW18" i="75" s="1"/>
  <c r="AT18" i="75"/>
  <c r="FV18" i="75" s="1"/>
  <c r="AS18" i="75"/>
  <c r="FU18" i="75" s="1"/>
  <c r="AR18" i="75"/>
  <c r="FT18" i="75" s="1"/>
  <c r="AQ18" i="75"/>
  <c r="FS18" i="75" s="1"/>
  <c r="AN18" i="75"/>
  <c r="FP18" i="75" s="1"/>
  <c r="AM18" i="75"/>
  <c r="FO18" i="75" s="1"/>
  <c r="AL18" i="75"/>
  <c r="FN18" i="75" s="1"/>
  <c r="AK18" i="75"/>
  <c r="FM18" i="75" s="1"/>
  <c r="AJ18" i="75"/>
  <c r="FL18" i="75" s="1"/>
  <c r="AI18" i="75"/>
  <c r="FK18" i="75" s="1"/>
  <c r="AH18" i="75"/>
  <c r="FJ18" i="75" s="1"/>
  <c r="AG18" i="75"/>
  <c r="FI18" i="75" s="1"/>
  <c r="AF18" i="75"/>
  <c r="FH18" i="75" s="1"/>
  <c r="AC18" i="75"/>
  <c r="AD18" i="75" s="1"/>
  <c r="FF18" i="75" s="1"/>
  <c r="AB18" i="75"/>
  <c r="FD18" i="75" s="1"/>
  <c r="AA18" i="75"/>
  <c r="FC18" i="75" s="1"/>
  <c r="Z18" i="75"/>
  <c r="FB18" i="75" s="1"/>
  <c r="Y18" i="75"/>
  <c r="FA18" i="75" s="1"/>
  <c r="X18" i="75"/>
  <c r="EZ18" i="75" s="1"/>
  <c r="W18" i="75"/>
  <c r="EY18" i="75" s="1"/>
  <c r="V18" i="75"/>
  <c r="EX18" i="75" s="1"/>
  <c r="U18" i="75"/>
  <c r="EW18" i="75" s="1"/>
  <c r="EV18" i="75" s="1"/>
  <c r="S18" i="75"/>
  <c r="ET18" i="75" s="1"/>
  <c r="R18" i="75"/>
  <c r="ES18" i="75" s="1"/>
  <c r="Q18" i="75"/>
  <c r="ER18" i="75" s="1"/>
  <c r="P18" i="75"/>
  <c r="EQ18" i="75" s="1"/>
  <c r="O18" i="75"/>
  <c r="EP18" i="75" s="1"/>
  <c r="N18" i="75"/>
  <c r="EO18" i="75" s="1"/>
  <c r="M18" i="75"/>
  <c r="EN18" i="75" s="1"/>
  <c r="L18" i="75"/>
  <c r="EM18" i="75" s="1"/>
  <c r="K18" i="75"/>
  <c r="EL18" i="75" s="1"/>
  <c r="EK18" i="75" s="1"/>
  <c r="J18" i="75"/>
  <c r="F18" i="75"/>
  <c r="E18" i="75"/>
  <c r="D18" i="75"/>
  <c r="C18" i="75"/>
  <c r="GM17" i="75"/>
  <c r="GL17" i="75"/>
  <c r="GK17" i="75"/>
  <c r="GJ17" i="75"/>
  <c r="GI17" i="75"/>
  <c r="GH17" i="75"/>
  <c r="GG17" i="75"/>
  <c r="GF17" i="75"/>
  <c r="GE17" i="75"/>
  <c r="GD17" i="75"/>
  <c r="GC17" i="75"/>
  <c r="GB17" i="75"/>
  <c r="GA17" i="75"/>
  <c r="FZ17" i="75"/>
  <c r="FY17" i="75"/>
  <c r="FX17" i="75"/>
  <c r="FW17" i="75"/>
  <c r="FV17" i="75"/>
  <c r="FU17" i="75"/>
  <c r="FT17" i="75"/>
  <c r="FS17" i="75"/>
  <c r="FR17" i="75"/>
  <c r="FE17" i="75"/>
  <c r="FD17" i="75"/>
  <c r="FC17" i="75"/>
  <c r="FB17" i="75"/>
  <c r="FA17" i="75"/>
  <c r="EZ17" i="75"/>
  <c r="EY17" i="75"/>
  <c r="EX17" i="75"/>
  <c r="EW17" i="75"/>
  <c r="ET17" i="75"/>
  <c r="ES17" i="75"/>
  <c r="ER17" i="75"/>
  <c r="EQ17" i="75"/>
  <c r="EP17" i="75"/>
  <c r="EO17" i="75"/>
  <c r="EN17" i="75"/>
  <c r="EM17" i="75"/>
  <c r="EL17" i="75"/>
  <c r="AD17" i="75"/>
  <c r="FF17" i="75" s="1"/>
  <c r="T17" i="75"/>
  <c r="EU17" i="75" s="1"/>
  <c r="J17" i="75"/>
  <c r="F17" i="75"/>
  <c r="E17" i="75"/>
  <c r="D17" i="75"/>
  <c r="GH16" i="75"/>
  <c r="GG16" i="75"/>
  <c r="FJ16" i="75"/>
  <c r="EI16" i="75"/>
  <c r="EJ16" i="75" s="1"/>
  <c r="EH16" i="75"/>
  <c r="EG16" i="75"/>
  <c r="EF16" i="75"/>
  <c r="EE16" i="75"/>
  <c r="ED16" i="75"/>
  <c r="EC16" i="75"/>
  <c r="EB16" i="75"/>
  <c r="EA16" i="75"/>
  <c r="DZ16" i="75" s="1"/>
  <c r="DB16" i="75"/>
  <c r="DC16" i="75" s="1"/>
  <c r="DA16" i="75"/>
  <c r="CZ16" i="75"/>
  <c r="CY16" i="75"/>
  <c r="CX16" i="75"/>
  <c r="CW16" i="75"/>
  <c r="CV16" i="75"/>
  <c r="CU16" i="75"/>
  <c r="CT16" i="75"/>
  <c r="CS16" i="75" s="1"/>
  <c r="CQ16" i="75"/>
  <c r="CR16" i="75" s="1"/>
  <c r="CP16" i="75"/>
  <c r="CO16" i="75"/>
  <c r="CN16" i="75"/>
  <c r="CM16" i="75"/>
  <c r="CL16" i="75"/>
  <c r="CK16" i="75"/>
  <c r="CJ16" i="75"/>
  <c r="CI16" i="75"/>
  <c r="CH16" i="75" s="1"/>
  <c r="CF16" i="75"/>
  <c r="CG16" i="75" s="1"/>
  <c r="CE16" i="75"/>
  <c r="CD16" i="75"/>
  <c r="CC16" i="75"/>
  <c r="CB16" i="75"/>
  <c r="CA16" i="75"/>
  <c r="BZ16" i="75"/>
  <c r="BY16" i="75"/>
  <c r="BX16" i="75"/>
  <c r="BW16" i="75"/>
  <c r="BU16" i="75"/>
  <c r="BV16" i="75" s="1"/>
  <c r="BT16" i="75"/>
  <c r="BS16" i="75"/>
  <c r="BR16" i="75"/>
  <c r="BQ16" i="75"/>
  <c r="BP16" i="75"/>
  <c r="BO16" i="75"/>
  <c r="BN16" i="75"/>
  <c r="BM16" i="75"/>
  <c r="BL16" i="75" s="1"/>
  <c r="BJ16" i="75"/>
  <c r="GL16" i="75" s="1"/>
  <c r="BI16" i="75"/>
  <c r="GK16" i="75" s="1"/>
  <c r="BH16" i="75"/>
  <c r="GJ16" i="75" s="1"/>
  <c r="BG16" i="75"/>
  <c r="GI16" i="75" s="1"/>
  <c r="BF16" i="75"/>
  <c r="BE16" i="75"/>
  <c r="BD16" i="75"/>
  <c r="GF16" i="75" s="1"/>
  <c r="BC16" i="75"/>
  <c r="GE16" i="75" s="1"/>
  <c r="BB16" i="75"/>
  <c r="BA16" i="75" s="1"/>
  <c r="GC16" i="75" s="1"/>
  <c r="AY16" i="75"/>
  <c r="AZ16" i="75" s="1"/>
  <c r="GB16" i="75" s="1"/>
  <c r="AX16" i="75"/>
  <c r="FZ16" i="75" s="1"/>
  <c r="AW16" i="75"/>
  <c r="FY16" i="75" s="1"/>
  <c r="AV16" i="75"/>
  <c r="FX16" i="75" s="1"/>
  <c r="AU16" i="75"/>
  <c r="FW16" i="75" s="1"/>
  <c r="AT16" i="75"/>
  <c r="FV16" i="75" s="1"/>
  <c r="AS16" i="75"/>
  <c r="FU16" i="75" s="1"/>
  <c r="AR16" i="75"/>
  <c r="FT16" i="75" s="1"/>
  <c r="AQ16" i="75"/>
  <c r="FS16" i="75" s="1"/>
  <c r="AN16" i="75"/>
  <c r="FP16" i="75" s="1"/>
  <c r="AM16" i="75"/>
  <c r="FO16" i="75" s="1"/>
  <c r="AL16" i="75"/>
  <c r="FN16" i="75" s="1"/>
  <c r="AK16" i="75"/>
  <c r="FM16" i="75" s="1"/>
  <c r="AJ16" i="75"/>
  <c r="FL16" i="75" s="1"/>
  <c r="AI16" i="75"/>
  <c r="FK16" i="75" s="1"/>
  <c r="AH16" i="75"/>
  <c r="AG16" i="75"/>
  <c r="FI16" i="75" s="1"/>
  <c r="AF16" i="75"/>
  <c r="FH16" i="75" s="1"/>
  <c r="AE16" i="75"/>
  <c r="FG16" i="75" s="1"/>
  <c r="AC16" i="75"/>
  <c r="FE16" i="75" s="1"/>
  <c r="AB16" i="75"/>
  <c r="FD16" i="75" s="1"/>
  <c r="AA16" i="75"/>
  <c r="FC16" i="75" s="1"/>
  <c r="Z16" i="75"/>
  <c r="FB16" i="75" s="1"/>
  <c r="Y16" i="75"/>
  <c r="FA16" i="75" s="1"/>
  <c r="X16" i="75"/>
  <c r="EZ16" i="75" s="1"/>
  <c r="W16" i="75"/>
  <c r="EY16" i="75" s="1"/>
  <c r="V16" i="75"/>
  <c r="EX16" i="75" s="1"/>
  <c r="U16" i="75"/>
  <c r="EW16" i="75" s="1"/>
  <c r="EV16" i="75" s="1"/>
  <c r="S16" i="75"/>
  <c r="T16" i="75" s="1"/>
  <c r="EU16" i="75" s="1"/>
  <c r="R16" i="75"/>
  <c r="ES16" i="75" s="1"/>
  <c r="Q16" i="75"/>
  <c r="ER16" i="75" s="1"/>
  <c r="P16" i="75"/>
  <c r="EQ16" i="75" s="1"/>
  <c r="O16" i="75"/>
  <c r="EP16" i="75" s="1"/>
  <c r="N16" i="75"/>
  <c r="EO16" i="75" s="1"/>
  <c r="M16" i="75"/>
  <c r="EN16" i="75" s="1"/>
  <c r="L16" i="75"/>
  <c r="EM16" i="75" s="1"/>
  <c r="K16" i="75"/>
  <c r="EL16" i="75" s="1"/>
  <c r="EK16" i="75" s="1"/>
  <c r="J16" i="75"/>
  <c r="F16" i="75"/>
  <c r="E16" i="75"/>
  <c r="D16" i="75"/>
  <c r="FI15" i="75"/>
  <c r="FH15" i="75"/>
  <c r="EI15" i="75"/>
  <c r="EJ15" i="75" s="1"/>
  <c r="EH15" i="75"/>
  <c r="EG15" i="75"/>
  <c r="EF15" i="75"/>
  <c r="EE15" i="75"/>
  <c r="ED15" i="75"/>
  <c r="EC15" i="75"/>
  <c r="EB15" i="75"/>
  <c r="EA15" i="75"/>
  <c r="DZ15" i="75" s="1"/>
  <c r="DB15" i="75"/>
  <c r="DC15" i="75" s="1"/>
  <c r="DA15" i="75"/>
  <c r="CZ15" i="75"/>
  <c r="CY15" i="75"/>
  <c r="CX15" i="75"/>
  <c r="CW15" i="75"/>
  <c r="CV15" i="75"/>
  <c r="CU15" i="75"/>
  <c r="CT15" i="75"/>
  <c r="CS15" i="75" s="1"/>
  <c r="CQ15" i="75"/>
  <c r="CR15" i="75" s="1"/>
  <c r="CP15" i="75"/>
  <c r="CO15" i="75"/>
  <c r="CN15" i="75"/>
  <c r="CM15" i="75"/>
  <c r="CL15" i="75"/>
  <c r="CK15" i="75"/>
  <c r="CJ15" i="75"/>
  <c r="CI15" i="75"/>
  <c r="CH15" i="75" s="1"/>
  <c r="CF15" i="75"/>
  <c r="CG15" i="75" s="1"/>
  <c r="CE15" i="75"/>
  <c r="CD15" i="75"/>
  <c r="CC15" i="75"/>
  <c r="CB15" i="75"/>
  <c r="CA15" i="75"/>
  <c r="BZ15" i="75"/>
  <c r="BY15" i="75"/>
  <c r="BX15" i="75"/>
  <c r="BW15" i="75" s="1"/>
  <c r="BU15" i="75"/>
  <c r="BV15" i="75" s="1"/>
  <c r="BT15" i="75"/>
  <c r="BS15" i="75"/>
  <c r="BR15" i="75"/>
  <c r="BQ15" i="75"/>
  <c r="BP15" i="75"/>
  <c r="BO15" i="75"/>
  <c r="BN15" i="75"/>
  <c r="BM15" i="75"/>
  <c r="BL15" i="75" s="1"/>
  <c r="BJ15" i="75"/>
  <c r="GL15" i="75" s="1"/>
  <c r="BI15" i="75"/>
  <c r="GK15" i="75" s="1"/>
  <c r="BH15" i="75"/>
  <c r="GJ15" i="75" s="1"/>
  <c r="BG15" i="75"/>
  <c r="GI15" i="75" s="1"/>
  <c r="BF15" i="75"/>
  <c r="GH15" i="75" s="1"/>
  <c r="BE15" i="75"/>
  <c r="GG15" i="75" s="1"/>
  <c r="BD15" i="75"/>
  <c r="GF15" i="75" s="1"/>
  <c r="BC15" i="75"/>
  <c r="GE15" i="75" s="1"/>
  <c r="BB15" i="75"/>
  <c r="GD15" i="75" s="1"/>
  <c r="AY15" i="75"/>
  <c r="GA15" i="75" s="1"/>
  <c r="AX15" i="75"/>
  <c r="FZ15" i="75" s="1"/>
  <c r="AW15" i="75"/>
  <c r="FY15" i="75" s="1"/>
  <c r="AV15" i="75"/>
  <c r="FX15" i="75" s="1"/>
  <c r="AU15" i="75"/>
  <c r="FW15" i="75" s="1"/>
  <c r="AT15" i="75"/>
  <c r="FV15" i="75" s="1"/>
  <c r="AS15" i="75"/>
  <c r="FU15" i="75" s="1"/>
  <c r="AR15" i="75"/>
  <c r="FT15" i="75" s="1"/>
  <c r="AQ15" i="75"/>
  <c r="FS15" i="75" s="1"/>
  <c r="AN15" i="75"/>
  <c r="FP15" i="75" s="1"/>
  <c r="AM15" i="75"/>
  <c r="FO15" i="75" s="1"/>
  <c r="AL15" i="75"/>
  <c r="FN15" i="75" s="1"/>
  <c r="AK15" i="75"/>
  <c r="FM15" i="75" s="1"/>
  <c r="AJ15" i="75"/>
  <c r="FL15" i="75" s="1"/>
  <c r="AI15" i="75"/>
  <c r="FK15" i="75" s="1"/>
  <c r="AH15" i="75"/>
  <c r="FJ15" i="75" s="1"/>
  <c r="AG15" i="75"/>
  <c r="AF15" i="75"/>
  <c r="AE15" i="75"/>
  <c r="FG15" i="75" s="1"/>
  <c r="AC15" i="75"/>
  <c r="FE15" i="75" s="1"/>
  <c r="AB15" i="75"/>
  <c r="FD15" i="75" s="1"/>
  <c r="AA15" i="75"/>
  <c r="FC15" i="75" s="1"/>
  <c r="Z15" i="75"/>
  <c r="FB15" i="75" s="1"/>
  <c r="Y15" i="75"/>
  <c r="FA15" i="75" s="1"/>
  <c r="X15" i="75"/>
  <c r="EZ15" i="75" s="1"/>
  <c r="W15" i="75"/>
  <c r="EY15" i="75" s="1"/>
  <c r="V15" i="75"/>
  <c r="EX15" i="75" s="1"/>
  <c r="U15" i="75"/>
  <c r="EW15" i="75" s="1"/>
  <c r="EV15" i="75" s="1"/>
  <c r="S15" i="75"/>
  <c r="T15" i="75" s="1"/>
  <c r="EU15" i="75" s="1"/>
  <c r="R15" i="75"/>
  <c r="ES15" i="75" s="1"/>
  <c r="Q15" i="75"/>
  <c r="ER15" i="75" s="1"/>
  <c r="P15" i="75"/>
  <c r="EQ15" i="75" s="1"/>
  <c r="O15" i="75"/>
  <c r="EP15" i="75" s="1"/>
  <c r="N15" i="75"/>
  <c r="EO15" i="75" s="1"/>
  <c r="M15" i="75"/>
  <c r="EN15" i="75" s="1"/>
  <c r="L15" i="75"/>
  <c r="EM15" i="75" s="1"/>
  <c r="K15" i="75"/>
  <c r="EL15" i="75" s="1"/>
  <c r="EK15" i="75" s="1"/>
  <c r="J15" i="75"/>
  <c r="F15" i="75"/>
  <c r="E15" i="75"/>
  <c r="D15" i="75"/>
  <c r="FO14" i="75"/>
  <c r="EI14" i="75"/>
  <c r="EJ14" i="75" s="1"/>
  <c r="EH14" i="75"/>
  <c r="EG14" i="75"/>
  <c r="EF14" i="75"/>
  <c r="EE14" i="75"/>
  <c r="ED14" i="75"/>
  <c r="EC14" i="75"/>
  <c r="EB14" i="75"/>
  <c r="EA14" i="75"/>
  <c r="DZ14" i="75" s="1"/>
  <c r="DB14" i="75"/>
  <c r="DC14" i="75" s="1"/>
  <c r="DA14" i="75"/>
  <c r="CZ14" i="75"/>
  <c r="CY14" i="75"/>
  <c r="CX14" i="75"/>
  <c r="CW14" i="75"/>
  <c r="CV14" i="75"/>
  <c r="CU14" i="75"/>
  <c r="CT14" i="75"/>
  <c r="CS14" i="75" s="1"/>
  <c r="CQ14" i="75"/>
  <c r="CR14" i="75" s="1"/>
  <c r="CP14" i="75"/>
  <c r="CO14" i="75"/>
  <c r="CN14" i="75"/>
  <c r="CM14" i="75"/>
  <c r="CL14" i="75"/>
  <c r="CK14" i="75"/>
  <c r="CJ14" i="75"/>
  <c r="CI14" i="75"/>
  <c r="CH14" i="75" s="1"/>
  <c r="CF14" i="75"/>
  <c r="CG14" i="75" s="1"/>
  <c r="CE14" i="75"/>
  <c r="CD14" i="75"/>
  <c r="CC14" i="75"/>
  <c r="CB14" i="75"/>
  <c r="CA14" i="75"/>
  <c r="BZ14" i="75"/>
  <c r="BY14" i="75"/>
  <c r="BX14" i="75"/>
  <c r="BW14" i="75" s="1"/>
  <c r="BU14" i="75"/>
  <c r="BV14" i="75" s="1"/>
  <c r="BT14" i="75"/>
  <c r="BS14" i="75"/>
  <c r="BR14" i="75"/>
  <c r="BQ14" i="75"/>
  <c r="BP14" i="75"/>
  <c r="BO14" i="75"/>
  <c r="BN14" i="75"/>
  <c r="BM14" i="75"/>
  <c r="BL14" i="75" s="1"/>
  <c r="BJ14" i="75"/>
  <c r="BK14" i="75" s="1"/>
  <c r="GM14" i="75" s="1"/>
  <c r="BI14" i="75"/>
  <c r="GK14" i="75" s="1"/>
  <c r="BH14" i="75"/>
  <c r="GJ14" i="75" s="1"/>
  <c r="BG14" i="75"/>
  <c r="GI14" i="75" s="1"/>
  <c r="BF14" i="75"/>
  <c r="GH14" i="75" s="1"/>
  <c r="BE14" i="75"/>
  <c r="GG14" i="75" s="1"/>
  <c r="BD14" i="75"/>
  <c r="GF14" i="75" s="1"/>
  <c r="BC14" i="75"/>
  <c r="GE14" i="75" s="1"/>
  <c r="BB14" i="75"/>
  <c r="BA14" i="75" s="1"/>
  <c r="GC14" i="75" s="1"/>
  <c r="AY14" i="75"/>
  <c r="AZ14" i="75" s="1"/>
  <c r="GB14" i="75" s="1"/>
  <c r="AX14" i="75"/>
  <c r="FZ14" i="75" s="1"/>
  <c r="AW14" i="75"/>
  <c r="FY14" i="75" s="1"/>
  <c r="AV14" i="75"/>
  <c r="FX14" i="75" s="1"/>
  <c r="AU14" i="75"/>
  <c r="FW14" i="75" s="1"/>
  <c r="AT14" i="75"/>
  <c r="FV14" i="75" s="1"/>
  <c r="AS14" i="75"/>
  <c r="FU14" i="75" s="1"/>
  <c r="AR14" i="75"/>
  <c r="FT14" i="75" s="1"/>
  <c r="AQ14" i="75"/>
  <c r="FS14" i="75" s="1"/>
  <c r="AN14" i="75"/>
  <c r="AO14" i="75" s="1"/>
  <c r="FQ14" i="75" s="1"/>
  <c r="AM14" i="75"/>
  <c r="AL14" i="75"/>
  <c r="FN14" i="75" s="1"/>
  <c r="AK14" i="75"/>
  <c r="FM14" i="75" s="1"/>
  <c r="AJ14" i="75"/>
  <c r="FL14" i="75" s="1"/>
  <c r="AI14" i="75"/>
  <c r="FK14" i="75" s="1"/>
  <c r="AH14" i="75"/>
  <c r="FJ14" i="75" s="1"/>
  <c r="AG14" i="75"/>
  <c r="FI14" i="75" s="1"/>
  <c r="AF14" i="75"/>
  <c r="FH14" i="75" s="1"/>
  <c r="AE14" i="75"/>
  <c r="FG14" i="75" s="1"/>
  <c r="AC14" i="75"/>
  <c r="FE14" i="75" s="1"/>
  <c r="AB14" i="75"/>
  <c r="FD14" i="75" s="1"/>
  <c r="AA14" i="75"/>
  <c r="FC14" i="75" s="1"/>
  <c r="Z14" i="75"/>
  <c r="FB14" i="75" s="1"/>
  <c r="Y14" i="75"/>
  <c r="FA14" i="75" s="1"/>
  <c r="X14" i="75"/>
  <c r="EZ14" i="75" s="1"/>
  <c r="W14" i="75"/>
  <c r="EY14" i="75" s="1"/>
  <c r="V14" i="75"/>
  <c r="EX14" i="75" s="1"/>
  <c r="U14" i="75"/>
  <c r="EW14" i="75" s="1"/>
  <c r="EV14" i="75" s="1"/>
  <c r="S14" i="75"/>
  <c r="ET14" i="75" s="1"/>
  <c r="R14" i="75"/>
  <c r="ES14" i="75" s="1"/>
  <c r="Q14" i="75"/>
  <c r="ER14" i="75" s="1"/>
  <c r="P14" i="75"/>
  <c r="EQ14" i="75" s="1"/>
  <c r="O14" i="75"/>
  <c r="EP14" i="75" s="1"/>
  <c r="N14" i="75"/>
  <c r="EO14" i="75" s="1"/>
  <c r="M14" i="75"/>
  <c r="EN14" i="75" s="1"/>
  <c r="L14" i="75"/>
  <c r="EM14" i="75" s="1"/>
  <c r="K14" i="75"/>
  <c r="EL14" i="75" s="1"/>
  <c r="EK14" i="75" s="1"/>
  <c r="J14" i="75"/>
  <c r="F14" i="75"/>
  <c r="E14" i="75"/>
  <c r="D14" i="75"/>
  <c r="EI13" i="75"/>
  <c r="EJ13" i="75" s="1"/>
  <c r="EH13" i="75"/>
  <c r="EG13" i="75"/>
  <c r="EF13" i="75"/>
  <c r="EE13" i="75"/>
  <c r="ED13" i="75"/>
  <c r="EC13" i="75"/>
  <c r="EB13" i="75"/>
  <c r="EA13" i="75"/>
  <c r="DZ13" i="75" s="1"/>
  <c r="DB13" i="75"/>
  <c r="DC13" i="75" s="1"/>
  <c r="DA13" i="75"/>
  <c r="CZ13" i="75"/>
  <c r="CY13" i="75"/>
  <c r="CX13" i="75"/>
  <c r="CW13" i="75"/>
  <c r="CV13" i="75"/>
  <c r="CU13" i="75"/>
  <c r="CT13" i="75"/>
  <c r="CS13" i="75"/>
  <c r="CQ13" i="75"/>
  <c r="CR13" i="75" s="1"/>
  <c r="CP13" i="75"/>
  <c r="CO13" i="75"/>
  <c r="CN13" i="75"/>
  <c r="CM13" i="75"/>
  <c r="CL13" i="75"/>
  <c r="CK13" i="75"/>
  <c r="CJ13" i="75"/>
  <c r="CI13" i="75"/>
  <c r="CH13" i="75" s="1"/>
  <c r="CF13" i="75"/>
  <c r="CG13" i="75" s="1"/>
  <c r="CE13" i="75"/>
  <c r="CD13" i="75"/>
  <c r="CC13" i="75"/>
  <c r="CB13" i="75"/>
  <c r="CA13" i="75"/>
  <c r="BZ13" i="75"/>
  <c r="BY13" i="75"/>
  <c r="BX13" i="75"/>
  <c r="BW13" i="75" s="1"/>
  <c r="BU13" i="75"/>
  <c r="BV13" i="75" s="1"/>
  <c r="BT13" i="75"/>
  <c r="BS13" i="75"/>
  <c r="BR13" i="75"/>
  <c r="BQ13" i="75"/>
  <c r="BP13" i="75"/>
  <c r="BO13" i="75"/>
  <c r="BN13" i="75"/>
  <c r="BM13" i="75"/>
  <c r="BL13" i="75" s="1"/>
  <c r="BJ13" i="75"/>
  <c r="GL13" i="75" s="1"/>
  <c r="BI13" i="75"/>
  <c r="GK13" i="75" s="1"/>
  <c r="BH13" i="75"/>
  <c r="GJ13" i="75" s="1"/>
  <c r="BG13" i="75"/>
  <c r="GI13" i="75" s="1"/>
  <c r="BF13" i="75"/>
  <c r="GH13" i="75" s="1"/>
  <c r="BE13" i="75"/>
  <c r="GG13" i="75" s="1"/>
  <c r="BD13" i="75"/>
  <c r="GF13" i="75" s="1"/>
  <c r="BC13" i="75"/>
  <c r="GE13" i="75" s="1"/>
  <c r="BB13" i="75"/>
  <c r="GD13" i="75" s="1"/>
  <c r="AY13" i="75"/>
  <c r="AZ13" i="75" s="1"/>
  <c r="GB13" i="75" s="1"/>
  <c r="AX13" i="75"/>
  <c r="FZ13" i="75" s="1"/>
  <c r="AW13" i="75"/>
  <c r="FY13" i="75" s="1"/>
  <c r="AV13" i="75"/>
  <c r="FX13" i="75" s="1"/>
  <c r="AU13" i="75"/>
  <c r="FW13" i="75" s="1"/>
  <c r="AT13" i="75"/>
  <c r="FV13" i="75" s="1"/>
  <c r="AS13" i="75"/>
  <c r="FU13" i="75" s="1"/>
  <c r="AR13" i="75"/>
  <c r="FT13" i="75" s="1"/>
  <c r="AQ13" i="75"/>
  <c r="FS13" i="75" s="1"/>
  <c r="AN13" i="75"/>
  <c r="FP13" i="75" s="1"/>
  <c r="AM13" i="75"/>
  <c r="FO13" i="75" s="1"/>
  <c r="AL13" i="75"/>
  <c r="FN13" i="75" s="1"/>
  <c r="AK13" i="75"/>
  <c r="FM13" i="75" s="1"/>
  <c r="AJ13" i="75"/>
  <c r="FL13" i="75" s="1"/>
  <c r="AI13" i="75"/>
  <c r="FK13" i="75" s="1"/>
  <c r="AH13" i="75"/>
  <c r="FJ13" i="75" s="1"/>
  <c r="AG13" i="75"/>
  <c r="FI13" i="75" s="1"/>
  <c r="AF13" i="75"/>
  <c r="FH13" i="75" s="1"/>
  <c r="AE13" i="75"/>
  <c r="FG13" i="75" s="1"/>
  <c r="AC13" i="75"/>
  <c r="AD13" i="75" s="1"/>
  <c r="FF13" i="75" s="1"/>
  <c r="AB13" i="75"/>
  <c r="FD13" i="75" s="1"/>
  <c r="AA13" i="75"/>
  <c r="FC13" i="75" s="1"/>
  <c r="Z13" i="75"/>
  <c r="FB13" i="75" s="1"/>
  <c r="Y13" i="75"/>
  <c r="FA13" i="75" s="1"/>
  <c r="X13" i="75"/>
  <c r="EZ13" i="75" s="1"/>
  <c r="W13" i="75"/>
  <c r="EY13" i="75" s="1"/>
  <c r="V13" i="75"/>
  <c r="EX13" i="75" s="1"/>
  <c r="U13" i="75"/>
  <c r="EW13" i="75" s="1"/>
  <c r="EV13" i="75" s="1"/>
  <c r="S13" i="75"/>
  <c r="T13" i="75" s="1"/>
  <c r="EU13" i="75" s="1"/>
  <c r="R13" i="75"/>
  <c r="ES13" i="75" s="1"/>
  <c r="Q13" i="75"/>
  <c r="ER13" i="75" s="1"/>
  <c r="P13" i="75"/>
  <c r="EQ13" i="75" s="1"/>
  <c r="O13" i="75"/>
  <c r="EP13" i="75" s="1"/>
  <c r="N13" i="75"/>
  <c r="EO13" i="75" s="1"/>
  <c r="M13" i="75"/>
  <c r="EN13" i="75" s="1"/>
  <c r="L13" i="75"/>
  <c r="EM13" i="75" s="1"/>
  <c r="K13" i="75"/>
  <c r="EL13" i="75" s="1"/>
  <c r="EK13" i="75" s="1"/>
  <c r="J13" i="75"/>
  <c r="F13" i="75"/>
  <c r="E13" i="75"/>
  <c r="D13" i="75"/>
  <c r="EI12" i="75"/>
  <c r="EJ12" i="75" s="1"/>
  <c r="EH12" i="75"/>
  <c r="EG12" i="75"/>
  <c r="EF12" i="75"/>
  <c r="EE12" i="75"/>
  <c r="ED12" i="75"/>
  <c r="EC12" i="75"/>
  <c r="EB12" i="75"/>
  <c r="EA12" i="75"/>
  <c r="DZ12" i="75" s="1"/>
  <c r="DB12" i="75"/>
  <c r="DC12" i="75" s="1"/>
  <c r="DA12" i="75"/>
  <c r="CZ12" i="75"/>
  <c r="CY12" i="75"/>
  <c r="CX12" i="75"/>
  <c r="CW12" i="75"/>
  <c r="CV12" i="75"/>
  <c r="CU12" i="75"/>
  <c r="CT12" i="75"/>
  <c r="CS12" i="75" s="1"/>
  <c r="CQ12" i="75"/>
  <c r="CR12" i="75" s="1"/>
  <c r="CP12" i="75"/>
  <c r="CO12" i="75"/>
  <c r="CN12" i="75"/>
  <c r="CM12" i="75"/>
  <c r="CL12" i="75"/>
  <c r="CK12" i="75"/>
  <c r="CJ12" i="75"/>
  <c r="CI12" i="75"/>
  <c r="CH12" i="75" s="1"/>
  <c r="CF12" i="75"/>
  <c r="CG12" i="75" s="1"/>
  <c r="CE12" i="75"/>
  <c r="CD12" i="75"/>
  <c r="CC12" i="75"/>
  <c r="CB12" i="75"/>
  <c r="CA12" i="75"/>
  <c r="BZ12" i="75"/>
  <c r="BY12" i="75"/>
  <c r="BX12" i="75"/>
  <c r="BW12" i="75" s="1"/>
  <c r="BU12" i="75"/>
  <c r="BV12" i="75" s="1"/>
  <c r="BT12" i="75"/>
  <c r="BS12" i="75"/>
  <c r="BR12" i="75"/>
  <c r="BQ12" i="75"/>
  <c r="BP12" i="75"/>
  <c r="BO12" i="75"/>
  <c r="BN12" i="75"/>
  <c r="BM12" i="75"/>
  <c r="BL12" i="75"/>
  <c r="BJ12" i="75"/>
  <c r="BK12" i="75" s="1"/>
  <c r="GM12" i="75" s="1"/>
  <c r="BI12" i="75"/>
  <c r="GK12" i="75" s="1"/>
  <c r="BH12" i="75"/>
  <c r="GJ12" i="75" s="1"/>
  <c r="BG12" i="75"/>
  <c r="GI12" i="75" s="1"/>
  <c r="BF12" i="75"/>
  <c r="GH12" i="75" s="1"/>
  <c r="BE12" i="75"/>
  <c r="GG12" i="75" s="1"/>
  <c r="BD12" i="75"/>
  <c r="GF12" i="75" s="1"/>
  <c r="BC12" i="75"/>
  <c r="GE12" i="75" s="1"/>
  <c r="BB12" i="75"/>
  <c r="BA12" i="75" s="1"/>
  <c r="GC12" i="75" s="1"/>
  <c r="AY12" i="75"/>
  <c r="GA12" i="75" s="1"/>
  <c r="AX12" i="75"/>
  <c r="FZ12" i="75" s="1"/>
  <c r="AW12" i="75"/>
  <c r="FY12" i="75" s="1"/>
  <c r="AV12" i="75"/>
  <c r="FX12" i="75" s="1"/>
  <c r="AU12" i="75"/>
  <c r="FW12" i="75" s="1"/>
  <c r="AT12" i="75"/>
  <c r="FV12" i="75" s="1"/>
  <c r="AS12" i="75"/>
  <c r="FU12" i="75" s="1"/>
  <c r="AR12" i="75"/>
  <c r="FT12" i="75" s="1"/>
  <c r="AQ12" i="75"/>
  <c r="AP12" i="75" s="1"/>
  <c r="FR12" i="75" s="1"/>
  <c r="AN12" i="75"/>
  <c r="AO12" i="75" s="1"/>
  <c r="FQ12" i="75" s="1"/>
  <c r="AM12" i="75"/>
  <c r="FO12" i="75" s="1"/>
  <c r="AL12" i="75"/>
  <c r="FN12" i="75" s="1"/>
  <c r="AK12" i="75"/>
  <c r="FM12" i="75" s="1"/>
  <c r="AJ12" i="75"/>
  <c r="FL12" i="75" s="1"/>
  <c r="AI12" i="75"/>
  <c r="FK12" i="75" s="1"/>
  <c r="AH12" i="75"/>
  <c r="FJ12" i="75" s="1"/>
  <c r="AG12" i="75"/>
  <c r="FI12" i="75" s="1"/>
  <c r="AF12" i="75"/>
  <c r="FH12" i="75" s="1"/>
  <c r="AC12" i="75"/>
  <c r="FE12" i="75" s="1"/>
  <c r="AB12" i="75"/>
  <c r="FD12" i="75" s="1"/>
  <c r="AA12" i="75"/>
  <c r="FC12" i="75" s="1"/>
  <c r="Z12" i="75"/>
  <c r="FB12" i="75" s="1"/>
  <c r="Y12" i="75"/>
  <c r="FA12" i="75" s="1"/>
  <c r="X12" i="75"/>
  <c r="EZ12" i="75" s="1"/>
  <c r="W12" i="75"/>
  <c r="EY12" i="75" s="1"/>
  <c r="V12" i="75"/>
  <c r="EX12" i="75" s="1"/>
  <c r="U12" i="75"/>
  <c r="EW12" i="75" s="1"/>
  <c r="EV12" i="75" s="1"/>
  <c r="S12" i="75"/>
  <c r="T12" i="75" s="1"/>
  <c r="EU12" i="75" s="1"/>
  <c r="R12" i="75"/>
  <c r="ES12" i="75" s="1"/>
  <c r="Q12" i="75"/>
  <c r="ER12" i="75" s="1"/>
  <c r="P12" i="75"/>
  <c r="EQ12" i="75" s="1"/>
  <c r="O12" i="75"/>
  <c r="EP12" i="75" s="1"/>
  <c r="N12" i="75"/>
  <c r="EO12" i="75" s="1"/>
  <c r="M12" i="75"/>
  <c r="EN12" i="75" s="1"/>
  <c r="L12" i="75"/>
  <c r="EM12" i="75" s="1"/>
  <c r="K12" i="75"/>
  <c r="EL12" i="75" s="1"/>
  <c r="EK12" i="75" s="1"/>
  <c r="J12" i="75"/>
  <c r="F12" i="75"/>
  <c r="E12" i="75"/>
  <c r="D12" i="75"/>
  <c r="F55" i="14"/>
  <c r="C55" i="14"/>
  <c r="B55" i="14"/>
  <c r="A55" i="14"/>
  <c r="C54" i="14"/>
  <c r="B54" i="14"/>
  <c r="A54" i="14"/>
  <c r="C53" i="14"/>
  <c r="B53" i="14"/>
  <c r="A53" i="14"/>
  <c r="C52" i="14"/>
  <c r="B52" i="14"/>
  <c r="A52" i="14"/>
  <c r="C51" i="14"/>
  <c r="B51" i="14"/>
  <c r="A51" i="14"/>
  <c r="C50" i="14"/>
  <c r="B50" i="14"/>
  <c r="A50" i="14"/>
  <c r="C49" i="14"/>
  <c r="B49" i="14"/>
  <c r="A49" i="14"/>
  <c r="C48" i="14"/>
  <c r="B48" i="14"/>
  <c r="A48" i="14"/>
  <c r="C42" i="14"/>
  <c r="B42" i="14"/>
  <c r="A42" i="14"/>
  <c r="F41" i="14"/>
  <c r="F10" i="88" s="1"/>
  <c r="C41" i="14"/>
  <c r="B41" i="14"/>
  <c r="C29" i="88"/>
  <c r="B29" i="88"/>
  <c r="A29" i="88"/>
  <c r="C28" i="88"/>
  <c r="B28" i="88"/>
  <c r="A28" i="88"/>
  <c r="C27" i="88"/>
  <c r="B27" i="88"/>
  <c r="A27" i="88"/>
  <c r="C26" i="88"/>
  <c r="B26" i="88"/>
  <c r="A26" i="88"/>
  <c r="C25" i="88"/>
  <c r="B25" i="88"/>
  <c r="A25" i="88"/>
  <c r="E24" i="88"/>
  <c r="C24" i="88"/>
  <c r="B24" i="88"/>
  <c r="A24" i="88"/>
  <c r="C12" i="107"/>
  <c r="B12" i="107"/>
  <c r="A12" i="107"/>
  <c r="E23" i="88"/>
  <c r="C23" i="88"/>
  <c r="B23" i="88"/>
  <c r="A23" i="88"/>
  <c r="C22" i="88"/>
  <c r="B22" i="88"/>
  <c r="A22" i="88"/>
  <c r="C21" i="88"/>
  <c r="B21" i="88"/>
  <c r="A21" i="88"/>
  <c r="F20" i="88"/>
  <c r="E20" i="88"/>
  <c r="C20" i="88"/>
  <c r="B20" i="88"/>
  <c r="A20" i="88"/>
  <c r="C19" i="88"/>
  <c r="B19" i="88"/>
  <c r="A19" i="88"/>
  <c r="F18" i="88"/>
  <c r="E18" i="88"/>
  <c r="C18" i="88"/>
  <c r="B18" i="88"/>
  <c r="A18" i="88"/>
  <c r="C17" i="88"/>
  <c r="B17" i="88"/>
  <c r="A17" i="88"/>
  <c r="I32" i="14"/>
  <c r="H32" i="14"/>
  <c r="G32" i="14"/>
  <c r="F32" i="14"/>
  <c r="F14" i="107" s="1"/>
  <c r="E32" i="14"/>
  <c r="E14" i="107" s="1"/>
  <c r="C32" i="14"/>
  <c r="B32" i="14"/>
  <c r="C27" i="11" s="1"/>
  <c r="A14" i="107"/>
  <c r="BA31" i="14"/>
  <c r="BA32" i="14" s="1"/>
  <c r="AF31" i="14"/>
  <c r="K31" i="14"/>
  <c r="K32" i="14" s="1"/>
  <c r="C42" i="93" s="1"/>
  <c r="E42" i="93" s="1"/>
  <c r="C31" i="14"/>
  <c r="D26" i="11" s="1"/>
  <c r="B31" i="14"/>
  <c r="C26" i="11" s="1"/>
  <c r="E16" i="88"/>
  <c r="C16" i="88"/>
  <c r="B16" i="88"/>
  <c r="A16" i="88"/>
  <c r="AF29" i="14"/>
  <c r="V29" i="14"/>
  <c r="W29" i="14" s="1"/>
  <c r="X29" i="14" s="1"/>
  <c r="Y29" i="14" s="1"/>
  <c r="Z29" i="14" s="1"/>
  <c r="AA29" i="14" s="1"/>
  <c r="AB29" i="14" s="1"/>
  <c r="AC29" i="14" s="1"/>
  <c r="AD29" i="14" s="1"/>
  <c r="AE29" i="14" s="1"/>
  <c r="F7" i="100"/>
  <c r="G7" i="100" s="1"/>
  <c r="C29" i="14"/>
  <c r="D25" i="11" s="1"/>
  <c r="B29" i="14"/>
  <c r="C25" i="11" s="1"/>
  <c r="A29" i="14"/>
  <c r="C15" i="88"/>
  <c r="B15" i="88"/>
  <c r="A15" i="88"/>
  <c r="AF28" i="14"/>
  <c r="V28" i="14"/>
  <c r="W28" i="14" s="1"/>
  <c r="X28" i="14" s="1"/>
  <c r="Y28" i="14" s="1"/>
  <c r="Z28" i="14" s="1"/>
  <c r="AA28" i="14" s="1"/>
  <c r="AB28" i="14" s="1"/>
  <c r="AC28" i="14" s="1"/>
  <c r="AD28" i="14" s="1"/>
  <c r="AE28" i="14" s="1"/>
  <c r="F6" i="100"/>
  <c r="G6" i="100" s="1"/>
  <c r="C28" i="14"/>
  <c r="D24" i="11" s="1"/>
  <c r="B28" i="14"/>
  <c r="C24" i="11" s="1"/>
  <c r="A28" i="14"/>
  <c r="E7" i="100"/>
  <c r="E6" i="100"/>
  <c r="F26" i="14"/>
  <c r="E26" i="14"/>
  <c r="C26" i="14"/>
  <c r="D23" i="11" s="1"/>
  <c r="B26" i="14"/>
  <c r="C23" i="11" s="1"/>
  <c r="F25" i="14"/>
  <c r="E25" i="14"/>
  <c r="C25" i="14"/>
  <c r="B25" i="14"/>
  <c r="BA24" i="14"/>
  <c r="I24" i="14" s="1"/>
  <c r="AK24" i="14"/>
  <c r="AJ24" i="14"/>
  <c r="AI24" i="14"/>
  <c r="AH24" i="14"/>
  <c r="AG24" i="14"/>
  <c r="AF24" i="14"/>
  <c r="AF98" i="109" s="1"/>
  <c r="F24" i="14"/>
  <c r="F7" i="97" s="1"/>
  <c r="E24" i="14"/>
  <c r="E7" i="97" s="1"/>
  <c r="C24" i="14"/>
  <c r="B24" i="14"/>
  <c r="A24" i="14"/>
  <c r="BA23" i="14"/>
  <c r="I23" i="14" s="1"/>
  <c r="AF23" i="14"/>
  <c r="F23" i="14"/>
  <c r="E23" i="14"/>
  <c r="C23" i="14"/>
  <c r="D20" i="11" s="1"/>
  <c r="B23" i="14"/>
  <c r="C20" i="11" s="1"/>
  <c r="A23" i="14"/>
  <c r="B20" i="11" s="1"/>
  <c r="F229" i="75"/>
  <c r="F228" i="75"/>
  <c r="E229" i="75"/>
  <c r="F227" i="75"/>
  <c r="E228" i="75"/>
  <c r="F226" i="75"/>
  <c r="E227" i="75"/>
  <c r="F221" i="75"/>
  <c r="E226" i="75"/>
  <c r="F215" i="75"/>
  <c r="E210" i="75"/>
  <c r="F206" i="75"/>
  <c r="F205" i="75"/>
  <c r="E205" i="75"/>
  <c r="F203" i="75"/>
  <c r="E203" i="75"/>
  <c r="F202" i="75"/>
  <c r="E202" i="75"/>
  <c r="F201" i="75"/>
  <c r="E201" i="75"/>
  <c r="E196" i="75"/>
  <c r="F187" i="75"/>
  <c r="F184" i="75"/>
  <c r="E184" i="75"/>
  <c r="E176" i="75"/>
  <c r="F171" i="75"/>
  <c r="E171" i="75"/>
  <c r="F166" i="75"/>
  <c r="F164" i="75"/>
  <c r="E164" i="75"/>
  <c r="BA21" i="14"/>
  <c r="I21" i="14" s="1"/>
  <c r="AF21" i="14"/>
  <c r="K21" i="14"/>
  <c r="F21" i="14"/>
  <c r="F40" i="75" s="1"/>
  <c r="E21" i="14"/>
  <c r="E40" i="75" s="1"/>
  <c r="B21" i="14"/>
  <c r="C19" i="11" s="1"/>
  <c r="BA20" i="14"/>
  <c r="I20" i="14" s="1"/>
  <c r="AF20" i="14"/>
  <c r="F20" i="14"/>
  <c r="F39" i="75" s="1"/>
  <c r="E20" i="14"/>
  <c r="E39" i="75" s="1"/>
  <c r="B20" i="14"/>
  <c r="A20" i="14"/>
  <c r="B18" i="11" s="1"/>
  <c r="BA19" i="14"/>
  <c r="I19" i="14" s="1"/>
  <c r="AF19" i="14"/>
  <c r="F19" i="14"/>
  <c r="F34" i="75" s="1"/>
  <c r="E19" i="14"/>
  <c r="E32" i="75" s="1"/>
  <c r="B19" i="14"/>
  <c r="A19" i="14"/>
  <c r="B17" i="11" s="1"/>
  <c r="BA18" i="14"/>
  <c r="I18" i="14" s="1"/>
  <c r="AF18" i="14"/>
  <c r="F18" i="14"/>
  <c r="E18" i="14"/>
  <c r="E25" i="75" s="1"/>
  <c r="B18" i="14"/>
  <c r="A18" i="14"/>
  <c r="B16" i="11" s="1"/>
  <c r="F155" i="75"/>
  <c r="E155" i="75"/>
  <c r="F154" i="75"/>
  <c r="F153" i="75"/>
  <c r="F152" i="75"/>
  <c r="F151" i="75"/>
  <c r="F150" i="75"/>
  <c r="F149" i="75"/>
  <c r="E149" i="75"/>
  <c r="F148" i="75"/>
  <c r="E148" i="75"/>
  <c r="F147" i="75"/>
  <c r="E147" i="75"/>
  <c r="F146" i="75"/>
  <c r="F145" i="75"/>
  <c r="F144" i="75"/>
  <c r="F143" i="75"/>
  <c r="F142" i="75"/>
  <c r="F141" i="75"/>
  <c r="F140" i="75"/>
  <c r="F139" i="75"/>
  <c r="F138" i="75"/>
  <c r="F137" i="75"/>
  <c r="F136" i="75"/>
  <c r="F135" i="75"/>
  <c r="F134" i="75"/>
  <c r="BA16" i="14"/>
  <c r="I16" i="14" s="1"/>
  <c r="AF16" i="14"/>
  <c r="K16" i="14"/>
  <c r="F16" i="14"/>
  <c r="F24" i="75" s="1"/>
  <c r="C16" i="14"/>
  <c r="D15" i="11" s="1"/>
  <c r="B16" i="14"/>
  <c r="C15" i="11" s="1"/>
  <c r="BA15" i="14"/>
  <c r="I15" i="14" s="1"/>
  <c r="AF15" i="14"/>
  <c r="K15" i="14"/>
  <c r="F15" i="14"/>
  <c r="F23" i="75" s="1"/>
  <c r="C15" i="14"/>
  <c r="D14" i="11" s="1"/>
  <c r="B15" i="14"/>
  <c r="C14" i="11" s="1"/>
  <c r="E133" i="75"/>
  <c r="E132" i="75"/>
  <c r="C121" i="75"/>
  <c r="B120" i="75"/>
  <c r="E113" i="75"/>
  <c r="C113" i="75"/>
  <c r="B113" i="75"/>
  <c r="E104" i="75"/>
  <c r="C106" i="75"/>
  <c r="B102" i="75"/>
  <c r="B17" i="74"/>
  <c r="A17" i="74"/>
  <c r="B101" i="75"/>
  <c r="A101" i="75"/>
  <c r="A100" i="75"/>
  <c r="A99" i="75"/>
  <c r="A98" i="75"/>
  <c r="A97" i="75"/>
  <c r="E93" i="75"/>
  <c r="C96" i="75"/>
  <c r="B93" i="75"/>
  <c r="C91" i="75"/>
  <c r="B91" i="75"/>
  <c r="E82" i="75"/>
  <c r="C86" i="75"/>
  <c r="B83" i="75"/>
  <c r="E80" i="75"/>
  <c r="C78" i="75"/>
  <c r="B78" i="75"/>
  <c r="E75" i="75"/>
  <c r="B76" i="75"/>
  <c r="AF13" i="14"/>
  <c r="K13" i="14"/>
  <c r="I13" i="14"/>
  <c r="B13" i="14"/>
  <c r="A13" i="14"/>
  <c r="B13" i="11" s="1"/>
  <c r="BA12" i="14"/>
  <c r="I12" i="14" s="1"/>
  <c r="AF12" i="14"/>
  <c r="V12" i="14"/>
  <c r="W12" i="14" s="1"/>
  <c r="X12" i="14" s="1"/>
  <c r="Y12" i="14" s="1"/>
  <c r="Z12" i="14" s="1"/>
  <c r="AA12" i="14" s="1"/>
  <c r="AB12" i="14" s="1"/>
  <c r="AC12" i="14" s="1"/>
  <c r="AD12" i="14" s="1"/>
  <c r="AE12" i="14" s="1"/>
  <c r="K12" i="14"/>
  <c r="C12" i="14"/>
  <c r="B12" i="14"/>
  <c r="A17" i="75"/>
  <c r="BA11" i="14"/>
  <c r="I11" i="14" s="1"/>
  <c r="AF11" i="14"/>
  <c r="K11" i="14"/>
  <c r="C11" i="14"/>
  <c r="B11" i="14"/>
  <c r="C11" i="11" s="1"/>
  <c r="A11" i="14"/>
  <c r="B11" i="11" s="1"/>
  <c r="B18" i="80"/>
  <c r="B38" i="88"/>
  <c r="A38" i="88"/>
  <c r="E37" i="88"/>
  <c r="A110" i="74"/>
  <c r="A37" i="88"/>
  <c r="E36" i="88"/>
  <c r="A109" i="74"/>
  <c r="A36" i="88"/>
  <c r="E35" i="88"/>
  <c r="A108" i="74"/>
  <c r="A35" i="88"/>
  <c r="E34" i="88"/>
  <c r="B34" i="88"/>
  <c r="A34" i="88"/>
  <c r="E33" i="88"/>
  <c r="A106" i="74"/>
  <c r="A33" i="88"/>
  <c r="E32" i="88"/>
  <c r="A32" i="88"/>
  <c r="E31" i="88"/>
  <c r="A31" i="88"/>
  <c r="AF9" i="14"/>
  <c r="I9" i="14"/>
  <c r="C9" i="14"/>
  <c r="B9" i="14"/>
  <c r="A11" i="107"/>
  <c r="BA8" i="14"/>
  <c r="I8" i="14" s="1"/>
  <c r="AF8" i="14"/>
  <c r="K8" i="14"/>
  <c r="K50" i="101" s="1"/>
  <c r="E22" i="66" s="1"/>
  <c r="E8" i="14"/>
  <c r="E10" i="107" s="1"/>
  <c r="B8" i="14"/>
  <c r="A8" i="14"/>
  <c r="D79" i="42"/>
  <c r="C79" i="42"/>
  <c r="B79" i="42"/>
  <c r="A79" i="42"/>
  <c r="O78" i="42"/>
  <c r="N78" i="42"/>
  <c r="M78" i="42"/>
  <c r="L78" i="42"/>
  <c r="K78" i="42"/>
  <c r="J78" i="42"/>
  <c r="I78" i="42"/>
  <c r="H78" i="42"/>
  <c r="G78" i="42"/>
  <c r="F78" i="42"/>
  <c r="E78" i="42"/>
  <c r="C78" i="42"/>
  <c r="B78" i="42"/>
  <c r="A78" i="42"/>
  <c r="C77" i="42"/>
  <c r="B77" i="42"/>
  <c r="A77" i="42"/>
  <c r="C76" i="42"/>
  <c r="B76" i="42"/>
  <c r="A76" i="42"/>
  <c r="O75" i="42"/>
  <c r="N75" i="42"/>
  <c r="M75" i="42"/>
  <c r="L75" i="42"/>
  <c r="K75" i="42"/>
  <c r="J75" i="42"/>
  <c r="I75" i="42"/>
  <c r="H75" i="42"/>
  <c r="G75" i="42"/>
  <c r="F75" i="42"/>
  <c r="E75" i="42"/>
  <c r="C75" i="42"/>
  <c r="B75" i="42"/>
  <c r="A75" i="42"/>
  <c r="O74" i="42"/>
  <c r="N74" i="42"/>
  <c r="M74" i="42"/>
  <c r="L74" i="42"/>
  <c r="K74" i="42"/>
  <c r="J74" i="42"/>
  <c r="I74" i="42"/>
  <c r="H74" i="42"/>
  <c r="G74" i="42"/>
  <c r="F74" i="42"/>
  <c r="E74" i="42"/>
  <c r="C74" i="42"/>
  <c r="B74" i="42"/>
  <c r="A74" i="42"/>
  <c r="O73" i="42"/>
  <c r="N73" i="42"/>
  <c r="M73" i="42"/>
  <c r="L73" i="42"/>
  <c r="K73" i="42"/>
  <c r="J73" i="42"/>
  <c r="I73" i="42"/>
  <c r="H73" i="42"/>
  <c r="G73" i="42"/>
  <c r="C73" i="42"/>
  <c r="B73" i="42"/>
  <c r="A73" i="42"/>
  <c r="C72" i="42"/>
  <c r="B72" i="42"/>
  <c r="C71" i="42"/>
  <c r="B71" i="42"/>
  <c r="A71" i="42"/>
  <c r="C70" i="42"/>
  <c r="B70" i="42"/>
  <c r="D68" i="42"/>
  <c r="C68" i="42"/>
  <c r="B68" i="42"/>
  <c r="A68" i="42"/>
  <c r="O67" i="42"/>
  <c r="N67" i="42"/>
  <c r="M67" i="42"/>
  <c r="L67" i="42"/>
  <c r="K67" i="42"/>
  <c r="J67" i="42"/>
  <c r="I67" i="42"/>
  <c r="H67" i="42"/>
  <c r="G67" i="42"/>
  <c r="F67" i="42"/>
  <c r="E67" i="42"/>
  <c r="C67" i="42"/>
  <c r="B67" i="42"/>
  <c r="A67" i="42"/>
  <c r="C66" i="42"/>
  <c r="B66" i="42"/>
  <c r="A66" i="42"/>
  <c r="C65" i="42"/>
  <c r="B65" i="42"/>
  <c r="A65" i="42"/>
  <c r="O64" i="42"/>
  <c r="N64" i="42"/>
  <c r="M64" i="42"/>
  <c r="L64" i="42"/>
  <c r="K64" i="42"/>
  <c r="J64" i="42"/>
  <c r="I64" i="42"/>
  <c r="H64" i="42"/>
  <c r="G64" i="42"/>
  <c r="F64" i="42"/>
  <c r="E64" i="42"/>
  <c r="C64" i="42"/>
  <c r="B64" i="42"/>
  <c r="A64" i="42"/>
  <c r="O63" i="42"/>
  <c r="N63" i="42"/>
  <c r="M63" i="42"/>
  <c r="L63" i="42"/>
  <c r="K63" i="42"/>
  <c r="J63" i="42"/>
  <c r="I63" i="42"/>
  <c r="H63" i="42"/>
  <c r="G63" i="42"/>
  <c r="F63" i="42"/>
  <c r="E63" i="42"/>
  <c r="C63" i="42"/>
  <c r="B63" i="42"/>
  <c r="A63" i="42"/>
  <c r="O62" i="42"/>
  <c r="N62" i="42"/>
  <c r="M62" i="42"/>
  <c r="L62" i="42"/>
  <c r="K62" i="42"/>
  <c r="J62" i="42"/>
  <c r="I62" i="42"/>
  <c r="H62" i="42"/>
  <c r="G62" i="42"/>
  <c r="F62" i="42"/>
  <c r="C62" i="42"/>
  <c r="B62" i="42"/>
  <c r="A62" i="42"/>
  <c r="C61" i="42"/>
  <c r="B61" i="42"/>
  <c r="C60" i="42"/>
  <c r="B60" i="42"/>
  <c r="A60" i="42"/>
  <c r="O59" i="42"/>
  <c r="N59" i="42"/>
  <c r="M59" i="42"/>
  <c r="L59" i="42"/>
  <c r="K59" i="42"/>
  <c r="J59" i="42"/>
  <c r="I59" i="42"/>
  <c r="H59" i="42"/>
  <c r="G59" i="42"/>
  <c r="F59" i="42"/>
  <c r="E59" i="42"/>
  <c r="C59" i="42"/>
  <c r="B59" i="42"/>
  <c r="D57" i="42"/>
  <c r="C57" i="42"/>
  <c r="B57" i="42"/>
  <c r="A57" i="42"/>
  <c r="O56" i="42"/>
  <c r="N56" i="42"/>
  <c r="M56" i="42"/>
  <c r="L56" i="42"/>
  <c r="K56" i="42"/>
  <c r="J56" i="42"/>
  <c r="I56" i="42"/>
  <c r="H56" i="42"/>
  <c r="G56" i="42"/>
  <c r="F56" i="42"/>
  <c r="E56" i="42"/>
  <c r="C56" i="42"/>
  <c r="B56" i="42"/>
  <c r="A56" i="42"/>
  <c r="O55" i="42"/>
  <c r="N55" i="42"/>
  <c r="M55" i="42"/>
  <c r="L55" i="42"/>
  <c r="K55" i="42"/>
  <c r="J55" i="42"/>
  <c r="I55" i="42"/>
  <c r="H55" i="42"/>
  <c r="G55" i="42"/>
  <c r="F55" i="42"/>
  <c r="E55" i="42"/>
  <c r="C55" i="42"/>
  <c r="B55" i="42"/>
  <c r="A55" i="42"/>
  <c r="C54" i="42"/>
  <c r="B54" i="42"/>
  <c r="A54" i="42"/>
  <c r="O53" i="42"/>
  <c r="N53" i="42"/>
  <c r="M53" i="42"/>
  <c r="L53" i="42"/>
  <c r="K53" i="42"/>
  <c r="J53" i="42"/>
  <c r="I53" i="42"/>
  <c r="H53" i="42"/>
  <c r="G53" i="42"/>
  <c r="F53" i="42"/>
  <c r="E53" i="42"/>
  <c r="C53" i="42"/>
  <c r="B53" i="42"/>
  <c r="A53" i="42"/>
  <c r="O52" i="42"/>
  <c r="N52" i="42"/>
  <c r="M52" i="42"/>
  <c r="L52" i="42"/>
  <c r="K52" i="42"/>
  <c r="J52" i="42"/>
  <c r="I52" i="42"/>
  <c r="H52" i="42"/>
  <c r="G52" i="42"/>
  <c r="F52" i="42"/>
  <c r="E52" i="42"/>
  <c r="C52" i="42"/>
  <c r="B52" i="42"/>
  <c r="A52" i="42"/>
  <c r="O51" i="42"/>
  <c r="N51" i="42"/>
  <c r="M51" i="42"/>
  <c r="L51" i="42"/>
  <c r="K51" i="42"/>
  <c r="J51" i="42"/>
  <c r="I51" i="42"/>
  <c r="H51" i="42"/>
  <c r="G51" i="42"/>
  <c r="E51" i="42"/>
  <c r="C51" i="42"/>
  <c r="B51" i="42"/>
  <c r="A51" i="42"/>
  <c r="C50" i="42"/>
  <c r="B50" i="42"/>
  <c r="C49" i="42"/>
  <c r="B49" i="42"/>
  <c r="A49" i="42"/>
  <c r="O48" i="42"/>
  <c r="N48" i="42"/>
  <c r="M48" i="42"/>
  <c r="L48" i="42"/>
  <c r="K48" i="42"/>
  <c r="J48" i="42"/>
  <c r="I48" i="42"/>
  <c r="H48" i="42"/>
  <c r="G48" i="42"/>
  <c r="F48" i="42"/>
  <c r="E48" i="42"/>
  <c r="C48" i="42"/>
  <c r="B48" i="42"/>
  <c r="D46" i="42"/>
  <c r="C46" i="42"/>
  <c r="B46" i="42"/>
  <c r="A46" i="42"/>
  <c r="O45" i="42"/>
  <c r="O14" i="42" s="1"/>
  <c r="N45" i="42"/>
  <c r="N14" i="42" s="1"/>
  <c r="M45" i="42"/>
  <c r="M14" i="42" s="1"/>
  <c r="L45" i="42"/>
  <c r="K45" i="42"/>
  <c r="J45" i="42"/>
  <c r="I45" i="42"/>
  <c r="H45" i="42"/>
  <c r="G45" i="42"/>
  <c r="F45" i="42"/>
  <c r="E45" i="42"/>
  <c r="C45" i="42"/>
  <c r="B45" i="42"/>
  <c r="A45" i="42"/>
  <c r="C44" i="42"/>
  <c r="B44" i="42"/>
  <c r="A44" i="42"/>
  <c r="C43" i="42"/>
  <c r="B43" i="42"/>
  <c r="A43" i="42"/>
  <c r="O42" i="42"/>
  <c r="O11" i="42" s="1"/>
  <c r="N42" i="42"/>
  <c r="N11" i="42" s="1"/>
  <c r="M42" i="42"/>
  <c r="M11" i="42" s="1"/>
  <c r="L42" i="42"/>
  <c r="K42" i="42"/>
  <c r="J42" i="42"/>
  <c r="I42" i="42"/>
  <c r="H42" i="42"/>
  <c r="G42" i="42"/>
  <c r="F42" i="42"/>
  <c r="E42" i="42"/>
  <c r="C42" i="42"/>
  <c r="B42" i="42"/>
  <c r="A42" i="42"/>
  <c r="O41" i="42"/>
  <c r="N41" i="42"/>
  <c r="M41" i="42"/>
  <c r="L41" i="42"/>
  <c r="K41" i="42"/>
  <c r="J41" i="42"/>
  <c r="I41" i="42"/>
  <c r="I10" i="42" s="1"/>
  <c r="H41" i="42"/>
  <c r="H10" i="42" s="1"/>
  <c r="G41" i="42"/>
  <c r="G10" i="42" s="1"/>
  <c r="F41" i="42"/>
  <c r="E41" i="42"/>
  <c r="C41" i="42"/>
  <c r="B41" i="42"/>
  <c r="A41" i="42"/>
  <c r="O40" i="42"/>
  <c r="N40" i="42"/>
  <c r="M40" i="42"/>
  <c r="L40" i="42"/>
  <c r="K40" i="42"/>
  <c r="J40" i="42"/>
  <c r="I40" i="42"/>
  <c r="H40" i="42"/>
  <c r="G40" i="42"/>
  <c r="C40" i="42"/>
  <c r="B40" i="42"/>
  <c r="A40" i="42"/>
  <c r="C39" i="42"/>
  <c r="B39" i="42"/>
  <c r="C38" i="42"/>
  <c r="B38" i="42"/>
  <c r="A38" i="42"/>
  <c r="O37" i="42"/>
  <c r="N37" i="42"/>
  <c r="M37" i="42"/>
  <c r="L37" i="42"/>
  <c r="K37" i="42"/>
  <c r="J37" i="42"/>
  <c r="I37" i="42"/>
  <c r="H37" i="42"/>
  <c r="G37" i="42"/>
  <c r="F37" i="42"/>
  <c r="E37" i="42"/>
  <c r="C37" i="42"/>
  <c r="B37" i="42"/>
  <c r="D35" i="42"/>
  <c r="C35" i="42"/>
  <c r="B35" i="42"/>
  <c r="A35" i="42"/>
  <c r="O34" i="42"/>
  <c r="N34" i="42"/>
  <c r="M34" i="42"/>
  <c r="L34" i="42"/>
  <c r="K34" i="42"/>
  <c r="J34" i="42"/>
  <c r="I34" i="42"/>
  <c r="H34" i="42"/>
  <c r="G34" i="42"/>
  <c r="F34" i="42"/>
  <c r="E34" i="42"/>
  <c r="C34" i="42"/>
  <c r="B34" i="42"/>
  <c r="A34" i="42"/>
  <c r="C33" i="42"/>
  <c r="B33" i="42"/>
  <c r="A33" i="42"/>
  <c r="C32" i="42"/>
  <c r="B32" i="42"/>
  <c r="A32" i="42"/>
  <c r="O31" i="42"/>
  <c r="N31" i="42"/>
  <c r="M31" i="42"/>
  <c r="L31" i="42"/>
  <c r="K31" i="42"/>
  <c r="K11" i="42" s="1"/>
  <c r="J31" i="42"/>
  <c r="I31" i="42"/>
  <c r="H31" i="42"/>
  <c r="G31" i="42"/>
  <c r="F31" i="42"/>
  <c r="E31" i="42"/>
  <c r="C31" i="42"/>
  <c r="B31" i="42"/>
  <c r="A31" i="42"/>
  <c r="O30" i="42"/>
  <c r="N30" i="42"/>
  <c r="M30" i="42"/>
  <c r="L30" i="42"/>
  <c r="K30" i="42"/>
  <c r="J30" i="42"/>
  <c r="I30" i="42"/>
  <c r="H30" i="42"/>
  <c r="G30" i="42"/>
  <c r="F30" i="42"/>
  <c r="E30" i="42"/>
  <c r="E10" i="42" s="1"/>
  <c r="C30" i="42"/>
  <c r="B30" i="42"/>
  <c r="A30" i="42"/>
  <c r="O29" i="42"/>
  <c r="N29" i="42"/>
  <c r="M29" i="42"/>
  <c r="L29" i="42"/>
  <c r="K29" i="42"/>
  <c r="J29" i="42"/>
  <c r="I29" i="42"/>
  <c r="H29" i="42"/>
  <c r="G29" i="42"/>
  <c r="F29" i="42"/>
  <c r="C29" i="42"/>
  <c r="B29" i="42"/>
  <c r="A29" i="42"/>
  <c r="C28" i="42"/>
  <c r="B28" i="42"/>
  <c r="C27" i="42"/>
  <c r="B27" i="42"/>
  <c r="A27" i="42"/>
  <c r="O26" i="42"/>
  <c r="N26" i="42"/>
  <c r="M26" i="42"/>
  <c r="L26" i="42"/>
  <c r="K26" i="42"/>
  <c r="J26" i="42"/>
  <c r="I26" i="42"/>
  <c r="H26" i="42"/>
  <c r="G26" i="42"/>
  <c r="F26" i="42"/>
  <c r="E26" i="42"/>
  <c r="C26" i="42"/>
  <c r="B26" i="42"/>
  <c r="O24" i="42"/>
  <c r="N24" i="42"/>
  <c r="M24" i="42"/>
  <c r="L24" i="42"/>
  <c r="K24" i="42"/>
  <c r="J24" i="42"/>
  <c r="I24" i="42"/>
  <c r="H24" i="42"/>
  <c r="G24" i="42"/>
  <c r="F24" i="42"/>
  <c r="E24" i="42"/>
  <c r="C24" i="42"/>
  <c r="C14" i="42" s="1"/>
  <c r="O22" i="42"/>
  <c r="N22" i="42"/>
  <c r="M22" i="42"/>
  <c r="L22" i="42"/>
  <c r="K22" i="42"/>
  <c r="J22" i="42"/>
  <c r="I22" i="42"/>
  <c r="H22" i="42"/>
  <c r="F22" i="42"/>
  <c r="O21" i="42"/>
  <c r="N21" i="42"/>
  <c r="M21" i="42"/>
  <c r="L21" i="42"/>
  <c r="K21" i="42"/>
  <c r="J21" i="42"/>
  <c r="I21" i="42"/>
  <c r="H21" i="42"/>
  <c r="G21" i="42"/>
  <c r="F21" i="42"/>
  <c r="E21" i="42"/>
  <c r="E11" i="42" s="1"/>
  <c r="O20" i="42"/>
  <c r="O10" i="42" s="1"/>
  <c r="N20" i="42"/>
  <c r="N10" i="42" s="1"/>
  <c r="M20" i="42"/>
  <c r="M10" i="42" s="1"/>
  <c r="L20" i="42"/>
  <c r="K20" i="42"/>
  <c r="J20" i="42"/>
  <c r="I20" i="42"/>
  <c r="H20" i="42"/>
  <c r="G20" i="42"/>
  <c r="F20" i="42"/>
  <c r="E20" i="42"/>
  <c r="C20" i="42"/>
  <c r="C10" i="42" s="1"/>
  <c r="B20" i="42"/>
  <c r="B10" i="42" s="1"/>
  <c r="O19" i="42"/>
  <c r="N19" i="42"/>
  <c r="M19" i="42"/>
  <c r="M9" i="42" s="1"/>
  <c r="L19" i="42"/>
  <c r="L9" i="42" s="1"/>
  <c r="K19" i="42"/>
  <c r="K9" i="42" s="1"/>
  <c r="J19" i="42"/>
  <c r="J9" i="42" s="1"/>
  <c r="I19" i="42"/>
  <c r="H19" i="42"/>
  <c r="H9" i="42" s="1"/>
  <c r="G19" i="42"/>
  <c r="G9" i="42" s="1"/>
  <c r="F19" i="42"/>
  <c r="E19" i="42"/>
  <c r="C19" i="42"/>
  <c r="C9" i="42" s="1"/>
  <c r="B19" i="42"/>
  <c r="B9" i="42" s="1"/>
  <c r="O18" i="42"/>
  <c r="H18" i="42"/>
  <c r="G18" i="42"/>
  <c r="F18" i="42"/>
  <c r="E18" i="42"/>
  <c r="O16" i="42"/>
  <c r="N16" i="42"/>
  <c r="M16" i="42"/>
  <c r="L16" i="42"/>
  <c r="K16" i="42"/>
  <c r="J16" i="42"/>
  <c r="I16" i="42"/>
  <c r="H16" i="42"/>
  <c r="G16" i="42"/>
  <c r="F16" i="42"/>
  <c r="E16" i="42"/>
  <c r="D14" i="42"/>
  <c r="B14" i="42"/>
  <c r="D13" i="42"/>
  <c r="C13" i="42"/>
  <c r="B13" i="42"/>
  <c r="D12" i="42"/>
  <c r="C12" i="42"/>
  <c r="B12" i="42"/>
  <c r="D11" i="42"/>
  <c r="C11" i="42"/>
  <c r="B11" i="42"/>
  <c r="D9" i="42"/>
  <c r="D10" i="42" s="1"/>
  <c r="D7" i="42"/>
  <c r="C7" i="42"/>
  <c r="B7" i="42"/>
  <c r="D6" i="42"/>
  <c r="C6" i="42"/>
  <c r="B6" i="42"/>
  <c r="D135" i="11"/>
  <c r="D134" i="11"/>
  <c r="D133" i="11"/>
  <c r="D132" i="11"/>
  <c r="C85" i="109" s="1"/>
  <c r="D131" i="11"/>
  <c r="D130" i="11"/>
  <c r="D129" i="11"/>
  <c r="D128" i="11"/>
  <c r="D125" i="11"/>
  <c r="D124" i="11"/>
  <c r="C77" i="109" s="1"/>
  <c r="D123" i="11"/>
  <c r="D122" i="11"/>
  <c r="D121" i="11"/>
  <c r="D120" i="11"/>
  <c r="C73" i="109" s="1"/>
  <c r="D119" i="11"/>
  <c r="D118" i="11"/>
  <c r="D117" i="11"/>
  <c r="D116" i="11"/>
  <c r="D115" i="11"/>
  <c r="D114" i="11"/>
  <c r="D113" i="11"/>
  <c r="B15" i="85" s="1"/>
  <c r="D112" i="11"/>
  <c r="C35" i="75" s="1"/>
  <c r="D111" i="11"/>
  <c r="C34" i="75" s="1"/>
  <c r="D110" i="11"/>
  <c r="C29" i="75" s="1"/>
  <c r="D109" i="11"/>
  <c r="D108" i="11"/>
  <c r="C64" i="109" s="1"/>
  <c r="D107" i="11"/>
  <c r="C63" i="109" s="1"/>
  <c r="D106" i="11"/>
  <c r="D105" i="11"/>
  <c r="D104" i="11"/>
  <c r="C60" i="109" s="1"/>
  <c r="D103" i="11"/>
  <c r="C59" i="109" s="1"/>
  <c r="D102" i="11"/>
  <c r="C58" i="109" s="1"/>
  <c r="D101" i="11"/>
  <c r="D100" i="11"/>
  <c r="D99" i="11"/>
  <c r="D98" i="11"/>
  <c r="C54" i="109" s="1"/>
  <c r="D97" i="11"/>
  <c r="D96" i="11"/>
  <c r="D95" i="11"/>
  <c r="C51" i="109" s="1"/>
  <c r="D94" i="11"/>
  <c r="D93" i="11"/>
  <c r="C49" i="109" s="1"/>
  <c r="D92" i="11"/>
  <c r="D91" i="11"/>
  <c r="C47" i="109" s="1"/>
  <c r="D90" i="11"/>
  <c r="D89" i="11"/>
  <c r="C45" i="109" s="1"/>
  <c r="D88" i="11"/>
  <c r="D87" i="11"/>
  <c r="C43" i="109" s="1"/>
  <c r="D86" i="11"/>
  <c r="D85" i="11"/>
  <c r="C41" i="109" s="1"/>
  <c r="D84" i="11"/>
  <c r="D83" i="11"/>
  <c r="C39" i="109" s="1"/>
  <c r="D82" i="11"/>
  <c r="D81" i="11"/>
  <c r="D59" i="11"/>
  <c r="D55" i="11"/>
  <c r="D54" i="11"/>
  <c r="D53" i="11"/>
  <c r="D52" i="11"/>
  <c r="D51" i="11"/>
  <c r="C10" i="109" s="1"/>
  <c r="D50" i="11"/>
  <c r="C9" i="109" s="1"/>
  <c r="D49" i="11"/>
  <c r="C8" i="109" s="1"/>
  <c r="D47" i="11"/>
  <c r="C8" i="14" s="1"/>
  <c r="C31" i="65" l="1"/>
  <c r="E40" i="42" s="1"/>
  <c r="D67" i="65"/>
  <c r="F73" i="42" s="1"/>
  <c r="C35" i="66"/>
  <c r="C19" i="65"/>
  <c r="E29" i="42" s="1"/>
  <c r="D31" i="65"/>
  <c r="F40" i="42" s="1"/>
  <c r="C34" i="66"/>
  <c r="D39" i="66"/>
  <c r="D7" i="66" s="1"/>
  <c r="F9" i="42"/>
  <c r="D4" i="66"/>
  <c r="G9" i="100"/>
  <c r="B18" i="100" s="1"/>
  <c r="C18" i="100" s="1"/>
  <c r="C22" i="100" s="1"/>
  <c r="F9" i="96"/>
  <c r="F11" i="96" s="1"/>
  <c r="G9" i="96" s="1"/>
  <c r="G10" i="96" s="1"/>
  <c r="B80" i="103"/>
  <c r="B88" i="103"/>
  <c r="I92" i="103"/>
  <c r="B83" i="103"/>
  <c r="B84" i="103"/>
  <c r="B85" i="103"/>
  <c r="E113" i="103"/>
  <c r="B86" i="103"/>
  <c r="B87" i="103"/>
  <c r="K24" i="14"/>
  <c r="K98" i="109" s="1"/>
  <c r="H131" i="82"/>
  <c r="L14" i="42"/>
  <c r="I9" i="42"/>
  <c r="F11" i="42"/>
  <c r="G11" i="42"/>
  <c r="G14" i="42"/>
  <c r="K10" i="42"/>
  <c r="L10" i="42"/>
  <c r="J11" i="42"/>
  <c r="O9" i="42"/>
  <c r="H14" i="42"/>
  <c r="I14" i="42"/>
  <c r="N9" i="42"/>
  <c r="F10" i="42"/>
  <c r="J10" i="42"/>
  <c r="K14" i="42"/>
  <c r="L11" i="42"/>
  <c r="H11" i="42"/>
  <c r="J14" i="42"/>
  <c r="F14" i="42"/>
  <c r="I11" i="42"/>
  <c r="E14" i="42"/>
  <c r="AO263" i="75"/>
  <c r="FQ263" i="75" s="1"/>
  <c r="BF248" i="75"/>
  <c r="GH248" i="75" s="1"/>
  <c r="CG240" i="75"/>
  <c r="CG247" i="75" s="1"/>
  <c r="FP14" i="75"/>
  <c r="ET123" i="75"/>
  <c r="AE129" i="75"/>
  <c r="FG129" i="75" s="1"/>
  <c r="BA130" i="75"/>
  <c r="GC130" i="75" s="1"/>
  <c r="AE160" i="75"/>
  <c r="FG160" i="75" s="1"/>
  <c r="BA175" i="75"/>
  <c r="GC175" i="75" s="1"/>
  <c r="BA187" i="75"/>
  <c r="GC187" i="75" s="1"/>
  <c r="AZ207" i="75"/>
  <c r="GB207" i="75" s="1"/>
  <c r="X250" i="75"/>
  <c r="EZ250" i="75" s="1"/>
  <c r="AB250" i="75"/>
  <c r="FD250" i="75" s="1"/>
  <c r="AD114" i="75"/>
  <c r="FF114" i="75" s="1"/>
  <c r="AC250" i="75"/>
  <c r="FE250" i="75" s="1"/>
  <c r="ET172" i="75"/>
  <c r="GL217" i="75"/>
  <c r="BA221" i="75"/>
  <c r="GC221" i="75" s="1"/>
  <c r="FS73" i="75"/>
  <c r="ET239" i="75"/>
  <c r="T218" i="75"/>
  <c r="EU218" i="75" s="1"/>
  <c r="BA13" i="75"/>
  <c r="GC13" i="75" s="1"/>
  <c r="T41" i="75"/>
  <c r="EU41" i="75" s="1"/>
  <c r="BA43" i="75"/>
  <c r="GC43" i="75" s="1"/>
  <c r="AP85" i="75"/>
  <c r="FR85" i="75" s="1"/>
  <c r="FE168" i="75"/>
  <c r="AE182" i="75"/>
  <c r="FG182" i="75" s="1"/>
  <c r="FH238" i="75"/>
  <c r="EO240" i="75"/>
  <c r="FS172" i="75"/>
  <c r="FK240" i="75"/>
  <c r="FJ256" i="75"/>
  <c r="AZ96" i="75"/>
  <c r="GB96" i="75" s="1"/>
  <c r="AE32" i="75"/>
  <c r="FG32" i="75" s="1"/>
  <c r="AP55" i="75"/>
  <c r="FR55" i="75" s="1"/>
  <c r="FE81" i="75"/>
  <c r="FE115" i="75"/>
  <c r="GD255" i="75"/>
  <c r="FV256" i="75"/>
  <c r="AD34" i="75"/>
  <c r="FF34" i="75" s="1"/>
  <c r="FS104" i="75"/>
  <c r="FH157" i="75"/>
  <c r="FS239" i="75"/>
  <c r="AE289" i="75"/>
  <c r="FG289" i="75" s="1"/>
  <c r="FB46" i="75"/>
  <c r="FH120" i="75"/>
  <c r="GA216" i="75"/>
  <c r="FM230" i="75"/>
  <c r="FH26" i="75"/>
  <c r="FZ46" i="75"/>
  <c r="FS48" i="75"/>
  <c r="T106" i="75"/>
  <c r="EU106" i="75" s="1"/>
  <c r="AP160" i="75"/>
  <c r="FR160" i="75" s="1"/>
  <c r="BA177" i="75"/>
  <c r="GC177" i="75" s="1"/>
  <c r="AZ185" i="75"/>
  <c r="GB185" i="75" s="1"/>
  <c r="CS230" i="75"/>
  <c r="CS245" i="75" s="1"/>
  <c r="AE239" i="75"/>
  <c r="FG239" i="75" s="1"/>
  <c r="K249" i="75"/>
  <c r="EL249" i="75" s="1"/>
  <c r="BC250" i="75"/>
  <c r="GE250" i="75" s="1"/>
  <c r="T260" i="75"/>
  <c r="EU260" i="75" s="1"/>
  <c r="AD33" i="75"/>
  <c r="FF33" i="75" s="1"/>
  <c r="GL46" i="75"/>
  <c r="FH162" i="75"/>
  <c r="M249" i="75"/>
  <c r="EN249" i="75" s="1"/>
  <c r="AP264" i="75"/>
  <c r="FR264" i="75" s="1"/>
  <c r="AP83" i="75"/>
  <c r="FR83" i="75" s="1"/>
  <c r="K248" i="75"/>
  <c r="EL248" i="75" s="1"/>
  <c r="O249" i="75"/>
  <c r="EP249" i="75" s="1"/>
  <c r="C12" i="75"/>
  <c r="D11" i="11"/>
  <c r="A7" i="97"/>
  <c r="B21" i="11"/>
  <c r="B7" i="97"/>
  <c r="C21" i="11"/>
  <c r="B57" i="93"/>
  <c r="D22" i="11"/>
  <c r="C7" i="97"/>
  <c r="D21" i="11"/>
  <c r="D4" i="102"/>
  <c r="A39" i="102" s="1"/>
  <c r="C17" i="11"/>
  <c r="A6" i="88"/>
  <c r="B24" i="11"/>
  <c r="C14" i="107"/>
  <c r="D27" i="11"/>
  <c r="A8" i="85"/>
  <c r="C12" i="11"/>
  <c r="C17" i="75"/>
  <c r="D12" i="11"/>
  <c r="D3" i="102"/>
  <c r="A32" i="102" s="1"/>
  <c r="C18" i="11"/>
  <c r="B11" i="107"/>
  <c r="C10" i="11"/>
  <c r="A7" i="88"/>
  <c r="B25" i="11"/>
  <c r="A57" i="93"/>
  <c r="C22" i="11"/>
  <c r="C11" i="107"/>
  <c r="D10" i="11"/>
  <c r="D5" i="102"/>
  <c r="A46" i="102" s="1"/>
  <c r="C16" i="11"/>
  <c r="B18" i="75"/>
  <c r="C13" i="11"/>
  <c r="C228" i="75"/>
  <c r="C87" i="109"/>
  <c r="B67" i="74"/>
  <c r="C88" i="109"/>
  <c r="B35" i="74"/>
  <c r="C48" i="109"/>
  <c r="B36" i="74"/>
  <c r="C50" i="109"/>
  <c r="C159" i="75"/>
  <c r="C67" i="109"/>
  <c r="B47" i="74"/>
  <c r="C68" i="109"/>
  <c r="C11" i="109"/>
  <c r="C34" i="88" s="1"/>
  <c r="C148" i="75"/>
  <c r="C52" i="109"/>
  <c r="B48" i="74"/>
  <c r="C69" i="109"/>
  <c r="A10" i="107"/>
  <c r="B9" i="11"/>
  <c r="C12" i="109"/>
  <c r="B108" i="74" s="1"/>
  <c r="C149" i="75"/>
  <c r="C53" i="109"/>
  <c r="B49" i="74"/>
  <c r="C70" i="109"/>
  <c r="B10" i="107"/>
  <c r="C9" i="11"/>
  <c r="B46" i="74"/>
  <c r="C10" i="107"/>
  <c r="D9" i="11"/>
  <c r="C13" i="109"/>
  <c r="C36" i="88" s="1"/>
  <c r="B50" i="74"/>
  <c r="C71" i="109"/>
  <c r="C150" i="75"/>
  <c r="C56" i="109"/>
  <c r="C151" i="75"/>
  <c r="C57" i="109"/>
  <c r="C194" i="75"/>
  <c r="C74" i="109"/>
  <c r="C182" i="75"/>
  <c r="C72" i="109"/>
  <c r="B24" i="74"/>
  <c r="C37" i="109"/>
  <c r="B25" i="74"/>
  <c r="C38" i="109"/>
  <c r="C198" i="75"/>
  <c r="C75" i="109"/>
  <c r="B39" i="74"/>
  <c r="C55" i="109"/>
  <c r="B55" i="74"/>
  <c r="C76" i="109"/>
  <c r="C14" i="109"/>
  <c r="B110" i="74" s="1"/>
  <c r="C153" i="75"/>
  <c r="C61" i="109"/>
  <c r="B57" i="74"/>
  <c r="C78" i="109"/>
  <c r="B27" i="74"/>
  <c r="C40" i="109"/>
  <c r="B29" i="74"/>
  <c r="C42" i="109"/>
  <c r="B44" i="74"/>
  <c r="C62" i="109"/>
  <c r="C207" i="75"/>
  <c r="C81" i="109"/>
  <c r="C211" i="75"/>
  <c r="C82" i="109"/>
  <c r="C217" i="75"/>
  <c r="C83" i="109"/>
  <c r="B45" i="74"/>
  <c r="C65" i="109"/>
  <c r="C222" i="75"/>
  <c r="C84" i="109"/>
  <c r="B31" i="74"/>
  <c r="C44" i="109"/>
  <c r="B33" i="74"/>
  <c r="C46" i="109"/>
  <c r="C168" i="75"/>
  <c r="B65" i="74"/>
  <c r="C86" i="109"/>
  <c r="AF32" i="14"/>
  <c r="AF147" i="109"/>
  <c r="AF148" i="109" s="1"/>
  <c r="AB148" i="109"/>
  <c r="AC147" i="109"/>
  <c r="AD151" i="109"/>
  <c r="AC152" i="109"/>
  <c r="AB100" i="109"/>
  <c r="AC99" i="109"/>
  <c r="AZ138" i="109"/>
  <c r="I137" i="109"/>
  <c r="AE112" i="109"/>
  <c r="AE113" i="109" s="1"/>
  <c r="AD113" i="109"/>
  <c r="K71" i="109"/>
  <c r="C26" i="75"/>
  <c r="C158" i="75"/>
  <c r="C227" i="75"/>
  <c r="B43" i="74"/>
  <c r="C141" i="75"/>
  <c r="C218" i="75"/>
  <c r="B66" i="74"/>
  <c r="C33" i="75"/>
  <c r="C38" i="75"/>
  <c r="C180" i="75"/>
  <c r="C161" i="75"/>
  <c r="C171" i="75"/>
  <c r="C135" i="75"/>
  <c r="C166" i="75"/>
  <c r="C152" i="75"/>
  <c r="C199" i="75"/>
  <c r="AS16" i="88"/>
  <c r="AN20" i="88"/>
  <c r="BF9" i="88"/>
  <c r="AS17" i="88"/>
  <c r="AS18" i="88" s="1"/>
  <c r="BA6" i="88"/>
  <c r="J17" i="88"/>
  <c r="J18" i="88" s="1"/>
  <c r="J6" i="88"/>
  <c r="AT6" i="88" s="1"/>
  <c r="W21" i="88"/>
  <c r="BG21" i="88" s="1"/>
  <c r="AD20" i="88"/>
  <c r="R23" i="88"/>
  <c r="BB23" i="88" s="1"/>
  <c r="W23" i="88"/>
  <c r="BG23" i="88" s="1"/>
  <c r="BA16" i="88"/>
  <c r="BA17" i="88"/>
  <c r="BA18" i="88" s="1"/>
  <c r="BF16" i="88"/>
  <c r="AS19" i="88"/>
  <c r="AS20" i="88" s="1"/>
  <c r="AS23" i="88"/>
  <c r="Q18" i="88"/>
  <c r="BA19" i="88"/>
  <c r="BA20" i="88" s="1"/>
  <c r="W6" i="88"/>
  <c r="BG6" i="88" s="1"/>
  <c r="BF19" i="88"/>
  <c r="BF20" i="88" s="1"/>
  <c r="V18" i="88"/>
  <c r="BF22" i="88"/>
  <c r="AS21" i="88"/>
  <c r="BB17" i="88"/>
  <c r="BB18" i="88" s="1"/>
  <c r="R18" i="88"/>
  <c r="BG17" i="88"/>
  <c r="BG18" i="88" s="1"/>
  <c r="W18" i="88"/>
  <c r="J20" i="88"/>
  <c r="AT19" i="88"/>
  <c r="AT20" i="88" s="1"/>
  <c r="AO17" i="88"/>
  <c r="AO18" i="88" s="1"/>
  <c r="R19" i="88"/>
  <c r="AS9" i="88"/>
  <c r="AI18" i="88"/>
  <c r="I20" i="88"/>
  <c r="R10" i="88"/>
  <c r="BB10" i="88" s="1"/>
  <c r="R22" i="88"/>
  <c r="BB22" i="88" s="1"/>
  <c r="J10" i="88"/>
  <c r="AT10" i="88" s="1"/>
  <c r="W19" i="88"/>
  <c r="AE17" i="88"/>
  <c r="AE18" i="88" s="1"/>
  <c r="BA21" i="88"/>
  <c r="R9" i="88"/>
  <c r="BB9" i="88" s="1"/>
  <c r="W10" i="88"/>
  <c r="BG10" i="88" s="1"/>
  <c r="BF17" i="88"/>
  <c r="BF18" i="88" s="1"/>
  <c r="J22" i="88"/>
  <c r="AT22" i="88" s="1"/>
  <c r="C28" i="75"/>
  <c r="C40" i="75"/>
  <c r="C147" i="75"/>
  <c r="C177" i="75"/>
  <c r="C193" i="75"/>
  <c r="C197" i="75"/>
  <c r="C206" i="75"/>
  <c r="B14" i="85"/>
  <c r="B42" i="74"/>
  <c r="C21" i="14"/>
  <c r="D19" i="11" s="1"/>
  <c r="C146" i="75"/>
  <c r="C157" i="75"/>
  <c r="C181" i="75"/>
  <c r="C192" i="75"/>
  <c r="C216" i="75"/>
  <c r="C220" i="75"/>
  <c r="C226" i="75"/>
  <c r="B41" i="74"/>
  <c r="B64" i="74"/>
  <c r="C187" i="75"/>
  <c r="C145" i="75"/>
  <c r="C165" i="75"/>
  <c r="C176" i="75"/>
  <c r="C215" i="75"/>
  <c r="B40" i="74"/>
  <c r="B63" i="74"/>
  <c r="C32" i="75"/>
  <c r="C39" i="75"/>
  <c r="C144" i="75"/>
  <c r="C210" i="75"/>
  <c r="B62" i="74"/>
  <c r="C143" i="75"/>
  <c r="C156" i="75"/>
  <c r="C164" i="75"/>
  <c r="C186" i="75"/>
  <c r="B38" i="74"/>
  <c r="B61" i="74"/>
  <c r="C19" i="14"/>
  <c r="C25" i="75"/>
  <c r="C27" i="75"/>
  <c r="C142" i="75"/>
  <c r="C170" i="75"/>
  <c r="C191" i="75"/>
  <c r="C196" i="75"/>
  <c r="B37" i="74"/>
  <c r="B60" i="74"/>
  <c r="C225" i="75"/>
  <c r="C37" i="75"/>
  <c r="C140" i="75"/>
  <c r="C155" i="75"/>
  <c r="C175" i="75"/>
  <c r="C203" i="75"/>
  <c r="C214" i="75"/>
  <c r="C219" i="75"/>
  <c r="C31" i="75"/>
  <c r="C139" i="75"/>
  <c r="C163" i="75"/>
  <c r="C169" i="75"/>
  <c r="C185" i="75"/>
  <c r="C202" i="75"/>
  <c r="C209" i="75"/>
  <c r="C224" i="75"/>
  <c r="B13" i="85"/>
  <c r="B34" i="74"/>
  <c r="C138" i="75"/>
  <c r="C154" i="75"/>
  <c r="C179" i="75"/>
  <c r="C195" i="75"/>
  <c r="C213" i="75"/>
  <c r="B56" i="74"/>
  <c r="C137" i="75"/>
  <c r="C160" i="75"/>
  <c r="C162" i="75"/>
  <c r="C200" i="75"/>
  <c r="C201" i="75"/>
  <c r="B32" i="74"/>
  <c r="C36" i="75"/>
  <c r="C136" i="75"/>
  <c r="C174" i="75"/>
  <c r="C184" i="75"/>
  <c r="C190" i="75"/>
  <c r="B54" i="74"/>
  <c r="C189" i="75"/>
  <c r="C212" i="75"/>
  <c r="B30" i="74"/>
  <c r="B53" i="74"/>
  <c r="C20" i="14"/>
  <c r="C30" i="75"/>
  <c r="C134" i="75"/>
  <c r="C172" i="75"/>
  <c r="C208" i="75"/>
  <c r="C223" i="75"/>
  <c r="B52" i="74"/>
  <c r="C167" i="75"/>
  <c r="C173" i="75"/>
  <c r="C183" i="75"/>
  <c r="B28" i="74"/>
  <c r="B51" i="74"/>
  <c r="C178" i="75"/>
  <c r="C221" i="75"/>
  <c r="C229" i="75"/>
  <c r="C188" i="75"/>
  <c r="B12" i="85"/>
  <c r="B26" i="74"/>
  <c r="C18" i="14"/>
  <c r="A42" i="93"/>
  <c r="B14" i="107"/>
  <c r="A8" i="88"/>
  <c r="A13" i="107"/>
  <c r="C8" i="88"/>
  <c r="C13" i="107"/>
  <c r="B8" i="88"/>
  <c r="B13" i="107"/>
  <c r="E8" i="88"/>
  <c r="E13" i="107"/>
  <c r="GA243" i="75"/>
  <c r="BX249" i="75"/>
  <c r="AE250" i="75"/>
  <c r="FG250" i="75" s="1"/>
  <c r="AP254" i="75"/>
  <c r="FR254" i="75" s="1"/>
  <c r="AP288" i="75"/>
  <c r="FR288" i="75" s="1"/>
  <c r="AF250" i="75"/>
  <c r="FH250" i="75" s="1"/>
  <c r="ET255" i="75"/>
  <c r="BK84" i="75"/>
  <c r="GM84" i="75" s="1"/>
  <c r="AB248" i="75"/>
  <c r="FD248" i="75" s="1"/>
  <c r="AZ258" i="75"/>
  <c r="GB258" i="75" s="1"/>
  <c r="BK278" i="75"/>
  <c r="GM278" i="75" s="1"/>
  <c r="T257" i="75"/>
  <c r="EU257" i="75" s="1"/>
  <c r="GD120" i="75"/>
  <c r="AD218" i="75"/>
  <c r="FF218" i="75" s="1"/>
  <c r="AY248" i="75"/>
  <c r="GA248" i="75" s="1"/>
  <c r="ET263" i="75"/>
  <c r="AO278" i="75"/>
  <c r="FQ278" i="75" s="1"/>
  <c r="AZ29" i="75"/>
  <c r="GB29" i="75" s="1"/>
  <c r="ER230" i="75"/>
  <c r="AZ104" i="75"/>
  <c r="GB104" i="75" s="1"/>
  <c r="AZ91" i="75"/>
  <c r="GB91" i="75" s="1"/>
  <c r="ES230" i="75"/>
  <c r="BK272" i="75"/>
  <c r="GM272" i="75" s="1"/>
  <c r="AO282" i="75"/>
  <c r="FQ282" i="75" s="1"/>
  <c r="AO84" i="75"/>
  <c r="FQ84" i="75" s="1"/>
  <c r="ET183" i="75"/>
  <c r="AZ110" i="75"/>
  <c r="GB110" i="75" s="1"/>
  <c r="FP161" i="75"/>
  <c r="FP188" i="75"/>
  <c r="BA213" i="75"/>
  <c r="GC213" i="75" s="1"/>
  <c r="CQ249" i="75"/>
  <c r="L250" i="75"/>
  <c r="EM250" i="75" s="1"/>
  <c r="FS54" i="75"/>
  <c r="FN230" i="75"/>
  <c r="AE235" i="75"/>
  <c r="GG235" i="75"/>
  <c r="AD237" i="75"/>
  <c r="FF237" i="75" s="1"/>
  <c r="GD240" i="75"/>
  <c r="AD242" i="75"/>
  <c r="FF242" i="75" s="1"/>
  <c r="P249" i="75"/>
  <c r="EQ249" i="75" s="1"/>
  <c r="M250" i="75"/>
  <c r="EN250" i="75" s="1"/>
  <c r="AV250" i="75"/>
  <c r="FX250" i="75" s="1"/>
  <c r="BK251" i="75"/>
  <c r="BK248" i="75" s="1"/>
  <c r="GM248" i="75" s="1"/>
  <c r="BK260" i="75"/>
  <c r="GM260" i="75" s="1"/>
  <c r="AE264" i="75"/>
  <c r="FG264" i="75" s="1"/>
  <c r="T42" i="75"/>
  <c r="EU42" i="75" s="1"/>
  <c r="FS161" i="75"/>
  <c r="GL85" i="75"/>
  <c r="BK106" i="75"/>
  <c r="GM106" i="75" s="1"/>
  <c r="AZ128" i="75"/>
  <c r="GB128" i="75" s="1"/>
  <c r="AD156" i="75"/>
  <c r="FF156" i="75" s="1"/>
  <c r="ET167" i="75"/>
  <c r="BA183" i="75"/>
  <c r="GC183" i="75" s="1"/>
  <c r="BA189" i="75"/>
  <c r="GC189" i="75" s="1"/>
  <c r="FS196" i="75"/>
  <c r="FH210" i="75"/>
  <c r="BA214" i="75"/>
  <c r="GC214" i="75" s="1"/>
  <c r="FP230" i="75"/>
  <c r="BA233" i="75"/>
  <c r="GC233" i="75" s="1"/>
  <c r="AE237" i="75"/>
  <c r="FG237" i="75" s="1"/>
  <c r="AE242" i="75"/>
  <c r="FG242" i="75" s="1"/>
  <c r="N250" i="75"/>
  <c r="EO250" i="75" s="1"/>
  <c r="AD44" i="75"/>
  <c r="FF44" i="75" s="1"/>
  <c r="GL180" i="75"/>
  <c r="FP181" i="75"/>
  <c r="BA54" i="75"/>
  <c r="GC54" i="75" s="1"/>
  <c r="BA82" i="75"/>
  <c r="GC82" i="75" s="1"/>
  <c r="GA83" i="75"/>
  <c r="FH114" i="75"/>
  <c r="FP156" i="75"/>
  <c r="AE163" i="75"/>
  <c r="FG163" i="75" s="1"/>
  <c r="BA169" i="75"/>
  <c r="GC169" i="75" s="1"/>
  <c r="BA182" i="75"/>
  <c r="GC182" i="75" s="1"/>
  <c r="FP183" i="75"/>
  <c r="GL194" i="75"/>
  <c r="GF230" i="75"/>
  <c r="O250" i="75"/>
  <c r="EP250" i="75" s="1"/>
  <c r="AE288" i="75"/>
  <c r="FG288" i="75" s="1"/>
  <c r="AD16" i="75"/>
  <c r="FF16" i="75" s="1"/>
  <c r="T54" i="75"/>
  <c r="EU54" i="75" s="1"/>
  <c r="AE18" i="75"/>
  <c r="FG18" i="75" s="1"/>
  <c r="AP47" i="75"/>
  <c r="FR47" i="75" s="1"/>
  <c r="FH80" i="75"/>
  <c r="AE82" i="75"/>
  <c r="FG82" i="75" s="1"/>
  <c r="FP164" i="75"/>
  <c r="GD210" i="75"/>
  <c r="GG230" i="75"/>
  <c r="Q250" i="75"/>
  <c r="ER250" i="75" s="1"/>
  <c r="BK185" i="75"/>
  <c r="GM185" i="75" s="1"/>
  <c r="BA50" i="75"/>
  <c r="GC50" i="75" s="1"/>
  <c r="T124" i="75"/>
  <c r="EU124" i="75" s="1"/>
  <c r="AD188" i="75"/>
  <c r="FF188" i="75" s="1"/>
  <c r="AZ211" i="75"/>
  <c r="GB211" i="75" s="1"/>
  <c r="AD240" i="75"/>
  <c r="FF240" i="75" s="1"/>
  <c r="AS249" i="75"/>
  <c r="FU249" i="75" s="1"/>
  <c r="R250" i="75"/>
  <c r="ES250" i="75" s="1"/>
  <c r="AD93" i="75"/>
  <c r="FF93" i="75" s="1"/>
  <c r="AD91" i="75"/>
  <c r="FF91" i="75" s="1"/>
  <c r="GD42" i="75"/>
  <c r="BA158" i="75"/>
  <c r="GC158" i="75" s="1"/>
  <c r="AE188" i="75"/>
  <c r="FG188" i="75" s="1"/>
  <c r="AE197" i="75"/>
  <c r="FG197" i="75" s="1"/>
  <c r="BA211" i="75"/>
  <c r="GC211" i="75" s="1"/>
  <c r="AV249" i="75"/>
  <c r="FX249" i="75" s="1"/>
  <c r="AE283" i="75"/>
  <c r="FG283" i="75" s="1"/>
  <c r="AP53" i="75"/>
  <c r="FR53" i="75" s="1"/>
  <c r="BA114" i="75"/>
  <c r="GC114" i="75" s="1"/>
  <c r="BA126" i="75"/>
  <c r="GC126" i="75" s="1"/>
  <c r="AE158" i="75"/>
  <c r="FG158" i="75" s="1"/>
  <c r="FE206" i="75"/>
  <c r="BB249" i="75"/>
  <c r="GD249" i="75" s="1"/>
  <c r="T259" i="75"/>
  <c r="EU259" i="75" s="1"/>
  <c r="AP27" i="75"/>
  <c r="FR27" i="75" s="1"/>
  <c r="GD31" i="75"/>
  <c r="BA33" i="75"/>
  <c r="GC33" i="75" s="1"/>
  <c r="BA34" i="75"/>
  <c r="GC34" i="75" s="1"/>
  <c r="FH37" i="75"/>
  <c r="FH39" i="75"/>
  <c r="FN46" i="75"/>
  <c r="GD93" i="75"/>
  <c r="FH206" i="75"/>
  <c r="AE273" i="75"/>
  <c r="FG273" i="75" s="1"/>
  <c r="AO162" i="75"/>
  <c r="FQ162" i="75" s="1"/>
  <c r="AO209" i="75"/>
  <c r="FQ209" i="75" s="1"/>
  <c r="GL78" i="75"/>
  <c r="FH192" i="75"/>
  <c r="EI249" i="75"/>
  <c r="BA32" i="75"/>
  <c r="GC32" i="75" s="1"/>
  <c r="GD38" i="75"/>
  <c r="AZ43" i="75"/>
  <c r="GB43" i="75" s="1"/>
  <c r="BV46" i="75"/>
  <c r="BV51" i="75" s="1"/>
  <c r="GH46" i="75"/>
  <c r="FH124" i="75"/>
  <c r="AZ176" i="75"/>
  <c r="GB176" i="75" s="1"/>
  <c r="AP222" i="75"/>
  <c r="FR222" i="75" s="1"/>
  <c r="FS244" i="75"/>
  <c r="AA250" i="75"/>
  <c r="FC250" i="75" s="1"/>
  <c r="EX46" i="75"/>
  <c r="GA195" i="75"/>
  <c r="GA14" i="75"/>
  <c r="FS88" i="75"/>
  <c r="AP88" i="75"/>
  <c r="FR88" i="75" s="1"/>
  <c r="GD219" i="75"/>
  <c r="BA219" i="75"/>
  <c r="GC219" i="75" s="1"/>
  <c r="FE244" i="75"/>
  <c r="AD244" i="75"/>
  <c r="FF244" i="75" s="1"/>
  <c r="GJ251" i="75"/>
  <c r="BH248" i="75"/>
  <c r="GJ248" i="75" s="1"/>
  <c r="DC251" i="75"/>
  <c r="DC248" i="75" s="1"/>
  <c r="DB248" i="75"/>
  <c r="Z249" i="75"/>
  <c r="FB249" i="75" s="1"/>
  <c r="FB256" i="75"/>
  <c r="BV256" i="75"/>
  <c r="BV249" i="75" s="1"/>
  <c r="BU249" i="75"/>
  <c r="AD111" i="75"/>
  <c r="FF111" i="75" s="1"/>
  <c r="BK253" i="75"/>
  <c r="GM253" i="75" s="1"/>
  <c r="AO200" i="75"/>
  <c r="FQ200" i="75" s="1"/>
  <c r="FP200" i="75"/>
  <c r="AZ192" i="75"/>
  <c r="GB192" i="75" s="1"/>
  <c r="AZ199" i="75"/>
  <c r="GB199" i="75" s="1"/>
  <c r="AD19" i="75"/>
  <c r="FF19" i="75" s="1"/>
  <c r="FE30" i="75"/>
  <c r="AZ34" i="75"/>
  <c r="GB34" i="75" s="1"/>
  <c r="T50" i="75"/>
  <c r="EU50" i="75" s="1"/>
  <c r="GD83" i="75"/>
  <c r="AE121" i="75"/>
  <c r="FG121" i="75" s="1"/>
  <c r="AD122" i="75"/>
  <c r="FF122" i="75" s="1"/>
  <c r="GA126" i="75"/>
  <c r="AD192" i="75"/>
  <c r="FF192" i="75" s="1"/>
  <c r="FM251" i="75"/>
  <c r="AK248" i="75"/>
  <c r="FM248" i="75" s="1"/>
  <c r="GK251" i="75"/>
  <c r="BI248" i="75"/>
  <c r="GK248" i="75" s="1"/>
  <c r="DZ251" i="75"/>
  <c r="DZ248" i="75" s="1"/>
  <c r="EA248" i="75"/>
  <c r="FC256" i="75"/>
  <c r="AA249" i="75"/>
  <c r="FC249" i="75" s="1"/>
  <c r="AZ256" i="75"/>
  <c r="AZ249" i="75" s="1"/>
  <c r="GB249" i="75" s="1"/>
  <c r="AY249" i="75"/>
  <c r="GA249" i="75" s="1"/>
  <c r="FY256" i="75"/>
  <c r="GG261" i="75"/>
  <c r="BE250" i="75"/>
  <c r="GG250" i="75" s="1"/>
  <c r="BA206" i="75"/>
  <c r="GC206" i="75" s="1"/>
  <c r="GD206" i="75"/>
  <c r="FN251" i="75"/>
  <c r="AL248" i="75"/>
  <c r="FN248" i="75" s="1"/>
  <c r="FD256" i="75"/>
  <c r="AB249" i="75"/>
  <c r="FD249" i="75" s="1"/>
  <c r="BA256" i="75"/>
  <c r="GH261" i="75"/>
  <c r="BF250" i="75"/>
  <c r="GH250" i="75" s="1"/>
  <c r="DC261" i="75"/>
  <c r="DC250" i="75" s="1"/>
  <c r="DB250" i="75"/>
  <c r="BA284" i="75"/>
  <c r="GC284" i="75" s="1"/>
  <c r="AZ124" i="75"/>
  <c r="GB124" i="75" s="1"/>
  <c r="GA124" i="75"/>
  <c r="GI261" i="75"/>
  <c r="BG250" i="75"/>
  <c r="GI250" i="75" s="1"/>
  <c r="BK110" i="75"/>
  <c r="GM110" i="75" s="1"/>
  <c r="BK157" i="75"/>
  <c r="GM157" i="75" s="1"/>
  <c r="AZ164" i="75"/>
  <c r="GB164" i="75" s="1"/>
  <c r="AO169" i="75"/>
  <c r="FQ169" i="75" s="1"/>
  <c r="FP169" i="75"/>
  <c r="BK169" i="75"/>
  <c r="GM169" i="75" s="1"/>
  <c r="GL169" i="75"/>
  <c r="BK178" i="75"/>
  <c r="GM178" i="75" s="1"/>
  <c r="GA187" i="75"/>
  <c r="AZ193" i="75"/>
  <c r="GB193" i="75" s="1"/>
  <c r="GA193" i="75"/>
  <c r="FS223" i="75"/>
  <c r="ER251" i="75"/>
  <c r="Q248" i="75"/>
  <c r="ER248" i="75" s="1"/>
  <c r="FH256" i="75"/>
  <c r="AF249" i="75"/>
  <c r="FH249" i="75" s="1"/>
  <c r="GE256" i="75"/>
  <c r="BC249" i="75"/>
  <c r="GE249" i="75" s="1"/>
  <c r="GJ261" i="75"/>
  <c r="BH250" i="75"/>
  <c r="GJ250" i="75" s="1"/>
  <c r="CG261" i="75"/>
  <c r="CG250" i="75" s="1"/>
  <c r="CF250" i="75"/>
  <c r="AP262" i="75"/>
  <c r="FR262" i="75" s="1"/>
  <c r="FS262" i="75"/>
  <c r="AO286" i="75"/>
  <c r="FQ286" i="75" s="1"/>
  <c r="T126" i="75"/>
  <c r="EU126" i="75" s="1"/>
  <c r="ET126" i="75"/>
  <c r="ET39" i="75"/>
  <c r="T39" i="75"/>
  <c r="EU39" i="75" s="1"/>
  <c r="AO175" i="75"/>
  <c r="FQ175" i="75" s="1"/>
  <c r="FP175" i="75"/>
  <c r="CT246" i="75"/>
  <c r="CS235" i="75"/>
  <c r="CS246" i="75" s="1"/>
  <c r="ET165" i="75"/>
  <c r="T165" i="75"/>
  <c r="EU165" i="75" s="1"/>
  <c r="T29" i="75"/>
  <c r="EU29" i="75" s="1"/>
  <c r="FH84" i="75"/>
  <c r="AE84" i="75"/>
  <c r="FG84" i="75" s="1"/>
  <c r="T116" i="75"/>
  <c r="EU116" i="75" s="1"/>
  <c r="ET116" i="75"/>
  <c r="AO178" i="75"/>
  <c r="FQ178" i="75" s="1"/>
  <c r="FP178" i="75"/>
  <c r="FH208" i="75"/>
  <c r="AE208" i="75"/>
  <c r="FG208" i="75" s="1"/>
  <c r="BK232" i="75"/>
  <c r="GM232" i="75" s="1"/>
  <c r="GL232" i="75"/>
  <c r="ET250" i="75"/>
  <c r="GK261" i="75"/>
  <c r="BI250" i="75"/>
  <c r="GK250" i="75" s="1"/>
  <c r="CH261" i="75"/>
  <c r="CH250" i="75" s="1"/>
  <c r="CI250" i="75"/>
  <c r="ET262" i="75"/>
  <c r="T262" i="75"/>
  <c r="EU262" i="75" s="1"/>
  <c r="FO251" i="75"/>
  <c r="AM248" i="75"/>
  <c r="FO248" i="75" s="1"/>
  <c r="AD256" i="75"/>
  <c r="FF256" i="75" s="1"/>
  <c r="AC249" i="75"/>
  <c r="FK261" i="75"/>
  <c r="AI250" i="75"/>
  <c r="FK250" i="75" s="1"/>
  <c r="ET89" i="75"/>
  <c r="AZ20" i="75"/>
  <c r="GB20" i="75" s="1"/>
  <c r="FS31" i="75"/>
  <c r="AP33" i="75"/>
  <c r="FR33" i="75" s="1"/>
  <c r="AO36" i="75"/>
  <c r="FQ36" i="75" s="1"/>
  <c r="BK36" i="75"/>
  <c r="GM36" i="75" s="1"/>
  <c r="GL49" i="75"/>
  <c r="ET55" i="75"/>
  <c r="AD85" i="75"/>
  <c r="FF85" i="75" s="1"/>
  <c r="AZ89" i="75"/>
  <c r="GB89" i="75" s="1"/>
  <c r="FP90" i="75"/>
  <c r="FP92" i="75"/>
  <c r="AP95" i="75"/>
  <c r="FR95" i="75" s="1"/>
  <c r="T157" i="75"/>
  <c r="EU157" i="75" s="1"/>
  <c r="FE176" i="75"/>
  <c r="FS188" i="75"/>
  <c r="BK261" i="75"/>
  <c r="BJ250" i="75"/>
  <c r="GL250" i="75" s="1"/>
  <c r="BA283" i="75"/>
  <c r="GC283" i="75" s="1"/>
  <c r="T197" i="75"/>
  <c r="EU197" i="75" s="1"/>
  <c r="AO74" i="75"/>
  <c r="FQ74" i="75" s="1"/>
  <c r="FE130" i="75"/>
  <c r="FH73" i="75"/>
  <c r="GA77" i="75"/>
  <c r="ET90" i="75"/>
  <c r="GD194" i="75"/>
  <c r="BA194" i="75"/>
  <c r="GC194" i="75" s="1"/>
  <c r="EM256" i="75"/>
  <c r="L249" i="75"/>
  <c r="EM249" i="75" s="1"/>
  <c r="FK256" i="75"/>
  <c r="AI249" i="75"/>
  <c r="FK249" i="75" s="1"/>
  <c r="FE82" i="75"/>
  <c r="AE243" i="75"/>
  <c r="FG243" i="75" s="1"/>
  <c r="FH243" i="75"/>
  <c r="AE74" i="75"/>
  <c r="FG74" i="75" s="1"/>
  <c r="BA74" i="75"/>
  <c r="GC74" i="75" s="1"/>
  <c r="AZ115" i="75"/>
  <c r="GB115" i="75" s="1"/>
  <c r="BA156" i="75"/>
  <c r="GC156" i="75" s="1"/>
  <c r="BA176" i="75"/>
  <c r="GC176" i="75" s="1"/>
  <c r="AO182" i="75"/>
  <c r="FQ182" i="75" s="1"/>
  <c r="GL219" i="75"/>
  <c r="BK219" i="75"/>
  <c r="GM219" i="75" s="1"/>
  <c r="T207" i="75"/>
  <c r="EU207" i="75" s="1"/>
  <c r="BK87" i="75"/>
  <c r="GM87" i="75" s="1"/>
  <c r="GL43" i="75"/>
  <c r="FP86" i="75"/>
  <c r="GD87" i="75"/>
  <c r="BA172" i="75"/>
  <c r="GC172" i="75" s="1"/>
  <c r="AP231" i="75"/>
  <c r="FR231" i="75" s="1"/>
  <c r="GL237" i="75"/>
  <c r="BK237" i="75"/>
  <c r="GM237" i="75" s="1"/>
  <c r="AE282" i="75"/>
  <c r="FG282" i="75" s="1"/>
  <c r="BA282" i="75"/>
  <c r="GC282" i="75" s="1"/>
  <c r="AO242" i="75"/>
  <c r="FQ242" i="75" s="1"/>
  <c r="FP242" i="75"/>
  <c r="AO27" i="75"/>
  <c r="FQ27" i="75" s="1"/>
  <c r="AO75" i="75"/>
  <c r="FQ75" i="75" s="1"/>
  <c r="GD49" i="75"/>
  <c r="BK29" i="75"/>
  <c r="GM29" i="75" s="1"/>
  <c r="BA91" i="75"/>
  <c r="GC91" i="75" s="1"/>
  <c r="AZ92" i="75"/>
  <c r="GB92" i="75" s="1"/>
  <c r="AD94" i="75"/>
  <c r="FF94" i="75" s="1"/>
  <c r="AZ94" i="75"/>
  <c r="GB94" i="75" s="1"/>
  <c r="AD171" i="75"/>
  <c r="FF171" i="75" s="1"/>
  <c r="FE171" i="75"/>
  <c r="AO16" i="75"/>
  <c r="FQ16" i="75" s="1"/>
  <c r="BK74" i="75"/>
  <c r="GM74" i="75" s="1"/>
  <c r="GI251" i="75"/>
  <c r="BG248" i="75"/>
  <c r="GI248" i="75" s="1"/>
  <c r="GA25" i="75"/>
  <c r="GD77" i="75"/>
  <c r="GA84" i="75"/>
  <c r="GD84" i="75"/>
  <c r="BA84" i="75"/>
  <c r="GC84" i="75" s="1"/>
  <c r="AD35" i="75"/>
  <c r="FF35" i="75" s="1"/>
  <c r="ET53" i="75"/>
  <c r="FE103" i="75"/>
  <c r="ET122" i="75"/>
  <c r="T122" i="75"/>
  <c r="EU122" i="75" s="1"/>
  <c r="GD263" i="75"/>
  <c r="AP197" i="75"/>
  <c r="FR197" i="75" s="1"/>
  <c r="FS197" i="75"/>
  <c r="GD274" i="75"/>
  <c r="BA274" i="75"/>
  <c r="GC274" i="75" s="1"/>
  <c r="DZ261" i="75"/>
  <c r="DZ250" i="75" s="1"/>
  <c r="EA250" i="75"/>
  <c r="EI51" i="75"/>
  <c r="AD52" i="75"/>
  <c r="FF52" i="75" s="1"/>
  <c r="FP55" i="75"/>
  <c r="AP19" i="75"/>
  <c r="FR19" i="75" s="1"/>
  <c r="GD21" i="75"/>
  <c r="GD44" i="75"/>
  <c r="BL46" i="75"/>
  <c r="BL51" i="75" s="1"/>
  <c r="FS75" i="75"/>
  <c r="BK79" i="75"/>
  <c r="GM79" i="75" s="1"/>
  <c r="ET161" i="75"/>
  <c r="AP162" i="75"/>
  <c r="FR162" i="75" s="1"/>
  <c r="BA179" i="75"/>
  <c r="GC179" i="75" s="1"/>
  <c r="BK208" i="75"/>
  <c r="GM208" i="75" s="1"/>
  <c r="AM250" i="75"/>
  <c r="FO250" i="75" s="1"/>
  <c r="ET79" i="75"/>
  <c r="T45" i="75"/>
  <c r="EU45" i="75" s="1"/>
  <c r="FS32" i="75"/>
  <c r="FP35" i="75"/>
  <c r="FH81" i="75"/>
  <c r="ET108" i="75"/>
  <c r="GL115" i="75"/>
  <c r="BA168" i="75"/>
  <c r="GC168" i="75" s="1"/>
  <c r="GD168" i="75"/>
  <c r="AE179" i="75"/>
  <c r="FG179" i="75" s="1"/>
  <c r="AO191" i="75"/>
  <c r="FQ191" i="75" s="1"/>
  <c r="FP191" i="75"/>
  <c r="ET198" i="75"/>
  <c r="T198" i="75"/>
  <c r="EU198" i="75" s="1"/>
  <c r="AO208" i="75"/>
  <c r="FQ208" i="75" s="1"/>
  <c r="FP208" i="75"/>
  <c r="FP277" i="75"/>
  <c r="AO277" i="75"/>
  <c r="FQ277" i="75" s="1"/>
  <c r="AD96" i="75"/>
  <c r="FF96" i="75" s="1"/>
  <c r="BK240" i="75"/>
  <c r="BK247" i="75" s="1"/>
  <c r="GM247" i="75" s="1"/>
  <c r="FS241" i="75"/>
  <c r="AP241" i="75"/>
  <c r="FR241" i="75" s="1"/>
  <c r="GL263" i="75"/>
  <c r="BK263" i="75"/>
  <c r="GM263" i="75" s="1"/>
  <c r="AZ42" i="75"/>
  <c r="GB42" i="75" s="1"/>
  <c r="AO72" i="75"/>
  <c r="FQ72" i="75" s="1"/>
  <c r="BK30" i="75"/>
  <c r="GM30" i="75" s="1"/>
  <c r="ET56" i="75"/>
  <c r="ET13" i="75"/>
  <c r="GL12" i="75"/>
  <c r="AP15" i="75"/>
  <c r="FR15" i="75" s="1"/>
  <c r="FE18" i="75"/>
  <c r="AO26" i="75"/>
  <c r="FQ26" i="75" s="1"/>
  <c r="BA29" i="75"/>
  <c r="GC29" i="75" s="1"/>
  <c r="AO42" i="75"/>
  <c r="FQ42" i="75" s="1"/>
  <c r="AZ48" i="75"/>
  <c r="GB48" i="75" s="1"/>
  <c r="AZ118" i="75"/>
  <c r="GB118" i="75" s="1"/>
  <c r="GA118" i="75"/>
  <c r="AP125" i="75"/>
  <c r="FR125" i="75" s="1"/>
  <c r="FS125" i="75"/>
  <c r="BA181" i="75"/>
  <c r="GC181" i="75" s="1"/>
  <c r="AP191" i="75"/>
  <c r="FR191" i="75" s="1"/>
  <c r="FS191" i="75"/>
  <c r="BK197" i="75"/>
  <c r="GM197" i="75" s="1"/>
  <c r="GL197" i="75"/>
  <c r="AP217" i="75"/>
  <c r="FR217" i="75" s="1"/>
  <c r="FS217" i="75"/>
  <c r="AX249" i="75"/>
  <c r="FZ249" i="75" s="1"/>
  <c r="K250" i="75"/>
  <c r="EL250" i="75" s="1"/>
  <c r="AR250" i="75"/>
  <c r="FT250" i="75" s="1"/>
  <c r="FE193" i="75"/>
  <c r="FS130" i="75"/>
  <c r="BD249" i="75"/>
  <c r="GF249" i="75" s="1"/>
  <c r="AZ119" i="75"/>
  <c r="GB119" i="75" s="1"/>
  <c r="T121" i="75"/>
  <c r="EU121" i="75" s="1"/>
  <c r="AO121" i="75"/>
  <c r="FQ121" i="75" s="1"/>
  <c r="GL172" i="75"/>
  <c r="GA173" i="75"/>
  <c r="FH190" i="75"/>
  <c r="T219" i="75"/>
  <c r="EU219" i="75" s="1"/>
  <c r="GE240" i="75"/>
  <c r="X249" i="75"/>
  <c r="EZ249" i="75" s="1"/>
  <c r="BG249" i="75"/>
  <c r="GI249" i="75" s="1"/>
  <c r="AZ250" i="75"/>
  <c r="GB250" i="75" s="1"/>
  <c r="ET252" i="75"/>
  <c r="GD260" i="75"/>
  <c r="GD261" i="75"/>
  <c r="BA173" i="75"/>
  <c r="GC173" i="75" s="1"/>
  <c r="AP195" i="75"/>
  <c r="FR195" i="75" s="1"/>
  <c r="AE217" i="75"/>
  <c r="FG217" i="75" s="1"/>
  <c r="AE224" i="75"/>
  <c r="FG224" i="75" s="1"/>
  <c r="GF240" i="75"/>
  <c r="AV248" i="75"/>
  <c r="FX248" i="75" s="1"/>
  <c r="BH249" i="75"/>
  <c r="GJ249" i="75" s="1"/>
  <c r="Y250" i="75"/>
  <c r="FA250" i="75" s="1"/>
  <c r="BB250" i="75"/>
  <c r="GD250" i="75" s="1"/>
  <c r="CR251" i="75"/>
  <c r="CR248" i="75" s="1"/>
  <c r="GL259" i="75"/>
  <c r="AE287" i="75"/>
  <c r="FG287" i="75" s="1"/>
  <c r="BA287" i="75"/>
  <c r="GC287" i="75" s="1"/>
  <c r="GL156" i="75"/>
  <c r="GA190" i="75"/>
  <c r="GG240" i="75"/>
  <c r="BA279" i="75"/>
  <c r="GC279" i="75" s="1"/>
  <c r="FE162" i="75"/>
  <c r="AZ191" i="75"/>
  <c r="GB191" i="75" s="1"/>
  <c r="AD197" i="75"/>
  <c r="FF197" i="75" s="1"/>
  <c r="BA197" i="75"/>
  <c r="GC197" i="75" s="1"/>
  <c r="AD207" i="75"/>
  <c r="FF207" i="75" s="1"/>
  <c r="BD248" i="75"/>
  <c r="GF248" i="75" s="1"/>
  <c r="BA251" i="75"/>
  <c r="GC251" i="75" s="1"/>
  <c r="BA271" i="75"/>
  <c r="GC271" i="75" s="1"/>
  <c r="BK281" i="75"/>
  <c r="GM281" i="75" s="1"/>
  <c r="GA264" i="75"/>
  <c r="AE271" i="75"/>
  <c r="FG271" i="75" s="1"/>
  <c r="BK164" i="75"/>
  <c r="GM164" i="75" s="1"/>
  <c r="ET208" i="75"/>
  <c r="CH230" i="75"/>
  <c r="CH245" i="75" s="1"/>
  <c r="AD250" i="75"/>
  <c r="FF250" i="75" s="1"/>
  <c r="AD262" i="75"/>
  <c r="FF262" i="75" s="1"/>
  <c r="BA262" i="75"/>
  <c r="GC262" i="75" s="1"/>
  <c r="GA170" i="75"/>
  <c r="BA174" i="75"/>
  <c r="GC174" i="75" s="1"/>
  <c r="AD175" i="75"/>
  <c r="FF175" i="75" s="1"/>
  <c r="T180" i="75"/>
  <c r="EU180" i="75" s="1"/>
  <c r="FE198" i="75"/>
  <c r="T210" i="75"/>
  <c r="EU210" i="75" s="1"/>
  <c r="GD237" i="75"/>
  <c r="AG249" i="75"/>
  <c r="FI249" i="75" s="1"/>
  <c r="AE262" i="75"/>
  <c r="FG262" i="75" s="1"/>
  <c r="EA249" i="75"/>
  <c r="FP163" i="75"/>
  <c r="GA182" i="75"/>
  <c r="AZ186" i="75"/>
  <c r="GB186" i="75" s="1"/>
  <c r="ET186" i="75"/>
  <c r="T188" i="75"/>
  <c r="EU188" i="75" s="1"/>
  <c r="T212" i="75"/>
  <c r="EU212" i="75" s="1"/>
  <c r="AO214" i="75"/>
  <c r="FQ214" i="75" s="1"/>
  <c r="T258" i="75"/>
  <c r="EU258" i="75" s="1"/>
  <c r="GL18" i="75"/>
  <c r="ES46" i="75"/>
  <c r="R51" i="75"/>
  <c r="ES51" i="75" s="1"/>
  <c r="BK131" i="75"/>
  <c r="GM131" i="75" s="1"/>
  <c r="GL131" i="75"/>
  <c r="AO116" i="75"/>
  <c r="FQ116" i="75" s="1"/>
  <c r="FP116" i="75"/>
  <c r="AZ47" i="75"/>
  <c r="GB47" i="75" s="1"/>
  <c r="BA53" i="75"/>
  <c r="GC53" i="75" s="1"/>
  <c r="GD53" i="75"/>
  <c r="BK103" i="75"/>
  <c r="GM103" i="75" s="1"/>
  <c r="FP108" i="75"/>
  <c r="AO108" i="75"/>
  <c r="FQ108" i="75" s="1"/>
  <c r="BK122" i="75"/>
  <c r="GM122" i="75" s="1"/>
  <c r="GL122" i="75"/>
  <c r="AO131" i="75"/>
  <c r="FQ131" i="75" s="1"/>
  <c r="FP131" i="75"/>
  <c r="T192" i="75"/>
  <c r="EU192" i="75" s="1"/>
  <c r="AO192" i="75"/>
  <c r="FQ192" i="75" s="1"/>
  <c r="BK192" i="75"/>
  <c r="GM192" i="75" s="1"/>
  <c r="T194" i="75"/>
  <c r="EU194" i="75" s="1"/>
  <c r="ET194" i="75"/>
  <c r="AP194" i="75"/>
  <c r="FR194" i="75" s="1"/>
  <c r="FS194" i="75"/>
  <c r="AZ56" i="75"/>
  <c r="GB56" i="75" s="1"/>
  <c r="GD117" i="75"/>
  <c r="BA117" i="75"/>
  <c r="GC117" i="75" s="1"/>
  <c r="T21" i="75"/>
  <c r="EU21" i="75" s="1"/>
  <c r="AO21" i="75"/>
  <c r="FQ21" i="75" s="1"/>
  <c r="AZ31" i="75"/>
  <c r="GB31" i="75" s="1"/>
  <c r="T14" i="75"/>
  <c r="EU14" i="75" s="1"/>
  <c r="AP14" i="75"/>
  <c r="FR14" i="75" s="1"/>
  <c r="GD14" i="75"/>
  <c r="GL28" i="75"/>
  <c r="T32" i="75"/>
  <c r="EU32" i="75" s="1"/>
  <c r="BA47" i="75"/>
  <c r="GC47" i="75" s="1"/>
  <c r="AD54" i="75"/>
  <c r="FF54" i="75" s="1"/>
  <c r="AZ54" i="75"/>
  <c r="GB54" i="75" s="1"/>
  <c r="FS72" i="75"/>
  <c r="AZ74" i="75"/>
  <c r="GB74" i="75" s="1"/>
  <c r="GA74" i="75"/>
  <c r="FP82" i="75"/>
  <c r="AD84" i="75"/>
  <c r="FF84" i="75" s="1"/>
  <c r="FE84" i="75"/>
  <c r="BK89" i="75"/>
  <c r="GM89" i="75" s="1"/>
  <c r="AO103" i="75"/>
  <c r="FQ103" i="75" s="1"/>
  <c r="FE118" i="75"/>
  <c r="AZ121" i="75"/>
  <c r="GB121" i="75" s="1"/>
  <c r="GA121" i="75"/>
  <c r="AE175" i="75"/>
  <c r="FG175" i="75" s="1"/>
  <c r="T77" i="75"/>
  <c r="EU77" i="75" s="1"/>
  <c r="BK46" i="75"/>
  <c r="GM46" i="75" s="1"/>
  <c r="FH173" i="75"/>
  <c r="AE173" i="75"/>
  <c r="FG173" i="75" s="1"/>
  <c r="AZ85" i="75"/>
  <c r="GB85" i="75" s="1"/>
  <c r="FH79" i="75"/>
  <c r="AE79" i="75"/>
  <c r="FG79" i="75" s="1"/>
  <c r="GD80" i="75"/>
  <c r="AZ86" i="75"/>
  <c r="GB86" i="75" s="1"/>
  <c r="T88" i="75"/>
  <c r="EU88" i="75" s="1"/>
  <c r="BK93" i="75"/>
  <c r="GM93" i="75" s="1"/>
  <c r="FH106" i="75"/>
  <c r="AE106" i="75"/>
  <c r="FG106" i="75" s="1"/>
  <c r="T112" i="75"/>
  <c r="EU112" i="75" s="1"/>
  <c r="GA172" i="75"/>
  <c r="AZ172" i="75"/>
  <c r="GB172" i="75" s="1"/>
  <c r="GA210" i="75"/>
  <c r="AZ210" i="75"/>
  <c r="GB210" i="75" s="1"/>
  <c r="BK220" i="75"/>
  <c r="GM220" i="75" s="1"/>
  <c r="GL220" i="75"/>
  <c r="AO49" i="75"/>
  <c r="FQ49" i="75" s="1"/>
  <c r="FP49" i="75"/>
  <c r="ET96" i="75"/>
  <c r="T96" i="75"/>
  <c r="EU96" i="75" s="1"/>
  <c r="GD209" i="75"/>
  <c r="BA209" i="75"/>
  <c r="GC209" i="75" s="1"/>
  <c r="CI247" i="75"/>
  <c r="CH240" i="75"/>
  <c r="CH247" i="75" s="1"/>
  <c r="BK116" i="75"/>
  <c r="GM116" i="75" s="1"/>
  <c r="GL116" i="75"/>
  <c r="FH45" i="75"/>
  <c r="FE90" i="75"/>
  <c r="AD90" i="75"/>
  <c r="FF90" i="75" s="1"/>
  <c r="AO107" i="75"/>
  <c r="FQ107" i="75" s="1"/>
  <c r="AO111" i="75"/>
  <c r="FQ111" i="75" s="1"/>
  <c r="FP111" i="75"/>
  <c r="GD94" i="75"/>
  <c r="FP102" i="75"/>
  <c r="AO102" i="75"/>
  <c r="FQ102" i="75" s="1"/>
  <c r="AO112" i="75"/>
  <c r="FQ112" i="75" s="1"/>
  <c r="T48" i="75"/>
  <c r="EU48" i="75" s="1"/>
  <c r="GD86" i="75"/>
  <c r="BA86" i="75"/>
  <c r="GC86" i="75" s="1"/>
  <c r="AE91" i="75"/>
  <c r="FG91" i="75" s="1"/>
  <c r="FH91" i="75"/>
  <c r="AO93" i="75"/>
  <c r="FQ93" i="75" s="1"/>
  <c r="FP93" i="75"/>
  <c r="AO170" i="75"/>
  <c r="FQ170" i="75" s="1"/>
  <c r="FP170" i="75"/>
  <c r="EO256" i="75"/>
  <c r="N249" i="75"/>
  <c r="EO249" i="75" s="1"/>
  <c r="FM256" i="75"/>
  <c r="AK249" i="75"/>
  <c r="FM249" i="75" s="1"/>
  <c r="FP283" i="75"/>
  <c r="AO283" i="75"/>
  <c r="FQ283" i="75" s="1"/>
  <c r="ET95" i="75"/>
  <c r="T95" i="75"/>
  <c r="EU95" i="75" s="1"/>
  <c r="GL176" i="75"/>
  <c r="BK176" i="75"/>
  <c r="GM176" i="75" s="1"/>
  <c r="AO15" i="75"/>
  <c r="FQ15" i="75" s="1"/>
  <c r="CR230" i="75"/>
  <c r="CR245" i="75" s="1"/>
  <c r="T240" i="75"/>
  <c r="EU240" i="75" s="1"/>
  <c r="GD290" i="75"/>
  <c r="BA290" i="75"/>
  <c r="GC290" i="75" s="1"/>
  <c r="FE217" i="75"/>
  <c r="AD217" i="75"/>
  <c r="FF217" i="75" s="1"/>
  <c r="GD20" i="75"/>
  <c r="AZ22" i="75"/>
  <c r="GB22" i="75" s="1"/>
  <c r="AZ125" i="75"/>
  <c r="GB125" i="75" s="1"/>
  <c r="AZ26" i="75"/>
  <c r="GB26" i="75" s="1"/>
  <c r="GD45" i="75"/>
  <c r="BK20" i="75"/>
  <c r="GM20" i="75" s="1"/>
  <c r="AZ36" i="75"/>
  <c r="GB36" i="75" s="1"/>
  <c r="AZ49" i="75"/>
  <c r="GB49" i="75" s="1"/>
  <c r="FE74" i="75"/>
  <c r="GA75" i="75"/>
  <c r="AO85" i="75"/>
  <c r="FQ85" i="75" s="1"/>
  <c r="T93" i="75"/>
  <c r="EU93" i="75" s="1"/>
  <c r="ET94" i="75"/>
  <c r="T94" i="75"/>
  <c r="EU94" i="75" s="1"/>
  <c r="FS128" i="75"/>
  <c r="AP128" i="75"/>
  <c r="FR128" i="75" s="1"/>
  <c r="BK254" i="75"/>
  <c r="GM254" i="75" s="1"/>
  <c r="GL254" i="75"/>
  <c r="FP96" i="75"/>
  <c r="AO96" i="75"/>
  <c r="FQ96" i="75" s="1"/>
  <c r="AO52" i="75"/>
  <c r="FQ52" i="75" s="1"/>
  <c r="AZ196" i="75"/>
  <c r="GB196" i="75" s="1"/>
  <c r="AZ27" i="75"/>
  <c r="GB27" i="75" s="1"/>
  <c r="S51" i="75"/>
  <c r="ET51" i="75" s="1"/>
  <c r="ET46" i="75"/>
  <c r="AZ53" i="75"/>
  <c r="GB53" i="75" s="1"/>
  <c r="T25" i="75"/>
  <c r="EU25" i="75" s="1"/>
  <c r="GL48" i="75"/>
  <c r="FE56" i="75"/>
  <c r="FH30" i="75"/>
  <c r="AE30" i="75"/>
  <c r="FG30" i="75" s="1"/>
  <c r="FH56" i="75"/>
  <c r="AZ12" i="75"/>
  <c r="GB12" i="75" s="1"/>
  <c r="AD15" i="75"/>
  <c r="FF15" i="75" s="1"/>
  <c r="ET16" i="75"/>
  <c r="GL31" i="75"/>
  <c r="AY51" i="75"/>
  <c r="GA51" i="75" s="1"/>
  <c r="AZ46" i="75"/>
  <c r="AZ51" i="75" s="1"/>
  <c r="GB51" i="75" s="1"/>
  <c r="EZ46" i="75"/>
  <c r="AD49" i="75"/>
  <c r="FF49" i="75" s="1"/>
  <c r="AE52" i="75"/>
  <c r="FG52" i="75" s="1"/>
  <c r="AP56" i="75"/>
  <c r="FR56" i="75" s="1"/>
  <c r="BK75" i="75"/>
  <c r="GM75" i="75" s="1"/>
  <c r="AO78" i="75"/>
  <c r="FQ78" i="75" s="1"/>
  <c r="FP79" i="75"/>
  <c r="T80" i="75"/>
  <c r="EU80" i="75" s="1"/>
  <c r="AP80" i="75"/>
  <c r="FR80" i="75" s="1"/>
  <c r="GL82" i="75"/>
  <c r="GA106" i="75"/>
  <c r="AE161" i="75"/>
  <c r="FG161" i="75" s="1"/>
  <c r="FB251" i="75"/>
  <c r="Z248" i="75"/>
  <c r="FB248" i="75" s="1"/>
  <c r="AO81" i="75"/>
  <c r="FQ81" i="75" s="1"/>
  <c r="GL41" i="75"/>
  <c r="BK41" i="75"/>
  <c r="GM41" i="75" s="1"/>
  <c r="AO159" i="75"/>
  <c r="FQ159" i="75" s="1"/>
  <c r="FP159" i="75"/>
  <c r="FS243" i="75"/>
  <c r="AP243" i="75"/>
  <c r="FR243" i="75" s="1"/>
  <c r="BK76" i="75"/>
  <c r="GM76" i="75" s="1"/>
  <c r="FE27" i="75"/>
  <c r="AP13" i="75"/>
  <c r="FR13" i="75" s="1"/>
  <c r="BA15" i="75"/>
  <c r="GC15" i="75" s="1"/>
  <c r="AD21" i="75"/>
  <c r="FF21" i="75" s="1"/>
  <c r="AD28" i="75"/>
  <c r="FF28" i="75" s="1"/>
  <c r="FP33" i="75"/>
  <c r="GL42" i="75"/>
  <c r="AO47" i="75"/>
  <c r="FQ47" i="75" s="1"/>
  <c r="FP53" i="75"/>
  <c r="AP82" i="75"/>
  <c r="FR82" i="75" s="1"/>
  <c r="FS82" i="75"/>
  <c r="AD83" i="75"/>
  <c r="FF83" i="75" s="1"/>
  <c r="AO105" i="75"/>
  <c r="FQ105" i="75" s="1"/>
  <c r="BK105" i="75"/>
  <c r="GM105" i="75" s="1"/>
  <c r="GD112" i="75"/>
  <c r="AD75" i="75"/>
  <c r="FF75" i="75" s="1"/>
  <c r="BK21" i="75"/>
  <c r="GM21" i="75" s="1"/>
  <c r="AD53" i="75"/>
  <c r="FF53" i="75" s="1"/>
  <c r="FP83" i="75"/>
  <c r="AO83" i="75"/>
  <c r="FQ83" i="75" s="1"/>
  <c r="BK35" i="75"/>
  <c r="GM35" i="75" s="1"/>
  <c r="FH21" i="75"/>
  <c r="AE21" i="75"/>
  <c r="FG21" i="75" s="1"/>
  <c r="FS26" i="75"/>
  <c r="AE28" i="75"/>
  <c r="FG28" i="75" s="1"/>
  <c r="AP37" i="75"/>
  <c r="FR37" i="75" s="1"/>
  <c r="AZ41" i="75"/>
  <c r="GB41" i="75" s="1"/>
  <c r="BK44" i="75"/>
  <c r="GM44" i="75" s="1"/>
  <c r="FO46" i="75"/>
  <c r="T47" i="75"/>
  <c r="EU47" i="75" s="1"/>
  <c r="FS52" i="75"/>
  <c r="GD56" i="75"/>
  <c r="AZ113" i="75"/>
  <c r="GB113" i="75" s="1"/>
  <c r="GA113" i="75"/>
  <c r="FE113" i="75"/>
  <c r="FP118" i="75"/>
  <c r="AO118" i="75"/>
  <c r="FQ118" i="75" s="1"/>
  <c r="GL119" i="75"/>
  <c r="AZ165" i="75"/>
  <c r="GB165" i="75" s="1"/>
  <c r="GA165" i="75"/>
  <c r="FP126" i="75"/>
  <c r="AO126" i="75"/>
  <c r="FQ126" i="75" s="1"/>
  <c r="AP119" i="75"/>
  <c r="FR119" i="75" s="1"/>
  <c r="FS119" i="75"/>
  <c r="K51" i="75"/>
  <c r="EL51" i="75" s="1"/>
  <c r="EL46" i="75"/>
  <c r="EK46" i="75" s="1"/>
  <c r="EK51" i="75" s="1"/>
  <c r="FT46" i="75"/>
  <c r="AP115" i="75"/>
  <c r="FR115" i="75" s="1"/>
  <c r="FS115" i="75"/>
  <c r="AP124" i="75"/>
  <c r="FR124" i="75" s="1"/>
  <c r="AP166" i="75"/>
  <c r="FR166" i="75" s="1"/>
  <c r="FS166" i="75"/>
  <c r="BK223" i="75"/>
  <c r="GM223" i="75" s="1"/>
  <c r="GL223" i="75"/>
  <c r="AO197" i="75"/>
  <c r="FQ197" i="75" s="1"/>
  <c r="FP197" i="75"/>
  <c r="GD104" i="75"/>
  <c r="BA104" i="75"/>
  <c r="GC104" i="75" s="1"/>
  <c r="BK107" i="75"/>
  <c r="GM107" i="75" s="1"/>
  <c r="AP220" i="75"/>
  <c r="FR220" i="75" s="1"/>
  <c r="FS220" i="75"/>
  <c r="AO76" i="75"/>
  <c r="FQ76" i="75" s="1"/>
  <c r="BK16" i="75"/>
  <c r="GM16" i="75" s="1"/>
  <c r="ET19" i="75"/>
  <c r="T19" i="75"/>
  <c r="EU19" i="75" s="1"/>
  <c r="T31" i="75"/>
  <c r="EU31" i="75" s="1"/>
  <c r="AP39" i="75"/>
  <c r="FR39" i="75" s="1"/>
  <c r="AP42" i="75"/>
  <c r="FR42" i="75" s="1"/>
  <c r="AE72" i="75"/>
  <c r="FG72" i="75" s="1"/>
  <c r="BA72" i="75"/>
  <c r="GC72" i="75" s="1"/>
  <c r="FE89" i="75"/>
  <c r="AD89" i="75"/>
  <c r="FF89" i="75" s="1"/>
  <c r="FH103" i="75"/>
  <c r="AE103" i="75"/>
  <c r="FG103" i="75" s="1"/>
  <c r="GD110" i="75"/>
  <c r="BA110" i="75"/>
  <c r="GC110" i="75" s="1"/>
  <c r="GA169" i="75"/>
  <c r="AZ169" i="75"/>
  <c r="GB169" i="75" s="1"/>
  <c r="BM246" i="75"/>
  <c r="BL235" i="75"/>
  <c r="BL246" i="75" s="1"/>
  <c r="BA242" i="75"/>
  <c r="GC242" i="75" s="1"/>
  <c r="GD242" i="75"/>
  <c r="GL179" i="75"/>
  <c r="BK179" i="75"/>
  <c r="GM179" i="75" s="1"/>
  <c r="AE94" i="75"/>
  <c r="FG94" i="75" s="1"/>
  <c r="FH94" i="75"/>
  <c r="AD55" i="75"/>
  <c r="FF55" i="75" s="1"/>
  <c r="AD37" i="75"/>
  <c r="FF37" i="75" s="1"/>
  <c r="BK38" i="75"/>
  <c r="GM38" i="75" s="1"/>
  <c r="FS50" i="75"/>
  <c r="AP50" i="75"/>
  <c r="FR50" i="75" s="1"/>
  <c r="ET76" i="75"/>
  <c r="AZ55" i="75"/>
  <c r="GB55" i="75" s="1"/>
  <c r="AO119" i="75"/>
  <c r="FQ119" i="75" s="1"/>
  <c r="FP119" i="75"/>
  <c r="GL108" i="75"/>
  <c r="BK108" i="75"/>
  <c r="GM108" i="75" s="1"/>
  <c r="GD16" i="75"/>
  <c r="AE35" i="75"/>
  <c r="FG35" i="75" s="1"/>
  <c r="GI46" i="75"/>
  <c r="BA48" i="75"/>
  <c r="GC48" i="75" s="1"/>
  <c r="BK77" i="75"/>
  <c r="GM77" i="75" s="1"/>
  <c r="BK86" i="75"/>
  <c r="GM86" i="75" s="1"/>
  <c r="T91" i="75"/>
  <c r="EU91" i="75" s="1"/>
  <c r="AP91" i="75"/>
  <c r="FR91" i="75" s="1"/>
  <c r="BK96" i="75"/>
  <c r="GM96" i="75" s="1"/>
  <c r="GL96" i="75"/>
  <c r="FH112" i="75"/>
  <c r="AE112" i="75"/>
  <c r="FG112" i="75" s="1"/>
  <c r="AZ114" i="75"/>
  <c r="GB114" i="75" s="1"/>
  <c r="GA114" i="75"/>
  <c r="AE123" i="75"/>
  <c r="FG123" i="75" s="1"/>
  <c r="GA127" i="75"/>
  <c r="AZ177" i="75"/>
  <c r="GB177" i="75" s="1"/>
  <c r="BK207" i="75"/>
  <c r="GM207" i="75" s="1"/>
  <c r="GL207" i="75"/>
  <c r="ET102" i="75"/>
  <c r="T102" i="75"/>
  <c r="EU102" i="75" s="1"/>
  <c r="GD109" i="75"/>
  <c r="BA109" i="75"/>
  <c r="GC109" i="75" s="1"/>
  <c r="AP122" i="75"/>
  <c r="FR122" i="75" s="1"/>
  <c r="FS122" i="75"/>
  <c r="BA125" i="75"/>
  <c r="GC125" i="75" s="1"/>
  <c r="AP131" i="75"/>
  <c r="FR131" i="75" s="1"/>
  <c r="T164" i="75"/>
  <c r="EU164" i="75" s="1"/>
  <c r="ET164" i="75"/>
  <c r="AE168" i="75"/>
  <c r="FG168" i="75" s="1"/>
  <c r="FE177" i="75"/>
  <c r="AD177" i="75"/>
  <c r="FF177" i="75" s="1"/>
  <c r="AE183" i="75"/>
  <c r="FG183" i="75" s="1"/>
  <c r="AE109" i="75"/>
  <c r="FG109" i="75" s="1"/>
  <c r="FH109" i="75"/>
  <c r="ET129" i="75"/>
  <c r="T129" i="75"/>
  <c r="EU129" i="75" s="1"/>
  <c r="FS129" i="75"/>
  <c r="AP129" i="75"/>
  <c r="FR129" i="75" s="1"/>
  <c r="T131" i="75"/>
  <c r="EU131" i="75" s="1"/>
  <c r="ET131" i="75"/>
  <c r="AD190" i="75"/>
  <c r="FF190" i="75" s="1"/>
  <c r="FE190" i="75"/>
  <c r="GL121" i="75"/>
  <c r="BK121" i="75"/>
  <c r="GM121" i="75" s="1"/>
  <c r="GD159" i="75"/>
  <c r="BA159" i="75"/>
  <c r="GC159" i="75" s="1"/>
  <c r="FH215" i="75"/>
  <c r="AE215" i="75"/>
  <c r="FG215" i="75" s="1"/>
  <c r="FH280" i="75"/>
  <c r="AE280" i="75"/>
  <c r="FG280" i="75" s="1"/>
  <c r="AE38" i="75"/>
  <c r="FG38" i="75" s="1"/>
  <c r="AZ78" i="75"/>
  <c r="GB78" i="75" s="1"/>
  <c r="FE88" i="75"/>
  <c r="AD88" i="75"/>
  <c r="FF88" i="75" s="1"/>
  <c r="AZ93" i="75"/>
  <c r="GB93" i="75" s="1"/>
  <c r="FE116" i="75"/>
  <c r="AD116" i="75"/>
  <c r="FF116" i="75" s="1"/>
  <c r="BA116" i="75"/>
  <c r="GC116" i="75" s="1"/>
  <c r="AE159" i="75"/>
  <c r="FG159" i="75" s="1"/>
  <c r="BK161" i="75"/>
  <c r="GM161" i="75" s="1"/>
  <c r="GL161" i="75"/>
  <c r="BA162" i="75"/>
  <c r="GC162" i="75" s="1"/>
  <c r="BK171" i="75"/>
  <c r="GM171" i="75" s="1"/>
  <c r="BK189" i="75"/>
  <c r="GM189" i="75" s="1"/>
  <c r="AD230" i="75"/>
  <c r="FF230" i="75" s="1"/>
  <c r="FH88" i="75"/>
  <c r="AE88" i="75"/>
  <c r="FG88" i="75" s="1"/>
  <c r="AP92" i="75"/>
  <c r="FR92" i="75" s="1"/>
  <c r="GL104" i="75"/>
  <c r="AE116" i="75"/>
  <c r="FG116" i="75" s="1"/>
  <c r="BA119" i="75"/>
  <c r="GC119" i="75" s="1"/>
  <c r="GL163" i="75"/>
  <c r="AD178" i="75"/>
  <c r="FF178" i="75" s="1"/>
  <c r="BB245" i="75"/>
  <c r="GD245" i="75" s="1"/>
  <c r="GD230" i="75"/>
  <c r="FE107" i="75"/>
  <c r="AD107" i="75"/>
  <c r="FF107" i="75" s="1"/>
  <c r="FS127" i="75"/>
  <c r="AP127" i="75"/>
  <c r="FR127" i="75" s="1"/>
  <c r="GL128" i="75"/>
  <c r="FE170" i="75"/>
  <c r="AD170" i="75"/>
  <c r="FF170" i="75" s="1"/>
  <c r="AE178" i="75"/>
  <c r="FG178" i="75" s="1"/>
  <c r="AZ184" i="75"/>
  <c r="GB184" i="75" s="1"/>
  <c r="GA184" i="75"/>
  <c r="T189" i="75"/>
  <c r="EU189" i="75" s="1"/>
  <c r="ET189" i="75"/>
  <c r="FH279" i="75"/>
  <c r="AE279" i="75"/>
  <c r="FG279" i="75" s="1"/>
  <c r="FH107" i="75"/>
  <c r="AE107" i="75"/>
  <c r="FG107" i="75" s="1"/>
  <c r="AO125" i="75"/>
  <c r="FQ125" i="75" s="1"/>
  <c r="FP125" i="75"/>
  <c r="BK125" i="75"/>
  <c r="GM125" i="75" s="1"/>
  <c r="GL125" i="75"/>
  <c r="FH166" i="75"/>
  <c r="AE166" i="75"/>
  <c r="FG166" i="75" s="1"/>
  <c r="AE170" i="75"/>
  <c r="FG170" i="75" s="1"/>
  <c r="FH170" i="75"/>
  <c r="AD184" i="75"/>
  <c r="FF184" i="75" s="1"/>
  <c r="FE184" i="75"/>
  <c r="FS211" i="75"/>
  <c r="AP211" i="75"/>
  <c r="FR211" i="75" s="1"/>
  <c r="FH278" i="75"/>
  <c r="AE278" i="75"/>
  <c r="FG278" i="75" s="1"/>
  <c r="AO281" i="75"/>
  <c r="FQ281" i="75" s="1"/>
  <c r="AP90" i="75"/>
  <c r="FR90" i="75" s="1"/>
  <c r="AE102" i="75"/>
  <c r="FG102" i="75" s="1"/>
  <c r="AP109" i="75"/>
  <c r="FR109" i="75" s="1"/>
  <c r="AE111" i="75"/>
  <c r="FG111" i="75" s="1"/>
  <c r="T120" i="75"/>
  <c r="EU120" i="75" s="1"/>
  <c r="ET120" i="75"/>
  <c r="FE131" i="75"/>
  <c r="AD131" i="75"/>
  <c r="FF131" i="75" s="1"/>
  <c r="AP177" i="75"/>
  <c r="FR177" i="75" s="1"/>
  <c r="FS177" i="75"/>
  <c r="FH225" i="75"/>
  <c r="AE225" i="75"/>
  <c r="FG225" i="75" s="1"/>
  <c r="AO104" i="75"/>
  <c r="FQ104" i="75" s="1"/>
  <c r="FP117" i="75"/>
  <c r="AO117" i="75"/>
  <c r="FQ117" i="75" s="1"/>
  <c r="T130" i="75"/>
  <c r="EU130" i="75" s="1"/>
  <c r="GD188" i="75"/>
  <c r="BA188" i="75"/>
  <c r="GC188" i="75" s="1"/>
  <c r="BA208" i="75"/>
  <c r="GC208" i="75" s="1"/>
  <c r="GD208" i="75"/>
  <c r="BF245" i="75"/>
  <c r="GH245" i="75" s="1"/>
  <c r="GH230" i="75"/>
  <c r="GL273" i="75"/>
  <c r="BK273" i="75"/>
  <c r="GM273" i="75" s="1"/>
  <c r="GL95" i="75"/>
  <c r="BA115" i="75"/>
  <c r="GC115" i="75" s="1"/>
  <c r="ET117" i="75"/>
  <c r="T117" i="75"/>
  <c r="EU117" i="75" s="1"/>
  <c r="FS117" i="75"/>
  <c r="AP117" i="75"/>
  <c r="FR117" i="75" s="1"/>
  <c r="BA124" i="75"/>
  <c r="GC124" i="75" s="1"/>
  <c r="AP180" i="75"/>
  <c r="FR180" i="75" s="1"/>
  <c r="AE195" i="75"/>
  <c r="FG195" i="75" s="1"/>
  <c r="BA195" i="75"/>
  <c r="GC195" i="75" s="1"/>
  <c r="GD195" i="75"/>
  <c r="BL261" i="75"/>
  <c r="BL250" i="75" s="1"/>
  <c r="AO271" i="75"/>
  <c r="FQ271" i="75" s="1"/>
  <c r="BK271" i="75"/>
  <c r="GM271" i="75" s="1"/>
  <c r="FP114" i="75"/>
  <c r="AO114" i="75"/>
  <c r="FQ114" i="75" s="1"/>
  <c r="BK159" i="75"/>
  <c r="GM159" i="75" s="1"/>
  <c r="GL159" i="75"/>
  <c r="AE167" i="75"/>
  <c r="FG167" i="75" s="1"/>
  <c r="FH167" i="75"/>
  <c r="GH256" i="75"/>
  <c r="BF249" i="75"/>
  <c r="GH249" i="75" s="1"/>
  <c r="FS261" i="75"/>
  <c r="AP261" i="75"/>
  <c r="AQ250" i="75"/>
  <c r="FS250" i="75" s="1"/>
  <c r="FP273" i="75"/>
  <c r="AO273" i="75"/>
  <c r="FQ273" i="75" s="1"/>
  <c r="FV46" i="75"/>
  <c r="T110" i="75"/>
  <c r="EU110" i="75" s="1"/>
  <c r="FS112" i="75"/>
  <c r="FE124" i="75"/>
  <c r="AP158" i="75"/>
  <c r="FR158" i="75" s="1"/>
  <c r="FS158" i="75"/>
  <c r="BK255" i="75"/>
  <c r="GM255" i="75" s="1"/>
  <c r="GL255" i="75"/>
  <c r="FL256" i="75"/>
  <c r="AJ249" i="75"/>
  <c r="FL249" i="75" s="1"/>
  <c r="FP272" i="75"/>
  <c r="AO272" i="75"/>
  <c r="FQ272" i="75" s="1"/>
  <c r="BA186" i="75"/>
  <c r="GC186" i="75" s="1"/>
  <c r="GD186" i="75"/>
  <c r="AO199" i="75"/>
  <c r="FQ199" i="75" s="1"/>
  <c r="BK214" i="75"/>
  <c r="GM214" i="75" s="1"/>
  <c r="GL214" i="75"/>
  <c r="AO220" i="75"/>
  <c r="FQ220" i="75" s="1"/>
  <c r="FP220" i="75"/>
  <c r="AO223" i="75"/>
  <c r="FQ223" i="75" s="1"/>
  <c r="AD234" i="75"/>
  <c r="FF234" i="75" s="1"/>
  <c r="R247" i="75"/>
  <c r="ES247" i="75" s="1"/>
  <c r="ES240" i="75"/>
  <c r="FH252" i="75"/>
  <c r="AE252" i="75"/>
  <c r="FG252" i="75" s="1"/>
  <c r="T254" i="75"/>
  <c r="EU254" i="75" s="1"/>
  <c r="FR256" i="75"/>
  <c r="AP249" i="75"/>
  <c r="FR249" i="75" s="1"/>
  <c r="GD278" i="75"/>
  <c r="BA278" i="75"/>
  <c r="GC278" i="75" s="1"/>
  <c r="BK285" i="75"/>
  <c r="GM285" i="75" s="1"/>
  <c r="FH209" i="75"/>
  <c r="AE209" i="75"/>
  <c r="FG209" i="75" s="1"/>
  <c r="AE165" i="75"/>
  <c r="FG165" i="75" s="1"/>
  <c r="FH165" i="75"/>
  <c r="BA165" i="75"/>
  <c r="GC165" i="75" s="1"/>
  <c r="GD165" i="75"/>
  <c r="ET168" i="75"/>
  <c r="T168" i="75"/>
  <c r="EU168" i="75" s="1"/>
  <c r="FS168" i="75"/>
  <c r="AP168" i="75"/>
  <c r="FR168" i="75" s="1"/>
  <c r="FS190" i="75"/>
  <c r="AP190" i="75"/>
  <c r="FR190" i="75" s="1"/>
  <c r="BA246" i="75"/>
  <c r="GC246" i="75" s="1"/>
  <c r="GC235" i="75"/>
  <c r="AP96" i="75"/>
  <c r="FR96" i="75" s="1"/>
  <c r="AP113" i="75"/>
  <c r="FR113" i="75" s="1"/>
  <c r="FS116" i="75"/>
  <c r="GL123" i="75"/>
  <c r="BK123" i="75"/>
  <c r="GM123" i="75" s="1"/>
  <c r="AE131" i="75"/>
  <c r="FG131" i="75" s="1"/>
  <c r="BA131" i="75"/>
  <c r="GC131" i="75" s="1"/>
  <c r="AP170" i="75"/>
  <c r="FR170" i="75" s="1"/>
  <c r="FS173" i="75"/>
  <c r="AP173" i="75"/>
  <c r="FR173" i="75" s="1"/>
  <c r="AP182" i="75"/>
  <c r="FR182" i="75" s="1"/>
  <c r="FE196" i="75"/>
  <c r="GD212" i="75"/>
  <c r="BA212" i="75"/>
  <c r="GC212" i="75" s="1"/>
  <c r="AO224" i="75"/>
  <c r="FQ224" i="75" s="1"/>
  <c r="GL258" i="75"/>
  <c r="BK258" i="75"/>
  <c r="GM258" i="75" s="1"/>
  <c r="FS175" i="75"/>
  <c r="AP175" i="75"/>
  <c r="FR175" i="75" s="1"/>
  <c r="GL175" i="75"/>
  <c r="AE180" i="75"/>
  <c r="FG180" i="75" s="1"/>
  <c r="BA180" i="75"/>
  <c r="GC180" i="75" s="1"/>
  <c r="AE189" i="75"/>
  <c r="FG189" i="75" s="1"/>
  <c r="AP224" i="75"/>
  <c r="FR224" i="75" s="1"/>
  <c r="AD232" i="75"/>
  <c r="FF232" i="75" s="1"/>
  <c r="AO251" i="75"/>
  <c r="AN248" i="75"/>
  <c r="FP248" i="75" s="1"/>
  <c r="CH251" i="75"/>
  <c r="CH248" i="75" s="1"/>
  <c r="AP257" i="75"/>
  <c r="FR257" i="75" s="1"/>
  <c r="GL186" i="75"/>
  <c r="BK186" i="75"/>
  <c r="GM186" i="75" s="1"/>
  <c r="AZ213" i="75"/>
  <c r="GB213" i="75" s="1"/>
  <c r="GA213" i="75"/>
  <c r="AP216" i="75"/>
  <c r="FR216" i="75" s="1"/>
  <c r="AZ219" i="75"/>
  <c r="GB219" i="75" s="1"/>
  <c r="GA219" i="75"/>
  <c r="AE232" i="75"/>
  <c r="FG232" i="75" s="1"/>
  <c r="ES251" i="75"/>
  <c r="R248" i="75"/>
  <c r="ES248" i="75" s="1"/>
  <c r="BL251" i="75"/>
  <c r="BL248" i="75" s="1"/>
  <c r="GA265" i="75"/>
  <c r="AZ265" i="75"/>
  <c r="GB265" i="75" s="1"/>
  <c r="GD160" i="75"/>
  <c r="BA160" i="75"/>
  <c r="GC160" i="75" s="1"/>
  <c r="FE174" i="75"/>
  <c r="AO184" i="75"/>
  <c r="FQ184" i="75" s="1"/>
  <c r="BK193" i="75"/>
  <c r="GM193" i="75" s="1"/>
  <c r="GL198" i="75"/>
  <c r="BK198" i="75"/>
  <c r="GM198" i="75" s="1"/>
  <c r="AR248" i="75"/>
  <c r="FT248" i="75" s="1"/>
  <c r="FT251" i="75"/>
  <c r="AZ171" i="75"/>
  <c r="GB171" i="75" s="1"/>
  <c r="T181" i="75"/>
  <c r="EU181" i="75" s="1"/>
  <c r="ET181" i="75"/>
  <c r="AP181" i="75"/>
  <c r="FR181" i="75" s="1"/>
  <c r="AP184" i="75"/>
  <c r="FR184" i="75" s="1"/>
  <c r="GD184" i="75"/>
  <c r="FH187" i="75"/>
  <c r="AP238" i="75"/>
  <c r="FR238" i="75" s="1"/>
  <c r="BK239" i="75"/>
  <c r="GM239" i="75" s="1"/>
  <c r="GL239" i="75"/>
  <c r="EW251" i="75"/>
  <c r="EV251" i="75" s="1"/>
  <c r="EV248" i="75" s="1"/>
  <c r="U248" i="75"/>
  <c r="EW248" i="75" s="1"/>
  <c r="FU251" i="75"/>
  <c r="AS248" i="75"/>
  <c r="FU248" i="75" s="1"/>
  <c r="FI261" i="75"/>
  <c r="AG250" i="75"/>
  <c r="FI250" i="75" s="1"/>
  <c r="FH219" i="75"/>
  <c r="AE219" i="75"/>
  <c r="FG219" i="75" s="1"/>
  <c r="GD223" i="75"/>
  <c r="BA223" i="75"/>
  <c r="GC223" i="75" s="1"/>
  <c r="FV251" i="75"/>
  <c r="AT248" i="75"/>
  <c r="FV248" i="75" s="1"/>
  <c r="FJ261" i="75"/>
  <c r="AH250" i="75"/>
  <c r="FJ250" i="75" s="1"/>
  <c r="BK276" i="75"/>
  <c r="GM276" i="75" s="1"/>
  <c r="GA160" i="75"/>
  <c r="FE163" i="75"/>
  <c r="AD163" i="75"/>
  <c r="FF163" i="75" s="1"/>
  <c r="FE185" i="75"/>
  <c r="AD185" i="75"/>
  <c r="FF185" i="75" s="1"/>
  <c r="AU248" i="75"/>
  <c r="FW248" i="75" s="1"/>
  <c r="FW251" i="75"/>
  <c r="GB256" i="75"/>
  <c r="BK275" i="75"/>
  <c r="GM275" i="75" s="1"/>
  <c r="AO276" i="75"/>
  <c r="FQ276" i="75" s="1"/>
  <c r="BK158" i="75"/>
  <c r="GM158" i="75" s="1"/>
  <c r="GL158" i="75"/>
  <c r="AZ168" i="75"/>
  <c r="GB168" i="75" s="1"/>
  <c r="GA168" i="75"/>
  <c r="FE179" i="75"/>
  <c r="S248" i="75"/>
  <c r="FP275" i="75"/>
  <c r="AO275" i="75"/>
  <c r="FQ275" i="75" s="1"/>
  <c r="GA90" i="75"/>
  <c r="GA107" i="75"/>
  <c r="AZ156" i="75"/>
  <c r="GB156" i="75" s="1"/>
  <c r="AZ162" i="75"/>
  <c r="GB162" i="75" s="1"/>
  <c r="GA162" i="75"/>
  <c r="AO165" i="75"/>
  <c r="FQ165" i="75" s="1"/>
  <c r="AD182" i="75"/>
  <c r="FF182" i="75" s="1"/>
  <c r="BK218" i="75"/>
  <c r="GM218" i="75" s="1"/>
  <c r="FA251" i="75"/>
  <c r="Y248" i="75"/>
  <c r="FA248" i="75" s="1"/>
  <c r="GG256" i="75"/>
  <c r="BE249" i="75"/>
  <c r="GG249" i="75" s="1"/>
  <c r="FS174" i="75"/>
  <c r="BJ248" i="75"/>
  <c r="GL248" i="75" s="1"/>
  <c r="GD289" i="75"/>
  <c r="BA289" i="75"/>
  <c r="GC289" i="75" s="1"/>
  <c r="ET206" i="75"/>
  <c r="T206" i="75"/>
  <c r="EU206" i="75" s="1"/>
  <c r="BB246" i="75"/>
  <c r="GD246" i="75" s="1"/>
  <c r="GD235" i="75"/>
  <c r="FS236" i="75"/>
  <c r="AP236" i="75"/>
  <c r="FR236" i="75" s="1"/>
  <c r="FC251" i="75"/>
  <c r="AA248" i="75"/>
  <c r="FC248" i="75" s="1"/>
  <c r="FN256" i="75"/>
  <c r="AL249" i="75"/>
  <c r="FN249" i="75" s="1"/>
  <c r="GA198" i="75"/>
  <c r="FE213" i="75"/>
  <c r="AD222" i="75"/>
  <c r="FF222" i="75" s="1"/>
  <c r="AZ222" i="75"/>
  <c r="GB222" i="75" s="1"/>
  <c r="FH235" i="75"/>
  <c r="FL240" i="75"/>
  <c r="AZ260" i="75"/>
  <c r="GB260" i="75" s="1"/>
  <c r="EX261" i="75"/>
  <c r="V250" i="75"/>
  <c r="EX250" i="75" s="1"/>
  <c r="AD265" i="75"/>
  <c r="FF265" i="75" s="1"/>
  <c r="BK183" i="75"/>
  <c r="GM183" i="75" s="1"/>
  <c r="FP186" i="75"/>
  <c r="FH213" i="75"/>
  <c r="GJ230" i="75"/>
  <c r="AZ233" i="75"/>
  <c r="GB233" i="75" s="1"/>
  <c r="FL235" i="75"/>
  <c r="FM240" i="75"/>
  <c r="T244" i="75"/>
  <c r="EU244" i="75" s="1"/>
  <c r="ET244" i="75"/>
  <c r="AO244" i="75"/>
  <c r="FQ244" i="75" s="1"/>
  <c r="ER256" i="75"/>
  <c r="Q249" i="75"/>
  <c r="ER249" i="75" s="1"/>
  <c r="GK256" i="75"/>
  <c r="BI249" i="75"/>
  <c r="GK249" i="75" s="1"/>
  <c r="CG256" i="75"/>
  <c r="CG249" i="75" s="1"/>
  <c r="CF249" i="75"/>
  <c r="DC256" i="75"/>
  <c r="DC249" i="75" s="1"/>
  <c r="DB249" i="75"/>
  <c r="T264" i="75"/>
  <c r="EU264" i="75" s="1"/>
  <c r="FH265" i="75"/>
  <c r="AE265" i="75"/>
  <c r="FG265" i="75" s="1"/>
  <c r="T173" i="75"/>
  <c r="EU173" i="75" s="1"/>
  <c r="GL177" i="75"/>
  <c r="T187" i="75"/>
  <c r="EU187" i="75" s="1"/>
  <c r="AD216" i="75"/>
  <c r="FF216" i="75" s="1"/>
  <c r="T217" i="75"/>
  <c r="EU217" i="75" s="1"/>
  <c r="BA218" i="75"/>
  <c r="GC218" i="75" s="1"/>
  <c r="BL230" i="75"/>
  <c r="BL245" i="75" s="1"/>
  <c r="DZ230" i="75"/>
  <c r="DZ245" i="75" s="1"/>
  <c r="GK230" i="75"/>
  <c r="T232" i="75"/>
  <c r="EU232" i="75" s="1"/>
  <c r="AH246" i="75"/>
  <c r="FJ246" i="75" s="1"/>
  <c r="FJ235" i="75"/>
  <c r="S249" i="75"/>
  <c r="Z250" i="75"/>
  <c r="FB250" i="75" s="1"/>
  <c r="AX250" i="75"/>
  <c r="FZ250" i="75" s="1"/>
  <c r="CQ250" i="75"/>
  <c r="AZ254" i="75"/>
  <c r="GB254" i="75" s="1"/>
  <c r="AZ255" i="75"/>
  <c r="GB255" i="75" s="1"/>
  <c r="AO256" i="75"/>
  <c r="BK256" i="75"/>
  <c r="BJ249" i="75"/>
  <c r="GL249" i="75" s="1"/>
  <c r="CH256" i="75"/>
  <c r="CH249" i="75" s="1"/>
  <c r="EI250" i="75"/>
  <c r="EJ261" i="75"/>
  <c r="EJ250" i="75" s="1"/>
  <c r="AP212" i="75"/>
  <c r="FR212" i="75" s="1"/>
  <c r="AP215" i="75"/>
  <c r="FR215" i="75" s="1"/>
  <c r="BA220" i="75"/>
  <c r="GC220" i="75" s="1"/>
  <c r="AP234" i="75"/>
  <c r="FR234" i="75" s="1"/>
  <c r="FP235" i="75"/>
  <c r="BL256" i="75"/>
  <c r="BL249" i="75" s="1"/>
  <c r="FS259" i="75"/>
  <c r="AP259" i="75"/>
  <c r="FR259" i="75" s="1"/>
  <c r="BA273" i="75"/>
  <c r="GC273" i="75" s="1"/>
  <c r="AE286" i="75"/>
  <c r="FG286" i="75" s="1"/>
  <c r="BA286" i="75"/>
  <c r="GC286" i="75" s="1"/>
  <c r="BA192" i="75"/>
  <c r="GC192" i="75" s="1"/>
  <c r="AE220" i="75"/>
  <c r="FG220" i="75" s="1"/>
  <c r="FH231" i="75"/>
  <c r="GA251" i="75"/>
  <c r="EW256" i="75"/>
  <c r="EV256" i="75" s="1"/>
  <c r="EV249" i="75" s="1"/>
  <c r="U249" i="75"/>
  <c r="EW249" i="75" s="1"/>
  <c r="FS256" i="75"/>
  <c r="AQ249" i="75"/>
  <c r="FS249" i="75" s="1"/>
  <c r="BA207" i="75"/>
  <c r="GC207" i="75" s="1"/>
  <c r="AD231" i="75"/>
  <c r="FF231" i="75" s="1"/>
  <c r="FE231" i="75"/>
  <c r="CF248" i="75"/>
  <c r="EX256" i="75"/>
  <c r="V249" i="75"/>
  <c r="EX249" i="75" s="1"/>
  <c r="FT256" i="75"/>
  <c r="AR249" i="75"/>
  <c r="FT249" i="75" s="1"/>
  <c r="CS261" i="75"/>
  <c r="CS250" i="75" s="1"/>
  <c r="CT250" i="75"/>
  <c r="GA261" i="75"/>
  <c r="AE274" i="75"/>
  <c r="FG274" i="75" s="1"/>
  <c r="FP195" i="75"/>
  <c r="AO195" i="75"/>
  <c r="FQ195" i="75" s="1"/>
  <c r="BA198" i="75"/>
  <c r="GC198" i="75" s="1"/>
  <c r="AZ238" i="75"/>
  <c r="GB238" i="75" s="1"/>
  <c r="GA238" i="75"/>
  <c r="EY256" i="75"/>
  <c r="W249" i="75"/>
  <c r="EY249" i="75" s="1"/>
  <c r="AE277" i="75"/>
  <c r="FG277" i="75" s="1"/>
  <c r="BA277" i="75"/>
  <c r="GC277" i="75" s="1"/>
  <c r="FH285" i="75"/>
  <c r="AE285" i="75"/>
  <c r="FG285" i="75" s="1"/>
  <c r="ET195" i="75"/>
  <c r="T195" i="75"/>
  <c r="EU195" i="75" s="1"/>
  <c r="AO237" i="75"/>
  <c r="FQ237" i="75" s="1"/>
  <c r="FP237" i="75"/>
  <c r="GA241" i="75"/>
  <c r="AZ241" i="75"/>
  <c r="GB241" i="75" s="1"/>
  <c r="GC261" i="75"/>
  <c r="BA250" i="75"/>
  <c r="GC250" i="75" s="1"/>
  <c r="BW261" i="75"/>
  <c r="BW250" i="75" s="1"/>
  <c r="BX250" i="75"/>
  <c r="FH284" i="75"/>
  <c r="AE284" i="75"/>
  <c r="FG284" i="75" s="1"/>
  <c r="AZ206" i="75"/>
  <c r="GB206" i="75" s="1"/>
  <c r="AZ223" i="75"/>
  <c r="GB223" i="75" s="1"/>
  <c r="AZ236" i="75"/>
  <c r="GB236" i="75" s="1"/>
  <c r="P247" i="75"/>
  <c r="EQ247" i="75" s="1"/>
  <c r="EQ240" i="75"/>
  <c r="FE241" i="75"/>
  <c r="AD241" i="75"/>
  <c r="FF241" i="75" s="1"/>
  <c r="AD252" i="75"/>
  <c r="FF252" i="75" s="1"/>
  <c r="BA252" i="75"/>
  <c r="GC252" i="75" s="1"/>
  <c r="FA256" i="75"/>
  <c r="Y249" i="75"/>
  <c r="FA249" i="75" s="1"/>
  <c r="FW256" i="75"/>
  <c r="AU249" i="75"/>
  <c r="FW249" i="75" s="1"/>
  <c r="AD261" i="75"/>
  <c r="FF261" i="75" s="1"/>
  <c r="BK210" i="75"/>
  <c r="GM210" i="75" s="1"/>
  <c r="AZ221" i="75"/>
  <c r="GB221" i="75" s="1"/>
  <c r="ET223" i="75"/>
  <c r="AQ246" i="75"/>
  <c r="FS246" i="75" s="1"/>
  <c r="FS235" i="75"/>
  <c r="Q247" i="75"/>
  <c r="ER247" i="75" s="1"/>
  <c r="ER240" i="75"/>
  <c r="GD280" i="75"/>
  <c r="BA280" i="75"/>
  <c r="GC280" i="75" s="1"/>
  <c r="EL240" i="75"/>
  <c r="EK240" i="75" s="1"/>
  <c r="EK247" i="75" s="1"/>
  <c r="AE244" i="75"/>
  <c r="FG244" i="75" s="1"/>
  <c r="P250" i="75"/>
  <c r="EQ250" i="75" s="1"/>
  <c r="AJ250" i="75"/>
  <c r="FL250" i="75" s="1"/>
  <c r="BD250" i="75"/>
  <c r="GF250" i="75" s="1"/>
  <c r="BA254" i="75"/>
  <c r="GC254" i="75" s="1"/>
  <c r="AE257" i="75"/>
  <c r="FG257" i="75" s="1"/>
  <c r="BA257" i="75"/>
  <c r="GC257" i="75" s="1"/>
  <c r="AE281" i="75"/>
  <c r="FG281" i="75" s="1"/>
  <c r="BA281" i="75"/>
  <c r="GC281" i="75" s="1"/>
  <c r="BA240" i="75"/>
  <c r="BA247" i="75" s="1"/>
  <c r="GC247" i="75" s="1"/>
  <c r="BW240" i="75"/>
  <c r="BW247" i="75" s="1"/>
  <c r="FS252" i="75"/>
  <c r="AE275" i="75"/>
  <c r="FG275" i="75" s="1"/>
  <c r="BA275" i="75"/>
  <c r="GC275" i="75" s="1"/>
  <c r="AI248" i="75"/>
  <c r="FK248" i="75" s="1"/>
  <c r="GL252" i="75"/>
  <c r="FH261" i="75"/>
  <c r="AZ263" i="75"/>
  <c r="GB263" i="75" s="1"/>
  <c r="AE272" i="75"/>
  <c r="FG272" i="75" s="1"/>
  <c r="BA272" i="75"/>
  <c r="GC272" i="75" s="1"/>
  <c r="AO274" i="75"/>
  <c r="FQ274" i="75" s="1"/>
  <c r="BK274" i="75"/>
  <c r="GM274" i="75" s="1"/>
  <c r="AE276" i="75"/>
  <c r="FG276" i="75" s="1"/>
  <c r="BA276" i="75"/>
  <c r="GC276" i="75" s="1"/>
  <c r="AO279" i="75"/>
  <c r="FQ279" i="75" s="1"/>
  <c r="BK279" i="75"/>
  <c r="GM279" i="75" s="1"/>
  <c r="FH240" i="75"/>
  <c r="AO238" i="75"/>
  <c r="FQ238" i="75" s="1"/>
  <c r="AD239" i="75"/>
  <c r="FF239" i="75" s="1"/>
  <c r="FJ240" i="75"/>
  <c r="AZ253" i="75"/>
  <c r="GB253" i="75" s="1"/>
  <c r="AO261" i="75"/>
  <c r="T265" i="75"/>
  <c r="EU265" i="75" s="1"/>
  <c r="BA285" i="75"/>
  <c r="GC285" i="75" s="1"/>
  <c r="AZ259" i="75"/>
  <c r="GB259" i="75" s="1"/>
  <c r="AO280" i="75"/>
  <c r="FQ280" i="75" s="1"/>
  <c r="BK280" i="75"/>
  <c r="GM280" i="75" s="1"/>
  <c r="T18" i="75"/>
  <c r="EU18" i="75" s="1"/>
  <c r="AZ19" i="75"/>
  <c r="GB19" i="75" s="1"/>
  <c r="AO25" i="75"/>
  <c r="FQ25" i="75" s="1"/>
  <c r="T28" i="75"/>
  <c r="EU28" i="75" s="1"/>
  <c r="AE47" i="75"/>
  <c r="FG47" i="75" s="1"/>
  <c r="FH47" i="75"/>
  <c r="AO18" i="75"/>
  <c r="FQ18" i="75" s="1"/>
  <c r="GA18" i="75"/>
  <c r="ET27" i="75"/>
  <c r="AO28" i="75"/>
  <c r="FQ28" i="75" s="1"/>
  <c r="GA28" i="75"/>
  <c r="AE42" i="75"/>
  <c r="FG42" i="75" s="1"/>
  <c r="FH42" i="75"/>
  <c r="FE13" i="75"/>
  <c r="GL14" i="75"/>
  <c r="AP18" i="75"/>
  <c r="FR18" i="75" s="1"/>
  <c r="AD22" i="75"/>
  <c r="FF22" i="75" s="1"/>
  <c r="FP22" i="75"/>
  <c r="BK25" i="75"/>
  <c r="GM25" i="75" s="1"/>
  <c r="AP28" i="75"/>
  <c r="FR28" i="75" s="1"/>
  <c r="FE29" i="75"/>
  <c r="AE22" i="75"/>
  <c r="FG22" i="75" s="1"/>
  <c r="BA51" i="75"/>
  <c r="GC51" i="75" s="1"/>
  <c r="GC46" i="75"/>
  <c r="AD14" i="75"/>
  <c r="FF14" i="75" s="1"/>
  <c r="ET12" i="75"/>
  <c r="AO13" i="75"/>
  <c r="FQ13" i="75" s="1"/>
  <c r="GA13" i="75"/>
  <c r="GD18" i="75"/>
  <c r="ET20" i="75"/>
  <c r="GL22" i="75"/>
  <c r="AE27" i="75"/>
  <c r="FG27" i="75" s="1"/>
  <c r="GD28" i="75"/>
  <c r="BK15" i="75"/>
  <c r="GM15" i="75" s="1"/>
  <c r="ET15" i="75"/>
  <c r="GA16" i="75"/>
  <c r="GA21" i="75"/>
  <c r="FE26" i="75"/>
  <c r="GL27" i="75"/>
  <c r="FH29" i="75"/>
  <c r="AD12" i="75"/>
  <c r="FF12" i="75" s="1"/>
  <c r="FP12" i="75"/>
  <c r="BK13" i="75"/>
  <c r="GM13" i="75" s="1"/>
  <c r="AP16" i="75"/>
  <c r="FR16" i="75" s="1"/>
  <c r="AD20" i="75"/>
  <c r="FF20" i="75" s="1"/>
  <c r="FP20" i="75"/>
  <c r="AP21" i="75"/>
  <c r="FR21" i="75" s="1"/>
  <c r="T26" i="75"/>
  <c r="EU26" i="75" s="1"/>
  <c r="BA27" i="75"/>
  <c r="GC27" i="75" s="1"/>
  <c r="T30" i="75"/>
  <c r="EU30" i="75" s="1"/>
  <c r="AO30" i="75"/>
  <c r="FQ30" i="75" s="1"/>
  <c r="GA30" i="75"/>
  <c r="GD12" i="75"/>
  <c r="AE12" i="75"/>
  <c r="FG12" i="75" s="1"/>
  <c r="AE20" i="75"/>
  <c r="FG20" i="75" s="1"/>
  <c r="AP30" i="75"/>
  <c r="FR30" i="75" s="1"/>
  <c r="FS12" i="75"/>
  <c r="AZ15" i="75"/>
  <c r="GB15" i="75" s="1"/>
  <c r="AO19" i="75"/>
  <c r="FQ19" i="75" s="1"/>
  <c r="FS20" i="75"/>
  <c r="AD25" i="75"/>
  <c r="FF25" i="75" s="1"/>
  <c r="BK26" i="75"/>
  <c r="GM26" i="75" s="1"/>
  <c r="AP29" i="75"/>
  <c r="FR29" i="75" s="1"/>
  <c r="GD30" i="75"/>
  <c r="BH51" i="75"/>
  <c r="GJ51" i="75" s="1"/>
  <c r="GJ46" i="75"/>
  <c r="FE36" i="75"/>
  <c r="AD36" i="75"/>
  <c r="FF36" i="75" s="1"/>
  <c r="AP34" i="75"/>
  <c r="FR34" i="75" s="1"/>
  <c r="FS34" i="75"/>
  <c r="GD52" i="75"/>
  <c r="BA52" i="75"/>
  <c r="GC52" i="75" s="1"/>
  <c r="FP46" i="75"/>
  <c r="AO46" i="75"/>
  <c r="FP41" i="75"/>
  <c r="AO41" i="75"/>
  <c r="FQ41" i="75" s="1"/>
  <c r="GL37" i="75"/>
  <c r="BK37" i="75"/>
  <c r="GM37" i="75" s="1"/>
  <c r="AN51" i="75"/>
  <c r="FP51" i="75" s="1"/>
  <c r="EM46" i="75"/>
  <c r="GA46" i="75"/>
  <c r="FP50" i="75"/>
  <c r="GL50" i="75"/>
  <c r="CI51" i="75"/>
  <c r="ET72" i="75"/>
  <c r="T72" i="75"/>
  <c r="EU72" i="75" s="1"/>
  <c r="FE32" i="75"/>
  <c r="AZ33" i="75"/>
  <c r="GB33" i="75" s="1"/>
  <c r="GL33" i="75"/>
  <c r="AE36" i="75"/>
  <c r="FG36" i="75" s="1"/>
  <c r="GD37" i="75"/>
  <c r="AD39" i="75"/>
  <c r="FF39" i="75" s="1"/>
  <c r="FP39" i="75"/>
  <c r="AP41" i="75"/>
  <c r="FR41" i="75" s="1"/>
  <c r="FH41" i="75"/>
  <c r="AD45" i="75"/>
  <c r="FF45" i="75" s="1"/>
  <c r="FP45" i="75"/>
  <c r="AP46" i="75"/>
  <c r="EN46" i="75"/>
  <c r="FH46" i="75"/>
  <c r="AD50" i="75"/>
  <c r="FF50" i="75" s="1"/>
  <c r="ET52" i="75"/>
  <c r="EO46" i="75"/>
  <c r="FI46" i="75"/>
  <c r="DA51" i="75"/>
  <c r="U51" i="75"/>
  <c r="EW51" i="75" s="1"/>
  <c r="AQ51" i="75"/>
  <c r="FS51" i="75" s="1"/>
  <c r="AO32" i="75"/>
  <c r="FQ32" i="75" s="1"/>
  <c r="GA32" i="75"/>
  <c r="T35" i="75"/>
  <c r="EU35" i="75" s="1"/>
  <c r="FS36" i="75"/>
  <c r="FE38" i="75"/>
  <c r="AZ39" i="75"/>
  <c r="GB39" i="75" s="1"/>
  <c r="GL39" i="75"/>
  <c r="GD41" i="75"/>
  <c r="ET43" i="75"/>
  <c r="T44" i="75"/>
  <c r="EU44" i="75" s="1"/>
  <c r="AZ45" i="75"/>
  <c r="GB45" i="75" s="1"/>
  <c r="GL45" i="75"/>
  <c r="EP46" i="75"/>
  <c r="FJ46" i="75"/>
  <c r="GD46" i="75"/>
  <c r="T49" i="75"/>
  <c r="EU49" i="75" s="1"/>
  <c r="AZ50" i="75"/>
  <c r="GB50" i="75" s="1"/>
  <c r="AS51" i="75"/>
  <c r="FU51" i="75" s="1"/>
  <c r="GL53" i="75"/>
  <c r="ET34" i="75"/>
  <c r="GA35" i="75"/>
  <c r="T38" i="75"/>
  <c r="EU38" i="75" s="1"/>
  <c r="AO44" i="75"/>
  <c r="FQ44" i="75" s="1"/>
  <c r="GA44" i="75"/>
  <c r="CG46" i="75"/>
  <c r="CG51" i="75" s="1"/>
  <c r="EQ46" i="75"/>
  <c r="FK46" i="75"/>
  <c r="GE46" i="75"/>
  <c r="W51" i="75"/>
  <c r="EY51" i="75" s="1"/>
  <c r="AU51" i="75"/>
  <c r="FW51" i="75" s="1"/>
  <c r="AD31" i="75"/>
  <c r="FF31" i="75" s="1"/>
  <c r="FP31" i="75"/>
  <c r="BK32" i="75"/>
  <c r="GM32" i="75" s="1"/>
  <c r="AP35" i="75"/>
  <c r="FR35" i="75" s="1"/>
  <c r="ET37" i="75"/>
  <c r="AO38" i="75"/>
  <c r="FQ38" i="75" s="1"/>
  <c r="GA38" i="75"/>
  <c r="AD43" i="75"/>
  <c r="FF43" i="75" s="1"/>
  <c r="FP43" i="75"/>
  <c r="AP44" i="75"/>
  <c r="FR44" i="75" s="1"/>
  <c r="FH44" i="75"/>
  <c r="ER46" i="75"/>
  <c r="FL46" i="75"/>
  <c r="GF46" i="75"/>
  <c r="AD48" i="75"/>
  <c r="FF48" i="75" s="1"/>
  <c r="FP48" i="75"/>
  <c r="AP49" i="75"/>
  <c r="FR49" i="75" s="1"/>
  <c r="FH49" i="75"/>
  <c r="Y51" i="75"/>
  <c r="FA51" i="75" s="1"/>
  <c r="AV51" i="75"/>
  <c r="FX51" i="75" s="1"/>
  <c r="AE31" i="75"/>
  <c r="FG31" i="75" s="1"/>
  <c r="FP34" i="75"/>
  <c r="AP38" i="75"/>
  <c r="FR38" i="75" s="1"/>
  <c r="FE42" i="75"/>
  <c r="AE43" i="75"/>
  <c r="FG43" i="75" s="1"/>
  <c r="FM46" i="75"/>
  <c r="GG46" i="75"/>
  <c r="FE47" i="75"/>
  <c r="AE48" i="75"/>
  <c r="FG48" i="75" s="1"/>
  <c r="AA51" i="75"/>
  <c r="FC51" i="75" s="1"/>
  <c r="AW51" i="75"/>
  <c r="FY51" i="75" s="1"/>
  <c r="FH53" i="75"/>
  <c r="AE34" i="75"/>
  <c r="FG34" i="75" s="1"/>
  <c r="FP37" i="75"/>
  <c r="DZ46" i="75"/>
  <c r="DZ51" i="75" s="1"/>
  <c r="AB51" i="75"/>
  <c r="FD51" i="75" s="1"/>
  <c r="GL52" i="75"/>
  <c r="AC51" i="75"/>
  <c r="CQ51" i="75"/>
  <c r="T33" i="75"/>
  <c r="EU33" i="75" s="1"/>
  <c r="AZ37" i="75"/>
  <c r="GB37" i="75" s="1"/>
  <c r="AD41" i="75"/>
  <c r="FF41" i="75" s="1"/>
  <c r="AD46" i="75"/>
  <c r="FF46" i="75" s="1"/>
  <c r="T36" i="75"/>
  <c r="EU36" i="75" s="1"/>
  <c r="AE46" i="75"/>
  <c r="GK46" i="75"/>
  <c r="BB51" i="75"/>
  <c r="GD51" i="75" s="1"/>
  <c r="BX51" i="75"/>
  <c r="AZ52" i="75"/>
  <c r="GB52" i="75" s="1"/>
  <c r="ET74" i="75"/>
  <c r="FH75" i="75"/>
  <c r="AD77" i="75"/>
  <c r="FF77" i="75" s="1"/>
  <c r="FP77" i="75"/>
  <c r="GD78" i="75"/>
  <c r="AZ80" i="75"/>
  <c r="GB80" i="75" s="1"/>
  <c r="GL80" i="75"/>
  <c r="T82" i="75"/>
  <c r="EU82" i="75" s="1"/>
  <c r="ET84" i="75"/>
  <c r="FH85" i="75"/>
  <c r="AO87" i="75"/>
  <c r="FQ87" i="75" s="1"/>
  <c r="FP87" i="75"/>
  <c r="FP56" i="75"/>
  <c r="GA72" i="75"/>
  <c r="FE79" i="75"/>
  <c r="GA82" i="75"/>
  <c r="FH86" i="75"/>
  <c r="T87" i="75"/>
  <c r="EU87" i="75" s="1"/>
  <c r="ET81" i="75"/>
  <c r="GD85" i="75"/>
  <c r="GL56" i="75"/>
  <c r="FE76" i="75"/>
  <c r="FS77" i="75"/>
  <c r="GA79" i="75"/>
  <c r="FP88" i="75"/>
  <c r="AO88" i="75"/>
  <c r="FQ88" i="75" s="1"/>
  <c r="GL88" i="75"/>
  <c r="BK88" i="75"/>
  <c r="GM88" i="75" s="1"/>
  <c r="ET78" i="75"/>
  <c r="AP79" i="75"/>
  <c r="FR79" i="75" s="1"/>
  <c r="T86" i="75"/>
  <c r="EU86" i="75" s="1"/>
  <c r="FP54" i="75"/>
  <c r="FH55" i="75"/>
  <c r="FE73" i="75"/>
  <c r="FS74" i="75"/>
  <c r="GA76" i="75"/>
  <c r="FS84" i="75"/>
  <c r="AE54" i="75"/>
  <c r="FG54" i="75" s="1"/>
  <c r="BK55" i="75"/>
  <c r="GM55" i="75" s="1"/>
  <c r="T73" i="75"/>
  <c r="EU73" i="75" s="1"/>
  <c r="ET75" i="75"/>
  <c r="AP76" i="75"/>
  <c r="FR76" i="75" s="1"/>
  <c r="AD78" i="75"/>
  <c r="FF78" i="75" s="1"/>
  <c r="GD79" i="75"/>
  <c r="AZ81" i="75"/>
  <c r="GB81" i="75" s="1"/>
  <c r="GL81" i="75"/>
  <c r="T83" i="75"/>
  <c r="EU83" i="75" s="1"/>
  <c r="ET85" i="75"/>
  <c r="AP86" i="75"/>
  <c r="FR86" i="75" s="1"/>
  <c r="GL54" i="75"/>
  <c r="GD55" i="75"/>
  <c r="GA73" i="75"/>
  <c r="AE78" i="75"/>
  <c r="FG78" i="75" s="1"/>
  <c r="FE80" i="75"/>
  <c r="BA81" i="75"/>
  <c r="GC81" i="75" s="1"/>
  <c r="BA89" i="75"/>
  <c r="GC89" i="75" s="1"/>
  <c r="GD89" i="75"/>
  <c r="BK73" i="75"/>
  <c r="GM73" i="75" s="1"/>
  <c r="FS78" i="75"/>
  <c r="AO80" i="75"/>
  <c r="FQ80" i="75" s="1"/>
  <c r="BK83" i="75"/>
  <c r="GM83" i="75" s="1"/>
  <c r="AD87" i="75"/>
  <c r="FF87" i="75" s="1"/>
  <c r="AD86" i="75"/>
  <c r="FF86" i="75" s="1"/>
  <c r="BA88" i="75"/>
  <c r="GC88" i="75" s="1"/>
  <c r="FE104" i="75"/>
  <c r="FS105" i="75"/>
  <c r="GA88" i="75"/>
  <c r="BK91" i="75"/>
  <c r="GM91" i="75" s="1"/>
  <c r="AE93" i="75"/>
  <c r="FG93" i="75" s="1"/>
  <c r="FE95" i="75"/>
  <c r="BA96" i="75"/>
  <c r="GC96" i="75" s="1"/>
  <c r="AZ102" i="75"/>
  <c r="GB102" i="75" s="1"/>
  <c r="GL102" i="75"/>
  <c r="T104" i="75"/>
  <c r="EU104" i="75" s="1"/>
  <c r="AP107" i="75"/>
  <c r="FR107" i="75" s="1"/>
  <c r="AD109" i="75"/>
  <c r="FF109" i="75" s="1"/>
  <c r="FP109" i="75"/>
  <c r="AZ112" i="75"/>
  <c r="GB112" i="75" s="1"/>
  <c r="GL112" i="75"/>
  <c r="AP114" i="75"/>
  <c r="FR114" i="75" s="1"/>
  <c r="BK114" i="75"/>
  <c r="GM114" i="75" s="1"/>
  <c r="FS102" i="75"/>
  <c r="FE92" i="75"/>
  <c r="FS93" i="75"/>
  <c r="AO95" i="75"/>
  <c r="FQ95" i="75" s="1"/>
  <c r="GA95" i="75"/>
  <c r="ET103" i="75"/>
  <c r="FH104" i="75"/>
  <c r="AD106" i="75"/>
  <c r="FF106" i="75" s="1"/>
  <c r="FP106" i="75"/>
  <c r="GD107" i="75"/>
  <c r="AZ109" i="75"/>
  <c r="GB109" i="75" s="1"/>
  <c r="GL109" i="75"/>
  <c r="T111" i="75"/>
  <c r="EU111" i="75" s="1"/>
  <c r="ET113" i="75"/>
  <c r="GL90" i="75"/>
  <c r="T92" i="75"/>
  <c r="EU92" i="75" s="1"/>
  <c r="FH95" i="75"/>
  <c r="FE108" i="75"/>
  <c r="GA111" i="75"/>
  <c r="FP113" i="75"/>
  <c r="AE87" i="75"/>
  <c r="FG87" i="75" s="1"/>
  <c r="BA90" i="75"/>
  <c r="GC90" i="75" s="1"/>
  <c r="AP111" i="75"/>
  <c r="FR111" i="75" s="1"/>
  <c r="GL113" i="75"/>
  <c r="AZ87" i="75"/>
  <c r="GB87" i="75" s="1"/>
  <c r="FH92" i="75"/>
  <c r="FP94" i="75"/>
  <c r="GD95" i="75"/>
  <c r="FE105" i="75"/>
  <c r="FS106" i="75"/>
  <c r="GA108" i="75"/>
  <c r="BK111" i="75"/>
  <c r="GM111" i="75" s="1"/>
  <c r="FS87" i="75"/>
  <c r="AO89" i="75"/>
  <c r="FQ89" i="75" s="1"/>
  <c r="BK92" i="75"/>
  <c r="GM92" i="75" s="1"/>
  <c r="AZ103" i="75"/>
  <c r="GB103" i="75" s="1"/>
  <c r="T105" i="75"/>
  <c r="EU105" i="75" s="1"/>
  <c r="ET107" i="75"/>
  <c r="AP108" i="75"/>
  <c r="FR108" i="75" s="1"/>
  <c r="FH108" i="75"/>
  <c r="AD110" i="75"/>
  <c r="FF110" i="75" s="1"/>
  <c r="FP110" i="75"/>
  <c r="GD111" i="75"/>
  <c r="AP89" i="75"/>
  <c r="FR89" i="75" s="1"/>
  <c r="FH89" i="75"/>
  <c r="FP91" i="75"/>
  <c r="GD92" i="75"/>
  <c r="GL94" i="75"/>
  <c r="FE102" i="75"/>
  <c r="BA103" i="75"/>
  <c r="GC103" i="75" s="1"/>
  <c r="FS103" i="75"/>
  <c r="GA105" i="75"/>
  <c r="AE110" i="75"/>
  <c r="FG110" i="75" s="1"/>
  <c r="FE112" i="75"/>
  <c r="BA113" i="75"/>
  <c r="GC113" i="75" s="1"/>
  <c r="T115" i="75"/>
  <c r="EU115" i="75" s="1"/>
  <c r="ET115" i="75"/>
  <c r="FH96" i="75"/>
  <c r="FS110" i="75"/>
  <c r="T109" i="75"/>
  <c r="EU109" i="75" s="1"/>
  <c r="FH115" i="75"/>
  <c r="AE115" i="75"/>
  <c r="FG115" i="75" s="1"/>
  <c r="T114" i="75"/>
  <c r="EU114" i="75" s="1"/>
  <c r="T128" i="75"/>
  <c r="EU128" i="75" s="1"/>
  <c r="AD161" i="75"/>
  <c r="FF161" i="75" s="1"/>
  <c r="ET118" i="75"/>
  <c r="FH119" i="75"/>
  <c r="AD121" i="75"/>
  <c r="FF121" i="75" s="1"/>
  <c r="FH125" i="75"/>
  <c r="ET127" i="75"/>
  <c r="AO128" i="75"/>
  <c r="FQ128" i="75" s="1"/>
  <c r="AZ157" i="75"/>
  <c r="GB157" i="75" s="1"/>
  <c r="FE159" i="75"/>
  <c r="GA116" i="75"/>
  <c r="GD122" i="75"/>
  <c r="FP124" i="75"/>
  <c r="FH128" i="75"/>
  <c r="GA131" i="75"/>
  <c r="T156" i="75"/>
  <c r="EU156" i="75" s="1"/>
  <c r="FS157" i="75"/>
  <c r="GA159" i="75"/>
  <c r="FP127" i="75"/>
  <c r="T159" i="75"/>
  <c r="EU159" i="75" s="1"/>
  <c r="AE118" i="75"/>
  <c r="FG118" i="75" s="1"/>
  <c r="FE120" i="75"/>
  <c r="BA121" i="75"/>
  <c r="GC121" i="75" s="1"/>
  <c r="FS121" i="75"/>
  <c r="FE123" i="75"/>
  <c r="GL124" i="75"/>
  <c r="AE127" i="75"/>
  <c r="FG127" i="75" s="1"/>
  <c r="GD128" i="75"/>
  <c r="FP130" i="75"/>
  <c r="AP156" i="75"/>
  <c r="FR156" i="75" s="1"/>
  <c r="FH156" i="75"/>
  <c r="ET158" i="75"/>
  <c r="FP115" i="75"/>
  <c r="GL118" i="75"/>
  <c r="FE126" i="75"/>
  <c r="GL127" i="75"/>
  <c r="AP159" i="75"/>
  <c r="FR159" i="75" s="1"/>
  <c r="FE117" i="75"/>
  <c r="BA118" i="75"/>
  <c r="GC118" i="75" s="1"/>
  <c r="FS118" i="75"/>
  <c r="AO120" i="75"/>
  <c r="FQ120" i="75" s="1"/>
  <c r="GA120" i="75"/>
  <c r="AO123" i="75"/>
  <c r="FQ123" i="75" s="1"/>
  <c r="GA123" i="75"/>
  <c r="BA127" i="75"/>
  <c r="GC127" i="75" s="1"/>
  <c r="FE129" i="75"/>
  <c r="AZ130" i="75"/>
  <c r="GB130" i="75" s="1"/>
  <c r="GL130" i="75"/>
  <c r="AD158" i="75"/>
  <c r="FF158" i="75" s="1"/>
  <c r="FP158" i="75"/>
  <c r="ET119" i="75"/>
  <c r="AP120" i="75"/>
  <c r="FR120" i="75" s="1"/>
  <c r="AP123" i="75"/>
  <c r="FR123" i="75" s="1"/>
  <c r="ET125" i="75"/>
  <c r="BK120" i="75"/>
  <c r="GM120" i="75" s="1"/>
  <c r="FP122" i="75"/>
  <c r="AP126" i="75"/>
  <c r="FR126" i="75" s="1"/>
  <c r="FH126" i="75"/>
  <c r="AO129" i="75"/>
  <c r="FQ129" i="75" s="1"/>
  <c r="GA129" i="75"/>
  <c r="FE157" i="75"/>
  <c r="AZ158" i="75"/>
  <c r="GB158" i="75" s="1"/>
  <c r="T160" i="75"/>
  <c r="EU160" i="75" s="1"/>
  <c r="AD119" i="75"/>
  <c r="FF119" i="75" s="1"/>
  <c r="AD125" i="75"/>
  <c r="FF125" i="75" s="1"/>
  <c r="BK126" i="75"/>
  <c r="GM126" i="75" s="1"/>
  <c r="BK117" i="75"/>
  <c r="GM117" i="75" s="1"/>
  <c r="AZ122" i="75"/>
  <c r="GB122" i="75" s="1"/>
  <c r="AD128" i="75"/>
  <c r="FF128" i="75" s="1"/>
  <c r="BK129" i="75"/>
  <c r="GM129" i="75" s="1"/>
  <c r="AO157" i="75"/>
  <c r="FQ157" i="75" s="1"/>
  <c r="BK160" i="75"/>
  <c r="GM160" i="75" s="1"/>
  <c r="FE160" i="75"/>
  <c r="BK162" i="75"/>
  <c r="GM162" i="75" s="1"/>
  <c r="GL162" i="75"/>
  <c r="GD163" i="75"/>
  <c r="AD165" i="75"/>
  <c r="FF165" i="75" s="1"/>
  <c r="BK166" i="75"/>
  <c r="GM166" i="75" s="1"/>
  <c r="FH169" i="75"/>
  <c r="ET171" i="75"/>
  <c r="AO172" i="75"/>
  <c r="FQ172" i="75" s="1"/>
  <c r="T175" i="75"/>
  <c r="EU175" i="75" s="1"/>
  <c r="FS176" i="75"/>
  <c r="AZ179" i="75"/>
  <c r="GB179" i="75" s="1"/>
  <c r="AZ183" i="75"/>
  <c r="GB183" i="75" s="1"/>
  <c r="GA183" i="75"/>
  <c r="GD166" i="75"/>
  <c r="FP168" i="75"/>
  <c r="FH172" i="75"/>
  <c r="ET174" i="75"/>
  <c r="GA175" i="75"/>
  <c r="T178" i="75"/>
  <c r="EU178" i="75" s="1"/>
  <c r="FS179" i="75"/>
  <c r="FE181" i="75"/>
  <c r="AD183" i="75"/>
  <c r="FF183" i="75" s="1"/>
  <c r="FE164" i="75"/>
  <c r="GL165" i="75"/>
  <c r="FP171" i="75"/>
  <c r="ET177" i="75"/>
  <c r="GA178" i="75"/>
  <c r="GA161" i="75"/>
  <c r="FE167" i="75"/>
  <c r="GL168" i="75"/>
  <c r="AE171" i="75"/>
  <c r="FG171" i="75" s="1"/>
  <c r="FP174" i="75"/>
  <c r="AP178" i="75"/>
  <c r="FR178" i="75" s="1"/>
  <c r="GA181" i="75"/>
  <c r="ET163" i="75"/>
  <c r="FP177" i="75"/>
  <c r="AP164" i="75"/>
  <c r="FR164" i="75" s="1"/>
  <c r="FH164" i="75"/>
  <c r="ET166" i="75"/>
  <c r="AO167" i="75"/>
  <c r="FQ167" i="75" s="1"/>
  <c r="GA167" i="75"/>
  <c r="T170" i="75"/>
  <c r="EU170" i="75" s="1"/>
  <c r="BA171" i="75"/>
  <c r="GC171" i="75" s="1"/>
  <c r="FS171" i="75"/>
  <c r="FE173" i="75"/>
  <c r="AZ174" i="75"/>
  <c r="GB174" i="75" s="1"/>
  <c r="GL174" i="75"/>
  <c r="AE177" i="75"/>
  <c r="FG177" i="75" s="1"/>
  <c r="GD178" i="75"/>
  <c r="AD180" i="75"/>
  <c r="FF180" i="75" s="1"/>
  <c r="FP180" i="75"/>
  <c r="BK181" i="75"/>
  <c r="GM181" i="75" s="1"/>
  <c r="AP167" i="75"/>
  <c r="FR167" i="75" s="1"/>
  <c r="ET169" i="75"/>
  <c r="AD166" i="75"/>
  <c r="FF166" i="75" s="1"/>
  <c r="FP166" i="75"/>
  <c r="BK167" i="75"/>
  <c r="GM167" i="75" s="1"/>
  <c r="AO173" i="75"/>
  <c r="FQ173" i="75" s="1"/>
  <c r="T176" i="75"/>
  <c r="EU176" i="75" s="1"/>
  <c r="AZ180" i="75"/>
  <c r="GB180" i="75" s="1"/>
  <c r="AZ163" i="75"/>
  <c r="GB163" i="75" s="1"/>
  <c r="AD169" i="75"/>
  <c r="FF169" i="75" s="1"/>
  <c r="BK170" i="75"/>
  <c r="GM170" i="75" s="1"/>
  <c r="AO176" i="75"/>
  <c r="FQ176" i="75" s="1"/>
  <c r="T179" i="75"/>
  <c r="EU179" i="75" s="1"/>
  <c r="T162" i="75"/>
  <c r="EU162" i="75" s="1"/>
  <c r="FS163" i="75"/>
  <c r="AZ166" i="75"/>
  <c r="GB166" i="75" s="1"/>
  <c r="GD170" i="75"/>
  <c r="AD172" i="75"/>
  <c r="FF172" i="75" s="1"/>
  <c r="BK173" i="75"/>
  <c r="GM173" i="75" s="1"/>
  <c r="FH176" i="75"/>
  <c r="AO179" i="75"/>
  <c r="FQ179" i="75" s="1"/>
  <c r="T182" i="75"/>
  <c r="EU182" i="75" s="1"/>
  <c r="BK182" i="75"/>
  <c r="GM182" i="75" s="1"/>
  <c r="ET184" i="75"/>
  <c r="T184" i="75"/>
  <c r="EU184" i="75" s="1"/>
  <c r="ET190" i="75"/>
  <c r="AD209" i="75"/>
  <c r="FF209" i="75" s="1"/>
  <c r="GD185" i="75"/>
  <c r="AD187" i="75"/>
  <c r="FF187" i="75" s="1"/>
  <c r="FP187" i="75"/>
  <c r="BK188" i="75"/>
  <c r="GM188" i="75" s="1"/>
  <c r="FH191" i="75"/>
  <c r="ET193" i="75"/>
  <c r="AO194" i="75"/>
  <c r="FQ194" i="75" s="1"/>
  <c r="GA194" i="75"/>
  <c r="FS198" i="75"/>
  <c r="FE200" i="75"/>
  <c r="GL206" i="75"/>
  <c r="GL184" i="75"/>
  <c r="FP190" i="75"/>
  <c r="ET196" i="75"/>
  <c r="GA197" i="75"/>
  <c r="T200" i="75"/>
  <c r="EU200" i="75" s="1"/>
  <c r="FE208" i="75"/>
  <c r="AZ209" i="75"/>
  <c r="GB209" i="75" s="1"/>
  <c r="FE186" i="75"/>
  <c r="GL187" i="75"/>
  <c r="FP193" i="75"/>
  <c r="ET199" i="75"/>
  <c r="GA200" i="75"/>
  <c r="FS209" i="75"/>
  <c r="FS187" i="75"/>
  <c r="FE189" i="75"/>
  <c r="GL190" i="75"/>
  <c r="AE193" i="75"/>
  <c r="FG193" i="75" s="1"/>
  <c r="FP196" i="75"/>
  <c r="AP200" i="75"/>
  <c r="FR200" i="75" s="1"/>
  <c r="FH200" i="75"/>
  <c r="GA208" i="75"/>
  <c r="AP183" i="75"/>
  <c r="FR183" i="75" s="1"/>
  <c r="ET185" i="75"/>
  <c r="BA190" i="75"/>
  <c r="GC190" i="75" s="1"/>
  <c r="AE196" i="75"/>
  <c r="FG196" i="75" s="1"/>
  <c r="AP208" i="75"/>
  <c r="FR208" i="75" s="1"/>
  <c r="AP186" i="75"/>
  <c r="FR186" i="75" s="1"/>
  <c r="FH186" i="75"/>
  <c r="AO189" i="75"/>
  <c r="FQ189" i="75" s="1"/>
  <c r="GA189" i="75"/>
  <c r="BA193" i="75"/>
  <c r="GC193" i="75" s="1"/>
  <c r="FS193" i="75"/>
  <c r="FE195" i="75"/>
  <c r="GL196" i="75"/>
  <c r="AE199" i="75"/>
  <c r="FG199" i="75" s="1"/>
  <c r="GD200" i="75"/>
  <c r="FP207" i="75"/>
  <c r="AO210" i="75"/>
  <c r="FQ210" i="75" s="1"/>
  <c r="FP185" i="75"/>
  <c r="AP189" i="75"/>
  <c r="FR189" i="75" s="1"/>
  <c r="ET191" i="75"/>
  <c r="BA196" i="75"/>
  <c r="GC196" i="75" s="1"/>
  <c r="AE207" i="75"/>
  <c r="FG207" i="75" s="1"/>
  <c r="AP210" i="75"/>
  <c r="FR210" i="75" s="1"/>
  <c r="AE185" i="75"/>
  <c r="FG185" i="75" s="1"/>
  <c r="AP192" i="75"/>
  <c r="FR192" i="75" s="1"/>
  <c r="BA199" i="75"/>
  <c r="GC199" i="75" s="1"/>
  <c r="AD191" i="75"/>
  <c r="FF191" i="75" s="1"/>
  <c r="AO198" i="75"/>
  <c r="FQ198" i="75" s="1"/>
  <c r="ET209" i="75"/>
  <c r="FS185" i="75"/>
  <c r="AZ188" i="75"/>
  <c r="GB188" i="75" s="1"/>
  <c r="AD194" i="75"/>
  <c r="FF194" i="75" s="1"/>
  <c r="BK195" i="75"/>
  <c r="GM195" i="75" s="1"/>
  <c r="FH198" i="75"/>
  <c r="AO206" i="75"/>
  <c r="FQ206" i="75" s="1"/>
  <c r="BK209" i="75"/>
  <c r="GM209" i="75" s="1"/>
  <c r="AD210" i="75"/>
  <c r="FF210" i="75" s="1"/>
  <c r="FE210" i="75"/>
  <c r="FP216" i="75"/>
  <c r="ET222" i="75"/>
  <c r="ET245" i="75"/>
  <c r="T245" i="75"/>
  <c r="EU245" i="75" s="1"/>
  <c r="FE230" i="75"/>
  <c r="FY230" i="75"/>
  <c r="ET234" i="75"/>
  <c r="EX235" i="75"/>
  <c r="V246" i="75"/>
  <c r="EX246" i="75" s="1"/>
  <c r="AP235" i="75"/>
  <c r="EY235" i="75"/>
  <c r="AP248" i="75"/>
  <c r="FR248" i="75" s="1"/>
  <c r="FR251" i="75"/>
  <c r="FE212" i="75"/>
  <c r="GL213" i="75"/>
  <c r="AE216" i="75"/>
  <c r="FG216" i="75" s="1"/>
  <c r="GD217" i="75"/>
  <c r="AD219" i="75"/>
  <c r="FF219" i="75" s="1"/>
  <c r="FP219" i="75"/>
  <c r="FH223" i="75"/>
  <c r="ET225" i="75"/>
  <c r="T230" i="75"/>
  <c r="EU230" i="75" s="1"/>
  <c r="EL230" i="75"/>
  <c r="EK230" i="75" s="1"/>
  <c r="EK245" i="75" s="1"/>
  <c r="FZ230" i="75"/>
  <c r="AZ231" i="75"/>
  <c r="GB231" i="75" s="1"/>
  <c r="GL231" i="75"/>
  <c r="GD232" i="75"/>
  <c r="FP234" i="75"/>
  <c r="CG235" i="75"/>
  <c r="CG246" i="75" s="1"/>
  <c r="FS213" i="75"/>
  <c r="FE215" i="75"/>
  <c r="GL216" i="75"/>
  <c r="FP222" i="75"/>
  <c r="AO230" i="75"/>
  <c r="EM230" i="75"/>
  <c r="FG230" i="75"/>
  <c r="GA230" i="75"/>
  <c r="BA231" i="75"/>
  <c r="GC231" i="75" s="1"/>
  <c r="GL234" i="75"/>
  <c r="X246" i="75"/>
  <c r="EZ246" i="75" s="1"/>
  <c r="EZ235" i="75"/>
  <c r="AR246" i="75"/>
  <c r="FT246" i="75" s="1"/>
  <c r="FT235" i="75"/>
  <c r="CH235" i="75"/>
  <c r="CH246" i="75" s="1"/>
  <c r="DC235" i="75"/>
  <c r="DC246" i="75" s="1"/>
  <c r="FH236" i="75"/>
  <c r="AE236" i="75"/>
  <c r="FG236" i="75" s="1"/>
  <c r="ET211" i="75"/>
  <c r="AO212" i="75"/>
  <c r="FQ212" i="75" s="1"/>
  <c r="GA212" i="75"/>
  <c r="T215" i="75"/>
  <c r="EU215" i="75" s="1"/>
  <c r="BA216" i="75"/>
  <c r="GC216" i="75" s="1"/>
  <c r="AE222" i="75"/>
  <c r="FG222" i="75" s="1"/>
  <c r="AD225" i="75"/>
  <c r="FF225" i="75" s="1"/>
  <c r="FP225" i="75"/>
  <c r="AP230" i="75"/>
  <c r="EN230" i="75"/>
  <c r="FH230" i="75"/>
  <c r="Y246" i="75"/>
  <c r="FA246" i="75" s="1"/>
  <c r="FA235" i="75"/>
  <c r="AS246" i="75"/>
  <c r="FU246" i="75" s="1"/>
  <c r="FU235" i="75"/>
  <c r="FI235" i="75"/>
  <c r="FH212" i="75"/>
  <c r="ET214" i="75"/>
  <c r="AO215" i="75"/>
  <c r="FQ215" i="75" s="1"/>
  <c r="GA215" i="75"/>
  <c r="FS219" i="75"/>
  <c r="FE221" i="75"/>
  <c r="GL222" i="75"/>
  <c r="BK230" i="75"/>
  <c r="EO230" i="75"/>
  <c r="FI230" i="75"/>
  <c r="GC230" i="75"/>
  <c r="FE233" i="75"/>
  <c r="AE234" i="75"/>
  <c r="FG234" i="75" s="1"/>
  <c r="Z246" i="75"/>
  <c r="FB246" i="75" s="1"/>
  <c r="FB235" i="75"/>
  <c r="AT246" i="75"/>
  <c r="FV246" i="75" s="1"/>
  <c r="FV235" i="75"/>
  <c r="AD211" i="75"/>
  <c r="FF211" i="75" s="1"/>
  <c r="FP211" i="75"/>
  <c r="BK212" i="75"/>
  <c r="GM212" i="75" s="1"/>
  <c r="AO218" i="75"/>
  <c r="FQ218" i="75" s="1"/>
  <c r="GA218" i="75"/>
  <c r="T221" i="75"/>
  <c r="EU221" i="75" s="1"/>
  <c r="FE224" i="75"/>
  <c r="AZ225" i="75"/>
  <c r="GB225" i="75" s="1"/>
  <c r="GL225" i="75"/>
  <c r="EP230" i="75"/>
  <c r="FJ230" i="75"/>
  <c r="T233" i="75"/>
  <c r="EU233" i="75" s="1"/>
  <c r="AZ234" i="75"/>
  <c r="GB234" i="75" s="1"/>
  <c r="AA246" i="75"/>
  <c r="FC246" i="75" s="1"/>
  <c r="FC235" i="75"/>
  <c r="AU246" i="75"/>
  <c r="FW246" i="75" s="1"/>
  <c r="FW235" i="75"/>
  <c r="FK235" i="75"/>
  <c r="AE211" i="75"/>
  <c r="FG211" i="75" s="1"/>
  <c r="AD214" i="75"/>
  <c r="FF214" i="75" s="1"/>
  <c r="BK215" i="75"/>
  <c r="GM215" i="75" s="1"/>
  <c r="AP218" i="75"/>
  <c r="FR218" i="75" s="1"/>
  <c r="FH218" i="75"/>
  <c r="ET220" i="75"/>
  <c r="AO221" i="75"/>
  <c r="FQ221" i="75" s="1"/>
  <c r="T224" i="75"/>
  <c r="EU224" i="75" s="1"/>
  <c r="BA225" i="75"/>
  <c r="GC225" i="75" s="1"/>
  <c r="FS225" i="75"/>
  <c r="CG230" i="75"/>
  <c r="CG245" i="75" s="1"/>
  <c r="EQ230" i="75"/>
  <c r="FK230" i="75"/>
  <c r="GE230" i="75"/>
  <c r="AO233" i="75"/>
  <c r="FQ233" i="75" s="1"/>
  <c r="BA234" i="75"/>
  <c r="GC234" i="75" s="1"/>
  <c r="GL211" i="75"/>
  <c r="AE214" i="75"/>
  <c r="FG214" i="75" s="1"/>
  <c r="GD215" i="75"/>
  <c r="FP217" i="75"/>
  <c r="AP221" i="75"/>
  <c r="FR221" i="75" s="1"/>
  <c r="FH221" i="75"/>
  <c r="GA224" i="75"/>
  <c r="FL230" i="75"/>
  <c r="FP232" i="75"/>
  <c r="FH233" i="75"/>
  <c r="AC246" i="75"/>
  <c r="FE235" i="75"/>
  <c r="AZ214" i="75"/>
  <c r="GB214" i="75" s="1"/>
  <c r="AD220" i="75"/>
  <c r="FF220" i="75" s="1"/>
  <c r="BK221" i="75"/>
  <c r="GM221" i="75" s="1"/>
  <c r="DC230" i="75"/>
  <c r="DC245" i="75" s="1"/>
  <c r="BK233" i="75"/>
  <c r="GM233" i="75" s="1"/>
  <c r="AD235" i="75"/>
  <c r="FF235" i="75" s="1"/>
  <c r="T213" i="75"/>
  <c r="EU213" i="75" s="1"/>
  <c r="AZ217" i="75"/>
  <c r="GB217" i="75" s="1"/>
  <c r="AD223" i="75"/>
  <c r="FF223" i="75" s="1"/>
  <c r="BK224" i="75"/>
  <c r="GM224" i="75" s="1"/>
  <c r="ET230" i="75"/>
  <c r="T231" i="75"/>
  <c r="EU231" i="75" s="1"/>
  <c r="AZ232" i="75"/>
  <c r="GB232" i="75" s="1"/>
  <c r="AE246" i="75"/>
  <c r="FG246" i="75" s="1"/>
  <c r="FG235" i="75"/>
  <c r="AZ235" i="75"/>
  <c r="AY246" i="75"/>
  <c r="GA246" i="75" s="1"/>
  <c r="GA235" i="75"/>
  <c r="AO213" i="75"/>
  <c r="FQ213" i="75" s="1"/>
  <c r="T216" i="75"/>
  <c r="EU216" i="75" s="1"/>
  <c r="AZ220" i="75"/>
  <c r="GB220" i="75" s="1"/>
  <c r="GD224" i="75"/>
  <c r="AD245" i="75"/>
  <c r="FF245" i="75" s="1"/>
  <c r="FE245" i="75"/>
  <c r="FO230" i="75"/>
  <c r="GI230" i="75"/>
  <c r="AO231" i="75"/>
  <c r="FQ231" i="75" s="1"/>
  <c r="FS232" i="75"/>
  <c r="L246" i="75"/>
  <c r="EM246" i="75" s="1"/>
  <c r="EM235" i="75"/>
  <c r="BU246" i="75"/>
  <c r="BV235" i="75"/>
  <c r="BV246" i="75" s="1"/>
  <c r="FZ235" i="75"/>
  <c r="EW230" i="75"/>
  <c r="EV230" i="75" s="1"/>
  <c r="EV245" i="75" s="1"/>
  <c r="EL235" i="75"/>
  <c r="EK235" i="75" s="1"/>
  <c r="EK246" i="75" s="1"/>
  <c r="T236" i="75"/>
  <c r="EU236" i="75" s="1"/>
  <c r="ET236" i="75"/>
  <c r="AZ247" i="75"/>
  <c r="GB247" i="75" s="1"/>
  <c r="GB240" i="75"/>
  <c r="AZ230" i="75"/>
  <c r="EX230" i="75"/>
  <c r="GL230" i="75"/>
  <c r="EN235" i="75"/>
  <c r="AD247" i="75"/>
  <c r="FF247" i="75" s="1"/>
  <c r="FE247" i="75"/>
  <c r="EY230" i="75"/>
  <c r="FS230" i="75"/>
  <c r="EO235" i="75"/>
  <c r="GE235" i="75"/>
  <c r="BV230" i="75"/>
  <c r="BV245" i="75" s="1"/>
  <c r="EZ230" i="75"/>
  <c r="FT230" i="75"/>
  <c r="EP235" i="75"/>
  <c r="BW230" i="75"/>
  <c r="BW245" i="75" s="1"/>
  <c r="FA230" i="75"/>
  <c r="FU230" i="75"/>
  <c r="BG246" i="75"/>
  <c r="GI246" i="75" s="1"/>
  <c r="GI235" i="75"/>
  <c r="FB230" i="75"/>
  <c r="FV230" i="75"/>
  <c r="S246" i="75"/>
  <c r="ET235" i="75"/>
  <c r="AM246" i="75"/>
  <c r="FO246" i="75" s="1"/>
  <c r="FO235" i="75"/>
  <c r="GJ235" i="75"/>
  <c r="FC230" i="75"/>
  <c r="FW230" i="75"/>
  <c r="T235" i="75"/>
  <c r="EU235" i="75" s="1"/>
  <c r="GM235" i="75"/>
  <c r="EJ230" i="75"/>
  <c r="EJ245" i="75" s="1"/>
  <c r="FD230" i="75"/>
  <c r="FX230" i="75"/>
  <c r="EW235" i="75"/>
  <c r="EV235" i="75" s="1"/>
  <c r="EV246" i="75" s="1"/>
  <c r="U246" i="75"/>
  <c r="EW246" i="75" s="1"/>
  <c r="AO235" i="75"/>
  <c r="GL235" i="75"/>
  <c r="BJ246" i="75"/>
  <c r="GL246" i="75" s="1"/>
  <c r="FQ251" i="75"/>
  <c r="AO248" i="75"/>
  <c r="FQ248" i="75" s="1"/>
  <c r="GA239" i="75"/>
  <c r="EY240" i="75"/>
  <c r="FS240" i="75"/>
  <c r="GA244" i="75"/>
  <c r="M247" i="75"/>
  <c r="EN247" i="75" s="1"/>
  <c r="FJ251" i="75"/>
  <c r="GE251" i="75"/>
  <c r="AO254" i="75"/>
  <c r="FQ254" i="75" s="1"/>
  <c r="FP254" i="75"/>
  <c r="FH259" i="75"/>
  <c r="AE259" i="75"/>
  <c r="FG259" i="75" s="1"/>
  <c r="AD238" i="75"/>
  <c r="FF238" i="75" s="1"/>
  <c r="BV240" i="75"/>
  <c r="BV247" i="75" s="1"/>
  <c r="EZ240" i="75"/>
  <c r="FT240" i="75"/>
  <c r="AD243" i="75"/>
  <c r="FF243" i="75" s="1"/>
  <c r="FP243" i="75"/>
  <c r="CT247" i="75"/>
  <c r="EI247" i="75"/>
  <c r="AX248" i="75"/>
  <c r="FZ248" i="75" s="1"/>
  <c r="EP251" i="75"/>
  <c r="T253" i="75"/>
  <c r="EU253" i="75" s="1"/>
  <c r="FA240" i="75"/>
  <c r="FU240" i="75"/>
  <c r="O247" i="75"/>
  <c r="EP247" i="75" s="1"/>
  <c r="AD248" i="75"/>
  <c r="FF248" i="75" s="1"/>
  <c r="FL251" i="75"/>
  <c r="GG251" i="75"/>
  <c r="AO253" i="75"/>
  <c r="FQ253" i="75" s="1"/>
  <c r="CR235" i="75"/>
  <c r="CR246" i="75" s="1"/>
  <c r="T237" i="75"/>
  <c r="EU237" i="75" s="1"/>
  <c r="GL238" i="75"/>
  <c r="GD239" i="75"/>
  <c r="CR240" i="75"/>
  <c r="CR247" i="75" s="1"/>
  <c r="FB240" i="75"/>
  <c r="FV240" i="75"/>
  <c r="ET241" i="75"/>
  <c r="T242" i="75"/>
  <c r="EU242" i="75" s="1"/>
  <c r="GL243" i="75"/>
  <c r="GD244" i="75"/>
  <c r="BF247" i="75"/>
  <c r="GH247" i="75" s="1"/>
  <c r="AE248" i="75"/>
  <c r="FG248" i="75" s="1"/>
  <c r="AZ248" i="75"/>
  <c r="GB248" i="75" s="1"/>
  <c r="BU248" i="75"/>
  <c r="AO252" i="75"/>
  <c r="FQ252" i="75" s="1"/>
  <c r="AP253" i="75"/>
  <c r="FR253" i="75" s="1"/>
  <c r="GA237" i="75"/>
  <c r="BA238" i="75"/>
  <c r="GC238" i="75" s="1"/>
  <c r="FC240" i="75"/>
  <c r="FW240" i="75"/>
  <c r="GA242" i="75"/>
  <c r="BA243" i="75"/>
  <c r="GC243" i="75" s="1"/>
  <c r="AL247" i="75"/>
  <c r="FN247" i="75" s="1"/>
  <c r="BG247" i="75"/>
  <c r="GI247" i="75" s="1"/>
  <c r="AF248" i="75"/>
  <c r="FH248" i="75" s="1"/>
  <c r="EJ235" i="75"/>
  <c r="EJ246" i="75" s="1"/>
  <c r="FD235" i="75"/>
  <c r="FX235" i="75"/>
  <c r="AD236" i="75"/>
  <c r="FF236" i="75" s="1"/>
  <c r="FP236" i="75"/>
  <c r="AP237" i="75"/>
  <c r="FR237" i="75" s="1"/>
  <c r="FD240" i="75"/>
  <c r="FX240" i="75"/>
  <c r="FP241" i="75"/>
  <c r="AP242" i="75"/>
  <c r="FR242" i="75" s="1"/>
  <c r="AM247" i="75"/>
  <c r="FO247" i="75" s="1"/>
  <c r="BH247" i="75"/>
  <c r="GJ247" i="75" s="1"/>
  <c r="L248" i="75"/>
  <c r="EM248" i="75" s="1"/>
  <c r="AG248" i="75"/>
  <c r="FI248" i="75" s="1"/>
  <c r="BB248" i="75"/>
  <c r="GD248" i="75" s="1"/>
  <c r="ET251" i="75"/>
  <c r="FY235" i="75"/>
  <c r="FE240" i="75"/>
  <c r="FY240" i="75"/>
  <c r="AE241" i="75"/>
  <c r="FG241" i="75" s="1"/>
  <c r="BK242" i="75"/>
  <c r="GM242" i="75" s="1"/>
  <c r="S247" i="75"/>
  <c r="AN247" i="75"/>
  <c r="FP247" i="75" s="1"/>
  <c r="BI247" i="75"/>
  <c r="GK247" i="75" s="1"/>
  <c r="M248" i="75"/>
  <c r="EN248" i="75" s="1"/>
  <c r="BX248" i="75"/>
  <c r="FP251" i="75"/>
  <c r="GL236" i="75"/>
  <c r="FZ240" i="75"/>
  <c r="GL241" i="75"/>
  <c r="EA246" i="75"/>
  <c r="BJ247" i="75"/>
  <c r="GL247" i="75" s="1"/>
  <c r="GM251" i="75"/>
  <c r="BA236" i="75"/>
  <c r="GC236" i="75" s="1"/>
  <c r="AO240" i="75"/>
  <c r="EM240" i="75"/>
  <c r="GA240" i="75"/>
  <c r="BA241" i="75"/>
  <c r="GC241" i="75" s="1"/>
  <c r="U247" i="75"/>
  <c r="EW247" i="75" s="1"/>
  <c r="DB247" i="75"/>
  <c r="EI248" i="75"/>
  <c r="AD251" i="75"/>
  <c r="FF251" i="75" s="1"/>
  <c r="EX251" i="75"/>
  <c r="FS251" i="75"/>
  <c r="AP240" i="75"/>
  <c r="V247" i="75"/>
  <c r="EX247" i="75" s="1"/>
  <c r="BM247" i="75"/>
  <c r="EY251" i="75"/>
  <c r="FI240" i="75"/>
  <c r="T238" i="75"/>
  <c r="EU238" i="75" s="1"/>
  <c r="T243" i="75"/>
  <c r="EU243" i="75" s="1"/>
  <c r="AD253" i="75"/>
  <c r="FF253" i="75" s="1"/>
  <c r="AE253" i="75"/>
  <c r="FG253" i="75" s="1"/>
  <c r="FH254" i="75"/>
  <c r="AE254" i="75"/>
  <c r="FG254" i="75" s="1"/>
  <c r="FP258" i="75"/>
  <c r="AO258" i="75"/>
  <c r="FQ258" i="75" s="1"/>
  <c r="EA247" i="75"/>
  <c r="FY251" i="75"/>
  <c r="AZ252" i="75"/>
  <c r="GB252" i="75" s="1"/>
  <c r="FN235" i="75"/>
  <c r="GH235" i="75"/>
  <c r="AQ248" i="75"/>
  <c r="FS248" i="75" s="1"/>
  <c r="FE251" i="75"/>
  <c r="AY247" i="75"/>
  <c r="GA247" i="75" s="1"/>
  <c r="J247" i="75"/>
  <c r="GK235" i="75"/>
  <c r="AE240" i="75"/>
  <c r="FH251" i="75"/>
  <c r="FE255" i="75"/>
  <c r="AE256" i="75"/>
  <c r="BK257" i="75"/>
  <c r="GM257" i="75" s="1"/>
  <c r="FE260" i="75"/>
  <c r="BK262" i="75"/>
  <c r="GM262" i="75" s="1"/>
  <c r="AP265" i="75"/>
  <c r="FR265" i="75" s="1"/>
  <c r="BK265" i="75"/>
  <c r="GM265" i="75" s="1"/>
  <c r="GL256" i="75"/>
  <c r="GL261" i="75"/>
  <c r="AO255" i="75"/>
  <c r="FQ255" i="75" s="1"/>
  <c r="AO260" i="75"/>
  <c r="FQ260" i="75" s="1"/>
  <c r="FP264" i="75"/>
  <c r="AP271" i="75"/>
  <c r="FR271" i="75" s="1"/>
  <c r="FS271" i="75"/>
  <c r="AD254" i="75"/>
  <c r="FF254" i="75" s="1"/>
  <c r="AP255" i="75"/>
  <c r="FR255" i="75" s="1"/>
  <c r="FH255" i="75"/>
  <c r="AD259" i="75"/>
  <c r="FF259" i="75" s="1"/>
  <c r="FP259" i="75"/>
  <c r="AP260" i="75"/>
  <c r="FR260" i="75" s="1"/>
  <c r="FH260" i="75"/>
  <c r="AD264" i="75"/>
  <c r="FF264" i="75" s="1"/>
  <c r="GL264" i="75"/>
  <c r="FE258" i="75"/>
  <c r="FE263" i="75"/>
  <c r="BA259" i="75"/>
  <c r="GC259" i="75" s="1"/>
  <c r="BA264" i="75"/>
  <c r="GC264" i="75" s="1"/>
  <c r="GD265" i="75"/>
  <c r="AD257" i="75"/>
  <c r="FF257" i="75" s="1"/>
  <c r="FP257" i="75"/>
  <c r="AP258" i="75"/>
  <c r="FR258" i="75" s="1"/>
  <c r="FH258" i="75"/>
  <c r="FP262" i="75"/>
  <c r="AP263" i="75"/>
  <c r="FR263" i="75" s="1"/>
  <c r="FH263" i="75"/>
  <c r="GD253" i="75"/>
  <c r="T256" i="75"/>
  <c r="EU256" i="75" s="1"/>
  <c r="AZ257" i="75"/>
  <c r="GB257" i="75" s="1"/>
  <c r="GD258" i="75"/>
  <c r="T261" i="75"/>
  <c r="EU261" i="75" s="1"/>
  <c r="AZ262" i="75"/>
  <c r="GB262" i="75" s="1"/>
  <c r="FE271" i="75"/>
  <c r="AD271" i="75"/>
  <c r="FF271" i="75" s="1"/>
  <c r="GA271" i="75"/>
  <c r="AZ271" i="75"/>
  <c r="GB271" i="75" s="1"/>
  <c r="FP265" i="75"/>
  <c r="AO265" i="75"/>
  <c r="FQ265" i="75" s="1"/>
  <c r="FE272" i="75"/>
  <c r="FE277" i="75"/>
  <c r="FE282" i="75"/>
  <c r="BK284" i="75"/>
  <c r="GM284" i="75" s="1"/>
  <c r="FE287" i="75"/>
  <c r="BK289" i="75"/>
  <c r="GM289" i="75" s="1"/>
  <c r="ET271" i="75"/>
  <c r="T272" i="75"/>
  <c r="EU272" i="75" s="1"/>
  <c r="AZ273" i="75"/>
  <c r="GB273" i="75" s="1"/>
  <c r="ET276" i="75"/>
  <c r="T277" i="75"/>
  <c r="EU277" i="75" s="1"/>
  <c r="AZ278" i="75"/>
  <c r="GB278" i="75" s="1"/>
  <c r="ET281" i="75"/>
  <c r="T282" i="75"/>
  <c r="EU282" i="75" s="1"/>
  <c r="AZ283" i="75"/>
  <c r="GB283" i="75" s="1"/>
  <c r="GL283" i="75"/>
  <c r="ET286" i="75"/>
  <c r="T287" i="75"/>
  <c r="EU287" i="75" s="1"/>
  <c r="AZ288" i="75"/>
  <c r="GB288" i="75" s="1"/>
  <c r="GL288" i="75"/>
  <c r="GA272" i="75"/>
  <c r="FS273" i="75"/>
  <c r="GA277" i="75"/>
  <c r="FS278" i="75"/>
  <c r="GA282" i="75"/>
  <c r="FS283" i="75"/>
  <c r="AO287" i="75"/>
  <c r="FQ287" i="75" s="1"/>
  <c r="GA287" i="75"/>
  <c r="BA288" i="75"/>
  <c r="GC288" i="75" s="1"/>
  <c r="AP272" i="75"/>
  <c r="FR272" i="75" s="1"/>
  <c r="AD276" i="75"/>
  <c r="FF276" i="75" s="1"/>
  <c r="AP277" i="75"/>
  <c r="FR277" i="75" s="1"/>
  <c r="AD281" i="75"/>
  <c r="FF281" i="75" s="1"/>
  <c r="AP282" i="75"/>
  <c r="FR282" i="75" s="1"/>
  <c r="AD286" i="75"/>
  <c r="FF286" i="75" s="1"/>
  <c r="FE275" i="75"/>
  <c r="FE280" i="75"/>
  <c r="BK282" i="75"/>
  <c r="GM282" i="75" s="1"/>
  <c r="FE285" i="75"/>
  <c r="BK287" i="75"/>
  <c r="GM287" i="75" s="1"/>
  <c r="FE290" i="75"/>
  <c r="ET274" i="75"/>
  <c r="T275" i="75"/>
  <c r="EU275" i="75" s="1"/>
  <c r="AZ276" i="75"/>
  <c r="GB276" i="75" s="1"/>
  <c r="ET279" i="75"/>
  <c r="T280" i="75"/>
  <c r="EU280" i="75" s="1"/>
  <c r="AZ281" i="75"/>
  <c r="GB281" i="75" s="1"/>
  <c r="ET284" i="75"/>
  <c r="T285" i="75"/>
  <c r="EU285" i="75" s="1"/>
  <c r="AZ286" i="75"/>
  <c r="GB286" i="75" s="1"/>
  <c r="GL286" i="75"/>
  <c r="ET289" i="75"/>
  <c r="T290" i="75"/>
  <c r="EU290" i="75" s="1"/>
  <c r="GA275" i="75"/>
  <c r="FS276" i="75"/>
  <c r="GA280" i="75"/>
  <c r="FS281" i="75"/>
  <c r="AO285" i="75"/>
  <c r="FQ285" i="75" s="1"/>
  <c r="GA285" i="75"/>
  <c r="FS286" i="75"/>
  <c r="AO290" i="75"/>
  <c r="FQ290" i="75" s="1"/>
  <c r="GA290" i="75"/>
  <c r="AD274" i="75"/>
  <c r="FF274" i="75" s="1"/>
  <c r="AP275" i="75"/>
  <c r="FR275" i="75" s="1"/>
  <c r="AD279" i="75"/>
  <c r="FF279" i="75" s="1"/>
  <c r="AP280" i="75"/>
  <c r="FR280" i="75" s="1"/>
  <c r="AD284" i="75"/>
  <c r="FF284" i="75" s="1"/>
  <c r="FP284" i="75"/>
  <c r="AP285" i="75"/>
  <c r="FR285" i="75" s="1"/>
  <c r="AD289" i="75"/>
  <c r="FF289" i="75" s="1"/>
  <c r="FP289" i="75"/>
  <c r="AP290" i="75"/>
  <c r="FR290" i="75" s="1"/>
  <c r="FE273" i="75"/>
  <c r="FE278" i="75"/>
  <c r="FE283" i="75"/>
  <c r="FE288" i="75"/>
  <c r="BK290" i="75"/>
  <c r="GM290" i="75" s="1"/>
  <c r="T273" i="75"/>
  <c r="EU273" i="75" s="1"/>
  <c r="AZ274" i="75"/>
  <c r="GB274" i="75" s="1"/>
  <c r="T278" i="75"/>
  <c r="EU278" i="75" s="1"/>
  <c r="AZ279" i="75"/>
  <c r="GB279" i="75" s="1"/>
  <c r="T283" i="75"/>
  <c r="EU283" i="75" s="1"/>
  <c r="AZ284" i="75"/>
  <c r="GB284" i="75" s="1"/>
  <c r="T288" i="75"/>
  <c r="EU288" i="75" s="1"/>
  <c r="AZ289" i="75"/>
  <c r="GB289" i="75" s="1"/>
  <c r="FS274" i="75"/>
  <c r="FS279" i="75"/>
  <c r="FS284" i="75"/>
  <c r="AO288" i="75"/>
  <c r="FQ288" i="75" s="1"/>
  <c r="FS289" i="75"/>
  <c r="D71" i="11"/>
  <c r="L165" i="76"/>
  <c r="D73" i="11"/>
  <c r="E27" i="88"/>
  <c r="CT51" i="75"/>
  <c r="DB51" i="75"/>
  <c r="DC51" i="75" s="1"/>
  <c r="B36" i="88"/>
  <c r="B17" i="75"/>
  <c r="F32" i="75"/>
  <c r="D58" i="11"/>
  <c r="C104" i="75"/>
  <c r="F210" i="75"/>
  <c r="B35" i="88"/>
  <c r="B80" i="75"/>
  <c r="C80" i="75"/>
  <c r="C102" i="75"/>
  <c r="D139" i="66"/>
  <c r="C139" i="66" s="1"/>
  <c r="AK25" i="14"/>
  <c r="D61" i="11"/>
  <c r="D64" i="11"/>
  <c r="C93" i="75"/>
  <c r="B96" i="75"/>
  <c r="F186" i="75"/>
  <c r="C35" i="88"/>
  <c r="B75" i="75"/>
  <c r="F189" i="75"/>
  <c r="B115" i="75"/>
  <c r="E112" i="75"/>
  <c r="C115" i="75"/>
  <c r="B73" i="75"/>
  <c r="E115" i="75"/>
  <c r="E215" i="75"/>
  <c r="E34" i="75"/>
  <c r="C38" i="88"/>
  <c r="E95" i="75"/>
  <c r="B37" i="88"/>
  <c r="E107" i="75"/>
  <c r="E109" i="75"/>
  <c r="E111" i="75"/>
  <c r="E108" i="75"/>
  <c r="E110" i="75"/>
  <c r="E216" i="75"/>
  <c r="E218" i="75"/>
  <c r="E220" i="75"/>
  <c r="E217" i="75"/>
  <c r="E219" i="75"/>
  <c r="A23" i="74"/>
  <c r="B133" i="75"/>
  <c r="B23" i="74"/>
  <c r="D76" i="11"/>
  <c r="C133" i="75"/>
  <c r="A16" i="74"/>
  <c r="B100" i="75"/>
  <c r="B16" i="74"/>
  <c r="C100" i="75"/>
  <c r="D68" i="11"/>
  <c r="F177" i="75"/>
  <c r="F179" i="75"/>
  <c r="F176" i="75"/>
  <c r="F178" i="75"/>
  <c r="F180" i="75"/>
  <c r="A19" i="74"/>
  <c r="B107" i="75"/>
  <c r="B109" i="75"/>
  <c r="B111" i="75"/>
  <c r="B108" i="75"/>
  <c r="B110" i="75"/>
  <c r="B19" i="74"/>
  <c r="C107" i="75"/>
  <c r="C109" i="75"/>
  <c r="C111" i="75"/>
  <c r="C108" i="75"/>
  <c r="C110" i="75"/>
  <c r="E154" i="75"/>
  <c r="E153" i="75"/>
  <c r="B22" i="74"/>
  <c r="D75" i="11"/>
  <c r="M28" i="14"/>
  <c r="E166" i="75"/>
  <c r="E168" i="75"/>
  <c r="E170" i="75"/>
  <c r="E167" i="75"/>
  <c r="E169" i="75"/>
  <c r="F168" i="75"/>
  <c r="F170" i="75"/>
  <c r="F167" i="75"/>
  <c r="F169" i="75"/>
  <c r="B8" i="74"/>
  <c r="C72" i="75"/>
  <c r="C74" i="75"/>
  <c r="C76" i="75"/>
  <c r="A105" i="74"/>
  <c r="B32" i="88"/>
  <c r="A13" i="74"/>
  <c r="B97" i="75"/>
  <c r="C32" i="88"/>
  <c r="B105" i="74"/>
  <c r="B7" i="85"/>
  <c r="C13" i="75"/>
  <c r="C15" i="75"/>
  <c r="C14" i="75"/>
  <c r="C16" i="75"/>
  <c r="B13" i="74"/>
  <c r="C97" i="75"/>
  <c r="G7" i="97"/>
  <c r="H5" i="97" s="1"/>
  <c r="B132" i="75"/>
  <c r="A22" i="74"/>
  <c r="H6" i="100"/>
  <c r="H7" i="100" s="1"/>
  <c r="N28" i="14"/>
  <c r="O28" i="14" s="1"/>
  <c r="P28" i="14" s="1"/>
  <c r="Q28" i="14" s="1"/>
  <c r="R28" i="14" s="1"/>
  <c r="S28" i="14" s="1"/>
  <c r="T28" i="14" s="1"/>
  <c r="U28" i="14" s="1"/>
  <c r="A21" i="74"/>
  <c r="B121" i="75"/>
  <c r="B118" i="75"/>
  <c r="B117" i="75"/>
  <c r="B119" i="75"/>
  <c r="B21" i="74"/>
  <c r="C118" i="75"/>
  <c r="C120" i="75"/>
  <c r="C117" i="75"/>
  <c r="C119" i="75"/>
  <c r="D74" i="11"/>
  <c r="C75" i="75"/>
  <c r="A14" i="74"/>
  <c r="B98" i="75"/>
  <c r="E118" i="75"/>
  <c r="E120" i="75"/>
  <c r="E117" i="75"/>
  <c r="E119" i="75"/>
  <c r="E121" i="75"/>
  <c r="E212" i="75"/>
  <c r="E214" i="75"/>
  <c r="E207" i="75"/>
  <c r="E209" i="75"/>
  <c r="E211" i="75"/>
  <c r="E206" i="75"/>
  <c r="E213" i="75"/>
  <c r="E208" i="75"/>
  <c r="B14" i="74"/>
  <c r="C98" i="75"/>
  <c r="D66" i="11"/>
  <c r="F36" i="75"/>
  <c r="E157" i="75"/>
  <c r="E159" i="75"/>
  <c r="E158" i="75"/>
  <c r="E160" i="75"/>
  <c r="E156" i="75"/>
  <c r="C45" i="93"/>
  <c r="F42" i="93"/>
  <c r="C132" i="75"/>
  <c r="A104" i="74"/>
  <c r="B31" i="88"/>
  <c r="F29" i="75"/>
  <c r="F26" i="75"/>
  <c r="F28" i="75"/>
  <c r="F25" i="75"/>
  <c r="F27" i="75"/>
  <c r="F157" i="75"/>
  <c r="F159" i="75"/>
  <c r="F158" i="75"/>
  <c r="F160" i="75"/>
  <c r="F156" i="75"/>
  <c r="D57" i="11"/>
  <c r="B104" i="74"/>
  <c r="C31" i="88"/>
  <c r="A18" i="80"/>
  <c r="A111" i="74"/>
  <c r="C101" i="75"/>
  <c r="D69" i="11"/>
  <c r="E38" i="75"/>
  <c r="E36" i="75"/>
  <c r="E35" i="75"/>
  <c r="E37" i="75"/>
  <c r="E72" i="75"/>
  <c r="E74" i="75"/>
  <c r="E76" i="75"/>
  <c r="E73" i="75"/>
  <c r="F35" i="75"/>
  <c r="F37" i="75"/>
  <c r="F38" i="75"/>
  <c r="C73" i="75"/>
  <c r="A7" i="85"/>
  <c r="B13" i="75"/>
  <c r="B15" i="75"/>
  <c r="B12" i="75"/>
  <c r="B14" i="75"/>
  <c r="B16" i="75"/>
  <c r="B106" i="74"/>
  <c r="C33" i="88"/>
  <c r="E177" i="75"/>
  <c r="E179" i="75"/>
  <c r="E178" i="75"/>
  <c r="E180" i="75"/>
  <c r="A107" i="74"/>
  <c r="D63" i="11"/>
  <c r="A9" i="74"/>
  <c r="B77" i="75"/>
  <c r="B79" i="75"/>
  <c r="B81" i="75"/>
  <c r="A11" i="74"/>
  <c r="B88" i="75"/>
  <c r="B90" i="75"/>
  <c r="B87" i="75"/>
  <c r="B89" i="75"/>
  <c r="F212" i="75"/>
  <c r="F214" i="75"/>
  <c r="F211" i="75"/>
  <c r="F223" i="75"/>
  <c r="F225" i="75"/>
  <c r="F222" i="75"/>
  <c r="F224" i="75"/>
  <c r="E204" i="75"/>
  <c r="F208" i="75"/>
  <c r="F213" i="75"/>
  <c r="B111" i="74"/>
  <c r="F204" i="75"/>
  <c r="B42" i="93"/>
  <c r="A9" i="85"/>
  <c r="B21" i="75"/>
  <c r="B20" i="75"/>
  <c r="B22" i="75"/>
  <c r="E79" i="75"/>
  <c r="E81" i="75"/>
  <c r="E78" i="75"/>
  <c r="E90" i="75"/>
  <c r="E87" i="75"/>
  <c r="E89" i="75"/>
  <c r="E91" i="75"/>
  <c r="A15" i="74"/>
  <c r="B99" i="75"/>
  <c r="E31" i="75"/>
  <c r="E33" i="75"/>
  <c r="E192" i="75"/>
  <c r="E194" i="75"/>
  <c r="E193" i="75"/>
  <c r="E195" i="75"/>
  <c r="E27" i="75"/>
  <c r="B33" i="88"/>
  <c r="B9" i="74"/>
  <c r="C77" i="75"/>
  <c r="C79" i="75"/>
  <c r="C81" i="75"/>
  <c r="C50" i="101"/>
  <c r="C22" i="66" s="1"/>
  <c r="C26" i="66" s="1"/>
  <c r="B15" i="74"/>
  <c r="C99" i="75"/>
  <c r="F31" i="75"/>
  <c r="F33" i="75"/>
  <c r="F30" i="75"/>
  <c r="E181" i="75"/>
  <c r="E183" i="75"/>
  <c r="E185" i="75"/>
  <c r="E182" i="75"/>
  <c r="F192" i="75"/>
  <c r="F194" i="75"/>
  <c r="F193" i="75"/>
  <c r="F195" i="75"/>
  <c r="A10" i="74"/>
  <c r="B86" i="75"/>
  <c r="B82" i="75"/>
  <c r="B84" i="75"/>
  <c r="F181" i="75"/>
  <c r="F183" i="75"/>
  <c r="F185" i="75"/>
  <c r="F182" i="75"/>
  <c r="E221" i="75"/>
  <c r="E223" i="75"/>
  <c r="E225" i="75"/>
  <c r="E222" i="75"/>
  <c r="E224" i="75"/>
  <c r="B85" i="75"/>
  <c r="B11" i="74"/>
  <c r="C88" i="75"/>
  <c r="C90" i="75"/>
  <c r="C87" i="75"/>
  <c r="C89" i="75"/>
  <c r="B10" i="74"/>
  <c r="C83" i="75"/>
  <c r="C85" i="75"/>
  <c r="C82" i="75"/>
  <c r="C84" i="75"/>
  <c r="A12" i="74"/>
  <c r="B92" i="75"/>
  <c r="B94" i="75"/>
  <c r="B95" i="75"/>
  <c r="A20" i="74"/>
  <c r="B112" i="75"/>
  <c r="B114" i="75"/>
  <c r="B116" i="75"/>
  <c r="F216" i="75"/>
  <c r="F218" i="75"/>
  <c r="F220" i="75"/>
  <c r="F217" i="75"/>
  <c r="F219" i="75"/>
  <c r="E30" i="75"/>
  <c r="E88" i="75"/>
  <c r="E191" i="75"/>
  <c r="E83" i="75"/>
  <c r="E85" i="75"/>
  <c r="E84" i="75"/>
  <c r="E86" i="75"/>
  <c r="B12" i="74"/>
  <c r="C92" i="75"/>
  <c r="C94" i="75"/>
  <c r="C95" i="75"/>
  <c r="B20" i="74"/>
  <c r="C112" i="75"/>
  <c r="C114" i="75"/>
  <c r="C116" i="75"/>
  <c r="E197" i="75"/>
  <c r="E199" i="75"/>
  <c r="E198" i="75"/>
  <c r="E200" i="75"/>
  <c r="F207" i="75"/>
  <c r="F209" i="75"/>
  <c r="F191" i="75"/>
  <c r="E92" i="75"/>
  <c r="E94" i="75"/>
  <c r="E96" i="75"/>
  <c r="A18" i="74"/>
  <c r="B103" i="75"/>
  <c r="B105" i="75"/>
  <c r="B104" i="75"/>
  <c r="B106" i="75"/>
  <c r="E161" i="75"/>
  <c r="E163" i="75"/>
  <c r="E165" i="75"/>
  <c r="E162" i="75"/>
  <c r="E172" i="75"/>
  <c r="E174" i="75"/>
  <c r="E173" i="75"/>
  <c r="E175" i="75"/>
  <c r="E186" i="75"/>
  <c r="E188" i="75"/>
  <c r="E190" i="75"/>
  <c r="E187" i="75"/>
  <c r="A17" i="80"/>
  <c r="F161" i="75"/>
  <c r="F163" i="75"/>
  <c r="F165" i="75"/>
  <c r="F162" i="75"/>
  <c r="F172" i="75"/>
  <c r="F174" i="75"/>
  <c r="F173" i="75"/>
  <c r="F175" i="75"/>
  <c r="B17" i="80"/>
  <c r="E105" i="75"/>
  <c r="E102" i="75"/>
  <c r="E106" i="75"/>
  <c r="E103" i="75"/>
  <c r="E29" i="75"/>
  <c r="E26" i="75"/>
  <c r="E28" i="75"/>
  <c r="B19" i="75"/>
  <c r="E77" i="75"/>
  <c r="E189" i="75"/>
  <c r="A7" i="100"/>
  <c r="A36" i="100" s="1"/>
  <c r="B7" i="88"/>
  <c r="A8" i="74"/>
  <c r="B72" i="75"/>
  <c r="B74" i="75"/>
  <c r="B18" i="74"/>
  <c r="C103" i="75"/>
  <c r="C105" i="75"/>
  <c r="E114" i="75"/>
  <c r="E116" i="75"/>
  <c r="F188" i="75"/>
  <c r="F190" i="75"/>
  <c r="F197" i="75"/>
  <c r="F199" i="75"/>
  <c r="F196" i="75"/>
  <c r="B7" i="100"/>
  <c r="C7" i="88"/>
  <c r="M142" i="109"/>
  <c r="F200" i="75"/>
  <c r="A6" i="100"/>
  <c r="A28" i="100" s="1"/>
  <c r="B6" i="88"/>
  <c r="B6" i="100"/>
  <c r="C6" i="88"/>
  <c r="F198" i="75"/>
  <c r="CU51" i="75"/>
  <c r="CV51" i="75"/>
  <c r="CW51" i="75"/>
  <c r="CX51" i="75"/>
  <c r="CY51" i="75"/>
  <c r="CZ51" i="75"/>
  <c r="E11" i="67"/>
  <c r="C44" i="101"/>
  <c r="C11" i="67" s="1"/>
  <c r="C65" i="93"/>
  <c r="C63" i="93"/>
  <c r="C61" i="93"/>
  <c r="C62" i="93"/>
  <c r="D60" i="93"/>
  <c r="C55" i="65" l="1"/>
  <c r="E62" i="42" s="1"/>
  <c r="C67" i="65"/>
  <c r="E73" i="42" s="1"/>
  <c r="C39" i="66"/>
  <c r="C7" i="66" s="1"/>
  <c r="B20" i="96"/>
  <c r="D10" i="78"/>
  <c r="B90" i="103"/>
  <c r="K101" i="109"/>
  <c r="H153" i="82"/>
  <c r="H136" i="82"/>
  <c r="K130" i="82"/>
  <c r="H161" i="82"/>
  <c r="R118" i="109" s="1"/>
  <c r="S118" i="109" s="1"/>
  <c r="T118" i="109" s="1"/>
  <c r="U118" i="109" s="1"/>
  <c r="H164" i="82"/>
  <c r="K96" i="109" s="1"/>
  <c r="H160" i="82"/>
  <c r="O118" i="109" s="1"/>
  <c r="P118" i="109" s="1"/>
  <c r="Q118" i="109" s="1"/>
  <c r="H152" i="82"/>
  <c r="H135" i="82"/>
  <c r="H132" i="82"/>
  <c r="H159" i="82"/>
  <c r="M118" i="109" s="1"/>
  <c r="N118" i="109" s="1"/>
  <c r="H134" i="82"/>
  <c r="I166" i="82"/>
  <c r="H166" i="82" s="1"/>
  <c r="K99" i="109" s="1"/>
  <c r="K100" i="109" s="1"/>
  <c r="H151" i="82"/>
  <c r="H158" i="82"/>
  <c r="H163" i="82"/>
  <c r="I162" i="82" s="1"/>
  <c r="H162" i="82" s="1"/>
  <c r="K23" i="14" s="1"/>
  <c r="H157" i="82"/>
  <c r="O116" i="109" s="1"/>
  <c r="H156" i="82"/>
  <c r="M116" i="109" s="1"/>
  <c r="H155" i="82"/>
  <c r="H133" i="82"/>
  <c r="H165" i="82"/>
  <c r="K97" i="109" s="1"/>
  <c r="H154" i="82"/>
  <c r="H137" i="82"/>
  <c r="C24" i="100"/>
  <c r="Q142" i="109"/>
  <c r="B107" i="74"/>
  <c r="B109" i="74"/>
  <c r="E3" i="102"/>
  <c r="D18" i="11"/>
  <c r="C37" i="88"/>
  <c r="E5" i="102"/>
  <c r="D16" i="11"/>
  <c r="E4" i="102"/>
  <c r="D17" i="11"/>
  <c r="AD152" i="109"/>
  <c r="AE151" i="109"/>
  <c r="AE152" i="109" s="1"/>
  <c r="AD147" i="109"/>
  <c r="AC148" i="109"/>
  <c r="I138" i="109"/>
  <c r="AZ139" i="109"/>
  <c r="AC100" i="109"/>
  <c r="AD99" i="109"/>
  <c r="AT17" i="88"/>
  <c r="AT18" i="88" s="1"/>
  <c r="BB19" i="88"/>
  <c r="BB20" i="88" s="1"/>
  <c r="R20" i="88"/>
  <c r="W20" i="88"/>
  <c r="BG19" i="88"/>
  <c r="BG20" i="88" s="1"/>
  <c r="BA248" i="75"/>
  <c r="GC248" i="75" s="1"/>
  <c r="FE249" i="75"/>
  <c r="AD249" i="75"/>
  <c r="FF249" i="75" s="1"/>
  <c r="GM261" i="75"/>
  <c r="BK250" i="75"/>
  <c r="GM250" i="75" s="1"/>
  <c r="BK51" i="75"/>
  <c r="GM51" i="75" s="1"/>
  <c r="GM240" i="75"/>
  <c r="GC256" i="75"/>
  <c r="BA249" i="75"/>
  <c r="GC249" i="75" s="1"/>
  <c r="ET249" i="75"/>
  <c r="T249" i="75"/>
  <c r="EU249" i="75" s="1"/>
  <c r="GC240" i="75"/>
  <c r="GB46" i="75"/>
  <c r="ET248" i="75"/>
  <c r="T248" i="75"/>
  <c r="EU248" i="75" s="1"/>
  <c r="FR261" i="75"/>
  <c r="AP250" i="75"/>
  <c r="FR250" i="75" s="1"/>
  <c r="FQ256" i="75"/>
  <c r="AO249" i="75"/>
  <c r="FQ249" i="75" s="1"/>
  <c r="GM256" i="75"/>
  <c r="BK249" i="75"/>
  <c r="GM249" i="75" s="1"/>
  <c r="T51" i="75"/>
  <c r="EU51" i="75" s="1"/>
  <c r="FQ261" i="75"/>
  <c r="AO250" i="75"/>
  <c r="FQ250" i="75" s="1"/>
  <c r="ET247" i="75"/>
  <c r="T247" i="75"/>
  <c r="EU247" i="75" s="1"/>
  <c r="AD51" i="75"/>
  <c r="FF51" i="75" s="1"/>
  <c r="FE51" i="75"/>
  <c r="AZ246" i="75"/>
  <c r="GB246" i="75" s="1"/>
  <c r="GB235" i="75"/>
  <c r="FR235" i="75"/>
  <c r="AP246" i="75"/>
  <c r="FR246" i="75" s="1"/>
  <c r="FQ235" i="75"/>
  <c r="AO246" i="75"/>
  <c r="FQ246" i="75" s="1"/>
  <c r="AE51" i="75"/>
  <c r="FG51" i="75" s="1"/>
  <c r="FG46" i="75"/>
  <c r="FQ46" i="75"/>
  <c r="AO51" i="75"/>
  <c r="FQ51" i="75" s="1"/>
  <c r="FQ240" i="75"/>
  <c r="AO247" i="75"/>
  <c r="FQ247" i="75" s="1"/>
  <c r="AP245" i="75"/>
  <c r="FR245" i="75" s="1"/>
  <c r="FR230" i="75"/>
  <c r="FG256" i="75"/>
  <c r="AE249" i="75"/>
  <c r="FG249" i="75" s="1"/>
  <c r="AO245" i="75"/>
  <c r="FQ245" i="75" s="1"/>
  <c r="FQ230" i="75"/>
  <c r="AE247" i="75"/>
  <c r="FG247" i="75" s="1"/>
  <c r="FG240" i="75"/>
  <c r="BK245" i="75"/>
  <c r="GM245" i="75" s="1"/>
  <c r="GM230" i="75"/>
  <c r="FR240" i="75"/>
  <c r="AP247" i="75"/>
  <c r="FR247" i="75" s="1"/>
  <c r="ET246" i="75"/>
  <c r="T246" i="75"/>
  <c r="EU246" i="75" s="1"/>
  <c r="AZ245" i="75"/>
  <c r="GB245" i="75" s="1"/>
  <c r="GB230" i="75"/>
  <c r="FE246" i="75"/>
  <c r="AD246" i="75"/>
  <c r="FF246" i="75" s="1"/>
  <c r="FR46" i="75"/>
  <c r="AP51" i="75"/>
  <c r="FR51" i="75" s="1"/>
  <c r="L166" i="76"/>
  <c r="E28" i="88"/>
  <c r="C66" i="93"/>
  <c r="L45" i="93"/>
  <c r="K45" i="93"/>
  <c r="J45" i="93"/>
  <c r="I45" i="93"/>
  <c r="H45" i="93"/>
  <c r="G45" i="93"/>
  <c r="F45" i="93"/>
  <c r="E45" i="93"/>
  <c r="D45" i="93"/>
  <c r="C49" i="93"/>
  <c r="AK32" i="14" s="1"/>
  <c r="C47" i="93"/>
  <c r="AG32" i="14" s="1"/>
  <c r="C48" i="93"/>
  <c r="AI32" i="14" s="1"/>
  <c r="C46" i="93"/>
  <c r="AH32" i="14" s="1"/>
  <c r="C50" i="93"/>
  <c r="AJ32" i="14" s="1"/>
  <c r="E64" i="65"/>
  <c r="G70" i="42" s="1"/>
  <c r="B25" i="100"/>
  <c r="B23" i="100"/>
  <c r="B21" i="100"/>
  <c r="D71" i="66" s="1"/>
  <c r="B24" i="100"/>
  <c r="B22" i="100"/>
  <c r="D70" i="66" s="1"/>
  <c r="C70" i="66" s="1"/>
  <c r="E25" i="88"/>
  <c r="D135" i="66"/>
  <c r="AG25" i="14"/>
  <c r="D136" i="66"/>
  <c r="C136" i="66" s="1"/>
  <c r="AH25" i="14"/>
  <c r="AI25" i="14"/>
  <c r="D137" i="66"/>
  <c r="C137" i="66" s="1"/>
  <c r="C64" i="65"/>
  <c r="E70" i="42" s="1"/>
  <c r="E6" i="42" s="1"/>
  <c r="D65" i="93"/>
  <c r="E138" i="66" s="1"/>
  <c r="D63" i="93"/>
  <c r="E137" i="66" s="1"/>
  <c r="D61" i="93"/>
  <c r="E136" i="66" s="1"/>
  <c r="D62" i="93"/>
  <c r="E135" i="66" s="1"/>
  <c r="E60" i="93"/>
  <c r="D64" i="93"/>
  <c r="D138" i="66"/>
  <c r="C138" i="66" s="1"/>
  <c r="AJ25" i="14"/>
  <c r="C83" i="66"/>
  <c r="C45" i="67"/>
  <c r="C46" i="67" s="1"/>
  <c r="F11" i="67"/>
  <c r="G11" i="67" s="1"/>
  <c r="E45" i="67"/>
  <c r="E46" i="67" s="1"/>
  <c r="E83" i="66"/>
  <c r="E9" i="42" l="1"/>
  <c r="E10" i="78"/>
  <c r="D11" i="78"/>
  <c r="C10" i="78"/>
  <c r="D52" i="98"/>
  <c r="D6" i="98" s="1"/>
  <c r="D47" i="98" s="1"/>
  <c r="D48" i="98" s="1"/>
  <c r="D12" i="78"/>
  <c r="C20" i="96"/>
  <c r="B26" i="96"/>
  <c r="B23" i="96"/>
  <c r="B24" i="96"/>
  <c r="B25" i="96"/>
  <c r="B27" i="96"/>
  <c r="O103" i="109"/>
  <c r="P103" i="109" s="1"/>
  <c r="Q103" i="109" s="1"/>
  <c r="M130" i="82"/>
  <c r="O104" i="109"/>
  <c r="P104" i="109" s="1"/>
  <c r="Q104" i="109" s="1"/>
  <c r="R104" i="109" s="1"/>
  <c r="S104" i="109" s="1"/>
  <c r="T104" i="109" s="1"/>
  <c r="U104" i="109" s="1"/>
  <c r="M131" i="82"/>
  <c r="O114" i="109"/>
  <c r="M133" i="82"/>
  <c r="M102" i="109"/>
  <c r="N102" i="109" s="1"/>
  <c r="O102" i="109" s="1"/>
  <c r="P102" i="109" s="1"/>
  <c r="Q102" i="109" s="1"/>
  <c r="R102" i="109" s="1"/>
  <c r="S102" i="109" s="1"/>
  <c r="T102" i="109" s="1"/>
  <c r="U102" i="109" s="1"/>
  <c r="L130" i="82"/>
  <c r="R103" i="109"/>
  <c r="S103" i="109" s="1"/>
  <c r="T103" i="109" s="1"/>
  <c r="U103" i="109" s="1"/>
  <c r="N130" i="82"/>
  <c r="M112" i="109"/>
  <c r="L133" i="82"/>
  <c r="R114" i="109"/>
  <c r="N133" i="82"/>
  <c r="M117" i="109"/>
  <c r="N116" i="109"/>
  <c r="N117" i="109" s="1"/>
  <c r="P116" i="109"/>
  <c r="O117" i="109"/>
  <c r="M104" i="109"/>
  <c r="N104" i="109" s="1"/>
  <c r="L131" i="82"/>
  <c r="K111" i="109"/>
  <c r="K133" i="82"/>
  <c r="P142" i="109"/>
  <c r="O142" i="109"/>
  <c r="R142" i="109"/>
  <c r="E139" i="66"/>
  <c r="G6" i="42"/>
  <c r="AE147" i="109"/>
  <c r="AE148" i="109" s="1"/>
  <c r="AD148" i="109"/>
  <c r="AE99" i="109"/>
  <c r="AE100" i="109" s="1"/>
  <c r="AD100" i="109"/>
  <c r="I139" i="109"/>
  <c r="AZ140" i="109"/>
  <c r="I140" i="109" s="1"/>
  <c r="E29" i="88"/>
  <c r="E26" i="88"/>
  <c r="F49" i="93"/>
  <c r="F47" i="93"/>
  <c r="F48" i="93"/>
  <c r="F46" i="93"/>
  <c r="F50" i="93"/>
  <c r="D49" i="93"/>
  <c r="D47" i="93"/>
  <c r="D48" i="93"/>
  <c r="D46" i="93"/>
  <c r="D50" i="93"/>
  <c r="E4" i="66"/>
  <c r="F22" i="66"/>
  <c r="G49" i="93"/>
  <c r="G47" i="93"/>
  <c r="G50" i="93"/>
  <c r="G46" i="93"/>
  <c r="G48" i="93"/>
  <c r="C42" i="100"/>
  <c r="AJ29" i="14" s="1"/>
  <c r="C34" i="100"/>
  <c r="AJ28" i="14" s="1"/>
  <c r="D73" i="66"/>
  <c r="C23" i="65"/>
  <c r="E33" i="42" s="1"/>
  <c r="E143" i="66"/>
  <c r="K49" i="93"/>
  <c r="K47" i="93"/>
  <c r="K50" i="93"/>
  <c r="K46" i="93"/>
  <c r="K48" i="93"/>
  <c r="F45" i="67"/>
  <c r="F46" i="67" s="1"/>
  <c r="F83" i="66"/>
  <c r="L49" i="93"/>
  <c r="L47" i="93"/>
  <c r="L50" i="93"/>
  <c r="L46" i="93"/>
  <c r="L48" i="93"/>
  <c r="C40" i="100"/>
  <c r="AI29" i="14" s="1"/>
  <c r="C32" i="100"/>
  <c r="AI28" i="14" s="1"/>
  <c r="D72" i="66"/>
  <c r="I49" i="93"/>
  <c r="I47" i="93"/>
  <c r="I50" i="93"/>
  <c r="I46" i="93"/>
  <c r="I48" i="93"/>
  <c r="E49" i="93"/>
  <c r="E47" i="93"/>
  <c r="E48" i="93"/>
  <c r="E46" i="93"/>
  <c r="E50" i="93"/>
  <c r="C51" i="93"/>
  <c r="E65" i="93"/>
  <c r="F138" i="66" s="1"/>
  <c r="E63" i="93"/>
  <c r="F137" i="66" s="1"/>
  <c r="E61" i="93"/>
  <c r="F136" i="66" s="1"/>
  <c r="E62" i="93"/>
  <c r="F135" i="66" s="1"/>
  <c r="F60" i="93"/>
  <c r="E64" i="93"/>
  <c r="F139" i="66" s="1"/>
  <c r="D66" i="93"/>
  <c r="C4" i="66"/>
  <c r="C31" i="100"/>
  <c r="AG28" i="14" s="1"/>
  <c r="C39" i="100"/>
  <c r="AG29" i="14" s="1"/>
  <c r="J49" i="93"/>
  <c r="J47" i="93"/>
  <c r="J50" i="93"/>
  <c r="J46" i="93"/>
  <c r="J48" i="93"/>
  <c r="B26" i="100"/>
  <c r="E82" i="66"/>
  <c r="E86" i="66"/>
  <c r="E84" i="66"/>
  <c r="E87" i="66"/>
  <c r="E85" i="66"/>
  <c r="H49" i="93"/>
  <c r="H47" i="93"/>
  <c r="H50" i="93"/>
  <c r="H46" i="93"/>
  <c r="H48" i="93"/>
  <c r="C41" i="100"/>
  <c r="AK29" i="14" s="1"/>
  <c r="D74" i="66"/>
  <c r="C33" i="100"/>
  <c r="AK28" i="14" s="1"/>
  <c r="C84" i="66"/>
  <c r="C86" i="66"/>
  <c r="C82" i="66"/>
  <c r="C87" i="66"/>
  <c r="C85" i="66"/>
  <c r="D45" i="67"/>
  <c r="D46" i="67" s="1"/>
  <c r="C135" i="66"/>
  <c r="C143" i="66" s="1"/>
  <c r="D143" i="66"/>
  <c r="D18" i="100"/>
  <c r="C25" i="100"/>
  <c r="C21" i="100"/>
  <c r="C23" i="100"/>
  <c r="E23" i="65"/>
  <c r="G33" i="42" s="1"/>
  <c r="C38" i="100"/>
  <c r="C30" i="100"/>
  <c r="B28" i="96" l="1"/>
  <c r="D13" i="78"/>
  <c r="B32" i="96"/>
  <c r="AG11" i="14" s="1"/>
  <c r="B31" i="96"/>
  <c r="AH11" i="14" s="1"/>
  <c r="D97" i="66"/>
  <c r="B34" i="96"/>
  <c r="AK11" i="14" s="1"/>
  <c r="D100" i="66"/>
  <c r="B33" i="96"/>
  <c r="AI11" i="14" s="1"/>
  <c r="C27" i="96"/>
  <c r="C23" i="96"/>
  <c r="C24" i="96"/>
  <c r="C25" i="96"/>
  <c r="C26" i="96"/>
  <c r="D20" i="96"/>
  <c r="C11" i="78"/>
  <c r="C12" i="78"/>
  <c r="C52" i="98"/>
  <c r="C6" i="98" s="1"/>
  <c r="C47" i="98" s="1"/>
  <c r="C48" i="98" s="1"/>
  <c r="D99" i="66"/>
  <c r="B35" i="96"/>
  <c r="AJ11" i="14" s="1"/>
  <c r="F10" i="78"/>
  <c r="E52" i="98"/>
  <c r="E6" i="98" s="1"/>
  <c r="E47" i="98" s="1"/>
  <c r="E48" i="98" s="1"/>
  <c r="E95" i="66" s="1"/>
  <c r="E11" i="78"/>
  <c r="E12" i="78"/>
  <c r="N112" i="109"/>
  <c r="M113" i="109"/>
  <c r="R115" i="109"/>
  <c r="S114" i="109"/>
  <c r="Q116" i="109"/>
  <c r="P117" i="109"/>
  <c r="P114" i="109"/>
  <c r="O115" i="109"/>
  <c r="S142" i="109"/>
  <c r="F51" i="93"/>
  <c r="J51" i="93"/>
  <c r="E51" i="93"/>
  <c r="G51" i="93"/>
  <c r="C26" i="100"/>
  <c r="I51" i="93"/>
  <c r="H51" i="93"/>
  <c r="F65" i="93"/>
  <c r="G138" i="66" s="1"/>
  <c r="F63" i="93"/>
  <c r="G137" i="66" s="1"/>
  <c r="F61" i="93"/>
  <c r="G136" i="66" s="1"/>
  <c r="F62" i="93"/>
  <c r="G135" i="66" s="1"/>
  <c r="G60" i="93"/>
  <c r="F64" i="93"/>
  <c r="G139" i="66" s="1"/>
  <c r="H11" i="67"/>
  <c r="G45" i="67"/>
  <c r="G46" i="67" s="1"/>
  <c r="G83" i="66"/>
  <c r="E11" i="65"/>
  <c r="G23" i="42" s="1"/>
  <c r="C91" i="66"/>
  <c r="C11" i="66" s="1"/>
  <c r="F26" i="66"/>
  <c r="F64" i="65"/>
  <c r="H70" i="42" s="1"/>
  <c r="H6" i="42" s="1"/>
  <c r="D78" i="66"/>
  <c r="D22" i="65"/>
  <c r="F32" i="42" s="1"/>
  <c r="C71" i="65"/>
  <c r="E77" i="42" s="1"/>
  <c r="C71" i="66"/>
  <c r="D34" i="65"/>
  <c r="F43" i="42" s="1"/>
  <c r="C37" i="100"/>
  <c r="AH29" i="14"/>
  <c r="K51" i="93"/>
  <c r="E59" i="65"/>
  <c r="G66" i="42" s="1"/>
  <c r="D51" i="93"/>
  <c r="D23" i="65"/>
  <c r="F33" i="42" s="1"/>
  <c r="E91" i="66"/>
  <c r="E11" i="66" s="1"/>
  <c r="D86" i="66"/>
  <c r="D84" i="66"/>
  <c r="D82" i="66"/>
  <c r="D87" i="66"/>
  <c r="D85" i="66"/>
  <c r="E35" i="65"/>
  <c r="G44" i="42" s="1"/>
  <c r="F143" i="66"/>
  <c r="D40" i="100"/>
  <c r="D32" i="100"/>
  <c r="C35" i="65"/>
  <c r="E44" i="42" s="1"/>
  <c r="E66" i="93"/>
  <c r="C59" i="65"/>
  <c r="E66" i="42" s="1"/>
  <c r="L51" i="93"/>
  <c r="D31" i="100"/>
  <c r="D39" i="100"/>
  <c r="D41" i="100"/>
  <c r="D33" i="100"/>
  <c r="D70" i="65"/>
  <c r="F76" i="42" s="1"/>
  <c r="C74" i="66"/>
  <c r="D42" i="100"/>
  <c r="D34" i="100"/>
  <c r="D38" i="100"/>
  <c r="D30" i="100"/>
  <c r="E18" i="100"/>
  <c r="D24" i="100"/>
  <c r="D22" i="100"/>
  <c r="D25" i="100"/>
  <c r="D21" i="100"/>
  <c r="D23" i="100"/>
  <c r="C11" i="65"/>
  <c r="E23" i="42" s="1"/>
  <c r="C29" i="100"/>
  <c r="AH28" i="14"/>
  <c r="E71" i="65"/>
  <c r="G77" i="42" s="1"/>
  <c r="C73" i="66"/>
  <c r="D58" i="65"/>
  <c r="F65" i="42" s="1"/>
  <c r="F23" i="65"/>
  <c r="H33" i="42" s="1"/>
  <c r="D46" i="65"/>
  <c r="F54" i="42" s="1"/>
  <c r="C72" i="66"/>
  <c r="F86" i="66"/>
  <c r="F84" i="66"/>
  <c r="F82" i="66"/>
  <c r="F87" i="66"/>
  <c r="F85" i="66"/>
  <c r="D34" i="96" l="1"/>
  <c r="AK13" i="14" s="1"/>
  <c r="C28" i="96"/>
  <c r="C13" i="78"/>
  <c r="E13" i="78"/>
  <c r="D31" i="96"/>
  <c r="AH13" i="14" s="1"/>
  <c r="D33" i="96"/>
  <c r="AI13" i="14" s="1"/>
  <c r="D104" i="66"/>
  <c r="D17" i="65"/>
  <c r="F27" i="42" s="1"/>
  <c r="D5" i="65"/>
  <c r="F17" i="42" s="1"/>
  <c r="C95" i="66"/>
  <c r="C100" i="66"/>
  <c r="D65" i="65"/>
  <c r="F71" i="42" s="1"/>
  <c r="E5" i="65"/>
  <c r="G17" i="42" s="1"/>
  <c r="D23" i="96"/>
  <c r="D24" i="96"/>
  <c r="D25" i="96"/>
  <c r="D26" i="96"/>
  <c r="D27" i="96"/>
  <c r="E20" i="96"/>
  <c r="C97" i="66"/>
  <c r="D29" i="65"/>
  <c r="F38" i="42" s="1"/>
  <c r="C98" i="66"/>
  <c r="D41" i="65"/>
  <c r="F49" i="42" s="1"/>
  <c r="G10" i="78"/>
  <c r="F11" i="78"/>
  <c r="F12" i="78"/>
  <c r="F52" i="98"/>
  <c r="F6" i="98" s="1"/>
  <c r="F47" i="98" s="1"/>
  <c r="F48" i="98" s="1"/>
  <c r="F95" i="66" s="1"/>
  <c r="D53" i="65"/>
  <c r="F60" i="42" s="1"/>
  <c r="C99" i="66"/>
  <c r="D35" i="96"/>
  <c r="AJ13" i="14" s="1"/>
  <c r="D32" i="96"/>
  <c r="AG13" i="14" s="1"/>
  <c r="N113" i="109"/>
  <c r="O112" i="109"/>
  <c r="Q114" i="109"/>
  <c r="Q115" i="109" s="1"/>
  <c r="P115" i="109"/>
  <c r="R116" i="109"/>
  <c r="Q117" i="109"/>
  <c r="T114" i="109"/>
  <c r="S115" i="109"/>
  <c r="U142" i="109"/>
  <c r="T142" i="109"/>
  <c r="D37" i="100"/>
  <c r="D29" i="100"/>
  <c r="D11" i="66"/>
  <c r="E42" i="100"/>
  <c r="E34" i="100"/>
  <c r="G23" i="65"/>
  <c r="I33" i="42" s="1"/>
  <c r="F18" i="100"/>
  <c r="E24" i="100"/>
  <c r="E22" i="100"/>
  <c r="E25" i="100"/>
  <c r="E21" i="100"/>
  <c r="E23" i="100"/>
  <c r="D11" i="65"/>
  <c r="F23" i="42" s="1"/>
  <c r="C70" i="65"/>
  <c r="E76" i="42" s="1"/>
  <c r="C34" i="65"/>
  <c r="E43" i="42" s="1"/>
  <c r="G86" i="66"/>
  <c r="G84" i="66"/>
  <c r="G82" i="66"/>
  <c r="G87" i="66"/>
  <c r="G85" i="66"/>
  <c r="E41" i="100"/>
  <c r="E33" i="100"/>
  <c r="E31" i="100"/>
  <c r="E39" i="100"/>
  <c r="G65" i="93"/>
  <c r="H138" i="66" s="1"/>
  <c r="G63" i="93"/>
  <c r="H137" i="66" s="1"/>
  <c r="G61" i="93"/>
  <c r="H136" i="66" s="1"/>
  <c r="H60" i="93"/>
  <c r="G62" i="93"/>
  <c r="H135" i="66" s="1"/>
  <c r="G64" i="93"/>
  <c r="H139" i="66" s="1"/>
  <c r="G13" i="42"/>
  <c r="F12" i="42"/>
  <c r="G143" i="66"/>
  <c r="F59" i="65"/>
  <c r="H66" i="42" s="1"/>
  <c r="C58" i="65"/>
  <c r="E65" i="42" s="1"/>
  <c r="C78" i="66"/>
  <c r="C10" i="66" s="1"/>
  <c r="C22" i="65"/>
  <c r="E32" i="42" s="1"/>
  <c r="F66" i="93"/>
  <c r="F35" i="65"/>
  <c r="H44" i="42" s="1"/>
  <c r="D35" i="65"/>
  <c r="F44" i="42" s="1"/>
  <c r="D10" i="66"/>
  <c r="E78" i="66"/>
  <c r="D26" i="100"/>
  <c r="F4" i="66"/>
  <c r="G22" i="66"/>
  <c r="I11" i="67"/>
  <c r="H45" i="67"/>
  <c r="H46" i="67" s="1"/>
  <c r="H83" i="66"/>
  <c r="F11" i="65"/>
  <c r="H23" i="42" s="1"/>
  <c r="C46" i="65"/>
  <c r="E54" i="42" s="1"/>
  <c r="D71" i="65"/>
  <c r="F77" i="42" s="1"/>
  <c r="F91" i="66"/>
  <c r="F11" i="66" s="1"/>
  <c r="D59" i="65"/>
  <c r="F66" i="42" s="1"/>
  <c r="E13" i="42"/>
  <c r="AG33" i="14" s="1"/>
  <c r="D64" i="65"/>
  <c r="F70" i="42" s="1"/>
  <c r="E40" i="100"/>
  <c r="E32" i="100"/>
  <c r="F71" i="65"/>
  <c r="H77" i="42" s="1"/>
  <c r="E38" i="100"/>
  <c r="E30" i="100"/>
  <c r="F6" i="42" l="1"/>
  <c r="AK8" i="14"/>
  <c r="AL8" i="14" s="1"/>
  <c r="D28" i="96"/>
  <c r="F13" i="78"/>
  <c r="C29" i="65"/>
  <c r="E38" i="42" s="1"/>
  <c r="F5" i="65"/>
  <c r="H17" i="42" s="1"/>
  <c r="E23" i="96"/>
  <c r="E24" i="96"/>
  <c r="F20" i="96"/>
  <c r="E25" i="96"/>
  <c r="E26" i="96"/>
  <c r="E27" i="96"/>
  <c r="C5" i="65"/>
  <c r="E17" i="42" s="1"/>
  <c r="F7" i="42"/>
  <c r="G11" i="78"/>
  <c r="G12" i="78"/>
  <c r="G52" i="98"/>
  <c r="G6" i="98" s="1"/>
  <c r="G47" i="98" s="1"/>
  <c r="G48" i="98" s="1"/>
  <c r="G95" i="66" s="1"/>
  <c r="H10" i="78"/>
  <c r="E104" i="66"/>
  <c r="D5" i="66"/>
  <c r="C53" i="65"/>
  <c r="E60" i="42" s="1"/>
  <c r="C65" i="65"/>
  <c r="E71" i="42" s="1"/>
  <c r="C17" i="65"/>
  <c r="E27" i="42" s="1"/>
  <c r="C104" i="66"/>
  <c r="C5" i="66" s="1"/>
  <c r="C41" i="65"/>
  <c r="E49" i="42" s="1"/>
  <c r="U114" i="109"/>
  <c r="U115" i="109" s="1"/>
  <c r="T115" i="109"/>
  <c r="R117" i="109"/>
  <c r="S116" i="109"/>
  <c r="P112" i="109"/>
  <c r="O113" i="109"/>
  <c r="E12" i="42"/>
  <c r="E37" i="100"/>
  <c r="G91" i="66"/>
  <c r="G11" i="66" s="1"/>
  <c r="G66" i="93"/>
  <c r="E29" i="100"/>
  <c r="G11" i="65"/>
  <c r="I23" i="42" s="1"/>
  <c r="J11" i="67"/>
  <c r="I45" i="67"/>
  <c r="I46" i="67" s="1"/>
  <c r="I83" i="66"/>
  <c r="G59" i="65"/>
  <c r="I66" i="42" s="1"/>
  <c r="F38" i="100"/>
  <c r="F30" i="100"/>
  <c r="H23" i="65"/>
  <c r="J33" i="42" s="1"/>
  <c r="E71" i="66"/>
  <c r="E10" i="66"/>
  <c r="E74" i="66"/>
  <c r="E72" i="66"/>
  <c r="E73" i="66"/>
  <c r="F78" i="66"/>
  <c r="E70" i="66"/>
  <c r="F41" i="100"/>
  <c r="F33" i="100"/>
  <c r="G18" i="100"/>
  <c r="F24" i="100"/>
  <c r="F22" i="100"/>
  <c r="F25" i="100"/>
  <c r="F21" i="100"/>
  <c r="F23" i="100"/>
  <c r="H143" i="66"/>
  <c r="G35" i="65"/>
  <c r="I44" i="42" s="1"/>
  <c r="H13" i="42"/>
  <c r="H86" i="66"/>
  <c r="H84" i="66"/>
  <c r="H82" i="66"/>
  <c r="H85" i="66"/>
  <c r="H87" i="66"/>
  <c r="F42" i="100"/>
  <c r="F34" i="100"/>
  <c r="G26" i="66"/>
  <c r="G64" i="65"/>
  <c r="I70" i="42" s="1"/>
  <c r="I6" i="42" s="1"/>
  <c r="I60" i="93"/>
  <c r="H64" i="93"/>
  <c r="I139" i="66" s="1"/>
  <c r="H62" i="93"/>
  <c r="I135" i="66" s="1"/>
  <c r="H63" i="93"/>
  <c r="I137" i="66" s="1"/>
  <c r="H61" i="93"/>
  <c r="I136" i="66" s="1"/>
  <c r="H65" i="93"/>
  <c r="I138" i="66" s="1"/>
  <c r="F31" i="100"/>
  <c r="F39" i="100"/>
  <c r="E26" i="100"/>
  <c r="F40" i="100"/>
  <c r="F32" i="100"/>
  <c r="G71" i="65"/>
  <c r="I77" i="42" s="1"/>
  <c r="F13" i="42"/>
  <c r="G13" i="78" l="1"/>
  <c r="E28" i="96"/>
  <c r="H11" i="78"/>
  <c r="H12" i="78"/>
  <c r="I10" i="78"/>
  <c r="H52" i="98"/>
  <c r="H6" i="98" s="1"/>
  <c r="H47" i="98" s="1"/>
  <c r="H48" i="98" s="1"/>
  <c r="H95" i="66" s="1"/>
  <c r="F24" i="96"/>
  <c r="F25" i="96"/>
  <c r="F26" i="96"/>
  <c r="F27" i="96"/>
  <c r="G20" i="96"/>
  <c r="F23" i="96"/>
  <c r="G5" i="65"/>
  <c r="I17" i="42" s="1"/>
  <c r="E96" i="66"/>
  <c r="E97" i="66"/>
  <c r="E99" i="66"/>
  <c r="F104" i="66"/>
  <c r="E100" i="66"/>
  <c r="E5" i="66"/>
  <c r="Q112" i="109"/>
  <c r="P113" i="109"/>
  <c r="T116" i="109"/>
  <c r="S117" i="109"/>
  <c r="H91" i="66"/>
  <c r="H11" i="66" s="1"/>
  <c r="F37" i="100"/>
  <c r="I86" i="66"/>
  <c r="I84" i="66"/>
  <c r="I82" i="66"/>
  <c r="I85" i="66"/>
  <c r="I87" i="66"/>
  <c r="H71" i="65"/>
  <c r="J77" i="42" s="1"/>
  <c r="H59" i="65"/>
  <c r="J66" i="42" s="1"/>
  <c r="H35" i="65"/>
  <c r="J44" i="42" s="1"/>
  <c r="F10" i="66"/>
  <c r="F74" i="66"/>
  <c r="F72" i="66"/>
  <c r="F70" i="66"/>
  <c r="F73" i="66"/>
  <c r="G78" i="66"/>
  <c r="F71" i="66"/>
  <c r="G31" i="100"/>
  <c r="G39" i="100"/>
  <c r="F26" i="100"/>
  <c r="E58" i="65"/>
  <c r="G65" i="42" s="1"/>
  <c r="F29" i="100"/>
  <c r="H11" i="65"/>
  <c r="J23" i="42" s="1"/>
  <c r="I143" i="66"/>
  <c r="E70" i="65"/>
  <c r="G76" i="42" s="1"/>
  <c r="H18" i="100"/>
  <c r="G24" i="100"/>
  <c r="G22" i="100"/>
  <c r="G25" i="100"/>
  <c r="G21" i="100"/>
  <c r="G23" i="100"/>
  <c r="G41" i="100"/>
  <c r="G33" i="100"/>
  <c r="E22" i="65"/>
  <c r="G32" i="42" s="1"/>
  <c r="G42" i="100"/>
  <c r="G34" i="100"/>
  <c r="H66" i="93"/>
  <c r="J60" i="93"/>
  <c r="I64" i="93"/>
  <c r="J139" i="66" s="1"/>
  <c r="I62" i="93"/>
  <c r="J135" i="66" s="1"/>
  <c r="I63" i="93"/>
  <c r="J137" i="66" s="1"/>
  <c r="I61" i="93"/>
  <c r="J136" i="66" s="1"/>
  <c r="I65" i="93"/>
  <c r="J138" i="66" s="1"/>
  <c r="E34" i="65"/>
  <c r="G43" i="42" s="1"/>
  <c r="G4" i="66"/>
  <c r="H22" i="66"/>
  <c r="G40" i="100"/>
  <c r="G32" i="100"/>
  <c r="I13" i="42"/>
  <c r="I23" i="65"/>
  <c r="K33" i="42" s="1"/>
  <c r="K11" i="67"/>
  <c r="J45" i="67"/>
  <c r="J46" i="67" s="1"/>
  <c r="J83" i="66"/>
  <c r="E46" i="65"/>
  <c r="G54" i="42" s="1"/>
  <c r="G38" i="100"/>
  <c r="G30" i="100"/>
  <c r="F28" i="96" l="1"/>
  <c r="H13" i="78"/>
  <c r="G24" i="96"/>
  <c r="G25" i="96"/>
  <c r="G26" i="96"/>
  <c r="G27" i="96"/>
  <c r="H20" i="96"/>
  <c r="G23" i="96"/>
  <c r="H5" i="65"/>
  <c r="J17" i="42" s="1"/>
  <c r="E41" i="65"/>
  <c r="G49" i="42" s="1"/>
  <c r="E17" i="65"/>
  <c r="G27" i="42" s="1"/>
  <c r="F96" i="66"/>
  <c r="F97" i="66"/>
  <c r="F98" i="66"/>
  <c r="F99" i="66"/>
  <c r="G104" i="66"/>
  <c r="F100" i="66"/>
  <c r="F5" i="66"/>
  <c r="I12" i="78"/>
  <c r="I13" i="78" s="1"/>
  <c r="I52" i="98"/>
  <c r="I6" i="98" s="1"/>
  <c r="I47" i="98" s="1"/>
  <c r="I48" i="98" s="1"/>
  <c r="I95" i="66" s="1"/>
  <c r="J10" i="78"/>
  <c r="I11" i="78"/>
  <c r="E65" i="65"/>
  <c r="G71" i="42" s="1"/>
  <c r="E53" i="65"/>
  <c r="G60" i="42" s="1"/>
  <c r="E29" i="65"/>
  <c r="G38" i="42" s="1"/>
  <c r="U116" i="109"/>
  <c r="U117" i="109" s="1"/>
  <c r="T117" i="109"/>
  <c r="Q113" i="109"/>
  <c r="R112" i="109"/>
  <c r="I91" i="66"/>
  <c r="I11" i="66" s="1"/>
  <c r="G26" i="100"/>
  <c r="L11" i="67"/>
  <c r="K45" i="67"/>
  <c r="K46" i="67" s="1"/>
  <c r="K83" i="66"/>
  <c r="I71" i="65"/>
  <c r="K77" i="42" s="1"/>
  <c r="G12" i="42"/>
  <c r="F34" i="65"/>
  <c r="H43" i="42" s="1"/>
  <c r="I11" i="65"/>
  <c r="K23" i="42" s="1"/>
  <c r="J87" i="66"/>
  <c r="J86" i="66"/>
  <c r="J84" i="66"/>
  <c r="J82" i="66"/>
  <c r="J85" i="66"/>
  <c r="K60" i="93"/>
  <c r="J64" i="93"/>
  <c r="K139" i="66" s="1"/>
  <c r="J62" i="93"/>
  <c r="K135" i="66" s="1"/>
  <c r="J63" i="93"/>
  <c r="K137" i="66" s="1"/>
  <c r="J61" i="93"/>
  <c r="K136" i="66" s="1"/>
  <c r="J65" i="93"/>
  <c r="K138" i="66" s="1"/>
  <c r="J13" i="42"/>
  <c r="G74" i="66"/>
  <c r="G10" i="66"/>
  <c r="G72" i="66"/>
  <c r="G70" i="66"/>
  <c r="G73" i="66"/>
  <c r="G71" i="66"/>
  <c r="H78" i="66"/>
  <c r="I59" i="65"/>
  <c r="K66" i="42" s="1"/>
  <c r="I66" i="93"/>
  <c r="F58" i="65"/>
  <c r="H65" i="42" s="1"/>
  <c r="I35" i="65"/>
  <c r="K44" i="42" s="1"/>
  <c r="H41" i="100"/>
  <c r="H33" i="100"/>
  <c r="I18" i="100"/>
  <c r="H24" i="100"/>
  <c r="H22" i="100"/>
  <c r="H25" i="100"/>
  <c r="H21" i="100"/>
  <c r="H23" i="100"/>
  <c r="J23" i="65"/>
  <c r="L33" i="42" s="1"/>
  <c r="F22" i="65"/>
  <c r="H32" i="42" s="1"/>
  <c r="H40" i="100"/>
  <c r="H32" i="100"/>
  <c r="F46" i="65"/>
  <c r="H54" i="42" s="1"/>
  <c r="H42" i="100"/>
  <c r="H34" i="100"/>
  <c r="H31" i="100"/>
  <c r="H39" i="100"/>
  <c r="J143" i="66"/>
  <c r="H26" i="66"/>
  <c r="H64" i="65"/>
  <c r="J70" i="42" s="1"/>
  <c r="J6" i="42" s="1"/>
  <c r="G29" i="100"/>
  <c r="G37" i="100"/>
  <c r="H38" i="100"/>
  <c r="H30" i="100"/>
  <c r="F70" i="65"/>
  <c r="H76" i="42" s="1"/>
  <c r="G28" i="96" l="1"/>
  <c r="G7" i="42"/>
  <c r="I5" i="65"/>
  <c r="K17" i="42" s="1"/>
  <c r="J52" i="98"/>
  <c r="J6" i="98" s="1"/>
  <c r="J47" i="98" s="1"/>
  <c r="J48" i="98" s="1"/>
  <c r="J95" i="66" s="1"/>
  <c r="J11" i="78"/>
  <c r="K10" i="78"/>
  <c r="J12" i="78"/>
  <c r="F65" i="65"/>
  <c r="H71" i="42" s="1"/>
  <c r="F53" i="65"/>
  <c r="H60" i="42" s="1"/>
  <c r="H25" i="96"/>
  <c r="H26" i="96"/>
  <c r="H27" i="96"/>
  <c r="I20" i="96"/>
  <c r="H23" i="96"/>
  <c r="H24" i="96"/>
  <c r="G96" i="66"/>
  <c r="G97" i="66"/>
  <c r="G98" i="66"/>
  <c r="G99" i="66"/>
  <c r="H104" i="66"/>
  <c r="G100" i="66"/>
  <c r="G5" i="66"/>
  <c r="F41" i="65"/>
  <c r="H49" i="42" s="1"/>
  <c r="F29" i="65"/>
  <c r="H38" i="42" s="1"/>
  <c r="F17" i="65"/>
  <c r="H27" i="42" s="1"/>
  <c r="R113" i="109"/>
  <c r="S112" i="109"/>
  <c r="J91" i="66"/>
  <c r="J11" i="66" s="1"/>
  <c r="K143" i="66"/>
  <c r="H12" i="42"/>
  <c r="H29" i="100"/>
  <c r="J66" i="93"/>
  <c r="J71" i="65"/>
  <c r="L77" i="42" s="1"/>
  <c r="J11" i="65"/>
  <c r="L23" i="42" s="1"/>
  <c r="H37" i="100"/>
  <c r="L60" i="93"/>
  <c r="K64" i="93"/>
  <c r="L139" i="66" s="1"/>
  <c r="K62" i="93"/>
  <c r="L135" i="66" s="1"/>
  <c r="K63" i="93"/>
  <c r="L137" i="66" s="1"/>
  <c r="K61" i="93"/>
  <c r="L136" i="66" s="1"/>
  <c r="K65" i="93"/>
  <c r="L138" i="66" s="1"/>
  <c r="I40" i="100"/>
  <c r="I32" i="100"/>
  <c r="H4" i="66"/>
  <c r="I22" i="66"/>
  <c r="I38" i="100"/>
  <c r="I30" i="100"/>
  <c r="J35" i="65"/>
  <c r="L44" i="42" s="1"/>
  <c r="H10" i="66"/>
  <c r="H74" i="66"/>
  <c r="H72" i="66"/>
  <c r="H70" i="66"/>
  <c r="H73" i="66"/>
  <c r="H71" i="66"/>
  <c r="I78" i="66"/>
  <c r="K13" i="42"/>
  <c r="K23" i="65"/>
  <c r="M33" i="42" s="1"/>
  <c r="K86" i="66"/>
  <c r="K84" i="66"/>
  <c r="K82" i="66"/>
  <c r="K85" i="66"/>
  <c r="K87" i="66"/>
  <c r="G70" i="65"/>
  <c r="I76" i="42" s="1"/>
  <c r="J59" i="65"/>
  <c r="L66" i="42" s="1"/>
  <c r="L45" i="67"/>
  <c r="L46" i="67" s="1"/>
  <c r="M11" i="67"/>
  <c r="L83" i="66"/>
  <c r="I31" i="100"/>
  <c r="I39" i="100"/>
  <c r="I41" i="100"/>
  <c r="I33" i="100"/>
  <c r="G34" i="65"/>
  <c r="I43" i="42" s="1"/>
  <c r="H26" i="100"/>
  <c r="J18" i="100"/>
  <c r="I24" i="100"/>
  <c r="I22" i="100"/>
  <c r="I25" i="100"/>
  <c r="I21" i="100"/>
  <c r="I23" i="100"/>
  <c r="G22" i="65"/>
  <c r="I32" i="42" s="1"/>
  <c r="G46" i="65"/>
  <c r="I54" i="42" s="1"/>
  <c r="I42" i="100"/>
  <c r="I34" i="100"/>
  <c r="G58" i="65"/>
  <c r="I65" i="42" s="1"/>
  <c r="H28" i="96" l="1"/>
  <c r="J13" i="78"/>
  <c r="G41" i="65"/>
  <c r="I49" i="42" s="1"/>
  <c r="K11" i="78"/>
  <c r="K52" i="98"/>
  <c r="K6" i="98" s="1"/>
  <c r="K47" i="98" s="1"/>
  <c r="K48" i="98" s="1"/>
  <c r="K95" i="66" s="1"/>
  <c r="L10" i="78"/>
  <c r="K12" i="78"/>
  <c r="G53" i="65"/>
  <c r="I60" i="42" s="1"/>
  <c r="H97" i="66"/>
  <c r="H98" i="66"/>
  <c r="H99" i="66"/>
  <c r="I104" i="66"/>
  <c r="H100" i="66"/>
  <c r="H5" i="66"/>
  <c r="H96" i="66"/>
  <c r="G29" i="65"/>
  <c r="I38" i="42" s="1"/>
  <c r="J5" i="65"/>
  <c r="L17" i="42" s="1"/>
  <c r="G17" i="65"/>
  <c r="I27" i="42" s="1"/>
  <c r="H7" i="42"/>
  <c r="I25" i="96"/>
  <c r="I26" i="96"/>
  <c r="I27" i="96"/>
  <c r="J20" i="96"/>
  <c r="I24" i="96"/>
  <c r="I23" i="96"/>
  <c r="G65" i="65"/>
  <c r="I71" i="42" s="1"/>
  <c r="S113" i="109"/>
  <c r="T112" i="109"/>
  <c r="L13" i="42"/>
  <c r="I26" i="100"/>
  <c r="K91" i="66"/>
  <c r="K11" i="66" s="1"/>
  <c r="K35" i="65"/>
  <c r="M44" i="42" s="1"/>
  <c r="L64" i="93"/>
  <c r="M139" i="66" s="1"/>
  <c r="L62" i="93"/>
  <c r="M135" i="66" s="1"/>
  <c r="L65" i="93"/>
  <c r="M138" i="66" s="1"/>
  <c r="L61" i="93"/>
  <c r="M136" i="66" s="1"/>
  <c r="L63" i="93"/>
  <c r="M137" i="66" s="1"/>
  <c r="L23" i="65"/>
  <c r="N33" i="42" s="1"/>
  <c r="H46" i="65"/>
  <c r="J54" i="42" s="1"/>
  <c r="K71" i="65"/>
  <c r="M77" i="42" s="1"/>
  <c r="K18" i="100"/>
  <c r="J24" i="100"/>
  <c r="J22" i="100"/>
  <c r="J25" i="100"/>
  <c r="J21" i="100"/>
  <c r="J23" i="100"/>
  <c r="L143" i="66"/>
  <c r="H58" i="65"/>
  <c r="J65" i="42" s="1"/>
  <c r="I12" i="42"/>
  <c r="L85" i="66"/>
  <c r="L84" i="66"/>
  <c r="L82" i="66"/>
  <c r="L87" i="66"/>
  <c r="L86" i="66"/>
  <c r="I72" i="66"/>
  <c r="I10" i="66"/>
  <c r="I74" i="66"/>
  <c r="I70" i="66"/>
  <c r="I73" i="66"/>
  <c r="J78" i="66"/>
  <c r="I71" i="66"/>
  <c r="M45" i="67"/>
  <c r="M46" i="67" s="1"/>
  <c r="M83" i="66"/>
  <c r="J40" i="100"/>
  <c r="J32" i="100"/>
  <c r="K59" i="65"/>
  <c r="M66" i="42" s="1"/>
  <c r="H70" i="65"/>
  <c r="J76" i="42" s="1"/>
  <c r="J38" i="100"/>
  <c r="J30" i="100"/>
  <c r="J42" i="100"/>
  <c r="J34" i="100"/>
  <c r="I29" i="100"/>
  <c r="H34" i="65"/>
  <c r="J43" i="42" s="1"/>
  <c r="H22" i="65"/>
  <c r="J32" i="42" s="1"/>
  <c r="J31" i="100"/>
  <c r="J39" i="100"/>
  <c r="I37" i="100"/>
  <c r="K11" i="65"/>
  <c r="M23" i="42" s="1"/>
  <c r="K66" i="93"/>
  <c r="J41" i="100"/>
  <c r="J33" i="100"/>
  <c r="I26" i="66"/>
  <c r="I64" i="65"/>
  <c r="K70" i="42" s="1"/>
  <c r="K6" i="42" s="1"/>
  <c r="K13" i="78" l="1"/>
  <c r="I28" i="96"/>
  <c r="I7" i="42"/>
  <c r="H41" i="65"/>
  <c r="J49" i="42" s="1"/>
  <c r="L52" i="98"/>
  <c r="L6" i="98" s="1"/>
  <c r="L47" i="98" s="1"/>
  <c r="L48" i="98" s="1"/>
  <c r="L95" i="66" s="1"/>
  <c r="M10" i="78"/>
  <c r="L12" i="78"/>
  <c r="L11" i="78"/>
  <c r="H17" i="65"/>
  <c r="J27" i="42" s="1"/>
  <c r="K5" i="65"/>
  <c r="M17" i="42" s="1"/>
  <c r="H65" i="65"/>
  <c r="J71" i="42" s="1"/>
  <c r="H29" i="65"/>
  <c r="J38" i="42" s="1"/>
  <c r="J26" i="96"/>
  <c r="J24" i="96"/>
  <c r="J27" i="96"/>
  <c r="K20" i="96"/>
  <c r="J23" i="96"/>
  <c r="J25" i="96"/>
  <c r="I98" i="66"/>
  <c r="I96" i="66"/>
  <c r="I99" i="66"/>
  <c r="J104" i="66"/>
  <c r="I100" i="66"/>
  <c r="I5" i="66"/>
  <c r="I97" i="66"/>
  <c r="H53" i="65"/>
  <c r="J60" i="42" s="1"/>
  <c r="U112" i="109"/>
  <c r="U113" i="109" s="1"/>
  <c r="T113" i="109"/>
  <c r="M13" i="42"/>
  <c r="J37" i="100"/>
  <c r="K31" i="100"/>
  <c r="K39" i="100"/>
  <c r="K24" i="100"/>
  <c r="K22" i="100"/>
  <c r="K25" i="100"/>
  <c r="K21" i="100"/>
  <c r="K23" i="100"/>
  <c r="L35" i="65"/>
  <c r="N44" i="42" s="1"/>
  <c r="L11" i="65"/>
  <c r="N23" i="42" s="1"/>
  <c r="J26" i="100"/>
  <c r="L59" i="65"/>
  <c r="N66" i="42" s="1"/>
  <c r="M23" i="65"/>
  <c r="O33" i="42" s="1"/>
  <c r="I70" i="65"/>
  <c r="K76" i="42" s="1"/>
  <c r="K33" i="100"/>
  <c r="K41" i="100"/>
  <c r="M143" i="66"/>
  <c r="I46" i="65"/>
  <c r="K54" i="42" s="1"/>
  <c r="I34" i="65"/>
  <c r="K43" i="42" s="1"/>
  <c r="K42" i="100"/>
  <c r="K34" i="100"/>
  <c r="J12" i="42"/>
  <c r="L71" i="65"/>
  <c r="N77" i="42" s="1"/>
  <c r="J74" i="66"/>
  <c r="J72" i="66"/>
  <c r="J70" i="66"/>
  <c r="J73" i="66"/>
  <c r="K78" i="66"/>
  <c r="J71" i="66"/>
  <c r="J10" i="66"/>
  <c r="L66" i="93"/>
  <c r="M82" i="66"/>
  <c r="M87" i="66"/>
  <c r="M85" i="66"/>
  <c r="M86" i="66"/>
  <c r="M84" i="66"/>
  <c r="I58" i="65"/>
  <c r="K65" i="42" s="1"/>
  <c r="K40" i="100"/>
  <c r="K32" i="100"/>
  <c r="L91" i="66"/>
  <c r="L11" i="66" s="1"/>
  <c r="I4" i="66"/>
  <c r="J22" i="66"/>
  <c r="J29" i="100"/>
  <c r="I22" i="65"/>
  <c r="K32" i="42" s="1"/>
  <c r="K38" i="100"/>
  <c r="K30" i="100"/>
  <c r="L13" i="78" l="1"/>
  <c r="J28" i="96"/>
  <c r="J7" i="42"/>
  <c r="M52" i="98"/>
  <c r="M6" i="98" s="1"/>
  <c r="M47" i="98" s="1"/>
  <c r="M48" i="98" s="1"/>
  <c r="M95" i="66" s="1"/>
  <c r="M11" i="78"/>
  <c r="M12" i="78"/>
  <c r="I29" i="65"/>
  <c r="K38" i="42" s="1"/>
  <c r="L5" i="65"/>
  <c r="N17" i="42" s="1"/>
  <c r="I65" i="65"/>
  <c r="K71" i="42" s="1"/>
  <c r="I17" i="65"/>
  <c r="K27" i="42" s="1"/>
  <c r="J99" i="66"/>
  <c r="K104" i="66"/>
  <c r="J100" i="66"/>
  <c r="J5" i="66"/>
  <c r="J96" i="66"/>
  <c r="J97" i="66"/>
  <c r="J98" i="66"/>
  <c r="I53" i="65"/>
  <c r="K60" i="42" s="1"/>
  <c r="I41" i="65"/>
  <c r="K49" i="42" s="1"/>
  <c r="K26" i="96"/>
  <c r="K27" i="96"/>
  <c r="K25" i="96"/>
  <c r="K23" i="96"/>
  <c r="K24" i="96"/>
  <c r="K37" i="100"/>
  <c r="K29" i="100"/>
  <c r="N13" i="42"/>
  <c r="K70" i="66"/>
  <c r="K74" i="66"/>
  <c r="K72" i="66"/>
  <c r="L78" i="66"/>
  <c r="K10" i="66"/>
  <c r="K73" i="66"/>
  <c r="K71" i="66"/>
  <c r="L32" i="100"/>
  <c r="L40" i="100"/>
  <c r="L41" i="100"/>
  <c r="L33" i="100"/>
  <c r="J22" i="65"/>
  <c r="L32" i="42" s="1"/>
  <c r="M11" i="65"/>
  <c r="O23" i="42" s="1"/>
  <c r="J26" i="66"/>
  <c r="J64" i="65"/>
  <c r="L70" i="42" s="1"/>
  <c r="L6" i="42" s="1"/>
  <c r="L39" i="100"/>
  <c r="L31" i="100"/>
  <c r="L30" i="100"/>
  <c r="L38" i="100"/>
  <c r="J34" i="65"/>
  <c r="L43" i="42" s="1"/>
  <c r="J70" i="65"/>
  <c r="L76" i="42" s="1"/>
  <c r="M59" i="65"/>
  <c r="O66" i="42" s="1"/>
  <c r="M91" i="66"/>
  <c r="M11" i="66" s="1"/>
  <c r="K12" i="42"/>
  <c r="J58" i="65"/>
  <c r="L65" i="42" s="1"/>
  <c r="L34" i="100"/>
  <c r="L42" i="100"/>
  <c r="M35" i="65"/>
  <c r="O44" i="42" s="1"/>
  <c r="J46" i="65"/>
  <c r="L54" i="42" s="1"/>
  <c r="K26" i="100"/>
  <c r="M71" i="65"/>
  <c r="O77" i="42" s="1"/>
  <c r="K28" i="96" l="1"/>
  <c r="M13" i="78"/>
  <c r="J65" i="65"/>
  <c r="L71" i="42" s="1"/>
  <c r="L104" i="66"/>
  <c r="K100" i="66"/>
  <c r="K5" i="66"/>
  <c r="K98" i="66"/>
  <c r="K97" i="66"/>
  <c r="K96" i="66"/>
  <c r="K99" i="66"/>
  <c r="J29" i="65"/>
  <c r="L38" i="42" s="1"/>
  <c r="J53" i="65"/>
  <c r="L60" i="42" s="1"/>
  <c r="J41" i="65"/>
  <c r="L49" i="42" s="1"/>
  <c r="K7" i="42"/>
  <c r="M5" i="65"/>
  <c r="O17" i="42" s="1"/>
  <c r="J17" i="65"/>
  <c r="L27" i="42" s="1"/>
  <c r="L37" i="100"/>
  <c r="L29" i="100"/>
  <c r="K34" i="65"/>
  <c r="M43" i="42" s="1"/>
  <c r="K58" i="65"/>
  <c r="M65" i="42" s="1"/>
  <c r="J4" i="66"/>
  <c r="K22" i="66"/>
  <c r="L12" i="42"/>
  <c r="L74" i="66"/>
  <c r="L72" i="66"/>
  <c r="L70" i="66"/>
  <c r="M78" i="66"/>
  <c r="L10" i="66"/>
  <c r="L71" i="66"/>
  <c r="L73" i="66"/>
  <c r="O13" i="42"/>
  <c r="K46" i="65"/>
  <c r="M54" i="42" s="1"/>
  <c r="K70" i="65"/>
  <c r="M76" i="42" s="1"/>
  <c r="K22" i="65"/>
  <c r="M32" i="42" s="1"/>
  <c r="K53" i="65" l="1"/>
  <c r="M60" i="42" s="1"/>
  <c r="K41" i="65"/>
  <c r="M49" i="42" s="1"/>
  <c r="L7" i="42"/>
  <c r="K29" i="65"/>
  <c r="M38" i="42" s="1"/>
  <c r="K65" i="65"/>
  <c r="M71" i="42" s="1"/>
  <c r="L99" i="66"/>
  <c r="L96" i="66"/>
  <c r="L98" i="66"/>
  <c r="L97" i="66"/>
  <c r="M104" i="66"/>
  <c r="L100" i="66"/>
  <c r="L5" i="66"/>
  <c r="K17" i="65"/>
  <c r="M27" i="42" s="1"/>
  <c r="L22" i="65"/>
  <c r="N32" i="42" s="1"/>
  <c r="L70" i="65"/>
  <c r="N76" i="42" s="1"/>
  <c r="L58" i="65"/>
  <c r="N65" i="42" s="1"/>
  <c r="M74" i="66"/>
  <c r="M72" i="66"/>
  <c r="M70" i="66"/>
  <c r="M10" i="66"/>
  <c r="M71" i="66"/>
  <c r="M73" i="66"/>
  <c r="K26" i="66"/>
  <c r="K64" i="65"/>
  <c r="M70" i="42" s="1"/>
  <c r="M6" i="42" s="1"/>
  <c r="M12" i="42"/>
  <c r="L34" i="65"/>
  <c r="N43" i="42" s="1"/>
  <c r="L46" i="65"/>
  <c r="N54" i="42" s="1"/>
  <c r="L53" i="65" l="1"/>
  <c r="N60" i="42" s="1"/>
  <c r="L17" i="65"/>
  <c r="N27" i="42" s="1"/>
  <c r="M7" i="42"/>
  <c r="L65" i="65"/>
  <c r="N71" i="42" s="1"/>
  <c r="M100" i="66"/>
  <c r="M99" i="66"/>
  <c r="M5" i="66"/>
  <c r="M96" i="66"/>
  <c r="M97" i="66"/>
  <c r="M98" i="66"/>
  <c r="L29" i="65"/>
  <c r="N38" i="42" s="1"/>
  <c r="L41" i="65"/>
  <c r="N49" i="42" s="1"/>
  <c r="M34" i="65"/>
  <c r="O43" i="42" s="1"/>
  <c r="M22" i="65"/>
  <c r="O32" i="42" s="1"/>
  <c r="M46" i="65"/>
  <c r="O54" i="42" s="1"/>
  <c r="M58" i="65"/>
  <c r="O65" i="42" s="1"/>
  <c r="K4" i="66"/>
  <c r="L22" i="66"/>
  <c r="M70" i="65"/>
  <c r="O76" i="42" s="1"/>
  <c r="N12" i="42"/>
  <c r="M29" i="65" l="1"/>
  <c r="O38" i="42" s="1"/>
  <c r="M17" i="65"/>
  <c r="O27" i="42" s="1"/>
  <c r="M53" i="65"/>
  <c r="O60" i="42" s="1"/>
  <c r="M65" i="65"/>
  <c r="O71" i="42" s="1"/>
  <c r="N7" i="42"/>
  <c r="M41" i="65"/>
  <c r="O49" i="42" s="1"/>
  <c r="O12" i="42"/>
  <c r="L64" i="65"/>
  <c r="N70" i="42" s="1"/>
  <c r="N6" i="42" s="1"/>
  <c r="L26" i="66"/>
  <c r="O7" i="42" l="1"/>
  <c r="L4" i="66"/>
  <c r="M22" i="66"/>
  <c r="M64" i="65" l="1"/>
  <c r="O70" i="42" s="1"/>
  <c r="O6" i="42" s="1"/>
  <c r="M26" i="66"/>
  <c r="M4" i="66" s="1"/>
  <c r="H5" i="102" l="1"/>
  <c r="H4" i="102"/>
  <c r="G4" i="102"/>
  <c r="H3" i="102" l="1"/>
  <c r="C22" i="102" s="1"/>
  <c r="G3" i="102"/>
  <c r="B22" i="102" s="1"/>
  <c r="B28" i="102" l="1"/>
  <c r="B27" i="102"/>
  <c r="B26" i="102"/>
  <c r="B29" i="102"/>
  <c r="B25" i="102"/>
  <c r="D22" i="102"/>
  <c r="C29" i="102"/>
  <c r="C27" i="102"/>
  <c r="C25" i="102"/>
  <c r="C28" i="102"/>
  <c r="C26" i="102"/>
  <c r="C42" i="102" l="1"/>
  <c r="E124" i="66"/>
  <c r="C35" i="102"/>
  <c r="C49" i="102"/>
  <c r="E122" i="66"/>
  <c r="C41" i="102"/>
  <c r="C48" i="102"/>
  <c r="C34" i="102"/>
  <c r="C30" i="102"/>
  <c r="C47" i="102"/>
  <c r="C40" i="102"/>
  <c r="C33" i="102"/>
  <c r="E123" i="66"/>
  <c r="C51" i="102"/>
  <c r="C44" i="102"/>
  <c r="E125" i="66"/>
  <c r="C37" i="102"/>
  <c r="B41" i="102"/>
  <c r="AG19" i="14" s="1"/>
  <c r="B48" i="102"/>
  <c r="AG18" i="14" s="1"/>
  <c r="D122" i="66"/>
  <c r="B34" i="102"/>
  <c r="AG20" i="14" s="1"/>
  <c r="E126" i="66"/>
  <c r="C36" i="102"/>
  <c r="C43" i="102"/>
  <c r="C50" i="102"/>
  <c r="D25" i="102"/>
  <c r="E22" i="102"/>
  <c r="D26" i="102"/>
  <c r="F122" i="66" s="1"/>
  <c r="D27" i="102"/>
  <c r="F124" i="66" s="1"/>
  <c r="D29" i="102"/>
  <c r="F125" i="66" s="1"/>
  <c r="D28" i="102"/>
  <c r="F126" i="66" s="1"/>
  <c r="B33" i="102"/>
  <c r="B47" i="102"/>
  <c r="AH18" i="14" s="1"/>
  <c r="D123" i="66"/>
  <c r="B30" i="102"/>
  <c r="B40" i="102"/>
  <c r="AH19" i="14" s="1"/>
  <c r="D125" i="66"/>
  <c r="B37" i="102"/>
  <c r="AJ20" i="14" s="1"/>
  <c r="B44" i="102"/>
  <c r="AJ19" i="14" s="1"/>
  <c r="B51" i="102"/>
  <c r="AJ18" i="14" s="1"/>
  <c r="B35" i="102"/>
  <c r="AI20" i="14" s="1"/>
  <c r="B49" i="102"/>
  <c r="AI18" i="14" s="1"/>
  <c r="D124" i="66"/>
  <c r="C124" i="66" s="1"/>
  <c r="B42" i="102"/>
  <c r="AI19" i="14" s="1"/>
  <c r="D126" i="66"/>
  <c r="B50" i="102"/>
  <c r="AK18" i="14" s="1"/>
  <c r="B43" i="102"/>
  <c r="AK19" i="14" s="1"/>
  <c r="B36" i="102"/>
  <c r="AK20" i="14" s="1"/>
  <c r="B53" i="102" l="1"/>
  <c r="AH20" i="14"/>
  <c r="F42" i="65"/>
  <c r="H50" i="42" s="1"/>
  <c r="E130" i="66"/>
  <c r="E6" i="66" s="1"/>
  <c r="E18" i="65"/>
  <c r="G28" i="42" s="1"/>
  <c r="C53" i="102"/>
  <c r="F54" i="65"/>
  <c r="H61" i="42" s="1"/>
  <c r="E54" i="65"/>
  <c r="G61" i="42" s="1"/>
  <c r="F22" i="102"/>
  <c r="E26" i="102"/>
  <c r="G122" i="66" s="1"/>
  <c r="E27" i="102"/>
  <c r="G124" i="66" s="1"/>
  <c r="E25" i="102"/>
  <c r="E29" i="102"/>
  <c r="G125" i="66" s="1"/>
  <c r="E28" i="102"/>
  <c r="G126" i="66" s="1"/>
  <c r="D30" i="102"/>
  <c r="F123" i="66"/>
  <c r="F130" i="66" s="1"/>
  <c r="F6" i="66" s="1"/>
  <c r="E42" i="65"/>
  <c r="G50" i="42" s="1"/>
  <c r="C123" i="66"/>
  <c r="D30" i="65"/>
  <c r="F39" i="42" s="1"/>
  <c r="E66" i="65"/>
  <c r="G72" i="42" s="1"/>
  <c r="D66" i="65"/>
  <c r="F72" i="42" s="1"/>
  <c r="C126" i="66"/>
  <c r="C122" i="66"/>
  <c r="D18" i="65"/>
  <c r="F28" i="42" s="1"/>
  <c r="D130" i="66"/>
  <c r="D6" i="66" s="1"/>
  <c r="D42" i="65"/>
  <c r="F50" i="42" s="1"/>
  <c r="F66" i="65"/>
  <c r="H72" i="42" s="1"/>
  <c r="F18" i="65"/>
  <c r="H28" i="42" s="1"/>
  <c r="D54" i="65"/>
  <c r="F61" i="42" s="1"/>
  <c r="C125" i="66"/>
  <c r="E30" i="65"/>
  <c r="G39" i="42" s="1"/>
  <c r="C130" i="66" l="1"/>
  <c r="C6" i="66" s="1"/>
  <c r="C54" i="65"/>
  <c r="E61" i="42" s="1"/>
  <c r="F8" i="42"/>
  <c r="C18" i="65"/>
  <c r="E28" i="42" s="1"/>
  <c r="F30" i="65"/>
  <c r="H39" i="42" s="1"/>
  <c r="H8" i="42" s="1"/>
  <c r="G66" i="65"/>
  <c r="I72" i="42" s="1"/>
  <c r="G8" i="42"/>
  <c r="G54" i="65"/>
  <c r="I61" i="42" s="1"/>
  <c r="C42" i="65"/>
  <c r="E50" i="42" s="1"/>
  <c r="G123" i="66"/>
  <c r="G130" i="66" s="1"/>
  <c r="G6" i="66" s="1"/>
  <c r="E30" i="102"/>
  <c r="C66" i="65"/>
  <c r="E72" i="42" s="1"/>
  <c r="G42" i="65"/>
  <c r="I50" i="42" s="1"/>
  <c r="G18" i="65"/>
  <c r="I28" i="42" s="1"/>
  <c r="C30" i="65"/>
  <c r="E39" i="42" s="1"/>
  <c r="F28" i="102"/>
  <c r="H126" i="66" s="1"/>
  <c r="F29" i="102"/>
  <c r="H125" i="66" s="1"/>
  <c r="F27" i="102"/>
  <c r="H124" i="66" s="1"/>
  <c r="G22" i="102"/>
  <c r="F26" i="102"/>
  <c r="H122" i="66" s="1"/>
  <c r="F25" i="102"/>
  <c r="H22" i="102" l="1"/>
  <c r="G27" i="102"/>
  <c r="I124" i="66" s="1"/>
  <c r="G26" i="102"/>
  <c r="I122" i="66" s="1"/>
  <c r="G28" i="102"/>
  <c r="I126" i="66" s="1"/>
  <c r="G29" i="102"/>
  <c r="I125" i="66" s="1"/>
  <c r="G25" i="102"/>
  <c r="H66" i="65"/>
  <c r="J72" i="42" s="1"/>
  <c r="E8" i="42"/>
  <c r="H54" i="65"/>
  <c r="J61" i="42" s="1"/>
  <c r="H18" i="65"/>
  <c r="J28" i="42" s="1"/>
  <c r="H42" i="65"/>
  <c r="J50" i="42" s="1"/>
  <c r="H123" i="66"/>
  <c r="H130" i="66" s="1"/>
  <c r="H6" i="66" s="1"/>
  <c r="F30" i="102"/>
  <c r="G30" i="65"/>
  <c r="I39" i="42" s="1"/>
  <c r="I8" i="42" s="1"/>
  <c r="I123" i="66" l="1"/>
  <c r="I130" i="66" s="1"/>
  <c r="I6" i="66" s="1"/>
  <c r="G30" i="102"/>
  <c r="I54" i="65"/>
  <c r="K61" i="42" s="1"/>
  <c r="I66" i="65"/>
  <c r="K72" i="42" s="1"/>
  <c r="I18" i="65"/>
  <c r="K28" i="42" s="1"/>
  <c r="H30" i="65"/>
  <c r="J39" i="42" s="1"/>
  <c r="J8" i="42" s="1"/>
  <c r="I42" i="65"/>
  <c r="K50" i="42" s="1"/>
  <c r="H29" i="102"/>
  <c r="J125" i="66" s="1"/>
  <c r="H26" i="102"/>
  <c r="J122" i="66" s="1"/>
  <c r="I22" i="102"/>
  <c r="H25" i="102"/>
  <c r="H28" i="102"/>
  <c r="J126" i="66" s="1"/>
  <c r="H27" i="102"/>
  <c r="J124" i="66" s="1"/>
  <c r="J42" i="65" l="1"/>
  <c r="L50" i="42" s="1"/>
  <c r="J22" i="102"/>
  <c r="I27" i="102"/>
  <c r="K124" i="66" s="1"/>
  <c r="I28" i="102"/>
  <c r="K126" i="66" s="1"/>
  <c r="I25" i="102"/>
  <c r="I29" i="102"/>
  <c r="K125" i="66" s="1"/>
  <c r="I26" i="102"/>
  <c r="K122" i="66" s="1"/>
  <c r="J18" i="65"/>
  <c r="L28" i="42" s="1"/>
  <c r="H30" i="102"/>
  <c r="J123" i="66"/>
  <c r="J130" i="66" s="1"/>
  <c r="J6" i="66" s="1"/>
  <c r="J54" i="65"/>
  <c r="L61" i="42" s="1"/>
  <c r="J66" i="65"/>
  <c r="L72" i="42" s="1"/>
  <c r="I30" i="65"/>
  <c r="K39" i="42" s="1"/>
  <c r="K8" i="42" s="1"/>
  <c r="K18" i="65" l="1"/>
  <c r="M28" i="42" s="1"/>
  <c r="K54" i="65"/>
  <c r="M61" i="42" s="1"/>
  <c r="K66" i="65"/>
  <c r="M72" i="42" s="1"/>
  <c r="K42" i="65"/>
  <c r="M50" i="42" s="1"/>
  <c r="J28" i="102"/>
  <c r="L126" i="66" s="1"/>
  <c r="J26" i="102"/>
  <c r="L122" i="66" s="1"/>
  <c r="J27" i="102"/>
  <c r="L124" i="66" s="1"/>
  <c r="K22" i="102"/>
  <c r="J25" i="102"/>
  <c r="J29" i="102"/>
  <c r="L125" i="66" s="1"/>
  <c r="J30" i="65"/>
  <c r="L39" i="42" s="1"/>
  <c r="L8" i="42" s="1"/>
  <c r="I30" i="102"/>
  <c r="K123" i="66"/>
  <c r="L18" i="65" l="1"/>
  <c r="N28" i="42" s="1"/>
  <c r="K30" i="65"/>
  <c r="M39" i="42" s="1"/>
  <c r="M8" i="42" s="1"/>
  <c r="L54" i="65"/>
  <c r="N61" i="42" s="1"/>
  <c r="L66" i="65"/>
  <c r="N72" i="42" s="1"/>
  <c r="K29" i="102"/>
  <c r="M125" i="66" s="1"/>
  <c r="K28" i="102"/>
  <c r="M126" i="66" s="1"/>
  <c r="K25" i="102"/>
  <c r="K26" i="102"/>
  <c r="M122" i="66" s="1"/>
  <c r="K27" i="102"/>
  <c r="M124" i="66" s="1"/>
  <c r="K130" i="66"/>
  <c r="K6" i="66" s="1"/>
  <c r="J30" i="102"/>
  <c r="L123" i="66"/>
  <c r="L42" i="65"/>
  <c r="N50" i="42" s="1"/>
  <c r="L30" i="65" l="1"/>
  <c r="N39" i="42" s="1"/>
  <c r="N8" i="42" s="1"/>
  <c r="M66" i="65"/>
  <c r="O72" i="42" s="1"/>
  <c r="M42" i="65"/>
  <c r="O50" i="42" s="1"/>
  <c r="M54" i="65"/>
  <c r="O61" i="42" s="1"/>
  <c r="M18" i="65"/>
  <c r="O28" i="42" s="1"/>
  <c r="M123" i="66"/>
  <c r="M130" i="66" s="1"/>
  <c r="M6" i="66" s="1"/>
  <c r="K30" i="102"/>
  <c r="L130" i="66"/>
  <c r="L6" i="66" s="1"/>
  <c r="M30" i="65" l="1"/>
  <c r="O39" i="42" s="1"/>
  <c r="O8"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Kaplan, Ozge</author>
  </authors>
  <commentList>
    <comment ref="G62" authorId="0" shapeId="0" xr:uid="{AFB91702-9835-44C0-904B-24B0AA4ABA3E}">
      <text>
        <r>
          <rPr>
            <b/>
            <sz val="9"/>
            <color indexed="81"/>
            <rFont val="Tahoma"/>
            <charset val="1"/>
          </rPr>
          <t>Kaplan, Ozge:</t>
        </r>
        <r>
          <rPr>
            <sz val="9"/>
            <color indexed="81"/>
            <rFont val="Tahoma"/>
            <charset val="1"/>
          </rPr>
          <t xml:space="preserve">
</t>
        </r>
      </text>
    </comment>
    <comment ref="G65" authorId="0" shapeId="0" xr:uid="{63275859-BE48-47F7-963B-F78D5F50CD67}">
      <text>
        <r>
          <rPr>
            <b/>
            <sz val="9"/>
            <color indexed="81"/>
            <rFont val="Tahoma"/>
            <charset val="1"/>
          </rPr>
          <t>Kaplan, Ozge:</t>
        </r>
        <r>
          <rPr>
            <sz val="9"/>
            <color indexed="81"/>
            <rFont val="Tahoma"/>
            <charset val="1"/>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ctsuser</author>
    <author>CLS</author>
  </authors>
  <commentList>
    <comment ref="D7" authorId="0" shapeId="0" xr:uid="{00000000-0006-0000-1C00-000001000000}">
      <text>
        <r>
          <rPr>
            <b/>
            <sz val="8"/>
            <color indexed="81"/>
            <rFont val="Tahoma"/>
            <family val="2"/>
          </rPr>
          <t>ctsuser:</t>
        </r>
        <r>
          <rPr>
            <sz val="8"/>
            <color indexed="81"/>
            <rFont val="Tahoma"/>
            <family val="2"/>
          </rPr>
          <t xml:space="preserve">
2010 Data starts here.</t>
        </r>
      </text>
    </comment>
    <comment ref="C255" authorId="1" shapeId="0" xr:uid="{00000000-0006-0000-1C00-000002000000}">
      <text>
        <r>
          <rPr>
            <b/>
            <sz val="8"/>
            <color indexed="81"/>
            <rFont val="Tahoma"/>
            <family val="2"/>
          </rPr>
          <t>AEO2011 data</t>
        </r>
        <r>
          <rPr>
            <sz val="8"/>
            <color indexed="81"/>
            <rFont val="Tahoma"/>
            <family val="2"/>
          </rPr>
          <t xml:space="preserve">
</t>
        </r>
      </text>
    </comment>
    <comment ref="D255" authorId="1" shapeId="0" xr:uid="{00000000-0006-0000-1C00-000003000000}">
      <text>
        <r>
          <rPr>
            <b/>
            <sz val="8"/>
            <color indexed="81"/>
            <rFont val="Tahoma"/>
            <family val="2"/>
          </rPr>
          <t>Start of AEO2014 data</t>
        </r>
      </text>
    </comment>
    <comment ref="A261" authorId="1" shapeId="0" xr:uid="{00000000-0006-0000-1C00-000004000000}">
      <text>
        <r>
          <rPr>
            <sz val="8"/>
            <color indexed="81"/>
            <rFont val="Tahoma"/>
            <family val="2"/>
          </rPr>
          <t>No longer reported in AEO14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B9" authorId="0" shapeId="0" xr:uid="{83B08A70-5A63-4C08-923E-AD42B5B45C09}">
      <text>
        <r>
          <rPr>
            <b/>
            <sz val="9"/>
            <color indexed="81"/>
            <rFont val="Tahoma"/>
            <family val="2"/>
          </rPr>
          <t>Isik, Mine:</t>
        </r>
        <r>
          <rPr>
            <sz val="9"/>
            <color indexed="81"/>
            <rFont val="Tahoma"/>
            <family val="2"/>
          </rPr>
          <t xml:space="preserve">
AEO data please see EPAUS9r TRN_HDV workbook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D91" authorId="0" shapeId="0" xr:uid="{DCF9B2E6-355C-48F2-9B63-0627E94AC890}">
      <text>
        <r>
          <rPr>
            <b/>
            <sz val="9"/>
            <color indexed="81"/>
            <rFont val="Tahoma"/>
            <family val="2"/>
          </rPr>
          <t>Isik, Mine:</t>
        </r>
        <r>
          <rPr>
            <sz val="9"/>
            <color indexed="81"/>
            <rFont val="Tahoma"/>
            <family val="2"/>
          </rPr>
          <t xml:space="preserve">
Original data  (provided by Benjamin and Iyad)</t>
        </r>
      </text>
    </comment>
    <comment ref="H91" authorId="0" shapeId="0" xr:uid="{70FD2D19-6A23-48A4-BC76-899B4CAB0FAF}">
      <text>
        <r>
          <rPr>
            <b/>
            <sz val="9"/>
            <color indexed="81"/>
            <rFont val="Tahoma"/>
            <family val="2"/>
          </rPr>
          <t>Isik, Mine:</t>
        </r>
        <r>
          <rPr>
            <sz val="9"/>
            <color indexed="81"/>
            <rFont val="Tahoma"/>
            <family val="2"/>
          </rPr>
          <t xml:space="preserve">
Original data  (provided by Benjamin and Iyad)</t>
        </r>
      </text>
    </comment>
    <comment ref="J91" authorId="0" shapeId="0" xr:uid="{481E2A27-B3C9-4158-8F52-0BBA0E035A5E}">
      <text>
        <r>
          <rPr>
            <b/>
            <sz val="9"/>
            <color indexed="81"/>
            <rFont val="Tahoma"/>
            <family val="2"/>
          </rPr>
          <t>Isik, Mine:</t>
        </r>
        <r>
          <rPr>
            <sz val="9"/>
            <color indexed="81"/>
            <rFont val="Tahoma"/>
            <family val="2"/>
          </rPr>
          <t xml:space="preserve">
Original data  (provided by Benjamin and Iyad)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ctsuser</author>
  </authors>
  <commentList>
    <comment ref="A57" authorId="0" shapeId="0" xr:uid="{00000000-0006-0000-2000-000001000000}">
      <text>
        <r>
          <rPr>
            <b/>
            <sz val="8"/>
            <color indexed="81"/>
            <rFont val="Tahoma"/>
            <family val="2"/>
          </rPr>
          <t>ctsuser:</t>
        </r>
        <r>
          <rPr>
            <sz val="8"/>
            <color indexed="81"/>
            <rFont val="Tahoma"/>
            <family val="2"/>
          </rPr>
          <t xml:space="preserve">
criteria and non-CO2 GHG emissions independent of fuel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B48" authorId="0" shapeId="0" xr:uid="{3A66DC4D-3BFF-4A34-8544-2452A1D7EA99}">
      <text>
        <r>
          <rPr>
            <b/>
            <sz val="9"/>
            <color indexed="81"/>
            <rFont val="Tahoma"/>
            <family val="2"/>
          </rPr>
          <t>Isik, Mine:</t>
        </r>
        <r>
          <rPr>
            <sz val="9"/>
            <color indexed="81"/>
            <rFont val="Tahoma"/>
            <family val="2"/>
          </rPr>
          <t xml:space="preserve">
42.8 MJ/lt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esmia</author>
  </authors>
  <commentList>
    <comment ref="G3" authorId="0" shapeId="0" xr:uid="{E95179AB-1101-4198-8CE9-F5B8444BB213}">
      <text>
        <r>
          <rPr>
            <b/>
            <sz val="9"/>
            <color indexed="81"/>
            <rFont val="Tahoma"/>
            <family val="2"/>
          </rPr>
          <t>esmia:</t>
        </r>
        <r>
          <rPr>
            <sz val="9"/>
            <color indexed="81"/>
            <rFont val="Tahoma"/>
            <family val="2"/>
          </rPr>
          <t xml:space="preserve">
7988035 GJ according to the GHG inventory</t>
        </r>
      </text>
    </comment>
  </commentList>
</comments>
</file>

<file path=xl/sharedStrings.xml><?xml version="1.0" encoding="utf-8"?>
<sst xmlns="http://schemas.openxmlformats.org/spreadsheetml/2006/main" count="10145" uniqueCount="2330">
  <si>
    <t>ANSWER-Commodities</t>
  </si>
  <si>
    <t>CommName</t>
  </si>
  <si>
    <t>CommDesc</t>
  </si>
  <si>
    <t>CommUnit</t>
  </si>
  <si>
    <t>Set Memberships</t>
  </si>
  <si>
    <t>Comment</t>
  </si>
  <si>
    <t>Commodities</t>
  </si>
  <si>
    <t>R1,R2,R3,R4,R5,R6</t>
  </si>
  <si>
    <t>*Energy Carriers</t>
  </si>
  <si>
    <t>TRNELC</t>
  </si>
  <si>
    <t>ELC to TRN</t>
  </si>
  <si>
    <t>PJ</t>
  </si>
  <si>
    <t>*R1,R2,R3,R4,R5,R6</t>
  </si>
  <si>
    <t>TRNDSL</t>
  </si>
  <si>
    <t>DSL to rail emissions collector</t>
  </si>
  <si>
    <t>TRNLPG1</t>
  </si>
  <si>
    <t>LPG to TRN after Collection</t>
  </si>
  <si>
    <t>TRNLPG</t>
  </si>
  <si>
    <t>LPG after collection</t>
  </si>
  <si>
    <t>TRNJTF1</t>
  </si>
  <si>
    <t>JTF to TRN after Collection</t>
  </si>
  <si>
    <t>TRNJTF</t>
  </si>
  <si>
    <t>JTF after collection</t>
  </si>
  <si>
    <t>TRNRFH</t>
  </si>
  <si>
    <t>High Sulfur Residual Fuel Oil to Transportation Sector</t>
  </si>
  <si>
    <t>TRNRFH1</t>
  </si>
  <si>
    <t>RFH to TRN after collector</t>
  </si>
  <si>
    <t>TRNGSL</t>
  </si>
  <si>
    <t>GSL to TRN</t>
  </si>
  <si>
    <t>TRNGSLB</t>
  </si>
  <si>
    <t>GSLB to TRN</t>
  </si>
  <si>
    <t>TBGSL</t>
  </si>
  <si>
    <t>GSL to TB</t>
  </si>
  <si>
    <t>TCGSL</t>
  </si>
  <si>
    <t>GSL to TC</t>
  </si>
  <si>
    <t>TMGSL</t>
  </si>
  <si>
    <t>GSL to TM</t>
  </si>
  <si>
    <t>TCDSL</t>
  </si>
  <si>
    <t>DSL to TC</t>
  </si>
  <si>
    <t>TBDSL</t>
  </si>
  <si>
    <t>DSL to TB</t>
  </si>
  <si>
    <t>TMDSL</t>
  </si>
  <si>
    <t>DSL to TM</t>
  </si>
  <si>
    <t>TSDSL</t>
  </si>
  <si>
    <t>DSL to TS</t>
  </si>
  <si>
    <t>THDSL</t>
  </si>
  <si>
    <t>DSL to TH</t>
  </si>
  <si>
    <t>TRDSL</t>
  </si>
  <si>
    <t>DSL to TRF and TRP</t>
  </si>
  <si>
    <t>TWDSL</t>
  </si>
  <si>
    <t>DSL to TSW</t>
  </si>
  <si>
    <t>THGSL</t>
  </si>
  <si>
    <t>GSL to TH</t>
  </si>
  <si>
    <t>TWGSL</t>
  </si>
  <si>
    <t>GSL to TSW</t>
  </si>
  <si>
    <t>TRGSLB</t>
  </si>
  <si>
    <t>TRNE10</t>
  </si>
  <si>
    <t>E10 to TRN</t>
  </si>
  <si>
    <t>TRNE85</t>
  </si>
  <si>
    <t>E85 to TRN</t>
  </si>
  <si>
    <t>TCE85X</t>
  </si>
  <si>
    <t>E85X to TC</t>
  </si>
  <si>
    <t>TRNH2</t>
  </si>
  <si>
    <t>H2 to TRN</t>
  </si>
  <si>
    <t>THLNG</t>
  </si>
  <si>
    <t>LNG to TH</t>
  </si>
  <si>
    <t>TBCNG</t>
  </si>
  <si>
    <t>CNG to Bueses</t>
  </si>
  <si>
    <t>TCCNG</t>
  </si>
  <si>
    <t>CNG to Commercial Trucks</t>
  </si>
  <si>
    <t>TMCNG</t>
  </si>
  <si>
    <t>CNG to Medium Duty Trucks</t>
  </si>
  <si>
    <t>THCNG</t>
  </si>
  <si>
    <t>CNG to Heavy Duty Trucks</t>
  </si>
  <si>
    <t>TRB20</t>
  </si>
  <si>
    <t>Biodiesel (B20) to rail emissions collector</t>
  </si>
  <si>
    <t>TBB20X</t>
  </si>
  <si>
    <t>B20X to TB</t>
  </si>
  <si>
    <t>TCB20X</t>
  </si>
  <si>
    <t>B20X to TC</t>
  </si>
  <si>
    <t>THB20X</t>
  </si>
  <si>
    <t>B20X to TH</t>
  </si>
  <si>
    <t>TMB20X</t>
  </si>
  <si>
    <t>B20X to TM</t>
  </si>
  <si>
    <t>TRB20X</t>
  </si>
  <si>
    <t>B20X to TRF and TRP</t>
  </si>
  <si>
    <t>TSB20X</t>
  </si>
  <si>
    <t>B20X to TS</t>
  </si>
  <si>
    <t>*Demands</t>
  </si>
  <si>
    <t>TA</t>
  </si>
  <si>
    <t>TRN.AIR</t>
  </si>
  <si>
    <t>bn-pass-miles</t>
  </si>
  <si>
    <t>R2,R3,R4,R5,R6</t>
  </si>
  <si>
    <t>TB</t>
  </si>
  <si>
    <t>TRN.BUS</t>
  </si>
  <si>
    <t>bn-vmt</t>
  </si>
  <si>
    <t>TM</t>
  </si>
  <si>
    <t>TRN.Medium Duty Trucks</t>
  </si>
  <si>
    <t>THS</t>
  </si>
  <si>
    <t>TRN.HDV Short Haul</t>
  </si>
  <si>
    <t>THL</t>
  </si>
  <si>
    <t>TRN.HDV Long Haul</t>
  </si>
  <si>
    <t>TS</t>
  </si>
  <si>
    <t>TRN.SHIP</t>
  </si>
  <si>
    <t>bn-t-m</t>
  </si>
  <si>
    <t>*R2,R3,R4,R5,R6</t>
  </si>
  <si>
    <t>TRF</t>
  </si>
  <si>
    <t>TRN.RAIL.FREIGHT</t>
  </si>
  <si>
    <t>TSW</t>
  </si>
  <si>
    <t>TRN.MSW</t>
  </si>
  <si>
    <t>TRP</t>
  </si>
  <si>
    <t>TRN.RAIL.PASS</t>
  </si>
  <si>
    <t>TC</t>
  </si>
  <si>
    <t>TRN.TRUCK.COMMERCIAL</t>
  </si>
  <si>
    <t>*Emissions Commodities</t>
  </si>
  <si>
    <t>*</t>
  </si>
  <si>
    <t>CARBON</t>
  </si>
  <si>
    <t>Carbon Emissions</t>
  </si>
  <si>
    <t>Mt</t>
  </si>
  <si>
    <t>ENV</t>
  </si>
  <si>
    <t>CO2</t>
  </si>
  <si>
    <t>Carbon dioxide emissions</t>
  </si>
  <si>
    <t>SULFUR</t>
  </si>
  <si>
    <t>Sulfur Emissions</t>
  </si>
  <si>
    <t>kt</t>
  </si>
  <si>
    <t>SO2</t>
  </si>
  <si>
    <t>Sulfur emissions</t>
  </si>
  <si>
    <t>SO2T</t>
  </si>
  <si>
    <t>Sulfur Emissions -Transportation</t>
  </si>
  <si>
    <t>NOX</t>
  </si>
  <si>
    <t>NOX Emissions</t>
  </si>
  <si>
    <t>NOXT</t>
  </si>
  <si>
    <t>NOX Emissions -Transportation</t>
  </si>
  <si>
    <t>PM10</t>
  </si>
  <si>
    <t>PM10 Emissions</t>
  </si>
  <si>
    <t>PM10T</t>
  </si>
  <si>
    <t>PM10 Emissions -Transportation</t>
  </si>
  <si>
    <t>VOC</t>
  </si>
  <si>
    <t>VOC Emissions</t>
  </si>
  <si>
    <t>VOCT</t>
  </si>
  <si>
    <t>VOC Emissions - Transportation</t>
  </si>
  <si>
    <t>PM25</t>
  </si>
  <si>
    <t>PM25 Emissions</t>
  </si>
  <si>
    <t>PM25T</t>
  </si>
  <si>
    <t>PM25 Emissions - Trasportation</t>
  </si>
  <si>
    <t>CO</t>
  </si>
  <si>
    <t>Carbon Monoxide emissions</t>
  </si>
  <si>
    <t>N2O</t>
  </si>
  <si>
    <t>Nitrous Oxide Emissions</t>
  </si>
  <si>
    <t>CH4</t>
  </si>
  <si>
    <t>Methane emissions</t>
  </si>
  <si>
    <t>BC</t>
  </si>
  <si>
    <t>Black carbon(2.5) emissions</t>
  </si>
  <si>
    <t>OC</t>
  </si>
  <si>
    <t>Organic carbon (2.5) emissions</t>
  </si>
  <si>
    <t>NH3</t>
  </si>
  <si>
    <t>Ammonia</t>
  </si>
  <si>
    <t>ANSWER-Technologies</t>
  </si>
  <si>
    <t>TechName</t>
  </si>
  <si>
    <t>TechDesc</t>
  </si>
  <si>
    <t>TACTUnit</t>
  </si>
  <si>
    <t>TCAPUnit</t>
  </si>
  <si>
    <t>ANSWER-Constraints</t>
  </si>
  <si>
    <t>ConstrName</t>
  </si>
  <si>
    <t>ConstrDesc</t>
  </si>
  <si>
    <t>Units</t>
  </si>
  <si>
    <t>ANSWER-CommData</t>
  </si>
  <si>
    <t>ANSWER-TechData</t>
  </si>
  <si>
    <t>CommIN</t>
  </si>
  <si>
    <t>CommOUT</t>
  </si>
  <si>
    <t>ANSWER-ConstrData</t>
  </si>
  <si>
    <t>CommData</t>
  </si>
  <si>
    <t>2005</t>
  </si>
  <si>
    <t>2010</t>
  </si>
  <si>
    <t>2015</t>
  </si>
  <si>
    <t>2020</t>
  </si>
  <si>
    <t>2025</t>
  </si>
  <si>
    <t>2030</t>
  </si>
  <si>
    <t>*Energy Demands by End Use</t>
  </si>
  <si>
    <t>TRN.MDV</t>
  </si>
  <si>
    <t>*R1</t>
  </si>
  <si>
    <t>*R2</t>
  </si>
  <si>
    <t>R2</t>
  </si>
  <si>
    <t>*R3</t>
  </si>
  <si>
    <t>R3</t>
  </si>
  <si>
    <t>*R4</t>
  </si>
  <si>
    <t>R4</t>
  </si>
  <si>
    <t>*R5</t>
  </si>
  <si>
    <t>R5</t>
  </si>
  <si>
    <t>*R6</t>
  </si>
  <si>
    <t>R6</t>
  </si>
  <si>
    <t>*R7</t>
  </si>
  <si>
    <t>*R8</t>
  </si>
  <si>
    <t>*R9</t>
  </si>
  <si>
    <t>Technologies</t>
  </si>
  <si>
    <t>TAJE</t>
  </si>
  <si>
    <t>bn-pmt/a</t>
  </si>
  <si>
    <t>TAPE</t>
  </si>
  <si>
    <t>Airplane, General Aviation, exisiting</t>
  </si>
  <si>
    <t>TAJ10</t>
  </si>
  <si>
    <t>TAJSYN10</t>
  </si>
  <si>
    <t>TAJWT10</t>
  </si>
  <si>
    <t>TAJAPU15</t>
  </si>
  <si>
    <t>TAJBW30</t>
  </si>
  <si>
    <t>TAJAE30</t>
  </si>
  <si>
    <t>TAJGE15</t>
  </si>
  <si>
    <t>TAP10</t>
  </si>
  <si>
    <t>Airplane, General Aviation - 2010</t>
  </si>
  <si>
    <t>TBDSLE</t>
  </si>
  <si>
    <t>bn-vmt/a</t>
  </si>
  <si>
    <t>TBGSLE</t>
  </si>
  <si>
    <t>TBCNGE</t>
  </si>
  <si>
    <t>TBDSLC10</t>
  </si>
  <si>
    <t>Bus, Conventional Diesel, 2010</t>
  </si>
  <si>
    <t>TBDSLC</t>
  </si>
  <si>
    <t>TBDSLIM</t>
  </si>
  <si>
    <t>Bus, Improved Diesel</t>
  </si>
  <si>
    <t>TBDSLADV</t>
  </si>
  <si>
    <t>TBDSLAH</t>
  </si>
  <si>
    <t>TBB20C10</t>
  </si>
  <si>
    <t>Bus, Conventional Biodiesel, 2010</t>
  </si>
  <si>
    <t>TBB20C</t>
  </si>
  <si>
    <t>TBB20IM</t>
  </si>
  <si>
    <t>Bus, B20, Improved Biodiesel</t>
  </si>
  <si>
    <t>TBB20ADV</t>
  </si>
  <si>
    <t>TBB20AH</t>
  </si>
  <si>
    <t>TBCNGC10</t>
  </si>
  <si>
    <t>Bus, Conventional CNG, 2010</t>
  </si>
  <si>
    <t>TBCNGC</t>
  </si>
  <si>
    <t>TBCNGIM</t>
  </si>
  <si>
    <t>Bus, Improved CNG</t>
  </si>
  <si>
    <t>TBCNGADV</t>
  </si>
  <si>
    <t>TBCNGAH</t>
  </si>
  <si>
    <t>TBH2FC</t>
  </si>
  <si>
    <t>TBH2HYB</t>
  </si>
  <si>
    <t>TBELC</t>
  </si>
  <si>
    <t>Bus, Conventional ELC</t>
  </si>
  <si>
    <t>TBELCIM</t>
  </si>
  <si>
    <t>Bus, Improved ELC</t>
  </si>
  <si>
    <t>TCGSLE</t>
  </si>
  <si>
    <t>Truck, Commerical, Exisiting Gasoline</t>
  </si>
  <si>
    <t>TCDSLE</t>
  </si>
  <si>
    <t>Truck, Commerical, Existing Diesel</t>
  </si>
  <si>
    <t>TCGSLC10</t>
  </si>
  <si>
    <t>TCGSLC</t>
  </si>
  <si>
    <t>TCGSLIM</t>
  </si>
  <si>
    <t>TCGSLADV</t>
  </si>
  <si>
    <t>TCGSLAH</t>
  </si>
  <si>
    <t>TCDSLC10</t>
  </si>
  <si>
    <t>TCDSLC</t>
  </si>
  <si>
    <t>TCDSLIM</t>
  </si>
  <si>
    <t>TCDSLAH</t>
  </si>
  <si>
    <t>TCB20C10</t>
  </si>
  <si>
    <t>TCB20C</t>
  </si>
  <si>
    <t>TCB20IM</t>
  </si>
  <si>
    <t>TCB20AH</t>
  </si>
  <si>
    <t>TCCNGC10</t>
  </si>
  <si>
    <t>TCCNGC</t>
  </si>
  <si>
    <t>TCCNGIM</t>
  </si>
  <si>
    <t>TCCNGADV</t>
  </si>
  <si>
    <t>TCCNGAH</t>
  </si>
  <si>
    <t>TCE85C10</t>
  </si>
  <si>
    <t>TCE85C</t>
  </si>
  <si>
    <t>TCE85IM</t>
  </si>
  <si>
    <t>TCE85ADV</t>
  </si>
  <si>
    <t>TCE85AH</t>
  </si>
  <si>
    <t>TCLPGC10</t>
  </si>
  <si>
    <t>TCLPGC</t>
  </si>
  <si>
    <t>TCLPGIM</t>
  </si>
  <si>
    <t>TCLPGADV</t>
  </si>
  <si>
    <t>TCLPGAH</t>
  </si>
  <si>
    <t>TCH2FC</t>
  </si>
  <si>
    <t>TMGSLE</t>
  </si>
  <si>
    <t>TMDSLE</t>
  </si>
  <si>
    <t>TMCNGE</t>
  </si>
  <si>
    <t>TMLPGE</t>
  </si>
  <si>
    <t>TMGSLC10</t>
  </si>
  <si>
    <t>TMGSLC</t>
  </si>
  <si>
    <t>TMGSLIM</t>
  </si>
  <si>
    <t>TMGSLAH</t>
  </si>
  <si>
    <t>TMDSLC10</t>
  </si>
  <si>
    <t>TMDSLC</t>
  </si>
  <si>
    <t>TMDSLIM</t>
  </si>
  <si>
    <t>TMDSLADV</t>
  </si>
  <si>
    <t>TMDSLAH</t>
  </si>
  <si>
    <t>TMB20C10</t>
  </si>
  <si>
    <t>*R2,R3,R4,R5,R7</t>
  </si>
  <si>
    <t>TMB20C</t>
  </si>
  <si>
    <t>*R2,R3,R4,R5,R8</t>
  </si>
  <si>
    <t>TMB20IM</t>
  </si>
  <si>
    <t>*R2,R3,R4,R5,R9</t>
  </si>
  <si>
    <t>TMB20ADV</t>
  </si>
  <si>
    <t>Medium Duty Truck, Advanced Tech B20</t>
  </si>
  <si>
    <t>*R2,R3,R4,R5,R10</t>
  </si>
  <si>
    <t>TMB20AH</t>
  </si>
  <si>
    <t>Medium Duty Truck, Advanced Hybrid B20</t>
  </si>
  <si>
    <t>TMCNGC10</t>
  </si>
  <si>
    <t>TMCNGC</t>
  </si>
  <si>
    <t>TMCNGIM</t>
  </si>
  <si>
    <t>TMCNGAH</t>
  </si>
  <si>
    <t>TMLPGC10</t>
  </si>
  <si>
    <t>TMLPGC</t>
  </si>
  <si>
    <t>TMLPGIM</t>
  </si>
  <si>
    <t>TMLPGAH</t>
  </si>
  <si>
    <t>THSGSLE</t>
  </si>
  <si>
    <t>Heavy Truck, Short Haul, Gasoline exisiting</t>
  </si>
  <si>
    <t>THSDSLE</t>
  </si>
  <si>
    <t>Heavy Truck, Short Haul, Diesel exisiting</t>
  </si>
  <si>
    <t>THSDSLE2</t>
  </si>
  <si>
    <t>Heavy Truck, Short Haul, Diesel exisiting MSW</t>
  </si>
  <si>
    <t>THSCNGE</t>
  </si>
  <si>
    <t>Heavy Truck, Short Haul, CNG exisiting</t>
  </si>
  <si>
    <t>THSCNGE2</t>
  </si>
  <si>
    <t>Heavy Truck, Short Haul, CNG exisiting MSW</t>
  </si>
  <si>
    <t>THSLPGE</t>
  </si>
  <si>
    <t>Heavy Truck, Short Haul, LPG exisiting</t>
  </si>
  <si>
    <t>THSB20E</t>
  </si>
  <si>
    <t>Heavy Truck, Short Haul, B20exisiting</t>
  </si>
  <si>
    <t>THSGSL10</t>
  </si>
  <si>
    <t>Heavy Truck, Short Haul, Gasoline, 2010</t>
  </si>
  <si>
    <t>THSGSL102</t>
  </si>
  <si>
    <t>THSDSLC10</t>
  </si>
  <si>
    <t>Heavy Truck, Short Haul, Conventional Diesel 2010</t>
  </si>
  <si>
    <t>THSDSLC</t>
  </si>
  <si>
    <t>Heavy Truck, Short Haul, Conv. Diesel</t>
  </si>
  <si>
    <t>THSDSLIM</t>
  </si>
  <si>
    <t>Heavy Truck, Short Haul, Improved Diesel</t>
  </si>
  <si>
    <t>THSDSLADV</t>
  </si>
  <si>
    <t>Heavy Truck, Short Haul, Advanced Diesel</t>
  </si>
  <si>
    <t>THSDSLAH</t>
  </si>
  <si>
    <t>Heavy Truck, Short Haul, Hybrid Diesel</t>
  </si>
  <si>
    <t>THSDSLC102</t>
  </si>
  <si>
    <t>THSDSLC2</t>
  </si>
  <si>
    <t>THSDSLIM2</t>
  </si>
  <si>
    <t>THSDSLADV2</t>
  </si>
  <si>
    <t>THSDSLAH2</t>
  </si>
  <si>
    <t>THSB20C10</t>
  </si>
  <si>
    <t>Heavy Truck, Short Haul, Conventional B20 2010</t>
  </si>
  <si>
    <t>THSB20C</t>
  </si>
  <si>
    <t>Heavy Truck, Short Haul, Conventional B20</t>
  </si>
  <si>
    <t>THSB20IM</t>
  </si>
  <si>
    <t>Heavy Truck, Short Haul, Improved B20</t>
  </si>
  <si>
    <t>THSB20ADV</t>
  </si>
  <si>
    <t>Heavy Truck, Short Haul, Advanced B20</t>
  </si>
  <si>
    <t>THSB20AH</t>
  </si>
  <si>
    <t>Heavy Truck, Short Haul, Hybrid B20</t>
  </si>
  <si>
    <t>THSCNGC10</t>
  </si>
  <si>
    <t>Heavy Truck, Short Haul, Conventional CNG 2010</t>
  </si>
  <si>
    <t>THSCNGC</t>
  </si>
  <si>
    <t>Heavy Truck, Short Haul, Conventional CNG</t>
  </si>
  <si>
    <t>THSCNGC2</t>
  </si>
  <si>
    <t>THSCNGIM</t>
  </si>
  <si>
    <t>Heavy Truck, Short Haul, Improved CNG</t>
  </si>
  <si>
    <t>THSCNGIM2</t>
  </si>
  <si>
    <t>THSCNGADV</t>
  </si>
  <si>
    <t>Heavy Truck, Short Haul, Advanced CNG</t>
  </si>
  <si>
    <t>THSCNGADV2</t>
  </si>
  <si>
    <t>THSCNGAH</t>
  </si>
  <si>
    <t>Heavy Truck, Short Haul, Hybrid CNG</t>
  </si>
  <si>
    <t>THLDSLE</t>
  </si>
  <si>
    <t>Heavy Truck, Long Haul, Diesel exisiting</t>
  </si>
  <si>
    <t>THLLPGE</t>
  </si>
  <si>
    <t>Heavy Truck, Long Haul, LPG exisiting</t>
  </si>
  <si>
    <t>THLDSLC10</t>
  </si>
  <si>
    <t>Heavy Truck, Long Haul, Diesel Conventional 2010</t>
  </si>
  <si>
    <t>THLDSLC</t>
  </si>
  <si>
    <t>Heavy Truck, Long Haul, Conv. Diesel</t>
  </si>
  <si>
    <t>THLDSLIM</t>
  </si>
  <si>
    <t>Heavy Truck, Long Haul, Improved Diesel</t>
  </si>
  <si>
    <t>THLDSLADV</t>
  </si>
  <si>
    <t>Heavy Truck, Long Haul, Advanced Diesel</t>
  </si>
  <si>
    <t>THLDSLAH</t>
  </si>
  <si>
    <t>Heavy Truck, Long Haul, Advanced Diesel Hybrid</t>
  </si>
  <si>
    <t>THLDSLSW</t>
  </si>
  <si>
    <t>Heavy Truck, Long Haul, Diesel Smartway</t>
  </si>
  <si>
    <t>THLDSLSWH</t>
  </si>
  <si>
    <t>Heavy Truck, Long Haul, Diesel Smartway Hybird</t>
  </si>
  <si>
    <t>THLB20C10</t>
  </si>
  <si>
    <t>Heavy Truck, Long Haul, B20 Conventional 2010</t>
  </si>
  <si>
    <t>THLB20C</t>
  </si>
  <si>
    <t>Heavy Truck, Long Haul, Conventional B20</t>
  </si>
  <si>
    <t>THLB20IM</t>
  </si>
  <si>
    <t>Heavy Truck, Long Haul, Improved B20</t>
  </si>
  <si>
    <t>THLB20ADV</t>
  </si>
  <si>
    <t>Heavy Truck, Long Haul, Advanced B20</t>
  </si>
  <si>
    <t>THLB20AH</t>
  </si>
  <si>
    <t>Heavy Truck, Long Haul, Advanced B20 Hybrid</t>
  </si>
  <si>
    <t>THLB20SW</t>
  </si>
  <si>
    <t>Heavy Truck, Long Haul, B20 Smartway</t>
  </si>
  <si>
    <t>THLB20SWH</t>
  </si>
  <si>
    <t>Heavy Truck, Long Haul, B20 Smartway Hybird</t>
  </si>
  <si>
    <t>THLLNGC10</t>
  </si>
  <si>
    <t>Heavy Truck, Long Haul, LNG 2010</t>
  </si>
  <si>
    <t>THLLNGC</t>
  </si>
  <si>
    <t xml:space="preserve">Heavy Truck, Long Haul, Conventional LNG </t>
  </si>
  <si>
    <t>THLLNGADV</t>
  </si>
  <si>
    <t>Heavy Truck, Long Haul, Advanced LNG</t>
  </si>
  <si>
    <t>THLLNGAH</t>
  </si>
  <si>
    <t>Heavy Truck, Long Haul, Advanced LNG Hybrid</t>
  </si>
  <si>
    <t>THLLNGSW</t>
  </si>
  <si>
    <t>Heavy Truck, Long Haul, LNG Smartway</t>
  </si>
  <si>
    <t>THLLNGSWH</t>
  </si>
  <si>
    <t>Heavy Truck, Long Haul, LNG Smartway Hybird</t>
  </si>
  <si>
    <t>TPDSLCR</t>
  </si>
  <si>
    <t>Commuter Rail, Diesel</t>
  </si>
  <si>
    <t>TPELCCR</t>
  </si>
  <si>
    <t>Commuter Rail, Electricity</t>
  </si>
  <si>
    <t>TPELCSUB</t>
  </si>
  <si>
    <t>Subways and Streetcars, Electricity</t>
  </si>
  <si>
    <t>TPDSLIR</t>
  </si>
  <si>
    <t>Intercity Rail, Diesel</t>
  </si>
  <si>
    <t>TRFDSLE</t>
  </si>
  <si>
    <t>Rail Freight, Diesel Existing</t>
  </si>
  <si>
    <t>bn-ton-m/a</t>
  </si>
  <si>
    <t>TRFDSLE2</t>
  </si>
  <si>
    <t>Rail Freight, Diesel Existing-MSW</t>
  </si>
  <si>
    <t>TRFDSL</t>
  </si>
  <si>
    <t>Rail Freight, Diesel</t>
  </si>
  <si>
    <t>TRFDSL2</t>
  </si>
  <si>
    <t>Rail Freight, Diesel-MSW</t>
  </si>
  <si>
    <t>TRF10DSL</t>
  </si>
  <si>
    <t>Rail Freight Diesel, 10% improvement</t>
  </si>
  <si>
    <t>TRF10DSL2</t>
  </si>
  <si>
    <t>Rail Freight Diesel, 10% improvement-MSW</t>
  </si>
  <si>
    <t>TRF25DSL</t>
  </si>
  <si>
    <t>Rail Freight Dieseil, 25% improvement</t>
  </si>
  <si>
    <t>TRF25DSL2</t>
  </si>
  <si>
    <t>Rail Freight Dieseil, 25% improvement-MSW</t>
  </si>
  <si>
    <t>TRFAPU</t>
  </si>
  <si>
    <t>Rail Freight Diesel with APU</t>
  </si>
  <si>
    <t>TRFB20</t>
  </si>
  <si>
    <t>Rail Freight, Biodiesel</t>
  </si>
  <si>
    <t>TRFLNG</t>
  </si>
  <si>
    <t>Rail Freight, LNG</t>
  </si>
  <si>
    <t>TSDSHE</t>
  </si>
  <si>
    <t>Water Shipping, Residual Oil exisiting</t>
  </si>
  <si>
    <t>TSDSH10</t>
  </si>
  <si>
    <t>Water Shipping, Residual Oil, 2010</t>
  </si>
  <si>
    <t>TSDSHFI15</t>
  </si>
  <si>
    <t>Water Shipping, Resid Fuel Inject, 2015</t>
  </si>
  <si>
    <t>TSDSHBL15</t>
  </si>
  <si>
    <t>Water Shipping, Resid Bubble Lub, 2015</t>
  </si>
  <si>
    <t>TSDSLE</t>
  </si>
  <si>
    <t>Water Shipping, Diesel exisiting</t>
  </si>
  <si>
    <t>TSDSL10</t>
  </si>
  <si>
    <t>Water Shipping, Diesel,2010</t>
  </si>
  <si>
    <t>TSDSLFI15</t>
  </si>
  <si>
    <t>Water Shipping, Diesel Fuel Inj, 2015</t>
  </si>
  <si>
    <t>TSDSLHE15</t>
  </si>
  <si>
    <t>Water Shipping, Diesel, Hybrid Electric, 2015</t>
  </si>
  <si>
    <t>* Criteria Pollutant Emission Collectors</t>
  </si>
  <si>
    <t>SETRDSL</t>
  </si>
  <si>
    <t>Emissions: DSL Rail fuel to TRDSL</t>
  </si>
  <si>
    <t>PJ/a</t>
  </si>
  <si>
    <t>SETRB20</t>
  </si>
  <si>
    <t>Emissions: B20 Rail fuel to TRB20X</t>
  </si>
  <si>
    <t>* DMY Backstop Technologies</t>
  </si>
  <si>
    <t>ZZTB</t>
  </si>
  <si>
    <t>Transportation Buses - ZZINFES backstop</t>
  </si>
  <si>
    <t>ZZTC</t>
  </si>
  <si>
    <t>Transportation Commercial Trucks - ZZINFES backstop</t>
  </si>
  <si>
    <t>ZZTM</t>
  </si>
  <si>
    <t>Transportation Medium Trucks - ZZINFES backstop</t>
  </si>
  <si>
    <t>ZZTHS</t>
  </si>
  <si>
    <t>Transportation Heavy Short Haul - ZZINFES backstop</t>
  </si>
  <si>
    <t>ZZTRP</t>
  </si>
  <si>
    <t>Transportation Rail Passenger - ZZINFES backstop</t>
  </si>
  <si>
    <t>ZZTHL</t>
  </si>
  <si>
    <t>Transportation Rail Freight - ZZINFES backstop</t>
  </si>
  <si>
    <t>ZZTS</t>
  </si>
  <si>
    <t>Transportation Water Shipping - ZZINFES backstop</t>
  </si>
  <si>
    <t>ZZTSW</t>
  </si>
  <si>
    <t>Transportation MSW  - ZZINFES backstop</t>
  </si>
  <si>
    <t>TechData</t>
  </si>
  <si>
    <t>LIFE</t>
  </si>
  <si>
    <t>EFF</t>
  </si>
  <si>
    <t>INVCOST</t>
  </si>
  <si>
    <t>FIXOM</t>
  </si>
  <si>
    <t>bn-pass-miles, bn-pmt/a</t>
  </si>
  <si>
    <t>*BUSES</t>
  </si>
  <si>
    <t>bn-vmt, bn-vmt/a</t>
  </si>
  <si>
    <t>Bus, Exisiting CNG</t>
  </si>
  <si>
    <t>*Commercial Trucks</t>
  </si>
  <si>
    <t>*Medium Duty Trucks</t>
  </si>
  <si>
    <t>*Heavy Duty Trucks</t>
  </si>
  <si>
    <t>*Passenger Rail</t>
  </si>
  <si>
    <t>*Freight Rail</t>
  </si>
  <si>
    <t>bn-t-m, bn-ton-m/a</t>
  </si>
  <si>
    <t>*Emissions Collectors</t>
  </si>
  <si>
    <t>PJ, PJ/a</t>
  </si>
  <si>
    <t>* ZZ (DMD) Backstop Technologies</t>
  </si>
  <si>
    <t>ZZDMY</t>
  </si>
  <si>
    <t>ENV_ACT</t>
  </si>
  <si>
    <t>2015-2055</t>
  </si>
  <si>
    <t>PJ,PJ/a</t>
  </si>
  <si>
    <t>CO2T</t>
  </si>
  <si>
    <t>Type</t>
  </si>
  <si>
    <t>Fuel</t>
  </si>
  <si>
    <t>Bus</t>
  </si>
  <si>
    <t>DSL</t>
  </si>
  <si>
    <t>GSL</t>
  </si>
  <si>
    <t>CNG</t>
  </si>
  <si>
    <t>Commercial Truck</t>
  </si>
  <si>
    <t>Medium duty</t>
  </si>
  <si>
    <t>LPG</t>
  </si>
  <si>
    <t>Heavy duty short haul truck</t>
  </si>
  <si>
    <t>Heavy duty long haul truck</t>
  </si>
  <si>
    <t>B20</t>
  </si>
  <si>
    <t>H2</t>
  </si>
  <si>
    <t>E85</t>
  </si>
  <si>
    <t>LNG</t>
  </si>
  <si>
    <t>This worksheet organizes the demands (from TransDemand) by Region.</t>
  </si>
  <si>
    <t>R1 - New England/Mid-Atlantic</t>
  </si>
  <si>
    <t>All air transport service demand (billion seat miles)</t>
  </si>
  <si>
    <t>Bus services (billion vmt)</t>
  </si>
  <si>
    <t>Medium Duty Trucks - Class 3-6 (billion vmt)</t>
  </si>
  <si>
    <t>Heavy trucks Short Haul Class 7-8 (billion vmt)</t>
  </si>
  <si>
    <t>Heavy Trucks Long Haul Class 7-8 (billion vmt)</t>
  </si>
  <si>
    <t>Freight services by rail (billion ton miles)</t>
  </si>
  <si>
    <t>Passenger services by rail (billion pmt)</t>
  </si>
  <si>
    <t>Marine energy services (billion ton miles)</t>
  </si>
  <si>
    <t>Commerical Trucks (billion vmt)</t>
  </si>
  <si>
    <t>Transportation of MSW (billion vmt)</t>
  </si>
  <si>
    <t>R2 - Brooklyn</t>
  </si>
  <si>
    <t>R3 - Bronx</t>
  </si>
  <si>
    <t>R4 - Manhattan</t>
  </si>
  <si>
    <t>R5 - Staten Island</t>
  </si>
  <si>
    <t>R6 - Queens</t>
  </si>
  <si>
    <t>This worksheet contains data from AEO tables which are used to establish national demands and some constraint data.</t>
  </si>
  <si>
    <t>Also Table 46&amp;66 below.</t>
  </si>
  <si>
    <t xml:space="preserve"> Table  67.  Freight Transportation Energy Use</t>
  </si>
  <si>
    <t>This data is used to develop efficiencies for truck technologies</t>
  </si>
  <si>
    <t>From AEO 2010</t>
  </si>
  <si>
    <t>(2005 retained from AEO 2008)</t>
  </si>
  <si>
    <t/>
  </si>
  <si>
    <t>2008-</t>
  </si>
  <si>
    <t>2006</t>
  </si>
  <si>
    <t>2007</t>
  </si>
  <si>
    <t>2008</t>
  </si>
  <si>
    <t>2009</t>
  </si>
  <si>
    <t>2011</t>
  </si>
  <si>
    <t>2012</t>
  </si>
  <si>
    <t>2013</t>
  </si>
  <si>
    <t>2014</t>
  </si>
  <si>
    <t>2016</t>
  </si>
  <si>
    <t>2017</t>
  </si>
  <si>
    <t>2018</t>
  </si>
  <si>
    <t>2019</t>
  </si>
  <si>
    <t>2021</t>
  </si>
  <si>
    <t>2022</t>
  </si>
  <si>
    <t>2023</t>
  </si>
  <si>
    <t>2024</t>
  </si>
  <si>
    <t>2026</t>
  </si>
  <si>
    <t>2027</t>
  </si>
  <si>
    <t>2028</t>
  </si>
  <si>
    <t>2029</t>
  </si>
  <si>
    <t>Table 68</t>
  </si>
  <si>
    <t>Existing Trucks by Size Class</t>
  </si>
  <si>
    <t>VMT Shares</t>
  </si>
  <si>
    <t xml:space="preserve">  Vehicle Miles Traveled (billion miles)</t>
  </si>
  <si>
    <t xml:space="preserve">    Medium</t>
  </si>
  <si>
    <t xml:space="preserve">      Diesel</t>
  </si>
  <si>
    <t xml:space="preserve">      Gasoline</t>
  </si>
  <si>
    <t xml:space="preserve">      Liquefied Petroleum Gas</t>
  </si>
  <si>
    <t xml:space="preserve">      Compressed Natural Gas</t>
  </si>
  <si>
    <t xml:space="preserve">        Medium Subtotal</t>
  </si>
  <si>
    <t xml:space="preserve">    Heavy</t>
  </si>
  <si>
    <t xml:space="preserve">        Heavy Subtotal</t>
  </si>
  <si>
    <t xml:space="preserve">    Total Vehicle Miles Traveled</t>
  </si>
  <si>
    <t xml:space="preserve">  Consumption (trillion Btu)</t>
  </si>
  <si>
    <t>Energy Shares</t>
  </si>
  <si>
    <t xml:space="preserve">    Light Medium</t>
  </si>
  <si>
    <t xml:space="preserve">    Medium and Heavy Total</t>
  </si>
  <si>
    <t xml:space="preserve">        Total</t>
  </si>
  <si>
    <t xml:space="preserve">  Fuel Efficiency (gasoline equivalent MPG)</t>
  </si>
  <si>
    <t xml:space="preserve">        Medium Average</t>
  </si>
  <si>
    <t xml:space="preserve">        Heavy Average</t>
  </si>
  <si>
    <t xml:space="preserve">    Average</t>
  </si>
  <si>
    <t xml:space="preserve">  Stock (millions)</t>
  </si>
  <si>
    <t xml:space="preserve">    Total Stock</t>
  </si>
  <si>
    <t>New Trucks by Size Class</t>
  </si>
  <si>
    <t xml:space="preserve">  Sales (millions)</t>
  </si>
  <si>
    <t xml:space="preserve">    Total Sales</t>
  </si>
  <si>
    <t>Railroads</t>
  </si>
  <si>
    <t xml:space="preserve"> Ton Miles by Rail (billion)</t>
  </si>
  <si>
    <t xml:space="preserve"> Fuel Efficiency (ton miles per thousand Btu)</t>
  </si>
  <si>
    <t xml:space="preserve"> Fuel Consumption (trillion Btu)</t>
  </si>
  <si>
    <t xml:space="preserve">   Distillate (diesel)</t>
  </si>
  <si>
    <t xml:space="preserve">   Residual Oil</t>
  </si>
  <si>
    <t>- -</t>
  </si>
  <si>
    <t xml:space="preserve">   Electricity</t>
  </si>
  <si>
    <t>Domestic Shipping</t>
  </si>
  <si>
    <t xml:space="preserve"> Ton Miles Shipping (billion)</t>
  </si>
  <si>
    <t xml:space="preserve">   Motor Gasoline</t>
  </si>
  <si>
    <t>International Shipping</t>
  </si>
  <si>
    <t xml:space="preserve"> Gross Trade (billion 2000 $)</t>
  </si>
  <si>
    <t xml:space="preserve"> Exports (billion 2000 dollars)</t>
  </si>
  <si>
    <t xml:space="preserve"> Imports (billion 2000 dollars)</t>
  </si>
  <si>
    <t xml:space="preserve">    MPG = Miles per gallon.</t>
  </si>
  <si>
    <t xml:space="preserve">    Btu = British thermal unit.</t>
  </si>
  <si>
    <t xml:space="preserve">    - - = Not applicable.</t>
  </si>
  <si>
    <t xml:space="preserve">    Sources:  2009 and 2010 values derived using:  Oak Ridge National Laboratory,</t>
  </si>
  <si>
    <t>Transportation Energy Data Book:  Edition 30 and Annual (Oak Ridge, TN, 2011);</t>
  </si>
  <si>
    <t>U.S. Department of Commerce, Bureau of the Census, "Vehicle Inventory and Use Survey," EC02TV (Washington, DC, December 2004);</t>
  </si>
  <si>
    <t>Federal Highway Administration, Highway Statistics 2009 (Washington, DC, April 2011); and Energy</t>
  </si>
  <si>
    <t>Information Administration (EIA), AEO2012 National Energy Modeling System run ref2012.d020112c.  Projections:  EIA,</t>
  </si>
  <si>
    <t>AEO2012 National Energy Modeling System run ref2012.d020112c.</t>
  </si>
  <si>
    <t xml:space="preserve"> Table  66.  Air Travel Energy Use</t>
  </si>
  <si>
    <t>2030-2035</t>
  </si>
  <si>
    <t xml:space="preserve">  US Revenue Passenger Miles (billion miles)</t>
  </si>
  <si>
    <t xml:space="preserve">  Load Factor (fraction of seats filled)</t>
  </si>
  <si>
    <t xml:space="preserve">  Freight Revenue Ton Miles (billion miles)</t>
  </si>
  <si>
    <t xml:space="preserve"> Table  46.  Transportation Sector Energy Use by Fuel Type Within a Mode</t>
  </si>
  <si>
    <t>(Trillion Btu)</t>
  </si>
  <si>
    <t>Initial</t>
  </si>
  <si>
    <t>From AEO 2014</t>
  </si>
  <si>
    <t>Lower</t>
  </si>
  <si>
    <t>Fuel Shares</t>
  </si>
  <si>
    <t>Bound</t>
  </si>
  <si>
    <t>2010-</t>
  </si>
  <si>
    <t>Fuel Splits</t>
  </si>
  <si>
    <t>VMT splits</t>
  </si>
  <si>
    <t>Table 46 (trillion BTUS)</t>
  </si>
  <si>
    <t>Commercial Light Trucks 1/</t>
  </si>
  <si>
    <t xml:space="preserve"> Motor Gasoline</t>
  </si>
  <si>
    <t xml:space="preserve"> Distillate Fuel Oil (diesel)</t>
  </si>
  <si>
    <t xml:space="preserve">    Total</t>
  </si>
  <si>
    <t>Freight Trucks 2/</t>
  </si>
  <si>
    <t xml:space="preserve"> Distillate (diesel)</t>
  </si>
  <si>
    <t xml:space="preserve"> Compressed Natural Gas</t>
  </si>
  <si>
    <t xml:space="preserve"> Liquefied Petroleum Gas</t>
  </si>
  <si>
    <t>Total</t>
  </si>
  <si>
    <t>Freight Rail 3/</t>
  </si>
  <si>
    <t xml:space="preserve"> Liquified Natural Gas</t>
  </si>
  <si>
    <t xml:space="preserve"> Residual Oil</t>
  </si>
  <si>
    <t xml:space="preserve"> CNG</t>
  </si>
  <si>
    <t xml:space="preserve">  Liquified Natural Gas</t>
  </si>
  <si>
    <t>Air Transportation</t>
  </si>
  <si>
    <t xml:space="preserve"> Jet Fuel</t>
  </si>
  <si>
    <t xml:space="preserve"> Aviation Gasoline</t>
  </si>
  <si>
    <t>Miscellaneous Transportation</t>
  </si>
  <si>
    <t xml:space="preserve"> Military Use</t>
  </si>
  <si>
    <t xml:space="preserve">   Jet Fuel</t>
  </si>
  <si>
    <t xml:space="preserve">   Residual Fuel</t>
  </si>
  <si>
    <t xml:space="preserve">   Distillate</t>
  </si>
  <si>
    <t>2035-2055</t>
  </si>
  <si>
    <t>Bus Transportation</t>
  </si>
  <si>
    <t>shares</t>
  </si>
  <si>
    <t xml:space="preserve">   Transit Bus</t>
  </si>
  <si>
    <t xml:space="preserve">     Motor Gasoline</t>
  </si>
  <si>
    <t xml:space="preserve">     Distillate Fuel Oil (diesel)</t>
  </si>
  <si>
    <t xml:space="preserve">     Compressed Natural Gas</t>
  </si>
  <si>
    <t xml:space="preserve">     Liquefied Petroleum Gases</t>
  </si>
  <si>
    <t xml:space="preserve">       Total Transit Bus</t>
  </si>
  <si>
    <t xml:space="preserve">   Intercity Bus</t>
  </si>
  <si>
    <t xml:space="preserve">       Total Intercity Bus</t>
  </si>
  <si>
    <t xml:space="preserve">   School Bus</t>
  </si>
  <si>
    <t xml:space="preserve">       Total School Bus</t>
  </si>
  <si>
    <t xml:space="preserve">         Total Bus</t>
  </si>
  <si>
    <t>Total Bus adjust CNG BTU to Diesel</t>
  </si>
  <si>
    <t>Rail Transportation</t>
  </si>
  <si>
    <t xml:space="preserve">  Intercity Rail Electricity</t>
  </si>
  <si>
    <t xml:space="preserve">  Intercity Rail  Diesel</t>
  </si>
  <si>
    <t xml:space="preserve">  Transit Rail Electricity</t>
  </si>
  <si>
    <t xml:space="preserve">  Commuter Rail Electricity</t>
  </si>
  <si>
    <t xml:space="preserve">  Commuter Rail Diesel</t>
  </si>
  <si>
    <t xml:space="preserve">     Total</t>
  </si>
  <si>
    <t>Intercity Ratio elc to diesel</t>
  </si>
  <si>
    <t>elc to diesel input for intercity rail</t>
  </si>
  <si>
    <t>Commuter Fraction diesel</t>
  </si>
  <si>
    <t>Recreation Boats</t>
  </si>
  <si>
    <t xml:space="preserve">   Gasoline</t>
  </si>
  <si>
    <t xml:space="preserve">   Distillate Fuel Oil (diesel)</t>
  </si>
  <si>
    <t>Lubricants</t>
  </si>
  <si>
    <t>Pipeline Fuel Natural Gas</t>
  </si>
  <si>
    <t>Total Miscellaneous</t>
  </si>
  <si>
    <t>Total Consumption</t>
  </si>
  <si>
    <t>AEO 2014</t>
  </si>
  <si>
    <t xml:space="preserve"> Table   7.  Transportation Sector Key Indicators and Delivered Energy Consumption</t>
  </si>
  <si>
    <t>2025-</t>
  </si>
  <si>
    <t>Key Indicators</t>
  </si>
  <si>
    <t>Travel Indicators</t>
  </si>
  <si>
    <t xml:space="preserve"> (billion vehicle miles traveled)</t>
  </si>
  <si>
    <t xml:space="preserve">   Light-Duty Vehicles &lt; 8500 pounds</t>
  </si>
  <si>
    <t xml:space="preserve">   Commercial Light Trucks 1/</t>
  </si>
  <si>
    <t xml:space="preserve">   Medium Duty Trucks - Class 3-6</t>
  </si>
  <si>
    <t xml:space="preserve">   Freight Trucks &gt; 10000 pounds</t>
  </si>
  <si>
    <t xml:space="preserve"> (billion seat miles available)</t>
  </si>
  <si>
    <t xml:space="preserve">   Air</t>
  </si>
  <si>
    <t xml:space="preserve"> (billion ton miles traveled)</t>
  </si>
  <si>
    <t xml:space="preserve">   Rail</t>
  </si>
  <si>
    <t xml:space="preserve">   Domestic Shipping</t>
  </si>
  <si>
    <t>Table 45.  Transportation Sector Energy Use by Mode and Type</t>
  </si>
  <si>
    <t>(trillion Btu)</t>
  </si>
  <si>
    <t xml:space="preserve"> Mode and Type</t>
  </si>
  <si>
    <t xml:space="preserve"> Non-Highway</t>
  </si>
  <si>
    <t xml:space="preserve">   Air 3/</t>
  </si>
  <si>
    <t xml:space="preserve">     General Aviation</t>
  </si>
  <si>
    <t xml:space="preserve">     Domestic Air Carriers</t>
  </si>
  <si>
    <t xml:space="preserve">     International Air Carriers</t>
  </si>
  <si>
    <t xml:space="preserve">     Freight Carriers</t>
  </si>
  <si>
    <t>Jet fuel use breakdown</t>
  </si>
  <si>
    <t>Passenger Jet</t>
  </si>
  <si>
    <t>Freight</t>
  </si>
  <si>
    <t>General Aviation (jet fuel)</t>
  </si>
  <si>
    <t>Compare to C189</t>
  </si>
  <si>
    <t xml:space="preserve"> Residual Fuel Oil</t>
  </si>
  <si>
    <t>This worksheet determines the regional demands using revised national demands and regional shares of end-use services.</t>
  </si>
  <si>
    <t>National Demand</t>
  </si>
  <si>
    <t>Name</t>
  </si>
  <si>
    <t>Description</t>
  </si>
  <si>
    <t>Freight trucks - Short Haul (billion vmt)</t>
  </si>
  <si>
    <t>Frieght trucks - Long Haul (billion vmt)</t>
  </si>
  <si>
    <t>Passenger services by rail (billion pass-miles)</t>
  </si>
  <si>
    <t>Commercial trucks (billion vmt)</t>
  </si>
  <si>
    <t>Note:  Column C below is used to calculate regional resids</t>
  </si>
  <si>
    <t>Seat Air Miles (billions)</t>
  </si>
  <si>
    <t>Region</t>
  </si>
  <si>
    <t>NE</t>
  </si>
  <si>
    <t>EPAUS9R-R2</t>
  </si>
  <si>
    <t>NYC Totals</t>
  </si>
  <si>
    <t>Freight - THS VMT</t>
  </si>
  <si>
    <t xml:space="preserve">Freight- Long Haul Billion VMT </t>
  </si>
  <si>
    <t>MA</t>
  </si>
  <si>
    <t>SA</t>
  </si>
  <si>
    <t>ESC</t>
  </si>
  <si>
    <t>ENC</t>
  </si>
  <si>
    <t>WSC</t>
  </si>
  <si>
    <t>WNC</t>
  </si>
  <si>
    <t>M</t>
  </si>
  <si>
    <t>P</t>
  </si>
  <si>
    <t>Freight Rail ton-miles</t>
  </si>
  <si>
    <t>Passenger Rail billion pass-miles</t>
  </si>
  <si>
    <t>Shipping billion ton-miles</t>
  </si>
  <si>
    <t>Buses billion vehicle-miles</t>
  </si>
  <si>
    <t>Commercial Trucks billion vehicle-miles</t>
  </si>
  <si>
    <t>Medium Duty Trucks billion vehicle-miles</t>
  </si>
  <si>
    <t>Transportation of MSW billion vehicle-miles</t>
  </si>
  <si>
    <t>This worksheet contains the regional share data and draws national demands from AEO to determine revised national demands for the population of interest (see Pop worksheet).</t>
  </si>
  <si>
    <t>EMISSIONS INTENSITY FACTORS</t>
  </si>
  <si>
    <t>EPA National Markal Transport Sector - Base Scenario (AEO or Census Population Projections)</t>
  </si>
  <si>
    <t>Transportation</t>
  </si>
  <si>
    <t>GJ Consumed</t>
  </si>
  <si>
    <t>GJ/Liter</t>
  </si>
  <si>
    <t>Liters Consumed</t>
  </si>
  <si>
    <t>Gal. Consumed</t>
  </si>
  <si>
    <t>km/liter</t>
  </si>
  <si>
    <t>Distance km</t>
  </si>
  <si>
    <t>MPGe</t>
  </si>
  <si>
    <t>Miles Traveled</t>
  </si>
  <si>
    <t>Source</t>
  </si>
  <si>
    <t>Demand</t>
  </si>
  <si>
    <t>Biofuel</t>
  </si>
  <si>
    <t>CNG-Transit Bus</t>
  </si>
  <si>
    <t>NYC GHG Inventory 14</t>
  </si>
  <si>
    <t>All air transport service demand (billion seat miles)^</t>
  </si>
  <si>
    <t>Diesel-Commuter Rail</t>
  </si>
  <si>
    <t>Railtec Article</t>
  </si>
  <si>
    <t>Diesel-Heavy Trucks</t>
  </si>
  <si>
    <t>Diesel-Light Trucks</t>
  </si>
  <si>
    <t>Heavy trucks greater than 10,000 lbs (billion vmt)*</t>
  </si>
  <si>
    <t>Diesel-Non Bus</t>
  </si>
  <si>
    <t>Diesel-Cars</t>
  </si>
  <si>
    <t>Diesel-Solid Waste</t>
  </si>
  <si>
    <t>Diesel-Transit Bus</t>
  </si>
  <si>
    <t>Diesel-Ships &amp; Boats</t>
  </si>
  <si>
    <t>* In MARKAL Heavy trucks are split between short and long haul</t>
  </si>
  <si>
    <t>Diesel-Other Off-Road Vehicles</t>
  </si>
  <si>
    <t>These demands are derived from the NYC GHG Inventory</t>
  </si>
  <si>
    <t>Electricity-Subway</t>
  </si>
  <si>
    <t>Ethanol (E100)</t>
  </si>
  <si>
    <t>Passenger Transit and Planes</t>
  </si>
  <si>
    <t>Origin of Freight Shipments (2007 ton-miles)</t>
  </si>
  <si>
    <t>Trucks</t>
  </si>
  <si>
    <t>VIUS Trucks (2002 miles)</t>
  </si>
  <si>
    <t>NYC</t>
  </si>
  <si>
    <t>Gas-Light Trucks</t>
  </si>
  <si>
    <t>2002 Enplanements</t>
  </si>
  <si>
    <t>2005 Passenger Rail</t>
  </si>
  <si>
    <t>2005-2007 Bus Distribution</t>
  </si>
  <si>
    <t>Rail</t>
  </si>
  <si>
    <t>Marine</t>
  </si>
  <si>
    <t>Commercial</t>
  </si>
  <si>
    <t>Medium Duty</t>
  </si>
  <si>
    <t>Heavy Duty</t>
  </si>
  <si>
    <t>Heavy Duty- Long Haul</t>
  </si>
  <si>
    <t>Truck (%)</t>
  </si>
  <si>
    <t>Gas-Cars</t>
  </si>
  <si>
    <t>New England</t>
  </si>
  <si>
    <t>BK</t>
  </si>
  <si>
    <t>BrooklynBronx</t>
  </si>
  <si>
    <t>Transportation VMT Estimates</t>
  </si>
  <si>
    <t>km/year</t>
  </si>
  <si>
    <t>Gallons/year</t>
  </si>
  <si>
    <t>MPG Rating</t>
  </si>
  <si>
    <t>Total VMT</t>
  </si>
  <si>
    <t>VMT/Person</t>
  </si>
  <si>
    <t>References</t>
  </si>
  <si>
    <t>BX</t>
  </si>
  <si>
    <t>Bronx</t>
  </si>
  <si>
    <t xml:space="preserve">Biofuel </t>
  </si>
  <si>
    <t>DOT RITA Bus Fuel Economy</t>
  </si>
  <si>
    <t>MH</t>
  </si>
  <si>
    <t>Manhattan</t>
  </si>
  <si>
    <t>CNG-Transit Bus (GJ)</t>
  </si>
  <si>
    <t>Assumes 2.78 kBut/PMT</t>
  </si>
  <si>
    <t>SI</t>
  </si>
  <si>
    <t>Staten Island</t>
  </si>
  <si>
    <t xml:space="preserve">Diesel-Commuter Rail </t>
  </si>
  <si>
    <t>361.1 million miles by NYC subway in 2014</t>
  </si>
  <si>
    <t>QN</t>
  </si>
  <si>
    <t>Queens</t>
  </si>
  <si>
    <t xml:space="preserve">Diesel-Heavy Trucks </t>
  </si>
  <si>
    <t>Short/Long</t>
  </si>
  <si>
    <t xml:space="preserve">Diesel-Light Trucks </t>
  </si>
  <si>
    <t xml:space="preserve">Diesel-Non Bus </t>
  </si>
  <si>
    <t xml:space="preserve">Diesel-Cars </t>
  </si>
  <si>
    <t xml:space="preserve">MA_Airport service demand </t>
  </si>
  <si>
    <t xml:space="preserve">Diesel-Solid Waste </t>
  </si>
  <si>
    <t>Fuel consumption (LT)</t>
  </si>
  <si>
    <t xml:space="preserve">Diesel-Transit Bus </t>
  </si>
  <si>
    <t>Air Seat miles-capita</t>
  </si>
  <si>
    <t xml:space="preserve">Diesel-Ships &amp; Boats </t>
  </si>
  <si>
    <t xml:space="preserve">Billion Seat-miles </t>
  </si>
  <si>
    <t xml:space="preserve">Diesel-Other Off-Road Vehicles </t>
  </si>
  <si>
    <t>Electricity-Subway (GJ)</t>
  </si>
  <si>
    <t>Freight miles/capita</t>
  </si>
  <si>
    <t xml:space="preserve">Ethanol </t>
  </si>
  <si>
    <t xml:space="preserve">Billion freight-miles </t>
  </si>
  <si>
    <t xml:space="preserve">Gas-Light Trucks </t>
  </si>
  <si>
    <t xml:space="preserve">Gas-Cars </t>
  </si>
  <si>
    <t>Medium Freight miles/capita</t>
  </si>
  <si>
    <t>LDV Total</t>
  </si>
  <si>
    <t>Census Street Blog Post on NYC Car Ownership</t>
  </si>
  <si>
    <t>Billion Medium freight-miles</t>
  </si>
  <si>
    <t>NYC Car Ownership by StatsBee</t>
  </si>
  <si>
    <t>Subway Ridership</t>
  </si>
  <si>
    <t>Subway Miles</t>
  </si>
  <si>
    <t>Miles/GJ</t>
  </si>
  <si>
    <t>NYC Estimated VMT/person-day</t>
  </si>
  <si>
    <t>Rail freight ton-miles/capita</t>
  </si>
  <si>
    <t>NYC Total PMT</t>
  </si>
  <si>
    <t>Subway % of PMT</t>
  </si>
  <si>
    <t>Subway BN-PMT</t>
  </si>
  <si>
    <t>NYC Transit Passenger Miles Traveled</t>
  </si>
  <si>
    <t>Rail ton-miles _MA</t>
  </si>
  <si>
    <t>NYC Car Ownership</t>
  </si>
  <si>
    <t>2010 Population</t>
  </si>
  <si>
    <t>Households</t>
  </si>
  <si>
    <t>% Car Ownership</t>
  </si>
  <si>
    <t>Cars/Household</t>
  </si>
  <si>
    <t>Total Vehicles</t>
  </si>
  <si>
    <t>Cars per Capita</t>
  </si>
  <si>
    <t>Cars/100 People</t>
  </si>
  <si>
    <t>Subway Use (%)</t>
  </si>
  <si>
    <t>Brooklyn</t>
  </si>
  <si>
    <t>Rail pass-miles/capita</t>
  </si>
  <si>
    <t>Rail Pass miles</t>
  </si>
  <si>
    <t>Shipping thousand-tons/capita</t>
  </si>
  <si>
    <t xml:space="preserve">Domestic shipping </t>
  </si>
  <si>
    <t>NYC Total</t>
  </si>
  <si>
    <t>Bus VMT/capita</t>
  </si>
  <si>
    <t xml:space="preserve">Bus billion VMT </t>
  </si>
  <si>
    <t>Derived End-service Demands</t>
  </si>
  <si>
    <t>Bus services (BN-VMT)^</t>
  </si>
  <si>
    <t>Passenger Rail (BN-PMT)^</t>
  </si>
  <si>
    <t>1 gal</t>
  </si>
  <si>
    <t>BTU</t>
  </si>
  <si>
    <t>DOT conversion factor</t>
  </si>
  <si>
    <t>This worksheet contains various population projections for use in scenarios.</t>
  </si>
  <si>
    <t xml:space="preserve">Note: Census projections are used with AEO data to determine demand-per-capita values.  </t>
  </si>
  <si>
    <t>Rows 9-17 hold the projections of interest for determining regional demands shown in CommData.</t>
  </si>
  <si>
    <t>To investigate a different population projection, paste the projection into rows 9-17, matching the region order as shown.</t>
  </si>
  <si>
    <t>Population Projections for calculations</t>
  </si>
  <si>
    <t>Supply Region</t>
  </si>
  <si>
    <t>NE/MA</t>
  </si>
  <si>
    <t>MN</t>
  </si>
  <si>
    <t>Population Projections for A1 Scenario*</t>
  </si>
  <si>
    <t>Middle Atlantic</t>
  </si>
  <si>
    <t>South Atlantic</t>
  </si>
  <si>
    <t>East South Central</t>
  </si>
  <si>
    <t>East North Central</t>
  </si>
  <si>
    <t>West South Central</t>
  </si>
  <si>
    <t>West North Central</t>
  </si>
  <si>
    <t>Mountain</t>
  </si>
  <si>
    <t>Pacific</t>
  </si>
  <si>
    <t>Total US</t>
  </si>
  <si>
    <t>Population Projections Based on Census Projections</t>
  </si>
  <si>
    <t>Total US (millions)</t>
  </si>
  <si>
    <t>* A1 scenario from ICLUS project.  ICLUS Pacific region has been adjusted to include Alaska and Hawaii projects based on Census projections.</t>
  </si>
  <si>
    <t>This worksheet contains the raw data to calculate national demands and regional shares for bus and passenger rail services.</t>
  </si>
  <si>
    <t>Note: National demands also use data from the AEO table.</t>
  </si>
  <si>
    <t>NATIONAL DEMANDS</t>
  </si>
  <si>
    <t>Passenger services by rail (billion pass-m)</t>
  </si>
  <si>
    <t xml:space="preserve">  Intercity Rail (Elec &amp; Diesel)</t>
  </si>
  <si>
    <t>Transit Rail (ELC)</t>
  </si>
  <si>
    <t>Source: NYC MTA</t>
  </si>
  <si>
    <t xml:space="preserve">  Commuter Rail (Elc &amp; diesel)</t>
  </si>
  <si>
    <t>USA_Bus services (billion vmt)</t>
  </si>
  <si>
    <t>NYC_Bus services (billion vmt)</t>
  </si>
  <si>
    <t>NYC GHG Inventory</t>
  </si>
  <si>
    <t xml:space="preserve"> Transit Bus</t>
  </si>
  <si>
    <t xml:space="preserve"> Intercity Bus (diesel)</t>
  </si>
  <si>
    <t xml:space="preserve"> School Bus</t>
  </si>
  <si>
    <t xml:space="preserve">Rail calculations Rows 17 to 177.     </t>
  </si>
  <si>
    <t>Bus calculations Rows 122+</t>
  </si>
  <si>
    <t>Determine energy intensity of passenger rail (VMT per BTU) for demand calculation</t>
  </si>
  <si>
    <t>https://www.apta.com/resources/statistics/Documents/FactBook/2018-APTA-Fact-Book.pdf</t>
  </si>
  <si>
    <t>Public Transportation Fact Book, 2009</t>
  </si>
  <si>
    <t xml:space="preserve">1gal diesel = </t>
  </si>
  <si>
    <t>Data from American Public Transportation Association (APTA)</t>
  </si>
  <si>
    <t>1 kwh =</t>
  </si>
  <si>
    <t>National Totals 2005</t>
  </si>
  <si>
    <t>CNG gal equiv</t>
  </si>
  <si>
    <t>Unlinked passenger trips/yr</t>
  </si>
  <si>
    <t>Pass. Miles (millions)</t>
  </si>
  <si>
    <t>Avg Trip Length (miles)</t>
  </si>
  <si>
    <t>Avg. # Pass. Per vehicle mile</t>
  </si>
  <si>
    <t>Tot. Miles, Vehicle (million)</t>
  </si>
  <si>
    <t>Million Miles per Trillion BTUs</t>
  </si>
  <si>
    <t>Diesel Fuel (gal)</t>
  </si>
  <si>
    <t>Electricity (kwh)</t>
  </si>
  <si>
    <t>Diesel</t>
  </si>
  <si>
    <t>Electriicy</t>
  </si>
  <si>
    <t>Mode</t>
  </si>
  <si>
    <t>tBTU</t>
  </si>
  <si>
    <t>Commuter Rail</t>
  </si>
  <si>
    <t>= Aeo Commuter rails</t>
  </si>
  <si>
    <t>Heavy Rail</t>
  </si>
  <si>
    <t>=Aeo Transit rail category</t>
  </si>
  <si>
    <t>Light Rail</t>
  </si>
  <si>
    <t>Data from BTS Table 4-18 Amtrak 2005</t>
  </si>
  <si>
    <t>TED-28 Table 9.10 Amtrak 2005</t>
  </si>
  <si>
    <t>Total energy usage</t>
  </si>
  <si>
    <t>= approx Intercity</t>
  </si>
  <si>
    <t>Rail total miles(passenger or vehicle)</t>
  </si>
  <si>
    <t>Billion miles (passenger or vehicle)</t>
  </si>
  <si>
    <r>
      <t>(BTS)</t>
    </r>
    <r>
      <rPr>
        <sz val="8"/>
        <rFont val="Arial"/>
        <family val="2"/>
      </rPr>
      <t xml:space="preserve"> Bureau of Transportation Statistics, </t>
    </r>
    <r>
      <rPr>
        <i/>
        <sz val="8"/>
        <rFont val="Arial"/>
        <family val="2"/>
      </rPr>
      <t>National Transportation Statistics 2009</t>
    </r>
  </si>
  <si>
    <t>Determine regional distribution of rail services</t>
  </si>
  <si>
    <t>MARKAL Rail Definition Crosswalk</t>
  </si>
  <si>
    <t>Transit rail = subway = heavy rail</t>
  </si>
  <si>
    <t>Transit rail = streetcars = light rail</t>
  </si>
  <si>
    <t>Regional  vehicle miles from Table 4.4 and APTA Table. Intercity vehicle miles based on boardings from Table 4.5 and vehicle from TED Table 9.10</t>
  </si>
  <si>
    <t>Commuter = passanger train = commuter rail</t>
  </si>
  <si>
    <t>Motor bus</t>
  </si>
  <si>
    <t>Commuter rail</t>
  </si>
  <si>
    <t>Intercity</t>
  </si>
  <si>
    <t>Total Rail</t>
  </si>
  <si>
    <t>Mode Distribution</t>
  </si>
  <si>
    <t>Intercity rail = AMTRAK</t>
  </si>
  <si>
    <t>Boardings</t>
  </si>
  <si>
    <t>Frac</t>
  </si>
  <si>
    <t>Miles</t>
  </si>
  <si>
    <t xml:space="preserve">Miles </t>
  </si>
  <si>
    <t>Transit</t>
  </si>
  <si>
    <t>Commuter</t>
  </si>
  <si>
    <t>CT,ME,MA,NH,RI,VT</t>
  </si>
  <si>
    <t>NY,NJ,PA</t>
  </si>
  <si>
    <t>DE,DC,GA,FL,MD,NC,SC,VA,WV</t>
  </si>
  <si>
    <t>AL,KY,MS,TN</t>
  </si>
  <si>
    <t>IL,IN,MI,OH,WI</t>
  </si>
  <si>
    <t>AR,LA,OK,TX</t>
  </si>
  <si>
    <t>IA,KS,MN,MO,NE,ND,SD</t>
  </si>
  <si>
    <t>AZ,CO,ID,MT,NV,NM,UT,WY</t>
  </si>
  <si>
    <t>AK,CA,HI,OR,WA</t>
  </si>
  <si>
    <t>Pass-miles</t>
  </si>
  <si>
    <t xml:space="preserve">A:  Commuter and Transit </t>
  </si>
  <si>
    <t>Table 4-4: Urban Transit Ridership by State and Transit Mode: 2005</t>
  </si>
  <si>
    <t>Source: Bureau of Transportation Statistics: State Transportation Statistics 2007</t>
  </si>
  <si>
    <t>Number of agencies reporting</t>
  </si>
  <si>
    <t>Annual unlinked passenger trips (thousands)</t>
  </si>
  <si>
    <t>Percent</t>
  </si>
  <si>
    <t>Boardings per year</t>
  </si>
  <si>
    <t>Boardings per region per year</t>
  </si>
  <si>
    <t>State</t>
  </si>
  <si>
    <t>Heavy rail</t>
  </si>
  <si>
    <t>Light rail</t>
  </si>
  <si>
    <t>Other</t>
  </si>
  <si>
    <t>Alabama</t>
  </si>
  <si>
    <t>AL</t>
  </si>
  <si>
    <t>Alaska</t>
  </si>
  <si>
    <t>AK</t>
  </si>
  <si>
    <t>Arizona</t>
  </si>
  <si>
    <t>AZ</t>
  </si>
  <si>
    <t>Arkansas</t>
  </si>
  <si>
    <t>AR</t>
  </si>
  <si>
    <t>California</t>
  </si>
  <si>
    <t>CA</t>
  </si>
  <si>
    <t>Colorado</t>
  </si>
  <si>
    <t>Connecticut</t>
  </si>
  <si>
    <t>CT</t>
  </si>
  <si>
    <t>Delaware</t>
  </si>
  <si>
    <t>DE</t>
  </si>
  <si>
    <t>District of Columbia</t>
  </si>
  <si>
    <t>DC</t>
  </si>
  <si>
    <t>Florida</t>
  </si>
  <si>
    <t>FL</t>
  </si>
  <si>
    <t>Georgia</t>
  </si>
  <si>
    <t>GA</t>
  </si>
  <si>
    <t>Hawaii</t>
  </si>
  <si>
    <t>HI</t>
  </si>
  <si>
    <t>Idaho</t>
  </si>
  <si>
    <t>ID</t>
  </si>
  <si>
    <t>Illinois</t>
  </si>
  <si>
    <t>IL</t>
  </si>
  <si>
    <t>Indiana</t>
  </si>
  <si>
    <t>IN</t>
  </si>
  <si>
    <t>Iowa</t>
  </si>
  <si>
    <t>IA</t>
  </si>
  <si>
    <t>Kansas</t>
  </si>
  <si>
    <t>KS</t>
  </si>
  <si>
    <t>Kentucky</t>
  </si>
  <si>
    <t>KY</t>
  </si>
  <si>
    <r>
      <t>Louisiana</t>
    </r>
    <r>
      <rPr>
        <vertAlign val="superscript"/>
        <sz val="8"/>
        <rFont val="Arial"/>
        <family val="2"/>
      </rPr>
      <t>1</t>
    </r>
  </si>
  <si>
    <t>LA</t>
  </si>
  <si>
    <t>Maine</t>
  </si>
  <si>
    <t>ME</t>
  </si>
  <si>
    <t>Maryland</t>
  </si>
  <si>
    <t>MD</t>
  </si>
  <si>
    <t>Massachusetts</t>
  </si>
  <si>
    <t>Michigan</t>
  </si>
  <si>
    <t>MI</t>
  </si>
  <si>
    <t>Minnesota</t>
  </si>
  <si>
    <t>Mississippi</t>
  </si>
  <si>
    <t>MS</t>
  </si>
  <si>
    <t>Missouri</t>
  </si>
  <si>
    <t>MO</t>
  </si>
  <si>
    <t>Montana</t>
  </si>
  <si>
    <t>MT</t>
  </si>
  <si>
    <t>Nebraska</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</si>
  <si>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</si>
  <si>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</si>
  <si>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</si>
  <si>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</si>
  <si>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</si>
  <si>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</si>
  <si>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</si>
  <si>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</si>
  <si>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</si>
  <si>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</si>
  <si>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</si>
  <si>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</si>
  <si>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</si>
  <si>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</si>
  <si>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</si>
  <si>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</si>
  <si>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</si>
  <si>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</si>
  <si>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</si>
  <si>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</si>
  <si>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</si>
  <si>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</si>
  <si>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</si>
  <si>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</si>
  <si>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</si>
  <si>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</si>
  <si>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</si>
  <si>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</si>
  <si>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</si>
  <si>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</si>
  <si>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</si>
  <si>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</si>
  <si>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</si>
  <si>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</si>
  <si>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</si>
  <si>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VE</t>
  </si>
  <si>
    <t>Virginia</t>
  </si>
  <si>
    <t>VA</t>
  </si>
  <si>
    <t>Washington</t>
  </si>
  <si>
    <t>WA</t>
  </si>
  <si>
    <t>West Virginia</t>
  </si>
  <si>
    <t>WV</t>
  </si>
  <si>
    <t>Wisconsin</t>
  </si>
  <si>
    <t>WI</t>
  </si>
  <si>
    <t>Wyoming</t>
  </si>
  <si>
    <t>WY</t>
  </si>
  <si>
    <r>
      <t>United States, total</t>
    </r>
    <r>
      <rPr>
        <vertAlign val="superscript"/>
        <sz val="8"/>
        <rFont val="Arial"/>
        <family val="2"/>
      </rPr>
      <t>2</t>
    </r>
  </si>
  <si>
    <t>US</t>
  </si>
  <si>
    <r>
      <t>1</t>
    </r>
    <r>
      <rPr>
        <sz val="8"/>
        <rFont val="Arial"/>
        <family val="2"/>
      </rPr>
      <t>The New Orleans Regional Transit Authority did not report data for 2005.</t>
    </r>
  </si>
  <si>
    <r>
      <t>2</t>
    </r>
    <r>
      <rPr>
        <sz val="8"/>
        <rFont val="Arial"/>
        <family val="2"/>
      </rPr>
      <t>Excludes Puerto Rico.</t>
    </r>
  </si>
  <si>
    <r>
      <t>NOTE:</t>
    </r>
    <r>
      <rPr>
        <sz val="8"/>
        <rFont val="Arial"/>
        <family val="2"/>
      </rPr>
      <t xml:space="preserve">  This table includes data from urban transit agencies that are required to report information to the federal government because they applied for or are direct beneficiaries of urbanized area formula grants (49 USC 5307).  Transit agencies with nine or fewer vehicles that would otherwise need to report under this definition typically receive a waiver from detailed reporting and, thus, are not necessarily included in the source database.  Data are assigned to the state of a transit agency's mailing address. Percentages may not add to 100 due to rounding. Ridership data may not add to national total due to rounding.</t>
    </r>
  </si>
  <si>
    <r>
      <t>SOURCE:</t>
    </r>
    <r>
      <rPr>
        <sz val="8"/>
        <rFont val="Arial"/>
        <family val="2"/>
      </rPr>
      <t xml:space="preserve"> U.S. Department of Transportation, Federal Transit Administration, National Transit Database, available at http://www.ntdprogram.com as of Nov. 16, 2007.</t>
    </r>
  </si>
  <si>
    <t>B.  Intercity</t>
  </si>
  <si>
    <t>Table 4-5: Top 50 Amtrak Stations by Number of Boardings: 2005 and 2006</t>
  </si>
  <si>
    <t>Fiscal Year 2005</t>
  </si>
  <si>
    <t>Fiscal Year 2006</t>
  </si>
  <si>
    <t>Station</t>
  </si>
  <si>
    <t>Rank</t>
  </si>
  <si>
    <t>Number of boardings</t>
  </si>
  <si>
    <t>Boardings per region 2005</t>
  </si>
  <si>
    <t>Regional Distribution</t>
  </si>
  <si>
    <r>
      <t>New York, NY</t>
    </r>
    <r>
      <rPr>
        <sz val="8"/>
        <rFont val="Arial"/>
        <family val="2"/>
      </rPr>
      <t xml:space="preserve"> </t>
    </r>
  </si>
  <si>
    <r>
      <t>Washington, DC</t>
    </r>
    <r>
      <rPr>
        <sz val="8"/>
        <rFont val="Arial"/>
        <family val="2"/>
      </rPr>
      <t xml:space="preserve"> </t>
    </r>
  </si>
  <si>
    <r>
      <t>Philadelphia, PA</t>
    </r>
    <r>
      <rPr>
        <sz val="8"/>
        <rFont val="Arial"/>
        <family val="2"/>
      </rPr>
      <t xml:space="preserve"> </t>
    </r>
  </si>
  <si>
    <r>
      <t>Chicago, IL</t>
    </r>
    <r>
      <rPr>
        <sz val="8"/>
        <rFont val="Arial"/>
        <family val="2"/>
      </rPr>
      <t xml:space="preserve"> </t>
    </r>
  </si>
  <si>
    <r>
      <t>Los Angeles, CA</t>
    </r>
    <r>
      <rPr>
        <sz val="8"/>
        <rFont val="Arial"/>
        <family val="2"/>
      </rPr>
      <t xml:space="preserve"> </t>
    </r>
  </si>
  <si>
    <t>Boston, MA</t>
  </si>
  <si>
    <r>
      <t>Sacramento, CA</t>
    </r>
    <r>
      <rPr>
        <sz val="8"/>
        <rFont val="Arial"/>
        <family val="2"/>
      </rPr>
      <t xml:space="preserve"> </t>
    </r>
  </si>
  <si>
    <t>Baltimore, MD</t>
  </si>
  <si>
    <r>
      <t>San Diego, CA</t>
    </r>
    <r>
      <rPr>
        <sz val="8"/>
        <rFont val="Arial"/>
        <family val="2"/>
      </rPr>
      <t xml:space="preserve"> </t>
    </r>
  </si>
  <si>
    <t>Albany-Rensselaer, NY</t>
  </si>
  <si>
    <r>
      <t>Wilmington, DE</t>
    </r>
    <r>
      <rPr>
        <sz val="8"/>
        <rFont val="Arial"/>
        <family val="2"/>
      </rPr>
      <t xml:space="preserve"> </t>
    </r>
  </si>
  <si>
    <t>one ninth of balance =</t>
  </si>
  <si>
    <t>New Haven, CT</t>
  </si>
  <si>
    <t>Since Table 4.5 represnts 77% of boardings, the</t>
  </si>
  <si>
    <r>
      <t>Newark, NJ</t>
    </r>
    <r>
      <rPr>
        <sz val="8"/>
        <rFont val="Arial"/>
        <family val="2"/>
      </rPr>
      <t xml:space="preserve"> </t>
    </r>
  </si>
  <si>
    <t>balance (23%) has been distributed evenly across regions (2.5%)</t>
  </si>
  <si>
    <r>
      <t>Seattle, WA</t>
    </r>
    <r>
      <rPr>
        <sz val="8"/>
        <rFont val="Arial"/>
        <family val="2"/>
      </rPr>
      <t xml:space="preserve"> </t>
    </r>
  </si>
  <si>
    <r>
      <t>Irvine, CA</t>
    </r>
    <r>
      <rPr>
        <sz val="8"/>
        <rFont val="Arial"/>
        <family val="2"/>
      </rPr>
      <t xml:space="preserve"> </t>
    </r>
  </si>
  <si>
    <t>Baltimore-Washington Intl. Airport, MD</t>
  </si>
  <si>
    <r>
      <t>Providence, RI</t>
    </r>
    <r>
      <rPr>
        <sz val="8"/>
        <rFont val="Arial"/>
        <family val="2"/>
      </rPr>
      <t xml:space="preserve"> </t>
    </r>
  </si>
  <si>
    <r>
      <t>Portland, OR</t>
    </r>
    <r>
      <rPr>
        <sz val="8"/>
        <rFont val="Arial"/>
        <family val="2"/>
      </rPr>
      <t xml:space="preserve"> </t>
    </r>
  </si>
  <si>
    <r>
      <t>Milwaukee, WI</t>
    </r>
    <r>
      <rPr>
        <sz val="8"/>
        <rFont val="Arial"/>
        <family val="2"/>
      </rPr>
      <t xml:space="preserve"> </t>
    </r>
  </si>
  <si>
    <r>
      <t>Emeryville, CA</t>
    </r>
    <r>
      <rPr>
        <sz val="8"/>
        <rFont val="Arial"/>
        <family val="2"/>
      </rPr>
      <t xml:space="preserve"> </t>
    </r>
  </si>
  <si>
    <t>Trenton, NJ</t>
  </si>
  <si>
    <r>
      <t>Solana Beach, CA</t>
    </r>
    <r>
      <rPr>
        <sz val="8"/>
        <rFont val="Arial"/>
        <family val="2"/>
      </rPr>
      <t xml:space="preserve"> </t>
    </r>
  </si>
  <si>
    <r>
      <t>Fullerton, CA</t>
    </r>
    <r>
      <rPr>
        <sz val="8"/>
        <rFont val="Arial"/>
        <family val="2"/>
      </rPr>
      <t xml:space="preserve"> </t>
    </r>
  </si>
  <si>
    <r>
      <t>Harrisburg, PA</t>
    </r>
    <r>
      <rPr>
        <sz val="8"/>
        <rFont val="Arial"/>
        <family val="2"/>
      </rPr>
      <t xml:space="preserve"> </t>
    </r>
  </si>
  <si>
    <t>Bakersfield, CA</t>
  </si>
  <si>
    <r>
      <t>Davis, CA</t>
    </r>
    <r>
      <rPr>
        <sz val="8"/>
        <rFont val="Arial"/>
        <family val="2"/>
      </rPr>
      <t xml:space="preserve"> </t>
    </r>
  </si>
  <si>
    <r>
      <t>Lancaster, PA</t>
    </r>
    <r>
      <rPr>
        <sz val="8"/>
        <rFont val="Arial"/>
        <family val="2"/>
      </rPr>
      <t xml:space="preserve"> </t>
    </r>
  </si>
  <si>
    <r>
      <t>Metropark, NJ</t>
    </r>
    <r>
      <rPr>
        <sz val="8"/>
        <rFont val="Arial"/>
        <family val="2"/>
      </rPr>
      <t xml:space="preserve"> </t>
    </r>
  </si>
  <si>
    <t>Anaheim, CA</t>
  </si>
  <si>
    <r>
      <t>Route 128, MA</t>
    </r>
    <r>
      <rPr>
        <sz val="8"/>
        <rFont val="Arial"/>
        <family val="2"/>
      </rPr>
      <t xml:space="preserve"> </t>
    </r>
  </si>
  <si>
    <t>Boston Back Bay, MA</t>
  </si>
  <si>
    <r>
      <t>Oceanside, CA</t>
    </r>
    <r>
      <rPr>
        <sz val="8"/>
        <rFont val="Arial"/>
        <family val="2"/>
      </rPr>
      <t xml:space="preserve"> </t>
    </r>
  </si>
  <si>
    <r>
      <t>Stamford, CT</t>
    </r>
    <r>
      <rPr>
        <sz val="8"/>
        <rFont val="Arial"/>
        <family val="2"/>
      </rPr>
      <t xml:space="preserve"> </t>
    </r>
  </si>
  <si>
    <t>Boston-North, MA</t>
  </si>
  <si>
    <r>
      <t>Martinez, CA</t>
    </r>
    <r>
      <rPr>
        <sz val="8"/>
        <rFont val="Arial"/>
        <family val="2"/>
      </rPr>
      <t xml:space="preserve"> </t>
    </r>
  </si>
  <si>
    <r>
      <t>Fresno, CA</t>
    </r>
    <r>
      <rPr>
        <sz val="8"/>
        <rFont val="Arial"/>
        <family val="2"/>
      </rPr>
      <t xml:space="preserve"> </t>
    </r>
  </si>
  <si>
    <r>
      <t>Oakland, CA</t>
    </r>
    <r>
      <rPr>
        <sz val="8"/>
        <rFont val="Arial"/>
        <family val="2"/>
      </rPr>
      <t xml:space="preserve"> </t>
    </r>
  </si>
  <si>
    <r>
      <t>Santa Barbara, CA</t>
    </r>
    <r>
      <rPr>
        <sz val="8"/>
        <rFont val="Arial"/>
        <family val="2"/>
      </rPr>
      <t xml:space="preserve"> </t>
    </r>
  </si>
  <si>
    <r>
      <t>San Juan Capistrano, CA</t>
    </r>
    <r>
      <rPr>
        <sz val="8"/>
        <rFont val="Arial"/>
        <family val="2"/>
      </rPr>
      <t xml:space="preserve"> </t>
    </r>
  </si>
  <si>
    <r>
      <t>Richmond (Staples Mill), VA</t>
    </r>
    <r>
      <rPr>
        <sz val="8"/>
        <rFont val="Arial"/>
        <family val="2"/>
      </rPr>
      <t xml:space="preserve"> </t>
    </r>
  </si>
  <si>
    <r>
      <t>Richmond, CA</t>
    </r>
    <r>
      <rPr>
        <sz val="8"/>
        <rFont val="Arial"/>
        <family val="2"/>
      </rPr>
      <t xml:space="preserve"> </t>
    </r>
  </si>
  <si>
    <r>
      <t>Lorton, VA (Auto Train)</t>
    </r>
    <r>
      <rPr>
        <sz val="8"/>
        <rFont val="Arial"/>
        <family val="2"/>
      </rPr>
      <t xml:space="preserve"> </t>
    </r>
  </si>
  <si>
    <r>
      <t>New Carrollton, MD</t>
    </r>
    <r>
      <rPr>
        <sz val="8"/>
        <rFont val="Arial"/>
        <family val="2"/>
      </rPr>
      <t xml:space="preserve"> </t>
    </r>
  </si>
  <si>
    <r>
      <t>Sanford, FL (Auto Train)</t>
    </r>
    <r>
      <rPr>
        <sz val="8"/>
        <rFont val="Arial"/>
        <family val="2"/>
      </rPr>
      <t xml:space="preserve"> </t>
    </r>
  </si>
  <si>
    <r>
      <t>Stockton (San Joaquin St.), CA</t>
    </r>
    <r>
      <rPr>
        <sz val="8"/>
        <rFont val="Arial"/>
        <family val="2"/>
      </rPr>
      <t xml:space="preserve"> </t>
    </r>
  </si>
  <si>
    <r>
      <t>Santa Ana, CA</t>
    </r>
    <r>
      <rPr>
        <sz val="8"/>
        <rFont val="Arial"/>
        <family val="2"/>
      </rPr>
      <t xml:space="preserve"> </t>
    </r>
  </si>
  <si>
    <r>
      <t>St. Louis, MO</t>
    </r>
    <r>
      <rPr>
        <sz val="8"/>
        <rFont val="Arial"/>
        <family val="2"/>
      </rPr>
      <t xml:space="preserve"> </t>
    </r>
  </si>
  <si>
    <r>
      <t>Rhinecliff, NY</t>
    </r>
    <r>
      <rPr>
        <sz val="8"/>
        <rFont val="Arial"/>
        <family val="2"/>
      </rPr>
      <t xml:space="preserve"> </t>
    </r>
  </si>
  <si>
    <r>
      <t>San Jose, CA</t>
    </r>
    <r>
      <rPr>
        <sz val="8"/>
        <rFont val="Arial"/>
        <family val="2"/>
      </rPr>
      <t xml:space="preserve"> </t>
    </r>
  </si>
  <si>
    <r>
      <t>Hartford, CT</t>
    </r>
    <r>
      <rPr>
        <sz val="8"/>
        <rFont val="Arial"/>
        <family val="2"/>
      </rPr>
      <t xml:space="preserve"> </t>
    </r>
  </si>
  <si>
    <t>Top 50 stations, total</t>
  </si>
  <si>
    <t>United States, all stations</t>
  </si>
  <si>
    <t>Top 50 stations as percent of U.S. total</t>
  </si>
  <si>
    <r>
      <t>NOTE:</t>
    </r>
    <r>
      <rPr>
        <sz val="8"/>
        <rFont val="Arial"/>
        <family val="2"/>
      </rPr>
      <t xml:space="preserve"> Amtrak's fiscal year ends on September 30. Ridership figures for fiscal year 2005 include passengers boarding on the Clocker route, which Amtrak no longer services. This route served the Northeast Corridor between Philadelphia and New York. If these passengers are excluded, the total boardings for fiscal year 2005 is 24,031,170.</t>
    </r>
  </si>
  <si>
    <r>
      <t>SOURCE:</t>
    </r>
    <r>
      <rPr>
        <sz val="8"/>
        <rFont val="Arial"/>
        <family val="2"/>
      </rPr>
      <t xml:space="preserve"> Amtrak, Office of Government Affairs, personal communication, Dec. 6, 2007.</t>
    </r>
  </si>
  <si>
    <t>Determine energy intensity of bus services (VMT per BTU) for demand calculation</t>
  </si>
  <si>
    <t>Summary Statistics from the regional data sources used to determine enegy intensity for buses</t>
  </si>
  <si>
    <t>Transit Bus BTU/VMT</t>
  </si>
  <si>
    <t xml:space="preserve"> From American Public Transit Association data</t>
  </si>
  <si>
    <t>Intercity Bus BTU/VMT</t>
  </si>
  <si>
    <t xml:space="preserve"> Derived from American Bus Association data and FHWA generic bus data</t>
  </si>
  <si>
    <t>School Bus BTU/VMT</t>
  </si>
  <si>
    <t>From American School Bus Council Data</t>
  </si>
  <si>
    <t>BTS National Transportation Statistics 2009</t>
  </si>
  <si>
    <t>Note:  These statistics are inconsistent with other data.  BTS energy use for all buses is almost 50% lower than AEO data.</t>
  </si>
  <si>
    <t>Table 4-15:  Bus Fuel Consumption and Travel*</t>
  </si>
  <si>
    <t>Number registered (thousands)</t>
  </si>
  <si>
    <t>Vehicle-miles traveled (millions)</t>
  </si>
  <si>
    <t>Fuel consumed (million gallons)</t>
  </si>
  <si>
    <t>Average miles traveled per vehicle (thousands)</t>
  </si>
  <si>
    <t>Average miles traveled per gallon</t>
  </si>
  <si>
    <t>Average fuel consumed per vehicle (gallons)</t>
  </si>
  <si>
    <r>
      <t xml:space="preserve">KEY: </t>
    </r>
    <r>
      <rPr>
        <sz val="8"/>
        <rFont val="Arial"/>
        <family val="2"/>
      </rPr>
      <t xml:space="preserve"> R = revised.</t>
    </r>
  </si>
  <si>
    <t>BTU per VMT not including transit buses</t>
  </si>
  <si>
    <t>* 1960-1994 not presented here</t>
  </si>
  <si>
    <t>tBTU of fuel assuming all diesel</t>
  </si>
  <si>
    <t>NOTE</t>
  </si>
  <si>
    <t>tBTU for all buses from AEO data</t>
  </si>
  <si>
    <t>Includes both publicly and privately owned school, transit, and other commercial buses.</t>
  </si>
  <si>
    <t>tBTU for transist buses from AEO data</t>
  </si>
  <si>
    <t>SOURCES for Table 4-15</t>
  </si>
  <si>
    <r>
      <t xml:space="preserve">1960-94: U.S. Department of Transportation, Federal Highway Administration, </t>
    </r>
    <r>
      <rPr>
        <i/>
        <sz val="8"/>
        <rFont val="Arial"/>
        <family val="2"/>
      </rPr>
      <t xml:space="preserve">Highway Statistics Summary to 1995, </t>
    </r>
    <r>
      <rPr>
        <sz val="8"/>
        <rFont val="Arial"/>
        <family val="2"/>
      </rPr>
      <t>FHWA-PL-97-009</t>
    </r>
    <r>
      <rPr>
        <i/>
        <sz val="8"/>
        <rFont val="Arial"/>
        <family val="2"/>
      </rPr>
      <t xml:space="preserve"> </t>
    </r>
    <r>
      <rPr>
        <sz val="8"/>
        <rFont val="Arial"/>
        <family val="2"/>
      </rPr>
      <t>(Washington, DC: July 1997), table VM-201A, available at www.fhwa.dot.gov/policy/ohpi as of Mar. 23, 2009.</t>
    </r>
  </si>
  <si>
    <r>
      <t xml:space="preserve">1995-2007: Ibid., </t>
    </r>
    <r>
      <rPr>
        <i/>
        <sz val="8"/>
        <rFont val="Arial"/>
        <family val="2"/>
      </rPr>
      <t xml:space="preserve">Highway Statistics </t>
    </r>
    <r>
      <rPr>
        <sz val="8"/>
        <rFont val="Arial"/>
        <family val="2"/>
      </rPr>
      <t>(Washington, DC: Annual issues), table VM-1, available at www.fhwa.dot.gov/policy/ohpi as of Mar. 23, 2009.</t>
    </r>
  </si>
  <si>
    <t>Table 4-24:  Energy Intensity of Transit Motor Buses *</t>
  </si>
  <si>
    <t>Vehicle-miles (millions)</t>
  </si>
  <si>
    <t>Passenger-miles (millions)</t>
  </si>
  <si>
    <t xml:space="preserve">Fuel consumed (million gallons diesel) </t>
  </si>
  <si>
    <t>Energy intensity (Btu / passenger-mile)</t>
  </si>
  <si>
    <r>
      <t>KEY:</t>
    </r>
    <r>
      <rPr>
        <sz val="8"/>
        <rFont val="Arial"/>
        <family val="2"/>
      </rPr>
      <t xml:space="preserve">  Btu = British thermal unit; N = data do not exist; P= Preliminary; R = Revised. </t>
    </r>
  </si>
  <si>
    <t>Million gallons non-diesel^</t>
  </si>
  <si>
    <t>^Table 32, 2009 Public Transportation Fact Book, Appendix A: Historical Tables</t>
  </si>
  <si>
    <t>BTU per VMT</t>
  </si>
  <si>
    <t>mpg</t>
  </si>
  <si>
    <t xml:space="preserve">Heat equivalent factor used for Btu is 138,700 Btu/gallon.  </t>
  </si>
  <si>
    <t>SOURCE for Table 4-24</t>
  </si>
  <si>
    <r>
      <t>American Public Transportation Association,</t>
    </r>
    <r>
      <rPr>
        <i/>
        <sz val="8"/>
        <rFont val="Arial"/>
        <family val="2"/>
      </rPr>
      <t xml:space="preserve"> 2008 Public Transportation Fact Book </t>
    </r>
    <r>
      <rPr>
        <sz val="8"/>
        <rFont val="Arial"/>
        <family val="2"/>
      </rPr>
      <t xml:space="preserve">(Washington, DC: 2007), tables 6, 10, 28,  and similar tables in earlier editions, available at http://www.apta.com/ as of December 2008. </t>
    </r>
  </si>
  <si>
    <t>Determine regional distribution of bus services</t>
  </si>
  <si>
    <t>Regional share</t>
  </si>
  <si>
    <t xml:space="preserve">NYC </t>
  </si>
  <si>
    <t>Borough Share</t>
  </si>
  <si>
    <t>R1</t>
  </si>
  <si>
    <t>Unlinked Pass.</t>
  </si>
  <si>
    <t>Passenger</t>
  </si>
  <si>
    <t>Average Trip</t>
  </si>
  <si>
    <t>Avg. Pass.</t>
  </si>
  <si>
    <t>Vehicle Miles</t>
  </si>
  <si>
    <t>Diesel Gal.</t>
  </si>
  <si>
    <t>CNG gal</t>
  </si>
  <si>
    <t>Other gal</t>
  </si>
  <si>
    <t>Operating</t>
  </si>
  <si>
    <t>Buses</t>
  </si>
  <si>
    <t>Avg annual</t>
  </si>
  <si>
    <t>Trips (millions)</t>
  </si>
  <si>
    <t>Miles (millions)</t>
  </si>
  <si>
    <t>Length</t>
  </si>
  <si>
    <t>Load</t>
  </si>
  <si>
    <t>Million</t>
  </si>
  <si>
    <t>millions</t>
  </si>
  <si>
    <t>Millions</t>
  </si>
  <si>
    <t>expense (M$)</t>
  </si>
  <si>
    <t>Available</t>
  </si>
  <si>
    <t>Mileage</t>
  </si>
  <si>
    <t>Table 1</t>
  </si>
  <si>
    <t>Table 2</t>
  </si>
  <si>
    <t>Table 3</t>
  </si>
  <si>
    <t>Table 5</t>
  </si>
  <si>
    <t>Table 6</t>
  </si>
  <si>
    <t>Table 30</t>
  </si>
  <si>
    <t>Table 32</t>
  </si>
  <si>
    <t>Table 38</t>
  </si>
  <si>
    <t xml:space="preserve">Table 45 </t>
  </si>
  <si>
    <r>
      <t>Data for above</t>
    </r>
    <r>
      <rPr>
        <b/>
        <sz val="8"/>
        <rFont val="Arial"/>
        <family val="2"/>
      </rPr>
      <t xml:space="preserve"> are extracted from the American Public Transportation Association</t>
    </r>
  </si>
  <si>
    <t>2009 Public Transportation Fact Book, Appendix A: Historical Tables</t>
  </si>
  <si>
    <t>Transit Bus*</t>
  </si>
  <si>
    <t>School Bus</t>
  </si>
  <si>
    <t>unadjusted VMT</t>
  </si>
  <si>
    <t>VMT</t>
  </si>
  <si>
    <t>Counts**</t>
  </si>
  <si>
    <t>Buses^</t>
  </si>
  <si>
    <t>Bus VMT</t>
  </si>
  <si>
    <t>From American School Bus Council</t>
  </si>
  <si>
    <t>Adjusted to 2005</t>
  </si>
  <si>
    <t>National School Bus Fuel Data Fact Sheet, 2008</t>
  </si>
  <si>
    <t>Estimate # buses</t>
  </si>
  <si>
    <t>for 1999, School Bus Fact Sheet</t>
  </si>
  <si>
    <t>Avg miles per bus</t>
  </si>
  <si>
    <t>Avg mpg per bus</t>
  </si>
  <si>
    <t>Annual fuel use per bus</t>
  </si>
  <si>
    <t>gal</t>
  </si>
  <si>
    <t>Total fuels used</t>
  </si>
  <si>
    <t>tBTU of fuel assuming diesel</t>
  </si>
  <si>
    <t xml:space="preserve">tBTU from AEO data </t>
  </si>
  <si>
    <t>Bus data extracted from Table VM-1</t>
  </si>
  <si>
    <r>
      <t>Highway Statistics 2005</t>
    </r>
    <r>
      <rPr>
        <sz val="8"/>
        <rFont val="Arial"/>
        <family val="2"/>
      </rPr>
      <t>, Federal Highway Adminisistration</t>
    </r>
  </si>
  <si>
    <t>Annual VMT (Millions)</t>
  </si>
  <si>
    <t xml:space="preserve">  Interstate Rural</t>
  </si>
  <si>
    <t xml:space="preserve">  Other Arterial Rural</t>
  </si>
  <si>
    <t xml:space="preserve">  Other Rural</t>
  </si>
  <si>
    <t>Louisiana</t>
  </si>
  <si>
    <t xml:space="preserve"> All Rural</t>
  </si>
  <si>
    <t xml:space="preserve">  Interstate Urban</t>
  </si>
  <si>
    <t xml:space="preserve">  Other Urban</t>
  </si>
  <si>
    <t xml:space="preserve"> All Urban</t>
  </si>
  <si>
    <t xml:space="preserve"> Total Rural and Urban</t>
  </si>
  <si>
    <t>Miles adjusted to meet AEO energy</t>
  </si>
  <si>
    <t xml:space="preserve"> Number of motor vehicles</t>
  </si>
  <si>
    <t xml:space="preserve">  registered  4/</t>
  </si>
  <si>
    <t xml:space="preserve"> Average miles traveled</t>
  </si>
  <si>
    <t>Avg Miles adjueted to AEO energy</t>
  </si>
  <si>
    <t xml:space="preserve">  per vehicle</t>
  </si>
  <si>
    <t xml:space="preserve"> Person-miles of travel  5/</t>
  </si>
  <si>
    <t xml:space="preserve">  (millions)</t>
  </si>
  <si>
    <t xml:space="preserve"> Fuel consumed  6/</t>
  </si>
  <si>
    <t>tBTU fuel use assuming diesel</t>
  </si>
  <si>
    <t xml:space="preserve">  (thousand gallons)</t>
  </si>
  <si>
    <t>tBTU from AEO data</t>
  </si>
  <si>
    <t xml:space="preserve"> Average fuel consumption per</t>
  </si>
  <si>
    <t xml:space="preserve">  vehicle (gallons)  6/</t>
  </si>
  <si>
    <t xml:space="preserve"> Average miles traveled per</t>
  </si>
  <si>
    <t xml:space="preserve">  gallon of fuel consumed  6/</t>
  </si>
  <si>
    <r>
      <t xml:space="preserve">Motorcoach Data from </t>
    </r>
    <r>
      <rPr>
        <i/>
        <sz val="8"/>
        <rFont val="Arial"/>
        <family val="2"/>
      </rPr>
      <t>MotorCoach Census Update 2008</t>
    </r>
  </si>
  <si>
    <t>Provided to American Bus Association</t>
  </si>
  <si>
    <t>Avg. annual mileage per coach (2007)</t>
  </si>
  <si>
    <t>US Motorcoaches</t>
  </si>
  <si>
    <t>Fuel Consumed (million gallons)</t>
  </si>
  <si>
    <t>Assumed annual mileage for "other" buses</t>
  </si>
  <si>
    <t>Average annual gallons for other buses</t>
  </si>
  <si>
    <t>US Total (millions)</t>
  </si>
  <si>
    <t>US Bus VMT</t>
  </si>
  <si>
    <t>Non-transit buses</t>
  </si>
  <si>
    <t>* Data for Transit Buses copied from Table 4-4 in Commuter and Rail section above</t>
  </si>
  <si>
    <t>Fraction motorcoaches</t>
  </si>
  <si>
    <t>Fraction other</t>
  </si>
  <si>
    <r>
      <t xml:space="preserve">** Source:  Transportation Data 2005-2006 School Year, </t>
    </r>
    <r>
      <rPr>
        <i/>
        <sz val="8"/>
        <rFont val="Arial"/>
        <family val="2"/>
      </rPr>
      <t>School Transportation News Buyer's Guide</t>
    </r>
    <r>
      <rPr>
        <sz val="8"/>
        <rFont val="Arial"/>
        <family val="2"/>
      </rPr>
      <t xml:space="preserve">, </t>
    </r>
  </si>
  <si>
    <t>National Association of State Directors of Pupil Transportation Services</t>
  </si>
  <si>
    <t>^ Source: Table MV-10, Bus registrations 2005, FHWA</t>
  </si>
  <si>
    <t>These demands derived from AEO's energy data.</t>
  </si>
  <si>
    <t>Class 2b</t>
  </si>
  <si>
    <t>EPAUS9r MA</t>
  </si>
  <si>
    <t xml:space="preserve">Rail ton-miles </t>
  </si>
  <si>
    <t>Bus services (billion vmt)^</t>
  </si>
  <si>
    <t>Passenger services by rail (billion pass miles)^</t>
  </si>
  <si>
    <t>R7</t>
  </si>
  <si>
    <t>R8</t>
  </si>
  <si>
    <t>R9</t>
  </si>
  <si>
    <t>Population</t>
  </si>
  <si>
    <t>This worksheet contains the imported raw emissions factors.</t>
  </si>
  <si>
    <t>MARKAL Emission Factors - all vehicle categories</t>
  </si>
  <si>
    <r>
      <rPr>
        <sz val="8"/>
        <rFont val="Arial"/>
        <family val="2"/>
      </rPr>
      <t xml:space="preserve">Road Vehicle emissions from project by Pechan: data derived from MOVES model, original in workbook </t>
    </r>
    <r>
      <rPr>
        <i/>
        <sz val="8"/>
        <rFont val="Arial"/>
        <family val="2"/>
      </rPr>
      <t>4-On Road Emission Factors Global Summary</t>
    </r>
  </si>
  <si>
    <t>See notes below.</t>
  </si>
  <si>
    <t>2005 = average of MY 1995-2005 in 2005</t>
  </si>
  <si>
    <t>2010=average 2005 in2010-2015 &amp;2010 in 2010-2020</t>
  </si>
  <si>
    <t>2015+ = average of MY 2015 in 2015, 2020, and 2025 and MY 2040 in 2040, 2045, and 2050</t>
  </si>
  <si>
    <t>EMISSION FACTORS (g/miles)</t>
  </si>
  <si>
    <t>NOx</t>
  </si>
  <si>
    <t>PM2.5</t>
  </si>
  <si>
    <t>HC</t>
  </si>
  <si>
    <t>BC/PM10</t>
  </si>
  <si>
    <t>BC/PM2.5</t>
  </si>
  <si>
    <t>Vehicle Type</t>
  </si>
  <si>
    <t>OC/PM2.5</t>
  </si>
  <si>
    <t>2015+</t>
  </si>
  <si>
    <t>BC/OC Ratio</t>
  </si>
  <si>
    <t>Intercity Bus</t>
  </si>
  <si>
    <t>Biodiesel</t>
  </si>
  <si>
    <t>Transit Bus</t>
  </si>
  <si>
    <t>Light Commercial Truck</t>
  </si>
  <si>
    <t>Gasoline</t>
  </si>
  <si>
    <t>Single Unit Short-haul Truck</t>
  </si>
  <si>
    <t>Single Unit Long-haul Truck</t>
  </si>
  <si>
    <t>Combination Short-haul Truck</t>
  </si>
  <si>
    <t>Combination Long-haul Truck</t>
  </si>
  <si>
    <t>Refuse Truck</t>
  </si>
  <si>
    <t>Motor Home</t>
  </si>
  <si>
    <t>EMISSION FACTORS (kt/bn pass mile)</t>
  </si>
  <si>
    <t>Passenger jets</t>
  </si>
  <si>
    <t>Jetfuel</t>
  </si>
  <si>
    <t>Synthetic</t>
  </si>
  <si>
    <t>General aviation</t>
  </si>
  <si>
    <t>EMISSION FACTORS (kt/bn ton mile)</t>
  </si>
  <si>
    <t>SO2*</t>
  </si>
  <si>
    <t>Marine Shipping</t>
  </si>
  <si>
    <t>Residual Oil</t>
  </si>
  <si>
    <t>Rail Emission Factors for MARKAL ktonne/PJ</t>
  </si>
  <si>
    <t>NOx Emissions Factors</t>
  </si>
  <si>
    <t>SO2 Emissions Factors</t>
  </si>
  <si>
    <t>PM10 Emissions Factors</t>
  </si>
  <si>
    <t>PM2.5 Emissions Factors</t>
  </si>
  <si>
    <t>VOC Emissions Factors</t>
  </si>
  <si>
    <t>CO Emissions Factors</t>
  </si>
  <si>
    <t>CO2 Emissions Factors</t>
  </si>
  <si>
    <t>CH4 Emissions Factors</t>
  </si>
  <si>
    <t>N2O Emissions Factors</t>
  </si>
  <si>
    <t>BC Emissions Factors (2.5)</t>
  </si>
  <si>
    <t>OC Emissions Factors (2.5)</t>
  </si>
  <si>
    <t>all years</t>
  </si>
  <si>
    <t>Freight Rail Existing</t>
  </si>
  <si>
    <t>Freight Rail new</t>
  </si>
  <si>
    <t>Freight Rail</t>
  </si>
  <si>
    <t>NA</t>
  </si>
  <si>
    <t>Passenger Rail</t>
  </si>
  <si>
    <t>Intercity Rail</t>
  </si>
  <si>
    <t>BC Emissions Factors</t>
  </si>
  <si>
    <t>Vehicle miles (million)</t>
  </si>
  <si>
    <t>Heavy Single unit</t>
  </si>
  <si>
    <t>Heavy combination unit</t>
  </si>
  <si>
    <t xml:space="preserve">SO2*   :  Marine distillate has 0.4-1.5% sulfur and marine residual has 2.5%. (I.e. Residual has 2.5 times the sulfur of distillate.) </t>
  </si>
  <si>
    <t xml:space="preserve">              Thus Pechan distillate emissions are decreased by a factor of 2.5 as Pechan SO2 emissions were higher in distillate than residual.</t>
  </si>
  <si>
    <t>Notes:</t>
  </si>
  <si>
    <t>Trucks:</t>
  </si>
  <si>
    <t>Commercial and single-unit short haul truck data were averaged for medium trucks in MARKAL.</t>
  </si>
  <si>
    <t>Single unit short haul and combination short haul were averaged for heavy trucks short haul in MARKAL.</t>
  </si>
  <si>
    <t>Single unit long haul and combination long haul were averaged for heavy trucks long haul in MARKAL.</t>
  </si>
  <si>
    <t>Factors were weighted by the 2009 miles driven by each type from summary statistics Chapter 5 in TED edition 30.</t>
  </si>
  <si>
    <t>Locomotives</t>
  </si>
  <si>
    <t>EPA's regulations on locomotives are in g/gal from the engine.  Thus emission factors have  been attached to the fuels to allow us to capture efficiency improvements.</t>
  </si>
  <si>
    <t>In order to capture the correct emissions from existing trains (i.e. old emissions when the future fuel has improved emissions), we have attached to the exisiting trains the difference in emissions</t>
  </si>
  <si>
    <t>between their old values and the new fuel values.</t>
  </si>
  <si>
    <t>Aircraft</t>
  </si>
  <si>
    <r>
      <t xml:space="preserve">Data taken from project by Pechan, original in workbook </t>
    </r>
    <r>
      <rPr>
        <i/>
        <sz val="8"/>
        <color indexed="60"/>
        <rFont val="Arial"/>
        <family val="2"/>
      </rPr>
      <t>Aircraft Emission Factors</t>
    </r>
  </si>
  <si>
    <t>Year 2005 data from the Pechan column labeled "exisiting".</t>
  </si>
  <si>
    <t>Scaling factors for BC and OC from RTI</t>
  </si>
  <si>
    <t>This worksheet matches the raw emissions data to the MARKAL technologies.</t>
  </si>
  <si>
    <t>(Units are in grams/mile, except off-road (water, rail, air) which are in units of pounds per mmbtu)</t>
  </si>
  <si>
    <t>Freight emission factors start here</t>
  </si>
  <si>
    <t>OC-PM25</t>
  </si>
  <si>
    <t>Bus, Exisiting Gasoline*</t>
  </si>
  <si>
    <t>BCPM25</t>
  </si>
  <si>
    <t>OCPM25</t>
  </si>
  <si>
    <t>BC 2.5</t>
  </si>
  <si>
    <t>OC 2.5</t>
  </si>
  <si>
    <t>Air Jet, Passenger Existing</t>
  </si>
  <si>
    <t>Appendix H</t>
  </si>
  <si>
    <t>Citywide GHG Emissions Summary</t>
  </si>
  <si>
    <t>CY 2005</t>
  </si>
  <si>
    <t>CY 2014</t>
  </si>
  <si>
    <t>CY 2015</t>
  </si>
  <si>
    <t>Change from 2014</t>
  </si>
  <si>
    <t>Change from 2005</t>
  </si>
  <si>
    <t>Sector</t>
  </si>
  <si>
    <t>Consumed</t>
  </si>
  <si>
    <t>tCO2e</t>
  </si>
  <si>
    <t>Source MMBtu</t>
  </si>
  <si>
    <t>Source PJ</t>
  </si>
  <si>
    <t>Stationary Energy</t>
  </si>
  <si>
    <t>Residential (small and large residential)</t>
  </si>
  <si>
    <t>#2 fuel oil</t>
  </si>
  <si>
    <t>liter</t>
  </si>
  <si>
    <t>#4 fuel oil</t>
  </si>
  <si>
    <t>liters</t>
  </si>
  <si>
    <t>#6 fuel oil</t>
  </si>
  <si>
    <t>1,168%</t>
  </si>
  <si>
    <t>Electricity</t>
  </si>
  <si>
    <t>kWh</t>
  </si>
  <si>
    <t>Natural gas</t>
  </si>
  <si>
    <t>GJ</t>
  </si>
  <si>
    <t>Steam</t>
  </si>
  <si>
    <t>kg</t>
  </si>
  <si>
    <t>Commercial and Institutional (commercial, institutional, and streetlights)</t>
  </si>
  <si>
    <t>Manufacturing and construction (industrial)</t>
  </si>
  <si>
    <t>Fugitive natural gas</t>
  </si>
  <si>
    <t>CH4 - natural gas distribution</t>
  </si>
  <si>
    <t>-</t>
  </si>
  <si>
    <t>On-Road</t>
  </si>
  <si>
    <t>Passenger cars</t>
  </si>
  <si>
    <t>Medium duty trucks</t>
  </si>
  <si>
    <t>Heavy duty trucks</t>
  </si>
  <si>
    <t>Railways</t>
  </si>
  <si>
    <t>Electricity - subway and commuter rail</t>
  </si>
  <si>
    <t>Diesel - commuter rail</t>
  </si>
  <si>
    <t>Marine Navigation</t>
  </si>
  <si>
    <t>Diesel - marine navigation</t>
  </si>
  <si>
    <t>Transport demand</t>
  </si>
  <si>
    <t>Gasoline - marine navigation</t>
  </si>
  <si>
    <t>Aviation</t>
  </si>
  <si>
    <t>Jet fuel - aviation</t>
  </si>
  <si>
    <t>Waste</t>
  </si>
  <si>
    <t>Landfills</t>
  </si>
  <si>
    <t>Exported solid waste - landfills</t>
  </si>
  <si>
    <t>Biological treatment</t>
  </si>
  <si>
    <t>CH4 and N2O - composting</t>
  </si>
  <si>
    <t>Wastewater treatment</t>
  </si>
  <si>
    <t>CH4 - wastewater treatment plants</t>
  </si>
  <si>
    <t>N2O - wastewater treatment plants</t>
  </si>
  <si>
    <t>TOTALS</t>
  </si>
  <si>
    <t>Inventory of New York City Greenhouse Gas Emissions: April 2017</t>
  </si>
  <si>
    <t>GHG Emissions 2010</t>
  </si>
  <si>
    <t>Fuel Type</t>
  </si>
  <si>
    <t>MgCO2e</t>
  </si>
  <si>
    <t>Source GJ</t>
  </si>
  <si>
    <t>Row Labels</t>
  </si>
  <si>
    <t>Sum of Source GJ</t>
  </si>
  <si>
    <t>Sum of Consumed</t>
  </si>
  <si>
    <t>Sum of 2010</t>
  </si>
  <si>
    <t>transit bus</t>
  </si>
  <si>
    <t>transportation</t>
  </si>
  <si>
    <t>commuter rail</t>
  </si>
  <si>
    <t>TR</t>
  </si>
  <si>
    <t>heavy truck</t>
  </si>
  <si>
    <t>Diesel Hybrid</t>
  </si>
  <si>
    <t>light truck</t>
  </si>
  <si>
    <t>TL</t>
  </si>
  <si>
    <t>non-transit bus</t>
  </si>
  <si>
    <t>Grand Total</t>
  </si>
  <si>
    <t>Fuel Cell</t>
  </si>
  <si>
    <t>passenger cars</t>
  </si>
  <si>
    <t>solid waste trn rail</t>
  </si>
  <si>
    <t>Gasoline Hybrid</t>
  </si>
  <si>
    <t>solid waste trn truck</t>
  </si>
  <si>
    <t>subway and commuter rail</t>
  </si>
  <si>
    <t>Street light and traffic signals</t>
  </si>
  <si>
    <t>These values are taken from Citywide GHG emissions summary Appendix K publication year 2012</t>
  </si>
  <si>
    <t>pj</t>
  </si>
  <si>
    <t>Consumption values that provided by NYC are not equal to the total consumption presented NYC 2010 GHG inventory report</t>
  </si>
  <si>
    <t>% values are gathered and applied to the reported values</t>
  </si>
  <si>
    <t>CO2/Pj</t>
  </si>
  <si>
    <r>
      <rPr>
        <sz val="12"/>
        <color rgb="FFFFFFFF"/>
        <rFont val="Calibri"/>
        <family val="2"/>
        <scheme val="minor"/>
      </rPr>
      <t>Sector</t>
    </r>
  </si>
  <si>
    <r>
      <rPr>
        <sz val="12"/>
        <color rgb="FFFFFFFF"/>
        <rFont val="Calibri"/>
        <family val="2"/>
        <scheme val="minor"/>
      </rPr>
      <t>Units</t>
    </r>
  </si>
  <si>
    <r>
      <rPr>
        <sz val="12"/>
        <color rgb="FFFFFFFF"/>
        <rFont val="Calibri"/>
        <family val="2"/>
        <scheme val="minor"/>
      </rPr>
      <t>Consumed</t>
    </r>
  </si>
  <si>
    <t>SourceMMBtu</t>
  </si>
  <si>
    <t>passengercars</t>
  </si>
  <si>
    <t>lighttrucks</t>
  </si>
  <si>
    <t>heavytrucks</t>
  </si>
  <si>
    <t>transitbus</t>
  </si>
  <si>
    <t>non-transitbus</t>
  </si>
  <si>
    <t>Ethanol</t>
  </si>
  <si>
    <t>subwayandcommuterra</t>
  </si>
  <si>
    <t>kwh</t>
  </si>
  <si>
    <t>commuterrail</t>
  </si>
  <si>
    <t>marinenavigation</t>
  </si>
  <si>
    <t>aviation</t>
  </si>
  <si>
    <t>These values are taken from 2014 NYC GHG citywide inventory</t>
  </si>
  <si>
    <t>citywide values are not equal to city government</t>
  </si>
  <si>
    <t>Gasoline Consumption Share</t>
  </si>
  <si>
    <t>Diesel Consumption Share</t>
  </si>
  <si>
    <t>HeavyDuty-</t>
  </si>
  <si>
    <t>LightDuty-</t>
  </si>
  <si>
    <t>MediumDuty-</t>
  </si>
  <si>
    <t>SWCV-HD-</t>
  </si>
  <si>
    <t>Exp.</t>
  </si>
  <si>
    <t>Nom.</t>
  </si>
  <si>
    <t>light</t>
  </si>
  <si>
    <t>NYCMI_PV</t>
  </si>
  <si>
    <t>ACTIVITY.L</t>
  </si>
  <si>
    <t>SCTHDSL</t>
  </si>
  <si>
    <t>eff</t>
  </si>
  <si>
    <t>dmd</t>
  </si>
  <si>
    <t>DMD</t>
  </si>
  <si>
    <t>TRP DMD</t>
  </si>
  <si>
    <t>Fuel consumption data is provided by New York City Department of Health and Mental Hygiene</t>
  </si>
  <si>
    <t>THD DMD</t>
  </si>
  <si>
    <t>Eff</t>
  </si>
  <si>
    <t>DMD-2010</t>
  </si>
  <si>
    <t>DMD-2015</t>
  </si>
  <si>
    <t>TM DMD</t>
  </si>
  <si>
    <t>TRN</t>
  </si>
  <si>
    <t>Bus, Exisiting Diesel</t>
  </si>
  <si>
    <t>TB DMD</t>
  </si>
  <si>
    <t>TB RESID  DIE</t>
  </si>
  <si>
    <t>TB RESID  CNG</t>
  </si>
  <si>
    <t>Year</t>
  </si>
  <si>
    <t>Solid Waste Generated (pounds/person/day)</t>
  </si>
  <si>
    <t>intercept</t>
  </si>
  <si>
    <t>slope</t>
  </si>
  <si>
    <t>pound to ton</t>
  </si>
  <si>
    <t>* Total SW generated (ton)</t>
  </si>
  <si>
    <t>Borough</t>
  </si>
  <si>
    <t>transportation modes for City Collected Waste</t>
  </si>
  <si>
    <t xml:space="preserve">Rail </t>
  </si>
  <si>
    <t xml:space="preserve">Truck </t>
  </si>
  <si>
    <t>Increase in Waste (%)</t>
  </si>
  <si>
    <t>Fuel Consumption (PJ)</t>
  </si>
  <si>
    <t>2010 (bn-t-m)</t>
  </si>
  <si>
    <t>mile per ton of MWS</t>
  </si>
  <si>
    <t>TRF_MSW</t>
  </si>
  <si>
    <t>Heavy Truck, Short Haul</t>
  </si>
  <si>
    <t>2010 (bn-vmt)</t>
  </si>
  <si>
    <t>TSW_MSW</t>
  </si>
  <si>
    <t>Prior to</t>
  </si>
  <si>
    <t>Tier 3</t>
  </si>
  <si>
    <t>Includes Tier 3 implementation</t>
  </si>
  <si>
    <t>2050-2055</t>
  </si>
  <si>
    <t>Fuel emissions (ktonne/PJ)</t>
  </si>
  <si>
    <t>No gasoline bus emissions provided by</t>
  </si>
  <si>
    <t>Pechan.  Commercial truck values used here.</t>
  </si>
  <si>
    <t>Onroad emissions of NOx from Tier 3 RIA</t>
  </si>
  <si>
    <t>Onroad mobile reference</t>
  </si>
  <si>
    <t>Onroad mobile with control</t>
  </si>
  <si>
    <t>Reduction</t>
  </si>
  <si>
    <t>% Rdx</t>
  </si>
  <si>
    <t>Fraction of potential</t>
  </si>
  <si>
    <t>Phase-in fraction</t>
  </si>
  <si>
    <t>Approximated multipliers for 2015 Efs</t>
  </si>
  <si>
    <t>Used this phase-in of eventual annual % reduction for all pollutants except SO2</t>
  </si>
  <si>
    <t>Approximation of phase-in of reductions</t>
  </si>
  <si>
    <t>Emission reductions from 2015 levels for fleet of new vehicles</t>
  </si>
  <si>
    <t>Assumptions:</t>
  </si>
  <si>
    <t>1/20 of fleet retires each year</t>
  </si>
  <si>
    <t>Initial emission rate</t>
  </si>
  <si>
    <t>Final emission rate</t>
  </si>
  <si>
    <t>Transportation factors, calculated from Pechan's Emission Factor sheet. Here, 2000 values are the average of 1990, 1995 and 2000, etc.</t>
  </si>
  <si>
    <t>Although NOX, SO2, PM10, PM2.5 and CO factors are instead calculated as 30%, 29%, 25%, 8* and 8% by vintage going back in time</t>
  </si>
  <si>
    <t>BC-PM25</t>
  </si>
  <si>
    <t>Passenger Car</t>
  </si>
  <si>
    <t>Electric*</t>
  </si>
  <si>
    <t>Passenger Truck</t>
  </si>
  <si>
    <t>Motorcycle</t>
  </si>
  <si>
    <t>* Electric Vehicles - electric vehicles need electricity to charge the battery they run on. Therefore, there are pollutant emissions (at the power plant) associated with their use. Those emissions, that are not included here, depend on the type of energy used to generate the electricity (coal, natural gas, nuclear, renewable).</t>
  </si>
  <si>
    <t>This worksheet contains imported technology data for air and marine (and regional share data for air).</t>
  </si>
  <si>
    <t>Regional shares of air travel.</t>
  </si>
  <si>
    <t>Technology</t>
  </si>
  <si>
    <t>Capacity</t>
  </si>
  <si>
    <t>First Year</t>
  </si>
  <si>
    <t>Unit</t>
  </si>
  <si>
    <t>(M2000$ per demand unit/a)</t>
  </si>
  <si>
    <t>(demand unit/PJ)</t>
  </si>
  <si>
    <t>Stock - passenger</t>
  </si>
  <si>
    <t>Jet fuel (naphtha)</t>
  </si>
  <si>
    <t>Air Jet, Passenger 2010</t>
  </si>
  <si>
    <t>Existing Technology - passenger</t>
  </si>
  <si>
    <t>over stock</t>
  </si>
  <si>
    <t>Air Jet, Passenger, Syn fuel, 2010</t>
  </si>
  <si>
    <t>Switch to Synthetic Fuel - passenger</t>
  </si>
  <si>
    <t>Synthetic Fuel</t>
  </si>
  <si>
    <t>over base</t>
  </si>
  <si>
    <t>Air Jet, Passenger (Wing tips),2010</t>
  </si>
  <si>
    <t>Wing Tip Device - passenger</t>
  </si>
  <si>
    <t>Switch to Hydrogen Fuel - passenger</t>
  </si>
  <si>
    <t>Hydrogen Fuel</t>
  </si>
  <si>
    <t>Air Jet Passeneger (APU) 2015</t>
  </si>
  <si>
    <t>Fuel-cell Auxiliary Power Unit (APU) - passenger</t>
  </si>
  <si>
    <t>Air Jet, Passenger(blended wing), 2030</t>
  </si>
  <si>
    <t>Blended Wing Design - passenger</t>
  </si>
  <si>
    <t>Air Jet, Passenger (improved aero), 2030</t>
  </si>
  <si>
    <t>Subtle Aerodynamic Improvements - passenger</t>
  </si>
  <si>
    <t>High Bypass Ratio Engine - passenger</t>
  </si>
  <si>
    <t>Air Jet Passenger, (geared engine), 2015</t>
  </si>
  <si>
    <t>Geared Jet Engine - passenger</t>
  </si>
  <si>
    <t>Open Rotor Engine (Propfan) - passenger</t>
  </si>
  <si>
    <t>General aviation  exsiting</t>
  </si>
  <si>
    <t>gasoline</t>
  </si>
  <si>
    <t>General aviation  assumed eff improvement</t>
  </si>
  <si>
    <t>Passenger Boardings by Commerical Service Airports 2005</t>
  </si>
  <si>
    <t>Cargo planes</t>
  </si>
  <si>
    <t>ST</t>
  </si>
  <si>
    <t>Large Certified</t>
  </si>
  <si>
    <t>Small &amp; Commuter</t>
  </si>
  <si>
    <t>Air Taxi</t>
  </si>
  <si>
    <t>FFC &amp; In-Transit</t>
  </si>
  <si>
    <t>Stock - cargo</t>
  </si>
  <si>
    <t>AK Total</t>
  </si>
  <si>
    <t>Existing Technology - cargo</t>
  </si>
  <si>
    <t>AL Total</t>
  </si>
  <si>
    <t>Switch to Synthetic Fuel - cargo</t>
  </si>
  <si>
    <t>AR Total</t>
  </si>
  <si>
    <t>Wing Tip Device - cargo</t>
  </si>
  <si>
    <t>AZ Total</t>
  </si>
  <si>
    <t>Switch to Hydrogen Fuel - cargo</t>
  </si>
  <si>
    <t>CA Total</t>
  </si>
  <si>
    <t>Fuel-cell Auxiliary Power Unit (APU) - cargo</t>
  </si>
  <si>
    <t>CO Total</t>
  </si>
  <si>
    <t>Blended Wing Design - cargo</t>
  </si>
  <si>
    <t>CT Total</t>
  </si>
  <si>
    <t>Subtle Aerodynamic Improvements - cargo</t>
  </si>
  <si>
    <t>High Bypass Ratio Engine - cargo</t>
  </si>
  <si>
    <t>FL Total</t>
  </si>
  <si>
    <t>Geared Jet Engine - cargo</t>
  </si>
  <si>
    <t>GA Total</t>
  </si>
  <si>
    <t>Open Rotor Engine (Propfan) - cargo</t>
  </si>
  <si>
    <t>HI Total</t>
  </si>
  <si>
    <t>MARINE SHIPPING</t>
  </si>
  <si>
    <t>IA Total</t>
  </si>
  <si>
    <t>Existing</t>
  </si>
  <si>
    <t>diesel</t>
  </si>
  <si>
    <t>ID Total</t>
  </si>
  <si>
    <t>Fuel Injection Engine Improvements</t>
  </si>
  <si>
    <t>IL Total</t>
  </si>
  <si>
    <t>Common rail</t>
  </si>
  <si>
    <t>IN Total</t>
  </si>
  <si>
    <t>Diesel Electric</t>
  </si>
  <si>
    <t>KS Total</t>
  </si>
  <si>
    <t>KY Total</t>
  </si>
  <si>
    <t>Exisiting</t>
  </si>
  <si>
    <t>residual</t>
  </si>
  <si>
    <t>LA Total</t>
  </si>
  <si>
    <t>Residual</t>
  </si>
  <si>
    <t>MA Total</t>
  </si>
  <si>
    <t>MD Total</t>
  </si>
  <si>
    <t>Bubble lubrication</t>
  </si>
  <si>
    <t>ME Total</t>
  </si>
  <si>
    <t>MI Total</t>
  </si>
  <si>
    <t>MN Total</t>
  </si>
  <si>
    <t>MO Total</t>
  </si>
  <si>
    <t>Emissions</t>
  </si>
  <si>
    <t>2015-2050</t>
  </si>
  <si>
    <t>MS Total</t>
  </si>
  <si>
    <t>grams/gross-ton-mile</t>
  </si>
  <si>
    <t>N20</t>
  </si>
  <si>
    <t>MT Total</t>
  </si>
  <si>
    <t>NC Total</t>
  </si>
  <si>
    <t>ND Total</t>
  </si>
  <si>
    <t>Water Shipping, Diesel, New vessels</t>
  </si>
  <si>
    <t>NE Total</t>
  </si>
  <si>
    <t>Water Shipping, Residual oil, New vessels</t>
  </si>
  <si>
    <t>These data from projects performed by ERG.</t>
  </si>
  <si>
    <t>BCPM2.5</t>
  </si>
  <si>
    <t>OCPM2.5</t>
  </si>
  <si>
    <t>NH Total</t>
  </si>
  <si>
    <r>
      <t xml:space="preserve">Aviation data from worksheet </t>
    </r>
    <r>
      <rPr>
        <i/>
        <sz val="8"/>
        <rFont val="Arial"/>
        <family val="2"/>
      </rPr>
      <t>MARKAL Aviation Cost Calculations 072111</t>
    </r>
  </si>
  <si>
    <t>NJ Total</t>
  </si>
  <si>
    <t>data sources: EPA (emissions), DOD, FAA, several manufacturers and some trade and journal literature</t>
  </si>
  <si>
    <t>NM Total</t>
  </si>
  <si>
    <r>
      <t xml:space="preserve">Shipping data is from worksheet </t>
    </r>
    <r>
      <rPr>
        <i/>
        <sz val="8"/>
        <rFont val="Arial"/>
        <family val="2"/>
      </rPr>
      <t>MARKAL MV 7-22-11</t>
    </r>
  </si>
  <si>
    <t>NV Total</t>
  </si>
  <si>
    <t>data sources: EPA reports, ship manufacturers, Swedish Environmental Protection Agency (emission factors)</t>
  </si>
  <si>
    <t>NY Total</t>
  </si>
  <si>
    <t>Factors for black carbon and organic carbon from RTI.</t>
  </si>
  <si>
    <t>OH Total</t>
  </si>
  <si>
    <t>OK Total</t>
  </si>
  <si>
    <t>OR Total</t>
  </si>
  <si>
    <t>PA Total</t>
  </si>
  <si>
    <t>RI Total</t>
  </si>
  <si>
    <t>SC Total</t>
  </si>
  <si>
    <t>SD Total</t>
  </si>
  <si>
    <t>TN Total</t>
  </si>
  <si>
    <t>TX Total</t>
  </si>
  <si>
    <t>UT Total</t>
  </si>
  <si>
    <t>VA Total</t>
  </si>
  <si>
    <t>VT Total</t>
  </si>
  <si>
    <t>WA Total</t>
  </si>
  <si>
    <t>WI Total</t>
  </si>
  <si>
    <t>WV Total</t>
  </si>
  <si>
    <t>WY Total</t>
  </si>
  <si>
    <t>US Total</t>
  </si>
  <si>
    <t>http://www.faa.gov/airports/planning_capacity/passenger_allcargo_stats/passenger/index.cfm?year=2005</t>
  </si>
  <si>
    <t>This worksheet contains the imported technology data for rail frieght and determines the regional shares for rail freight and marine shipping based on ton-miles.</t>
  </si>
  <si>
    <t>(M2005$ per demand unit/a)</t>
  </si>
  <si>
    <t>Biodiesel resids from Biomass work books</t>
  </si>
  <si>
    <t>Current Fleet</t>
  </si>
  <si>
    <t xml:space="preserve">Engine Improvements - 25% </t>
  </si>
  <si>
    <t>Currently Available</t>
  </si>
  <si>
    <t xml:space="preserve">Engine Improvements - 2015 and 2020 25% </t>
  </si>
  <si>
    <t>These are assigned to short haul trucks to reflect use in fleets.</t>
  </si>
  <si>
    <t xml:space="preserve">Engine Improvements - 10% </t>
  </si>
  <si>
    <t>** Data from EPAUS9R Model</t>
  </si>
  <si>
    <t xml:space="preserve">Engine Improvements - 2015 and 2020 10% </t>
  </si>
  <si>
    <t>APUs/anti-idling strategies</t>
  </si>
  <si>
    <t>Biodiesel (B20)</t>
  </si>
  <si>
    <t xml:space="preserve">Assume engine remanufacturing cost is 1% of capital </t>
  </si>
  <si>
    <t>Truck</t>
  </si>
  <si>
    <t>and there are 6 remanufactures in a life-time</t>
  </si>
  <si>
    <t>Table 3-4: Rail Shipments: 2005</t>
  </si>
  <si>
    <t>These values adjusted by national averages from 2007 Commodity Flow Survey</t>
  </si>
  <si>
    <t>Table 3-5: Waterborne Shipments: 2006</t>
  </si>
  <si>
    <t>Table 3-1: Freight Shipments by State of Origin: 2002</t>
  </si>
  <si>
    <t>(Thousands of short tons)</t>
  </si>
  <si>
    <t>Rail shipments terminating in state</t>
  </si>
  <si>
    <t>Rail shipments originating in state</t>
  </si>
  <si>
    <t>Terminating in state</t>
  </si>
  <si>
    <t>Originating in state</t>
  </si>
  <si>
    <t>All commodities (tons)</t>
  </si>
  <si>
    <t>Top commodity by weight</t>
  </si>
  <si>
    <t>Fraction of Freight by rail</t>
  </si>
  <si>
    <t>Rail ton-miles (millions)</t>
  </si>
  <si>
    <t>Value                 ($ millions)</t>
  </si>
  <si>
    <t>Tons (thousands)</t>
  </si>
  <si>
    <t>Ton-miles (millions)</t>
  </si>
  <si>
    <t>Truck tons</t>
  </si>
  <si>
    <t>Intrastate</t>
  </si>
  <si>
    <t>Domestic</t>
  </si>
  <si>
    <t>Foreign</t>
  </si>
  <si>
    <t>Adjusted*</t>
  </si>
  <si>
    <t>Estimated ton-miles</t>
  </si>
  <si>
    <t>Coal</t>
  </si>
  <si>
    <t>Petroleum products</t>
  </si>
  <si>
    <t>Neglect rail tons for AK</t>
  </si>
  <si>
    <t>Glass and stone products</t>
  </si>
  <si>
    <t>Nonmetallic minerals</t>
  </si>
  <si>
    <t>Mixed freight</t>
  </si>
  <si>
    <t>Mixed Freight</t>
  </si>
  <si>
    <t>Waste and scrap</t>
  </si>
  <si>
    <t>Chemicals</t>
  </si>
  <si>
    <t>Miscellaneous</t>
  </si>
  <si>
    <t>N/A</t>
  </si>
  <si>
    <t>Farm products</t>
  </si>
  <si>
    <t>Pulp and paper products</t>
  </si>
  <si>
    <t>Metallic ores</t>
  </si>
  <si>
    <t>Food products</t>
  </si>
  <si>
    <t>Coal and petroleum products</t>
  </si>
  <si>
    <t>Farm Products</t>
  </si>
  <si>
    <t>Primary metal products</t>
  </si>
  <si>
    <t>Lumber and wood products</t>
  </si>
  <si>
    <t>Puerto Rico</t>
  </si>
  <si>
    <t>United States, total</t>
  </si>
  <si>
    <t>AEO data</t>
  </si>
  <si>
    <t>Total of States to get Hawaii by difference</t>
  </si>
  <si>
    <t>KEY: NA = not applicable.</t>
  </si>
  <si>
    <t>KEY: S = withheld due to high sampling variability or poor response quality.</t>
  </si>
  <si>
    <t>NOTES: U.S. and state totals exclude duplication. The U.S. total includes Guam, the Virgin Islands, the Pacific Islands, other territories, and trans-shipments. Details may not sum to state totals due to rounding.</t>
  </si>
  <si>
    <t xml:space="preserve">NOTE: The top commodity is based on the 38 two-digit Standard Transportation Commodity Code groupings and is determined by the </t>
  </si>
  <si>
    <t>NOTE: Details may not sum to totals due to rounding.</t>
  </si>
  <si>
    <t xml:space="preserve">SOURCE: U.S. Army Corps of Engineers, Waterborne Commerce Statistics </t>
  </si>
  <si>
    <t>tonnage either originating or terminating in the state (including intrastate shipments.)</t>
  </si>
  <si>
    <t xml:space="preserve">Center, CY 2005 Waterborne Tonnage by State, available at </t>
  </si>
  <si>
    <t xml:space="preserve">SOURCE: U.S. Department of Transportation, Research and </t>
  </si>
  <si>
    <t>http://www.iwr.usace.army.mil/ndc/wcsc/statenm06.htm</t>
  </si>
  <si>
    <t xml:space="preserve">SOURCE: Association of American Railroads, Railroads and States-2005, Washington, DC: 2005, available at </t>
  </si>
  <si>
    <t xml:space="preserve">Innovative Technology Administration, Bureau of Transportation Statistics </t>
  </si>
  <si>
    <t xml:space="preserve"> as of Mar. 21, 2008.  </t>
  </si>
  <si>
    <t xml:space="preserve">http://www.aar.org/abouttheindustry/stateinformation.asp </t>
  </si>
  <si>
    <t xml:space="preserve">and U.S. Department of Commerce, U.S. Census Bureau, 2002 Commodity </t>
  </si>
  <si>
    <t>as of Jan. 30, 2008.</t>
  </si>
  <si>
    <t xml:space="preserve">Flow Survey: United States, Washington, DC: 2004, available at </t>
  </si>
  <si>
    <t>* In order not to double count (domestic ship = domestic receive), total is reduced</t>
  </si>
  <si>
    <t xml:space="preserve">http://www.bts.gov/publications/commodity_flow_survey/2002/united_states/ </t>
  </si>
  <si>
    <t>by domestic receive and foreign ship/receive since MARKAL is US activities only.</t>
  </si>
  <si>
    <t>Average miles per ton shipped</t>
  </si>
  <si>
    <t>as of Oct. 17, 2007.</t>
  </si>
  <si>
    <t>Per BTS results of Commodity Flow Survey, 2007</t>
  </si>
  <si>
    <t>Increase in tons shipped</t>
  </si>
  <si>
    <t>From Table 3b</t>
  </si>
  <si>
    <t>Increase in ton-miles</t>
  </si>
  <si>
    <t>Total rail ton-miles (million)</t>
  </si>
  <si>
    <t>From Table 2b</t>
  </si>
  <si>
    <t>Total marine ton-miles (mil)</t>
  </si>
  <si>
    <t>https://1bts.rita.dot.gov/publications/commodity_flow_survey/final_tables_december_2009/</t>
  </si>
  <si>
    <t>This worksheet has the imported MARKAL data for truck technologies.</t>
  </si>
  <si>
    <t>Commercial Trucks:  Conventional Technologies through time include 2018 truck CAFÉ standards.  Advances of conventional beyond 2020 are considered "Improved" technologies here.</t>
  </si>
  <si>
    <t xml:space="preserve">                        Asumes this also applies to alt fuels. (CNG,LPG,E85 meet gasoline regs. B20 meets diesel regs.)</t>
  </si>
  <si>
    <t>ERG name</t>
  </si>
  <si>
    <t>First Year Available</t>
  </si>
  <si>
    <t>Life</t>
  </si>
  <si>
    <t>(M2005$ per billion miles/a)</t>
  </si>
  <si>
    <t>(billion miles/PJ)</t>
  </si>
  <si>
    <t>Commercial Truck, Gasoline 2010</t>
  </si>
  <si>
    <t>Commercial Truck, Conventional Gasoline</t>
  </si>
  <si>
    <t>Cost</t>
  </si>
  <si>
    <t>Commercial Truck, Improved Gasoline</t>
  </si>
  <si>
    <t>Base Gasoline</t>
  </si>
  <si>
    <t>Commercial Truck, Advanced Tech Gasoline</t>
  </si>
  <si>
    <t>Mild Hybrid Tech Gasoline, 2015</t>
  </si>
  <si>
    <t>Mild Hybrid</t>
  </si>
  <si>
    <t>Mild Hybrid Tech Gasoline, 2025</t>
  </si>
  <si>
    <t>Adv GasHybrid</t>
  </si>
  <si>
    <t>Commercial Truck, Advanced Hybrid Tech Gasoline</t>
  </si>
  <si>
    <t>Base Diesel</t>
  </si>
  <si>
    <t>Imp Diesel</t>
  </si>
  <si>
    <t>Adv Diesel</t>
  </si>
  <si>
    <t>Commercial Truck, Diesel 2010</t>
  </si>
  <si>
    <t>Biodeisel</t>
  </si>
  <si>
    <t>Commercial Truck, Conventional Diesel</t>
  </si>
  <si>
    <t>Commercial Truck, Improved Diesel</t>
  </si>
  <si>
    <t>Commercial Truck, Advanced Hybrid Diesel</t>
  </si>
  <si>
    <t>Advanced Tech Diesel, 2015</t>
  </si>
  <si>
    <t>Hydrogen</t>
  </si>
  <si>
    <t>Advanced Tech Diesel, 2025</t>
  </si>
  <si>
    <t>Advanced Tech Diesel, 2040</t>
  </si>
  <si>
    <t>Commercial Truck, B20 2010</t>
  </si>
  <si>
    <t>Commercial Truck, Conventional B20</t>
  </si>
  <si>
    <t>Commercial Truck, Improved B20</t>
  </si>
  <si>
    <t>Commerical Truck, Advanced Hybrid B20</t>
  </si>
  <si>
    <t>Commercial Truck, CNG 2010</t>
  </si>
  <si>
    <t>Commercial Truck, Conventional CNG</t>
  </si>
  <si>
    <t>Commercial Truck, Improved CNG</t>
  </si>
  <si>
    <t>Commerical Truck, Advanced CNG</t>
  </si>
  <si>
    <t>Commerical Truck, Advanced Hybrid CNG</t>
  </si>
  <si>
    <t>Commercial Truck, E85 2010</t>
  </si>
  <si>
    <t>Commercial Truck, Conventional E85</t>
  </si>
  <si>
    <t>Commercial Truck, Improved E85</t>
  </si>
  <si>
    <t>Commercial Truck, Advanced E85</t>
  </si>
  <si>
    <t>Commerical Truck, Hybrid E85</t>
  </si>
  <si>
    <t>Commercial Truck, LPG 2010</t>
  </si>
  <si>
    <t>Commercial Truck, Conventional LPG</t>
  </si>
  <si>
    <t>Commercial Truck, Improved LPG</t>
  </si>
  <si>
    <t>Commercial Truck, Advanced LPG</t>
  </si>
  <si>
    <t>Commercial Truck, Hybrid LPG</t>
  </si>
  <si>
    <t>Commercial Truck, Hydrogen Fuel Cell</t>
  </si>
  <si>
    <t>These data are from a project performed by ERG in 2011-12.   Their primary data sources are  AEO 2010 (including a freight truck technology spreadsheet used to develop</t>
  </si>
  <si>
    <t>advanced technology packages), Transportation Energy Databook Edition 27, GREET Model Ver 1.8, NAS Truck studies 2009</t>
  </si>
  <si>
    <t>Costs for alternative fuel vehicles were scaled using data for alt fuels to gasoline for light duty vehicles in AEO 2010.</t>
  </si>
  <si>
    <t>Baseline alt fuel efficiency from Large Van category in Light-Duty vehicles in AEO 2010</t>
  </si>
  <si>
    <t>Medium Duty Trucks</t>
  </si>
  <si>
    <t>(billion VMT/PJ)</t>
  </si>
  <si>
    <t>Medium Duty Truck, Diesel, 2010</t>
  </si>
  <si>
    <t>adv diesel</t>
  </si>
  <si>
    <t>Medium Duty Truck, Conventional Diesel</t>
  </si>
  <si>
    <t>gasolin</t>
  </si>
  <si>
    <t>adv gasoline</t>
  </si>
  <si>
    <t>Medium Duty Truck, Improved Diesel</t>
  </si>
  <si>
    <t>biodiesel</t>
  </si>
  <si>
    <t>Medium Duty Truck, Advanced Diesel</t>
  </si>
  <si>
    <t>Medium Duty Truck, Advanced Hybrid Diesel</t>
  </si>
  <si>
    <t>Medium Duty Truck, Gasoline, 2010</t>
  </si>
  <si>
    <t>Medium Duty Truck, Conventional Gasoline</t>
  </si>
  <si>
    <t>Medium Duty Truck, Improved Gasoline</t>
  </si>
  <si>
    <t>Medium Duty Truck, Advanced Hybrid Gasoline</t>
  </si>
  <si>
    <t>Medium Duty Truck, B20, 2010</t>
  </si>
  <si>
    <t>Medium Duty Truck, Conventional B20</t>
  </si>
  <si>
    <t>Medium Duty Truck, Improved B20</t>
  </si>
  <si>
    <t>Medium Duty Truck Advanced Tech B20</t>
  </si>
  <si>
    <t>Medium Duty Truck Advanced Hybrid B20</t>
  </si>
  <si>
    <t>Medium Duty Truck, CNG, 2010</t>
  </si>
  <si>
    <t>Medium Duty Truck, Conventional CNG</t>
  </si>
  <si>
    <t>Medium Duty Truck, Improved CNG</t>
  </si>
  <si>
    <t>Medium Duty Truck, Advanced Hybrid CNG</t>
  </si>
  <si>
    <t>Medium Duty Truck, LPG, 2010</t>
  </si>
  <si>
    <t>Medium Duty Truck, Conventional LPG</t>
  </si>
  <si>
    <t>Medium Duty Truck, Improved LPG</t>
  </si>
  <si>
    <t>Medium Duty Truck, Advanced Hybrid LPG</t>
  </si>
  <si>
    <t>Medium Duty Truck, Existing Gasoline</t>
  </si>
  <si>
    <t>Medium Duty Truck, Existing Diesel</t>
  </si>
  <si>
    <t>Medium Duty Truck, Existing LPG</t>
  </si>
  <si>
    <t>Medium Duty Truck, Existing CNG</t>
  </si>
  <si>
    <t>These data are from a project performed by ERG in 2011.   Their primary data sources are  AEO 2010 (including a freight truck technology spreadsheet used to develop</t>
  </si>
  <si>
    <t>advanced technology packages), GREET Model Ver 1.8. Some individual data from other misc articles.</t>
  </si>
  <si>
    <t>Heavy Duty Trucks - long and short haul</t>
  </si>
  <si>
    <t>Short haul</t>
  </si>
  <si>
    <t>Advanced B20</t>
  </si>
  <si>
    <t>Advanced Hybrid B20</t>
  </si>
  <si>
    <t>Based on CARB doc indicating Short Haul mpg is .938 of Long Haul</t>
  </si>
  <si>
    <t>Long Haul</t>
  </si>
  <si>
    <t>SW diesel</t>
  </si>
  <si>
    <t xml:space="preserve">LNG data were all estimates from ERG.  MARKAL has no LNG energy carrier.  </t>
  </si>
  <si>
    <t>For MARKAL we assume that the short haul heavy duty will be the only one which uses natural gas.</t>
  </si>
  <si>
    <t>Lifetime from Table 3.13 ORNL's Transportation Energy Data Book, Ed. 30</t>
  </si>
  <si>
    <t>All data in this table come from ERG project file "Onroad HD trucks and buses _WA 4-18_final.xls"</t>
  </si>
  <si>
    <t>This worksheet has the imported Markal technology data for passenger rail and bus technologies.</t>
  </si>
  <si>
    <t>This data was collected through a project by ERG. Original data is found in workbook Onroad HD and Buses_Final_3. (7/20/2011)</t>
  </si>
  <si>
    <t>(M2005$ per billion vehicle miles/a)</t>
  </si>
  <si>
    <t>Bus, Exisiting Gasoline</t>
  </si>
  <si>
    <t>Bus, Diesel 2010</t>
  </si>
  <si>
    <t>Bus, Conventional Diesel</t>
  </si>
  <si>
    <t>adv CNG</t>
  </si>
  <si>
    <t>H2 Hybrid</t>
  </si>
  <si>
    <t>Bus, Advanced Tech Diesel</t>
  </si>
  <si>
    <t>Bus, Advanced Hybrid Diesel</t>
  </si>
  <si>
    <t>Bus, B20 2010</t>
  </si>
  <si>
    <t>Bus, Conventional B20</t>
  </si>
  <si>
    <t>Bus, Improved B20</t>
  </si>
  <si>
    <t>Bus, Advanced Tech B20</t>
  </si>
  <si>
    <t>Bus, Advanced Hybrid B20</t>
  </si>
  <si>
    <t>Bus, CNG , 2010</t>
  </si>
  <si>
    <t>Bus, Conventional CNG</t>
  </si>
  <si>
    <t>Bus, Advanced Tech CNG</t>
  </si>
  <si>
    <t>Bus, Advanced Hybird CNG</t>
  </si>
  <si>
    <t>Bus, Hydrogen Fuel Cell</t>
  </si>
  <si>
    <t>Bus, Hydrogen Fuel Cell Hybrid</t>
  </si>
  <si>
    <t>All 2010+ Diesel technologies assumed ULSD</t>
  </si>
  <si>
    <t>No data given for exisiting CNG buses, so 2005 CNG assumed to be comparable to 2010 CNG to meet resid.</t>
  </si>
  <si>
    <r>
      <t xml:space="preserve">Primary sources for bus data: NEMS Advanced Technologies Options file, </t>
    </r>
    <r>
      <rPr>
        <i/>
        <sz val="8"/>
        <rFont val="Arial"/>
        <family val="2"/>
      </rPr>
      <t>Public Transportation Fact Book</t>
    </r>
    <r>
      <rPr>
        <sz val="8"/>
        <rFont val="Arial"/>
        <family val="2"/>
      </rPr>
      <t>, DOT, NESCCAF, and TCRP (Transit Cooperative Research Program).</t>
    </r>
  </si>
  <si>
    <t>CAPUNIT</t>
  </si>
  <si>
    <t>CR &amp; IR Cost data updated from ERG project.  Original data in file "MARKAL rail spreadsheet"</t>
  </si>
  <si>
    <t>bn-pass-m/a</t>
  </si>
  <si>
    <t>bn-pass-miles/PJ</t>
  </si>
  <si>
    <t>CPT cost data unchanged from original 1997 database</t>
  </si>
  <si>
    <t>TP efficiencies from updated APTA data on Rali&amp;Bus worksheet.</t>
  </si>
  <si>
    <t>TPELCPT</t>
  </si>
  <si>
    <t>Conversion Factors</t>
  </si>
  <si>
    <t>Hours per day</t>
  </si>
  <si>
    <t>Days per year</t>
  </si>
  <si>
    <t>j per btu</t>
  </si>
  <si>
    <t>btu per watthr</t>
  </si>
  <si>
    <t>j per pj</t>
  </si>
  <si>
    <t>dollar($) per $m</t>
  </si>
  <si>
    <t>cfm hrs per trillion cfm hrs</t>
  </si>
  <si>
    <t>lumens per billion lumens</t>
  </si>
  <si>
    <t>kwhr per j</t>
  </si>
  <si>
    <t>units per m units</t>
  </si>
  <si>
    <t>btu per mmbtu</t>
  </si>
  <si>
    <t>tBTU to PJ</t>
  </si>
  <si>
    <t>mmbtu/PJ</t>
  </si>
  <si>
    <t xml:space="preserve">NIPA Table 1.1.9. Implicit Price Deflators for Gross Domestic Product                                                                                                                                                                                          </t>
  </si>
  <si>
    <t xml:space="preserve">[Index numbers, 2000=100]                                                                                                                                                                                                                                 </t>
  </si>
  <si>
    <t>Bureau of Economic Analysis</t>
  </si>
  <si>
    <t xml:space="preserve">Downloaded on 11/5/2008 At 4:35 PM    Last Revised October 30, 2008    </t>
  </si>
  <si>
    <t>Deflator</t>
  </si>
  <si>
    <t>To convert this year to 2005, multiply by</t>
  </si>
  <si>
    <t>Efficiencies modified to take into account different heating values of each fuel, provided below.</t>
  </si>
  <si>
    <t>HC, 080607</t>
  </si>
  <si>
    <t>Heating values for various fuels</t>
  </si>
  <si>
    <t>HHV (MMBTU/gal)</t>
  </si>
  <si>
    <t>(AEO Tables H1 and H2)</t>
  </si>
  <si>
    <t>(AEO 2011 Table G1, converted from barrels)</t>
  </si>
  <si>
    <t>Ethanol Fuel</t>
  </si>
  <si>
    <t>(AEO 2007 Table 12, p59)</t>
  </si>
  <si>
    <t>Biodiesel (B100)</t>
  </si>
  <si>
    <t>Propane (LPG)</t>
  </si>
  <si>
    <t>(Table B.4 in transportation Energy Data Book: Edition 26, 2007.)</t>
  </si>
  <si>
    <t>(Calculated from AEO 2011 values)</t>
  </si>
  <si>
    <t>Butane</t>
  </si>
  <si>
    <t>Natural gas (Methane)</t>
  </si>
  <si>
    <t>(This is converted to equivalent heating value based on TEDB. CNG 1kg-&gt;1.33 L gas) )</t>
  </si>
  <si>
    <t>Compressed (BTU/lbs)</t>
  </si>
  <si>
    <t>Dry(BTU/ft3)</t>
  </si>
  <si>
    <t>liquid(BTU/gal)</t>
  </si>
  <si>
    <t>Aviation gasoline</t>
  </si>
  <si>
    <t>Jet fuel (kerosene)</t>
  </si>
  <si>
    <t>Methanol</t>
  </si>
  <si>
    <t>M85</t>
  </si>
  <si>
    <t>(Calculated value based on above HHV of Methanol and gasoline)</t>
  </si>
  <si>
    <t>Source for converting:</t>
  </si>
  <si>
    <t>http://alternativefuels.about.com/od/resources/a/gge.htm</t>
  </si>
  <si>
    <t>http://www.nafa.org/Content/NavigationMenu/Resource_Center/Alternative_Fuels/Energy_Equivalents/Energy_Equivalents.htm</t>
  </si>
  <si>
    <t>vehicle</t>
  </si>
  <si>
    <t>pollutant</t>
  </si>
  <si>
    <t>fuel</t>
  </si>
  <si>
    <t>Added by Andrew Zalesak on 5 May, 2022 using the updated, borough-specific MOVES data with PM2.5 fixed.</t>
  </si>
  <si>
    <t>ELC</t>
  </si>
  <si>
    <t>Readme - 05-12-2022</t>
  </si>
  <si>
    <t>For questions contact: Ozge Kaplan, kaplan.ozge@epa.gov, 919-541-5069</t>
  </si>
  <si>
    <t>Contributors:</t>
  </si>
  <si>
    <t>Mine Isik, Former ORISE</t>
  </si>
  <si>
    <t>Andrew Zalesak, ORISE</t>
  </si>
  <si>
    <t>General Notes</t>
  </si>
  <si>
    <t>Tabs for pages that consist primarily of input data are colored blue</t>
  </si>
  <si>
    <t>Tabs for pages that consist primarily of calculations are white</t>
  </si>
  <si>
    <t>Tabs for pages that are read into Answer are colored yellow</t>
  </si>
  <si>
    <t>The tabs generally should be navigated from right to left, e.g., the</t>
  </si>
  <si>
    <t xml:space="preserve">   pages with input data tables are the right-most. Calculations</t>
  </si>
  <si>
    <t xml:space="preserve">   come next (with each subsequent page typically building on the </t>
  </si>
  <si>
    <t xml:space="preserve">   a previous page). Finally, the MARKAL inputs are in the left-most</t>
  </si>
  <si>
    <t xml:space="preserve">   pages.</t>
  </si>
  <si>
    <t>Data Inputs to this sector</t>
  </si>
  <si>
    <t>Population Data ("Population")</t>
  </si>
  <si>
    <t>'- U.S. Census Bureau projections</t>
  </si>
  <si>
    <t>'- U.S. EPA ORD Integrated Land Use Scenarios model projections</t>
  </si>
  <si>
    <t>- NYC Population Estimates</t>
  </si>
  <si>
    <t>Vehicle Miles Traveled Breakdown by Region ("Demands")</t>
  </si>
  <si>
    <t>'- EIA Household Transportation Energy Use Survey, 2001</t>
  </si>
  <si>
    <t>Price Deflators to Convert Costs to $2000 ("GDPdeflator")</t>
  </si>
  <si>
    <t>'- Bureau of Economic Analysis NIPA Table 1.1.9</t>
  </si>
  <si>
    <t>Vehicle Sales Data by Class ("Sales Data")</t>
  </si>
  <si>
    <t>'- EIA Annual Energy Outlook 2008, Table 51</t>
  </si>
  <si>
    <t>Technology Cost and Efficiency Estimates ("AEO08 T59","AEO08 T60","OTAQ-Car","OTAQ-Truck","QM2002")</t>
  </si>
  <si>
    <t>'- EIA Annual Energy Outlook 2008, Tables 59 and 60</t>
  </si>
  <si>
    <t>'- OTAQ vehicle assumptions for SGM provided by Simon Mui</t>
  </si>
  <si>
    <t>'- Vehicle maintenance estimates from DOE's Quality Metrics Report 2002</t>
  </si>
  <si>
    <t>Emissions (ICF WA on County Level MOVES runs)</t>
  </si>
  <si>
    <t>-county simulated MOVES runs</t>
  </si>
  <si>
    <t>Existing Fleet Info</t>
  </si>
  <si>
    <t>'- Transportation Energy Data book, Edition 21</t>
  </si>
  <si>
    <t xml:space="preserve">- NYC.GOV </t>
  </si>
  <si>
    <t>General Flow of Operations for Preparing Data for Input to ANSWER</t>
  </si>
  <si>
    <t>Demand Calculation:</t>
  </si>
  <si>
    <t>'- Regional VMT demands are calculated in "VMT by Region"</t>
  </si>
  <si>
    <t>Vehicle Characterization:</t>
  </si>
  <si>
    <t>'- Vehicle efficiency and cost calculations for vehicles described in AEO are provided in the "Costs" and "Efficiencies" pages</t>
  </si>
  <si>
    <t>- Additional vehicle types are characterized in "AdditionalVehs"</t>
  </si>
  <si>
    <t>'- The AEO and additional vehicle data are consolidated in "ConsolidatedVehData"</t>
  </si>
  <si>
    <t>Emissions Characterization:</t>
  </si>
  <si>
    <t>- Emission factors from MOVES are consolidated in "NewEmisData"</t>
  </si>
  <si>
    <t>'- These factors are linked to vehicle technologies &amp; classes in "Emissions Linkage"</t>
  </si>
  <si>
    <t>Characterization of Existing Fleet:</t>
  </si>
  <si>
    <t>'- Carried out in "Existing Fleet"</t>
  </si>
  <si>
    <t>Formated Input for Loading into Answer</t>
  </si>
  <si>
    <t>'- Demands: "CommData"</t>
  </si>
  <si>
    <t>'- Backstop technologies: "TechDataZZ" (not currently used)</t>
  </si>
  <si>
    <t>'- Emissions: "TechData-Emissions"</t>
  </si>
  <si>
    <t>'- Characterization of existing vehicles: "TechData_RES" (RES here represents "residual")</t>
  </si>
  <si>
    <t>'- Characterization of vehicle costs, efficiencies, fuels, lifetimes, etc.: "TechData_All"</t>
  </si>
  <si>
    <t>'- Market share and fuel share constraints: "ConstrData"</t>
  </si>
  <si>
    <t>'- Declaration of fuel, technology, and constraint names: "Constraints", "Technologies", "Commodities"</t>
  </si>
  <si>
    <t>Exogenous Assumptions:</t>
  </si>
  <si>
    <t>'* Population growth - several projections are available from different sources</t>
  </si>
  <si>
    <t xml:space="preserve">* VMT/person by region is calculated from input data. </t>
  </si>
  <si>
    <t>-inelastic</t>
  </si>
  <si>
    <t xml:space="preserve">'* Market share breakdown by class is constrained to follow AEO </t>
  </si>
  <si>
    <t>projections</t>
  </si>
  <si>
    <t xml:space="preserve">'* Vehicle cost and efficiency data is largely from AEO's time </t>
  </si>
  <si>
    <t xml:space="preserve">series projections. We do not assume that learning will decrease </t>
  </si>
  <si>
    <t xml:space="preserve">costs (although some degree of learning is likely represented in </t>
  </si>
  <si>
    <t>AEO's projections for technologies that penetrate the market)</t>
  </si>
  <si>
    <t>Endogenous Calculations:</t>
  </si>
  <si>
    <t xml:space="preserve">MARKAL seeks to find the set of technologies in all modeled sectors </t>
  </si>
  <si>
    <t xml:space="preserve">that meets energy demands at least cost. Fuel prices are calculated </t>
  </si>
  <si>
    <t>endogenously as a function of their supply curves. The primary outputs</t>
  </si>
  <si>
    <t xml:space="preserve"> include technology penetrations, fuel use, and the resulting </t>
  </si>
  <si>
    <t xml:space="preserve">emissions. The model may also have to meet other constraints, such </t>
  </si>
  <si>
    <t xml:space="preserve">as lower or upper bounds on market share for technologies and/or </t>
  </si>
  <si>
    <t>fuels.</t>
  </si>
  <si>
    <t>~FI_Comm</t>
  </si>
  <si>
    <t>Csets</t>
  </si>
  <si>
    <t>LimType</t>
  </si>
  <si>
    <t>CTSLvl</t>
  </si>
  <si>
    <t>PeakTS</t>
  </si>
  <si>
    <t>Ctype</t>
  </si>
  <si>
    <t>NRG</t>
  </si>
  <si>
    <t>DEM</t>
  </si>
  <si>
    <t>~FI_Process</t>
  </si>
  <si>
    <t>Tact</t>
  </si>
  <si>
    <t>Tcap</t>
  </si>
  <si>
    <t>Sets</t>
  </si>
  <si>
    <t>PrimaryCG</t>
  </si>
  <si>
    <t>Vintage</t>
  </si>
  <si>
    <t>PRE</t>
  </si>
  <si>
    <t>*COM_PROJ~2005</t>
  </si>
  <si>
    <t>COM_PROJ~2010</t>
  </si>
  <si>
    <t>COM_PROJ~2015</t>
  </si>
  <si>
    <t>COM_PROJ~2020</t>
  </si>
  <si>
    <t>COM_PROJ~2025</t>
  </si>
  <si>
    <t>COM_PROJ~2030</t>
  </si>
  <si>
    <t>COM_PROJ~2035</t>
  </si>
  <si>
    <t>COM_PROJ~2040</t>
  </si>
  <si>
    <t>COM_PROJ~2045</t>
  </si>
  <si>
    <t>COM_PROJ~2050</t>
  </si>
  <si>
    <t>COM_PROJ~2055</t>
  </si>
  <si>
    <t>*CommDesc</t>
  </si>
  <si>
    <t>*Units</t>
  </si>
  <si>
    <t>NCAP_START</t>
  </si>
  <si>
    <t>NCAP_TLIFE</t>
  </si>
  <si>
    <t>NCAP_DRATE</t>
  </si>
  <si>
    <t>EFF~2010</t>
  </si>
  <si>
    <t>EFF~2015</t>
  </si>
  <si>
    <t>EFF~2020</t>
  </si>
  <si>
    <t>EFF~2025</t>
  </si>
  <si>
    <t>EFF~2030</t>
  </si>
  <si>
    <t>EFF~2035</t>
  </si>
  <si>
    <t>EFF~2040</t>
  </si>
  <si>
    <t>EFF~2045</t>
  </si>
  <si>
    <t>EFF~2050</t>
  </si>
  <si>
    <t>EFF~2055</t>
  </si>
  <si>
    <t>NCAP_COST~2010</t>
  </si>
  <si>
    <t>NCAP_COST~2015</t>
  </si>
  <si>
    <t>NCAP_COST~2020</t>
  </si>
  <si>
    <t>NCAP_COST~2025</t>
  </si>
  <si>
    <t>NCAP_COST~2030</t>
  </si>
  <si>
    <t>NCAP_COST~2035</t>
  </si>
  <si>
    <t>NCAP_COST~2040</t>
  </si>
  <si>
    <t>NCAP_COST~2045</t>
  </si>
  <si>
    <t>NCAP_COST~2050</t>
  </si>
  <si>
    <t>NCAP_COST~2055</t>
  </si>
  <si>
    <t>NCAP_FOM</t>
  </si>
  <si>
    <t>PRC_RESID~R2~2010</t>
  </si>
  <si>
    <t>PRC_RESID~R3~2010</t>
  </si>
  <si>
    <t>PRC_RESID~R4~2010</t>
  </si>
  <si>
    <t>PRC_RESID~R5~2010</t>
  </si>
  <si>
    <t>PRC_RESID~R6~2010</t>
  </si>
  <si>
    <t>NACP_AFA</t>
  </si>
  <si>
    <t>NCAP_BND~2010</t>
  </si>
  <si>
    <t>NCAP_BND~2015</t>
  </si>
  <si>
    <t>NCAP_BND~2020</t>
  </si>
  <si>
    <t>NCAP_BND~2025</t>
  </si>
  <si>
    <t>NCAP_BND~2030</t>
  </si>
  <si>
    <t>NCAP_BND~2035</t>
  </si>
  <si>
    <t>NCAP_BND~2040</t>
  </si>
  <si>
    <t>NCAP_BND~2045</t>
  </si>
  <si>
    <t>NCAP_BND~2050</t>
  </si>
  <si>
    <t>NCAP_BND~2055</t>
  </si>
  <si>
    <t>Share~UP</t>
  </si>
  <si>
    <t>*Aviation</t>
  </si>
  <si>
    <t>*TechDesc</t>
  </si>
  <si>
    <t>ENV_ACT~NOX~2010</t>
  </si>
  <si>
    <t>ENV_ACT~NOX~2055</t>
  </si>
  <si>
    <t>ENV_ACT~NOX~2015</t>
  </si>
  <si>
    <t>ENV_ACT~NOX~2020</t>
  </si>
  <si>
    <t>ENV_ACT~NOX~2025</t>
  </si>
  <si>
    <t>ENV_ACT~SO2~2010</t>
  </si>
  <si>
    <t>ENV_ACT~SO2~2015</t>
  </si>
  <si>
    <t>ENV_ACT~SO2~2020</t>
  </si>
  <si>
    <t>ENV_ACT~SO2~2025</t>
  </si>
  <si>
    <t>ENV_ACT~SO2~2055</t>
  </si>
  <si>
    <t>ENV_ACT~PM10~2010</t>
  </si>
  <si>
    <t>ENV_ACT~PM10~2055</t>
  </si>
  <si>
    <t>ENV_ACT~PM25~2010</t>
  </si>
  <si>
    <t>ENV_ACT~PM25~2055</t>
  </si>
  <si>
    <t>ENV_ACT~CO~2010</t>
  </si>
  <si>
    <t>ENV_ACT~CO~2055</t>
  </si>
  <si>
    <t>ENV_ACT~N2O~2010</t>
  </si>
  <si>
    <t>ENV_ACT~N2O~2055</t>
  </si>
  <si>
    <t>ENV_ACT~CH4~2010</t>
  </si>
  <si>
    <t>ENV_ACT~CH4~2055</t>
  </si>
  <si>
    <t>ENV_ACT~VOC~2010</t>
  </si>
  <si>
    <t>ENV_ACT~VOC~2055</t>
  </si>
  <si>
    <t>ENV_ACT~BC~2010</t>
  </si>
  <si>
    <t>ENV_ACT~BC~2055</t>
  </si>
  <si>
    <t>ENV_ACT~OC~2010</t>
  </si>
  <si>
    <t>ENV_ACT~OC~2055</t>
  </si>
  <si>
    <t>ENV_ACT~NOXT~2010</t>
  </si>
  <si>
    <t>ENV_ACT~NOXT~2015</t>
  </si>
  <si>
    <t>ENV_ACT~NOXT~2020</t>
  </si>
  <si>
    <t>ENV_ACT~NOXT~2025</t>
  </si>
  <si>
    <t>ENV_ACT~NOXT~2055</t>
  </si>
  <si>
    <t>ENV_ACT~SO2T~2010</t>
  </si>
  <si>
    <t>ENV_ACT~SO2T~2015</t>
  </si>
  <si>
    <t>ENV_ACT~SO2T~2020</t>
  </si>
  <si>
    <t>ENV_ACT~SO2T~2025</t>
  </si>
  <si>
    <t>ENV_ACT~SO2T~2055</t>
  </si>
  <si>
    <t>ENV_ACT~PM10T~2010</t>
  </si>
  <si>
    <t>ENV_ACT~PM10T~2055</t>
  </si>
  <si>
    <t>ENV_ACT~PM25T~2010</t>
  </si>
  <si>
    <t>ENV_ACT~PM25T~2055</t>
  </si>
  <si>
    <t>*CommIN</t>
  </si>
  <si>
    <t>*CommOUT</t>
  </si>
  <si>
    <t>*Type</t>
  </si>
  <si>
    <t>*Fuel</t>
  </si>
  <si>
    <t>*Adjustment</t>
  </si>
  <si>
    <t>*Categories for tracking emissions</t>
  </si>
  <si>
    <t>*ENV_ACT~CO2~2010</t>
  </si>
  <si>
    <t>*ENV_ACT~CO2~2015</t>
  </si>
  <si>
    <t>*ENV_ACT~CO2~2020</t>
  </si>
  <si>
    <t>*ENV_ACT~CO2~2025</t>
  </si>
  <si>
    <t>*ENV_ACT~CO2~2030</t>
  </si>
  <si>
    <t>*ENV_ACT~CO2~2035</t>
  </si>
  <si>
    <t>*ENV_ACT~CO2~2040</t>
  </si>
  <si>
    <t>*ENV_ACT~CO2~2045</t>
  </si>
  <si>
    <t>*ENV_ACT~CO2~2050</t>
  </si>
  <si>
    <t>*ENV_ACT~CO2~2055</t>
  </si>
  <si>
    <t>ENV_ACT~NOX~2030</t>
  </si>
  <si>
    <t>ENV_ACT~NOX~2035</t>
  </si>
  <si>
    <t>ENV_ACT~NOX~2040</t>
  </si>
  <si>
    <t>ENV_ACT~NOX~2045</t>
  </si>
  <si>
    <t>ENV_ACT~NOX~2050</t>
  </si>
  <si>
    <t>*ENV_ACT~SO2~2005</t>
  </si>
  <si>
    <t>ENV_ACT~SO2~2030</t>
  </si>
  <si>
    <t>ENV_ACT~SO2~2035</t>
  </si>
  <si>
    <t>ENV_ACT~SO2~2040</t>
  </si>
  <si>
    <t>ENV_ACT~SO2~2045</t>
  </si>
  <si>
    <t>ENV_ACT~SO2~2050</t>
  </si>
  <si>
    <t>*ENV_ACT~PM10~2005</t>
  </si>
  <si>
    <t>ENV_ACT~PM10~2015</t>
  </si>
  <si>
    <t>ENV_ACT~PM10~2020</t>
  </si>
  <si>
    <t>ENV_ACT~PM10~2025</t>
  </si>
  <si>
    <t>ENV_ACT~PM10~2030</t>
  </si>
  <si>
    <t>ENV_ACT~PM10~2035</t>
  </si>
  <si>
    <t>ENV_ACT~PM10~2040</t>
  </si>
  <si>
    <t>ENV_ACT~PM10~2045</t>
  </si>
  <si>
    <t>ENV_ACT~PM10~2050</t>
  </si>
  <si>
    <t>*ENV_ACT~PM25~2005</t>
  </si>
  <si>
    <t>ENV_ACT~PM25~2015</t>
  </si>
  <si>
    <t>ENV_ACT~PM25~2020</t>
  </si>
  <si>
    <t>ENV_ACT~PM25~2025</t>
  </si>
  <si>
    <t>ENV_ACT~PM25~2030</t>
  </si>
  <si>
    <t>ENV_ACT~PM25~2035</t>
  </si>
  <si>
    <t>ENV_ACT~PM25~2040</t>
  </si>
  <si>
    <t>ENV_ACT~PM25~2045</t>
  </si>
  <si>
    <t>ENV_ACT~PM25~2050</t>
  </si>
  <si>
    <t>*ENV_ACT~CO~2005</t>
  </si>
  <si>
    <t>ENV_ACT~CO~2015</t>
  </si>
  <si>
    <t>ENV_ACT~CO~2020</t>
  </si>
  <si>
    <t>ENV_ACT~CO~2025</t>
  </si>
  <si>
    <t>ENV_ACT~CO~2030</t>
  </si>
  <si>
    <t>ENV_ACT~CO~2035</t>
  </si>
  <si>
    <t>ENV_ACT~CO~2040</t>
  </si>
  <si>
    <t>ENV_ACT~CO~2045</t>
  </si>
  <si>
    <t>ENV_ACT~CO~2050</t>
  </si>
  <si>
    <t>*ENV_ACT~VOC~2005</t>
  </si>
  <si>
    <t>ENV_ACT~VOC~2015</t>
  </si>
  <si>
    <t>ENV_ACT~VOC~2020</t>
  </si>
  <si>
    <t>ENV_ACT~VOC~2025</t>
  </si>
  <si>
    <t>ENV_ACT~VOC~2030</t>
  </si>
  <si>
    <t>ENV_ACT~VOC~2035</t>
  </si>
  <si>
    <t>ENV_ACT~VOC~2040</t>
  </si>
  <si>
    <t>ENV_ACT~VOC~2045</t>
  </si>
  <si>
    <t>ENV_ACT~VOC~2050</t>
  </si>
  <si>
    <t>*ENV_ACT~NH3~2005</t>
  </si>
  <si>
    <t>ENV_ACT~NH3~2010</t>
  </si>
  <si>
    <t>ENV_ACT~NH3~2015</t>
  </si>
  <si>
    <t>ENV_ACT~NH3~2020</t>
  </si>
  <si>
    <t>ENV_ACT~NH3~2025</t>
  </si>
  <si>
    <t>ENV_ACT~NH3~2030</t>
  </si>
  <si>
    <t>ENV_ACT~NH3~2035</t>
  </si>
  <si>
    <t>ENV_ACT~NH3~2040</t>
  </si>
  <si>
    <t>ENV_ACT~NH3~2045</t>
  </si>
  <si>
    <t>ENV_ACT~NH3~2050</t>
  </si>
  <si>
    <t>ENV_ACT~NH3~2055</t>
  </si>
  <si>
    <t>*ENV_ACT~N2O~2005</t>
  </si>
  <si>
    <t>ENV_ACT~N2O~2015</t>
  </si>
  <si>
    <t>ENV_ACT~N2O~2020</t>
  </si>
  <si>
    <t>ENV_ACT~N2O~2025</t>
  </si>
  <si>
    <t>ENV_ACT~N2O~2030</t>
  </si>
  <si>
    <t>ENV_ACT~N2O~2035</t>
  </si>
  <si>
    <t>ENV_ACT~N2O~2040</t>
  </si>
  <si>
    <t>ENV_ACT~N2O~2045</t>
  </si>
  <si>
    <t>ENV_ACT~N2O~2050</t>
  </si>
  <si>
    <t>*ENV_ACT~BC~2005</t>
  </si>
  <si>
    <t>ENV_ACT~BC~2015</t>
  </si>
  <si>
    <t>ENV_ACT~BC~2020</t>
  </si>
  <si>
    <t>ENV_ACT~BC~2025</t>
  </si>
  <si>
    <t>ENV_ACT~BC~2030</t>
  </si>
  <si>
    <t>ENV_ACT~BC~2035</t>
  </si>
  <si>
    <t>ENV_ACT~BC~2040</t>
  </si>
  <si>
    <t>ENV_ACT~BC~2045</t>
  </si>
  <si>
    <t>ENV_ACT~BC~2050</t>
  </si>
  <si>
    <t>*ENV_ACT~OC~2005</t>
  </si>
  <si>
    <t>ENV_ACT~OC~2015</t>
  </si>
  <si>
    <t>ENV_ACT~OC~2020</t>
  </si>
  <si>
    <t>ENV_ACT~OC~2025</t>
  </si>
  <si>
    <t>ENV_ACT~OC~2030</t>
  </si>
  <si>
    <t>ENV_ACT~OC~2035</t>
  </si>
  <si>
    <t>ENV_ACT~OC~2040</t>
  </si>
  <si>
    <t>ENV_ACT~OC~2045</t>
  </si>
  <si>
    <t>ENV_ACT~OC~2050</t>
  </si>
  <si>
    <t>*ENV_ACT~CH4~2005</t>
  </si>
  <si>
    <t>ENV_ACT~CH4~2015</t>
  </si>
  <si>
    <t>ENV_ACT~CH4~2020</t>
  </si>
  <si>
    <t>ENV_ACT~CH4~2025</t>
  </si>
  <si>
    <t>ENV_ACT~CH4~2030</t>
  </si>
  <si>
    <t>ENV_ACT~CH4~2035</t>
  </si>
  <si>
    <t>ENV_ACT~CH4~2040</t>
  </si>
  <si>
    <t>ENV_ACT~CH4~2045</t>
  </si>
  <si>
    <t>ENV_ACT~CH4~2050</t>
  </si>
  <si>
    <t>*ENV_ACT~CO2T~2005</t>
  </si>
  <si>
    <t>*ENV_ACT~CO2T~2010</t>
  </si>
  <si>
    <t>*ENV_ACT~CO2T~2015</t>
  </si>
  <si>
    <t>*ENV_ACT~CO2T~2020</t>
  </si>
  <si>
    <t>*ENV_ACT~CO2T~2025</t>
  </si>
  <si>
    <t>*ENV_ACT~CO2T~2030</t>
  </si>
  <si>
    <t>*ENV_ACT~CO2T~2035</t>
  </si>
  <si>
    <t>*ENV_ACT~CO2T~2040</t>
  </si>
  <si>
    <t>*ENV_ACT~CO2T~2045</t>
  </si>
  <si>
    <t>*ENV_ACT~CO2T~2050</t>
  </si>
  <si>
    <t>*ENV_ACT~CO2T~2055</t>
  </si>
  <si>
    <t>*ENV_ACT~NOXT~2005</t>
  </si>
  <si>
    <t>ENV_ACT~NOXT~2030</t>
  </si>
  <si>
    <t>ENV_ACT~NOXT~2035</t>
  </si>
  <si>
    <t>ENV_ACT~NOXT~2040</t>
  </si>
  <si>
    <t>ENV_ACT~NOXT~2045</t>
  </si>
  <si>
    <t>ENV_ACT~NOXT~2050</t>
  </si>
  <si>
    <t>*ENV_ACT~SO2T~2005</t>
  </si>
  <si>
    <t>ENV_ACT~SO2T~2030</t>
  </si>
  <si>
    <t>ENV_ACT~SO2T~2035</t>
  </si>
  <si>
    <t>ENV_ACT~SO2T~2040</t>
  </si>
  <si>
    <t>ENV_ACT~SO2T~2045</t>
  </si>
  <si>
    <t>ENV_ACT~SO2T~2050</t>
  </si>
  <si>
    <t>*ENV_ACT~PM10T~2005</t>
  </si>
  <si>
    <t>ENV_ACT~PM10T~2015</t>
  </si>
  <si>
    <t>ENV_ACT~PM10T~2020</t>
  </si>
  <si>
    <t>ENV_ACT~PM10T~2025</t>
  </si>
  <si>
    <t>ENV_ACT~PM10T~2030</t>
  </si>
  <si>
    <t>ENV_ACT~PM10T~2035</t>
  </si>
  <si>
    <t>ENV_ACT~PM10T~2040</t>
  </si>
  <si>
    <t>ENV_ACT~PM10T~2045</t>
  </si>
  <si>
    <t>ENV_ACT~PM10T~2050</t>
  </si>
  <si>
    <t>*ENV_ACT~PM25T~2005</t>
  </si>
  <si>
    <t>ENV_ACT~PM25T~2015</t>
  </si>
  <si>
    <t>ENV_ACT~PM25T~2020</t>
  </si>
  <si>
    <t>ENV_ACT~PM25T~2025</t>
  </si>
  <si>
    <t>ENV_ACT~PM25T~2030</t>
  </si>
  <si>
    <t>ENV_ACT~PM25T~2035</t>
  </si>
  <si>
    <t>ENV_ACT~PM25T~2040</t>
  </si>
  <si>
    <t>ENV_ACT~PM25T~2045</t>
  </si>
  <si>
    <t>ENV_ACT~PM25T~2050</t>
  </si>
  <si>
    <t>FI_T</t>
  </si>
  <si>
    <t>ENV_ACT~NOX</t>
  </si>
  <si>
    <t>ENV_ACT~NOX~</t>
  </si>
  <si>
    <t>ENV_ACT~SO2~</t>
  </si>
  <si>
    <t>ENV_ACT~PM10</t>
  </si>
  <si>
    <t>ENV_ACT~PM10~</t>
  </si>
  <si>
    <t>ENV_ACT~PM25</t>
  </si>
  <si>
    <t>ENV_ACT~PM25~</t>
  </si>
  <si>
    <t>ENV_ACT~CO</t>
  </si>
  <si>
    <t>ENV_ACT~N2O</t>
  </si>
  <si>
    <t>ENV_ACT~CH4</t>
  </si>
  <si>
    <t>ENV_ACT~VOC</t>
  </si>
  <si>
    <t>ENV_ACT~VOC~</t>
  </si>
  <si>
    <t>ENV_ACT~BC</t>
  </si>
  <si>
    <t>ENV_ACT~BC~</t>
  </si>
  <si>
    <t>ENV_ACT~OC</t>
  </si>
  <si>
    <t>ENV_ACT~OC~</t>
  </si>
  <si>
    <t>ENV_ACT~NOXT</t>
  </si>
  <si>
    <t>ENV_ACT~NOXT~</t>
  </si>
  <si>
    <t>ENV_ACT~SO2T~</t>
  </si>
  <si>
    <t>ENV_ACT~PM10T</t>
  </si>
  <si>
    <t>ENV_ACT~PM10T~</t>
  </si>
  <si>
    <t>ENV_ACT~PM25T</t>
  </si>
  <si>
    <t>ENV_ACT~PM25T~</t>
  </si>
  <si>
    <t>~FI_T</t>
  </si>
  <si>
    <t>Pja</t>
  </si>
  <si>
    <t>* Existing Technologies</t>
  </si>
  <si>
    <t>PRC_RESID~R6~2015</t>
  </si>
  <si>
    <t>Mmbtu</t>
  </si>
  <si>
    <t>Mvmt</t>
  </si>
  <si>
    <t>bVMT/PJ</t>
  </si>
  <si>
    <t>Efficiency</t>
  </si>
  <si>
    <t>Efficiency correction</t>
  </si>
  <si>
    <t>NCAP_AFA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</si>
</sst>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_(&quot;$&quot;* \(#,##0.00\);_(&quot;$&quot;* &quot;-&quot;??_);_(@_)"/>
    <numFmt numFmtId="43" formatCode="_(* #,##0.00_);_(* \(#,##0.00\);_(* &quot;-&quot;??_);_(@_)"/>
    <numFmt numFmtId="164" formatCode="_-* #,##0.00_-;\-* #,##0.00_-;_-* &quot;-&quot;??_-;_-@_-"/>
    <numFmt numFmtId="165" formatCode="0.0"/>
    <numFmt numFmtId="166" formatCode="0.000"/>
    <numFmt numFmtId="167" formatCode="0.0000"/>
    <numFmt numFmtId="168" formatCode="0.E+00"/>
    <numFmt numFmtId="169" formatCode="0.000000"/>
    <numFmt numFmtId="170" formatCode="0.00000"/>
    <numFmt numFmtId="171" formatCode="0.0%"/>
    <numFmt numFmtId="172" formatCode="#,##0.0"/>
    <numFmt numFmtId="173" formatCode="_(* #,##0.0_);_(* \(#,##0.0\);_(* &quot;-&quot;??_);_(@_)"/>
    <numFmt numFmtId="174" formatCode="_(* #,##0_);_(* \(#,##0\);_(* &quot;-&quot;??_);_(@_)"/>
    <numFmt numFmtId="175" formatCode="0.00_)"/>
    <numFmt numFmtId="176" formatCode="0_)"/>
    <numFmt numFmtId="177" formatCode="&quot;(R)&quot;\ #,##0;&quot;(R) -&quot;#,##0;&quot;(R) &quot;\ 0"/>
    <numFmt numFmtId="178" formatCode="&quot;(R)&quot;\ #,##0.0;&quot;(R) -&quot;#,##0.0;&quot;(R) &quot;\ 0.0"/>
    <numFmt numFmtId="179" formatCode="0.0_)"/>
    <numFmt numFmtId="180" formatCode="&quot;(P)&quot;\ #,##0;&quot;(P) -&quot;#,##0;&quot;(P) &quot;\ 0"/>
    <numFmt numFmtId="181" formatCode="0.000%"/>
    <numFmt numFmtId="182" formatCode="#,##0.0000"/>
    <numFmt numFmtId="183" formatCode="_(* #,##0.00000_);_(* \(#,##0.00000\);_(* &quot;-&quot;??_);_(@_)"/>
    <numFmt numFmtId="184" formatCode="_-* #,##0_-;\-* #,##0_-;_-* &quot;-&quot;??_-;_-@_-"/>
    <numFmt numFmtId="185" formatCode="_-* #,##0.000_-;\-* #,##0.000_-;_-* &quot;-&quot;??_-;_-@_-"/>
    <numFmt numFmtId="186" formatCode="#,##0.00000"/>
    <numFmt numFmtId="187" formatCode="#,##0.000"/>
    <numFmt numFmtId="188" formatCode="\Te\x\t"/>
  </numFmts>
  <fonts count="116" x14ac:knownFonts="1">
    <font>
      <sz val="10"/>
      <name val="Arial"/>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b/>
      <sz val="9"/>
      <name val="Arial"/>
      <family val="2"/>
    </font>
    <font>
      <sz val="8"/>
      <name val="Arial"/>
      <family val="2"/>
    </font>
    <font>
      <b/>
      <sz val="8"/>
      <name val="Arial"/>
      <family val="2"/>
    </font>
    <font>
      <sz val="10"/>
      <color indexed="14"/>
      <name val="Arial"/>
      <family val="2"/>
    </font>
    <font>
      <sz val="8"/>
      <color indexed="12"/>
      <name val="Arial"/>
      <family val="2"/>
    </font>
    <font>
      <sz val="8"/>
      <name val="Arial"/>
      <family val="2"/>
    </font>
    <font>
      <sz val="10"/>
      <color indexed="20"/>
      <name val="Arial"/>
      <family val="2"/>
    </font>
    <font>
      <b/>
      <sz val="10"/>
      <color indexed="20"/>
      <name val="Arial"/>
      <family val="2"/>
    </font>
    <font>
      <sz val="8"/>
      <color indexed="14"/>
      <name val="Arial"/>
      <family val="2"/>
    </font>
    <font>
      <sz val="9"/>
      <name val="Arial"/>
      <family val="2"/>
    </font>
    <font>
      <sz val="8"/>
      <color indexed="10"/>
      <name val="Arial"/>
      <family val="2"/>
    </font>
    <font>
      <i/>
      <sz val="10"/>
      <name val="Arial"/>
      <family val="2"/>
    </font>
    <font>
      <i/>
      <sz val="8"/>
      <name val="Arial"/>
      <family val="2"/>
    </font>
    <font>
      <b/>
      <sz val="8"/>
      <color indexed="10"/>
      <name val="Arial"/>
      <family val="2"/>
    </font>
    <font>
      <b/>
      <u/>
      <sz val="8"/>
      <color indexed="10"/>
      <name val="Arial"/>
      <family val="2"/>
    </font>
    <font>
      <b/>
      <sz val="10"/>
      <color indexed="10"/>
      <name val="Arial"/>
      <family val="2"/>
    </font>
    <font>
      <sz val="8"/>
      <name val="Helv"/>
    </font>
    <font>
      <sz val="9"/>
      <name val="Helv"/>
    </font>
    <font>
      <b/>
      <sz val="12"/>
      <name val="Helv"/>
    </font>
    <font>
      <vertAlign val="superscript"/>
      <sz val="12"/>
      <name val="Helv"/>
    </font>
    <font>
      <sz val="8"/>
      <color indexed="81"/>
      <name val="Tahoma"/>
      <family val="2"/>
    </font>
    <font>
      <b/>
      <sz val="8"/>
      <color indexed="81"/>
      <name val="Tahoma"/>
      <family val="2"/>
    </font>
    <font>
      <b/>
      <i/>
      <sz val="8"/>
      <color indexed="17"/>
      <name val="Arial"/>
      <family val="2"/>
    </font>
    <font>
      <i/>
      <sz val="8"/>
      <color indexed="14"/>
      <name val="Arial"/>
      <family val="2"/>
    </font>
    <font>
      <sz val="8"/>
      <color indexed="48"/>
      <name val="Arial"/>
      <family val="2"/>
    </font>
    <font>
      <b/>
      <sz val="8"/>
      <color indexed="14"/>
      <name val="Arial"/>
      <family val="2"/>
    </font>
    <font>
      <u/>
      <sz val="8"/>
      <color indexed="12"/>
      <name val="Arial"/>
      <family val="2"/>
    </font>
    <font>
      <sz val="8"/>
      <color indexed="17"/>
      <name val="Arial"/>
      <family val="2"/>
    </font>
    <font>
      <sz val="8"/>
      <color indexed="8"/>
      <name val="Arial"/>
      <family val="2"/>
    </font>
    <font>
      <i/>
      <sz val="8"/>
      <color indexed="60"/>
      <name val="Arial"/>
      <family val="2"/>
    </font>
    <font>
      <b/>
      <sz val="9"/>
      <color indexed="20"/>
      <name val="Arial"/>
      <family val="2"/>
    </font>
    <font>
      <b/>
      <i/>
      <sz val="10"/>
      <name val="Arial"/>
      <family val="2"/>
    </font>
    <font>
      <b/>
      <i/>
      <sz val="8"/>
      <name val="Arial"/>
      <family val="2"/>
    </font>
    <font>
      <b/>
      <i/>
      <sz val="9"/>
      <name val="Arial"/>
      <family val="2"/>
    </font>
    <font>
      <sz val="11"/>
      <color rgb="FF006100"/>
      <name val="Calibri"/>
      <family val="2"/>
      <scheme val="minor"/>
    </font>
    <font>
      <sz val="8"/>
      <color rgb="FFFF0000"/>
      <name val="Arial"/>
      <family val="2"/>
    </font>
    <font>
      <sz val="8"/>
      <color theme="4"/>
      <name val="Arial"/>
      <family val="2"/>
    </font>
    <font>
      <sz val="10"/>
      <color rgb="FFFF0000"/>
      <name val="Arial"/>
      <family val="2"/>
    </font>
    <font>
      <sz val="8"/>
      <color theme="9" tint="-0.499984740745262"/>
      <name val="Arial"/>
      <family val="2"/>
    </font>
    <font>
      <sz val="10"/>
      <color theme="9" tint="-0.499984740745262"/>
      <name val="Arial"/>
      <family val="2"/>
    </font>
    <font>
      <b/>
      <sz val="8"/>
      <color theme="5" tint="-0.249977111117893"/>
      <name val="Arial"/>
      <family val="2"/>
    </font>
    <font>
      <sz val="8"/>
      <color theme="5" tint="-0.249977111117893"/>
      <name val="Arial"/>
      <family val="2"/>
    </font>
    <font>
      <sz val="8"/>
      <color rgb="FF002060"/>
      <name val="Arial"/>
      <family val="2"/>
    </font>
    <font>
      <b/>
      <sz val="10"/>
      <color rgb="FF002060"/>
      <name val="Arial"/>
      <family val="2"/>
    </font>
    <font>
      <b/>
      <sz val="8"/>
      <color rgb="FFFF0000"/>
      <name val="Arial"/>
      <family val="2"/>
    </font>
    <font>
      <sz val="12"/>
      <color theme="1"/>
      <name val="Times New Roman"/>
      <family val="1"/>
    </font>
    <font>
      <sz val="10"/>
      <color theme="1"/>
      <name val="Arial"/>
      <family val="2"/>
    </font>
    <font>
      <b/>
      <sz val="10"/>
      <color theme="1"/>
      <name val="Arial"/>
      <family val="2"/>
    </font>
    <font>
      <sz val="8"/>
      <color theme="1"/>
      <name val="Arial"/>
      <family val="2"/>
    </font>
    <font>
      <b/>
      <sz val="10"/>
      <color theme="1"/>
      <name val="Calibri"/>
      <family val="2"/>
      <scheme val="minor"/>
    </font>
    <font>
      <sz val="10"/>
      <color theme="1"/>
      <name val="Calibri"/>
      <family val="2"/>
      <scheme val="minor"/>
    </font>
    <font>
      <u/>
      <sz val="10"/>
      <color theme="10"/>
      <name val="Calibri"/>
      <family val="2"/>
      <scheme val="minor"/>
    </font>
    <font>
      <b/>
      <u/>
      <sz val="10"/>
      <color indexed="12"/>
      <name val="Arial"/>
      <family val="2"/>
    </font>
    <font>
      <i/>
      <sz val="10"/>
      <color theme="0" tint="-0.14999847407452621"/>
      <name val="Arial"/>
      <family val="2"/>
    </font>
    <font>
      <i/>
      <sz val="10"/>
      <color theme="0" tint="-0.249977111117893"/>
      <name val="Arial"/>
      <family val="2"/>
    </font>
    <font>
      <sz val="10"/>
      <color theme="0" tint="-0.249977111117893"/>
      <name val="Arial"/>
      <family val="2"/>
    </font>
    <font>
      <i/>
      <sz val="10"/>
      <color rgb="FFFF0000"/>
      <name val="Arial"/>
      <family val="2"/>
    </font>
    <font>
      <i/>
      <sz val="8"/>
      <color theme="0" tint="-0.249977111117893"/>
      <name val="Arial"/>
      <family val="2"/>
    </font>
    <font>
      <b/>
      <sz val="9"/>
      <color theme="1"/>
      <name val="Arial"/>
      <family val="2"/>
    </font>
    <font>
      <i/>
      <sz val="9"/>
      <color theme="0" tint="-0.249977111117893"/>
      <name val="Arial"/>
      <family val="2"/>
    </font>
    <font>
      <sz val="9"/>
      <color theme="1"/>
      <name val="Arial"/>
      <family val="2"/>
    </font>
    <font>
      <sz val="9"/>
      <color rgb="FFFF0000"/>
      <name val="Arial"/>
      <family val="2"/>
    </font>
    <font>
      <sz val="9"/>
      <color theme="0" tint="-0.249977111117893"/>
      <name val="Arial"/>
      <family val="2"/>
    </font>
    <font>
      <sz val="8"/>
      <color theme="0"/>
      <name val="Arial"/>
      <family val="2"/>
    </font>
    <font>
      <sz val="9"/>
      <color indexed="81"/>
      <name val="Tahoma"/>
      <family val="2"/>
    </font>
    <font>
      <b/>
      <sz val="9"/>
      <color indexed="81"/>
      <name val="Tahoma"/>
      <family val="2"/>
    </font>
    <font>
      <vertAlign val="superscript"/>
      <sz val="8"/>
      <name val="Arial"/>
      <family val="2"/>
    </font>
    <font>
      <b/>
      <sz val="11"/>
      <name val="Calibri"/>
      <family val="2"/>
      <scheme val="minor"/>
    </font>
    <font>
      <sz val="10"/>
      <color rgb="FF71BE43"/>
      <name val="Arial"/>
      <family val="2"/>
    </font>
    <font>
      <sz val="10"/>
      <name val="Arial Narrow Bold"/>
      <family val="2"/>
    </font>
    <font>
      <sz val="10"/>
      <name val="Arial Narrow"/>
      <family val="2"/>
    </font>
    <font>
      <sz val="10"/>
      <color rgb="FF626366"/>
      <name val="Arial"/>
      <family val="2"/>
    </font>
    <font>
      <b/>
      <sz val="11"/>
      <color theme="1"/>
      <name val="Calibri"/>
      <family val="2"/>
      <scheme val="minor"/>
    </font>
    <font>
      <sz val="11"/>
      <name val="Calibri"/>
      <family val="2"/>
      <scheme val="minor"/>
    </font>
    <font>
      <b/>
      <sz val="12"/>
      <name val="Calibri"/>
      <family val="2"/>
      <scheme val="minor"/>
    </font>
    <font>
      <sz val="12"/>
      <color rgb="FFFFFFFF"/>
      <name val="Calibri"/>
      <family val="2"/>
      <scheme val="minor"/>
    </font>
    <font>
      <sz val="12"/>
      <color theme="0"/>
      <name val="Calibri"/>
      <family val="2"/>
      <scheme val="minor"/>
    </font>
    <font>
      <sz val="12"/>
      <color theme="1"/>
      <name val="Calibri"/>
      <family val="2"/>
      <scheme val="minor"/>
    </font>
    <font>
      <sz val="12"/>
      <name val="Calibri"/>
      <family val="2"/>
      <scheme val="minor"/>
    </font>
    <font>
      <sz val="8"/>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u/>
      <sz val="10"/>
      <color theme="10"/>
      <name val="Arial"/>
      <family val="2"/>
    </font>
    <font>
      <b/>
      <sz val="12"/>
      <color theme="4"/>
      <name val="Calibri"/>
      <family val="2"/>
      <scheme val="minor"/>
    </font>
    <font>
      <b/>
      <sz val="9"/>
      <color theme="1"/>
      <name val="Calibri"/>
      <family val="2"/>
      <scheme val="minor"/>
    </font>
    <font>
      <sz val="9"/>
      <color theme="1"/>
      <name val="Calibri"/>
      <family val="2"/>
      <scheme val="minor"/>
    </font>
    <font>
      <sz val="11"/>
      <color rgb="FF000000"/>
      <name val="Calibri"/>
      <family val="2"/>
      <scheme val="minor"/>
    </font>
    <font>
      <sz val="9"/>
      <color indexed="81"/>
      <name val="Tahoma"/>
      <charset val="1"/>
    </font>
    <font>
      <b/>
      <sz val="9"/>
      <color indexed="81"/>
      <name val="Tahoma"/>
      <charset val="1"/>
    </font>
    <font>
      <b/>
      <sz val="9"/>
      <color theme="0"/>
      <name val="Arial"/>
      <family val="2"/>
    </font>
    <font>
      <sz val="9"/>
      <color theme="0"/>
      <name val="Arial"/>
      <family val="2"/>
    </font>
  </fonts>
  <fills count="72">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47"/>
        <bgColor indexed="64"/>
      </patternFill>
    </fill>
    <fill>
      <patternFill patternType="solid">
        <fgColor indexed="26"/>
        <bgColor indexed="64"/>
      </patternFill>
    </fill>
    <fill>
      <patternFill patternType="solid">
        <fgColor indexed="42"/>
        <bgColor indexed="64"/>
      </patternFill>
    </fill>
    <fill>
      <patternFill patternType="solid">
        <fgColor indexed="45"/>
        <bgColor indexed="64"/>
      </patternFill>
    </fill>
    <fill>
      <patternFill patternType="solid">
        <fgColor indexed="29"/>
        <bgColor indexed="64"/>
      </patternFill>
    </fill>
    <fill>
      <patternFill patternType="solid">
        <fgColor indexed="41"/>
        <bgColor indexed="64"/>
      </patternFill>
    </fill>
    <fill>
      <patternFill patternType="solid">
        <fgColor indexed="44"/>
        <bgColor indexed="64"/>
      </patternFill>
    </fill>
    <fill>
      <patternFill patternType="solid">
        <fgColor indexed="34"/>
        <bgColor indexed="64"/>
      </patternFill>
    </fill>
    <fill>
      <patternFill patternType="solid">
        <fgColor indexed="46"/>
        <bgColor indexed="64"/>
      </patternFill>
    </fill>
    <fill>
      <patternFill patternType="solid">
        <fgColor rgb="FFC6EFCE"/>
      </patternFill>
    </fill>
    <fill>
      <patternFill patternType="solid">
        <fgColor rgb="FFCC99FF"/>
        <bgColor indexed="64"/>
      </patternFill>
    </fill>
    <fill>
      <patternFill patternType="solid">
        <fgColor rgb="FF92D05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FFF9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bgColor indexed="64"/>
      </patternFill>
    </fill>
    <fill>
      <patternFill patternType="solid">
        <fgColor rgb="FFFFC000"/>
        <bgColor indexed="64"/>
      </patternFill>
    </fill>
    <fill>
      <patternFill patternType="solid">
        <fgColor theme="0"/>
        <bgColor indexed="64"/>
      </patternFill>
    </fill>
    <fill>
      <patternFill patternType="solid">
        <fgColor theme="0"/>
        <bgColor indexed="9"/>
      </patternFill>
    </fill>
    <fill>
      <patternFill patternType="solid">
        <fgColor theme="8" tint="0.39997558519241921"/>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E7A1E9"/>
        <bgColor indexed="64"/>
      </patternFill>
    </fill>
    <fill>
      <patternFill patternType="solid">
        <fgColor rgb="FFFFFFCC"/>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65">
    <border>
      <left/>
      <right/>
      <top/>
      <bottom/>
      <diagonal/>
    </border>
    <border>
      <left/>
      <right/>
      <top/>
      <bottom style="thin">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medium">
        <color indexed="64"/>
      </right>
      <top/>
      <bottom/>
      <diagonal/>
    </border>
    <border>
      <left/>
      <right/>
      <top style="medium">
        <color indexed="64"/>
      </top>
      <bottom style="thin">
        <color indexed="64"/>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top style="dotted">
        <color indexed="64"/>
      </top>
      <bottom/>
      <diagonal/>
    </border>
    <border>
      <left/>
      <right/>
      <top style="dotted">
        <color indexed="64"/>
      </top>
      <bottom/>
      <diagonal/>
    </border>
    <border>
      <left style="medium">
        <color indexed="64"/>
      </left>
      <right/>
      <top/>
      <bottom style="dotted">
        <color indexed="64"/>
      </bottom>
      <diagonal/>
    </border>
    <border>
      <left/>
      <right/>
      <top/>
      <bottom style="dotted">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dotted">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dotted">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tint="-0.249977111117893"/>
      </bottom>
      <diagonal/>
    </border>
    <border>
      <left/>
      <right/>
      <top/>
      <bottom style="dashed">
        <color theme="0" tint="-0.24994659260841701"/>
      </bottom>
      <diagonal/>
    </border>
  </borders>
  <cellStyleXfs count="126">
    <xf numFmtId="0" fontId="0" fillId="0" borderId="0"/>
    <xf numFmtId="164" fontId="3" fillId="0" borderId="0" applyFont="0" applyFill="0" applyBorder="0" applyAlignment="0" applyProtection="0"/>
    <xf numFmtId="43" fontId="6" fillId="0" borderId="0" applyFont="0" applyFill="0" applyBorder="0" applyAlignment="0" applyProtection="0"/>
    <xf numFmtId="3" fontId="30" fillId="0" borderId="1" applyAlignment="0">
      <alignment horizontal="right" vertical="center"/>
    </xf>
    <xf numFmtId="0" fontId="47" fillId="15" borderId="0" applyNumberFormat="0" applyBorder="0" applyAlignment="0" applyProtection="0"/>
    <xf numFmtId="0" fontId="4" fillId="0" borderId="0" applyNumberFormat="0" applyFill="0" applyBorder="0" applyAlignment="0" applyProtection="0">
      <alignment vertical="top"/>
      <protection locked="0"/>
    </xf>
    <xf numFmtId="0" fontId="6" fillId="0" borderId="0"/>
    <xf numFmtId="0" fontId="6"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8" fillId="0" borderId="0"/>
    <xf numFmtId="0" fontId="3" fillId="0" borderId="0"/>
    <xf numFmtId="0" fontId="3" fillId="0" borderId="0"/>
    <xf numFmtId="9" fontId="3" fillId="0" borderId="0" applyFont="0" applyFill="0" applyBorder="0" applyAlignment="0" applyProtection="0"/>
    <xf numFmtId="9" fontId="6" fillId="0" borderId="0" applyFont="0" applyFill="0" applyBorder="0" applyAlignment="0" applyProtection="0"/>
    <xf numFmtId="0" fontId="32" fillId="0" borderId="0">
      <alignment horizontal="right"/>
    </xf>
    <xf numFmtId="0" fontId="29" fillId="0" borderId="0">
      <alignment horizontal="left"/>
    </xf>
    <xf numFmtId="0" fontId="31" fillId="0" borderId="0">
      <alignment horizontal="left"/>
    </xf>
    <xf numFmtId="0" fontId="3" fillId="0" borderId="0"/>
    <xf numFmtId="0" fontId="2" fillId="0" borderId="0"/>
    <xf numFmtId="0" fontId="93" fillId="0" borderId="54" applyNumberFormat="0" applyFill="0" applyAlignment="0" applyProtection="0"/>
    <xf numFmtId="0" fontId="94" fillId="0" borderId="55" applyNumberFormat="0" applyFill="0" applyAlignment="0" applyProtection="0"/>
    <xf numFmtId="0" fontId="95" fillId="0" borderId="56" applyNumberFormat="0" applyFill="0" applyAlignment="0" applyProtection="0"/>
    <xf numFmtId="0" fontId="95" fillId="0" borderId="0" applyNumberFormat="0" applyFill="0" applyBorder="0" applyAlignment="0" applyProtection="0"/>
    <xf numFmtId="0" fontId="96" fillId="41" borderId="0" applyNumberFormat="0" applyBorder="0" applyAlignment="0" applyProtection="0"/>
    <xf numFmtId="0" fontId="97" fillId="43" borderId="57" applyNumberFormat="0" applyAlignment="0" applyProtection="0"/>
    <xf numFmtId="0" fontId="98" fillId="44" borderId="58" applyNumberFormat="0" applyAlignment="0" applyProtection="0"/>
    <xf numFmtId="0" fontId="99" fillId="44" borderId="57" applyNumberFormat="0" applyAlignment="0" applyProtection="0"/>
    <xf numFmtId="0" fontId="100" fillId="0" borderId="59" applyNumberFormat="0" applyFill="0" applyAlignment="0" applyProtection="0"/>
    <xf numFmtId="0" fontId="101" fillId="45" borderId="60" applyNumberFormat="0" applyAlignment="0" applyProtection="0"/>
    <xf numFmtId="0" fontId="102" fillId="0" borderId="0" applyNumberFormat="0" applyFill="0" applyBorder="0" applyAlignment="0" applyProtection="0"/>
    <xf numFmtId="0" fontId="103" fillId="0" borderId="0" applyNumberFormat="0" applyFill="0" applyBorder="0" applyAlignment="0" applyProtection="0"/>
    <xf numFmtId="0" fontId="85" fillId="0" borderId="62" applyNumberFormat="0" applyFill="0" applyAlignment="0" applyProtection="0"/>
    <xf numFmtId="0" fontId="104"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04"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04"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04" fillId="59" borderId="0" applyNumberFormat="0" applyBorder="0" applyAlignment="0" applyProtection="0"/>
    <xf numFmtId="0" fontId="1" fillId="60" borderId="0" applyNumberFormat="0" applyBorder="0" applyAlignment="0" applyProtection="0"/>
    <xf numFmtId="0" fontId="1" fillId="61" borderId="0" applyNumberFormat="0" applyBorder="0" applyAlignment="0" applyProtection="0"/>
    <xf numFmtId="0" fontId="104" fillId="63" borderId="0" applyNumberFormat="0" applyBorder="0" applyAlignment="0" applyProtection="0"/>
    <xf numFmtId="0" fontId="1" fillId="64" borderId="0" applyNumberFormat="0" applyBorder="0" applyAlignment="0" applyProtection="0"/>
    <xf numFmtId="0" fontId="1" fillId="65" borderId="0" applyNumberFormat="0" applyBorder="0" applyAlignment="0" applyProtection="0"/>
    <xf numFmtId="0" fontId="104" fillId="67" borderId="0" applyNumberFormat="0" applyBorder="0" applyAlignment="0" applyProtection="0"/>
    <xf numFmtId="0" fontId="1" fillId="68" borderId="0" applyNumberFormat="0" applyBorder="0" applyAlignment="0" applyProtection="0"/>
    <xf numFmtId="0" fontId="1" fillId="69" borderId="0" applyNumberFormat="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1" fillId="0" borderId="0"/>
    <xf numFmtId="0" fontId="105" fillId="0" borderId="0" applyNumberFormat="0" applyFill="0" applyBorder="0" applyAlignment="0" applyProtection="0"/>
    <xf numFmtId="0" fontId="106" fillId="42" borderId="0" applyNumberFormat="0" applyBorder="0" applyAlignment="0" applyProtection="0"/>
    <xf numFmtId="0" fontId="104" fillId="50" borderId="0" applyNumberFormat="0" applyBorder="0" applyAlignment="0" applyProtection="0"/>
    <xf numFmtId="0" fontId="104" fillId="54" borderId="0" applyNumberFormat="0" applyBorder="0" applyAlignment="0" applyProtection="0"/>
    <xf numFmtId="0" fontId="104" fillId="58" borderId="0" applyNumberFormat="0" applyBorder="0" applyAlignment="0" applyProtection="0"/>
    <xf numFmtId="0" fontId="104" fillId="62" borderId="0" applyNumberFormat="0" applyBorder="0" applyAlignment="0" applyProtection="0"/>
    <xf numFmtId="0" fontId="104" fillId="66" borderId="0" applyNumberFormat="0" applyBorder="0" applyAlignment="0" applyProtection="0"/>
    <xf numFmtId="0" fontId="104" fillId="70" borderId="0" applyNumberFormat="0" applyBorder="0" applyAlignment="0" applyProtection="0"/>
    <xf numFmtId="171" fontId="3" fillId="0" borderId="0" applyFont="0" applyFill="0" applyBorder="0" applyAlignment="0" applyProtection="0"/>
    <xf numFmtId="0" fontId="1" fillId="46" borderId="61" applyNumberFormat="0" applyFont="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1" fillId="46" borderId="61" applyNumberFormat="0" applyFont="0" applyAlignment="0" applyProtection="0"/>
    <xf numFmtId="171" fontId="3" fillId="0" borderId="0" applyFont="0" applyFill="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 fillId="60" borderId="0" applyNumberFormat="0" applyBorder="0" applyAlignment="0" applyProtection="0"/>
    <xf numFmtId="0" fontId="1" fillId="61" borderId="0" applyNumberFormat="0" applyBorder="0" applyAlignment="0" applyProtection="0"/>
    <xf numFmtId="171" fontId="3" fillId="0" borderId="0" applyFont="0" applyFill="0" applyBorder="0" applyAlignment="0" applyProtection="0"/>
    <xf numFmtId="0" fontId="1" fillId="64" borderId="0" applyNumberFormat="0" applyBorder="0" applyAlignment="0" applyProtection="0"/>
    <xf numFmtId="0" fontId="1" fillId="65" borderId="0" applyNumberFormat="0" applyBorder="0" applyAlignment="0" applyProtection="0"/>
    <xf numFmtId="0" fontId="1" fillId="68" borderId="0" applyNumberFormat="0" applyBorder="0" applyAlignment="0" applyProtection="0"/>
    <xf numFmtId="0" fontId="1" fillId="69" borderId="0" applyNumberFormat="0" applyBorder="0" applyAlignment="0" applyProtection="0"/>
    <xf numFmtId="0" fontId="4" fillId="0" borderId="0" applyNumberForma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0" fontId="1" fillId="0" borderId="0"/>
    <xf numFmtId="164" fontId="3" fillId="0" borderId="0" applyFont="0" applyFill="0" applyBorder="0" applyAlignment="0" applyProtection="0"/>
    <xf numFmtId="0" fontId="1" fillId="0" borderId="0"/>
    <xf numFmtId="0" fontId="3" fillId="0" borderId="0"/>
    <xf numFmtId="9" fontId="3" fillId="0" borderId="0" applyFont="0" applyFill="0" applyBorder="0" applyAlignment="0" applyProtection="0"/>
    <xf numFmtId="0" fontId="107" fillId="0" borderId="0" applyNumberFormat="0" applyFill="0" applyBorder="0" applyAlignment="0" applyProtection="0">
      <alignment vertical="top"/>
      <protection locked="0"/>
    </xf>
    <xf numFmtId="0" fontId="1" fillId="0" borderId="0"/>
    <xf numFmtId="0" fontId="108" fillId="0" borderId="0" applyNumberFormat="0" applyProtection="0">
      <alignment horizontal="left"/>
    </xf>
    <xf numFmtId="0" fontId="109" fillId="0" borderId="54" applyNumberFormat="0" applyProtection="0">
      <alignment wrapText="1"/>
    </xf>
    <xf numFmtId="0" fontId="109" fillId="0" borderId="63" applyNumberFormat="0" applyProtection="0">
      <alignment wrapText="1"/>
    </xf>
    <xf numFmtId="0" fontId="110" fillId="0" borderId="64" applyNumberFormat="0" applyFont="0" applyProtection="0">
      <alignment wrapText="1"/>
    </xf>
    <xf numFmtId="0" fontId="1" fillId="0" borderId="0"/>
    <xf numFmtId="0" fontId="111" fillId="0" borderId="0"/>
  </cellStyleXfs>
  <cellXfs count="1204">
    <xf numFmtId="0" fontId="0" fillId="0" borderId="0" xfId="0"/>
    <xf numFmtId="0" fontId="5" fillId="0" borderId="0" xfId="0" applyFont="1"/>
    <xf numFmtId="0" fontId="7" fillId="0" borderId="0" xfId="0" applyFont="1"/>
    <xf numFmtId="0" fontId="8" fillId="0" borderId="0" xfId="0" applyFont="1"/>
    <xf numFmtId="0" fontId="0" fillId="2" borderId="0" xfId="0" applyFill="1"/>
    <xf numFmtId="0" fontId="9" fillId="0" borderId="0" xfId="0" applyFont="1"/>
    <xf numFmtId="49" fontId="7" fillId="0" borderId="0" xfId="0" applyNumberFormat="1" applyFont="1"/>
    <xf numFmtId="11" fontId="7" fillId="0" borderId="0" xfId="0" applyNumberFormat="1" applyFont="1"/>
    <xf numFmtId="0" fontId="10" fillId="0" borderId="0" xfId="0" applyFont="1"/>
    <xf numFmtId="0" fontId="11" fillId="0" borderId="0" xfId="0" applyFont="1"/>
    <xf numFmtId="49" fontId="10" fillId="0" borderId="0" xfId="0" applyNumberFormat="1" applyFont="1"/>
    <xf numFmtId="0" fontId="12" fillId="0" borderId="0" xfId="0" applyFont="1"/>
    <xf numFmtId="0" fontId="14" fillId="0" borderId="0" xfId="0" applyFont="1"/>
    <xf numFmtId="0" fontId="15" fillId="0" borderId="0" xfId="0" applyFont="1"/>
    <xf numFmtId="0" fontId="17" fillId="0" borderId="0" xfId="0" applyFont="1"/>
    <xf numFmtId="1" fontId="14" fillId="0" borderId="0" xfId="0" applyNumberFormat="1" applyFont="1"/>
    <xf numFmtId="166" fontId="14" fillId="0" borderId="0" xfId="0" applyNumberFormat="1" applyFont="1"/>
    <xf numFmtId="0" fontId="14" fillId="0" borderId="0" xfId="0" applyFont="1" applyAlignment="1">
      <alignment horizontal="center"/>
    </xf>
    <xf numFmtId="1" fontId="14" fillId="0" borderId="0" xfId="0" applyNumberFormat="1" applyFont="1" applyAlignment="1">
      <alignment horizontal="center"/>
    </xf>
    <xf numFmtId="2" fontId="14" fillId="0" borderId="0" xfId="0" applyNumberFormat="1" applyFont="1" applyAlignment="1">
      <alignment horizontal="center"/>
    </xf>
    <xf numFmtId="168" fontId="14" fillId="0" borderId="0" xfId="0" applyNumberFormat="1" applyFont="1"/>
    <xf numFmtId="2" fontId="14" fillId="0" borderId="0" xfId="0" applyNumberFormat="1" applyFont="1" applyAlignment="1">
      <alignment horizontal="left"/>
    </xf>
    <xf numFmtId="11" fontId="14" fillId="0" borderId="0" xfId="0" applyNumberFormat="1" applyFont="1" applyAlignment="1">
      <alignment horizontal="right"/>
    </xf>
    <xf numFmtId="1" fontId="14" fillId="0" borderId="0" xfId="0" applyNumberFormat="1" applyFont="1" applyAlignment="1">
      <alignment horizontal="right"/>
    </xf>
    <xf numFmtId="0" fontId="14" fillId="0" borderId="5" xfId="0" applyFont="1" applyBorder="1"/>
    <xf numFmtId="0" fontId="15" fillId="0" borderId="0" xfId="0" applyFont="1" applyAlignment="1">
      <alignment horizontal="right"/>
    </xf>
    <xf numFmtId="0" fontId="14" fillId="0" borderId="0" xfId="0" applyFont="1" applyProtection="1">
      <protection locked="0"/>
    </xf>
    <xf numFmtId="167" fontId="14" fillId="0" borderId="0" xfId="0" applyNumberFormat="1" applyFont="1"/>
    <xf numFmtId="0" fontId="15" fillId="0" borderId="0" xfId="0" applyFont="1" applyAlignment="1" applyProtection="1">
      <alignment horizontal="center"/>
      <protection locked="0"/>
    </xf>
    <xf numFmtId="0" fontId="15" fillId="0" borderId="0" xfId="0" applyFont="1" applyProtection="1">
      <protection locked="0"/>
    </xf>
    <xf numFmtId="0" fontId="14" fillId="0" borderId="0" xfId="0" applyFont="1" applyAlignment="1" applyProtection="1">
      <alignment horizontal="center"/>
      <protection locked="0"/>
    </xf>
    <xf numFmtId="0" fontId="15" fillId="0" borderId="0" xfId="0" applyFont="1" applyAlignment="1">
      <alignment horizontal="center"/>
    </xf>
    <xf numFmtId="167" fontId="14" fillId="0" borderId="0" xfId="0" applyNumberFormat="1" applyFont="1" applyAlignment="1">
      <alignment horizontal="center"/>
    </xf>
    <xf numFmtId="3" fontId="14" fillId="0" borderId="0" xfId="0" applyNumberFormat="1" applyFont="1"/>
    <xf numFmtId="0" fontId="14" fillId="0" borderId="8" xfId="0" applyFont="1" applyBorder="1"/>
    <xf numFmtId="0" fontId="3" fillId="0" borderId="0" xfId="0" applyFont="1"/>
    <xf numFmtId="0" fontId="22" fillId="4" borderId="0" xfId="0" applyFont="1" applyFill="1"/>
    <xf numFmtId="0" fontId="22" fillId="0" borderId="0" xfId="0" applyFont="1"/>
    <xf numFmtId="2" fontId="22" fillId="0" borderId="0" xfId="0" applyNumberFormat="1" applyFont="1"/>
    <xf numFmtId="166" fontId="22" fillId="0" borderId="0" xfId="0" applyNumberFormat="1" applyFont="1"/>
    <xf numFmtId="3" fontId="22" fillId="0" borderId="0" xfId="0" applyNumberFormat="1" applyFont="1"/>
    <xf numFmtId="0" fontId="22" fillId="0" borderId="0" xfId="0" applyFont="1" applyAlignment="1">
      <alignment horizontal="right"/>
    </xf>
    <xf numFmtId="167" fontId="0" fillId="0" borderId="0" xfId="0" applyNumberFormat="1"/>
    <xf numFmtId="1" fontId="22" fillId="0" borderId="0" xfId="0" applyNumberFormat="1" applyFont="1"/>
    <xf numFmtId="0" fontId="26" fillId="0" borderId="0" xfId="0" applyFont="1"/>
    <xf numFmtId="0" fontId="27" fillId="0" borderId="0" xfId="0" applyFont="1"/>
    <xf numFmtId="0" fontId="23" fillId="0" borderId="0" xfId="0" applyFont="1"/>
    <xf numFmtId="0" fontId="28" fillId="0" borderId="0" xfId="0" applyFont="1"/>
    <xf numFmtId="0" fontId="23" fillId="5" borderId="0" xfId="0" applyFont="1" applyFill="1" applyAlignment="1">
      <alignment horizontal="right"/>
    </xf>
    <xf numFmtId="166" fontId="23" fillId="5" borderId="0" xfId="0" applyNumberFormat="1" applyFont="1" applyFill="1"/>
    <xf numFmtId="0" fontId="23" fillId="0" borderId="0" xfId="0" applyFont="1" applyAlignment="1">
      <alignment horizontal="right"/>
    </xf>
    <xf numFmtId="0" fontId="23" fillId="5" borderId="0" xfId="0" applyFont="1" applyFill="1"/>
    <xf numFmtId="0" fontId="4" fillId="0" borderId="0" xfId="5" applyAlignment="1" applyProtection="1"/>
    <xf numFmtId="2" fontId="14" fillId="0" borderId="0" xfId="0" applyNumberFormat="1" applyFont="1"/>
    <xf numFmtId="0" fontId="25" fillId="0" borderId="0" xfId="0" applyFont="1"/>
    <xf numFmtId="0" fontId="5" fillId="0" borderId="8" xfId="0" applyFont="1" applyBorder="1"/>
    <xf numFmtId="0" fontId="0" fillId="0" borderId="0" xfId="0" quotePrefix="1"/>
    <xf numFmtId="0" fontId="15" fillId="0" borderId="3" xfId="0" applyFont="1" applyBorder="1" applyAlignment="1">
      <alignment horizontal="left"/>
    </xf>
    <xf numFmtId="0" fontId="5" fillId="0" borderId="0" xfId="0" applyFont="1" applyAlignment="1">
      <alignment horizontal="left"/>
    </xf>
    <xf numFmtId="0" fontId="14" fillId="0" borderId="0" xfId="0" applyFont="1" applyAlignment="1">
      <alignment horizontal="right"/>
    </xf>
    <xf numFmtId="0" fontId="15" fillId="6" borderId="0" xfId="0" applyFont="1" applyFill="1" applyAlignment="1">
      <alignment horizontal="right"/>
    </xf>
    <xf numFmtId="0" fontId="15" fillId="6" borderId="0" xfId="0" applyFont="1" applyFill="1"/>
    <xf numFmtId="1" fontId="15" fillId="0" borderId="0" xfId="0" applyNumberFormat="1" applyFont="1"/>
    <xf numFmtId="1" fontId="15" fillId="0" borderId="0" xfId="0" applyNumberFormat="1" applyFont="1" applyAlignment="1">
      <alignment horizontal="right"/>
    </xf>
    <xf numFmtId="2" fontId="15" fillId="0" borderId="0" xfId="0" applyNumberFormat="1" applyFont="1"/>
    <xf numFmtId="175" fontId="25" fillId="0" borderId="0" xfId="0" applyNumberFormat="1" applyFont="1"/>
    <xf numFmtId="0" fontId="24" fillId="14" borderId="0" xfId="0" applyFont="1" applyFill="1"/>
    <xf numFmtId="0" fontId="14" fillId="0" borderId="0" xfId="0" applyFont="1" applyAlignment="1">
      <alignment vertical="center"/>
    </xf>
    <xf numFmtId="0" fontId="14" fillId="14" borderId="0" xfId="0" applyFont="1" applyFill="1"/>
    <xf numFmtId="0" fontId="14" fillId="16" borderId="0" xfId="0" applyFont="1" applyFill="1"/>
    <xf numFmtId="0" fontId="0" fillId="16" borderId="0" xfId="0" applyFill="1"/>
    <xf numFmtId="0" fontId="14" fillId="17" borderId="0" xfId="0" applyFont="1" applyFill="1"/>
    <xf numFmtId="0" fontId="0" fillId="17" borderId="0" xfId="0" applyFill="1"/>
    <xf numFmtId="0" fontId="26" fillId="0" borderId="0" xfId="0" applyFont="1" applyAlignment="1" applyProtection="1">
      <alignment horizontal="center"/>
      <protection locked="0"/>
    </xf>
    <xf numFmtId="0" fontId="15" fillId="0" borderId="8" xfId="0" applyFont="1" applyBorder="1" applyAlignment="1" applyProtection="1">
      <alignment horizontal="center" wrapText="1"/>
      <protection locked="0"/>
    </xf>
    <xf numFmtId="0" fontId="15" fillId="0" borderId="8" xfId="0" applyFont="1" applyBorder="1" applyAlignment="1" applyProtection="1">
      <alignment horizontal="center"/>
      <protection locked="0"/>
    </xf>
    <xf numFmtId="0" fontId="14" fillId="0" borderId="8" xfId="0" applyFont="1" applyBorder="1" applyAlignment="1" applyProtection="1">
      <alignment horizontal="center" wrapText="1"/>
      <protection locked="0"/>
    </xf>
    <xf numFmtId="172" fontId="14" fillId="0" borderId="0" xfId="0" applyNumberFormat="1" applyFont="1"/>
    <xf numFmtId="182" fontId="14" fillId="0" borderId="0" xfId="0" applyNumberFormat="1" applyFont="1"/>
    <xf numFmtId="182" fontId="22" fillId="0" borderId="0" xfId="0" applyNumberFormat="1" applyFont="1"/>
    <xf numFmtId="0" fontId="26" fillId="0" borderId="0" xfId="0" applyFont="1" applyAlignment="1">
      <alignment horizontal="center"/>
    </xf>
    <xf numFmtId="0" fontId="14" fillId="18" borderId="0" xfId="0" applyFont="1" applyFill="1"/>
    <xf numFmtId="1" fontId="14" fillId="18" borderId="0" xfId="0" applyNumberFormat="1" applyFont="1" applyFill="1"/>
    <xf numFmtId="172" fontId="14" fillId="18" borderId="0" xfId="0" applyNumberFormat="1" applyFont="1" applyFill="1"/>
    <xf numFmtId="3" fontId="14" fillId="18" borderId="0" xfId="0" applyNumberFormat="1" applyFont="1" applyFill="1"/>
    <xf numFmtId="0" fontId="0" fillId="0" borderId="0" xfId="0" applyAlignment="1">
      <alignment horizontal="center" vertical="center"/>
    </xf>
    <xf numFmtId="3" fontId="14" fillId="0" borderId="0" xfId="7" applyNumberFormat="1" applyFont="1"/>
    <xf numFmtId="0" fontId="14" fillId="22" borderId="0" xfId="0" applyFont="1" applyFill="1"/>
    <xf numFmtId="0" fontId="15" fillId="0" borderId="8" xfId="0" applyFont="1" applyBorder="1"/>
    <xf numFmtId="0" fontId="14" fillId="0" borderId="8" xfId="0" applyFont="1" applyBorder="1" applyAlignment="1" applyProtection="1">
      <alignment horizontal="center"/>
      <protection locked="0"/>
    </xf>
    <xf numFmtId="165" fontId="14" fillId="0" borderId="0" xfId="0" applyNumberFormat="1" applyFont="1"/>
    <xf numFmtId="0" fontId="15" fillId="0" borderId="30" xfId="0" applyFont="1" applyBorder="1" applyAlignment="1">
      <alignment horizontal="center" vertical="center" wrapText="1"/>
    </xf>
    <xf numFmtId="3" fontId="15" fillId="0" borderId="31" xfId="0" applyNumberFormat="1" applyFont="1" applyBorder="1" applyAlignment="1">
      <alignment horizontal="center" vertical="center" wrapText="1"/>
    </xf>
    <xf numFmtId="0" fontId="15" fillId="0" borderId="31" xfId="0" applyFont="1" applyBorder="1" applyAlignment="1">
      <alignment horizontal="center" vertical="center" wrapText="1"/>
    </xf>
    <xf numFmtId="3" fontId="15" fillId="0" borderId="32" xfId="0" applyNumberFormat="1" applyFont="1" applyBorder="1" applyAlignment="1">
      <alignment horizontal="center" vertical="center" wrapText="1"/>
    </xf>
    <xf numFmtId="0" fontId="14" fillId="0" borderId="33" xfId="0" applyFont="1" applyBorder="1"/>
    <xf numFmtId="3" fontId="14" fillId="0" borderId="34" xfId="0" applyNumberFormat="1" applyFont="1" applyBorder="1" applyAlignment="1">
      <alignment horizontal="right" wrapText="1"/>
    </xf>
    <xf numFmtId="3" fontId="14" fillId="0" borderId="34" xfId="0" applyNumberFormat="1" applyFont="1" applyBorder="1"/>
    <xf numFmtId="3" fontId="14" fillId="0" borderId="35" xfId="0" applyNumberFormat="1" applyFont="1" applyBorder="1"/>
    <xf numFmtId="3" fontId="14" fillId="0" borderId="6" xfId="0" applyNumberFormat="1" applyFont="1" applyBorder="1"/>
    <xf numFmtId="3" fontId="14" fillId="0" borderId="0" xfId="0" applyNumberFormat="1" applyFont="1" applyAlignment="1">
      <alignment horizontal="right" wrapText="1"/>
    </xf>
    <xf numFmtId="0" fontId="14" fillId="0" borderId="10" xfId="0" applyFont="1" applyBorder="1"/>
    <xf numFmtId="0" fontId="14" fillId="0" borderId="11" xfId="0" applyFont="1" applyBorder="1"/>
    <xf numFmtId="3" fontId="14" fillId="0" borderId="12" xfId="0" applyNumberFormat="1" applyFont="1" applyBorder="1"/>
    <xf numFmtId="0" fontId="22" fillId="23" borderId="0" xfId="0" applyFont="1" applyFill="1"/>
    <xf numFmtId="10" fontId="14" fillId="0" borderId="0" xfId="0" applyNumberFormat="1" applyFont="1"/>
    <xf numFmtId="167" fontId="14" fillId="0" borderId="0" xfId="0" applyNumberFormat="1" applyFont="1" applyAlignment="1">
      <alignment horizontal="right"/>
    </xf>
    <xf numFmtId="0" fontId="14" fillId="23" borderId="0" xfId="0" applyFont="1" applyFill="1"/>
    <xf numFmtId="0" fontId="0" fillId="23" borderId="0" xfId="0" applyFill="1"/>
    <xf numFmtId="167" fontId="14" fillId="18" borderId="0" xfId="0" applyNumberFormat="1" applyFont="1" applyFill="1"/>
    <xf numFmtId="0" fontId="0" fillId="18" borderId="0" xfId="0" applyFill="1"/>
    <xf numFmtId="0" fontId="14" fillId="0" borderId="0" xfId="0" applyFont="1" applyAlignment="1">
      <alignment horizontal="left"/>
    </xf>
    <xf numFmtId="0" fontId="0" fillId="22" borderId="0" xfId="0" applyFill="1"/>
    <xf numFmtId="0" fontId="25" fillId="0" borderId="0" xfId="0" applyFont="1" applyAlignment="1">
      <alignment horizontal="right"/>
    </xf>
    <xf numFmtId="0" fontId="14" fillId="25" borderId="0" xfId="0" applyFont="1" applyFill="1"/>
    <xf numFmtId="1" fontId="14" fillId="25" borderId="0" xfId="0" applyNumberFormat="1" applyFont="1" applyFill="1"/>
    <xf numFmtId="3" fontId="14" fillId="25" borderId="0" xfId="0" applyNumberFormat="1" applyFont="1" applyFill="1"/>
    <xf numFmtId="167" fontId="14" fillId="25" borderId="0" xfId="0" applyNumberFormat="1" applyFont="1" applyFill="1"/>
    <xf numFmtId="0" fontId="0" fillId="25" borderId="0" xfId="0" applyFill="1"/>
    <xf numFmtId="0" fontId="14" fillId="18" borderId="14" xfId="0" applyFont="1" applyFill="1" applyBorder="1"/>
    <xf numFmtId="1" fontId="14" fillId="18" borderId="14" xfId="0" applyNumberFormat="1" applyFont="1" applyFill="1" applyBorder="1"/>
    <xf numFmtId="3" fontId="14" fillId="18" borderId="14" xfId="0" applyNumberFormat="1" applyFont="1" applyFill="1" applyBorder="1"/>
    <xf numFmtId="167" fontId="14" fillId="18" borderId="14" xfId="0" applyNumberFormat="1" applyFont="1" applyFill="1" applyBorder="1"/>
    <xf numFmtId="0" fontId="41" fillId="0" borderId="0" xfId="0" applyFont="1" applyAlignment="1">
      <alignment horizontal="left" vertical="center" wrapText="1"/>
    </xf>
    <xf numFmtId="182" fontId="0" fillId="0" borderId="0" xfId="0" applyNumberFormat="1"/>
    <xf numFmtId="3" fontId="0" fillId="0" borderId="0" xfId="0" applyNumberFormat="1"/>
    <xf numFmtId="0" fontId="14" fillId="22" borderId="0" xfId="0" applyFont="1" applyFill="1" applyProtection="1">
      <protection locked="0"/>
    </xf>
    <xf numFmtId="0" fontId="44" fillId="16" borderId="0" xfId="0" applyFont="1" applyFill="1"/>
    <xf numFmtId="0" fontId="45" fillId="14" borderId="0" xfId="0" applyFont="1" applyFill="1"/>
    <xf numFmtId="0" fontId="45" fillId="16" borderId="0" xfId="0" applyFont="1" applyFill="1"/>
    <xf numFmtId="0" fontId="46" fillId="16" borderId="0" xfId="0" applyFont="1" applyFill="1"/>
    <xf numFmtId="0" fontId="22" fillId="16" borderId="0" xfId="0" applyFont="1" applyFill="1"/>
    <xf numFmtId="0" fontId="46" fillId="0" borderId="0" xfId="0" applyFont="1"/>
    <xf numFmtId="175" fontId="14" fillId="0" borderId="0" xfId="0" applyNumberFormat="1" applyFont="1"/>
    <xf numFmtId="171" fontId="14" fillId="0" borderId="0" xfId="0" applyNumberFormat="1" applyFont="1"/>
    <xf numFmtId="167" fontId="14" fillId="17" borderId="0" xfId="0" applyNumberFormat="1" applyFont="1" applyFill="1"/>
    <xf numFmtId="0" fontId="22" fillId="17" borderId="0" xfId="0" applyFont="1" applyFill="1"/>
    <xf numFmtId="0" fontId="14" fillId="21" borderId="0" xfId="0" applyFont="1" applyFill="1"/>
    <xf numFmtId="1" fontId="14" fillId="21" borderId="0" xfId="0" applyNumberFormat="1" applyFont="1" applyFill="1"/>
    <xf numFmtId="172" fontId="14" fillId="21" borderId="0" xfId="0" applyNumberFormat="1" applyFont="1" applyFill="1"/>
    <xf numFmtId="3" fontId="14" fillId="21" borderId="0" xfId="0" applyNumberFormat="1" applyFont="1" applyFill="1"/>
    <xf numFmtId="182" fontId="14" fillId="21" borderId="0" xfId="0" applyNumberFormat="1" applyFont="1" applyFill="1"/>
    <xf numFmtId="3" fontId="14" fillId="21" borderId="0" xfId="7" applyNumberFormat="1" applyFont="1" applyFill="1"/>
    <xf numFmtId="0" fontId="0" fillId="21" borderId="0" xfId="0" applyFill="1"/>
    <xf numFmtId="167" fontId="14" fillId="21" borderId="0" xfId="0" applyNumberFormat="1" applyFont="1" applyFill="1"/>
    <xf numFmtId="0" fontId="50" fillId="0" borderId="0" xfId="0" applyFont="1"/>
    <xf numFmtId="0" fontId="57" fillId="0" borderId="0" xfId="0" applyFont="1"/>
    <xf numFmtId="171" fontId="14" fillId="0" borderId="0" xfId="19" applyNumberFormat="1" applyFont="1" applyAlignment="1">
      <alignment horizontal="right"/>
    </xf>
    <xf numFmtId="0" fontId="0" fillId="0" borderId="0" xfId="0" applyAlignment="1">
      <alignment vertical="center"/>
    </xf>
    <xf numFmtId="0" fontId="0" fillId="28" borderId="0" xfId="0" applyFill="1" applyAlignment="1">
      <alignment horizontal="center" vertical="center"/>
    </xf>
    <xf numFmtId="0" fontId="0" fillId="24" borderId="0" xfId="0" applyFill="1" applyAlignment="1">
      <alignment horizontal="center" vertical="center"/>
    </xf>
    <xf numFmtId="0" fontId="0" fillId="29" borderId="0" xfId="0" applyFill="1" applyAlignment="1">
      <alignment horizontal="center" vertical="center"/>
    </xf>
    <xf numFmtId="0" fontId="0" fillId="26" borderId="0" xfId="0" applyFill="1" applyAlignment="1">
      <alignment horizontal="center" vertical="center"/>
    </xf>
    <xf numFmtId="0" fontId="0" fillId="23" borderId="0" xfId="0" applyFill="1" applyAlignment="1">
      <alignment horizontal="center" vertical="center"/>
    </xf>
    <xf numFmtId="0" fontId="0" fillId="30" borderId="0" xfId="0" applyFill="1" applyAlignment="1">
      <alignment horizontal="center" vertical="center"/>
    </xf>
    <xf numFmtId="0" fontId="0" fillId="19" borderId="0" xfId="0" applyFill="1"/>
    <xf numFmtId="0" fontId="0" fillId="19" borderId="0" xfId="0" applyFill="1" applyAlignment="1">
      <alignment horizontal="center" vertical="center"/>
    </xf>
    <xf numFmtId="0" fontId="5" fillId="31" borderId="19" xfId="0" applyFont="1" applyFill="1" applyBorder="1" applyAlignment="1">
      <alignment horizontal="center" vertical="center"/>
    </xf>
    <xf numFmtId="0" fontId="5" fillId="31" borderId="43" xfId="0" applyFont="1" applyFill="1" applyBorder="1" applyAlignment="1">
      <alignment horizontal="center" vertical="center"/>
    </xf>
    <xf numFmtId="0" fontId="5" fillId="28" borderId="15" xfId="0" applyFont="1" applyFill="1" applyBorder="1" applyAlignment="1">
      <alignment horizontal="center" vertical="center"/>
    </xf>
    <xf numFmtId="0" fontId="5" fillId="24" borderId="15" xfId="0" applyFont="1" applyFill="1" applyBorder="1" applyAlignment="1">
      <alignment horizontal="center" vertical="center"/>
    </xf>
    <xf numFmtId="0" fontId="5" fillId="29" borderId="15" xfId="0" applyFont="1" applyFill="1" applyBorder="1" applyAlignment="1">
      <alignment horizontal="center" vertical="center"/>
    </xf>
    <xf numFmtId="0" fontId="5" fillId="26" borderId="15" xfId="0" applyFont="1" applyFill="1" applyBorder="1" applyAlignment="1">
      <alignment horizontal="center" vertical="center"/>
    </xf>
    <xf numFmtId="0" fontId="5" fillId="23" borderId="15" xfId="0" applyFont="1" applyFill="1" applyBorder="1" applyAlignment="1">
      <alignment horizontal="center" vertical="center"/>
    </xf>
    <xf numFmtId="0" fontId="5" fillId="30" borderId="15" xfId="0" applyFont="1" applyFill="1" applyBorder="1" applyAlignment="1">
      <alignment horizontal="center" vertical="center"/>
    </xf>
    <xf numFmtId="0" fontId="5" fillId="19" borderId="15" xfId="0" applyFont="1" applyFill="1" applyBorder="1" applyAlignment="1">
      <alignment horizontal="center" vertical="center"/>
    </xf>
    <xf numFmtId="0" fontId="3" fillId="19" borderId="20" xfId="0" applyFont="1" applyFill="1" applyBorder="1" applyAlignment="1">
      <alignment vertical="center"/>
    </xf>
    <xf numFmtId="0" fontId="3" fillId="20" borderId="14" xfId="0" applyFont="1" applyFill="1" applyBorder="1" applyAlignment="1">
      <alignment vertical="center"/>
    </xf>
    <xf numFmtId="2" fontId="3" fillId="28" borderId="27" xfId="0" applyNumberFormat="1" applyFont="1" applyFill="1" applyBorder="1" applyAlignment="1">
      <alignment horizontal="center" vertical="center"/>
    </xf>
    <xf numFmtId="2" fontId="3" fillId="24" borderId="27" xfId="0" applyNumberFormat="1" applyFont="1" applyFill="1" applyBorder="1" applyAlignment="1">
      <alignment horizontal="center" vertical="center"/>
    </xf>
    <xf numFmtId="2" fontId="3" fillId="29" borderId="27" xfId="0" applyNumberFormat="1" applyFont="1" applyFill="1" applyBorder="1" applyAlignment="1">
      <alignment horizontal="center" vertical="center"/>
    </xf>
    <xf numFmtId="2" fontId="3" fillId="26" borderId="27" xfId="0" applyNumberFormat="1" applyFont="1" applyFill="1" applyBorder="1" applyAlignment="1">
      <alignment horizontal="center" vertical="center"/>
    </xf>
    <xf numFmtId="2" fontId="3" fillId="23" borderId="27" xfId="0" applyNumberFormat="1" applyFont="1" applyFill="1" applyBorder="1" applyAlignment="1">
      <alignment horizontal="center" vertical="center"/>
    </xf>
    <xf numFmtId="2" fontId="3" fillId="30" borderId="27" xfId="0" applyNumberFormat="1" applyFont="1" applyFill="1" applyBorder="1" applyAlignment="1">
      <alignment horizontal="center" vertical="center"/>
    </xf>
    <xf numFmtId="2" fontId="3" fillId="19" borderId="27" xfId="0" applyNumberFormat="1" applyFont="1" applyFill="1" applyBorder="1" applyAlignment="1">
      <alignment horizontal="center" vertical="center"/>
    </xf>
    <xf numFmtId="0" fontId="3" fillId="19" borderId="19" xfId="0" applyFont="1" applyFill="1" applyBorder="1" applyAlignment="1">
      <alignment vertical="center"/>
    </xf>
    <xf numFmtId="0" fontId="3" fillId="20" borderId="0" xfId="0" applyFont="1" applyFill="1" applyAlignment="1">
      <alignment vertical="center"/>
    </xf>
    <xf numFmtId="2" fontId="3" fillId="28" borderId="15" xfId="4" applyNumberFormat="1" applyFont="1" applyFill="1" applyBorder="1" applyAlignment="1">
      <alignment horizontal="center" vertical="center"/>
    </xf>
    <xf numFmtId="2" fontId="3" fillId="24" borderId="0" xfId="4" applyNumberFormat="1" applyFont="1" applyFill="1" applyBorder="1" applyAlignment="1">
      <alignment horizontal="center" vertical="center"/>
    </xf>
    <xf numFmtId="2" fontId="3" fillId="29" borderId="0" xfId="4" applyNumberFormat="1" applyFont="1" applyFill="1" applyBorder="1" applyAlignment="1">
      <alignment horizontal="center" vertical="center"/>
    </xf>
    <xf numFmtId="2" fontId="3" fillId="26" borderId="0" xfId="4" applyNumberFormat="1" applyFont="1" applyFill="1" applyBorder="1" applyAlignment="1">
      <alignment horizontal="center" vertical="center"/>
    </xf>
    <xf numFmtId="2" fontId="3" fillId="23" borderId="0" xfId="4" applyNumberFormat="1" applyFont="1" applyFill="1" applyBorder="1" applyAlignment="1">
      <alignment horizontal="center" vertical="center"/>
    </xf>
    <xf numFmtId="2" fontId="3" fillId="30" borderId="0" xfId="4" applyNumberFormat="1" applyFont="1" applyFill="1" applyBorder="1" applyAlignment="1">
      <alignment horizontal="center" vertical="center"/>
    </xf>
    <xf numFmtId="2" fontId="3" fillId="19" borderId="0" xfId="4" applyNumberFormat="1" applyFont="1" applyFill="1" applyBorder="1" applyAlignment="1">
      <alignment horizontal="center" vertical="center"/>
    </xf>
    <xf numFmtId="2" fontId="3" fillId="28" borderId="15" xfId="0" applyNumberFormat="1" applyFont="1" applyFill="1" applyBorder="1" applyAlignment="1">
      <alignment horizontal="center" vertical="center"/>
    </xf>
    <xf numFmtId="2" fontId="3" fillId="24" borderId="15" xfId="0" applyNumberFormat="1" applyFont="1" applyFill="1" applyBorder="1" applyAlignment="1">
      <alignment horizontal="center" vertical="center"/>
    </xf>
    <xf numFmtId="2" fontId="3" fillId="29" borderId="15" xfId="0" applyNumberFormat="1" applyFont="1" applyFill="1" applyBorder="1" applyAlignment="1">
      <alignment horizontal="center" vertical="center"/>
    </xf>
    <xf numFmtId="2" fontId="3" fillId="26" borderId="15" xfId="0" applyNumberFormat="1" applyFont="1" applyFill="1" applyBorder="1" applyAlignment="1">
      <alignment horizontal="center" vertical="center"/>
    </xf>
    <xf numFmtId="2" fontId="3" fillId="23" borderId="15" xfId="0" applyNumberFormat="1" applyFont="1" applyFill="1" applyBorder="1" applyAlignment="1">
      <alignment horizontal="center" vertical="center"/>
    </xf>
    <xf numFmtId="2" fontId="3" fillId="30" borderId="15" xfId="0" applyNumberFormat="1" applyFont="1" applyFill="1" applyBorder="1" applyAlignment="1">
      <alignment horizontal="center" vertical="center"/>
    </xf>
    <xf numFmtId="2" fontId="3" fillId="19" borderId="15" xfId="0" applyNumberFormat="1" applyFont="1" applyFill="1" applyBorder="1" applyAlignment="1">
      <alignment horizontal="center" vertical="center"/>
    </xf>
    <xf numFmtId="0" fontId="3" fillId="19" borderId="21" xfId="0" applyFont="1" applyFill="1" applyBorder="1" applyAlignment="1">
      <alignment vertical="center"/>
    </xf>
    <xf numFmtId="0" fontId="3" fillId="20" borderId="22" xfId="0" applyFont="1" applyFill="1" applyBorder="1" applyAlignment="1">
      <alignment vertical="center"/>
    </xf>
    <xf numFmtId="2" fontId="3" fillId="28" borderId="38" xfId="0" applyNumberFormat="1" applyFont="1" applyFill="1" applyBorder="1" applyAlignment="1">
      <alignment horizontal="center" vertical="center"/>
    </xf>
    <xf numFmtId="2" fontId="3" fillId="24" borderId="38" xfId="0" applyNumberFormat="1" applyFont="1" applyFill="1" applyBorder="1" applyAlignment="1">
      <alignment horizontal="center" vertical="center"/>
    </xf>
    <xf numFmtId="2" fontId="3" fillId="29" borderId="38" xfId="0" applyNumberFormat="1" applyFont="1" applyFill="1" applyBorder="1" applyAlignment="1">
      <alignment horizontal="center" vertical="center"/>
    </xf>
    <xf numFmtId="2" fontId="3" fillId="26" borderId="38" xfId="0" applyNumberFormat="1" applyFont="1" applyFill="1" applyBorder="1" applyAlignment="1">
      <alignment horizontal="center" vertical="center"/>
    </xf>
    <xf numFmtId="2" fontId="3" fillId="23" borderId="38" xfId="0" applyNumberFormat="1" applyFont="1" applyFill="1" applyBorder="1" applyAlignment="1">
      <alignment horizontal="center" vertical="center"/>
    </xf>
    <xf numFmtId="2" fontId="3" fillId="30" borderId="38" xfId="0" applyNumberFormat="1" applyFont="1" applyFill="1" applyBorder="1" applyAlignment="1">
      <alignment horizontal="center" vertical="center"/>
    </xf>
    <xf numFmtId="2" fontId="3" fillId="19" borderId="38" xfId="0" applyNumberFormat="1" applyFont="1" applyFill="1" applyBorder="1" applyAlignment="1">
      <alignment horizontal="center" vertical="center"/>
    </xf>
    <xf numFmtId="0" fontId="3" fillId="19" borderId="23" xfId="0" applyFont="1" applyFill="1" applyBorder="1" applyAlignment="1">
      <alignment vertical="center"/>
    </xf>
    <xf numFmtId="0" fontId="3" fillId="20" borderId="24" xfId="0" applyFont="1" applyFill="1" applyBorder="1" applyAlignment="1">
      <alignment vertical="center"/>
    </xf>
    <xf numFmtId="2" fontId="3" fillId="28" borderId="44" xfId="0" applyNumberFormat="1" applyFont="1" applyFill="1" applyBorder="1" applyAlignment="1">
      <alignment horizontal="center" vertical="center"/>
    </xf>
    <xf numFmtId="2" fontId="3" fillId="24" borderId="44" xfId="0" applyNumberFormat="1" applyFont="1" applyFill="1" applyBorder="1" applyAlignment="1">
      <alignment horizontal="center" vertical="center"/>
    </xf>
    <xf numFmtId="2" fontId="3" fillId="29" borderId="44" xfId="0" applyNumberFormat="1" applyFont="1" applyFill="1" applyBorder="1" applyAlignment="1">
      <alignment horizontal="center" vertical="center"/>
    </xf>
    <xf numFmtId="2" fontId="3" fillId="26" borderId="44" xfId="0" applyNumberFormat="1" applyFont="1" applyFill="1" applyBorder="1" applyAlignment="1">
      <alignment horizontal="center" vertical="center"/>
    </xf>
    <xf numFmtId="2" fontId="3" fillId="23" borderId="44" xfId="0" applyNumberFormat="1" applyFont="1" applyFill="1" applyBorder="1" applyAlignment="1">
      <alignment horizontal="center" vertical="center"/>
    </xf>
    <xf numFmtId="2" fontId="3" fillId="30" borderId="44" xfId="0" applyNumberFormat="1" applyFont="1" applyFill="1" applyBorder="1" applyAlignment="1">
      <alignment horizontal="center" vertical="center"/>
    </xf>
    <xf numFmtId="2" fontId="3" fillId="19" borderId="44" xfId="0" applyNumberFormat="1" applyFont="1" applyFill="1" applyBorder="1" applyAlignment="1">
      <alignment horizontal="center" vertical="center"/>
    </xf>
    <xf numFmtId="0" fontId="3" fillId="19" borderId="25" xfId="0" applyFont="1" applyFill="1" applyBorder="1" applyAlignment="1">
      <alignment vertical="center"/>
    </xf>
    <xf numFmtId="0" fontId="3" fillId="20" borderId="13" xfId="0" applyFont="1" applyFill="1" applyBorder="1" applyAlignment="1">
      <alignment vertical="center"/>
    </xf>
    <xf numFmtId="2" fontId="3" fillId="28" borderId="26" xfId="0" applyNumberFormat="1" applyFont="1" applyFill="1" applyBorder="1" applyAlignment="1">
      <alignment horizontal="center" vertical="center"/>
    </xf>
    <xf numFmtId="2" fontId="3" fillId="24" borderId="26" xfId="0" applyNumberFormat="1" applyFont="1" applyFill="1" applyBorder="1" applyAlignment="1">
      <alignment horizontal="center" vertical="center"/>
    </xf>
    <xf numFmtId="2" fontId="3" fillId="29" borderId="26" xfId="0" applyNumberFormat="1" applyFont="1" applyFill="1" applyBorder="1" applyAlignment="1">
      <alignment horizontal="center" vertical="center"/>
    </xf>
    <xf numFmtId="2" fontId="3" fillId="26" borderId="26" xfId="0" applyNumberFormat="1" applyFont="1" applyFill="1" applyBorder="1" applyAlignment="1">
      <alignment horizontal="center" vertical="center"/>
    </xf>
    <xf numFmtId="2" fontId="3" fillId="23" borderId="26" xfId="0" applyNumberFormat="1" applyFont="1" applyFill="1" applyBorder="1" applyAlignment="1">
      <alignment horizontal="center" vertical="center"/>
    </xf>
    <xf numFmtId="2" fontId="3" fillId="30" borderId="26" xfId="0" applyNumberFormat="1" applyFont="1" applyFill="1" applyBorder="1" applyAlignment="1">
      <alignment horizontal="center" vertical="center"/>
    </xf>
    <xf numFmtId="2" fontId="3" fillId="19" borderId="26" xfId="0" applyNumberFormat="1" applyFont="1" applyFill="1" applyBorder="1" applyAlignment="1">
      <alignment horizontal="center" vertical="center"/>
    </xf>
    <xf numFmtId="2" fontId="3" fillId="24" borderId="15" xfId="4" applyNumberFormat="1" applyFont="1" applyFill="1" applyBorder="1" applyAlignment="1">
      <alignment horizontal="center" vertical="center"/>
    </xf>
    <xf numFmtId="2" fontId="3" fillId="29" borderId="15" xfId="4" applyNumberFormat="1" applyFont="1" applyFill="1" applyBorder="1" applyAlignment="1">
      <alignment horizontal="center" vertical="center"/>
    </xf>
    <xf numFmtId="2" fontId="3" fillId="26" borderId="15" xfId="4" applyNumberFormat="1" applyFont="1" applyFill="1" applyBorder="1" applyAlignment="1">
      <alignment horizontal="center" vertical="center"/>
    </xf>
    <xf numFmtId="2" fontId="3" fillId="23" borderId="15" xfId="4" applyNumberFormat="1" applyFont="1" applyFill="1" applyBorder="1" applyAlignment="1">
      <alignment horizontal="center" vertical="center"/>
    </xf>
    <xf numFmtId="2" fontId="3" fillId="30" borderId="15" xfId="4" applyNumberFormat="1" applyFont="1" applyFill="1" applyBorder="1" applyAlignment="1">
      <alignment horizontal="center" vertical="center"/>
    </xf>
    <xf numFmtId="2" fontId="3" fillId="19" borderId="15" xfId="4" applyNumberFormat="1" applyFont="1" applyFill="1" applyBorder="1" applyAlignment="1">
      <alignment horizontal="center" vertical="center"/>
    </xf>
    <xf numFmtId="2" fontId="3" fillId="24" borderId="44" xfId="4" applyNumberFormat="1" applyFont="1" applyFill="1" applyBorder="1" applyAlignment="1">
      <alignment horizontal="center" vertical="center"/>
    </xf>
    <xf numFmtId="2" fontId="3" fillId="29" borderId="44" xfId="4" applyNumberFormat="1" applyFont="1" applyFill="1" applyBorder="1" applyAlignment="1">
      <alignment horizontal="center" vertical="center"/>
    </xf>
    <xf numFmtId="2" fontId="3" fillId="26" borderId="44" xfId="4" applyNumberFormat="1" applyFont="1" applyFill="1" applyBorder="1" applyAlignment="1">
      <alignment horizontal="center" vertical="center"/>
    </xf>
    <xf numFmtId="2" fontId="3" fillId="23" borderId="44" xfId="4" applyNumberFormat="1" applyFont="1" applyFill="1" applyBorder="1" applyAlignment="1">
      <alignment horizontal="center" vertical="center"/>
    </xf>
    <xf numFmtId="2" fontId="3" fillId="30" borderId="44" xfId="4" applyNumberFormat="1" applyFont="1" applyFill="1" applyBorder="1" applyAlignment="1">
      <alignment horizontal="center" vertical="center"/>
    </xf>
    <xf numFmtId="2" fontId="3" fillId="19" borderId="44" xfId="4" applyNumberFormat="1" applyFont="1" applyFill="1" applyBorder="1" applyAlignment="1">
      <alignment horizontal="center" vertical="center"/>
    </xf>
    <xf numFmtId="2" fontId="3" fillId="24" borderId="26" xfId="4" applyNumberFormat="1" applyFont="1" applyFill="1" applyBorder="1" applyAlignment="1">
      <alignment horizontal="center" vertical="center"/>
    </xf>
    <xf numFmtId="2" fontId="3" fillId="29" borderId="26" xfId="4" applyNumberFormat="1" applyFont="1" applyFill="1" applyBorder="1" applyAlignment="1">
      <alignment horizontal="center" vertical="center"/>
    </xf>
    <xf numFmtId="2" fontId="3" fillId="26" borderId="26" xfId="4" applyNumberFormat="1" applyFont="1" applyFill="1" applyBorder="1" applyAlignment="1">
      <alignment horizontal="center" vertical="center"/>
    </xf>
    <xf numFmtId="2" fontId="3" fillId="23" borderId="26" xfId="4" applyNumberFormat="1" applyFont="1" applyFill="1" applyBorder="1" applyAlignment="1">
      <alignment horizontal="center" vertical="center"/>
    </xf>
    <xf numFmtId="2" fontId="3" fillId="30" borderId="26" xfId="4" applyNumberFormat="1" applyFont="1" applyFill="1" applyBorder="1" applyAlignment="1">
      <alignment horizontal="center" vertical="center"/>
    </xf>
    <xf numFmtId="2" fontId="3" fillId="19" borderId="26" xfId="4" applyNumberFormat="1" applyFont="1" applyFill="1" applyBorder="1" applyAlignment="1">
      <alignment horizontal="center" vertical="center"/>
    </xf>
    <xf numFmtId="2" fontId="3" fillId="24" borderId="41" xfId="0" applyNumberFormat="1" applyFont="1" applyFill="1" applyBorder="1" applyAlignment="1">
      <alignment horizontal="center" vertical="center"/>
    </xf>
    <xf numFmtId="2" fontId="3" fillId="29" borderId="43" xfId="0" applyNumberFormat="1" applyFont="1" applyFill="1" applyBorder="1" applyAlignment="1">
      <alignment horizontal="center" vertical="center"/>
    </xf>
    <xf numFmtId="2" fontId="3" fillId="24" borderId="43" xfId="0" applyNumberFormat="1" applyFont="1" applyFill="1" applyBorder="1" applyAlignment="1">
      <alignment horizontal="center" vertical="center"/>
    </xf>
    <xf numFmtId="2" fontId="3" fillId="24" borderId="43" xfId="4" applyNumberFormat="1" applyFont="1" applyFill="1" applyBorder="1" applyAlignment="1">
      <alignment horizontal="center" vertical="center"/>
    </xf>
    <xf numFmtId="2" fontId="3" fillId="24" borderId="42" xfId="0" applyNumberFormat="1" applyFont="1" applyFill="1" applyBorder="1" applyAlignment="1">
      <alignment horizontal="center" vertical="center"/>
    </xf>
    <xf numFmtId="2" fontId="3" fillId="29" borderId="42" xfId="0" applyNumberFormat="1" applyFont="1" applyFill="1" applyBorder="1" applyAlignment="1">
      <alignment horizontal="center" vertical="center"/>
    </xf>
    <xf numFmtId="2" fontId="3" fillId="29" borderId="41" xfId="0" applyNumberFormat="1" applyFont="1" applyFill="1" applyBorder="1" applyAlignment="1">
      <alignment horizontal="center" vertical="center"/>
    </xf>
    <xf numFmtId="2" fontId="3" fillId="29" borderId="43" xfId="4" applyNumberFormat="1" applyFont="1" applyFill="1" applyBorder="1" applyAlignment="1">
      <alignment horizontal="center" vertical="center"/>
    </xf>
    <xf numFmtId="0" fontId="3" fillId="19" borderId="37" xfId="0" applyFont="1" applyFill="1" applyBorder="1" applyAlignment="1">
      <alignment vertical="center"/>
    </xf>
    <xf numFmtId="0" fontId="3" fillId="20" borderId="28" xfId="0" applyFont="1" applyFill="1" applyBorder="1" applyAlignment="1">
      <alignment vertical="center"/>
    </xf>
    <xf numFmtId="2" fontId="3" fillId="28" borderId="29" xfId="0" applyNumberFormat="1" applyFont="1" applyFill="1" applyBorder="1" applyAlignment="1">
      <alignment horizontal="center" vertical="center"/>
    </xf>
    <xf numFmtId="2" fontId="3" fillId="24" borderId="29" xfId="0" applyNumberFormat="1" applyFont="1" applyFill="1" applyBorder="1" applyAlignment="1">
      <alignment horizontal="center" vertical="center"/>
    </xf>
    <xf numFmtId="2" fontId="3" fillId="29" borderId="29" xfId="0" applyNumberFormat="1" applyFont="1" applyFill="1" applyBorder="1" applyAlignment="1">
      <alignment horizontal="center" vertical="center"/>
    </xf>
    <xf numFmtId="2" fontId="3" fillId="26" borderId="29" xfId="0" applyNumberFormat="1" applyFont="1" applyFill="1" applyBorder="1" applyAlignment="1">
      <alignment horizontal="center" vertical="center"/>
    </xf>
    <xf numFmtId="2" fontId="3" fillId="23" borderId="29" xfId="0" applyNumberFormat="1" applyFont="1" applyFill="1" applyBorder="1" applyAlignment="1">
      <alignment horizontal="center" vertical="center"/>
    </xf>
    <xf numFmtId="2" fontId="3" fillId="30" borderId="29" xfId="0" applyNumberFormat="1" applyFont="1" applyFill="1" applyBorder="1" applyAlignment="1">
      <alignment horizontal="center" vertical="center"/>
    </xf>
    <xf numFmtId="2" fontId="3" fillId="19" borderId="29" xfId="0" applyNumberFormat="1" applyFont="1" applyFill="1" applyBorder="1" applyAlignment="1">
      <alignment horizontal="center" vertical="center"/>
    </xf>
    <xf numFmtId="0" fontId="58" fillId="0" borderId="48" xfId="0" applyFont="1" applyBorder="1"/>
    <xf numFmtId="0" fontId="58" fillId="0" borderId="29" xfId="0" applyFont="1" applyBorder="1"/>
    <xf numFmtId="0" fontId="58" fillId="0" borderId="15" xfId="0" applyFont="1" applyBorder="1"/>
    <xf numFmtId="0" fontId="58" fillId="0" borderId="42" xfId="0" applyFont="1" applyBorder="1"/>
    <xf numFmtId="3" fontId="58" fillId="0" borderId="26" xfId="0" applyNumberFormat="1" applyFont="1" applyBorder="1"/>
    <xf numFmtId="10" fontId="58" fillId="0" borderId="26" xfId="0" applyNumberFormat="1" applyFont="1" applyBorder="1"/>
    <xf numFmtId="9" fontId="0" fillId="0" borderId="0" xfId="19" applyFont="1"/>
    <xf numFmtId="0" fontId="0" fillId="0" borderId="0" xfId="0" applyAlignment="1">
      <alignment horizontal="left" vertical="center"/>
    </xf>
    <xf numFmtId="164" fontId="0" fillId="0" borderId="0" xfId="1" applyFont="1"/>
    <xf numFmtId="43" fontId="0" fillId="0" borderId="0" xfId="0" applyNumberFormat="1"/>
    <xf numFmtId="2" fontId="0" fillId="0" borderId="0" xfId="0" applyNumberFormat="1"/>
    <xf numFmtId="0" fontId="44" fillId="16" borderId="0" xfId="0" applyFont="1" applyFill="1" applyAlignment="1">
      <alignment vertical="center"/>
    </xf>
    <xf numFmtId="0" fontId="3" fillId="0" borderId="0" xfId="0" applyFont="1" applyAlignment="1">
      <alignment vertical="center"/>
    </xf>
    <xf numFmtId="0" fontId="24" fillId="14" borderId="0" xfId="0" applyFont="1" applyFill="1" applyAlignment="1">
      <alignment vertical="center"/>
    </xf>
    <xf numFmtId="0" fontId="24" fillId="16" borderId="0" xfId="0" applyFont="1" applyFill="1" applyAlignment="1">
      <alignment vertical="center"/>
    </xf>
    <xf numFmtId="0" fontId="6" fillId="0" borderId="0" xfId="0" applyFont="1" applyAlignment="1">
      <alignment vertical="center"/>
    </xf>
    <xf numFmtId="0" fontId="24" fillId="0" borderId="0" xfId="0" applyFont="1" applyAlignment="1">
      <alignment vertical="center"/>
    </xf>
    <xf numFmtId="0" fontId="26" fillId="0" borderId="0" xfId="0" applyFont="1" applyAlignment="1">
      <alignment vertical="center"/>
    </xf>
    <xf numFmtId="0" fontId="26" fillId="0" borderId="0" xfId="0" applyFont="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0" xfId="0" applyFont="1" applyAlignment="1">
      <alignment vertical="center"/>
    </xf>
    <xf numFmtId="0" fontId="14" fillId="0" borderId="0" xfId="0" applyFont="1" applyAlignment="1" applyProtection="1">
      <alignment horizontal="center" vertical="center" wrapText="1"/>
      <protection locked="0"/>
    </xf>
    <xf numFmtId="0" fontId="3" fillId="22" borderId="14" xfId="0" applyFont="1" applyFill="1" applyBorder="1" applyAlignment="1">
      <alignment vertical="center"/>
    </xf>
    <xf numFmtId="2" fontId="14" fillId="0" borderId="0" xfId="0" applyNumberFormat="1" applyFont="1" applyAlignment="1">
      <alignment vertical="center"/>
    </xf>
    <xf numFmtId="167" fontId="51" fillId="0" borderId="0" xfId="0" applyNumberFormat="1" applyFont="1" applyAlignment="1" applyProtection="1">
      <alignment horizontal="right" vertical="center" wrapText="1"/>
      <protection locked="0"/>
    </xf>
    <xf numFmtId="0" fontId="14" fillId="0" borderId="0" xfId="0" applyFont="1" applyAlignment="1" applyProtection="1">
      <alignment horizontal="right" vertical="center" wrapText="1"/>
      <protection locked="0"/>
    </xf>
    <xf numFmtId="0" fontId="3" fillId="22" borderId="0" xfId="0" applyFont="1" applyFill="1" applyAlignment="1">
      <alignment horizontal="center" vertical="center"/>
    </xf>
    <xf numFmtId="0" fontId="3" fillId="22" borderId="15" xfId="0" applyFont="1" applyFill="1" applyBorder="1" applyAlignment="1">
      <alignment horizontal="center" vertical="center"/>
    </xf>
    <xf numFmtId="0" fontId="41" fillId="0" borderId="0" xfId="0" applyFont="1" applyAlignment="1">
      <alignment vertical="center"/>
    </xf>
    <xf numFmtId="167" fontId="14" fillId="0" borderId="0" xfId="0" applyNumberFormat="1" applyFont="1" applyAlignment="1">
      <alignment horizontal="right" vertical="center"/>
    </xf>
    <xf numFmtId="166" fontId="14" fillId="0" borderId="0" xfId="0" applyNumberFormat="1" applyFont="1" applyAlignment="1">
      <alignment vertical="center"/>
    </xf>
    <xf numFmtId="0" fontId="3" fillId="22" borderId="13" xfId="0" applyFont="1" applyFill="1" applyBorder="1" applyAlignment="1">
      <alignment vertical="center"/>
    </xf>
    <xf numFmtId="0" fontId="14" fillId="0" borderId="0" xfId="0" quotePrefix="1" applyFont="1" applyAlignment="1">
      <alignment horizontal="center" vertical="center"/>
    </xf>
    <xf numFmtId="0" fontId="52" fillId="0" borderId="0" xfId="0" applyFont="1" applyAlignment="1">
      <alignment vertical="center"/>
    </xf>
    <xf numFmtId="3" fontId="16" fillId="6" borderId="0" xfId="9" applyNumberFormat="1" applyFont="1" applyFill="1" applyAlignment="1">
      <alignment horizontal="right" vertical="center"/>
    </xf>
    <xf numFmtId="3" fontId="16" fillId="0" borderId="0" xfId="9" applyNumberFormat="1" applyFont="1" applyAlignment="1">
      <alignment horizontal="right" vertical="center"/>
    </xf>
    <xf numFmtId="0" fontId="16" fillId="0" borderId="0" xfId="11" applyFont="1" applyAlignment="1">
      <alignment horizontal="left" vertical="center"/>
    </xf>
    <xf numFmtId="3" fontId="16" fillId="0" borderId="3" xfId="11" applyNumberFormat="1" applyFont="1" applyBorder="1" applyAlignment="1">
      <alignment vertical="center" wrapText="1"/>
    </xf>
    <xf numFmtId="3" fontId="16" fillId="0" borderId="0" xfId="11" applyNumberFormat="1" applyFont="1" applyAlignment="1">
      <alignment vertical="center" wrapText="1"/>
    </xf>
    <xf numFmtId="0" fontId="4" fillId="0" borderId="0" xfId="5" applyAlignment="1" applyProtection="1">
      <alignment vertical="center"/>
    </xf>
    <xf numFmtId="174" fontId="0" fillId="4" borderId="0" xfId="1" applyNumberFormat="1" applyFont="1" applyFill="1" applyAlignment="1">
      <alignment horizontal="right" vertical="center"/>
    </xf>
    <xf numFmtId="0" fontId="3" fillId="22" borderId="19" xfId="0" applyFont="1" applyFill="1" applyBorder="1" applyAlignment="1">
      <alignment horizontal="center" vertical="center"/>
    </xf>
    <xf numFmtId="0" fontId="5" fillId="22" borderId="20" xfId="0" applyFont="1" applyFill="1" applyBorder="1" applyAlignment="1">
      <alignment vertical="center"/>
    </xf>
    <xf numFmtId="0" fontId="0" fillId="33" borderId="0" xfId="0" applyFill="1"/>
    <xf numFmtId="0" fontId="5" fillId="33" borderId="0" xfId="0" applyFont="1" applyFill="1" applyAlignment="1">
      <alignment vertical="center"/>
    </xf>
    <xf numFmtId="0" fontId="3" fillId="33" borderId="0" xfId="0" applyFont="1" applyFill="1" applyAlignment="1">
      <alignment vertical="center"/>
    </xf>
    <xf numFmtId="0" fontId="3" fillId="33" borderId="0" xfId="24" applyFill="1" applyAlignment="1">
      <alignment vertical="center"/>
    </xf>
    <xf numFmtId="0" fontId="3" fillId="33" borderId="0" xfId="0" applyFont="1" applyFill="1" applyAlignment="1">
      <alignment horizontal="center" vertical="center"/>
    </xf>
    <xf numFmtId="2" fontId="3" fillId="33" borderId="0" xfId="0" applyNumberFormat="1" applyFont="1" applyFill="1" applyAlignment="1">
      <alignment horizontal="center" vertical="center"/>
    </xf>
    <xf numFmtId="0" fontId="46" fillId="33" borderId="0" xfId="0" applyFont="1" applyFill="1"/>
    <xf numFmtId="0" fontId="46" fillId="33" borderId="0" xfId="0" applyFont="1" applyFill="1" applyAlignment="1">
      <alignment horizontal="center"/>
    </xf>
    <xf numFmtId="0" fontId="22" fillId="33" borderId="0" xfId="0" applyFont="1" applyFill="1" applyAlignment="1">
      <alignment horizontal="center"/>
    </xf>
    <xf numFmtId="0" fontId="22" fillId="33" borderId="0" xfId="0" applyFont="1" applyFill="1"/>
    <xf numFmtId="0" fontId="13" fillId="33" borderId="0" xfId="0" applyFont="1" applyFill="1" applyAlignment="1">
      <alignment horizontal="left"/>
    </xf>
    <xf numFmtId="0" fontId="13" fillId="33" borderId="0" xfId="0" applyFont="1" applyFill="1" applyAlignment="1">
      <alignment horizontal="center"/>
    </xf>
    <xf numFmtId="166" fontId="22" fillId="33" borderId="0" xfId="0" applyNumberFormat="1" applyFont="1" applyFill="1" applyAlignment="1">
      <alignment horizontal="center"/>
    </xf>
    <xf numFmtId="2" fontId="22" fillId="33" borderId="0" xfId="0" applyNumberFormat="1" applyFont="1" applyFill="1" applyAlignment="1">
      <alignment horizontal="center"/>
    </xf>
    <xf numFmtId="166" fontId="14" fillId="33" borderId="0" xfId="0" applyNumberFormat="1" applyFont="1" applyFill="1" applyAlignment="1">
      <alignment horizontal="center" vertical="center"/>
    </xf>
    <xf numFmtId="0" fontId="44" fillId="33" borderId="0" xfId="0" applyFont="1" applyFill="1" applyAlignment="1">
      <alignment vertical="center"/>
    </xf>
    <xf numFmtId="0" fontId="62" fillId="33" borderId="37" xfId="0" applyFont="1" applyFill="1" applyBorder="1" applyAlignment="1">
      <alignment vertical="center"/>
    </xf>
    <xf numFmtId="0" fontId="3" fillId="33" borderId="28" xfId="0" applyFont="1" applyFill="1" applyBorder="1" applyAlignment="1">
      <alignment vertical="center"/>
    </xf>
    <xf numFmtId="0" fontId="3" fillId="33" borderId="29" xfId="0" applyFont="1" applyFill="1" applyBorder="1" applyAlignment="1">
      <alignment vertical="center"/>
    </xf>
    <xf numFmtId="0" fontId="62" fillId="33" borderId="25" xfId="0" applyFont="1" applyFill="1" applyBorder="1" applyAlignment="1">
      <alignment vertical="center"/>
    </xf>
    <xf numFmtId="3" fontId="62" fillId="33" borderId="13" xfId="0" applyNumberFormat="1" applyFont="1" applyFill="1" applyBorder="1" applyAlignment="1">
      <alignment horizontal="center" vertical="center"/>
    </xf>
    <xf numFmtId="0" fontId="62" fillId="33" borderId="13" xfId="0" applyFont="1" applyFill="1" applyBorder="1" applyAlignment="1">
      <alignment horizontal="center" vertical="center"/>
    </xf>
    <xf numFmtId="0" fontId="62" fillId="33" borderId="17" xfId="0" applyFont="1" applyFill="1" applyBorder="1" applyAlignment="1">
      <alignment horizontal="center" vertical="center"/>
    </xf>
    <xf numFmtId="0" fontId="62" fillId="33" borderId="49" xfId="0" applyFont="1" applyFill="1" applyBorder="1" applyAlignment="1">
      <alignment horizontal="center" vertical="center"/>
    </xf>
    <xf numFmtId="0" fontId="63" fillId="33" borderId="19" xfId="0" applyFont="1" applyFill="1" applyBorder="1" applyAlignment="1">
      <alignment vertical="center"/>
    </xf>
    <xf numFmtId="3" fontId="63" fillId="33" borderId="0" xfId="0" applyNumberFormat="1" applyFont="1" applyFill="1" applyAlignment="1">
      <alignment horizontal="center" vertical="center"/>
    </xf>
    <xf numFmtId="0" fontId="63" fillId="33" borderId="0" xfId="0" applyFont="1" applyFill="1" applyAlignment="1">
      <alignment vertical="center"/>
    </xf>
    <xf numFmtId="0" fontId="63" fillId="33" borderId="6" xfId="0" applyFont="1" applyFill="1" applyBorder="1" applyAlignment="1">
      <alignment vertical="center"/>
    </xf>
    <xf numFmtId="0" fontId="63" fillId="33" borderId="36" xfId="0" applyFont="1" applyFill="1" applyBorder="1" applyAlignment="1">
      <alignment vertical="center"/>
    </xf>
    <xf numFmtId="0" fontId="3" fillId="33" borderId="37" xfId="0" applyFont="1" applyFill="1" applyBorder="1" applyAlignment="1">
      <alignment vertical="center"/>
    </xf>
    <xf numFmtId="0" fontId="5" fillId="33" borderId="28" xfId="0" applyFont="1" applyFill="1" applyBorder="1" applyAlignment="1">
      <alignment horizontal="center" vertical="center"/>
    </xf>
    <xf numFmtId="0" fontId="5" fillId="33" borderId="29" xfId="0" applyFont="1" applyFill="1" applyBorder="1" applyAlignment="1">
      <alignment horizontal="center" vertical="center"/>
    </xf>
    <xf numFmtId="186" fontId="63" fillId="33" borderId="0" xfId="0" applyNumberFormat="1" applyFont="1" applyFill="1" applyAlignment="1">
      <alignment horizontal="center" vertical="center"/>
    </xf>
    <xf numFmtId="3" fontId="63" fillId="33" borderId="6" xfId="0" applyNumberFormat="1" applyFont="1" applyFill="1" applyBorder="1" applyAlignment="1">
      <alignment horizontal="center" vertical="center"/>
    </xf>
    <xf numFmtId="0" fontId="64" fillId="33" borderId="36" xfId="5" applyFont="1" applyFill="1" applyBorder="1" applyAlignment="1" applyProtection="1">
      <alignment vertical="center"/>
    </xf>
    <xf numFmtId="0" fontId="3" fillId="33" borderId="19" xfId="0" applyFont="1" applyFill="1" applyBorder="1" applyAlignment="1">
      <alignment vertical="center"/>
    </xf>
    <xf numFmtId="0" fontId="63" fillId="33" borderId="0" xfId="0" applyFont="1" applyFill="1" applyAlignment="1">
      <alignment horizontal="center" vertical="center"/>
    </xf>
    <xf numFmtId="4" fontId="63" fillId="33" borderId="0" xfId="0" applyNumberFormat="1" applyFont="1" applyFill="1" applyAlignment="1">
      <alignment horizontal="center" vertical="center"/>
    </xf>
    <xf numFmtId="2" fontId="63" fillId="33" borderId="0" xfId="0" applyNumberFormat="1" applyFont="1" applyFill="1" applyAlignment="1">
      <alignment horizontal="center" vertical="center"/>
    </xf>
    <xf numFmtId="0" fontId="50" fillId="33" borderId="19" xfId="0" applyFont="1" applyFill="1" applyBorder="1" applyAlignment="1">
      <alignment vertical="center"/>
    </xf>
    <xf numFmtId="0" fontId="50" fillId="33" borderId="0" xfId="0" applyFont="1" applyFill="1" applyAlignment="1">
      <alignment vertical="center"/>
    </xf>
    <xf numFmtId="166" fontId="3" fillId="33" borderId="19" xfId="0" applyNumberFormat="1" applyFont="1" applyFill="1" applyBorder="1" applyAlignment="1">
      <alignment horizontal="center" vertical="center"/>
    </xf>
    <xf numFmtId="166" fontId="3" fillId="33" borderId="0" xfId="0" applyNumberFormat="1" applyFont="1" applyFill="1" applyAlignment="1">
      <alignment horizontal="center" vertical="center"/>
    </xf>
    <xf numFmtId="166" fontId="3" fillId="33" borderId="15" xfId="0" applyNumberFormat="1" applyFont="1" applyFill="1" applyBorder="1" applyAlignment="1">
      <alignment horizontal="center" vertical="center"/>
    </xf>
    <xf numFmtId="187" fontId="3" fillId="33" borderId="0" xfId="0" applyNumberFormat="1" applyFont="1" applyFill="1" applyAlignment="1">
      <alignment horizontal="center" vertical="center"/>
    </xf>
    <xf numFmtId="3" fontId="3" fillId="33" borderId="19" xfId="0" applyNumberFormat="1" applyFont="1" applyFill="1" applyBorder="1" applyAlignment="1">
      <alignment horizontal="center" vertical="center"/>
    </xf>
    <xf numFmtId="3" fontId="3" fillId="33" borderId="0" xfId="0" applyNumberFormat="1" applyFont="1" applyFill="1" applyAlignment="1">
      <alignment horizontal="center" vertical="center"/>
    </xf>
    <xf numFmtId="3" fontId="3" fillId="33" borderId="15" xfId="0" applyNumberFormat="1" applyFont="1" applyFill="1" applyBorder="1" applyAlignment="1">
      <alignment horizontal="center" vertical="center"/>
    </xf>
    <xf numFmtId="4" fontId="3" fillId="33" borderId="19" xfId="0" applyNumberFormat="1" applyFont="1" applyFill="1" applyBorder="1" applyAlignment="1">
      <alignment horizontal="center" vertical="center"/>
    </xf>
    <xf numFmtId="4" fontId="3" fillId="33" borderId="0" xfId="0" applyNumberFormat="1" applyFont="1" applyFill="1" applyAlignment="1">
      <alignment horizontal="center" vertical="center"/>
    </xf>
    <xf numFmtId="4" fontId="3" fillId="33" borderId="15" xfId="0" applyNumberFormat="1" applyFont="1" applyFill="1" applyBorder="1" applyAlignment="1">
      <alignment horizontal="center" vertical="center"/>
    </xf>
    <xf numFmtId="166" fontId="3" fillId="33" borderId="25" xfId="0" applyNumberFormat="1" applyFont="1" applyFill="1" applyBorder="1" applyAlignment="1">
      <alignment horizontal="center" vertical="center"/>
    </xf>
    <xf numFmtId="166" fontId="3" fillId="33" borderId="13" xfId="0" applyNumberFormat="1" applyFont="1" applyFill="1" applyBorder="1" applyAlignment="1">
      <alignment horizontal="center" vertical="center"/>
    </xf>
    <xf numFmtId="166" fontId="3" fillId="33" borderId="26" xfId="0" applyNumberFormat="1" applyFont="1" applyFill="1" applyBorder="1" applyAlignment="1">
      <alignment horizontal="center" vertical="center"/>
    </xf>
    <xf numFmtId="0" fontId="3" fillId="33" borderId="20" xfId="0" applyFont="1" applyFill="1" applyBorder="1" applyAlignment="1">
      <alignment vertical="center"/>
    </xf>
    <xf numFmtId="0" fontId="3" fillId="33" borderId="14" xfId="0" applyFont="1" applyFill="1" applyBorder="1" applyAlignment="1">
      <alignment vertical="center"/>
    </xf>
    <xf numFmtId="165" fontId="3" fillId="33" borderId="14" xfId="0" applyNumberFormat="1" applyFont="1" applyFill="1" applyBorder="1" applyAlignment="1">
      <alignment vertical="center"/>
    </xf>
    <xf numFmtId="165" fontId="3" fillId="33" borderId="27" xfId="0" applyNumberFormat="1" applyFont="1" applyFill="1" applyBorder="1" applyAlignment="1">
      <alignment vertical="center"/>
    </xf>
    <xf numFmtId="0" fontId="50" fillId="33" borderId="25" xfId="0" applyFont="1" applyFill="1" applyBorder="1" applyAlignment="1">
      <alignment vertical="center"/>
    </xf>
    <xf numFmtId="0" fontId="3" fillId="33" borderId="13" xfId="0" applyFont="1" applyFill="1" applyBorder="1" applyAlignment="1">
      <alignment vertical="center"/>
    </xf>
    <xf numFmtId="0" fontId="3" fillId="33" borderId="26" xfId="0" applyFont="1" applyFill="1" applyBorder="1" applyAlignment="1">
      <alignment vertical="center"/>
    </xf>
    <xf numFmtId="2" fontId="3" fillId="33" borderId="0" xfId="0" applyNumberFormat="1" applyFont="1" applyFill="1" applyAlignment="1">
      <alignment vertical="center"/>
    </xf>
    <xf numFmtId="2" fontId="3" fillId="33" borderId="27" xfId="0" applyNumberFormat="1" applyFont="1" applyFill="1" applyBorder="1" applyAlignment="1">
      <alignment vertical="center"/>
    </xf>
    <xf numFmtId="2" fontId="5" fillId="33" borderId="41" xfId="0" applyNumberFormat="1" applyFont="1" applyFill="1" applyBorder="1" applyAlignment="1">
      <alignment horizontal="center" vertical="center"/>
    </xf>
    <xf numFmtId="0" fontId="3" fillId="33" borderId="25" xfId="0" applyFont="1" applyFill="1" applyBorder="1" applyAlignment="1">
      <alignment vertical="center"/>
    </xf>
    <xf numFmtId="0" fontId="3" fillId="33" borderId="0" xfId="0" applyFont="1" applyFill="1" applyAlignment="1">
      <alignment horizontal="center" vertical="center" wrapText="1"/>
    </xf>
    <xf numFmtId="0" fontId="3" fillId="33" borderId="15" xfId="0" applyFont="1" applyFill="1" applyBorder="1" applyAlignment="1">
      <alignment horizontal="center" vertical="center" wrapText="1"/>
    </xf>
    <xf numFmtId="0" fontId="3" fillId="33" borderId="19" xfId="0" applyFont="1" applyFill="1" applyBorder="1" applyAlignment="1">
      <alignment horizontal="center" vertical="center"/>
    </xf>
    <xf numFmtId="0" fontId="3" fillId="33" borderId="15" xfId="0" applyFont="1" applyFill="1" applyBorder="1" applyAlignment="1">
      <alignment horizontal="center" vertical="center"/>
    </xf>
    <xf numFmtId="0" fontId="5" fillId="33" borderId="42" xfId="0" applyFont="1" applyFill="1" applyBorder="1" applyAlignment="1">
      <alignment horizontal="center" vertical="center"/>
    </xf>
    <xf numFmtId="0" fontId="63" fillId="33" borderId="25" xfId="0" applyFont="1" applyFill="1" applyBorder="1" applyAlignment="1">
      <alignment vertical="center"/>
    </xf>
    <xf numFmtId="3" fontId="63" fillId="33" borderId="13" xfId="0" applyNumberFormat="1" applyFont="1" applyFill="1" applyBorder="1" applyAlignment="1">
      <alignment horizontal="center" vertical="center"/>
    </xf>
    <xf numFmtId="186" fontId="63" fillId="33" borderId="13" xfId="0" applyNumberFormat="1" applyFont="1" applyFill="1" applyBorder="1" applyAlignment="1">
      <alignment horizontal="center" vertical="center"/>
    </xf>
    <xf numFmtId="4" fontId="63" fillId="33" borderId="13" xfId="0" applyNumberFormat="1" applyFont="1" applyFill="1" applyBorder="1" applyAlignment="1">
      <alignment horizontal="center" vertical="center"/>
    </xf>
    <xf numFmtId="2" fontId="63" fillId="33" borderId="13" xfId="0" applyNumberFormat="1" applyFont="1" applyFill="1" applyBorder="1" applyAlignment="1">
      <alignment horizontal="center" vertical="center"/>
    </xf>
    <xf numFmtId="3" fontId="63" fillId="33" borderId="17" xfId="0" applyNumberFormat="1" applyFont="1" applyFill="1" applyBorder="1" applyAlignment="1">
      <alignment horizontal="center" vertical="center"/>
    </xf>
    <xf numFmtId="0" fontId="64" fillId="33" borderId="49" xfId="5" applyFont="1" applyFill="1" applyBorder="1" applyAlignment="1" applyProtection="1">
      <alignment vertical="center"/>
    </xf>
    <xf numFmtId="10" fontId="3" fillId="33" borderId="20" xfId="14" applyNumberFormat="1" applyFill="1" applyBorder="1" applyAlignment="1">
      <alignment horizontal="center" vertical="center"/>
    </xf>
    <xf numFmtId="10" fontId="3" fillId="33" borderId="14" xfId="0" applyNumberFormat="1" applyFont="1" applyFill="1" applyBorder="1" applyAlignment="1">
      <alignment horizontal="center" vertical="center"/>
    </xf>
    <xf numFmtId="10" fontId="3" fillId="33" borderId="27" xfId="0" applyNumberFormat="1" applyFont="1" applyFill="1" applyBorder="1" applyAlignment="1">
      <alignment horizontal="center" vertical="center"/>
    </xf>
    <xf numFmtId="0" fontId="3" fillId="33" borderId="43" xfId="0" applyFont="1" applyFill="1" applyBorder="1" applyAlignment="1">
      <alignment horizontal="center" vertical="center"/>
    </xf>
    <xf numFmtId="0" fontId="3" fillId="33" borderId="15" xfId="0" applyFont="1" applyFill="1" applyBorder="1" applyAlignment="1">
      <alignment vertical="center"/>
    </xf>
    <xf numFmtId="10" fontId="3" fillId="33" borderId="19" xfId="14" applyNumberFormat="1" applyFill="1" applyBorder="1" applyAlignment="1">
      <alignment horizontal="center" vertical="center"/>
    </xf>
    <xf numFmtId="10" fontId="3" fillId="33" borderId="0" xfId="0" applyNumberFormat="1" applyFont="1" applyFill="1" applyAlignment="1">
      <alignment horizontal="center" vertical="center"/>
    </xf>
    <xf numFmtId="10" fontId="3" fillId="33" borderId="15" xfId="0" applyNumberFormat="1" applyFont="1" applyFill="1" applyBorder="1" applyAlignment="1">
      <alignment horizontal="center" vertical="center"/>
    </xf>
    <xf numFmtId="9" fontId="3" fillId="33" borderId="48" xfId="19" applyFont="1" applyFill="1" applyBorder="1" applyAlignment="1">
      <alignment horizontal="center" vertical="center"/>
    </xf>
    <xf numFmtId="3" fontId="62" fillId="33" borderId="28" xfId="0" applyNumberFormat="1" applyFont="1" applyFill="1" applyBorder="1" applyAlignment="1">
      <alignment horizontal="center" vertical="center"/>
    </xf>
    <xf numFmtId="3" fontId="62" fillId="33" borderId="29" xfId="0" applyNumberFormat="1" applyFont="1" applyFill="1" applyBorder="1" applyAlignment="1">
      <alignment horizontal="center" vertical="center"/>
    </xf>
    <xf numFmtId="172" fontId="63" fillId="33" borderId="0" xfId="0" applyNumberFormat="1" applyFont="1" applyFill="1" applyAlignment="1">
      <alignment horizontal="center" vertical="center"/>
    </xf>
    <xf numFmtId="172" fontId="63" fillId="33" borderId="15" xfId="0" applyNumberFormat="1" applyFont="1" applyFill="1" applyBorder="1" applyAlignment="1">
      <alignment horizontal="center" vertical="center"/>
    </xf>
    <xf numFmtId="0" fontId="4" fillId="33" borderId="0" xfId="5" applyFill="1" applyBorder="1" applyAlignment="1" applyProtection="1">
      <alignment vertical="center"/>
    </xf>
    <xf numFmtId="0" fontId="4" fillId="33" borderId="0" xfId="5" applyFill="1" applyBorder="1" applyAlignment="1" applyProtection="1">
      <alignment horizontal="left" vertical="center"/>
    </xf>
    <xf numFmtId="10" fontId="3" fillId="33" borderId="25" xfId="14" applyNumberFormat="1" applyFill="1" applyBorder="1" applyAlignment="1">
      <alignment horizontal="center" vertical="center"/>
    </xf>
    <xf numFmtId="10" fontId="3" fillId="33" borderId="13" xfId="0" applyNumberFormat="1" applyFont="1" applyFill="1" applyBorder="1" applyAlignment="1">
      <alignment horizontal="center" vertical="center"/>
    </xf>
    <xf numFmtId="10" fontId="3" fillId="33" borderId="26" xfId="0" applyNumberFormat="1" applyFont="1" applyFill="1" applyBorder="1" applyAlignment="1">
      <alignment horizontal="center" vertical="center"/>
    </xf>
    <xf numFmtId="167" fontId="3" fillId="33" borderId="0" xfId="0" applyNumberFormat="1" applyFont="1" applyFill="1" applyAlignment="1">
      <alignment vertical="center"/>
    </xf>
    <xf numFmtId="0" fontId="3" fillId="33" borderId="41" xfId="0" applyFont="1" applyFill="1" applyBorder="1" applyAlignment="1">
      <alignment vertical="center"/>
    </xf>
    <xf numFmtId="0" fontId="3" fillId="33" borderId="43" xfId="0" applyFont="1" applyFill="1" applyBorder="1" applyAlignment="1">
      <alignment vertical="center"/>
    </xf>
    <xf numFmtId="2" fontId="3" fillId="33" borderId="19" xfId="0" applyNumberFormat="1" applyFont="1" applyFill="1" applyBorder="1" applyAlignment="1">
      <alignment horizontal="center" vertical="center"/>
    </xf>
    <xf numFmtId="2" fontId="3" fillId="33" borderId="15" xfId="0" applyNumberFormat="1" applyFont="1" applyFill="1" applyBorder="1" applyAlignment="1">
      <alignment horizontal="center" vertical="center"/>
    </xf>
    <xf numFmtId="172" fontId="63" fillId="33" borderId="13" xfId="0" applyNumberFormat="1" applyFont="1" applyFill="1" applyBorder="1" applyAlignment="1">
      <alignment horizontal="center" vertical="center"/>
    </xf>
    <xf numFmtId="172" fontId="63" fillId="33" borderId="26" xfId="0" applyNumberFormat="1" applyFont="1" applyFill="1" applyBorder="1" applyAlignment="1">
      <alignment horizontal="center" vertical="center"/>
    </xf>
    <xf numFmtId="0" fontId="5" fillId="33" borderId="37" xfId="0" applyFont="1" applyFill="1" applyBorder="1" applyAlignment="1">
      <alignment vertical="center"/>
    </xf>
    <xf numFmtId="3" fontId="5" fillId="33" borderId="28" xfId="0" applyNumberFormat="1" applyFont="1" applyFill="1" applyBorder="1" applyAlignment="1">
      <alignment horizontal="center" vertical="center"/>
    </xf>
    <xf numFmtId="172" fontId="5" fillId="33" borderId="29" xfId="0" applyNumberFormat="1" applyFont="1" applyFill="1" applyBorder="1" applyAlignment="1">
      <alignment horizontal="center" vertical="center"/>
    </xf>
    <xf numFmtId="0" fontId="65" fillId="33" borderId="0" xfId="5" applyFont="1" applyFill="1" applyAlignment="1" applyProtection="1">
      <alignment vertical="center"/>
    </xf>
    <xf numFmtId="0" fontId="65" fillId="33" borderId="0" xfId="5" applyFont="1" applyFill="1" applyBorder="1" applyAlignment="1" applyProtection="1">
      <alignment vertical="center"/>
    </xf>
    <xf numFmtId="3" fontId="5" fillId="33" borderId="29" xfId="0" applyNumberFormat="1" applyFont="1" applyFill="1" applyBorder="1" applyAlignment="1">
      <alignment horizontal="center" vertical="center"/>
    </xf>
    <xf numFmtId="3" fontId="5" fillId="33" borderId="37" xfId="0" applyNumberFormat="1" applyFont="1" applyFill="1" applyBorder="1" applyAlignment="1">
      <alignment horizontal="center" vertical="center"/>
    </xf>
    <xf numFmtId="0" fontId="65" fillId="33" borderId="13" xfId="5" applyFont="1" applyFill="1" applyBorder="1" applyAlignment="1" applyProtection="1">
      <alignment vertical="center"/>
    </xf>
    <xf numFmtId="9" fontId="5" fillId="33" borderId="29" xfId="19" applyFont="1" applyFill="1" applyBorder="1" applyAlignment="1">
      <alignment horizontal="center" vertical="center"/>
    </xf>
    <xf numFmtId="171" fontId="63" fillId="33" borderId="0" xfId="19" applyNumberFormat="1" applyFont="1" applyFill="1" applyBorder="1" applyAlignment="1">
      <alignment horizontal="center" vertical="center"/>
    </xf>
    <xf numFmtId="171" fontId="63" fillId="33" borderId="15" xfId="19" applyNumberFormat="1" applyFont="1" applyFill="1" applyBorder="1" applyAlignment="1">
      <alignment horizontal="center" vertical="center"/>
    </xf>
    <xf numFmtId="171" fontId="63" fillId="33" borderId="15" xfId="0" applyNumberFormat="1" applyFont="1" applyFill="1" applyBorder="1" applyAlignment="1">
      <alignment horizontal="center" vertical="center"/>
    </xf>
    <xf numFmtId="171" fontId="62" fillId="33" borderId="28" xfId="19" applyNumberFormat="1" applyFont="1" applyFill="1" applyBorder="1" applyAlignment="1">
      <alignment horizontal="center" vertical="center"/>
    </xf>
    <xf numFmtId="172" fontId="62" fillId="33" borderId="28" xfId="0" applyNumberFormat="1" applyFont="1" applyFill="1" applyBorder="1" applyAlignment="1">
      <alignment horizontal="center" vertical="center"/>
    </xf>
    <xf numFmtId="4" fontId="62" fillId="33" borderId="28" xfId="0" applyNumberFormat="1" applyFont="1" applyFill="1" applyBorder="1" applyAlignment="1">
      <alignment horizontal="center" vertical="center"/>
    </xf>
    <xf numFmtId="0" fontId="3" fillId="33" borderId="42" xfId="0" applyFont="1" applyFill="1" applyBorder="1" applyAlignment="1">
      <alignment vertical="center"/>
    </xf>
    <xf numFmtId="2" fontId="3" fillId="33" borderId="25" xfId="0" applyNumberFormat="1" applyFont="1" applyFill="1" applyBorder="1" applyAlignment="1">
      <alignment horizontal="center" vertical="center"/>
    </xf>
    <xf numFmtId="2" fontId="3" fillId="33" borderId="13" xfId="0" applyNumberFormat="1" applyFont="1" applyFill="1" applyBorder="1" applyAlignment="1">
      <alignment horizontal="center" vertical="center"/>
    </xf>
    <xf numFmtId="2" fontId="3" fillId="33" borderId="26" xfId="0" applyNumberFormat="1" applyFont="1" applyFill="1" applyBorder="1" applyAlignment="1">
      <alignment horizontal="center" vertical="center"/>
    </xf>
    <xf numFmtId="0" fontId="5" fillId="33" borderId="15" xfId="0" applyFont="1" applyFill="1" applyBorder="1" applyAlignment="1">
      <alignment horizontal="center" vertical="center"/>
    </xf>
    <xf numFmtId="166" fontId="3" fillId="33" borderId="20" xfId="0" applyNumberFormat="1" applyFont="1" applyFill="1" applyBorder="1" applyAlignment="1">
      <alignment horizontal="center" vertical="center"/>
    </xf>
    <xf numFmtId="166" fontId="3" fillId="33" borderId="14" xfId="0" applyNumberFormat="1" applyFont="1" applyFill="1" applyBorder="1" applyAlignment="1">
      <alignment horizontal="center" vertical="center"/>
    </xf>
    <xf numFmtId="166" fontId="3" fillId="33" borderId="27" xfId="0" applyNumberFormat="1" applyFont="1" applyFill="1" applyBorder="1" applyAlignment="1">
      <alignment horizontal="center" vertical="center"/>
    </xf>
    <xf numFmtId="0" fontId="3" fillId="33" borderId="0" xfId="0" applyFont="1" applyFill="1" applyAlignment="1">
      <alignment horizontal="right" vertical="center"/>
    </xf>
    <xf numFmtId="0" fontId="3" fillId="33" borderId="0" xfId="0" applyFont="1" applyFill="1" applyAlignment="1">
      <alignment horizontal="left" vertical="center"/>
    </xf>
    <xf numFmtId="175" fontId="3" fillId="33" borderId="0" xfId="0" applyNumberFormat="1" applyFont="1" applyFill="1" applyAlignment="1">
      <alignment vertical="center"/>
    </xf>
    <xf numFmtId="3" fontId="3" fillId="33" borderId="0" xfId="0" applyNumberFormat="1" applyFont="1" applyFill="1" applyAlignment="1">
      <alignment vertical="center"/>
    </xf>
    <xf numFmtId="171" fontId="3" fillId="33" borderId="0" xfId="0" applyNumberFormat="1" applyFont="1" applyFill="1" applyAlignment="1">
      <alignment vertical="center"/>
    </xf>
    <xf numFmtId="0" fontId="5" fillId="33" borderId="8" xfId="0" applyFont="1" applyFill="1" applyBorder="1" applyAlignment="1">
      <alignment vertical="center"/>
    </xf>
    <xf numFmtId="3" fontId="5" fillId="33" borderId="8" xfId="0" applyNumberFormat="1" applyFont="1" applyFill="1" applyBorder="1" applyAlignment="1">
      <alignment vertical="center"/>
    </xf>
    <xf numFmtId="0" fontId="3" fillId="32" borderId="0" xfId="0" applyFont="1" applyFill="1"/>
    <xf numFmtId="0" fontId="0" fillId="32" borderId="0" xfId="0" applyFill="1"/>
    <xf numFmtId="0" fontId="59" fillId="33" borderId="0" xfId="0" applyFont="1" applyFill="1" applyAlignment="1">
      <alignment wrapText="1"/>
    </xf>
    <xf numFmtId="0" fontId="59" fillId="33" borderId="0" xfId="0" applyFont="1" applyFill="1"/>
    <xf numFmtId="2" fontId="59" fillId="33" borderId="0" xfId="0" applyNumberFormat="1" applyFont="1" applyFill="1"/>
    <xf numFmtId="0" fontId="66" fillId="33" borderId="0" xfId="0" applyFont="1" applyFill="1"/>
    <xf numFmtId="1" fontId="59" fillId="33" borderId="0" xfId="0" applyNumberFormat="1" applyFont="1" applyFill="1"/>
    <xf numFmtId="0" fontId="60" fillId="33" borderId="0" xfId="0" applyFont="1" applyFill="1"/>
    <xf numFmtId="9" fontId="59" fillId="33" borderId="0" xfId="0" applyNumberFormat="1" applyFont="1" applyFill="1"/>
    <xf numFmtId="167" fontId="59" fillId="33" borderId="0" xfId="0" applyNumberFormat="1" applyFont="1" applyFill="1"/>
    <xf numFmtId="0" fontId="50" fillId="33" borderId="0" xfId="0" applyFont="1" applyFill="1"/>
    <xf numFmtId="2" fontId="50" fillId="33" borderId="0" xfId="0" applyNumberFormat="1" applyFont="1" applyFill="1"/>
    <xf numFmtId="0" fontId="60" fillId="32" borderId="0" xfId="0" applyFont="1" applyFill="1"/>
    <xf numFmtId="0" fontId="60" fillId="32" borderId="0" xfId="0" applyFont="1" applyFill="1" applyAlignment="1">
      <alignment wrapText="1"/>
    </xf>
    <xf numFmtId="167" fontId="50" fillId="33" borderId="0" xfId="0" applyNumberFormat="1" applyFont="1" applyFill="1"/>
    <xf numFmtId="0" fontId="67" fillId="33" borderId="0" xfId="0" applyFont="1" applyFill="1"/>
    <xf numFmtId="167" fontId="67" fillId="33" borderId="0" xfId="0" applyNumberFormat="1" applyFont="1" applyFill="1"/>
    <xf numFmtId="0" fontId="68" fillId="33" borderId="0" xfId="0" applyFont="1" applyFill="1"/>
    <xf numFmtId="0" fontId="69" fillId="33" borderId="0" xfId="0" applyFont="1" applyFill="1"/>
    <xf numFmtId="0" fontId="60" fillId="32" borderId="0" xfId="0" applyFont="1" applyFill="1" applyAlignment="1">
      <alignment horizontal="right"/>
    </xf>
    <xf numFmtId="0" fontId="59" fillId="33" borderId="0" xfId="0" applyFont="1" applyFill="1" applyAlignment="1">
      <alignment horizontal="right"/>
    </xf>
    <xf numFmtId="0" fontId="59" fillId="32" borderId="0" xfId="0" applyFont="1" applyFill="1" applyAlignment="1">
      <alignment horizontal="right"/>
    </xf>
    <xf numFmtId="0" fontId="59" fillId="0" borderId="0" xfId="0" applyFont="1" applyAlignment="1">
      <alignment horizontal="right"/>
    </xf>
    <xf numFmtId="0" fontId="3" fillId="33" borderId="0" xfId="0" applyFont="1" applyFill="1" applyAlignment="1">
      <alignment horizontal="right"/>
    </xf>
    <xf numFmtId="3" fontId="3" fillId="33" borderId="0" xfId="0" applyNumberFormat="1" applyFont="1" applyFill="1" applyAlignment="1">
      <alignment horizontal="right"/>
    </xf>
    <xf numFmtId="3" fontId="59" fillId="33" borderId="0" xfId="0" applyNumberFormat="1" applyFont="1" applyFill="1" applyAlignment="1">
      <alignment horizontal="right"/>
    </xf>
    <xf numFmtId="0" fontId="59" fillId="0" borderId="0" xfId="0" pivotButton="1" applyFont="1" applyAlignment="1">
      <alignment horizontal="right"/>
    </xf>
    <xf numFmtId="3" fontId="59" fillId="33" borderId="0" xfId="0" applyNumberFormat="1" applyFont="1" applyFill="1"/>
    <xf numFmtId="0" fontId="22" fillId="32" borderId="0" xfId="0" applyFont="1" applyFill="1"/>
    <xf numFmtId="0" fontId="15" fillId="33" borderId="0" xfId="16" applyFont="1" applyFill="1"/>
    <xf numFmtId="0" fontId="59" fillId="33" borderId="0" xfId="0" applyFont="1" applyFill="1" applyAlignment="1">
      <alignment horizontal="right" wrapText="1"/>
    </xf>
    <xf numFmtId="0" fontId="60" fillId="32" borderId="0" xfId="0" applyFont="1" applyFill="1" applyAlignment="1">
      <alignment horizontal="right" wrapText="1"/>
    </xf>
    <xf numFmtId="176" fontId="14" fillId="0" borderId="0" xfId="0" applyNumberFormat="1" applyFont="1"/>
    <xf numFmtId="176" fontId="14" fillId="18" borderId="0" xfId="0" applyNumberFormat="1" applyFont="1" applyFill="1"/>
    <xf numFmtId="166" fontId="14" fillId="32" borderId="0" xfId="0" applyNumberFormat="1" applyFont="1" applyFill="1" applyAlignment="1">
      <alignment horizontal="center"/>
    </xf>
    <xf numFmtId="166" fontId="14" fillId="32" borderId="0" xfId="0" applyNumberFormat="1" applyFont="1" applyFill="1" applyAlignment="1">
      <alignment horizontal="center" vertical="center"/>
    </xf>
    <xf numFmtId="0" fontId="14" fillId="33" borderId="0" xfId="14" applyFont="1" applyFill="1" applyAlignment="1">
      <alignment horizontal="center" vertical="center"/>
    </xf>
    <xf numFmtId="2" fontId="22" fillId="33" borderId="0" xfId="0" applyNumberFormat="1" applyFont="1" applyFill="1"/>
    <xf numFmtId="0" fontId="71" fillId="32" borderId="0" xfId="0" applyFont="1" applyFill="1" applyAlignment="1">
      <alignment horizontal="right"/>
    </xf>
    <xf numFmtId="0" fontId="22" fillId="32" borderId="0" xfId="0" applyFont="1" applyFill="1" applyAlignment="1">
      <alignment horizontal="right"/>
    </xf>
    <xf numFmtId="0" fontId="22" fillId="33" borderId="0" xfId="0" applyFont="1" applyFill="1" applyAlignment="1">
      <alignment horizontal="right"/>
    </xf>
    <xf numFmtId="3" fontId="22" fillId="33" borderId="0" xfId="0" applyNumberFormat="1" applyFont="1" applyFill="1" applyAlignment="1">
      <alignment horizontal="right"/>
    </xf>
    <xf numFmtId="166" fontId="22" fillId="33" borderId="0" xfId="0" applyNumberFormat="1" applyFont="1" applyFill="1" applyAlignment="1">
      <alignment horizontal="right"/>
    </xf>
    <xf numFmtId="10" fontId="22" fillId="33" borderId="0" xfId="0" applyNumberFormat="1" applyFont="1" applyFill="1" applyAlignment="1">
      <alignment horizontal="right"/>
    </xf>
    <xf numFmtId="0" fontId="13" fillId="32" borderId="0" xfId="0" applyFont="1" applyFill="1" applyAlignment="1">
      <alignment horizontal="right" wrapText="1"/>
    </xf>
    <xf numFmtId="0" fontId="13" fillId="32" borderId="0" xfId="0" applyFont="1" applyFill="1" applyAlignment="1">
      <alignment horizontal="right"/>
    </xf>
    <xf numFmtId="2" fontId="22" fillId="33" borderId="0" xfId="0" applyNumberFormat="1" applyFont="1" applyFill="1" applyAlignment="1">
      <alignment horizontal="right"/>
    </xf>
    <xf numFmtId="2" fontId="72" fillId="33" borderId="0" xfId="0" applyNumberFormat="1" applyFont="1" applyFill="1" applyAlignment="1">
      <alignment horizontal="right"/>
    </xf>
    <xf numFmtId="0" fontId="73" fillId="33" borderId="0" xfId="0" applyFont="1" applyFill="1" applyAlignment="1">
      <alignment horizontal="right"/>
    </xf>
    <xf numFmtId="167" fontId="74" fillId="33" borderId="0" xfId="0" applyNumberFormat="1" applyFont="1" applyFill="1" applyAlignment="1">
      <alignment horizontal="right"/>
    </xf>
    <xf numFmtId="167" fontId="73" fillId="33" borderId="0" xfId="0" applyNumberFormat="1" applyFont="1" applyFill="1" applyAlignment="1">
      <alignment horizontal="right"/>
    </xf>
    <xf numFmtId="0" fontId="71" fillId="32" borderId="0" xfId="0" applyFont="1" applyFill="1" applyAlignment="1">
      <alignment horizontal="left"/>
    </xf>
    <xf numFmtId="0" fontId="22" fillId="32" borderId="0" xfId="0" applyFont="1" applyFill="1" applyAlignment="1">
      <alignment horizontal="left"/>
    </xf>
    <xf numFmtId="0" fontId="22" fillId="33" borderId="0" xfId="0" applyFont="1" applyFill="1" applyAlignment="1">
      <alignment horizontal="left"/>
    </xf>
    <xf numFmtId="0" fontId="13" fillId="32" borderId="0" xfId="0" applyFont="1" applyFill="1" applyAlignment="1">
      <alignment horizontal="left" wrapText="1"/>
    </xf>
    <xf numFmtId="0" fontId="13" fillId="32" borderId="0" xfId="0" applyFont="1" applyFill="1" applyAlignment="1">
      <alignment horizontal="left"/>
    </xf>
    <xf numFmtId="0" fontId="73" fillId="33" borderId="0" xfId="0" applyFont="1" applyFill="1" applyAlignment="1">
      <alignment horizontal="left"/>
    </xf>
    <xf numFmtId="0" fontId="71" fillId="32" borderId="0" xfId="0" applyFont="1" applyFill="1" applyAlignment="1">
      <alignment horizontal="right" wrapText="1"/>
    </xf>
    <xf numFmtId="3" fontId="73" fillId="33" borderId="0" xfId="0" applyNumberFormat="1" applyFont="1" applyFill="1" applyAlignment="1">
      <alignment horizontal="right"/>
    </xf>
    <xf numFmtId="166" fontId="73" fillId="33" borderId="0" xfId="0" applyNumberFormat="1" applyFont="1" applyFill="1" applyAlignment="1">
      <alignment horizontal="right"/>
    </xf>
    <xf numFmtId="0" fontId="73" fillId="33" borderId="0" xfId="0" applyFont="1" applyFill="1" applyAlignment="1">
      <alignment horizontal="right" wrapText="1"/>
    </xf>
    <xf numFmtId="167" fontId="75" fillId="33" borderId="0" xfId="0" applyNumberFormat="1" applyFont="1" applyFill="1" applyAlignment="1">
      <alignment horizontal="right"/>
    </xf>
    <xf numFmtId="0" fontId="73" fillId="32" borderId="0" xfId="0" applyFont="1" applyFill="1" applyAlignment="1">
      <alignment horizontal="right"/>
    </xf>
    <xf numFmtId="0" fontId="73" fillId="32" borderId="0" xfId="0" applyFont="1" applyFill="1" applyAlignment="1">
      <alignment horizontal="right" wrapText="1"/>
    </xf>
    <xf numFmtId="0" fontId="13" fillId="33" borderId="0" xfId="24" applyFont="1" applyFill="1" applyAlignment="1">
      <alignment horizontal="right" vertical="center"/>
    </xf>
    <xf numFmtId="0" fontId="73" fillId="33" borderId="0" xfId="0" applyFont="1" applyFill="1" applyAlignment="1">
      <alignment horizontal="right" vertical="center"/>
    </xf>
    <xf numFmtId="0" fontId="71" fillId="32" borderId="0" xfId="0" applyFont="1" applyFill="1" applyAlignment="1">
      <alignment horizontal="right" vertical="center"/>
    </xf>
    <xf numFmtId="2" fontId="71" fillId="32" borderId="0" xfId="0" applyNumberFormat="1" applyFont="1" applyFill="1" applyAlignment="1">
      <alignment horizontal="right" vertical="center"/>
    </xf>
    <xf numFmtId="0" fontId="73" fillId="32" borderId="0" xfId="0" applyFont="1" applyFill="1" applyAlignment="1">
      <alignment horizontal="right" vertical="center"/>
    </xf>
    <xf numFmtId="0" fontId="22" fillId="33" borderId="0" xfId="24" applyFont="1" applyFill="1" applyAlignment="1">
      <alignment horizontal="right" vertical="center"/>
    </xf>
    <xf numFmtId="166" fontId="73" fillId="33" borderId="0" xfId="0" applyNumberFormat="1" applyFont="1" applyFill="1" applyAlignment="1">
      <alignment horizontal="right" vertical="center"/>
    </xf>
    <xf numFmtId="2" fontId="73" fillId="33" borderId="0" xfId="0" applyNumberFormat="1" applyFont="1" applyFill="1" applyAlignment="1">
      <alignment horizontal="right" vertical="center"/>
    </xf>
    <xf numFmtId="2" fontId="73" fillId="33" borderId="0" xfId="0" applyNumberFormat="1" applyFont="1" applyFill="1" applyAlignment="1">
      <alignment horizontal="right"/>
    </xf>
    <xf numFmtId="0" fontId="72" fillId="33" borderId="0" xfId="0" applyFont="1" applyFill="1" applyAlignment="1">
      <alignment horizontal="right"/>
    </xf>
    <xf numFmtId="0" fontId="72" fillId="33" borderId="0" xfId="0" applyFont="1" applyFill="1" applyAlignment="1">
      <alignment horizontal="right" vertical="center"/>
    </xf>
    <xf numFmtId="0" fontId="14" fillId="33" borderId="0" xfId="0" applyFont="1" applyFill="1" applyAlignment="1">
      <alignment horizontal="center" vertical="center"/>
    </xf>
    <xf numFmtId="0" fontId="45" fillId="33" borderId="0" xfId="0" applyFont="1" applyFill="1" applyAlignment="1">
      <alignment horizontal="left" vertical="center"/>
    </xf>
    <xf numFmtId="0" fontId="15" fillId="33" borderId="0" xfId="0" applyFont="1" applyFill="1" applyAlignment="1">
      <alignment horizontal="left" vertical="center"/>
    </xf>
    <xf numFmtId="0" fontId="14" fillId="33" borderId="0" xfId="0" applyFont="1" applyFill="1" applyAlignment="1">
      <alignment horizontal="left" vertical="center"/>
    </xf>
    <xf numFmtId="166" fontId="15" fillId="33" borderId="0" xfId="0" applyNumberFormat="1" applyFont="1" applyFill="1" applyAlignment="1">
      <alignment horizontal="center" vertical="center"/>
    </xf>
    <xf numFmtId="0" fontId="23" fillId="33" borderId="0" xfId="0" applyFont="1" applyFill="1" applyAlignment="1">
      <alignment horizontal="left" vertical="center"/>
    </xf>
    <xf numFmtId="2" fontId="14" fillId="33" borderId="0" xfId="0" applyNumberFormat="1" applyFont="1" applyFill="1" applyAlignment="1">
      <alignment horizontal="center" vertical="center"/>
    </xf>
    <xf numFmtId="166" fontId="70" fillId="33" borderId="0" xfId="0" applyNumberFormat="1" applyFont="1" applyFill="1" applyAlignment="1">
      <alignment horizontal="center" vertical="center"/>
    </xf>
    <xf numFmtId="166" fontId="14" fillId="0" borderId="0" xfId="0" applyNumberFormat="1" applyFont="1" applyAlignment="1">
      <alignment horizontal="center"/>
    </xf>
    <xf numFmtId="0" fontId="14" fillId="0" borderId="3" xfId="0" applyFont="1" applyBorder="1"/>
    <xf numFmtId="0" fontId="14" fillId="6" borderId="0" xfId="0" applyFont="1" applyFill="1"/>
    <xf numFmtId="167" fontId="14" fillId="32" borderId="0" xfId="0" applyNumberFormat="1" applyFont="1" applyFill="1" applyAlignment="1">
      <alignment horizontal="center" vertical="center"/>
    </xf>
    <xf numFmtId="3" fontId="3" fillId="33" borderId="0" xfId="6" applyNumberFormat="1" applyFont="1" applyFill="1" applyAlignment="1">
      <alignment horizontal="center" vertical="center"/>
    </xf>
    <xf numFmtId="3" fontId="22" fillId="33" borderId="0" xfId="6" applyNumberFormat="1" applyFont="1" applyFill="1" applyAlignment="1">
      <alignment horizontal="center"/>
    </xf>
    <xf numFmtId="1" fontId="22" fillId="33" borderId="0" xfId="0" applyNumberFormat="1" applyFont="1" applyFill="1" applyAlignment="1">
      <alignment horizontal="center"/>
    </xf>
    <xf numFmtId="1" fontId="22" fillId="33" borderId="0" xfId="0" applyNumberFormat="1" applyFont="1" applyFill="1"/>
    <xf numFmtId="0" fontId="22" fillId="33" borderId="0" xfId="6" applyFont="1" applyFill="1" applyAlignment="1">
      <alignment horizontal="left" vertical="center"/>
    </xf>
    <xf numFmtId="0" fontId="22" fillId="33" borderId="0" xfId="6" applyFont="1" applyFill="1" applyAlignment="1">
      <alignment horizontal="center" vertical="center"/>
    </xf>
    <xf numFmtId="0" fontId="22" fillId="33" borderId="0" xfId="6" applyFont="1" applyFill="1"/>
    <xf numFmtId="3" fontId="22" fillId="33" borderId="0" xfId="0" applyNumberFormat="1" applyFont="1" applyFill="1" applyAlignment="1">
      <alignment horizontal="center"/>
    </xf>
    <xf numFmtId="166" fontId="14" fillId="33" borderId="0" xfId="0" applyNumberFormat="1" applyFont="1" applyFill="1" applyAlignment="1">
      <alignment horizontal="center"/>
    </xf>
    <xf numFmtId="166" fontId="15" fillId="33" borderId="0" xfId="0" applyNumberFormat="1" applyFont="1" applyFill="1" applyAlignment="1">
      <alignment horizontal="center"/>
    </xf>
    <xf numFmtId="0" fontId="14" fillId="33" borderId="0" xfId="0" applyFont="1" applyFill="1"/>
    <xf numFmtId="0" fontId="39" fillId="33" borderId="0" xfId="5" applyFont="1" applyFill="1" applyBorder="1" applyAlignment="1" applyProtection="1"/>
    <xf numFmtId="0" fontId="15" fillId="33" borderId="0" xfId="0" applyFont="1" applyFill="1"/>
    <xf numFmtId="165" fontId="14" fillId="33" borderId="0" xfId="13" applyNumberFormat="1" applyFont="1" applyFill="1"/>
    <xf numFmtId="0" fontId="14" fillId="33" borderId="0" xfId="11" applyFont="1" applyFill="1" applyAlignment="1">
      <alignment horizontal="left"/>
    </xf>
    <xf numFmtId="0" fontId="14" fillId="33" borderId="0" xfId="11" applyFont="1" applyFill="1" applyAlignment="1">
      <alignment horizontal="right"/>
    </xf>
    <xf numFmtId="172" fontId="14" fillId="33" borderId="0" xfId="13" applyNumberFormat="1" applyFont="1" applyFill="1"/>
    <xf numFmtId="172" fontId="14" fillId="33" borderId="0" xfId="13" applyNumberFormat="1" applyFont="1" applyFill="1" applyAlignment="1">
      <alignment horizontal="right"/>
    </xf>
    <xf numFmtId="3" fontId="14" fillId="33" borderId="0" xfId="11" applyNumberFormat="1" applyFont="1" applyFill="1"/>
    <xf numFmtId="0" fontId="79" fillId="33" borderId="0" xfId="13" applyFont="1" applyFill="1"/>
    <xf numFmtId="0" fontId="14" fillId="33" borderId="0" xfId="13" applyFont="1" applyFill="1"/>
    <xf numFmtId="0" fontId="79" fillId="33" borderId="0" xfId="13" applyFont="1" applyFill="1" applyAlignment="1">
      <alignment vertical="top"/>
    </xf>
    <xf numFmtId="0" fontId="79" fillId="33" borderId="0" xfId="13" applyFont="1" applyFill="1" applyAlignment="1">
      <alignment vertical="top" wrapText="1"/>
    </xf>
    <xf numFmtId="0" fontId="14" fillId="33" borderId="0" xfId="18" applyFont="1" applyFill="1" applyAlignment="1">
      <alignment horizontal="center"/>
    </xf>
    <xf numFmtId="0" fontId="14" fillId="33" borderId="0" xfId="18" applyFont="1" applyFill="1"/>
    <xf numFmtId="3" fontId="14" fillId="33" borderId="0" xfId="0" applyNumberFormat="1" applyFont="1" applyFill="1"/>
    <xf numFmtId="3" fontId="14" fillId="33" borderId="0" xfId="18" applyNumberFormat="1" applyFont="1" applyFill="1" applyAlignment="1">
      <alignment horizontal="center"/>
    </xf>
    <xf numFmtId="0" fontId="14" fillId="33" borderId="0" xfId="22" applyFont="1" applyFill="1">
      <alignment horizontal="left"/>
    </xf>
    <xf numFmtId="3" fontId="14" fillId="33" borderId="0" xfId="22" applyNumberFormat="1" applyFont="1" applyFill="1" applyAlignment="1">
      <alignment horizontal="right"/>
    </xf>
    <xf numFmtId="3" fontId="14" fillId="33" borderId="0" xfId="22" applyNumberFormat="1" applyFont="1" applyFill="1" applyAlignment="1">
      <alignment horizontal="right" vertical="center"/>
    </xf>
    <xf numFmtId="165" fontId="14" fillId="33" borderId="0" xfId="22" applyNumberFormat="1" applyFont="1" applyFill="1" applyAlignment="1">
      <alignment horizontal="right"/>
    </xf>
    <xf numFmtId="172" fontId="14" fillId="33" borderId="0" xfId="22" applyNumberFormat="1" applyFont="1" applyFill="1" applyAlignment="1">
      <alignment horizontal="right" vertical="center"/>
    </xf>
    <xf numFmtId="165" fontId="14" fillId="33" borderId="0" xfId="0" applyNumberFormat="1" applyFont="1" applyFill="1" applyAlignment="1">
      <alignment horizontal="right"/>
    </xf>
    <xf numFmtId="0" fontId="14" fillId="33" borderId="0" xfId="0" applyFont="1" applyFill="1" applyAlignment="1">
      <alignment horizontal="left"/>
    </xf>
    <xf numFmtId="165" fontId="40" fillId="33" borderId="0" xfId="22" applyNumberFormat="1" applyFont="1" applyFill="1" applyAlignment="1">
      <alignment horizontal="right"/>
    </xf>
    <xf numFmtId="0" fontId="40" fillId="33" borderId="0" xfId="22" applyFont="1" applyFill="1">
      <alignment horizontal="left"/>
    </xf>
    <xf numFmtId="0" fontId="38" fillId="33" borderId="0" xfId="0" applyFont="1" applyFill="1"/>
    <xf numFmtId="0" fontId="14" fillId="33" borderId="0" xfId="0" applyFont="1" applyFill="1" applyAlignment="1">
      <alignment vertical="center"/>
    </xf>
    <xf numFmtId="0" fontId="41" fillId="34" borderId="0" xfId="0" applyFont="1" applyFill="1" applyAlignment="1">
      <alignment horizontal="left"/>
    </xf>
    <xf numFmtId="0" fontId="15" fillId="33" borderId="0" xfId="22" applyFont="1" applyFill="1">
      <alignment horizontal="left"/>
    </xf>
    <xf numFmtId="3" fontId="15" fillId="33" borderId="0" xfId="22" applyNumberFormat="1" applyFont="1" applyFill="1" applyAlignment="1">
      <alignment horizontal="right"/>
    </xf>
    <xf numFmtId="0" fontId="14" fillId="33" borderId="0" xfId="22" applyFont="1" applyFill="1" applyAlignment="1">
      <alignment horizontal="left" indent="1"/>
    </xf>
    <xf numFmtId="0" fontId="14" fillId="33" borderId="0" xfId="22" applyFont="1" applyFill="1" applyAlignment="1">
      <alignment horizontal="left" vertical="center"/>
    </xf>
    <xf numFmtId="0" fontId="25" fillId="33" borderId="0" xfId="0" applyFont="1" applyFill="1"/>
    <xf numFmtId="0" fontId="45" fillId="33" borderId="0" xfId="0" applyFont="1" applyFill="1"/>
    <xf numFmtId="2" fontId="25" fillId="33" borderId="0" xfId="0" applyNumberFormat="1" applyFont="1" applyFill="1"/>
    <xf numFmtId="166" fontId="25" fillId="33" borderId="0" xfId="0" applyNumberFormat="1" applyFont="1" applyFill="1"/>
    <xf numFmtId="0" fontId="14" fillId="33" borderId="0" xfId="0" quotePrefix="1" applyFont="1" applyFill="1"/>
    <xf numFmtId="1" fontId="14" fillId="33" borderId="0" xfId="0" applyNumberFormat="1" applyFont="1" applyFill="1"/>
    <xf numFmtId="166" fontId="35" fillId="33" borderId="0" xfId="0" applyNumberFormat="1" applyFont="1" applyFill="1"/>
    <xf numFmtId="0" fontId="21" fillId="33" borderId="0" xfId="0" applyFont="1" applyFill="1" applyAlignment="1">
      <alignment horizontal="left"/>
    </xf>
    <xf numFmtId="0" fontId="21" fillId="33" borderId="0" xfId="0" applyFont="1" applyFill="1" applyAlignment="1">
      <alignment horizontal="right"/>
    </xf>
    <xf numFmtId="0" fontId="21" fillId="33" borderId="0" xfId="0" applyFont="1" applyFill="1"/>
    <xf numFmtId="2" fontId="36" fillId="33" borderId="0" xfId="0" applyNumberFormat="1" applyFont="1" applyFill="1"/>
    <xf numFmtId="2" fontId="21" fillId="33" borderId="0" xfId="0" applyNumberFormat="1" applyFont="1" applyFill="1"/>
    <xf numFmtId="166" fontId="36" fillId="33" borderId="0" xfId="0" applyNumberFormat="1" applyFont="1" applyFill="1"/>
    <xf numFmtId="166" fontId="21" fillId="33" borderId="0" xfId="0" applyNumberFormat="1" applyFont="1" applyFill="1"/>
    <xf numFmtId="0" fontId="21" fillId="33" borderId="0" xfId="0" quotePrefix="1" applyFont="1" applyFill="1"/>
    <xf numFmtId="166" fontId="14" fillId="33" borderId="0" xfId="0" applyNumberFormat="1" applyFont="1" applyFill="1"/>
    <xf numFmtId="0" fontId="37" fillId="33" borderId="0" xfId="0" applyFont="1" applyFill="1"/>
    <xf numFmtId="166" fontId="37" fillId="33" borderId="0" xfId="0" applyNumberFormat="1" applyFont="1" applyFill="1"/>
    <xf numFmtId="49" fontId="15" fillId="33" borderId="0" xfId="0" applyNumberFormat="1" applyFont="1" applyFill="1"/>
    <xf numFmtId="49" fontId="14" fillId="33" borderId="0" xfId="0" applyNumberFormat="1" applyFont="1" applyFill="1"/>
    <xf numFmtId="0" fontId="14" fillId="33" borderId="0" xfId="0" applyFont="1" applyFill="1" applyAlignment="1">
      <alignment horizontal="right"/>
    </xf>
    <xf numFmtId="10" fontId="14" fillId="33" borderId="0" xfId="0" applyNumberFormat="1" applyFont="1" applyFill="1"/>
    <xf numFmtId="167" fontId="14" fillId="33" borderId="0" xfId="0" applyNumberFormat="1" applyFont="1" applyFill="1"/>
    <xf numFmtId="0" fontId="15" fillId="33" borderId="0" xfId="13" applyFont="1" applyFill="1"/>
    <xf numFmtId="49" fontId="15" fillId="33" borderId="0" xfId="13" applyNumberFormat="1" applyFont="1" applyFill="1" applyAlignment="1">
      <alignment horizontal="right" wrapText="1"/>
    </xf>
    <xf numFmtId="3" fontId="14" fillId="33" borderId="0" xfId="13" applyNumberFormat="1" applyFont="1" applyFill="1"/>
    <xf numFmtId="0" fontId="14" fillId="33" borderId="0" xfId="11" applyFont="1" applyFill="1"/>
    <xf numFmtId="3" fontId="14" fillId="33" borderId="0" xfId="10" applyNumberFormat="1" applyFont="1" applyFill="1" applyAlignment="1">
      <alignment horizontal="right"/>
    </xf>
    <xf numFmtId="0" fontId="15" fillId="33" borderId="0" xfId="18" applyFont="1" applyFill="1" applyAlignment="1">
      <alignment wrapText="1"/>
    </xf>
    <xf numFmtId="0" fontId="15" fillId="33" borderId="0" xfId="18" applyFont="1" applyFill="1" applyAlignment="1">
      <alignment horizontal="center" wrapText="1"/>
    </xf>
    <xf numFmtId="0" fontId="15" fillId="33" borderId="0" xfId="18" applyFont="1" applyFill="1" applyAlignment="1">
      <alignment horizontal="right" wrapText="1"/>
    </xf>
    <xf numFmtId="49" fontId="15" fillId="33" borderId="0" xfId="18" applyNumberFormat="1" applyFont="1" applyFill="1" applyAlignment="1">
      <alignment horizontal="center" wrapText="1"/>
    </xf>
    <xf numFmtId="49" fontId="15" fillId="33" borderId="0" xfId="18" applyNumberFormat="1" applyFont="1" applyFill="1" applyAlignment="1">
      <alignment horizontal="right" wrapText="1"/>
    </xf>
    <xf numFmtId="0" fontId="14" fillId="33" borderId="0" xfId="0" applyFont="1" applyFill="1" applyAlignment="1">
      <alignment horizontal="right" wrapText="1"/>
    </xf>
    <xf numFmtId="0" fontId="41" fillId="33" borderId="0" xfId="0" applyFont="1" applyFill="1"/>
    <xf numFmtId="3" fontId="14" fillId="33" borderId="0" xfId="18" applyNumberFormat="1" applyFont="1" applyFill="1"/>
    <xf numFmtId="3" fontId="14" fillId="33" borderId="0" xfId="12" applyNumberFormat="1" applyFont="1" applyFill="1"/>
    <xf numFmtId="9" fontId="14" fillId="33" borderId="0" xfId="19" applyFont="1" applyFill="1" applyBorder="1" applyAlignment="1">
      <alignment horizontal="center"/>
    </xf>
    <xf numFmtId="9" fontId="14" fillId="33" borderId="0" xfId="19" applyFont="1" applyFill="1" applyBorder="1"/>
    <xf numFmtId="3" fontId="14" fillId="33" borderId="0" xfId="12" applyNumberFormat="1" applyFont="1" applyFill="1" applyAlignment="1">
      <alignment horizontal="center"/>
    </xf>
    <xf numFmtId="172" fontId="14" fillId="33" borderId="0" xfId="0" applyNumberFormat="1" applyFont="1" applyFill="1"/>
    <xf numFmtId="0" fontId="36" fillId="33" borderId="0" xfId="0" applyFont="1" applyFill="1"/>
    <xf numFmtId="0" fontId="15" fillId="33" borderId="0" xfId="22" applyFont="1" applyFill="1" applyAlignment="1">
      <alignment horizontal="center"/>
    </xf>
    <xf numFmtId="1" fontId="41" fillId="33" borderId="0" xfId="0" applyNumberFormat="1" applyFont="1" applyFill="1"/>
    <xf numFmtId="3" fontId="41" fillId="33" borderId="0" xfId="0" applyNumberFormat="1" applyFont="1" applyFill="1"/>
    <xf numFmtId="3" fontId="14" fillId="33" borderId="0" xfId="0" applyNumberFormat="1" applyFont="1" applyFill="1" applyAlignment="1">
      <alignment horizontal="right"/>
    </xf>
    <xf numFmtId="177" fontId="41" fillId="33" borderId="0" xfId="0" applyNumberFormat="1" applyFont="1" applyFill="1"/>
    <xf numFmtId="165" fontId="14" fillId="33" borderId="0" xfId="0" applyNumberFormat="1" applyFont="1" applyFill="1"/>
    <xf numFmtId="172" fontId="41" fillId="33" borderId="0" xfId="0" applyNumberFormat="1" applyFont="1" applyFill="1"/>
    <xf numFmtId="178" fontId="41" fillId="33" borderId="0" xfId="0" applyNumberFormat="1" applyFont="1" applyFill="1"/>
    <xf numFmtId="2" fontId="49" fillId="33" borderId="0" xfId="22" applyNumberFormat="1" applyFont="1" applyFill="1" applyAlignment="1">
      <alignment horizontal="right"/>
    </xf>
    <xf numFmtId="0" fontId="49" fillId="33" borderId="0" xfId="22" applyFont="1" applyFill="1">
      <alignment horizontal="left"/>
    </xf>
    <xf numFmtId="0" fontId="49" fillId="33" borderId="0" xfId="0" applyFont="1" applyFill="1"/>
    <xf numFmtId="49" fontId="15" fillId="33" borderId="0" xfId="0" applyNumberFormat="1" applyFont="1" applyFill="1" applyAlignment="1">
      <alignment horizontal="left"/>
    </xf>
    <xf numFmtId="49" fontId="14" fillId="33" borderId="0" xfId="0" applyNumberFormat="1" applyFont="1" applyFill="1" applyAlignment="1">
      <alignment horizontal="left"/>
    </xf>
    <xf numFmtId="49" fontId="15" fillId="33" borderId="0" xfId="0" applyNumberFormat="1" applyFont="1" applyFill="1" applyAlignment="1">
      <alignment horizontal="center"/>
    </xf>
    <xf numFmtId="177" fontId="14" fillId="33" borderId="0" xfId="0" applyNumberFormat="1" applyFont="1" applyFill="1"/>
    <xf numFmtId="180" fontId="14" fillId="33" borderId="0" xfId="0" applyNumberFormat="1" applyFont="1" applyFill="1"/>
    <xf numFmtId="2" fontId="14" fillId="33" borderId="0" xfId="0" applyNumberFormat="1" applyFont="1" applyFill="1" applyAlignment="1">
      <alignment horizontal="right"/>
    </xf>
    <xf numFmtId="0" fontId="61" fillId="33" borderId="0" xfId="0" applyFont="1" applyFill="1" applyAlignment="1">
      <alignment horizontal="right"/>
    </xf>
    <xf numFmtId="1" fontId="21" fillId="33" borderId="0" xfId="0" applyNumberFormat="1" applyFont="1" applyFill="1"/>
    <xf numFmtId="2" fontId="14" fillId="33" borderId="0" xfId="0" applyNumberFormat="1" applyFont="1" applyFill="1"/>
    <xf numFmtId="176" fontId="41" fillId="34" borderId="0" xfId="0" applyNumberFormat="1" applyFont="1" applyFill="1" applyAlignment="1">
      <alignment horizontal="center"/>
    </xf>
    <xf numFmtId="37" fontId="41" fillId="34" borderId="0" xfId="0" applyNumberFormat="1" applyFont="1" applyFill="1"/>
    <xf numFmtId="37" fontId="41" fillId="34" borderId="0" xfId="0" applyNumberFormat="1" applyFont="1" applyFill="1" applyAlignment="1">
      <alignment horizontal="right"/>
    </xf>
    <xf numFmtId="176" fontId="41" fillId="34" borderId="0" xfId="0" applyNumberFormat="1" applyFont="1" applyFill="1" applyAlignment="1">
      <alignment horizontal="center" vertical="top"/>
    </xf>
    <xf numFmtId="176" fontId="41" fillId="34" borderId="0" xfId="0" applyNumberFormat="1" applyFont="1" applyFill="1" applyAlignment="1">
      <alignment horizontal="left" vertical="top"/>
    </xf>
    <xf numFmtId="37" fontId="41" fillId="34" borderId="0" xfId="0" applyNumberFormat="1" applyFont="1" applyFill="1" applyAlignment="1">
      <alignment horizontal="right" vertical="top"/>
    </xf>
    <xf numFmtId="37" fontId="41" fillId="34" borderId="0" xfId="0" applyNumberFormat="1" applyFont="1" applyFill="1" applyAlignment="1">
      <alignment vertical="top"/>
    </xf>
    <xf numFmtId="179" fontId="41" fillId="34" borderId="0" xfId="0" applyNumberFormat="1" applyFont="1" applyFill="1" applyAlignment="1">
      <alignment horizontal="right"/>
    </xf>
    <xf numFmtId="0" fontId="41" fillId="34" borderId="0" xfId="0" applyFont="1" applyFill="1" applyAlignment="1">
      <alignment horizontal="left" vertical="top"/>
    </xf>
    <xf numFmtId="179" fontId="41" fillId="34" borderId="0" xfId="0" applyNumberFormat="1" applyFont="1" applyFill="1" applyAlignment="1">
      <alignment horizontal="right" vertical="top"/>
    </xf>
    <xf numFmtId="37" fontId="14" fillId="33" borderId="0" xfId="0" applyNumberFormat="1" applyFont="1" applyFill="1"/>
    <xf numFmtId="3" fontId="15" fillId="33" borderId="0" xfId="0" applyNumberFormat="1" applyFont="1" applyFill="1"/>
    <xf numFmtId="0" fontId="14" fillId="33" borderId="0" xfId="0" applyFont="1" applyFill="1" applyAlignment="1">
      <alignment horizontal="center" wrapText="1"/>
    </xf>
    <xf numFmtId="10" fontId="76" fillId="33" borderId="0" xfId="0" applyNumberFormat="1" applyFont="1" applyFill="1"/>
    <xf numFmtId="10" fontId="14" fillId="33" borderId="0" xfId="14" applyNumberFormat="1" applyFont="1" applyFill="1"/>
    <xf numFmtId="0" fontId="48" fillId="33" borderId="0" xfId="0" applyFont="1" applyFill="1"/>
    <xf numFmtId="4" fontId="14" fillId="33" borderId="0" xfId="0" applyNumberFormat="1" applyFont="1" applyFill="1"/>
    <xf numFmtId="175" fontId="14" fillId="33" borderId="0" xfId="0" applyNumberFormat="1" applyFont="1" applyFill="1"/>
    <xf numFmtId="171" fontId="14" fillId="33" borderId="0" xfId="0" applyNumberFormat="1" applyFont="1" applyFill="1"/>
    <xf numFmtId="175" fontId="14" fillId="6" borderId="0" xfId="0" applyNumberFormat="1" applyFont="1" applyFill="1"/>
    <xf numFmtId="2" fontId="14" fillId="6" borderId="0" xfId="0" applyNumberFormat="1" applyFont="1" applyFill="1"/>
    <xf numFmtId="171" fontId="14" fillId="0" borderId="0" xfId="19" applyNumberFormat="1" applyFont="1"/>
    <xf numFmtId="2" fontId="15" fillId="6" borderId="0" xfId="0" applyNumberFormat="1" applyFont="1" applyFill="1"/>
    <xf numFmtId="171" fontId="15" fillId="0" borderId="0" xfId="19" applyNumberFormat="1" applyFont="1"/>
    <xf numFmtId="0" fontId="14" fillId="0" borderId="0" xfId="19" applyNumberFormat="1" applyFont="1"/>
    <xf numFmtId="171" fontId="14" fillId="0" borderId="0" xfId="19" quotePrefix="1" applyNumberFormat="1" applyFont="1" applyAlignment="1">
      <alignment horizontal="center"/>
    </xf>
    <xf numFmtId="0" fontId="0" fillId="6" borderId="0" xfId="0" applyFill="1"/>
    <xf numFmtId="0" fontId="14" fillId="6" borderId="0" xfId="0" applyFont="1" applyFill="1" applyAlignment="1">
      <alignment horizontal="right"/>
    </xf>
    <xf numFmtId="0" fontId="0" fillId="0" borderId="0" xfId="0" applyAlignment="1">
      <alignment horizontal="left"/>
    </xf>
    <xf numFmtId="179" fontId="14" fillId="6" borderId="0" xfId="0" applyNumberFormat="1" applyFont="1" applyFill="1"/>
    <xf numFmtId="179" fontId="14" fillId="0" borderId="0" xfId="0" applyNumberFormat="1" applyFont="1"/>
    <xf numFmtId="165" fontId="14" fillId="6" borderId="0" xfId="0" applyNumberFormat="1" applyFont="1" applyFill="1"/>
    <xf numFmtId="0" fontId="14" fillId="6" borderId="8" xfId="0" applyFont="1" applyFill="1" applyBorder="1"/>
    <xf numFmtId="2" fontId="3" fillId="0" borderId="0" xfId="0" applyNumberFormat="1" applyFont="1" applyAlignment="1">
      <alignment wrapText="1"/>
    </xf>
    <xf numFmtId="10" fontId="15" fillId="0" borderId="0" xfId="0" applyNumberFormat="1" applyFont="1" applyAlignment="1">
      <alignment horizontal="center"/>
    </xf>
    <xf numFmtId="171" fontId="15" fillId="0" borderId="0" xfId="0" applyNumberFormat="1" applyFont="1" applyAlignment="1">
      <alignment horizontal="center"/>
    </xf>
    <xf numFmtId="2" fontId="80" fillId="0" borderId="0" xfId="0" applyNumberFormat="1" applyFont="1" applyAlignment="1">
      <alignment wrapText="1"/>
    </xf>
    <xf numFmtId="171" fontId="14" fillId="0" borderId="0" xfId="0" applyNumberFormat="1" applyFont="1" applyAlignment="1">
      <alignment horizontal="center"/>
    </xf>
    <xf numFmtId="171" fontId="15" fillId="0" borderId="0" xfId="19" applyNumberFormat="1" applyFont="1" applyAlignment="1">
      <alignment horizontal="center"/>
    </xf>
    <xf numFmtId="171" fontId="15" fillId="0" borderId="0" xfId="19" applyNumberFormat="1" applyFont="1" applyFill="1" applyAlignment="1">
      <alignment horizontal="center"/>
    </xf>
    <xf numFmtId="10" fontId="15" fillId="0" borderId="0" xfId="19" applyNumberFormat="1" applyFont="1" applyAlignment="1">
      <alignment horizontal="center"/>
    </xf>
    <xf numFmtId="181" fontId="14" fillId="0" borderId="0" xfId="19" applyNumberFormat="1" applyFont="1"/>
    <xf numFmtId="181" fontId="14" fillId="0" borderId="0" xfId="0" applyNumberFormat="1" applyFont="1" applyAlignment="1">
      <alignment horizontal="center"/>
    </xf>
    <xf numFmtId="171" fontId="15" fillId="0" borderId="0" xfId="0" applyNumberFormat="1" applyFont="1"/>
    <xf numFmtId="166" fontId="15" fillId="0" borderId="0" xfId="0" applyNumberFormat="1" applyFont="1" applyAlignment="1">
      <alignment horizontal="left"/>
    </xf>
    <xf numFmtId="166" fontId="14" fillId="0" borderId="0" xfId="0" applyNumberFormat="1" applyFont="1" applyAlignment="1">
      <alignment horizontal="left"/>
    </xf>
    <xf numFmtId="2" fontId="3" fillId="0" borderId="0" xfId="0" applyNumberFormat="1" applyFont="1"/>
    <xf numFmtId="0" fontId="80" fillId="0" borderId="45" xfId="0" applyFont="1" applyBorder="1" applyAlignment="1">
      <alignment wrapText="1"/>
    </xf>
    <xf numFmtId="0" fontId="80" fillId="0" borderId="46" xfId="0" applyFont="1" applyBorder="1" applyAlignment="1">
      <alignment horizontal="center" wrapText="1"/>
    </xf>
    <xf numFmtId="0" fontId="0" fillId="0" borderId="47" xfId="0" applyBorder="1" applyAlignment="1">
      <alignment wrapText="1"/>
    </xf>
    <xf numFmtId="0" fontId="80" fillId="0" borderId="47" xfId="0" applyFont="1" applyBorder="1" applyAlignment="1">
      <alignment wrapText="1"/>
    </xf>
    <xf numFmtId="0" fontId="0" fillId="0" borderId="0" xfId="0" applyAlignment="1">
      <alignment wrapText="1"/>
    </xf>
    <xf numFmtId="1" fontId="3" fillId="0" borderId="0" xfId="0" applyNumberFormat="1" applyFont="1" applyAlignment="1">
      <alignment wrapText="1"/>
    </xf>
    <xf numFmtId="10" fontId="14" fillId="0" borderId="0" xfId="19" applyNumberFormat="1" applyFont="1"/>
    <xf numFmtId="165" fontId="3" fillId="0" borderId="0" xfId="0" applyNumberFormat="1" applyFont="1" applyAlignment="1">
      <alignment wrapText="1"/>
    </xf>
    <xf numFmtId="0" fontId="80" fillId="0" borderId="0" xfId="0" applyFont="1" applyAlignment="1">
      <alignment wrapText="1"/>
    </xf>
    <xf numFmtId="1" fontId="14" fillId="0" borderId="0" xfId="0" applyNumberFormat="1" applyFont="1" applyAlignment="1">
      <alignment wrapText="1"/>
    </xf>
    <xf numFmtId="1" fontId="14" fillId="18" borderId="0" xfId="0" applyNumberFormat="1" applyFont="1" applyFill="1" applyAlignment="1">
      <alignment wrapText="1"/>
    </xf>
    <xf numFmtId="0" fontId="5" fillId="33" borderId="0" xfId="15" applyFont="1" applyFill="1" applyProtection="1">
      <protection locked="0"/>
    </xf>
    <xf numFmtId="1" fontId="5" fillId="33" borderId="0" xfId="15" applyNumberFormat="1" applyFont="1" applyFill="1" applyAlignment="1" applyProtection="1">
      <alignment horizontal="right"/>
      <protection locked="0"/>
    </xf>
    <xf numFmtId="0" fontId="15" fillId="33" borderId="0" xfId="15" applyFont="1" applyFill="1" applyAlignment="1" applyProtection="1">
      <alignment horizontal="right"/>
      <protection locked="0"/>
    </xf>
    <xf numFmtId="1" fontId="15" fillId="33" borderId="0" xfId="15" applyNumberFormat="1" applyFont="1" applyFill="1" applyAlignment="1" applyProtection="1">
      <alignment horizontal="right"/>
      <protection locked="0"/>
    </xf>
    <xf numFmtId="2" fontId="18" fillId="33" borderId="0" xfId="16" applyNumberFormat="1" applyFill="1"/>
    <xf numFmtId="0" fontId="53" fillId="33" borderId="0" xfId="16" applyFont="1" applyFill="1"/>
    <xf numFmtId="0" fontId="14" fillId="33" borderId="0" xfId="16" applyFont="1" applyFill="1"/>
    <xf numFmtId="167" fontId="14" fillId="33" borderId="0" xfId="15" applyNumberFormat="1" applyFont="1" applyFill="1" applyAlignment="1" applyProtection="1">
      <alignment horizontal="right"/>
      <protection locked="0"/>
    </xf>
    <xf numFmtId="0" fontId="18" fillId="33" borderId="0" xfId="16" applyFill="1"/>
    <xf numFmtId="0" fontId="45" fillId="33" borderId="0" xfId="16" applyFont="1" applyFill="1"/>
    <xf numFmtId="0" fontId="5" fillId="33" borderId="0" xfId="15" applyFont="1" applyFill="1"/>
    <xf numFmtId="0" fontId="24" fillId="33" borderId="0" xfId="15" applyFont="1" applyFill="1"/>
    <xf numFmtId="0" fontId="14" fillId="33" borderId="0" xfId="15" applyFont="1" applyFill="1"/>
    <xf numFmtId="0" fontId="15" fillId="33" borderId="0" xfId="15" applyFont="1" applyFill="1" applyAlignment="1">
      <alignment horizontal="right"/>
    </xf>
    <xf numFmtId="0" fontId="15" fillId="33" borderId="0" xfId="16" applyFont="1" applyFill="1" applyAlignment="1">
      <alignment horizontal="right"/>
    </xf>
    <xf numFmtId="167" fontId="14" fillId="33" borderId="0" xfId="16" applyNumberFormat="1" applyFont="1" applyFill="1"/>
    <xf numFmtId="167" fontId="14" fillId="33" borderId="0" xfId="15" applyNumberFormat="1" applyFont="1" applyFill="1" applyAlignment="1">
      <alignment horizontal="right"/>
    </xf>
    <xf numFmtId="0" fontId="54" fillId="33" borderId="0" xfId="16" applyFont="1" applyFill="1"/>
    <xf numFmtId="184" fontId="18" fillId="33" borderId="0" xfId="1" applyNumberFormat="1" applyFont="1" applyFill="1" applyBorder="1"/>
    <xf numFmtId="184" fontId="5" fillId="33" borderId="0" xfId="1" applyNumberFormat="1" applyFont="1" applyFill="1" applyBorder="1" applyAlignment="1" applyProtection="1">
      <alignment horizontal="right"/>
      <protection locked="0"/>
    </xf>
    <xf numFmtId="184" fontId="15" fillId="33" borderId="0" xfId="1" applyNumberFormat="1" applyFont="1" applyFill="1" applyBorder="1" applyAlignment="1" applyProtection="1">
      <alignment horizontal="center"/>
      <protection locked="0"/>
    </xf>
    <xf numFmtId="184" fontId="15" fillId="33" borderId="0" xfId="1" applyNumberFormat="1" applyFont="1" applyFill="1" applyBorder="1" applyAlignment="1" applyProtection="1">
      <alignment horizontal="right"/>
      <protection locked="0"/>
    </xf>
    <xf numFmtId="184" fontId="15" fillId="33" borderId="0" xfId="1" applyNumberFormat="1" applyFont="1" applyFill="1" applyBorder="1" applyAlignment="1">
      <alignment horizontal="center"/>
    </xf>
    <xf numFmtId="184" fontId="15" fillId="33" borderId="0" xfId="1" applyNumberFormat="1" applyFont="1" applyFill="1" applyBorder="1" applyAlignment="1">
      <alignment horizontal="left"/>
    </xf>
    <xf numFmtId="164" fontId="14" fillId="33" borderId="0" xfId="1" applyFont="1" applyFill="1" applyBorder="1" applyAlignment="1" applyProtection="1">
      <alignment horizontal="right"/>
      <protection locked="0"/>
    </xf>
    <xf numFmtId="185" fontId="14" fillId="33" borderId="0" xfId="1" applyNumberFormat="1" applyFont="1" applyFill="1" applyBorder="1" applyAlignment="1" applyProtection="1">
      <alignment horizontal="right"/>
      <protection locked="0"/>
    </xf>
    <xf numFmtId="1" fontId="14" fillId="33" borderId="0" xfId="15" applyNumberFormat="1" applyFont="1" applyFill="1" applyAlignment="1" applyProtection="1">
      <alignment horizontal="right"/>
      <protection locked="0"/>
    </xf>
    <xf numFmtId="167" fontId="18" fillId="33" borderId="0" xfId="16" applyNumberFormat="1" applyFill="1"/>
    <xf numFmtId="164" fontId="14" fillId="33" borderId="0" xfId="1" applyFont="1" applyFill="1" applyBorder="1"/>
    <xf numFmtId="164" fontId="18" fillId="33" borderId="0" xfId="16" applyNumberFormat="1" applyFill="1"/>
    <xf numFmtId="185" fontId="14" fillId="33" borderId="0" xfId="1" applyNumberFormat="1" applyFont="1" applyFill="1" applyBorder="1"/>
    <xf numFmtId="185" fontId="18" fillId="33" borderId="0" xfId="16" applyNumberFormat="1" applyFill="1"/>
    <xf numFmtId="184" fontId="14" fillId="33" borderId="0" xfId="1" applyNumberFormat="1" applyFont="1" applyFill="1" applyBorder="1" applyAlignment="1" applyProtection="1">
      <alignment horizontal="right"/>
      <protection locked="0"/>
    </xf>
    <xf numFmtId="170" fontId="14" fillId="33" borderId="0" xfId="16" applyNumberFormat="1" applyFont="1" applyFill="1"/>
    <xf numFmtId="0" fontId="55" fillId="33" borderId="0" xfId="16" applyFont="1" applyFill="1"/>
    <xf numFmtId="167" fontId="55" fillId="33" borderId="0" xfId="15" applyNumberFormat="1" applyFont="1" applyFill="1" applyAlignment="1" applyProtection="1">
      <alignment horizontal="right"/>
      <protection locked="0"/>
    </xf>
    <xf numFmtId="184" fontId="55" fillId="33" borderId="0" xfId="1" applyNumberFormat="1" applyFont="1" applyFill="1" applyBorder="1" applyAlignment="1" applyProtection="1">
      <alignment horizontal="right"/>
      <protection locked="0"/>
    </xf>
    <xf numFmtId="0" fontId="56" fillId="33" borderId="0" xfId="15" applyFont="1" applyFill="1" applyAlignment="1" applyProtection="1">
      <alignment horizontal="right"/>
      <protection locked="0"/>
    </xf>
    <xf numFmtId="184" fontId="56" fillId="33" borderId="0" xfId="1" applyNumberFormat="1" applyFont="1" applyFill="1" applyBorder="1" applyAlignment="1" applyProtection="1">
      <alignment horizontal="right"/>
      <protection locked="0"/>
    </xf>
    <xf numFmtId="0" fontId="3" fillId="33" borderId="0" xfId="16" applyFont="1" applyFill="1" applyAlignment="1">
      <alignment horizontal="right"/>
    </xf>
    <xf numFmtId="0" fontId="3" fillId="33" borderId="0" xfId="16" applyFont="1" applyFill="1"/>
    <xf numFmtId="167" fontId="14" fillId="33" borderId="0" xfId="15" applyNumberFormat="1" applyFont="1" applyFill="1" applyAlignment="1" applyProtection="1">
      <alignment horizontal="left"/>
      <protection locked="0"/>
    </xf>
    <xf numFmtId="167" fontId="14" fillId="33" borderId="0" xfId="16" applyNumberFormat="1" applyFont="1" applyFill="1" applyAlignment="1">
      <alignment horizontal="right"/>
    </xf>
    <xf numFmtId="167" fontId="14" fillId="33" borderId="0" xfId="16" applyNumberFormat="1" applyFont="1" applyFill="1" applyAlignment="1" applyProtection="1">
      <alignment horizontal="right"/>
      <protection locked="0"/>
    </xf>
    <xf numFmtId="167" fontId="14" fillId="33" borderId="0" xfId="0" applyNumberFormat="1" applyFont="1" applyFill="1" applyAlignment="1">
      <alignment horizontal="right"/>
    </xf>
    <xf numFmtId="183" fontId="14" fillId="33" borderId="0" xfId="15" applyNumberFormat="1" applyFont="1" applyFill="1"/>
    <xf numFmtId="167" fontId="14" fillId="33" borderId="0" xfId="15" applyNumberFormat="1" applyFont="1" applyFill="1"/>
    <xf numFmtId="0" fontId="15" fillId="33" borderId="0" xfId="15" applyFont="1" applyFill="1"/>
    <xf numFmtId="0" fontId="25" fillId="33" borderId="0" xfId="15" applyFont="1" applyFill="1"/>
    <xf numFmtId="0" fontId="0" fillId="33" borderId="0" xfId="0" applyFill="1" applyAlignment="1">
      <alignment horizontal="center" vertical="center"/>
    </xf>
    <xf numFmtId="0" fontId="14" fillId="33" borderId="0" xfId="15" applyFont="1" applyFill="1" applyAlignment="1">
      <alignment horizontal="center"/>
    </xf>
    <xf numFmtId="0" fontId="15" fillId="33" borderId="0" xfId="15" applyFont="1" applyFill="1" applyAlignment="1" applyProtection="1">
      <alignment horizontal="center"/>
      <protection locked="0"/>
    </xf>
    <xf numFmtId="0" fontId="14" fillId="33" borderId="0" xfId="16" applyFont="1" applyFill="1" applyAlignment="1">
      <alignment horizontal="center"/>
    </xf>
    <xf numFmtId="166" fontId="14" fillId="33" borderId="0" xfId="16" applyNumberFormat="1" applyFont="1" applyFill="1" applyAlignment="1">
      <alignment horizontal="right"/>
    </xf>
    <xf numFmtId="166" fontId="14" fillId="33" borderId="0" xfId="15" applyNumberFormat="1" applyFont="1" applyFill="1" applyAlignment="1">
      <alignment horizontal="right"/>
    </xf>
    <xf numFmtId="166" fontId="14" fillId="33" borderId="0" xfId="0" applyNumberFormat="1" applyFont="1" applyFill="1" applyAlignment="1">
      <alignment horizontal="right"/>
    </xf>
    <xf numFmtId="173" fontId="14" fillId="33" borderId="0" xfId="0" applyNumberFormat="1" applyFont="1" applyFill="1"/>
    <xf numFmtId="167" fontId="15" fillId="33" borderId="0" xfId="0" applyNumberFormat="1" applyFont="1" applyFill="1"/>
    <xf numFmtId="10" fontId="14" fillId="33" borderId="0" xfId="16" applyNumberFormat="1" applyFont="1" applyFill="1"/>
    <xf numFmtId="0" fontId="48" fillId="33" borderId="0" xfId="15" applyFont="1" applyFill="1"/>
    <xf numFmtId="0" fontId="49" fillId="33" borderId="0" xfId="16" applyFont="1" applyFill="1"/>
    <xf numFmtId="0" fontId="51" fillId="33" borderId="0" xfId="16" applyFont="1" applyFill="1"/>
    <xf numFmtId="0" fontId="51" fillId="33" borderId="0" xfId="15" applyFont="1" applyFill="1"/>
    <xf numFmtId="2" fontId="3" fillId="17" borderId="0" xfId="0" applyNumberFormat="1" applyFont="1" applyFill="1" applyAlignment="1">
      <alignment horizontal="center" vertical="center"/>
    </xf>
    <xf numFmtId="0" fontId="14" fillId="17" borderId="0" xfId="0" applyFont="1" applyFill="1" applyAlignment="1">
      <alignment horizontal="left" vertical="center"/>
    </xf>
    <xf numFmtId="166" fontId="14" fillId="17" borderId="0" xfId="0" applyNumberFormat="1" applyFont="1" applyFill="1" applyAlignment="1">
      <alignment horizontal="center" vertical="center"/>
    </xf>
    <xf numFmtId="2" fontId="3" fillId="17" borderId="20" xfId="0" applyNumberFormat="1" applyFont="1" applyFill="1" applyBorder="1" applyAlignment="1">
      <alignment horizontal="center" vertical="center"/>
    </xf>
    <xf numFmtId="2" fontId="3" fillId="17" borderId="14" xfId="0" applyNumberFormat="1" applyFont="1" applyFill="1" applyBorder="1" applyAlignment="1">
      <alignment horizontal="center" vertical="center"/>
    </xf>
    <xf numFmtId="2" fontId="3" fillId="17" borderId="27" xfId="0" applyNumberFormat="1" applyFont="1" applyFill="1" applyBorder="1" applyAlignment="1">
      <alignment horizontal="center" vertical="center"/>
    </xf>
    <xf numFmtId="2" fontId="3" fillId="17" borderId="19" xfId="0" applyNumberFormat="1" applyFont="1" applyFill="1" applyBorder="1" applyAlignment="1">
      <alignment horizontal="center" vertical="center"/>
    </xf>
    <xf numFmtId="2" fontId="3" fillId="17" borderId="15" xfId="0" applyNumberFormat="1" applyFont="1" applyFill="1" applyBorder="1" applyAlignment="1">
      <alignment horizontal="center" vertical="center"/>
    </xf>
    <xf numFmtId="3" fontId="3" fillId="17" borderId="20" xfId="0" applyNumberFormat="1" applyFont="1" applyFill="1" applyBorder="1" applyAlignment="1">
      <alignment horizontal="center" vertical="center"/>
    </xf>
    <xf numFmtId="3" fontId="3" fillId="17" borderId="14" xfId="0" applyNumberFormat="1" applyFont="1" applyFill="1" applyBorder="1" applyAlignment="1">
      <alignment horizontal="center" vertical="center"/>
    </xf>
    <xf numFmtId="3" fontId="3" fillId="17" borderId="27" xfId="0" applyNumberFormat="1" applyFont="1" applyFill="1" applyBorder="1" applyAlignment="1">
      <alignment horizontal="center" vertical="center"/>
    </xf>
    <xf numFmtId="0" fontId="81" fillId="0" borderId="0" xfId="0" applyFont="1"/>
    <xf numFmtId="0" fontId="82" fillId="0" borderId="0" xfId="0" applyFont="1"/>
    <xf numFmtId="0" fontId="83" fillId="0" borderId="0" xfId="0" applyFont="1"/>
    <xf numFmtId="3" fontId="83" fillId="0" borderId="0" xfId="0" applyNumberFormat="1" applyFont="1"/>
    <xf numFmtId="9" fontId="83" fillId="0" borderId="0" xfId="0" applyNumberFormat="1" applyFont="1"/>
    <xf numFmtId="1" fontId="83" fillId="0" borderId="0" xfId="0" applyNumberFormat="1" applyFont="1"/>
    <xf numFmtId="165" fontId="83" fillId="0" borderId="0" xfId="0" applyNumberFormat="1" applyFont="1"/>
    <xf numFmtId="3" fontId="82" fillId="0" borderId="0" xfId="0" applyNumberFormat="1" applyFont="1"/>
    <xf numFmtId="171" fontId="82" fillId="0" borderId="0" xfId="0" applyNumberFormat="1" applyFont="1"/>
    <xf numFmtId="1" fontId="3" fillId="0" borderId="0" xfId="0" applyNumberFormat="1" applyFont="1"/>
    <xf numFmtId="0" fontId="82" fillId="32" borderId="0" xfId="0" applyFont="1" applyFill="1"/>
    <xf numFmtId="3" fontId="83" fillId="32" borderId="0" xfId="0" applyNumberFormat="1" applyFont="1" applyFill="1"/>
    <xf numFmtId="0" fontId="83" fillId="32" borderId="0" xfId="0" applyFont="1" applyFill="1"/>
    <xf numFmtId="1" fontId="83" fillId="32" borderId="0" xfId="0" applyNumberFormat="1" applyFont="1" applyFill="1"/>
    <xf numFmtId="0" fontId="84" fillId="32" borderId="0" xfId="0" applyFont="1" applyFill="1"/>
    <xf numFmtId="182" fontId="83" fillId="32" borderId="0" xfId="0" applyNumberFormat="1" applyFont="1" applyFill="1"/>
    <xf numFmtId="2" fontId="83" fillId="0" borderId="0" xfId="0" applyNumberFormat="1" applyFont="1"/>
    <xf numFmtId="166" fontId="83" fillId="32" borderId="0" xfId="0" applyNumberFormat="1" applyFont="1" applyFill="1"/>
    <xf numFmtId="166" fontId="83" fillId="0" borderId="0" xfId="0" applyNumberFormat="1" applyFont="1"/>
    <xf numFmtId="2" fontId="3" fillId="22" borderId="19" xfId="0" applyNumberFormat="1" applyFont="1" applyFill="1" applyBorder="1" applyAlignment="1">
      <alignment horizontal="center" vertical="center"/>
    </xf>
    <xf numFmtId="2" fontId="3" fillId="22" borderId="0" xfId="0" applyNumberFormat="1" applyFont="1" applyFill="1" applyAlignment="1">
      <alignment horizontal="center" vertical="center"/>
    </xf>
    <xf numFmtId="4" fontId="83" fillId="0" borderId="0" xfId="0" applyNumberFormat="1" applyFont="1"/>
    <xf numFmtId="187" fontId="83" fillId="0" borderId="0" xfId="0" applyNumberFormat="1" applyFont="1"/>
    <xf numFmtId="4" fontId="83" fillId="22" borderId="0" xfId="0" applyNumberFormat="1" applyFont="1" applyFill="1"/>
    <xf numFmtId="0" fontId="85" fillId="32" borderId="0" xfId="0" applyFont="1" applyFill="1"/>
    <xf numFmtId="3" fontId="86" fillId="33" borderId="0" xfId="0" applyNumberFormat="1" applyFont="1" applyFill="1"/>
    <xf numFmtId="4" fontId="86" fillId="33" borderId="0" xfId="0" applyNumberFormat="1" applyFont="1" applyFill="1"/>
    <xf numFmtId="3" fontId="0" fillId="33" borderId="0" xfId="0" applyNumberFormat="1" applyFill="1"/>
    <xf numFmtId="0" fontId="0" fillId="29" borderId="0" xfId="0" applyFill="1"/>
    <xf numFmtId="0" fontId="3" fillId="29" borderId="0" xfId="0" applyFont="1" applyFill="1" applyAlignment="1">
      <alignment horizontal="right"/>
    </xf>
    <xf numFmtId="3" fontId="0" fillId="29" borderId="0" xfId="0" applyNumberFormat="1" applyFill="1"/>
    <xf numFmtId="0" fontId="0" fillId="32" borderId="0" xfId="0" applyFill="1" applyAlignment="1">
      <alignment horizontal="left"/>
    </xf>
    <xf numFmtId="0" fontId="0" fillId="28" borderId="0" xfId="0" applyFill="1"/>
    <xf numFmtId="0" fontId="3" fillId="28" borderId="0" xfId="0" applyFont="1" applyFill="1" applyAlignment="1">
      <alignment horizontal="right"/>
    </xf>
    <xf numFmtId="3" fontId="0" fillId="28" borderId="0" xfId="0" applyNumberFormat="1" applyFill="1"/>
    <xf numFmtId="2" fontId="0" fillId="33" borderId="0" xfId="0" applyNumberFormat="1" applyFill="1"/>
    <xf numFmtId="0" fontId="0" fillId="33" borderId="0" xfId="0" applyFill="1" applyAlignment="1">
      <alignment horizontal="right"/>
    </xf>
    <xf numFmtId="0" fontId="0" fillId="35" borderId="0" xfId="0" applyFill="1"/>
    <xf numFmtId="0" fontId="0" fillId="35" borderId="0" xfId="0" applyFill="1" applyAlignment="1">
      <alignment horizontal="right"/>
    </xf>
    <xf numFmtId="0" fontId="87" fillId="36" borderId="50" xfId="0" applyFont="1" applyFill="1" applyBorder="1" applyAlignment="1">
      <alignment horizontal="left" vertical="top" wrapText="1"/>
    </xf>
    <xf numFmtId="0" fontId="87" fillId="36" borderId="50" xfId="0" applyFont="1" applyFill="1" applyBorder="1" applyAlignment="1">
      <alignment horizontal="right" vertical="top" wrapText="1"/>
    </xf>
    <xf numFmtId="0" fontId="87" fillId="36" borderId="50" xfId="0" applyFont="1" applyFill="1" applyBorder="1" applyAlignment="1">
      <alignment horizontal="right" vertical="top" wrapText="1" indent="2"/>
    </xf>
    <xf numFmtId="0" fontId="89" fillId="36" borderId="50" xfId="0" applyFont="1" applyFill="1" applyBorder="1" applyAlignment="1">
      <alignment horizontal="right" vertical="top" wrapText="1" indent="1"/>
    </xf>
    <xf numFmtId="0" fontId="91" fillId="33" borderId="50" xfId="0" applyFont="1" applyFill="1" applyBorder="1" applyAlignment="1">
      <alignment horizontal="left" vertical="top" wrapText="1"/>
    </xf>
    <xf numFmtId="0" fontId="91" fillId="33" borderId="50" xfId="0" applyFont="1" applyFill="1" applyBorder="1" applyAlignment="1">
      <alignment horizontal="right" vertical="top" wrapText="1"/>
    </xf>
    <xf numFmtId="0" fontId="91" fillId="33" borderId="50" xfId="0" applyFont="1" applyFill="1" applyBorder="1" applyAlignment="1">
      <alignment horizontal="right" vertical="top" wrapText="1" indent="1"/>
    </xf>
    <xf numFmtId="0" fontId="90" fillId="33" borderId="50" xfId="0" applyFont="1" applyFill="1" applyBorder="1" applyAlignment="1">
      <alignment horizontal="left"/>
    </xf>
    <xf numFmtId="0" fontId="90" fillId="33" borderId="0" xfId="0" applyFont="1" applyFill="1" applyAlignment="1">
      <alignment horizontal="left"/>
    </xf>
    <xf numFmtId="0" fontId="90" fillId="33" borderId="0" xfId="0" applyFont="1" applyFill="1" applyAlignment="1">
      <alignment horizontal="right"/>
    </xf>
    <xf numFmtId="0" fontId="90" fillId="33" borderId="0" xfId="0" applyFont="1" applyFill="1" applyAlignment="1">
      <alignment horizontal="right" wrapText="1"/>
    </xf>
    <xf numFmtId="0" fontId="90" fillId="33" borderId="50" xfId="0" applyFont="1" applyFill="1" applyBorder="1" applyAlignment="1">
      <alignment horizontal="right"/>
    </xf>
    <xf numFmtId="0" fontId="90" fillId="33" borderId="0" xfId="0" applyFont="1" applyFill="1"/>
    <xf numFmtId="10" fontId="90" fillId="33" borderId="50" xfId="0" applyNumberFormat="1" applyFont="1" applyFill="1" applyBorder="1" applyAlignment="1">
      <alignment horizontal="left"/>
    </xf>
    <xf numFmtId="10" fontId="90" fillId="33" borderId="0" xfId="0" applyNumberFormat="1" applyFont="1" applyFill="1" applyAlignment="1">
      <alignment horizontal="left"/>
    </xf>
    <xf numFmtId="0" fontId="90" fillId="22" borderId="0" xfId="0" applyFont="1" applyFill="1" applyAlignment="1">
      <alignment horizontal="left"/>
    </xf>
    <xf numFmtId="0" fontId="90" fillId="22" borderId="0" xfId="0" applyFont="1" applyFill="1" applyAlignment="1">
      <alignment horizontal="right"/>
    </xf>
    <xf numFmtId="166" fontId="90" fillId="37" borderId="0" xfId="0" applyNumberFormat="1" applyFont="1" applyFill="1" applyAlignment="1">
      <alignment horizontal="right"/>
    </xf>
    <xf numFmtId="166" fontId="0" fillId="33" borderId="0" xfId="0" applyNumberFormat="1" applyFill="1" applyAlignment="1">
      <alignment horizontal="right"/>
    </xf>
    <xf numFmtId="166" fontId="0" fillId="37" borderId="0" xfId="0" applyNumberFormat="1" applyFill="1" applyAlignment="1">
      <alignment horizontal="right"/>
    </xf>
    <xf numFmtId="4" fontId="0" fillId="33" borderId="0" xfId="0" applyNumberFormat="1" applyFill="1"/>
    <xf numFmtId="166" fontId="0" fillId="22" borderId="0" xfId="0" applyNumberFormat="1" applyFill="1" applyAlignment="1">
      <alignment horizontal="right"/>
    </xf>
    <xf numFmtId="0" fontId="0" fillId="0" borderId="0" xfId="0" pivotButton="1"/>
    <xf numFmtId="166" fontId="0" fillId="38" borderId="0" xfId="0" applyNumberFormat="1" applyFill="1" applyAlignment="1">
      <alignment horizontal="right"/>
    </xf>
    <xf numFmtId="0" fontId="13" fillId="38" borderId="0" xfId="0" applyFont="1" applyFill="1" applyAlignment="1">
      <alignment horizontal="left"/>
    </xf>
    <xf numFmtId="2" fontId="22" fillId="33" borderId="0" xfId="0" applyNumberFormat="1" applyFont="1" applyFill="1" applyAlignment="1">
      <alignment horizontal="left"/>
    </xf>
    <xf numFmtId="0" fontId="5" fillId="38" borderId="0" xfId="0" applyFont="1" applyFill="1" applyAlignment="1">
      <alignment horizontal="left" vertical="center"/>
    </xf>
    <xf numFmtId="10" fontId="22" fillId="33" borderId="0" xfId="0" applyNumberFormat="1" applyFont="1" applyFill="1" applyAlignment="1">
      <alignment horizontal="left"/>
    </xf>
    <xf numFmtId="166" fontId="22" fillId="33" borderId="0" xfId="0" applyNumberFormat="1" applyFont="1" applyFill="1" applyAlignment="1">
      <alignment horizontal="left"/>
    </xf>
    <xf numFmtId="0" fontId="71" fillId="32" borderId="0" xfId="0" applyFont="1" applyFill="1" applyAlignment="1">
      <alignment horizontal="left" wrapText="1"/>
    </xf>
    <xf numFmtId="170" fontId="22" fillId="33" borderId="0" xfId="0" applyNumberFormat="1" applyFont="1" applyFill="1" applyAlignment="1">
      <alignment horizontal="right"/>
    </xf>
    <xf numFmtId="0" fontId="13" fillId="33" borderId="0" xfId="0" applyFont="1" applyFill="1" applyAlignment="1">
      <alignment horizontal="right"/>
    </xf>
    <xf numFmtId="0" fontId="71" fillId="33" borderId="0" xfId="0" applyFont="1" applyFill="1" applyAlignment="1">
      <alignment horizontal="right" wrapText="1"/>
    </xf>
    <xf numFmtId="171" fontId="15" fillId="32" borderId="0" xfId="19" applyNumberFormat="1" applyFont="1" applyFill="1" applyAlignment="1">
      <alignment horizontal="center"/>
    </xf>
    <xf numFmtId="171" fontId="14" fillId="32" borderId="0" xfId="0" applyNumberFormat="1" applyFont="1" applyFill="1"/>
    <xf numFmtId="0" fontId="15" fillId="39" borderId="0" xfId="0" applyFont="1" applyFill="1"/>
    <xf numFmtId="0" fontId="14" fillId="39" borderId="0" xfId="0" applyFont="1" applyFill="1"/>
    <xf numFmtId="3" fontId="14" fillId="39" borderId="0" xfId="0" applyNumberFormat="1" applyFont="1" applyFill="1"/>
    <xf numFmtId="166" fontId="25" fillId="39" borderId="0" xfId="0" applyNumberFormat="1" applyFont="1" applyFill="1"/>
    <xf numFmtId="0" fontId="14" fillId="39" borderId="0" xfId="0" quotePrefix="1" applyFont="1" applyFill="1"/>
    <xf numFmtId="166" fontId="45" fillId="39" borderId="0" xfId="0" applyNumberFormat="1" applyFont="1" applyFill="1"/>
    <xf numFmtId="0" fontId="14" fillId="39" borderId="0" xfId="0" applyFont="1" applyFill="1" applyAlignment="1">
      <alignment horizontal="left"/>
    </xf>
    <xf numFmtId="0" fontId="14" fillId="39" borderId="0" xfId="0" applyFont="1" applyFill="1" applyAlignment="1">
      <alignment horizontal="right"/>
    </xf>
    <xf numFmtId="2" fontId="25" fillId="39" borderId="0" xfId="0" applyNumberFormat="1" applyFont="1" applyFill="1"/>
    <xf numFmtId="2" fontId="14" fillId="39" borderId="0" xfId="0" applyNumberFormat="1" applyFont="1" applyFill="1"/>
    <xf numFmtId="166" fontId="14" fillId="39" borderId="0" xfId="0" applyNumberFormat="1" applyFont="1" applyFill="1"/>
    <xf numFmtId="0" fontId="14" fillId="39" borderId="3" xfId="0" applyFont="1" applyFill="1" applyBorder="1"/>
    <xf numFmtId="1" fontId="14" fillId="39" borderId="3" xfId="0" applyNumberFormat="1" applyFont="1" applyFill="1" applyBorder="1"/>
    <xf numFmtId="0" fontId="3" fillId="33" borderId="14" xfId="0" applyFont="1" applyFill="1" applyBorder="1" applyAlignment="1">
      <alignment horizontal="center" vertical="center"/>
    </xf>
    <xf numFmtId="0" fontId="5" fillId="33" borderId="0" xfId="0" applyFont="1" applyFill="1" applyAlignment="1">
      <alignment horizontal="center" vertical="center"/>
    </xf>
    <xf numFmtId="49" fontId="14" fillId="33" borderId="0" xfId="0" applyNumberFormat="1" applyFont="1" applyFill="1" applyAlignment="1">
      <alignment wrapText="1"/>
    </xf>
    <xf numFmtId="0" fontId="14" fillId="33" borderId="0" xfId="0" applyFont="1" applyFill="1" applyAlignment="1">
      <alignment wrapText="1"/>
    </xf>
    <xf numFmtId="0" fontId="15" fillId="33" borderId="0" xfId="22" applyFont="1" applyFill="1" applyAlignment="1">
      <alignment wrapText="1"/>
    </xf>
    <xf numFmtId="0" fontId="15" fillId="33" borderId="0" xfId="0" applyFont="1" applyFill="1" applyAlignment="1">
      <alignment wrapText="1"/>
    </xf>
    <xf numFmtId="0" fontId="14" fillId="33" borderId="0" xfId="0" applyFont="1" applyFill="1" applyAlignment="1">
      <alignment horizontal="left" wrapText="1"/>
    </xf>
    <xf numFmtId="0" fontId="15" fillId="33" borderId="0" xfId="21" applyFont="1" applyFill="1" applyAlignment="1">
      <alignment wrapText="1"/>
    </xf>
    <xf numFmtId="49" fontId="14" fillId="33" borderId="0" xfId="0" applyNumberFormat="1" applyFont="1" applyFill="1" applyAlignment="1">
      <alignment horizontal="left" vertical="top" wrapText="1"/>
    </xf>
    <xf numFmtId="0" fontId="14" fillId="33" borderId="0" xfId="0" applyFont="1" applyFill="1" applyAlignment="1">
      <alignment horizontal="left" vertical="top" wrapText="1"/>
    </xf>
    <xf numFmtId="0" fontId="14" fillId="33" borderId="0" xfId="0" applyFont="1" applyFill="1" applyAlignment="1">
      <alignment horizontal="center"/>
    </xf>
    <xf numFmtId="0" fontId="15" fillId="33" borderId="0" xfId="13" applyFont="1" applyFill="1" applyAlignment="1">
      <alignment horizontal="right" wrapText="1"/>
    </xf>
    <xf numFmtId="0" fontId="15" fillId="33" borderId="0" xfId="0" applyFont="1" applyFill="1" applyAlignment="1">
      <alignment horizontal="center"/>
    </xf>
    <xf numFmtId="2" fontId="14" fillId="33" borderId="0" xfId="0" applyNumberFormat="1" applyFont="1" applyFill="1" applyAlignment="1">
      <alignment horizontal="center"/>
    </xf>
    <xf numFmtId="0" fontId="15" fillId="33" borderId="0" xfId="16" applyFont="1" applyFill="1" applyAlignment="1">
      <alignment horizontal="center"/>
    </xf>
    <xf numFmtId="0" fontId="15" fillId="33" borderId="0" xfId="0" applyFont="1" applyFill="1" applyAlignment="1">
      <alignment horizontal="center" vertical="center"/>
    </xf>
    <xf numFmtId="0" fontId="5" fillId="33" borderId="0" xfId="15" applyFont="1" applyFill="1" applyAlignment="1" applyProtection="1">
      <alignment horizontal="right"/>
      <protection locked="0"/>
    </xf>
    <xf numFmtId="0" fontId="5" fillId="0" borderId="0" xfId="17" applyFont="1" applyAlignment="1">
      <alignment horizontal="left" vertical="center" wrapText="1"/>
    </xf>
    <xf numFmtId="0" fontId="5" fillId="0" borderId="0" xfId="17" applyFont="1" applyAlignment="1">
      <alignment vertical="center" wrapText="1"/>
    </xf>
    <xf numFmtId="0" fontId="3" fillId="33" borderId="0" xfId="15" applyFill="1"/>
    <xf numFmtId="166" fontId="3" fillId="33" borderId="0" xfId="15" applyNumberFormat="1" applyFill="1" applyAlignment="1">
      <alignment horizontal="right"/>
    </xf>
    <xf numFmtId="2" fontId="3" fillId="33" borderId="0" xfId="16" applyNumberFormat="1" applyFont="1" applyFill="1"/>
    <xf numFmtId="0" fontId="3" fillId="33" borderId="0" xfId="15" applyFill="1" applyAlignment="1">
      <alignment horizontal="right"/>
    </xf>
    <xf numFmtId="1" fontId="3" fillId="33" borderId="0" xfId="15" applyNumberFormat="1" applyFill="1" applyAlignment="1">
      <alignment horizontal="right"/>
    </xf>
    <xf numFmtId="184" fontId="14" fillId="33" borderId="0" xfId="1" applyNumberFormat="1" applyFont="1" applyFill="1" applyBorder="1"/>
    <xf numFmtId="0" fontId="3" fillId="33" borderId="0" xfId="15" applyFill="1" applyAlignment="1" applyProtection="1">
      <alignment horizontal="right"/>
      <protection locked="0"/>
    </xf>
    <xf numFmtId="184" fontId="3" fillId="33" borderId="0" xfId="1" applyNumberFormat="1" applyFont="1" applyFill="1" applyBorder="1" applyAlignment="1" applyProtection="1">
      <alignment horizontal="right"/>
      <protection locked="0"/>
    </xf>
    <xf numFmtId="184" fontId="3" fillId="33" borderId="0" xfId="1" applyNumberFormat="1" applyFont="1" applyFill="1" applyBorder="1" applyAlignment="1">
      <alignment horizontal="right"/>
    </xf>
    <xf numFmtId="10" fontId="22" fillId="0" borderId="0" xfId="14" applyNumberFormat="1" applyFont="1"/>
    <xf numFmtId="0" fontId="3" fillId="16" borderId="0" xfId="0" applyFont="1" applyFill="1" applyAlignment="1">
      <alignment vertical="center"/>
    </xf>
    <xf numFmtId="0" fontId="3" fillId="22" borderId="20" xfId="0" applyFont="1" applyFill="1" applyBorder="1" applyAlignment="1">
      <alignment vertical="center"/>
    </xf>
    <xf numFmtId="0" fontId="3" fillId="22" borderId="27" xfId="0" applyFont="1" applyFill="1" applyBorder="1" applyAlignment="1">
      <alignment vertical="center"/>
    </xf>
    <xf numFmtId="166" fontId="3" fillId="0" borderId="0" xfId="0" applyNumberFormat="1" applyFont="1" applyAlignment="1">
      <alignment vertical="center"/>
    </xf>
    <xf numFmtId="0" fontId="3" fillId="22" borderId="25" xfId="0" applyFont="1" applyFill="1" applyBorder="1" applyAlignment="1">
      <alignment vertical="center"/>
    </xf>
    <xf numFmtId="0" fontId="3" fillId="22" borderId="26" xfId="0" applyFont="1" applyFill="1" applyBorder="1" applyAlignment="1">
      <alignment vertical="center"/>
    </xf>
    <xf numFmtId="0" fontId="3" fillId="0" borderId="0" xfId="0" applyFont="1" applyAlignment="1">
      <alignment horizontal="right" vertical="center"/>
    </xf>
    <xf numFmtId="0" fontId="14" fillId="0" borderId="0" xfId="0" applyFont="1" applyAlignment="1">
      <alignment horizontal="right" vertical="center"/>
    </xf>
    <xf numFmtId="0" fontId="14" fillId="8" borderId="0" xfId="0" applyFont="1" applyFill="1" applyAlignment="1">
      <alignment vertical="center"/>
    </xf>
    <xf numFmtId="0" fontId="14" fillId="8" borderId="0" xfId="0" applyFont="1" applyFill="1" applyAlignment="1">
      <alignment horizontal="right" vertical="center"/>
    </xf>
    <xf numFmtId="0" fontId="14" fillId="7" borderId="0" xfId="0" applyFont="1" applyFill="1" applyAlignment="1">
      <alignment vertical="center"/>
    </xf>
    <xf numFmtId="0" fontId="14" fillId="7" borderId="0" xfId="0" applyFont="1" applyFill="1" applyAlignment="1">
      <alignment horizontal="right" vertical="center"/>
    </xf>
    <xf numFmtId="0" fontId="14" fillId="10" borderId="0" xfId="0" applyFont="1" applyFill="1" applyAlignment="1">
      <alignment vertical="center"/>
    </xf>
    <xf numFmtId="0" fontId="14" fillId="10" borderId="0" xfId="0" applyFont="1" applyFill="1" applyAlignment="1">
      <alignment horizontal="right" vertical="center"/>
    </xf>
    <xf numFmtId="0" fontId="14" fillId="11" borderId="0" xfId="0" applyFont="1" applyFill="1" applyAlignment="1">
      <alignment vertical="center"/>
    </xf>
    <xf numFmtId="0" fontId="14" fillId="11" borderId="0" xfId="0" applyFont="1" applyFill="1" applyAlignment="1">
      <alignment horizontal="right" vertical="center"/>
    </xf>
    <xf numFmtId="0" fontId="14" fillId="12" borderId="0" xfId="0" applyFont="1" applyFill="1" applyAlignment="1">
      <alignment vertical="center"/>
    </xf>
    <xf numFmtId="0" fontId="14" fillId="12" borderId="0" xfId="0" applyFont="1" applyFill="1" applyAlignment="1">
      <alignment horizontal="right" vertical="center"/>
    </xf>
    <xf numFmtId="0" fontId="14" fillId="13" borderId="0" xfId="0" applyFont="1" applyFill="1" applyAlignment="1">
      <alignment vertical="center"/>
    </xf>
    <xf numFmtId="0" fontId="14" fillId="13" borderId="0" xfId="0" applyFont="1" applyFill="1" applyAlignment="1">
      <alignment horizontal="right" vertical="center"/>
    </xf>
    <xf numFmtId="0" fontId="14" fillId="9" borderId="0" xfId="0" applyFont="1" applyFill="1" applyAlignment="1">
      <alignment vertical="center"/>
    </xf>
    <xf numFmtId="0" fontId="14" fillId="9" borderId="0" xfId="0" applyFont="1" applyFill="1" applyAlignment="1">
      <alignment horizontal="right" vertical="center"/>
    </xf>
    <xf numFmtId="0" fontId="14" fillId="6" borderId="0" xfId="0" applyFont="1" applyFill="1" applyAlignment="1">
      <alignment vertical="center"/>
    </xf>
    <xf numFmtId="0" fontId="14" fillId="6" borderId="0" xfId="0" applyFont="1" applyFill="1" applyAlignment="1">
      <alignment horizontal="right" vertical="center"/>
    </xf>
    <xf numFmtId="169" fontId="3" fillId="0" borderId="0" xfId="0" applyNumberFormat="1" applyFont="1" applyAlignment="1">
      <alignment vertical="center"/>
    </xf>
    <xf numFmtId="0" fontId="3" fillId="3" borderId="0" xfId="0" applyFont="1" applyFill="1" applyAlignment="1">
      <alignment vertical="center"/>
    </xf>
    <xf numFmtId="0" fontId="3" fillId="0" borderId="0" xfId="17" applyAlignment="1">
      <alignment vertical="center" wrapText="1"/>
    </xf>
    <xf numFmtId="0" fontId="3" fillId="0" borderId="14" xfId="17" applyBorder="1" applyAlignment="1">
      <alignment vertical="center"/>
    </xf>
    <xf numFmtId="0" fontId="3" fillId="0" borderId="0" xfId="17" applyAlignment="1">
      <alignment horizontal="center" vertical="center"/>
    </xf>
    <xf numFmtId="0" fontId="3" fillId="0" borderId="0" xfId="0" applyFont="1" applyAlignment="1">
      <alignment vertical="center" wrapText="1"/>
    </xf>
    <xf numFmtId="0" fontId="3" fillId="0" borderId="0" xfId="17" applyAlignment="1">
      <alignment vertical="center"/>
    </xf>
    <xf numFmtId="0" fontId="3" fillId="0" borderId="14" xfId="17" applyBorder="1" applyAlignment="1">
      <alignment horizontal="center" vertical="center"/>
    </xf>
    <xf numFmtId="0" fontId="3" fillId="0" borderId="18" xfId="17" applyBorder="1" applyAlignment="1">
      <alignment horizontal="center" vertical="center"/>
    </xf>
    <xf numFmtId="0" fontId="3" fillId="0" borderId="8" xfId="17" applyBorder="1" applyAlignment="1">
      <alignment vertical="center"/>
    </xf>
    <xf numFmtId="0" fontId="3" fillId="0" borderId="8" xfId="17" applyBorder="1" applyAlignment="1">
      <alignment horizontal="right" vertical="center" wrapText="1"/>
    </xf>
    <xf numFmtId="0" fontId="3" fillId="0" borderId="10" xfId="17" applyBorder="1" applyAlignment="1">
      <alignment horizontal="left" vertical="center" wrapText="1"/>
    </xf>
    <xf numFmtId="0" fontId="3" fillId="0" borderId="7" xfId="17" applyBorder="1" applyAlignment="1">
      <alignment horizontal="right" vertical="center" wrapText="1"/>
    </xf>
    <xf numFmtId="0" fontId="3" fillId="0" borderId="0" xfId="17" applyAlignment="1">
      <alignment horizontal="left" vertical="center" wrapText="1"/>
    </xf>
    <xf numFmtId="0" fontId="3" fillId="0" borderId="16" xfId="17" applyBorder="1" applyAlignment="1">
      <alignment horizontal="right" vertical="center" wrapText="1"/>
    </xf>
    <xf numFmtId="0" fontId="3" fillId="0" borderId="0" xfId="17" applyAlignment="1">
      <alignment horizontal="right" vertical="center" wrapText="1"/>
    </xf>
    <xf numFmtId="0" fontId="3" fillId="0" borderId="9" xfId="17" applyBorder="1" applyAlignment="1">
      <alignment horizontal="right" vertical="center" wrapText="1"/>
    </xf>
    <xf numFmtId="0" fontId="3" fillId="0" borderId="7" xfId="17" applyBorder="1" applyAlignment="1">
      <alignment horizontal="right" vertical="center"/>
    </xf>
    <xf numFmtId="0" fontId="3" fillId="0" borderId="5" xfId="17" applyBorder="1" applyAlignment="1">
      <alignment horizontal="right" vertical="center" wrapText="1"/>
    </xf>
    <xf numFmtId="0" fontId="3" fillId="10" borderId="0" xfId="11" applyFill="1" applyAlignment="1">
      <alignment horizontal="left" vertical="center"/>
    </xf>
    <xf numFmtId="3" fontId="3" fillId="10" borderId="0" xfId="17" applyNumberFormat="1" applyFill="1" applyAlignment="1">
      <alignment vertical="center"/>
    </xf>
    <xf numFmtId="0" fontId="3" fillId="10" borderId="5" xfId="17" applyFill="1" applyBorder="1" applyAlignment="1">
      <alignment horizontal="left" vertical="center"/>
    </xf>
    <xf numFmtId="3" fontId="3" fillId="10" borderId="5" xfId="17" applyNumberFormat="1" applyFill="1" applyBorder="1" applyAlignment="1">
      <alignment vertical="center"/>
    </xf>
    <xf numFmtId="166" fontId="3" fillId="10" borderId="0" xfId="17" applyNumberFormat="1" applyFill="1" applyAlignment="1">
      <alignment horizontal="right" vertical="center"/>
    </xf>
    <xf numFmtId="2" fontId="3" fillId="10" borderId="0" xfId="17" applyNumberFormat="1" applyFill="1" applyAlignment="1">
      <alignment horizontal="right" vertical="center"/>
    </xf>
    <xf numFmtId="2" fontId="3" fillId="0" borderId="0" xfId="17" applyNumberFormat="1" applyAlignment="1">
      <alignment horizontal="right" vertical="center"/>
    </xf>
    <xf numFmtId="3" fontId="3" fillId="10" borderId="0" xfId="9" applyNumberFormat="1" applyFill="1" applyAlignment="1">
      <alignment horizontal="right" vertical="center"/>
    </xf>
    <xf numFmtId="3" fontId="3" fillId="0" borderId="0" xfId="9" applyNumberFormat="1" applyAlignment="1">
      <alignment horizontal="right" vertical="center"/>
    </xf>
    <xf numFmtId="3" fontId="3" fillId="10" borderId="2" xfId="17" applyNumberFormat="1" applyFill="1" applyBorder="1" applyAlignment="1">
      <alignment vertical="center"/>
    </xf>
    <xf numFmtId="3" fontId="3" fillId="10" borderId="4" xfId="17" applyNumberFormat="1" applyFill="1" applyBorder="1" applyAlignment="1">
      <alignment vertical="center"/>
    </xf>
    <xf numFmtId="3" fontId="3" fillId="10" borderId="2" xfId="11" applyNumberFormat="1" applyFill="1" applyBorder="1" applyAlignment="1">
      <alignment horizontal="right" vertical="center"/>
    </xf>
    <xf numFmtId="3" fontId="3" fillId="10" borderId="5" xfId="0" applyNumberFormat="1" applyFont="1" applyFill="1" applyBorder="1" applyAlignment="1">
      <alignment vertical="center"/>
    </xf>
    <xf numFmtId="37" fontId="3" fillId="10" borderId="0" xfId="0" applyNumberFormat="1" applyFont="1" applyFill="1" applyAlignment="1">
      <alignment vertical="center"/>
    </xf>
    <xf numFmtId="0" fontId="3" fillId="6" borderId="0" xfId="11" applyFill="1" applyAlignment="1">
      <alignment horizontal="left" vertical="center"/>
    </xf>
    <xf numFmtId="3" fontId="3" fillId="6" borderId="0" xfId="17" applyNumberFormat="1" applyFill="1" applyAlignment="1">
      <alignment vertical="center"/>
    </xf>
    <xf numFmtId="0" fontId="3" fillId="6" borderId="5" xfId="17" applyFill="1" applyBorder="1" applyAlignment="1">
      <alignment horizontal="left" vertical="center"/>
    </xf>
    <xf numFmtId="3" fontId="3" fillId="6" borderId="5" xfId="17" applyNumberFormat="1" applyFill="1" applyBorder="1" applyAlignment="1">
      <alignment vertical="center"/>
    </xf>
    <xf numFmtId="166" fontId="3" fillId="6" borderId="0" xfId="17" applyNumberFormat="1" applyFill="1" applyAlignment="1">
      <alignment horizontal="right" vertical="center"/>
    </xf>
    <xf numFmtId="2" fontId="3" fillId="6" borderId="0" xfId="17" applyNumberFormat="1" applyFill="1" applyAlignment="1">
      <alignment horizontal="right" vertical="center"/>
    </xf>
    <xf numFmtId="3" fontId="3" fillId="6" borderId="0" xfId="9" applyNumberFormat="1" applyFill="1" applyAlignment="1">
      <alignment horizontal="right" vertical="center"/>
    </xf>
    <xf numFmtId="3" fontId="3" fillId="6" borderId="6" xfId="17" applyNumberFormat="1" applyFill="1" applyBorder="1" applyAlignment="1">
      <alignment vertical="center"/>
    </xf>
    <xf numFmtId="3" fontId="3" fillId="6" borderId="5" xfId="11" applyNumberFormat="1" applyFill="1" applyBorder="1" applyAlignment="1">
      <alignment horizontal="right" vertical="center"/>
    </xf>
    <xf numFmtId="3" fontId="3" fillId="6" borderId="5" xfId="0" applyNumberFormat="1" applyFont="1" applyFill="1" applyBorder="1" applyAlignment="1">
      <alignment vertical="center"/>
    </xf>
    <xf numFmtId="37" fontId="3" fillId="6" borderId="0" xfId="0" applyNumberFormat="1" applyFont="1" applyFill="1" applyAlignment="1">
      <alignment vertical="center"/>
    </xf>
    <xf numFmtId="0" fontId="3" fillId="9" borderId="0" xfId="11" applyFill="1" applyAlignment="1">
      <alignment horizontal="left" vertical="center"/>
    </xf>
    <xf numFmtId="3" fontId="3" fillId="9" borderId="0" xfId="17" applyNumberFormat="1" applyFill="1" applyAlignment="1">
      <alignment vertical="center"/>
    </xf>
    <xf numFmtId="0" fontId="3" fillId="9" borderId="5" xfId="17" applyFill="1" applyBorder="1" applyAlignment="1">
      <alignment horizontal="left" vertical="center"/>
    </xf>
    <xf numFmtId="3" fontId="3" fillId="9" borderId="5" xfId="17" applyNumberFormat="1" applyFill="1" applyBorder="1" applyAlignment="1">
      <alignment vertical="center"/>
    </xf>
    <xf numFmtId="166" fontId="3" fillId="9" borderId="0" xfId="17" applyNumberFormat="1" applyFill="1" applyAlignment="1">
      <alignment horizontal="right" vertical="center"/>
    </xf>
    <xf numFmtId="2" fontId="3" fillId="9" borderId="0" xfId="17" applyNumberFormat="1" applyFill="1" applyAlignment="1">
      <alignment horizontal="right" vertical="center"/>
    </xf>
    <xf numFmtId="3" fontId="3" fillId="9" borderId="0" xfId="9" applyNumberFormat="1" applyFill="1" applyAlignment="1">
      <alignment horizontal="right" vertical="center"/>
    </xf>
    <xf numFmtId="3" fontId="3" fillId="9" borderId="6" xfId="17" applyNumberFormat="1" applyFill="1" applyBorder="1" applyAlignment="1">
      <alignment vertical="center"/>
    </xf>
    <xf numFmtId="3" fontId="3" fillId="9" borderId="5" xfId="11" applyNumberFormat="1" applyFill="1" applyBorder="1" applyAlignment="1">
      <alignment horizontal="right" vertical="center"/>
    </xf>
    <xf numFmtId="3" fontId="3" fillId="9" borderId="5" xfId="0" applyNumberFormat="1" applyFont="1" applyFill="1" applyBorder="1" applyAlignment="1">
      <alignment vertical="center"/>
    </xf>
    <xf numFmtId="37" fontId="3" fillId="9" borderId="0" xfId="0" applyNumberFormat="1" applyFont="1" applyFill="1" applyAlignment="1">
      <alignment vertical="center"/>
    </xf>
    <xf numFmtId="0" fontId="3" fillId="12" borderId="0" xfId="11" applyFill="1" applyAlignment="1">
      <alignment horizontal="left" vertical="center"/>
    </xf>
    <xf numFmtId="3" fontId="3" fillId="12" borderId="0" xfId="17" applyNumberFormat="1" applyFill="1" applyAlignment="1">
      <alignment vertical="center"/>
    </xf>
    <xf numFmtId="0" fontId="3" fillId="12" borderId="5" xfId="17" applyFill="1" applyBorder="1" applyAlignment="1">
      <alignment horizontal="left" vertical="center"/>
    </xf>
    <xf numFmtId="3" fontId="3" fillId="12" borderId="5" xfId="17" applyNumberFormat="1" applyFill="1" applyBorder="1" applyAlignment="1">
      <alignment vertical="center"/>
    </xf>
    <xf numFmtId="166" fontId="3" fillId="12" borderId="0" xfId="17" applyNumberFormat="1" applyFill="1" applyAlignment="1">
      <alignment horizontal="right" vertical="center"/>
    </xf>
    <xf numFmtId="2" fontId="3" fillId="12" borderId="0" xfId="17" applyNumberFormat="1" applyFill="1" applyAlignment="1">
      <alignment horizontal="right" vertical="center"/>
    </xf>
    <xf numFmtId="3" fontId="3" fillId="12" borderId="0" xfId="9" applyNumberFormat="1" applyFill="1" applyAlignment="1">
      <alignment horizontal="right" vertical="center"/>
    </xf>
    <xf numFmtId="0" fontId="3" fillId="12" borderId="6" xfId="17" applyFill="1" applyBorder="1" applyAlignment="1">
      <alignment vertical="center"/>
    </xf>
    <xf numFmtId="0" fontId="3" fillId="12" borderId="0" xfId="17" applyFill="1" applyAlignment="1">
      <alignment vertical="center"/>
    </xf>
    <xf numFmtId="3" fontId="3" fillId="12" borderId="5" xfId="11" applyNumberFormat="1" applyFill="1" applyBorder="1" applyAlignment="1">
      <alignment horizontal="right" vertical="center"/>
    </xf>
    <xf numFmtId="3" fontId="3" fillId="12" borderId="5" xfId="0" applyNumberFormat="1" applyFont="1" applyFill="1" applyBorder="1" applyAlignment="1">
      <alignment vertical="center"/>
    </xf>
    <xf numFmtId="37" fontId="3" fillId="12" borderId="0" xfId="0" applyNumberFormat="1" applyFont="1" applyFill="1" applyAlignment="1">
      <alignment vertical="center"/>
    </xf>
    <xf numFmtId="0" fontId="3" fillId="0" borderId="0" xfId="11" applyAlignment="1">
      <alignment horizontal="left" vertical="center"/>
    </xf>
    <xf numFmtId="3" fontId="3" fillId="0" borderId="0" xfId="17" applyNumberFormat="1" applyAlignment="1">
      <alignment vertical="center"/>
    </xf>
    <xf numFmtId="0" fontId="3" fillId="0" borderId="5" xfId="17" applyBorder="1" applyAlignment="1">
      <alignment horizontal="left" vertical="center"/>
    </xf>
    <xf numFmtId="3" fontId="3" fillId="0" borderId="5" xfId="17" applyNumberFormat="1" applyBorder="1" applyAlignment="1">
      <alignment vertical="center"/>
    </xf>
    <xf numFmtId="166" fontId="3" fillId="0" borderId="0" xfId="17" applyNumberFormat="1" applyAlignment="1">
      <alignment horizontal="right" vertical="center"/>
    </xf>
    <xf numFmtId="3" fontId="3" fillId="0" borderId="6" xfId="17" applyNumberFormat="1" applyBorder="1" applyAlignment="1">
      <alignment vertical="center"/>
    </xf>
    <xf numFmtId="3" fontId="3" fillId="0" borderId="5" xfId="11" applyNumberFormat="1" applyBorder="1" applyAlignment="1">
      <alignment horizontal="right" vertical="center"/>
    </xf>
    <xf numFmtId="3" fontId="3" fillId="0" borderId="5" xfId="0" applyNumberFormat="1" applyFont="1" applyBorder="1" applyAlignment="1">
      <alignment vertical="center"/>
    </xf>
    <xf numFmtId="37" fontId="3" fillId="0" borderId="0" xfId="0" applyNumberFormat="1" applyFont="1" applyAlignment="1">
      <alignment vertical="center"/>
    </xf>
    <xf numFmtId="0" fontId="3" fillId="7" borderId="0" xfId="11" applyFill="1" applyAlignment="1">
      <alignment horizontal="left" vertical="center"/>
    </xf>
    <xf numFmtId="3" fontId="3" fillId="7" borderId="0" xfId="17" applyNumberFormat="1" applyFill="1" applyAlignment="1">
      <alignment vertical="center"/>
    </xf>
    <xf numFmtId="0" fontId="3" fillId="7" borderId="5" xfId="17" applyFill="1" applyBorder="1" applyAlignment="1">
      <alignment horizontal="left" vertical="center"/>
    </xf>
    <xf numFmtId="3" fontId="3" fillId="7" borderId="5" xfId="17" applyNumberFormat="1" applyFill="1" applyBorder="1" applyAlignment="1">
      <alignment vertical="center"/>
    </xf>
    <xf numFmtId="166" fontId="3" fillId="7" borderId="0" xfId="17" applyNumberFormat="1" applyFill="1" applyAlignment="1">
      <alignment horizontal="right" vertical="center"/>
    </xf>
    <xf numFmtId="2" fontId="3" fillId="7" borderId="0" xfId="17" applyNumberFormat="1" applyFill="1" applyAlignment="1">
      <alignment horizontal="right" vertical="center"/>
    </xf>
    <xf numFmtId="3" fontId="3" fillId="7" borderId="0" xfId="9" applyNumberFormat="1" applyFill="1" applyAlignment="1">
      <alignment horizontal="right" vertical="center"/>
    </xf>
    <xf numFmtId="3" fontId="3" fillId="7" borderId="6" xfId="17" applyNumberFormat="1" applyFill="1" applyBorder="1" applyAlignment="1">
      <alignment vertical="center"/>
    </xf>
    <xf numFmtId="3" fontId="3" fillId="7" borderId="5" xfId="11" applyNumberFormat="1" applyFill="1" applyBorder="1" applyAlignment="1">
      <alignment horizontal="right" vertical="center"/>
    </xf>
    <xf numFmtId="3" fontId="3" fillId="7" borderId="5" xfId="0" applyNumberFormat="1" applyFont="1" applyFill="1" applyBorder="1" applyAlignment="1">
      <alignment vertical="center"/>
    </xf>
    <xf numFmtId="37" fontId="3" fillId="7" borderId="0" xfId="0" applyNumberFormat="1" applyFont="1" applyFill="1" applyAlignment="1">
      <alignment vertical="center"/>
    </xf>
    <xf numFmtId="0" fontId="3" fillId="7" borderId="0" xfId="17" applyFill="1" applyAlignment="1">
      <alignment vertical="center"/>
    </xf>
    <xf numFmtId="0" fontId="3" fillId="7" borderId="6" xfId="17" applyFill="1" applyBorder="1" applyAlignment="1">
      <alignment vertical="center"/>
    </xf>
    <xf numFmtId="0" fontId="3" fillId="7" borderId="5" xfId="11" applyFill="1" applyBorder="1" applyAlignment="1">
      <alignment horizontal="right" vertical="center"/>
    </xf>
    <xf numFmtId="3" fontId="3" fillId="6" borderId="0" xfId="17" applyNumberFormat="1" applyFill="1" applyAlignment="1">
      <alignment horizontal="right" vertical="center"/>
    </xf>
    <xf numFmtId="3" fontId="3" fillId="6" borderId="5" xfId="17" applyNumberFormat="1" applyFill="1" applyBorder="1" applyAlignment="1">
      <alignment horizontal="right" vertical="center"/>
    </xf>
    <xf numFmtId="0" fontId="3" fillId="9" borderId="0" xfId="17" applyFill="1" applyAlignment="1">
      <alignment vertical="center"/>
    </xf>
    <xf numFmtId="0" fontId="3" fillId="9" borderId="6" xfId="17" applyFill="1" applyBorder="1" applyAlignment="1">
      <alignment vertical="center"/>
    </xf>
    <xf numFmtId="0" fontId="3" fillId="11" borderId="0" xfId="11" applyFill="1" applyAlignment="1">
      <alignment horizontal="left" vertical="center"/>
    </xf>
    <xf numFmtId="3" fontId="3" fillId="11" borderId="0" xfId="17" applyNumberFormat="1" applyFill="1" applyAlignment="1">
      <alignment vertical="center"/>
    </xf>
    <xf numFmtId="0" fontId="3" fillId="11" borderId="5" xfId="17" applyFill="1" applyBorder="1" applyAlignment="1">
      <alignment horizontal="left" vertical="center"/>
    </xf>
    <xf numFmtId="3" fontId="3" fillId="11" borderId="5" xfId="17" applyNumberFormat="1" applyFill="1" applyBorder="1" applyAlignment="1">
      <alignment vertical="center"/>
    </xf>
    <xf numFmtId="166" fontId="3" fillId="11" borderId="0" xfId="17" applyNumberFormat="1" applyFill="1" applyAlignment="1">
      <alignment horizontal="right" vertical="center"/>
    </xf>
    <xf numFmtId="2" fontId="3" fillId="11" borderId="0" xfId="17" applyNumberFormat="1" applyFill="1" applyAlignment="1">
      <alignment horizontal="right" vertical="center"/>
    </xf>
    <xf numFmtId="3" fontId="3" fillId="11" borderId="0" xfId="9" applyNumberFormat="1" applyFill="1" applyAlignment="1">
      <alignment horizontal="right" vertical="center"/>
    </xf>
    <xf numFmtId="3" fontId="3" fillId="11" borderId="6" xfId="17" applyNumberFormat="1" applyFill="1" applyBorder="1" applyAlignment="1">
      <alignment vertical="center"/>
    </xf>
    <xf numFmtId="3" fontId="3" fillId="11" borderId="5" xfId="11" applyNumberFormat="1" applyFill="1" applyBorder="1" applyAlignment="1">
      <alignment horizontal="right" vertical="center"/>
    </xf>
    <xf numFmtId="3" fontId="3" fillId="11" borderId="5" xfId="0" applyNumberFormat="1" applyFont="1" applyFill="1" applyBorder="1" applyAlignment="1">
      <alignment vertical="center"/>
    </xf>
    <xf numFmtId="37" fontId="3" fillId="11" borderId="0" xfId="0" applyNumberFormat="1" applyFont="1" applyFill="1" applyAlignment="1">
      <alignment vertical="center"/>
    </xf>
    <xf numFmtId="0" fontId="3" fillId="5" borderId="0" xfId="11" applyFill="1" applyAlignment="1">
      <alignment horizontal="left" vertical="center"/>
    </xf>
    <xf numFmtId="3" fontId="3" fillId="5" borderId="0" xfId="17" applyNumberFormat="1" applyFill="1" applyAlignment="1">
      <alignment vertical="center"/>
    </xf>
    <xf numFmtId="0" fontId="3" fillId="5" borderId="5" xfId="17" applyFill="1" applyBorder="1" applyAlignment="1">
      <alignment horizontal="left" vertical="center"/>
    </xf>
    <xf numFmtId="3" fontId="3" fillId="5" borderId="5" xfId="17" applyNumberFormat="1" applyFill="1" applyBorder="1" applyAlignment="1">
      <alignment vertical="center"/>
    </xf>
    <xf numFmtId="166" fontId="3" fillId="5" borderId="0" xfId="17" applyNumberFormat="1" applyFill="1" applyAlignment="1">
      <alignment horizontal="right" vertical="center"/>
    </xf>
    <xf numFmtId="2" fontId="3" fillId="5" borderId="0" xfId="17" applyNumberFormat="1" applyFill="1" applyAlignment="1">
      <alignment horizontal="right" vertical="center"/>
    </xf>
    <xf numFmtId="3" fontId="3" fillId="5" borderId="0" xfId="9" applyNumberFormat="1" applyFill="1" applyAlignment="1">
      <alignment horizontal="right" vertical="center"/>
    </xf>
    <xf numFmtId="0" fontId="3" fillId="5" borderId="0" xfId="17" applyFill="1" applyAlignment="1">
      <alignment vertical="center"/>
    </xf>
    <xf numFmtId="0" fontId="3" fillId="5" borderId="6" xfId="17" applyFill="1" applyBorder="1" applyAlignment="1">
      <alignment vertical="center"/>
    </xf>
    <xf numFmtId="3" fontId="3" fillId="5" borderId="5" xfId="11" applyNumberFormat="1" applyFill="1" applyBorder="1" applyAlignment="1">
      <alignment horizontal="right" vertical="center"/>
    </xf>
    <xf numFmtId="3" fontId="3" fillId="5" borderId="5" xfId="0" applyNumberFormat="1" applyFont="1" applyFill="1" applyBorder="1" applyAlignment="1">
      <alignment vertical="center"/>
    </xf>
    <xf numFmtId="37" fontId="3" fillId="5" borderId="0" xfId="0" applyNumberFormat="1" applyFont="1" applyFill="1" applyAlignment="1">
      <alignment vertical="center"/>
    </xf>
    <xf numFmtId="0" fontId="3" fillId="10" borderId="6" xfId="17" applyFill="1" applyBorder="1" applyAlignment="1">
      <alignment vertical="center"/>
    </xf>
    <xf numFmtId="0" fontId="3" fillId="10" borderId="0" xfId="17" applyFill="1" applyAlignment="1">
      <alignment vertical="center"/>
    </xf>
    <xf numFmtId="3" fontId="3" fillId="10" borderId="5" xfId="11" applyNumberFormat="1" applyFill="1" applyBorder="1" applyAlignment="1">
      <alignment horizontal="right" vertical="center"/>
    </xf>
    <xf numFmtId="3" fontId="3" fillId="12" borderId="6" xfId="17" applyNumberFormat="1" applyFill="1" applyBorder="1" applyAlignment="1">
      <alignment vertical="center"/>
    </xf>
    <xf numFmtId="3" fontId="3" fillId="5" borderId="6" xfId="17" applyNumberFormat="1" applyFill="1" applyBorder="1" applyAlignment="1">
      <alignment vertical="center"/>
    </xf>
    <xf numFmtId="3" fontId="3" fillId="10" borderId="6" xfId="17" applyNumberFormat="1" applyFill="1" applyBorder="1" applyAlignment="1">
      <alignment vertical="center"/>
    </xf>
    <xf numFmtId="0" fontId="3" fillId="5" borderId="5" xfId="11" applyFill="1" applyBorder="1" applyAlignment="1">
      <alignment horizontal="right" vertical="center"/>
    </xf>
    <xf numFmtId="0" fontId="3" fillId="9" borderId="5" xfId="11" applyFill="1" applyBorder="1" applyAlignment="1">
      <alignment horizontal="right" vertical="center"/>
    </xf>
    <xf numFmtId="0" fontId="3" fillId="8" borderId="0" xfId="11" applyFill="1" applyAlignment="1">
      <alignment horizontal="left" vertical="center"/>
    </xf>
    <xf numFmtId="3" fontId="3" fillId="8" borderId="0" xfId="17" applyNumberFormat="1" applyFill="1" applyAlignment="1">
      <alignment vertical="center"/>
    </xf>
    <xf numFmtId="0" fontId="3" fillId="8" borderId="5" xfId="17" applyFill="1" applyBorder="1" applyAlignment="1">
      <alignment horizontal="left" vertical="center"/>
    </xf>
    <xf numFmtId="3" fontId="3" fillId="8" borderId="5" xfId="17" applyNumberFormat="1" applyFill="1" applyBorder="1" applyAlignment="1">
      <alignment vertical="center"/>
    </xf>
    <xf numFmtId="166" fontId="3" fillId="8" borderId="0" xfId="17" applyNumberFormat="1" applyFill="1" applyAlignment="1">
      <alignment horizontal="right" vertical="center"/>
    </xf>
    <xf numFmtId="2" fontId="3" fillId="8" borderId="0" xfId="17" applyNumberFormat="1" applyFill="1" applyAlignment="1">
      <alignment horizontal="right" vertical="center"/>
    </xf>
    <xf numFmtId="3" fontId="3" fillId="8" borderId="0" xfId="9" applyNumberFormat="1" applyFill="1" applyAlignment="1">
      <alignment horizontal="right" vertical="center"/>
    </xf>
    <xf numFmtId="3" fontId="3" fillId="8" borderId="6" xfId="17" applyNumberFormat="1" applyFill="1" applyBorder="1" applyAlignment="1">
      <alignment vertical="center"/>
    </xf>
    <xf numFmtId="3" fontId="3" fillId="8" borderId="5" xfId="11" applyNumberFormat="1" applyFill="1" applyBorder="1" applyAlignment="1">
      <alignment horizontal="right" vertical="center"/>
    </xf>
    <xf numFmtId="3" fontId="3" fillId="8" borderId="5" xfId="0" applyNumberFormat="1" applyFont="1" applyFill="1" applyBorder="1" applyAlignment="1">
      <alignment vertical="center"/>
    </xf>
    <xf numFmtId="37" fontId="3" fillId="8" borderId="0" xfId="0" applyNumberFormat="1" applyFont="1" applyFill="1" applyAlignment="1">
      <alignment vertical="center"/>
    </xf>
    <xf numFmtId="3" fontId="3" fillId="0" borderId="5" xfId="11" applyNumberFormat="1" applyBorder="1" applyAlignment="1">
      <alignment vertical="center"/>
    </xf>
    <xf numFmtId="3" fontId="3" fillId="7" borderId="5" xfId="11" applyNumberFormat="1" applyFill="1" applyBorder="1" applyAlignment="1">
      <alignment vertical="center"/>
    </xf>
    <xf numFmtId="3" fontId="3" fillId="5" borderId="5" xfId="11" applyNumberFormat="1" applyFill="1" applyBorder="1" applyAlignment="1">
      <alignment vertical="center"/>
    </xf>
    <xf numFmtId="3" fontId="3" fillId="10" borderId="5" xfId="11" applyNumberFormat="1" applyFill="1" applyBorder="1" applyAlignment="1">
      <alignment vertical="center"/>
    </xf>
    <xf numFmtId="3" fontId="3" fillId="12" borderId="5" xfId="11" applyNumberFormat="1" applyFill="1" applyBorder="1" applyAlignment="1">
      <alignment vertical="center"/>
    </xf>
    <xf numFmtId="3" fontId="3" fillId="9" borderId="5" xfId="11" applyNumberFormat="1" applyFill="1" applyBorder="1" applyAlignment="1">
      <alignment vertical="center"/>
    </xf>
    <xf numFmtId="0" fontId="3" fillId="4" borderId="0" xfId="11" applyFill="1" applyAlignment="1">
      <alignment horizontal="left" vertical="center"/>
    </xf>
    <xf numFmtId="3" fontId="3" fillId="4" borderId="0" xfId="17" applyNumberFormat="1" applyFill="1" applyAlignment="1">
      <alignment vertical="center"/>
    </xf>
    <xf numFmtId="0" fontId="3" fillId="4" borderId="5" xfId="17" applyFill="1" applyBorder="1" applyAlignment="1">
      <alignment horizontal="left" vertical="center"/>
    </xf>
    <xf numFmtId="3" fontId="3" fillId="4" borderId="5" xfId="17" applyNumberFormat="1" applyFill="1" applyBorder="1" applyAlignment="1">
      <alignment vertical="center"/>
    </xf>
    <xf numFmtId="166" fontId="3" fillId="4" borderId="0" xfId="17" applyNumberFormat="1" applyFill="1" applyAlignment="1">
      <alignment horizontal="right" vertical="center"/>
    </xf>
    <xf numFmtId="2" fontId="3" fillId="4" borderId="0" xfId="17" applyNumberFormat="1" applyFill="1" applyAlignment="1">
      <alignment horizontal="right" vertical="center"/>
    </xf>
    <xf numFmtId="3" fontId="3" fillId="4" borderId="0" xfId="9" applyNumberFormat="1" applyFill="1" applyAlignment="1">
      <alignment horizontal="right" vertical="center"/>
    </xf>
    <xf numFmtId="3" fontId="3" fillId="4" borderId="6" xfId="17" applyNumberFormat="1" applyFill="1" applyBorder="1" applyAlignment="1">
      <alignment vertical="center"/>
    </xf>
    <xf numFmtId="3" fontId="3" fillId="4" borderId="5" xfId="11" applyNumberFormat="1" applyFill="1" applyBorder="1" applyAlignment="1">
      <alignment vertical="center"/>
    </xf>
    <xf numFmtId="3" fontId="3" fillId="4" borderId="5" xfId="0" applyNumberFormat="1" applyFont="1" applyFill="1" applyBorder="1" applyAlignment="1">
      <alignment vertical="center"/>
    </xf>
    <xf numFmtId="37" fontId="3" fillId="4" borderId="0" xfId="0" applyNumberFormat="1" applyFont="1" applyFill="1" applyAlignment="1">
      <alignment vertical="center"/>
    </xf>
    <xf numFmtId="3" fontId="3" fillId="6" borderId="5" xfId="11" applyNumberFormat="1" applyFill="1" applyBorder="1" applyAlignment="1">
      <alignment vertical="center"/>
    </xf>
    <xf numFmtId="0" fontId="3" fillId="4" borderId="6" xfId="17" applyFill="1" applyBorder="1" applyAlignment="1">
      <alignment vertical="center"/>
    </xf>
    <xf numFmtId="0" fontId="3" fillId="4" borderId="0" xfId="17" applyFill="1" applyAlignment="1">
      <alignment vertical="center"/>
    </xf>
    <xf numFmtId="3" fontId="3" fillId="11" borderId="5" xfId="11" applyNumberFormat="1" applyFill="1" applyBorder="1" applyAlignment="1">
      <alignment vertical="center"/>
    </xf>
    <xf numFmtId="0" fontId="3" fillId="9" borderId="8" xfId="11" applyFill="1" applyBorder="1" applyAlignment="1">
      <alignment horizontal="left" vertical="center"/>
    </xf>
    <xf numFmtId="0" fontId="3" fillId="0" borderId="11" xfId="11" applyBorder="1" applyAlignment="1">
      <alignment vertical="center"/>
    </xf>
    <xf numFmtId="3" fontId="3" fillId="0" borderId="11" xfId="17" applyNumberFormat="1" applyBorder="1" applyAlignment="1">
      <alignment vertical="center"/>
    </xf>
    <xf numFmtId="3" fontId="3" fillId="0" borderId="10" xfId="17" applyNumberFormat="1" applyBorder="1" applyAlignment="1">
      <alignment vertical="center"/>
    </xf>
    <xf numFmtId="4" fontId="3" fillId="0" borderId="0" xfId="17" applyNumberFormat="1" applyAlignment="1">
      <alignment horizontal="right" vertical="center"/>
    </xf>
    <xf numFmtId="3" fontId="3" fillId="0" borderId="11" xfId="9" applyNumberFormat="1" applyBorder="1" applyAlignment="1">
      <alignment horizontal="right" vertical="center"/>
    </xf>
    <xf numFmtId="3" fontId="3" fillId="0" borderId="12" xfId="17" applyNumberFormat="1" applyBorder="1" applyAlignment="1">
      <alignment vertical="center"/>
    </xf>
    <xf numFmtId="0" fontId="3" fillId="0" borderId="0" xfId="11" applyAlignment="1">
      <alignment vertical="center"/>
    </xf>
    <xf numFmtId="0" fontId="3" fillId="0" borderId="3" xfId="0" applyFont="1" applyBorder="1" applyAlignment="1">
      <alignment vertical="center" wrapText="1"/>
    </xf>
    <xf numFmtId="43" fontId="3" fillId="0" borderId="0" xfId="0" applyNumberFormat="1" applyFont="1" applyAlignment="1">
      <alignment vertical="center"/>
    </xf>
    <xf numFmtId="0" fontId="3" fillId="4" borderId="0" xfId="0" applyFont="1" applyFill="1" applyAlignment="1">
      <alignment vertical="center"/>
    </xf>
    <xf numFmtId="171" fontId="3" fillId="4" borderId="0" xfId="0" applyNumberFormat="1" applyFont="1" applyFill="1" applyAlignment="1">
      <alignment vertical="center"/>
    </xf>
    <xf numFmtId="174" fontId="3" fillId="4" borderId="0" xfId="0" applyNumberFormat="1" applyFont="1" applyFill="1" applyAlignment="1">
      <alignment vertical="center"/>
    </xf>
    <xf numFmtId="0" fontId="3" fillId="18" borderId="0" xfId="0" applyFont="1" applyFill="1"/>
    <xf numFmtId="0" fontId="13" fillId="0" borderId="0" xfId="0" applyFont="1"/>
    <xf numFmtId="0" fontId="5" fillId="0" borderId="0" xfId="0" applyFont="1" applyAlignment="1">
      <alignment vertical="center"/>
    </xf>
    <xf numFmtId="0" fontId="7" fillId="0" borderId="0" xfId="0" applyFont="1" applyAlignment="1">
      <alignment vertical="center"/>
    </xf>
    <xf numFmtId="0" fontId="3" fillId="0" borderId="0" xfId="24" applyAlignment="1">
      <alignment vertical="center"/>
    </xf>
    <xf numFmtId="188" fontId="11" fillId="0" borderId="0" xfId="0" applyNumberFormat="1" applyFont="1"/>
    <xf numFmtId="188" fontId="5" fillId="27" borderId="3" xfId="0" applyNumberFormat="1" applyFont="1" applyFill="1" applyBorder="1" applyAlignment="1">
      <alignment horizontal="left"/>
    </xf>
    <xf numFmtId="0" fontId="5" fillId="27" borderId="0" xfId="0" applyFont="1" applyFill="1" applyAlignment="1">
      <alignment vertical="center"/>
    </xf>
    <xf numFmtId="0" fontId="3" fillId="27" borderId="0" xfId="0" applyFont="1" applyFill="1" applyAlignment="1">
      <alignment vertical="center"/>
    </xf>
    <xf numFmtId="0" fontId="3" fillId="40" borderId="0" xfId="24" applyFill="1" applyAlignment="1">
      <alignment vertical="center"/>
    </xf>
    <xf numFmtId="0" fontId="3" fillId="40" borderId="0" xfId="0" applyFont="1" applyFill="1" applyAlignment="1">
      <alignment vertical="center"/>
    </xf>
    <xf numFmtId="0" fontId="3" fillId="27" borderId="0" xfId="24" applyFill="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188" fontId="5" fillId="4" borderId="11" xfId="0" applyNumberFormat="1" applyFont="1" applyFill="1" applyBorder="1"/>
    <xf numFmtId="0" fontId="5" fillId="40" borderId="0" xfId="0" applyFont="1" applyFill="1" applyAlignment="1">
      <alignment vertical="center"/>
    </xf>
    <xf numFmtId="0" fontId="11" fillId="0" borderId="0" xfId="25" applyFont="1" applyAlignment="1">
      <alignment horizontal="left"/>
    </xf>
    <xf numFmtId="0" fontId="3" fillId="27" borderId="0" xfId="0" applyFont="1" applyFill="1" applyAlignment="1">
      <alignment horizontal="center" vertical="center"/>
    </xf>
    <xf numFmtId="2" fontId="3" fillId="40" borderId="0" xfId="0" applyNumberFormat="1" applyFont="1" applyFill="1" applyAlignment="1">
      <alignment horizontal="center" vertical="center"/>
    </xf>
    <xf numFmtId="0" fontId="60" fillId="0" borderId="0" xfId="0" applyFont="1" applyAlignment="1">
      <alignment vertical="center"/>
    </xf>
    <xf numFmtId="0" fontId="59" fillId="0" borderId="0" xfId="0" applyFont="1" applyAlignment="1">
      <alignment vertical="center"/>
    </xf>
    <xf numFmtId="0" fontId="59" fillId="0" borderId="0" xfId="0" applyFont="1" applyAlignment="1">
      <alignment horizontal="center" vertical="center"/>
    </xf>
    <xf numFmtId="166" fontId="59" fillId="0" borderId="0" xfId="0" applyNumberFormat="1" applyFont="1" applyAlignment="1">
      <alignment vertical="center"/>
    </xf>
    <xf numFmtId="2" fontId="59" fillId="0" borderId="0" xfId="0" applyNumberFormat="1" applyFont="1" applyAlignment="1">
      <alignment vertical="center"/>
    </xf>
    <xf numFmtId="1" fontId="59" fillId="0" borderId="0" xfId="0" applyNumberFormat="1" applyFont="1" applyAlignment="1">
      <alignment vertical="center"/>
    </xf>
    <xf numFmtId="165" fontId="59" fillId="0" borderId="0" xfId="0" applyNumberFormat="1" applyFont="1" applyAlignment="1">
      <alignment vertical="center"/>
    </xf>
    <xf numFmtId="0" fontId="5" fillId="27" borderId="3" xfId="0" applyFont="1" applyFill="1" applyBorder="1" applyAlignment="1">
      <alignment horizontal="left"/>
    </xf>
    <xf numFmtId="0" fontId="59" fillId="40" borderId="0" xfId="0" applyFont="1" applyFill="1" applyAlignment="1">
      <alignment vertical="center"/>
    </xf>
    <xf numFmtId="166" fontId="59" fillId="40" borderId="0" xfId="0" applyNumberFormat="1" applyFont="1" applyFill="1" applyAlignment="1">
      <alignment vertical="center"/>
    </xf>
    <xf numFmtId="2" fontId="59" fillId="40" borderId="0" xfId="0" applyNumberFormat="1" applyFont="1" applyFill="1" applyAlignment="1">
      <alignment vertical="center"/>
    </xf>
    <xf numFmtId="1" fontId="59" fillId="40" borderId="0" xfId="0" applyNumberFormat="1" applyFont="1" applyFill="1" applyAlignment="1">
      <alignment vertical="center"/>
    </xf>
    <xf numFmtId="3" fontId="59" fillId="40" borderId="0" xfId="0" applyNumberFormat="1" applyFont="1" applyFill="1" applyAlignment="1">
      <alignment vertical="center"/>
    </xf>
    <xf numFmtId="167" fontId="59" fillId="40" borderId="0" xfId="0" applyNumberFormat="1" applyFont="1" applyFill="1" applyAlignment="1">
      <alignment vertical="center"/>
    </xf>
    <xf numFmtId="4" fontId="59" fillId="40" borderId="0" xfId="0" applyNumberFormat="1" applyFont="1" applyFill="1" applyAlignment="1">
      <alignment vertical="center"/>
    </xf>
    <xf numFmtId="0" fontId="5" fillId="27" borderId="0" xfId="24" applyFont="1" applyFill="1" applyAlignment="1">
      <alignment vertical="center"/>
    </xf>
    <xf numFmtId="2" fontId="59" fillId="27" borderId="0" xfId="0" applyNumberFormat="1" applyFont="1" applyFill="1" applyAlignment="1">
      <alignment vertical="center"/>
    </xf>
    <xf numFmtId="0" fontId="59" fillId="27" borderId="0" xfId="0" applyFont="1" applyFill="1" applyAlignment="1">
      <alignment vertical="center"/>
    </xf>
    <xf numFmtId="1" fontId="59" fillId="27" borderId="0" xfId="0" applyNumberFormat="1" applyFont="1" applyFill="1" applyAlignment="1">
      <alignment vertical="center"/>
    </xf>
    <xf numFmtId="0" fontId="5" fillId="40" borderId="0" xfId="24" applyFont="1" applyFill="1" applyAlignment="1">
      <alignment vertical="center"/>
    </xf>
    <xf numFmtId="0" fontId="60" fillId="0" borderId="0" xfId="0" applyFont="1" applyAlignment="1">
      <alignment horizontal="center" vertical="center"/>
    </xf>
    <xf numFmtId="2" fontId="59" fillId="0" borderId="0" xfId="0" applyNumberFormat="1" applyFont="1" applyAlignment="1">
      <alignment horizontal="center" vertical="center"/>
    </xf>
    <xf numFmtId="2" fontId="60" fillId="0" borderId="0" xfId="0" applyNumberFormat="1" applyFont="1" applyAlignment="1">
      <alignment horizontal="center" vertical="center"/>
    </xf>
    <xf numFmtId="0" fontId="43" fillId="0" borderId="0" xfId="0" applyFont="1"/>
    <xf numFmtId="0" fontId="15" fillId="0" borderId="0" xfId="16" applyFont="1"/>
    <xf numFmtId="0" fontId="22" fillId="40" borderId="0" xfId="0" applyFont="1" applyFill="1"/>
    <xf numFmtId="2" fontId="22" fillId="40" borderId="0" xfId="0" applyNumberFormat="1" applyFont="1" applyFill="1"/>
    <xf numFmtId="0" fontId="59" fillId="40" borderId="0" xfId="0" applyFont="1" applyFill="1" applyAlignment="1">
      <alignment horizontal="center" vertical="center"/>
    </xf>
    <xf numFmtId="2" fontId="59" fillId="40" borderId="0" xfId="0" applyNumberFormat="1" applyFont="1" applyFill="1" applyAlignment="1">
      <alignment horizontal="center" vertical="center"/>
    </xf>
    <xf numFmtId="1" fontId="59" fillId="40" borderId="0" xfId="0" applyNumberFormat="1" applyFont="1" applyFill="1" applyAlignment="1">
      <alignment horizontal="center" vertical="center"/>
    </xf>
    <xf numFmtId="0" fontId="3" fillId="40" borderId="0" xfId="0" applyFont="1" applyFill="1" applyAlignment="1">
      <alignment horizontal="center" vertical="center"/>
    </xf>
    <xf numFmtId="1" fontId="3" fillId="40" borderId="0" xfId="0" applyNumberFormat="1" applyFont="1" applyFill="1" applyAlignment="1">
      <alignment horizontal="center" vertical="center"/>
    </xf>
    <xf numFmtId="0" fontId="3" fillId="40" borderId="0" xfId="24" applyFill="1" applyAlignment="1">
      <alignment horizontal="center" vertical="center"/>
    </xf>
    <xf numFmtId="188" fontId="3" fillId="0" borderId="0" xfId="0" applyNumberFormat="1" applyFont="1" applyAlignment="1">
      <alignment horizontal="left"/>
    </xf>
    <xf numFmtId="188" fontId="3" fillId="0" borderId="0" xfId="0" applyNumberFormat="1" applyFont="1"/>
    <xf numFmtId="188" fontId="5" fillId="27" borderId="0" xfId="0" applyNumberFormat="1" applyFont="1" applyFill="1" applyAlignment="1">
      <alignment horizontal="left"/>
    </xf>
    <xf numFmtId="1" fontId="59" fillId="0" borderId="0" xfId="0" applyNumberFormat="1" applyFont="1" applyAlignment="1">
      <alignment horizontal="center" vertical="center"/>
    </xf>
    <xf numFmtId="164" fontId="22" fillId="0" borderId="0" xfId="1" applyFont="1"/>
    <xf numFmtId="2" fontId="3" fillId="0" borderId="0" xfId="0" applyNumberFormat="1" applyFont="1" applyAlignment="1">
      <alignment horizontal="center" vertical="center"/>
    </xf>
    <xf numFmtId="164" fontId="3" fillId="0" borderId="0" xfId="1" applyFont="1" applyAlignment="1">
      <alignment horizontal="center" vertical="center"/>
    </xf>
    <xf numFmtId="0" fontId="5" fillId="0" borderId="0" xfId="25" applyFont="1" applyAlignment="1">
      <alignment horizontal="left"/>
    </xf>
    <xf numFmtId="0" fontId="3" fillId="0" borderId="0" xfId="24" applyAlignment="1">
      <alignment horizontal="left" vertical="center"/>
    </xf>
    <xf numFmtId="43" fontId="3" fillId="0" borderId="0" xfId="0" applyNumberFormat="1" applyFont="1" applyAlignment="1">
      <alignment horizontal="center" vertical="center"/>
    </xf>
    <xf numFmtId="164" fontId="3" fillId="27" borderId="0" xfId="1" applyFont="1" applyFill="1" applyAlignment="1">
      <alignment horizontal="center" vertical="center"/>
    </xf>
    <xf numFmtId="164" fontId="59" fillId="71" borderId="0" xfId="1" applyFont="1" applyFill="1" applyAlignment="1">
      <alignment vertical="center"/>
    </xf>
    <xf numFmtId="166" fontId="3" fillId="40" borderId="0" xfId="0" applyNumberFormat="1" applyFont="1" applyFill="1" applyAlignment="1">
      <alignment horizontal="center" vertical="center"/>
    </xf>
    <xf numFmtId="0" fontId="114" fillId="33" borderId="0" xfId="0" applyFont="1" applyFill="1" applyAlignment="1">
      <alignment horizontal="left"/>
    </xf>
    <xf numFmtId="0" fontId="114" fillId="33" borderId="0" xfId="0" applyFont="1" applyFill="1" applyAlignment="1">
      <alignment horizontal="center"/>
    </xf>
    <xf numFmtId="0" fontId="115" fillId="33" borderId="0" xfId="0" applyFont="1" applyFill="1" applyAlignment="1">
      <alignment horizontal="center"/>
    </xf>
    <xf numFmtId="0" fontId="115" fillId="33" borderId="0" xfId="0" applyFont="1" applyFill="1"/>
    <xf numFmtId="2" fontId="115" fillId="33" borderId="0" xfId="0" applyNumberFormat="1" applyFont="1" applyFill="1" applyAlignment="1">
      <alignment horizontal="center"/>
    </xf>
    <xf numFmtId="0" fontId="5" fillId="33" borderId="0" xfId="0" applyFont="1" applyFill="1" applyAlignment="1">
      <alignment vertical="center" wrapText="1"/>
    </xf>
    <xf numFmtId="0" fontId="3" fillId="33" borderId="0" xfId="0" applyFont="1" applyFill="1" applyAlignment="1">
      <alignment vertical="center" wrapText="1"/>
    </xf>
    <xf numFmtId="0" fontId="3" fillId="33" borderId="0" xfId="0" applyFont="1" applyFill="1" applyAlignment="1">
      <alignment vertical="center"/>
    </xf>
    <xf numFmtId="2" fontId="3" fillId="33" borderId="14" xfId="0" applyNumberFormat="1" applyFont="1" applyFill="1" applyBorder="1" applyAlignment="1">
      <alignment horizontal="center" vertical="center"/>
    </xf>
    <xf numFmtId="0" fontId="3" fillId="33" borderId="14" xfId="0" applyFont="1" applyFill="1" applyBorder="1" applyAlignment="1">
      <alignment horizontal="center" vertical="center"/>
    </xf>
    <xf numFmtId="0" fontId="3" fillId="33" borderId="27" xfId="0" applyFont="1" applyFill="1" applyBorder="1" applyAlignment="1">
      <alignment horizontal="center" vertical="center"/>
    </xf>
    <xf numFmtId="0" fontId="3" fillId="33" borderId="20" xfId="0" applyFont="1" applyFill="1" applyBorder="1" applyAlignment="1">
      <alignment horizontal="center" vertical="center"/>
    </xf>
    <xf numFmtId="0" fontId="5" fillId="33" borderId="0" xfId="0" applyFont="1" applyFill="1" applyAlignment="1">
      <alignment horizontal="center" vertical="center"/>
    </xf>
    <xf numFmtId="0" fontId="22" fillId="33" borderId="0" xfId="0" applyFont="1" applyFill="1" applyAlignment="1">
      <alignment horizontal="left"/>
    </xf>
    <xf numFmtId="0" fontId="22" fillId="33" borderId="0" xfId="0" applyFont="1" applyFill="1" applyAlignment="1">
      <alignment horizontal="center"/>
    </xf>
    <xf numFmtId="0" fontId="14" fillId="33" borderId="0" xfId="22" applyFont="1" applyFill="1" applyAlignment="1">
      <alignment wrapText="1"/>
    </xf>
    <xf numFmtId="0" fontId="14" fillId="33" borderId="0" xfId="0" applyFont="1" applyFill="1" applyAlignment="1">
      <alignment horizontal="center"/>
    </xf>
    <xf numFmtId="0" fontId="15" fillId="33" borderId="0" xfId="13" applyFont="1" applyFill="1" applyAlignment="1">
      <alignment horizontal="right" wrapText="1"/>
    </xf>
    <xf numFmtId="0" fontId="14" fillId="33" borderId="0" xfId="0" applyFont="1" applyFill="1"/>
    <xf numFmtId="3" fontId="15" fillId="33" borderId="0" xfId="12" applyNumberFormat="1" applyFont="1" applyFill="1" applyAlignment="1">
      <alignment vertical="top" wrapText="1"/>
    </xf>
    <xf numFmtId="3" fontId="14" fillId="33" borderId="0" xfId="12" applyNumberFormat="1" applyFont="1" applyFill="1" applyAlignment="1">
      <alignment vertical="top" wrapText="1"/>
    </xf>
    <xf numFmtId="0" fontId="15" fillId="33" borderId="0" xfId="0" applyFont="1" applyFill="1" applyAlignment="1">
      <alignment wrapText="1"/>
    </xf>
    <xf numFmtId="0" fontId="14" fillId="33" borderId="0" xfId="0" applyFont="1" applyFill="1" applyAlignment="1">
      <alignment wrapText="1"/>
    </xf>
    <xf numFmtId="0" fontId="15" fillId="33" borderId="0" xfId="0" applyFont="1" applyFill="1" applyAlignment="1">
      <alignment horizontal="left" wrapText="1"/>
    </xf>
    <xf numFmtId="0" fontId="14" fillId="33" borderId="0" xfId="0" applyFont="1" applyFill="1" applyAlignment="1">
      <alignment horizontal="left" wrapText="1"/>
    </xf>
    <xf numFmtId="0" fontId="15" fillId="33" borderId="0" xfId="13" applyFont="1" applyFill="1" applyAlignment="1">
      <alignment horizontal="center"/>
    </xf>
    <xf numFmtId="0" fontId="15" fillId="33" borderId="0" xfId="13" applyFont="1" applyFill="1" applyAlignment="1">
      <alignment vertical="top" wrapText="1"/>
    </xf>
    <xf numFmtId="0" fontId="15" fillId="33" borderId="0" xfId="18" applyFont="1" applyFill="1" applyAlignment="1">
      <alignment horizontal="left" wrapText="1"/>
    </xf>
    <xf numFmtId="49" fontId="14" fillId="33" borderId="0" xfId="0" applyNumberFormat="1" applyFont="1" applyFill="1" applyAlignment="1">
      <alignment wrapText="1"/>
    </xf>
    <xf numFmtId="0" fontId="15" fillId="33" borderId="0" xfId="18" applyFont="1" applyFill="1" applyAlignment="1">
      <alignment horizontal="center"/>
    </xf>
    <xf numFmtId="0" fontId="15" fillId="33" borderId="0" xfId="22" applyFont="1" applyFill="1" applyAlignment="1">
      <alignment horizontal="left" wrapText="1"/>
    </xf>
    <xf numFmtId="0" fontId="14" fillId="33" borderId="0" xfId="22" applyFont="1" applyFill="1" applyAlignment="1">
      <alignment horizontal="left" wrapText="1"/>
    </xf>
    <xf numFmtId="0" fontId="15" fillId="33" borderId="0" xfId="21" applyFont="1" applyFill="1" applyAlignment="1">
      <alignment wrapText="1"/>
    </xf>
    <xf numFmtId="0" fontId="15" fillId="33" borderId="0" xfId="22" applyFont="1" applyFill="1" applyAlignment="1">
      <alignment wrapText="1"/>
    </xf>
    <xf numFmtId="0" fontId="40" fillId="33" borderId="0" xfId="0" applyFont="1" applyFill="1" applyAlignment="1">
      <alignment wrapText="1"/>
    </xf>
    <xf numFmtId="49" fontId="14" fillId="33" borderId="0" xfId="0" applyNumberFormat="1" applyFont="1" applyFill="1" applyAlignment="1">
      <alignment horizontal="left" vertical="top" wrapText="1"/>
    </xf>
    <xf numFmtId="49" fontId="15" fillId="33" borderId="0" xfId="0" applyNumberFormat="1" applyFont="1" applyFill="1" applyAlignment="1">
      <alignment horizontal="left" vertical="top" wrapText="1"/>
    </xf>
    <xf numFmtId="0" fontId="14" fillId="33" borderId="0" xfId="0" applyFont="1" applyFill="1" applyAlignment="1">
      <alignment horizontal="left" vertical="top" wrapText="1"/>
    </xf>
    <xf numFmtId="0" fontId="15" fillId="33" borderId="0" xfId="23" applyFont="1" applyFill="1" applyAlignment="1">
      <alignment wrapText="1"/>
    </xf>
    <xf numFmtId="0" fontId="15" fillId="33" borderId="0" xfId="13" applyFont="1" applyFill="1" applyAlignment="1">
      <alignment wrapText="1"/>
    </xf>
    <xf numFmtId="0" fontId="14" fillId="33" borderId="0" xfId="13" applyFont="1" applyFill="1" applyAlignment="1">
      <alignment horizontal="center" wrapText="1"/>
    </xf>
    <xf numFmtId="0" fontId="14" fillId="33" borderId="0" xfId="0" quotePrefix="1" applyFont="1" applyFill="1" applyAlignment="1">
      <alignment wrapText="1"/>
    </xf>
    <xf numFmtId="0" fontId="14" fillId="39" borderId="0" xfId="0" quotePrefix="1" applyFont="1" applyFill="1" applyAlignment="1">
      <alignment wrapText="1"/>
    </xf>
    <xf numFmtId="0" fontId="14" fillId="39" borderId="0" xfId="13" applyFont="1" applyFill="1" applyAlignment="1">
      <alignment horizontal="center" wrapText="1"/>
    </xf>
    <xf numFmtId="0" fontId="15" fillId="33" borderId="0" xfId="0" applyFont="1" applyFill="1" applyAlignment="1">
      <alignment horizontal="center"/>
    </xf>
    <xf numFmtId="2" fontId="14" fillId="33" borderId="0" xfId="0" applyNumberFormat="1" applyFont="1" applyFill="1" applyAlignment="1">
      <alignment horizontal="center"/>
    </xf>
    <xf numFmtId="0" fontId="22" fillId="0" borderId="0" xfId="0" applyFont="1" applyAlignment="1">
      <alignment horizontal="center"/>
    </xf>
    <xf numFmtId="0" fontId="90" fillId="33" borderId="51" xfId="0" applyFont="1" applyFill="1" applyBorder="1" applyAlignment="1">
      <alignment horizontal="left"/>
    </xf>
    <xf numFmtId="0" fontId="90" fillId="33" borderId="52" xfId="0" applyFont="1" applyFill="1" applyBorder="1" applyAlignment="1">
      <alignment horizontal="left"/>
    </xf>
    <xf numFmtId="0" fontId="90" fillId="33" borderId="53" xfId="0" applyFont="1" applyFill="1" applyBorder="1" applyAlignment="1">
      <alignment horizontal="left"/>
    </xf>
    <xf numFmtId="0" fontId="90" fillId="33" borderId="0" xfId="0" applyFont="1" applyFill="1" applyAlignment="1">
      <alignment horizontal="left" wrapText="1"/>
    </xf>
    <xf numFmtId="0" fontId="15" fillId="33" borderId="0" xfId="16" applyFont="1" applyFill="1" applyAlignment="1">
      <alignment horizontal="center"/>
    </xf>
    <xf numFmtId="0" fontId="15" fillId="33" borderId="0" xfId="15" applyFont="1" applyFill="1" applyAlignment="1">
      <alignment horizontal="center"/>
    </xf>
    <xf numFmtId="0" fontId="5" fillId="33" borderId="0" xfId="0" applyFont="1" applyFill="1" applyAlignment="1">
      <alignment horizontal="center"/>
    </xf>
    <xf numFmtId="0" fontId="0" fillId="33" borderId="0" xfId="0" applyFill="1" applyAlignment="1">
      <alignment horizontal="center"/>
    </xf>
    <xf numFmtId="0" fontId="15" fillId="33" borderId="0" xfId="0" applyFont="1" applyFill="1"/>
    <xf numFmtId="0" fontId="0" fillId="33" borderId="0" xfId="0" applyFill="1"/>
    <xf numFmtId="0" fontId="15" fillId="33" borderId="0" xfId="0" applyFont="1" applyFill="1" applyAlignment="1">
      <alignment horizontal="center" vertical="center"/>
    </xf>
    <xf numFmtId="0" fontId="59" fillId="33" borderId="0" xfId="0" applyFont="1" applyFill="1" applyAlignment="1">
      <alignment horizontal="center" wrapText="1"/>
    </xf>
    <xf numFmtId="0" fontId="5" fillId="33" borderId="0" xfId="15" applyFont="1" applyFill="1" applyAlignment="1" applyProtection="1">
      <alignment horizontal="right"/>
      <protection locked="0"/>
    </xf>
    <xf numFmtId="0" fontId="3" fillId="0" borderId="0" xfId="6" applyFont="1" applyAlignment="1">
      <alignment horizontal="left"/>
    </xf>
    <xf numFmtId="0" fontId="3" fillId="0" borderId="0" xfId="17" applyAlignment="1">
      <alignment horizontal="left" vertical="center" wrapText="1"/>
    </xf>
    <xf numFmtId="0" fontId="5" fillId="0" borderId="0" xfId="17" applyFont="1" applyAlignment="1">
      <alignment horizontal="left" vertical="center" wrapText="1"/>
    </xf>
    <xf numFmtId="0" fontId="5" fillId="0" borderId="13" xfId="17" applyFont="1" applyBorder="1" applyAlignment="1">
      <alignment horizontal="left" vertical="center" wrapText="1"/>
    </xf>
    <xf numFmtId="0" fontId="3" fillId="0" borderId="40" xfId="17" applyBorder="1" applyAlignment="1">
      <alignment horizontal="center" vertical="center"/>
    </xf>
    <xf numFmtId="0" fontId="3" fillId="0" borderId="39" xfId="17" applyBorder="1" applyAlignment="1">
      <alignment horizontal="center" vertical="center"/>
    </xf>
    <xf numFmtId="0" fontId="3" fillId="0" borderId="16" xfId="17" applyBorder="1" applyAlignment="1">
      <alignment horizontal="center" vertical="center"/>
    </xf>
    <xf numFmtId="0" fontId="3" fillId="0" borderId="0" xfId="17" applyAlignment="1">
      <alignment vertical="center" wrapText="1"/>
    </xf>
    <xf numFmtId="0" fontId="5" fillId="0" borderId="0" xfId="17" applyFont="1" applyAlignment="1">
      <alignment vertical="center" wrapText="1"/>
    </xf>
    <xf numFmtId="0" fontId="3" fillId="0" borderId="13" xfId="17" applyBorder="1" applyAlignment="1">
      <alignment vertical="center" wrapText="1"/>
    </xf>
    <xf numFmtId="0" fontId="3" fillId="0" borderId="13" xfId="0" applyFont="1" applyBorder="1" applyAlignment="1">
      <alignment vertical="center" wrapText="1"/>
    </xf>
    <xf numFmtId="0" fontId="3" fillId="0" borderId="0" xfId="11" applyAlignment="1">
      <alignment horizontal="left" vertical="center"/>
    </xf>
    <xf numFmtId="0" fontId="3" fillId="0" borderId="0" xfId="11" applyAlignment="1">
      <alignment vertical="center" wrapText="1"/>
    </xf>
    <xf numFmtId="0" fontId="3" fillId="0" borderId="0" xfId="0" applyFont="1" applyAlignment="1">
      <alignment vertical="center" wrapText="1"/>
    </xf>
    <xf numFmtId="0" fontId="14" fillId="0" borderId="0" xfId="0" applyFont="1" applyAlignment="1">
      <alignment wrapText="1"/>
    </xf>
  </cellXfs>
  <cellStyles count="126">
    <cellStyle name="20% - Accent1" xfId="40" builtinId="30" customBuiltin="1"/>
    <cellStyle name="20% - Accent1 2" xfId="77" xr:uid="{8BADD7E4-7BDB-4DC2-A7B8-A4E9C533FFDB}"/>
    <cellStyle name="20% - Accent2" xfId="43" builtinId="34" customBuiltin="1"/>
    <cellStyle name="20% - Accent2 2" xfId="79" xr:uid="{44CA1852-3DDA-4094-945A-E55D2C3031F0}"/>
    <cellStyle name="20% - Accent3" xfId="46" builtinId="38" customBuiltin="1"/>
    <cellStyle name="20% - Accent3 2" xfId="81" xr:uid="{7CBB489F-FDBB-474A-8855-83D4344870C1}"/>
    <cellStyle name="20% - Accent4" xfId="49" builtinId="42" customBuiltin="1"/>
    <cellStyle name="20% - Accent4 2" xfId="83" xr:uid="{17518B13-7A24-41AD-B4ED-E5855DC9CBDC}"/>
    <cellStyle name="20% - Accent5" xfId="52" builtinId="46" customBuiltin="1"/>
    <cellStyle name="20% - Accent5 2" xfId="86" xr:uid="{814F6676-8F19-4ECA-8DE7-DC6130CA3DFA}"/>
    <cellStyle name="20% - Accent6" xfId="55" builtinId="50" customBuiltin="1"/>
    <cellStyle name="20% - Accent6 2" xfId="88" xr:uid="{1E2C0871-8ABC-4105-BE94-FA3BC8B6783F}"/>
    <cellStyle name="40% - Accent1" xfId="41" builtinId="31" customBuiltin="1"/>
    <cellStyle name="40% - Accent1 2" xfId="78" xr:uid="{0C6A7678-8582-4D32-8996-D196388763AC}"/>
    <cellStyle name="40% - Accent2" xfId="44" builtinId="35" customBuiltin="1"/>
    <cellStyle name="40% - Accent2 2" xfId="80" xr:uid="{466F6628-14BE-4283-BD6E-FB868034B0CD}"/>
    <cellStyle name="40% - Accent3" xfId="47" builtinId="39" customBuiltin="1"/>
    <cellStyle name="40% - Accent3 2" xfId="82" xr:uid="{55D27228-EA2F-4D0E-B3AB-EF1946865331}"/>
    <cellStyle name="40% - Accent4" xfId="50" builtinId="43" customBuiltin="1"/>
    <cellStyle name="40% - Accent4 2" xfId="84" xr:uid="{0EFE6A9A-3D5B-4A36-B09D-418CF577F26A}"/>
    <cellStyle name="40% - Accent5" xfId="53" builtinId="47" customBuiltin="1"/>
    <cellStyle name="40% - Accent5 2" xfId="87" xr:uid="{9E1EF558-8A6F-47A2-A71D-D67395F1BCE2}"/>
    <cellStyle name="40% - Accent6" xfId="56" builtinId="51" customBuiltin="1"/>
    <cellStyle name="40% - Accent6 2" xfId="89" xr:uid="{DB162DF4-6B1B-40DE-8A18-D3F75AE34786}"/>
    <cellStyle name="60% - Accent1 2" xfId="62" xr:uid="{6DF8367C-CAF0-4071-82CC-E629D90A47BA}"/>
    <cellStyle name="60% - Accent2 2" xfId="63" xr:uid="{FA14E114-5C0C-46EB-8250-3356270BD4AF}"/>
    <cellStyle name="60% - Accent3 2" xfId="64" xr:uid="{0F921F7B-3723-446C-9FDA-6664734B4C04}"/>
    <cellStyle name="60% - Accent4 2" xfId="65" xr:uid="{9440D3D7-9EAF-4A09-9272-695ECC8834CA}"/>
    <cellStyle name="60% - Accent5 2" xfId="66" xr:uid="{3A7F1F76-3CA3-49BA-8CAA-07847871FB3A}"/>
    <cellStyle name="60% - Accent6 2" xfId="67" xr:uid="{CFDF2982-A28A-4D4D-80E7-23A46E6EF840}"/>
    <cellStyle name="Accent1" xfId="39" builtinId="29" customBuiltin="1"/>
    <cellStyle name="Accent2" xfId="42" builtinId="33" customBuiltin="1"/>
    <cellStyle name="Accent3" xfId="45" builtinId="37" customBuiltin="1"/>
    <cellStyle name="Accent4" xfId="48" builtinId="41" customBuiltin="1"/>
    <cellStyle name="Accent5" xfId="51" builtinId="45" customBuiltin="1"/>
    <cellStyle name="Accent6" xfId="54" builtinId="49" customBuiltin="1"/>
    <cellStyle name="Bad" xfId="30" builtinId="27" customBuiltin="1"/>
    <cellStyle name="Body: normal cell" xfId="123" xr:uid="{AF194CD9-7AC3-4F1C-9A80-75A79F384EED}"/>
    <cellStyle name="Calculation" xfId="33" builtinId="22" customBuiltin="1"/>
    <cellStyle name="Check Cell" xfId="35" builtinId="23" customBuiltin="1"/>
    <cellStyle name="Comma" xfId="1" builtinId="3"/>
    <cellStyle name="Comma 2" xfId="2" xr:uid="{00000000-0005-0000-0000-000001000000}"/>
    <cellStyle name="Comma 3" xfId="114" xr:uid="{A89C5862-9CAA-4DF6-8911-57784775EDBF}"/>
    <cellStyle name="Comma 4" xfId="57" xr:uid="{2C6CC2DD-17CD-48BA-ABE5-B5C52AA5CE85}"/>
    <cellStyle name="Currency 2" xfId="58" xr:uid="{48F25696-930D-49DC-AFC5-3F492AB83A3B}"/>
    <cellStyle name="Data" xfId="3" xr:uid="{00000000-0005-0000-0000-000002000000}"/>
    <cellStyle name="Explanatory Text" xfId="37" builtinId="53" customBuiltin="1"/>
    <cellStyle name="Good" xfId="4" builtinId="26" customBuiltin="1"/>
    <cellStyle name="Header: bottom row" xfId="121" xr:uid="{4D6F096B-D6D4-4B33-B3C2-B474DAE9988D}"/>
    <cellStyle name="Heading 1" xfId="26" builtinId="16" customBuiltin="1"/>
    <cellStyle name="Heading 2" xfId="27" builtinId="17" customBuiltin="1"/>
    <cellStyle name="Heading 3" xfId="28" builtinId="18" customBuiltin="1"/>
    <cellStyle name="Heading 4" xfId="29" builtinId="19" customBuiltin="1"/>
    <cellStyle name="Hyperlink" xfId="5" builtinId="8"/>
    <cellStyle name="Hyperlink 2" xfId="90" xr:uid="{3DF66196-C943-49D2-ACF0-7FA03C172925}"/>
    <cellStyle name="Hyperlink 3" xfId="118" xr:uid="{371229DB-E503-4EDE-B244-0F43C5F1A873}"/>
    <cellStyle name="Input" xfId="31" builtinId="20" customBuiltin="1"/>
    <cellStyle name="Linked Cell" xfId="34" builtinId="24" customBuiltin="1"/>
    <cellStyle name="Neutral 2" xfId="61" xr:uid="{63E85ABE-EB20-4C70-87D8-07067C56DC21}"/>
    <cellStyle name="Normal" xfId="0" builtinId="0"/>
    <cellStyle name="Normal 10" xfId="25" xr:uid="{4376658C-4858-456A-B0BC-E60275D63D1B}"/>
    <cellStyle name="Normal 10 2" xfId="124" xr:uid="{0997F8C3-EDB1-4B9F-8AE4-D3AEA4327403}"/>
    <cellStyle name="Normal 10 3" xfId="113" xr:uid="{ADBDCD54-A155-4057-82C7-8C053F6CD259}"/>
    <cellStyle name="Normal 15" xfId="125" xr:uid="{4E4B9569-5A86-41AB-9C48-1488F9C702D3}"/>
    <cellStyle name="Normal 2" xfId="6" xr:uid="{00000000-0005-0000-0000-000006000000}"/>
    <cellStyle name="Normal 2 2" xfId="112" xr:uid="{350748A5-75AC-41AB-B1EE-8E091F5BE33A}"/>
    <cellStyle name="Normal 2 2 2" xfId="24" xr:uid="{00000000-0005-0000-0000-000007000000}"/>
    <cellStyle name="Normal 2 3" xfId="59" xr:uid="{00A1384E-EC6C-4686-ABF3-EFEF81105729}"/>
    <cellStyle name="Normal 3" xfId="7" xr:uid="{00000000-0005-0000-0000-000008000000}"/>
    <cellStyle name="Normal 3 2" xfId="115" xr:uid="{3706C1A0-8CBF-4ACA-B92D-AF232941DEB4}"/>
    <cellStyle name="Normal 4" xfId="8" xr:uid="{00000000-0005-0000-0000-000009000000}"/>
    <cellStyle name="Normal 4 2" xfId="119" xr:uid="{579D6C57-7048-4FA9-86B7-5FDDD92B76C1}"/>
    <cellStyle name="Normal 7" xfId="116" xr:uid="{DC3BE0A2-DBF0-4900-82ED-7584B8BF8FD4}"/>
    <cellStyle name="Normal_3-1 revised source" xfId="9" xr:uid="{00000000-0005-0000-0000-00000A000000}"/>
    <cellStyle name="Normal_4-4 revised source" xfId="10" xr:uid="{00000000-0005-0000-0000-00000B000000}"/>
    <cellStyle name="Normal_Air cargo 2000" xfId="11" xr:uid="{00000000-0005-0000-0000-00000C000000}"/>
    <cellStyle name="Normal_Amtrak stations" xfId="12" xr:uid="{00000000-0005-0000-0000-00000D000000}"/>
    <cellStyle name="Normal_Commuting California" xfId="13" xr:uid="{00000000-0005-0000-0000-00000E000000}"/>
    <cellStyle name="Normal_Enplanement California" xfId="14" xr:uid="{00000000-0005-0000-0000-00000F000000}"/>
    <cellStyle name="Normal_MARKAL Emission Factors_TransportLDV2" xfId="15" xr:uid="{00000000-0005-0000-0000-000010000000}"/>
    <cellStyle name="Normal_MARKAL_16e_Emissions HDV" xfId="16" xr:uid="{00000000-0005-0000-0000-000011000000}"/>
    <cellStyle name="Normal_New Table 3-15" xfId="17" xr:uid="{00000000-0005-0000-0000-000012000000}"/>
    <cellStyle name="Normal_Railroad service" xfId="18" xr:uid="{00000000-0005-0000-0000-000013000000}"/>
    <cellStyle name="Note 2" xfId="75" xr:uid="{768BA4EF-EAB6-4EAC-92D1-6ED1C71D2CDE}"/>
    <cellStyle name="Note 3" xfId="69" xr:uid="{D65E7171-E7E1-4999-A420-7C2921EF953D}"/>
    <cellStyle name="Output" xfId="32" builtinId="21" customBuiltin="1"/>
    <cellStyle name="Parent row" xfId="122" xr:uid="{58898AE9-54AD-45B7-87BE-A619E94A3C2B}"/>
    <cellStyle name="Percent" xfId="19" builtinId="5"/>
    <cellStyle name="Percent 10" xfId="92" xr:uid="{056B3E3C-29F3-4DF9-A2D5-30DF4BA19485}"/>
    <cellStyle name="Percent 11" xfId="93" xr:uid="{9701BFB1-8B0B-4D28-BFAF-73000B87B20E}"/>
    <cellStyle name="Percent 12" xfId="94" xr:uid="{F5A7FD2E-D01C-47DF-A00B-5FE7026FD801}"/>
    <cellStyle name="Percent 13" xfId="95" xr:uid="{DC93F2D3-3068-45E9-BD54-453CE371BF02}"/>
    <cellStyle name="Percent 14" xfId="96" xr:uid="{19E8AD2E-9F6C-4F46-AC75-E25ECAD01D7B}"/>
    <cellStyle name="Percent 15" xfId="97" xr:uid="{9B0DA759-5D9E-46AE-9C88-C6D54154CCF9}"/>
    <cellStyle name="Percent 16" xfId="98" xr:uid="{983A1894-DA04-4BC9-B8C0-76B6928846B5}"/>
    <cellStyle name="Percent 17" xfId="99" xr:uid="{0A1E354D-8DCA-48CE-8D2E-0DB4DDF12C1E}"/>
    <cellStyle name="Percent 18" xfId="100" xr:uid="{2EEDD912-8011-4811-8247-6B4FC5499E9F}"/>
    <cellStyle name="Percent 19" xfId="101" xr:uid="{1AC13D90-3EDE-4D2F-859B-1D90A78518ED}"/>
    <cellStyle name="Percent 2" xfId="20" xr:uid="{00000000-0005-0000-0000-000015000000}"/>
    <cellStyle name="Percent 2 2" xfId="117" xr:uid="{73C4E151-30A1-416F-90F4-2D08E732A969}"/>
    <cellStyle name="Percent 2 3" xfId="70" xr:uid="{077FF9C7-24DF-4A18-A184-01F1D05BA556}"/>
    <cellStyle name="Percent 20" xfId="102" xr:uid="{9935E1FB-6CD7-4076-8AC9-45C649D47043}"/>
    <cellStyle name="Percent 21" xfId="103" xr:uid="{CBBA10A8-E388-448A-94F9-44112E0ED3BD}"/>
    <cellStyle name="Percent 22" xfId="104" xr:uid="{94F44F29-25FC-4026-9142-DC58B9076D32}"/>
    <cellStyle name="Percent 23" xfId="105" xr:uid="{9926888C-7BAD-4A47-A5F5-4323E54CD5D6}"/>
    <cellStyle name="Percent 24" xfId="106" xr:uid="{D98ACFB9-DFCA-4F87-80DE-DAEB7F9F0B3F}"/>
    <cellStyle name="Percent 25" xfId="107" xr:uid="{8FF73F88-64A1-4F66-89A3-9B37A2BD7A32}"/>
    <cellStyle name="Percent 26" xfId="108" xr:uid="{46D20870-2200-4AA6-9721-1127503B50B6}"/>
    <cellStyle name="Percent 27" xfId="109" xr:uid="{D3AB2B85-5B5A-49B4-AAB0-6D713C2FF4EA}"/>
    <cellStyle name="Percent 28" xfId="110" xr:uid="{6C362CE7-A79E-4D88-86A9-8430A86BEC3A}"/>
    <cellStyle name="Percent 29" xfId="111" xr:uid="{16B6332F-7803-4BE6-BBD8-6C2F006BCC89}"/>
    <cellStyle name="Percent 3" xfId="76" xr:uid="{703D6FE2-0DB5-4F71-A681-2CE981DFACB5}"/>
    <cellStyle name="Percent 30" xfId="68" xr:uid="{F530FB40-19C3-4E89-9BE1-203CFCD5DC52}"/>
    <cellStyle name="Percent 4" xfId="85" xr:uid="{E479F597-8864-4C9D-B9B6-5BEBB4775226}"/>
    <cellStyle name="Percent 5" xfId="73" xr:uid="{E2BEB33E-94F8-415E-ACE5-979F7B81A5F6}"/>
    <cellStyle name="Percent 6" xfId="71" xr:uid="{40C6BB55-956B-4FA1-8A09-9B1BCE672C08}"/>
    <cellStyle name="Percent 7" xfId="74" xr:uid="{84AC02E4-5CE2-4CC0-A9A3-B60B25274E6D}"/>
    <cellStyle name="Percent 8" xfId="72" xr:uid="{98EF985E-C80C-4B26-8224-0567EC47AD56}"/>
    <cellStyle name="Percent 9" xfId="91" xr:uid="{F098A28A-6DF8-4DA6-9EFD-A0FB9C5178DC}"/>
    <cellStyle name="Source Superscript" xfId="21" xr:uid="{00000000-0005-0000-0000-000016000000}"/>
    <cellStyle name="Source Text" xfId="22" xr:uid="{00000000-0005-0000-0000-000017000000}"/>
    <cellStyle name="Table title" xfId="120" xr:uid="{B968B5B5-144D-4BF4-ACCD-2A08B2BF194D}"/>
    <cellStyle name="Title 2" xfId="60" xr:uid="{52BB40A4-7B96-4E5F-ADA0-B86549811758}"/>
    <cellStyle name="Title-2" xfId="23" xr:uid="{00000000-0005-0000-0000-000018000000}"/>
    <cellStyle name="Total" xfId="38" builtinId="25" customBuiltin="1"/>
    <cellStyle name="Warning Text" xfId="36" builtinId="11" customBuiltin="1"/>
  </cellStyles>
  <dxfs count="63">
    <dxf>
      <font>
        <condense val="0"/>
        <extend val="0"/>
        <color rgb="FF9C0006"/>
      </font>
      <fill>
        <patternFill>
          <bgColor rgb="FFFFC7CE"/>
        </patternFill>
      </fill>
    </dxf>
    <dxf>
      <font>
        <color theme="0" tint="-0.499984740745262"/>
      </font>
    </dxf>
    <dxf>
      <font>
        <color theme="0" tint="-4.9989318521683403E-2"/>
      </font>
      <fill>
        <patternFill patternType="gray0625">
          <fgColor theme="0" tint="-0.34998626667073579"/>
          <bgColor theme="0" tint="-4.9989318521683403E-2"/>
        </patternFill>
      </fill>
    </dxf>
    <dxf>
      <font>
        <condense val="0"/>
        <extend val="0"/>
        <color rgb="FF9C0006"/>
      </font>
      <fill>
        <patternFill>
          <bgColor rgb="FFFFC7CE"/>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ndense val="0"/>
        <extend val="0"/>
        <color rgb="FF9C0006"/>
      </font>
      <fill>
        <patternFill>
          <bgColor rgb="FFFFC7CE"/>
        </patternFill>
      </fill>
    </dxf>
    <dxf>
      <font>
        <b/>
        <i val="0"/>
        <condense val="0"/>
        <extend val="0"/>
      </font>
      <fill>
        <patternFill>
          <bgColor indexed="10"/>
        </patternFill>
      </fill>
    </dxf>
    <dxf>
      <fill>
        <patternFill>
          <bgColor theme="0"/>
        </patternFill>
      </fill>
    </dxf>
    <dxf>
      <fill>
        <patternFill>
          <bgColor theme="0"/>
        </patternFill>
      </fill>
    </dxf>
    <dxf>
      <fill>
        <patternFill>
          <bgColor theme="0"/>
        </patternFill>
      </fill>
    </dxf>
    <dxf>
      <fill>
        <patternFill>
          <bgColor theme="0"/>
        </patternFill>
      </fill>
    </dxf>
    <dxf>
      <alignment horizontal="right"/>
    </dxf>
    <dxf>
      <alignment horizontal="right"/>
    </dxf>
    <dxf>
      <alignment horizontal="right"/>
    </dxf>
    <dxf>
      <alignment horizontal="right"/>
    </dxf>
    <dxf>
      <alignment horizontal="right"/>
    </dxf>
    <dxf>
      <alignment horizontal="right"/>
    </dxf>
    <dxf>
      <alignment horizontal="right"/>
    </dxf>
    <dxf>
      <font>
        <sz val="10"/>
        <family val="2"/>
      </font>
    </dxf>
    <dxf>
      <font>
        <sz val="10"/>
        <family val="2"/>
      </font>
    </dxf>
    <dxf>
      <font>
        <sz val="10"/>
        <family val="2"/>
      </font>
    </dxf>
    <dxf>
      <font>
        <sz val="10"/>
        <family val="2"/>
      </font>
    </dxf>
    <dxf>
      <font>
        <sz val="10"/>
        <family val="2"/>
      </font>
    </dxf>
    <dxf>
      <font>
        <sz val="10"/>
        <family val="2"/>
      </font>
    </dxf>
    <dxf>
      <font>
        <sz val="10"/>
        <family val="2"/>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right"/>
    </dxf>
    <dxf>
      <alignment horizontal="right"/>
    </dxf>
    <dxf>
      <alignment horizontal="right"/>
    </dxf>
    <dxf>
      <alignment horizontal="right"/>
    </dxf>
    <dxf>
      <alignment horizontal="right"/>
    </dxf>
    <dxf>
      <alignment horizontal="right"/>
    </dxf>
    <dxf>
      <font>
        <sz val="10"/>
        <family val="2"/>
      </font>
    </dxf>
    <dxf>
      <font>
        <sz val="10"/>
        <family val="2"/>
      </font>
    </dxf>
    <dxf>
      <font>
        <sz val="10"/>
        <family val="2"/>
      </font>
    </dxf>
    <dxf>
      <font>
        <sz val="10"/>
        <family val="2"/>
      </font>
    </dxf>
    <dxf>
      <font>
        <sz val="10"/>
        <family val="2"/>
      </font>
    </dxf>
    <dxf>
      <font>
        <sz val="10"/>
        <family val="2"/>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color rgb="FF0DF3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pivotCacheDefinition" Target="pivotCache/pivotCacheDefinition3.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1.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pivotCacheDefinition" Target="pivotCache/pivotCacheDefinition4.xml"/><Relationship Id="rId56"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charts/_rels/chart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977458273483641"/>
          <c:y val="8.4848735939677858E-2"/>
          <c:w val="0.71428636987338556"/>
          <c:h val="0.76363862345711042"/>
        </c:manualLayout>
      </c:layout>
      <c:scatterChart>
        <c:scatterStyle val="smoothMarker"/>
        <c:varyColors val="0"/>
        <c:ser>
          <c:idx val="0"/>
          <c:order val="0"/>
          <c:tx>
            <c:strRef>
              <c:f>'AEO Data'!$A$211</c:f>
              <c:strCache>
                <c:ptCount val="1"/>
                <c:pt idx="0">
                  <c:v>       Total Transit Bus</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'AEO Data'!$B$205:$L$205</c:f>
              <c:numCache>
                <c:formatCode>General</c:formatCode>
                <c:ptCount val="11"/>
                <c:pt idx="0">
                  <c:v>2005</c:v>
                </c:pt>
                <c:pt idx="1">
                  <c:v>2010</c:v>
                </c:pt>
                <c:pt idx="2">
                  <c:v>2015</c:v>
                </c:pt>
                <c:pt idx="3">
                  <c:v>2020</c:v>
                </c:pt>
                <c:pt idx="4">
                  <c:v>2025</c:v>
                </c:pt>
                <c:pt idx="5">
                  <c:v>2030</c:v>
                </c:pt>
                <c:pt idx="6">
                  <c:v>2035</c:v>
                </c:pt>
                <c:pt idx="7" formatCode="0">
                  <c:v>2040</c:v>
                </c:pt>
                <c:pt idx="8" formatCode="0">
                  <c:v>2045</c:v>
                </c:pt>
                <c:pt idx="9">
                  <c:v>2050</c:v>
                </c:pt>
                <c:pt idx="10" formatCode="0">
                  <c:v>2055</c:v>
                </c:pt>
              </c:numCache>
            </c:numRef>
          </c:xVal>
          <c:yVal>
            <c:numRef>
              <c:f>'AEO Data'!$B$211:$L$211</c:f>
              <c:numCache>
                <c:formatCode>0.00</c:formatCode>
                <c:ptCount val="11"/>
                <c:pt idx="0" formatCode="0.00_)">
                  <c:v>95.000174601694852</c:v>
                </c:pt>
                <c:pt idx="1">
                  <c:v>106.01966899999999</c:v>
                </c:pt>
                <c:pt idx="2">
                  <c:v>99.926047999999994</c:v>
                </c:pt>
                <c:pt idx="3">
                  <c:v>101.646935</c:v>
                </c:pt>
                <c:pt idx="4">
                  <c:v>103.737122</c:v>
                </c:pt>
                <c:pt idx="5">
                  <c:v>105.96672100000001</c:v>
                </c:pt>
                <c:pt idx="6">
                  <c:v>108.269295</c:v>
                </c:pt>
                <c:pt idx="7">
                  <c:v>110.441963</c:v>
                </c:pt>
                <c:pt idx="8">
                  <c:v>119.79804634833286</c:v>
                </c:pt>
                <c:pt idx="9">
                  <c:v>131.14592783523142</c:v>
                </c:pt>
                <c:pt idx="10">
                  <c:v>144.72782896208992</c:v>
                </c:pt>
              </c:numCache>
            </c:numRef>
          </c:yVal>
          <c:smooth val="1"/>
          <c:extLst>
            <c:ext xmlns:c16="http://schemas.microsoft.com/office/drawing/2014/chart" uri="{C3380CC4-5D6E-409C-BE32-E72D297353CC}">
              <c16:uniqueId val="{00000000-26AA-48A9-AEA7-263434FDF452}"/>
            </c:ext>
          </c:extLst>
        </c:ser>
        <c:ser>
          <c:idx val="1"/>
          <c:order val="1"/>
          <c:tx>
            <c:strRef>
              <c:f>'AEO Data'!$A$217</c:f>
              <c:strCache>
                <c:ptCount val="1"/>
                <c:pt idx="0">
                  <c:v>       Total Intercity Bus</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xVal>
            <c:numRef>
              <c:f>'AEO Data'!$B$205:$L$205</c:f>
              <c:numCache>
                <c:formatCode>General</c:formatCode>
                <c:ptCount val="11"/>
                <c:pt idx="0">
                  <c:v>2005</c:v>
                </c:pt>
                <c:pt idx="1">
                  <c:v>2010</c:v>
                </c:pt>
                <c:pt idx="2">
                  <c:v>2015</c:v>
                </c:pt>
                <c:pt idx="3">
                  <c:v>2020</c:v>
                </c:pt>
                <c:pt idx="4">
                  <c:v>2025</c:v>
                </c:pt>
                <c:pt idx="5">
                  <c:v>2030</c:v>
                </c:pt>
                <c:pt idx="6">
                  <c:v>2035</c:v>
                </c:pt>
                <c:pt idx="7" formatCode="0">
                  <c:v>2040</c:v>
                </c:pt>
                <c:pt idx="8" formatCode="0">
                  <c:v>2045</c:v>
                </c:pt>
                <c:pt idx="9">
                  <c:v>2050</c:v>
                </c:pt>
                <c:pt idx="10" formatCode="0">
                  <c:v>2055</c:v>
                </c:pt>
              </c:numCache>
            </c:numRef>
          </c:xVal>
          <c:yVal>
            <c:numRef>
              <c:f>'AEO Data'!$B$217:$L$217</c:f>
              <c:numCache>
                <c:formatCode>0.00</c:formatCode>
                <c:ptCount val="11"/>
                <c:pt idx="0" formatCode="0.00_)">
                  <c:v>28.625736550969492</c:v>
                </c:pt>
                <c:pt idx="1">
                  <c:v>29.96529</c:v>
                </c:pt>
                <c:pt idx="2">
                  <c:v>28.555005999999999</c:v>
                </c:pt>
                <c:pt idx="3">
                  <c:v>29.662451000000001</c:v>
                </c:pt>
                <c:pt idx="4">
                  <c:v>30.768394000000001</c:v>
                </c:pt>
                <c:pt idx="5">
                  <c:v>31.834842999999999</c:v>
                </c:pt>
                <c:pt idx="6">
                  <c:v>32.824139000000002</c:v>
                </c:pt>
                <c:pt idx="7">
                  <c:v>33.740803</c:v>
                </c:pt>
                <c:pt idx="8">
                  <c:v>34.515852803731562</c:v>
                </c:pt>
                <c:pt idx="9">
                  <c:v>35.308706042617423</c:v>
                </c:pt>
                <c:pt idx="10">
                  <c:v>36.119771673993952</c:v>
                </c:pt>
              </c:numCache>
            </c:numRef>
          </c:yVal>
          <c:smooth val="1"/>
          <c:extLst>
            <c:ext xmlns:c16="http://schemas.microsoft.com/office/drawing/2014/chart" uri="{C3380CC4-5D6E-409C-BE32-E72D297353CC}">
              <c16:uniqueId val="{00000001-26AA-48A9-AEA7-263434FDF452}"/>
            </c:ext>
          </c:extLst>
        </c:ser>
        <c:ser>
          <c:idx val="2"/>
          <c:order val="2"/>
          <c:tx>
            <c:strRef>
              <c:f>'AEO Data'!$A$223</c:f>
              <c:strCache>
                <c:ptCount val="1"/>
                <c:pt idx="0">
                  <c:v>       Total School Bus</c:v>
                </c:pt>
              </c:strCache>
            </c:strRef>
          </c:tx>
          <c:spPr>
            <a:ln w="12700">
              <a:solidFill>
                <a:srgbClr val="996633"/>
              </a:solidFill>
              <a:prstDash val="solid"/>
            </a:ln>
          </c:spPr>
          <c:marker>
            <c:symbol val="triangle"/>
            <c:size val="5"/>
            <c:spPr>
              <a:solidFill>
                <a:srgbClr val="996633"/>
              </a:solidFill>
              <a:ln>
                <a:solidFill>
                  <a:srgbClr val="996633"/>
                </a:solidFill>
                <a:prstDash val="solid"/>
              </a:ln>
            </c:spPr>
          </c:marker>
          <c:xVal>
            <c:numRef>
              <c:f>'AEO Data'!$B$205:$L$205</c:f>
              <c:numCache>
                <c:formatCode>General</c:formatCode>
                <c:ptCount val="11"/>
                <c:pt idx="0">
                  <c:v>2005</c:v>
                </c:pt>
                <c:pt idx="1">
                  <c:v>2010</c:v>
                </c:pt>
                <c:pt idx="2">
                  <c:v>2015</c:v>
                </c:pt>
                <c:pt idx="3">
                  <c:v>2020</c:v>
                </c:pt>
                <c:pt idx="4">
                  <c:v>2025</c:v>
                </c:pt>
                <c:pt idx="5">
                  <c:v>2030</c:v>
                </c:pt>
                <c:pt idx="6">
                  <c:v>2035</c:v>
                </c:pt>
                <c:pt idx="7" formatCode="0">
                  <c:v>2040</c:v>
                </c:pt>
                <c:pt idx="8" formatCode="0">
                  <c:v>2045</c:v>
                </c:pt>
                <c:pt idx="9">
                  <c:v>2050</c:v>
                </c:pt>
                <c:pt idx="10" formatCode="0">
                  <c:v>2055</c:v>
                </c:pt>
              </c:numCache>
            </c:numRef>
          </c:xVal>
          <c:yVal>
            <c:numRef>
              <c:f>'AEO Data'!$B$223:$L$223</c:f>
              <c:numCache>
                <c:formatCode>0.00</c:formatCode>
                <c:ptCount val="11"/>
                <c:pt idx="0" formatCode="0.00_)">
                  <c:v>123.18995851701776</c:v>
                </c:pt>
                <c:pt idx="1">
                  <c:v>116.29280900000001</c:v>
                </c:pt>
                <c:pt idx="2">
                  <c:v>113.41920500000001</c:v>
                </c:pt>
                <c:pt idx="3">
                  <c:v>119.566208</c:v>
                </c:pt>
                <c:pt idx="4">
                  <c:v>125.863457</c:v>
                </c:pt>
                <c:pt idx="5">
                  <c:v>132.15467799999999</c:v>
                </c:pt>
                <c:pt idx="6">
                  <c:v>138.27827500000001</c:v>
                </c:pt>
                <c:pt idx="7">
                  <c:v>144.241806</c:v>
                </c:pt>
                <c:pt idx="8">
                  <c:v>148.82194796169142</c:v>
                </c:pt>
                <c:pt idx="9">
                  <c:v>153.59374377800293</c:v>
                </c:pt>
                <c:pt idx="10">
                  <c:v>158.57112254433449</c:v>
                </c:pt>
              </c:numCache>
            </c:numRef>
          </c:yVal>
          <c:smooth val="1"/>
          <c:extLst>
            <c:ext xmlns:c16="http://schemas.microsoft.com/office/drawing/2014/chart" uri="{C3380CC4-5D6E-409C-BE32-E72D297353CC}">
              <c16:uniqueId val="{00000002-26AA-48A9-AEA7-263434FDF452}"/>
            </c:ext>
          </c:extLst>
        </c:ser>
        <c:dLbls>
          <c:showLegendKey val="0"/>
          <c:showVal val="0"/>
          <c:showCatName val="0"/>
          <c:showSerName val="0"/>
          <c:showPercent val="0"/>
          <c:showBubbleSize val="0"/>
        </c:dLbls>
        <c:axId val="977279560"/>
        <c:axId val="977279952"/>
      </c:scatterChart>
      <c:valAx>
        <c:axId val="977279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77279952"/>
        <c:crosses val="autoZero"/>
        <c:crossBetween val="midCat"/>
      </c:valAx>
      <c:valAx>
        <c:axId val="977279952"/>
        <c:scaling>
          <c:orientation val="minMax"/>
        </c:scaling>
        <c:delete val="0"/>
        <c:axPos val="l"/>
        <c:majorGridlines>
          <c:spPr>
            <a:ln w="3175">
              <a:solidFill>
                <a:srgbClr val="000000"/>
              </a:solidFill>
              <a:prstDash val="solid"/>
            </a:ln>
          </c:spPr>
        </c:majorGridlines>
        <c:numFmt formatCode="0.00_)"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77279560"/>
        <c:crosses val="autoZero"/>
        <c:crossBetween val="midCat"/>
      </c:valAx>
      <c:spPr>
        <a:solidFill>
          <a:srgbClr val="FFFFFF"/>
        </a:solidFill>
        <a:ln w="12700">
          <a:solidFill>
            <a:srgbClr val="808080"/>
          </a:solidFill>
          <a:prstDash val="solid"/>
        </a:ln>
      </c:spPr>
    </c:plotArea>
    <c:legend>
      <c:legendPos val="r"/>
      <c:layout>
        <c:manualLayout>
          <c:xMode val="edge"/>
          <c:yMode val="edge"/>
          <c:x val="0.17481222741894104"/>
          <c:y val="8.7879106020838302E-2"/>
          <c:w val="0.32330866536419789"/>
          <c:h val="0.19394003022349476"/>
        </c:manualLayout>
      </c:layout>
      <c:overlay val="0"/>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63517915309462"/>
          <c:y val="7.40742654448409E-2"/>
          <c:w val="0.76547231270359173"/>
          <c:h val="0.80688039145273049"/>
        </c:manualLayout>
      </c:layout>
      <c:scatterChart>
        <c:scatterStyle val="smoothMarker"/>
        <c:varyColors val="0"/>
        <c:ser>
          <c:idx val="0"/>
          <c:order val="0"/>
          <c:tx>
            <c:strRef>
              <c:f>NYCTranscalc!$B$8</c:f>
              <c:strCache>
                <c:ptCount val="1"/>
                <c:pt idx="0">
                  <c:v>Heavy trucks greater than 10,000 lbs (billion vmt)*</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NYCTranscalc!$C$4:$M$4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NYCTranscalc!$C$8:$M$8</c:f>
              <c:numCache>
                <c:formatCode>#,##0.000</c:formatCode>
                <c:ptCount val="11"/>
                <c:pt idx="0" formatCode="0.000">
                  <c:v>0.1370718960470145</c:v>
                </c:pt>
                <c:pt idx="1">
                  <c:v>0.13820351302940601</c:v>
                </c:pt>
                <c:pt idx="2" formatCode="0.000">
                  <c:v>0.14236934102662158</c:v>
                </c:pt>
                <c:pt idx="3" formatCode="0.000">
                  <c:v>0.14337354609558473</c:v>
                </c:pt>
                <c:pt idx="4" formatCode="0.000">
                  <c:v>0.14563755133922249</c:v>
                </c:pt>
                <c:pt idx="5" formatCode="0.000">
                  <c:v>0.14790155658286028</c:v>
                </c:pt>
                <c:pt idx="6" formatCode="0.000">
                  <c:v>0.14961277285771016</c:v>
                </c:pt>
                <c:pt idx="7" formatCode="0.000">
                  <c:v>0.15132398913256001</c:v>
                </c:pt>
                <c:pt idx="8" formatCode="0.000">
                  <c:v>0.15385141458094692</c:v>
                </c:pt>
                <c:pt idx="9" formatCode="0.000">
                  <c:v>0.15642453239415913</c:v>
                </c:pt>
                <c:pt idx="10" formatCode="0.000">
                  <c:v>0.1590442214295629</c:v>
                </c:pt>
              </c:numCache>
            </c:numRef>
          </c:yVal>
          <c:smooth val="1"/>
          <c:extLst>
            <c:ext xmlns:c16="http://schemas.microsoft.com/office/drawing/2014/chart" uri="{C3380CC4-5D6E-409C-BE32-E72D297353CC}">
              <c16:uniqueId val="{00000001-1FA3-4BB7-A6C3-A51285F69AF8}"/>
            </c:ext>
          </c:extLst>
        </c:ser>
        <c:ser>
          <c:idx val="1"/>
          <c:order val="1"/>
          <c:tx>
            <c:strRef>
              <c:f>NYCTranscalc!$B$9</c:f>
              <c:strCache>
                <c:ptCount val="1"/>
                <c:pt idx="0">
                  <c:v>Freight services by rail (billion ton miles)</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xVal>
            <c:numRef>
              <c:f>NYCTranscalc!$C$4:$M$4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NYCTranscalc!$C$9:$M$9</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yVal>
          <c:smooth val="1"/>
          <c:extLst>
            <c:ext xmlns:c16="http://schemas.microsoft.com/office/drawing/2014/chart" uri="{C3380CC4-5D6E-409C-BE32-E72D297353CC}">
              <c16:uniqueId val="{00000002-1FA3-4BB7-A6C3-A51285F69AF8}"/>
            </c:ext>
          </c:extLst>
        </c:ser>
        <c:ser>
          <c:idx val="2"/>
          <c:order val="2"/>
          <c:tx>
            <c:strRef>
              <c:f>NYCTranscalc!$B$11</c:f>
              <c:strCache>
                <c:ptCount val="1"/>
                <c:pt idx="0">
                  <c:v>Marine energy services (billion ton miles)</c:v>
                </c:pt>
              </c:strCache>
            </c:strRef>
          </c:tx>
          <c:spPr>
            <a:ln w="12700">
              <a:solidFill>
                <a:srgbClr val="996633"/>
              </a:solidFill>
              <a:prstDash val="solid"/>
            </a:ln>
          </c:spPr>
          <c:marker>
            <c:symbol val="triangle"/>
            <c:size val="5"/>
            <c:spPr>
              <a:solidFill>
                <a:srgbClr val="996633"/>
              </a:solidFill>
              <a:ln>
                <a:solidFill>
                  <a:srgbClr val="996633"/>
                </a:solidFill>
                <a:prstDash val="solid"/>
              </a:ln>
            </c:spPr>
          </c:marker>
          <c:xVal>
            <c:numRef>
              <c:f>NYCTranscalc!$C$4:$M$4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NYCTranscalc!$C$11:$M$11</c:f>
              <c:numCache>
                <c:formatCode>0.00</c:formatCode>
                <c:ptCount val="11"/>
                <c:pt idx="0">
                  <c:v>1.6792503530572207</c:v>
                </c:pt>
                <c:pt idx="1">
                  <c:v>1.6792503530572207</c:v>
                </c:pt>
                <c:pt idx="2">
                  <c:v>1.87450644719486</c:v>
                </c:pt>
                <c:pt idx="3">
                  <c:v>1.7615035327382063</c:v>
                </c:pt>
                <c:pt idx="4">
                  <c:v>1.6458123739755646</c:v>
                </c:pt>
                <c:pt idx="5">
                  <c:v>1.5707945014637528</c:v>
                </c:pt>
                <c:pt idx="6">
                  <c:v>1.5633757019778434</c:v>
                </c:pt>
                <c:pt idx="7">
                  <c:v>1.5833336226788965</c:v>
                </c:pt>
                <c:pt idx="8">
                  <c:v>1.5833336226788965</c:v>
                </c:pt>
                <c:pt idx="9">
                  <c:v>1.5833336226788965</c:v>
                </c:pt>
                <c:pt idx="10">
                  <c:v>1.5833336226788965</c:v>
                </c:pt>
              </c:numCache>
            </c:numRef>
          </c:yVal>
          <c:smooth val="1"/>
          <c:extLst>
            <c:ext xmlns:c16="http://schemas.microsoft.com/office/drawing/2014/chart" uri="{C3380CC4-5D6E-409C-BE32-E72D297353CC}">
              <c16:uniqueId val="{00000003-1FA3-4BB7-A6C3-A51285F69AF8}"/>
            </c:ext>
          </c:extLst>
        </c:ser>
        <c:dLbls>
          <c:showLegendKey val="0"/>
          <c:showVal val="0"/>
          <c:showCatName val="0"/>
          <c:showSerName val="0"/>
          <c:showPercent val="0"/>
          <c:showBubbleSize val="0"/>
        </c:dLbls>
        <c:axId val="968808880"/>
        <c:axId val="968809272"/>
      </c:scatterChart>
      <c:scatterChart>
        <c:scatterStyle val="lineMarker"/>
        <c:varyColors val="0"/>
        <c:ser>
          <c:idx val="4"/>
          <c:order val="4"/>
          <c:tx>
            <c:strRef>
              <c:f>NYCTranscalc!$B$7</c:f>
              <c:strCache>
                <c:ptCount val="1"/>
                <c:pt idx="0">
                  <c:v>Medium Duty Trucks - Class 3-6 (billion vmt)</c:v>
                </c:pt>
              </c:strCache>
            </c:strRef>
          </c:tx>
          <c:spPr>
            <a:ln>
              <a:solidFill>
                <a:schemeClr val="accent6">
                  <a:lumMod val="75000"/>
                </a:schemeClr>
              </a:solidFill>
            </a:ln>
          </c:spPr>
          <c:marker>
            <c:symbol val="triangle"/>
            <c:size val="7"/>
            <c:spPr>
              <a:solidFill>
                <a:schemeClr val="accent6">
                  <a:lumMod val="75000"/>
                </a:schemeClr>
              </a:solidFill>
              <a:ln>
                <a:solidFill>
                  <a:srgbClr val="F79646">
                    <a:lumMod val="75000"/>
                  </a:srgbClr>
                </a:solidFill>
              </a:ln>
            </c:spPr>
          </c:marker>
          <c:xVal>
            <c:numRef>
              <c:f>NYCTranscalc!$C$4:$M$4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NYCTranscalc!$C$7:$M$7</c:f>
              <c:numCache>
                <c:formatCode>0.000</c:formatCode>
                <c:ptCount val="11"/>
                <c:pt idx="0">
                  <c:v>0.12970652454619411</c:v>
                </c:pt>
                <c:pt idx="1">
                  <c:v>0.13077733563246599</c:v>
                </c:pt>
                <c:pt idx="2">
                  <c:v>0.13471931854040459</c:v>
                </c:pt>
                <c:pt idx="3">
                  <c:v>0.13566956401874977</c:v>
                </c:pt>
                <c:pt idx="4">
                  <c:v>0.1378119160265304</c:v>
                </c:pt>
                <c:pt idx="5">
                  <c:v>0.13995426803431099</c:v>
                </c:pt>
                <c:pt idx="6">
                  <c:v>0.14157353443507292</c:v>
                </c:pt>
                <c:pt idx="7">
                  <c:v>0.14319280083583485</c:v>
                </c:pt>
                <c:pt idx="8">
                  <c:v>0.14558441852271231</c:v>
                </c:pt>
                <c:pt idx="9">
                  <c:v>0.14801927335747134</c:v>
                </c:pt>
                <c:pt idx="10">
                  <c:v>0.15049819697327546</c:v>
                </c:pt>
              </c:numCache>
            </c:numRef>
          </c:yVal>
          <c:smooth val="0"/>
          <c:extLst>
            <c:ext xmlns:c16="http://schemas.microsoft.com/office/drawing/2014/chart" uri="{C3380CC4-5D6E-409C-BE32-E72D297353CC}">
              <c16:uniqueId val="{00000000-1FA3-4BB7-A6C3-A51285F69AF8}"/>
            </c:ext>
          </c:extLst>
        </c:ser>
        <c:dLbls>
          <c:showLegendKey val="0"/>
          <c:showVal val="0"/>
          <c:showCatName val="0"/>
          <c:showSerName val="0"/>
          <c:showPercent val="0"/>
          <c:showBubbleSize val="0"/>
        </c:dLbls>
        <c:axId val="968808880"/>
        <c:axId val="968809272"/>
      </c:scatterChart>
      <c:scatterChart>
        <c:scatterStyle val="lineMarker"/>
        <c:varyColors val="0"/>
        <c:ser>
          <c:idx val="3"/>
          <c:order val="3"/>
          <c:tx>
            <c:strRef>
              <c:f>NYCTranscalc!$B$12</c:f>
              <c:strCache>
                <c:ptCount val="1"/>
                <c:pt idx="0">
                  <c:v>Commercial trucks (billion vmt)</c:v>
                </c:pt>
              </c:strCache>
            </c:strRef>
          </c:tx>
          <c:spPr>
            <a:ln w="12700">
              <a:solidFill>
                <a:srgbClr val="336666"/>
              </a:solidFill>
              <a:prstDash val="solid"/>
            </a:ln>
          </c:spPr>
          <c:marker>
            <c:symbol val="triangle"/>
            <c:size val="5"/>
            <c:spPr>
              <a:solidFill>
                <a:srgbClr val="336666"/>
              </a:solidFill>
              <a:ln>
                <a:solidFill>
                  <a:srgbClr val="336666"/>
                </a:solidFill>
                <a:prstDash val="solid"/>
              </a:ln>
            </c:spPr>
          </c:marker>
          <c:xVal>
            <c:numRef>
              <c:f>NYCTranscalc!$C$4:$M$4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NYCTranscalc!$C$12:$M$12</c:f>
              <c:numCache>
                <c:formatCode>0.000</c:formatCode>
                <c:ptCount val="11"/>
                <c:pt idx="0">
                  <c:v>0.17294203272825881</c:v>
                </c:pt>
                <c:pt idx="1">
                  <c:v>0.174369780843288</c:v>
                </c:pt>
                <c:pt idx="2">
                  <c:v>0.17962575805387276</c:v>
                </c:pt>
                <c:pt idx="3">
                  <c:v>0.18089275202499969</c:v>
                </c:pt>
                <c:pt idx="4">
                  <c:v>0.18374922136870717</c:v>
                </c:pt>
                <c:pt idx="5">
                  <c:v>0.18660569071241465</c:v>
                </c:pt>
                <c:pt idx="6">
                  <c:v>0.18876471258009722</c:v>
                </c:pt>
                <c:pt idx="7">
                  <c:v>0.19092373444777977</c:v>
                </c:pt>
                <c:pt idx="8">
                  <c:v>0.19411255803028307</c:v>
                </c:pt>
                <c:pt idx="9">
                  <c:v>0.19735903114329512</c:v>
                </c:pt>
                <c:pt idx="10">
                  <c:v>0.20066426263103396</c:v>
                </c:pt>
              </c:numCache>
            </c:numRef>
          </c:yVal>
          <c:smooth val="1"/>
          <c:extLst>
            <c:ext xmlns:c16="http://schemas.microsoft.com/office/drawing/2014/chart" uri="{C3380CC4-5D6E-409C-BE32-E72D297353CC}">
              <c16:uniqueId val="{00000004-1FA3-4BB7-A6C3-A51285F69AF8}"/>
            </c:ext>
          </c:extLst>
        </c:ser>
        <c:dLbls>
          <c:showLegendKey val="0"/>
          <c:showVal val="0"/>
          <c:showCatName val="0"/>
          <c:showSerName val="0"/>
          <c:showPercent val="0"/>
          <c:showBubbleSize val="0"/>
        </c:dLbls>
        <c:axId val="968809664"/>
        <c:axId val="968810056"/>
      </c:scatterChart>
      <c:valAx>
        <c:axId val="9688088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968809272"/>
        <c:crosses val="autoZero"/>
        <c:crossBetween val="midCat"/>
        <c:majorUnit val="5"/>
      </c:valAx>
      <c:valAx>
        <c:axId val="968809272"/>
        <c:scaling>
          <c:orientation val="minMax"/>
        </c:scaling>
        <c:delete val="0"/>
        <c:axPos val="l"/>
        <c:majorGridlines>
          <c:spPr>
            <a:ln w="3175">
              <a:solidFill>
                <a:srgbClr val="000000"/>
              </a:solidFill>
              <a:prstDash val="solid"/>
            </a:ln>
          </c:spPr>
        </c:majorGridlines>
        <c:numFmt formatCode="0.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68808880"/>
        <c:crosses val="autoZero"/>
        <c:crossBetween val="midCat"/>
      </c:valAx>
      <c:valAx>
        <c:axId val="968809664"/>
        <c:scaling>
          <c:orientation val="minMax"/>
        </c:scaling>
        <c:delete val="1"/>
        <c:axPos val="t"/>
        <c:numFmt formatCode="General" sourceLinked="1"/>
        <c:majorTickMark val="out"/>
        <c:minorTickMark val="none"/>
        <c:tickLblPos val="none"/>
        <c:crossAx val="968810056"/>
        <c:crossesAt val="20"/>
        <c:crossBetween val="midCat"/>
      </c:valAx>
      <c:valAx>
        <c:axId val="968810056"/>
        <c:scaling>
          <c:orientation val="minMax"/>
          <c:max val="140"/>
          <c:min val="20"/>
        </c:scaling>
        <c:delete val="0"/>
        <c:axPos val="r"/>
        <c:numFmt formatCode="0.000"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68809664"/>
        <c:crosses val="max"/>
        <c:crossBetween val="midCat"/>
      </c:valAx>
      <c:spPr>
        <a:solidFill>
          <a:srgbClr val="FFFFFF"/>
        </a:solidFill>
        <a:ln w="12700">
          <a:solidFill>
            <a:srgbClr val="808080"/>
          </a:solidFill>
          <a:prstDash val="solid"/>
        </a:ln>
      </c:spPr>
    </c:plotArea>
    <c:legend>
      <c:legendPos val="r"/>
      <c:layout>
        <c:manualLayout>
          <c:xMode val="edge"/>
          <c:yMode val="edge"/>
          <c:x val="0.12920738327904452"/>
          <c:y val="7.7362657254050143E-2"/>
          <c:w val="0.33984799131378934"/>
          <c:h val="0.1920855582707334"/>
        </c:manualLayout>
      </c:layout>
      <c:overlay val="0"/>
      <c:spPr>
        <a:solidFill>
          <a:srgbClr val="FFFFFF"/>
        </a:solidFill>
        <a:ln w="3175">
          <a:solidFill>
            <a:srgbClr val="000000"/>
          </a:solidFill>
          <a:prstDash val="solid"/>
        </a:ln>
      </c:spPr>
      <c:txPr>
        <a:bodyPr/>
        <a:lstStyle/>
        <a:p>
          <a:pPr>
            <a:defRPr sz="44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577" r="0.75000000000000577" t="1" header="0.5" footer="0.5"/>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63517915309462"/>
          <c:y val="7.40742654448409E-2"/>
          <c:w val="0.76547231270359173"/>
          <c:h val="0.80688039145273049"/>
        </c:manualLayout>
      </c:layout>
      <c:scatterChart>
        <c:scatterStyle val="smoothMarker"/>
        <c:varyColors val="0"/>
        <c:ser>
          <c:idx val="0"/>
          <c:order val="0"/>
          <c:tx>
            <c:strRef>
              <c:f>Transcalc!$B$8</c:f>
              <c:strCache>
                <c:ptCount val="1"/>
                <c:pt idx="0">
                  <c:v>Heavy trucks greater than 10,000 lbs (billion vmt)*</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Transcalc!$C$8:$M$8</c:f>
              <c:numCache>
                <c:formatCode>#,##0</c:formatCode>
                <c:ptCount val="11"/>
                <c:pt idx="0">
                  <c:v>205.95259094238301</c:v>
                </c:pt>
                <c:pt idx="1">
                  <c:v>258.51861600000001</c:v>
                </c:pt>
                <c:pt idx="2">
                  <c:v>279.810699</c:v>
                </c:pt>
                <c:pt idx="3">
                  <c:v>304.24569700000001</c:v>
                </c:pt>
                <c:pt idx="4">
                  <c:v>328.74374399999999</c:v>
                </c:pt>
                <c:pt idx="5">
                  <c:v>348.861603</c:v>
                </c:pt>
                <c:pt idx="6">
                  <c:v>375.304169</c:v>
                </c:pt>
                <c:pt idx="7">
                  <c:v>406.83139</c:v>
                </c:pt>
                <c:pt idx="8">
                  <c:v>435.99351386075529</c:v>
                </c:pt>
                <c:pt idx="9">
                  <c:v>467.24601100384268</c:v>
                </c:pt>
                <c:pt idx="10">
                  <c:v>500.73872169742486</c:v>
                </c:pt>
              </c:numCache>
            </c:numRef>
          </c:yVal>
          <c:smooth val="1"/>
          <c:extLst>
            <c:ext xmlns:c16="http://schemas.microsoft.com/office/drawing/2014/chart" uri="{C3380CC4-5D6E-409C-BE32-E72D297353CC}">
              <c16:uniqueId val="{00000001-007E-4BB0-A97F-9073CAB85332}"/>
            </c:ext>
          </c:extLst>
        </c:ser>
        <c:ser>
          <c:idx val="1"/>
          <c:order val="1"/>
          <c:tx>
            <c:strRef>
              <c:f>Transcalc!$B$9</c:f>
              <c:strCache>
                <c:ptCount val="1"/>
                <c:pt idx="0">
                  <c:v>Freight services by rail (billion ton miles)</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xVal>
            <c:numRef>
              <c:f>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Transcalc!$C$9:$M$9</c:f>
              <c:numCache>
                <c:formatCode>#,##0</c:formatCode>
                <c:ptCount val="11"/>
                <c:pt idx="0">
                  <c:v>1587.57189941406</c:v>
                </c:pt>
                <c:pt idx="1">
                  <c:v>1559</c:v>
                </c:pt>
                <c:pt idx="2">
                  <c:v>1689.6267089999999</c:v>
                </c:pt>
                <c:pt idx="3">
                  <c:v>1810.078491</c:v>
                </c:pt>
                <c:pt idx="4">
                  <c:v>1956.1982419999999</c:v>
                </c:pt>
                <c:pt idx="5">
                  <c:v>2006.1445309999999</c:v>
                </c:pt>
                <c:pt idx="6">
                  <c:v>2054.1965329999998</c:v>
                </c:pt>
                <c:pt idx="7">
                  <c:v>2127.6916500000002</c:v>
                </c:pt>
                <c:pt idx="8">
                  <c:v>2184.7813355684457</c:v>
                </c:pt>
                <c:pt idx="9">
                  <c:v>2243.4028371772015</c:v>
                </c:pt>
                <c:pt idx="10">
                  <c:v>2303.5972561278072</c:v>
                </c:pt>
              </c:numCache>
            </c:numRef>
          </c:yVal>
          <c:smooth val="1"/>
          <c:extLst>
            <c:ext xmlns:c16="http://schemas.microsoft.com/office/drawing/2014/chart" uri="{C3380CC4-5D6E-409C-BE32-E72D297353CC}">
              <c16:uniqueId val="{00000002-007E-4BB0-A97F-9073CAB85332}"/>
            </c:ext>
          </c:extLst>
        </c:ser>
        <c:ser>
          <c:idx val="2"/>
          <c:order val="2"/>
          <c:tx>
            <c:strRef>
              <c:f>Transcalc!$B$11</c:f>
              <c:strCache>
                <c:ptCount val="1"/>
                <c:pt idx="0">
                  <c:v>Marine energy services (billion ton miles)</c:v>
                </c:pt>
              </c:strCache>
            </c:strRef>
          </c:tx>
          <c:spPr>
            <a:ln w="12700">
              <a:solidFill>
                <a:srgbClr val="996633"/>
              </a:solidFill>
              <a:prstDash val="solid"/>
            </a:ln>
          </c:spPr>
          <c:marker>
            <c:symbol val="triangle"/>
            <c:size val="5"/>
            <c:spPr>
              <a:solidFill>
                <a:srgbClr val="996633"/>
              </a:solidFill>
              <a:ln>
                <a:solidFill>
                  <a:srgbClr val="996633"/>
                </a:solidFill>
                <a:prstDash val="solid"/>
              </a:ln>
            </c:spPr>
          </c:marker>
          <c:xVal>
            <c:numRef>
              <c:f>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Transcalc!$C$11:$M$11</c:f>
              <c:numCache>
                <c:formatCode>#,##0</c:formatCode>
                <c:ptCount val="11"/>
                <c:pt idx="0">
                  <c:v>609.66827392578102</c:v>
                </c:pt>
                <c:pt idx="1">
                  <c:v>522</c:v>
                </c:pt>
                <c:pt idx="2">
                  <c:v>481.69042999999999</c:v>
                </c:pt>
                <c:pt idx="3">
                  <c:v>452.65216099999998</c:v>
                </c:pt>
                <c:pt idx="4">
                  <c:v>422.92309599999999</c:v>
                </c:pt>
                <c:pt idx="5">
                  <c:v>403.64581299999998</c:v>
                </c:pt>
                <c:pt idx="6">
                  <c:v>401.73941000000002</c:v>
                </c:pt>
                <c:pt idx="7">
                  <c:v>406.86798099999999</c:v>
                </c:pt>
                <c:pt idx="8">
                  <c:v>406.86798099999999</c:v>
                </c:pt>
                <c:pt idx="9">
                  <c:v>406.86798099999999</c:v>
                </c:pt>
                <c:pt idx="10">
                  <c:v>406.86798099999999</c:v>
                </c:pt>
              </c:numCache>
            </c:numRef>
          </c:yVal>
          <c:smooth val="1"/>
          <c:extLst>
            <c:ext xmlns:c16="http://schemas.microsoft.com/office/drawing/2014/chart" uri="{C3380CC4-5D6E-409C-BE32-E72D297353CC}">
              <c16:uniqueId val="{00000003-007E-4BB0-A97F-9073CAB85332}"/>
            </c:ext>
          </c:extLst>
        </c:ser>
        <c:dLbls>
          <c:showLegendKey val="0"/>
          <c:showVal val="0"/>
          <c:showCatName val="0"/>
          <c:showSerName val="0"/>
          <c:showPercent val="0"/>
          <c:showBubbleSize val="0"/>
        </c:dLbls>
        <c:axId val="1141517096"/>
        <c:axId val="1141517488"/>
      </c:scatterChart>
      <c:scatterChart>
        <c:scatterStyle val="lineMarker"/>
        <c:varyColors val="0"/>
        <c:ser>
          <c:idx val="4"/>
          <c:order val="4"/>
          <c:tx>
            <c:strRef>
              <c:f>Transcalc!$B$7</c:f>
              <c:strCache>
                <c:ptCount val="1"/>
                <c:pt idx="0">
                  <c:v>Medium Duty Trucks - Class 3-6 (billion vmt)</c:v>
                </c:pt>
              </c:strCache>
            </c:strRef>
          </c:tx>
          <c:spPr>
            <a:ln>
              <a:solidFill>
                <a:schemeClr val="accent6">
                  <a:lumMod val="75000"/>
                </a:schemeClr>
              </a:solidFill>
            </a:ln>
          </c:spPr>
          <c:marker>
            <c:symbol val="triangle"/>
            <c:size val="7"/>
            <c:spPr>
              <a:solidFill>
                <a:schemeClr val="accent6">
                  <a:lumMod val="75000"/>
                </a:schemeClr>
              </a:solidFill>
              <a:ln>
                <a:solidFill>
                  <a:srgbClr val="F79646">
                    <a:lumMod val="75000"/>
                  </a:srgbClr>
                </a:solidFill>
              </a:ln>
            </c:spPr>
          </c:marker>
          <c:xVal>
            <c:numRef>
              <c:f>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Transcalc!$C$7:$M$7</c:f>
              <c:numCache>
                <c:formatCode>0.00</c:formatCode>
                <c:ptCount val="11"/>
                <c:pt idx="0">
                  <c:v>519.48193359375</c:v>
                </c:pt>
                <c:pt idx="1">
                  <c:v>557.60723900000005</c:v>
                </c:pt>
                <c:pt idx="2">
                  <c:v>279.810699</c:v>
                </c:pt>
                <c:pt idx="3">
                  <c:v>304.24569700000001</c:v>
                </c:pt>
                <c:pt idx="4">
                  <c:v>328.74374399999999</c:v>
                </c:pt>
                <c:pt idx="5">
                  <c:v>348.861603</c:v>
                </c:pt>
                <c:pt idx="6">
                  <c:v>375.304169</c:v>
                </c:pt>
                <c:pt idx="7">
                  <c:v>406.83139</c:v>
                </c:pt>
                <c:pt idx="8" formatCode="#,##0">
                  <c:v>420.57509407293384</c:v>
                </c:pt>
                <c:pt idx="9" formatCode="#,##0">
                  <c:v>434.78309221532078</c:v>
                </c:pt>
                <c:pt idx="10" formatCode="#,##0">
                  <c:v>449.47106935327582</c:v>
                </c:pt>
              </c:numCache>
            </c:numRef>
          </c:yVal>
          <c:smooth val="0"/>
          <c:extLst>
            <c:ext xmlns:c16="http://schemas.microsoft.com/office/drawing/2014/chart" uri="{C3380CC4-5D6E-409C-BE32-E72D297353CC}">
              <c16:uniqueId val="{00000000-007E-4BB0-A97F-9073CAB85332}"/>
            </c:ext>
          </c:extLst>
        </c:ser>
        <c:dLbls>
          <c:showLegendKey val="0"/>
          <c:showVal val="0"/>
          <c:showCatName val="0"/>
          <c:showSerName val="0"/>
          <c:showPercent val="0"/>
          <c:showBubbleSize val="0"/>
        </c:dLbls>
        <c:axId val="1141517096"/>
        <c:axId val="1141517488"/>
      </c:scatterChart>
      <c:scatterChart>
        <c:scatterStyle val="lineMarker"/>
        <c:varyColors val="0"/>
        <c:ser>
          <c:idx val="3"/>
          <c:order val="3"/>
          <c:tx>
            <c:strRef>
              <c:f>Transcalc!$B$12</c:f>
              <c:strCache>
                <c:ptCount val="1"/>
                <c:pt idx="0">
                  <c:v>Commercial trucks (billion vmt)</c:v>
                </c:pt>
              </c:strCache>
            </c:strRef>
          </c:tx>
          <c:spPr>
            <a:ln w="12700">
              <a:solidFill>
                <a:srgbClr val="336666"/>
              </a:solidFill>
              <a:prstDash val="solid"/>
            </a:ln>
          </c:spPr>
          <c:marker>
            <c:symbol val="triangle"/>
            <c:size val="5"/>
            <c:spPr>
              <a:solidFill>
                <a:srgbClr val="336666"/>
              </a:solidFill>
              <a:ln>
                <a:solidFill>
                  <a:srgbClr val="336666"/>
                </a:solidFill>
                <a:prstDash val="solid"/>
              </a:ln>
            </c:spPr>
          </c:marker>
          <c:xVal>
            <c:numRef>
              <c:f>Transcalc!$C$4:$M$4</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xVal>
          <c:yVal>
            <c:numRef>
              <c:f>Transcalc!$C$12:$M$12</c:f>
              <c:numCache>
                <c:formatCode>0.0</c:formatCode>
                <c:ptCount val="11"/>
                <c:pt idx="0">
                  <c:v>68.601478576660199</c:v>
                </c:pt>
                <c:pt idx="1">
                  <c:v>64</c:v>
                </c:pt>
                <c:pt idx="2">
                  <c:v>96.090423999999999</c:v>
                </c:pt>
                <c:pt idx="3">
                  <c:v>109.556091</c:v>
                </c:pt>
                <c:pt idx="4">
                  <c:v>117.975876</c:v>
                </c:pt>
                <c:pt idx="5">
                  <c:v>124.926193</c:v>
                </c:pt>
                <c:pt idx="6">
                  <c:v>133.282791</c:v>
                </c:pt>
                <c:pt idx="7">
                  <c:v>142.89918499999999</c:v>
                </c:pt>
                <c:pt idx="8">
                  <c:v>151.81568892484543</c:v>
                </c:pt>
                <c:pt idx="9">
                  <c:v>161.28855741007507</c:v>
                </c:pt>
                <c:pt idx="10">
                  <c:v>171.35250602657416</c:v>
                </c:pt>
              </c:numCache>
            </c:numRef>
          </c:yVal>
          <c:smooth val="1"/>
          <c:extLst>
            <c:ext xmlns:c16="http://schemas.microsoft.com/office/drawing/2014/chart" uri="{C3380CC4-5D6E-409C-BE32-E72D297353CC}">
              <c16:uniqueId val="{00000004-007E-4BB0-A97F-9073CAB85332}"/>
            </c:ext>
          </c:extLst>
        </c:ser>
        <c:dLbls>
          <c:showLegendKey val="0"/>
          <c:showVal val="0"/>
          <c:showCatName val="0"/>
          <c:showSerName val="0"/>
          <c:showPercent val="0"/>
          <c:showBubbleSize val="0"/>
        </c:dLbls>
        <c:axId val="1141517880"/>
        <c:axId val="1141518272"/>
      </c:scatterChart>
      <c:valAx>
        <c:axId val="11415170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1517488"/>
        <c:crosses val="autoZero"/>
        <c:crossBetween val="midCat"/>
        <c:majorUnit val="5"/>
      </c:valAx>
      <c:valAx>
        <c:axId val="1141517488"/>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41517096"/>
        <c:crosses val="autoZero"/>
        <c:crossBetween val="midCat"/>
      </c:valAx>
      <c:valAx>
        <c:axId val="1141517880"/>
        <c:scaling>
          <c:orientation val="minMax"/>
        </c:scaling>
        <c:delete val="1"/>
        <c:axPos val="t"/>
        <c:numFmt formatCode="General" sourceLinked="1"/>
        <c:majorTickMark val="out"/>
        <c:minorTickMark val="none"/>
        <c:tickLblPos val="none"/>
        <c:crossAx val="1141518272"/>
        <c:crossesAt val="20"/>
        <c:crossBetween val="midCat"/>
      </c:valAx>
      <c:valAx>
        <c:axId val="1141518272"/>
        <c:scaling>
          <c:orientation val="minMax"/>
          <c:max val="140"/>
          <c:min val="20"/>
        </c:scaling>
        <c:delete val="0"/>
        <c:axPos val="r"/>
        <c:numFmt formatCode="0.0"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41517880"/>
        <c:crosses val="max"/>
        <c:crossBetween val="midCat"/>
      </c:valAx>
      <c:spPr>
        <a:solidFill>
          <a:srgbClr val="FFFFFF"/>
        </a:solidFill>
        <a:ln w="12700">
          <a:solidFill>
            <a:srgbClr val="808080"/>
          </a:solidFill>
          <a:prstDash val="solid"/>
        </a:ln>
      </c:spPr>
    </c:plotArea>
    <c:legend>
      <c:legendPos val="r"/>
      <c:layout>
        <c:manualLayout>
          <c:xMode val="edge"/>
          <c:yMode val="edge"/>
          <c:x val="0.12920738327904452"/>
          <c:y val="7.7362657254050143E-2"/>
          <c:w val="0.33984799131378934"/>
          <c:h val="0.1920855582707334"/>
        </c:manualLayout>
      </c:layout>
      <c:overlay val="0"/>
      <c:spPr>
        <a:solidFill>
          <a:srgbClr val="FFFFFF"/>
        </a:solidFill>
        <a:ln w="3175">
          <a:solidFill>
            <a:srgbClr val="000000"/>
          </a:solidFill>
          <a:prstDash val="solid"/>
        </a:ln>
      </c:spPr>
      <c:txPr>
        <a:bodyPr/>
        <a:lstStyle/>
        <a:p>
          <a:pPr>
            <a:defRPr sz="44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577" r="0.75000000000000577"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Base Gasoline</c:v>
          </c:tx>
          <c:marker>
            <c:symbol val="none"/>
          </c:marker>
          <c:xVal>
            <c:numLit>
              <c:formatCode>General</c:formatCode>
              <c:ptCount val="4"/>
              <c:pt idx="0">
                <c:v>2010</c:v>
              </c:pt>
              <c:pt idx="1">
                <c:v>2015</c:v>
              </c:pt>
              <c:pt idx="2">
                <c:v>2025</c:v>
              </c:pt>
              <c:pt idx="3">
                <c:v>2040</c:v>
              </c:pt>
            </c:numLit>
          </c:xVal>
          <c:yVal>
            <c:numLit>
              <c:formatCode>General</c:formatCode>
              <c:ptCount val="4"/>
              <c:pt idx="0">
                <c:v>0.11893076184220376</c:v>
              </c:pt>
              <c:pt idx="1">
                <c:v>0.12946583429191386</c:v>
              </c:pt>
              <c:pt idx="2">
                <c:v>0.17398473932759836</c:v>
              </c:pt>
              <c:pt idx="3">
                <c:v>0.19804924028758472</c:v>
              </c:pt>
            </c:numLit>
          </c:yVal>
          <c:smooth val="1"/>
          <c:extLst>
            <c:ext xmlns:c16="http://schemas.microsoft.com/office/drawing/2014/chart" uri="{C3380CC4-5D6E-409C-BE32-E72D297353CC}">
              <c16:uniqueId val="{00000000-8FDB-4B78-9FED-27688AEABF44}"/>
            </c:ext>
          </c:extLst>
        </c:ser>
        <c:ser>
          <c:idx val="1"/>
          <c:order val="1"/>
          <c:tx>
            <c:v>Mild Hybrid</c:v>
          </c:tx>
          <c:spPr>
            <a:ln>
              <a:solidFill>
                <a:schemeClr val="tx2">
                  <a:lumMod val="75000"/>
                </a:scheme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0.18885530196077607</c:v>
              </c:pt>
              <c:pt idx="2">
                <c:v>0.23592151834939284</c:v>
              </c:pt>
            </c:numLit>
          </c:yVal>
          <c:smooth val="1"/>
          <c:extLst>
            <c:ext xmlns:c16="http://schemas.microsoft.com/office/drawing/2014/chart" uri="{C3380CC4-5D6E-409C-BE32-E72D297353CC}">
              <c16:uniqueId val="{00000001-8FDB-4B78-9FED-27688AEABF44}"/>
            </c:ext>
          </c:extLst>
        </c:ser>
        <c:ser>
          <c:idx val="2"/>
          <c:order val="2"/>
          <c:tx>
            <c:v>Adv Hybrid</c:v>
          </c:tx>
          <c:spPr>
            <a:ln>
              <a:solidFill>
                <a:srgbClr val="1F497D">
                  <a:lumMod val="75000"/>
                </a:srgbClr>
              </a:solidFill>
              <a:prstDash val="sysDash"/>
            </a:ln>
          </c:spPr>
          <c:marker>
            <c:symbol val="none"/>
          </c:marker>
          <c:xVal>
            <c:numLit>
              <c:formatCode>General</c:formatCode>
              <c:ptCount val="4"/>
              <c:pt idx="0">
                <c:v>2010</c:v>
              </c:pt>
              <c:pt idx="1">
                <c:v>2015</c:v>
              </c:pt>
              <c:pt idx="2">
                <c:v>2025</c:v>
              </c:pt>
              <c:pt idx="3">
                <c:v>2040</c:v>
              </c:pt>
            </c:numLit>
          </c:xVal>
          <c:yVal>
            <c:numLit>
              <c:formatCode>General</c:formatCode>
              <c:ptCount val="4"/>
              <c:pt idx="1">
                <c:v>0.23111367904087821</c:v>
              </c:pt>
              <c:pt idx="2">
                <c:v>0.28872340268500951</c:v>
              </c:pt>
              <c:pt idx="3">
                <c:v>0.29184428083264186</c:v>
              </c:pt>
            </c:numLit>
          </c:yVal>
          <c:smooth val="1"/>
          <c:extLst>
            <c:ext xmlns:c16="http://schemas.microsoft.com/office/drawing/2014/chart" uri="{C3380CC4-5D6E-409C-BE32-E72D297353CC}">
              <c16:uniqueId val="{00000002-8FDB-4B78-9FED-27688AEABF44}"/>
            </c:ext>
          </c:extLst>
        </c:ser>
        <c:ser>
          <c:idx val="3"/>
          <c:order val="3"/>
          <c:tx>
            <c:v>Base Diesel</c:v>
          </c:tx>
          <c:spPr>
            <a:ln>
              <a:solidFill>
                <a:schemeClr val="accent6">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0.13418319665471354</c:v>
              </c:pt>
              <c:pt idx="1">
                <c:v>0.14665335919289041</c:v>
              </c:pt>
              <c:pt idx="2">
                <c:v>0.161952822598914</c:v>
              </c:pt>
              <c:pt idx="3">
                <c:v>0.17527253392314673</c:v>
              </c:pt>
            </c:numLit>
          </c:yVal>
          <c:smooth val="1"/>
          <c:extLst>
            <c:ext xmlns:c16="http://schemas.microsoft.com/office/drawing/2014/chart" uri="{C3380CC4-5D6E-409C-BE32-E72D297353CC}">
              <c16:uniqueId val="{00000003-8FDB-4B78-9FED-27688AEABF44}"/>
            </c:ext>
          </c:extLst>
        </c:ser>
        <c:ser>
          <c:idx val="4"/>
          <c:order val="4"/>
          <c:tx>
            <c:v>Adv Diesel</c:v>
          </c:tx>
          <c:spPr>
            <a:ln>
              <a:solidFill>
                <a:srgbClr val="F79646">
                  <a:lumMod val="75000"/>
                </a:srgb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0.21374495752024716</c:v>
              </c:pt>
              <c:pt idx="2">
                <c:v>0.25038933417592391</c:v>
              </c:pt>
              <c:pt idx="3">
                <c:v>0.25038933417592391</c:v>
              </c:pt>
            </c:numLit>
          </c:yVal>
          <c:smooth val="1"/>
          <c:extLst>
            <c:ext xmlns:c16="http://schemas.microsoft.com/office/drawing/2014/chart" uri="{C3380CC4-5D6E-409C-BE32-E72D297353CC}">
              <c16:uniqueId val="{00000004-8FDB-4B78-9FED-27688AEABF44}"/>
            </c:ext>
          </c:extLst>
        </c:ser>
        <c:ser>
          <c:idx val="5"/>
          <c:order val="5"/>
          <c:tx>
            <c:v>Biodeisel</c:v>
          </c:tx>
          <c:spPr>
            <a:ln w="19050">
              <a:solidFill>
                <a:schemeClr val="bg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0.13574870146367959</c:v>
              </c:pt>
              <c:pt idx="1">
                <c:v>0.14836435240807125</c:v>
              </c:pt>
              <c:pt idx="2">
                <c:v>0.16384231345116007</c:v>
              </c:pt>
              <c:pt idx="3">
                <c:v>0.17731742480052254</c:v>
              </c:pt>
            </c:numLit>
          </c:yVal>
          <c:smooth val="1"/>
          <c:extLst>
            <c:ext xmlns:c16="http://schemas.microsoft.com/office/drawing/2014/chart" uri="{C3380CC4-5D6E-409C-BE32-E72D297353CC}">
              <c16:uniqueId val="{00000005-8FDB-4B78-9FED-27688AEABF44}"/>
            </c:ext>
          </c:extLst>
        </c:ser>
        <c:ser>
          <c:idx val="6"/>
          <c:order val="6"/>
          <c:tx>
            <c:v>CNG</c:v>
          </c:tx>
          <c:spPr>
            <a:ln>
              <a:solidFill>
                <a:srgbClr val="C0000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0.12808843050405344</c:v>
              </c:pt>
              <c:pt idx="1">
                <c:v>0.13943470353239121</c:v>
              </c:pt>
              <c:pt idx="2">
                <c:v>0.18738156425582345</c:v>
              </c:pt>
              <c:pt idx="3">
                <c:v>0.2132990317897287</c:v>
              </c:pt>
            </c:numLit>
          </c:yVal>
          <c:smooth val="1"/>
          <c:extLst>
            <c:ext xmlns:c16="http://schemas.microsoft.com/office/drawing/2014/chart" uri="{C3380CC4-5D6E-409C-BE32-E72D297353CC}">
              <c16:uniqueId val="{00000006-8FDB-4B78-9FED-27688AEABF44}"/>
            </c:ext>
          </c:extLst>
        </c:ser>
        <c:ser>
          <c:idx val="7"/>
          <c:order val="7"/>
          <c:tx>
            <c:v>E85</c:v>
          </c:tx>
          <c:spPr>
            <a:ln>
              <a:solidFill>
                <a:schemeClr val="accent3">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0.10181147998156995</c:v>
              </c:pt>
              <c:pt idx="1">
                <c:v>0.11083009973312889</c:v>
              </c:pt>
              <c:pt idx="2">
                <c:v>0.14894080833899595</c:v>
              </c:pt>
              <c:pt idx="3">
                <c:v>0.16954138652250086</c:v>
              </c:pt>
            </c:numLit>
          </c:yVal>
          <c:smooth val="1"/>
          <c:extLst>
            <c:ext xmlns:c16="http://schemas.microsoft.com/office/drawing/2014/chart" uri="{C3380CC4-5D6E-409C-BE32-E72D297353CC}">
              <c16:uniqueId val="{00000007-8FDB-4B78-9FED-27688AEABF44}"/>
            </c:ext>
          </c:extLst>
        </c:ser>
        <c:ser>
          <c:idx val="8"/>
          <c:order val="8"/>
          <c:tx>
            <c:v>LPG</c:v>
          </c:tx>
          <c:spPr>
            <a:ln>
              <a:solidFill>
                <a:schemeClr val="accent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0.11401158309707092</c:v>
              </c:pt>
              <c:pt idx="1">
                <c:v>0.1241109070182228</c:v>
              </c:pt>
              <c:pt idx="2">
                <c:v>0.16678843436477175</c:v>
              </c:pt>
              <c:pt idx="3">
                <c:v>0.18985758660420035</c:v>
              </c:pt>
            </c:numLit>
          </c:yVal>
          <c:smooth val="1"/>
          <c:extLst>
            <c:ext xmlns:c16="http://schemas.microsoft.com/office/drawing/2014/chart" uri="{C3380CC4-5D6E-409C-BE32-E72D297353CC}">
              <c16:uniqueId val="{00000008-8FDB-4B78-9FED-27688AEABF44}"/>
            </c:ext>
          </c:extLst>
        </c:ser>
        <c:ser>
          <c:idx val="9"/>
          <c:order val="9"/>
          <c:tx>
            <c:v>Hydrogen</c:v>
          </c:tx>
          <c:spPr>
            <a:ln>
              <a:solidFill>
                <a:srgbClr val="00B0F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2">
                <c:v>0.34109858000744459</c:v>
              </c:pt>
              <c:pt idx="3">
                <c:v>0.34109858000744459</c:v>
              </c:pt>
            </c:numLit>
          </c:yVal>
          <c:smooth val="1"/>
          <c:extLst>
            <c:ext xmlns:c16="http://schemas.microsoft.com/office/drawing/2014/chart" uri="{C3380CC4-5D6E-409C-BE32-E72D297353CC}">
              <c16:uniqueId val="{00000009-8FDB-4B78-9FED-27688AEABF44}"/>
            </c:ext>
          </c:extLst>
        </c:ser>
        <c:ser>
          <c:idx val="10"/>
          <c:order val="10"/>
          <c:tx>
            <c:strRef>
              <c:f>Trucks!$K$15</c:f>
              <c:strCache>
                <c:ptCount val="1"/>
                <c:pt idx="0">
                  <c:v>Imp Diesel</c:v>
                </c:pt>
              </c:strCache>
            </c:strRef>
          </c:tx>
          <c:marker>
            <c:symbol val="none"/>
          </c:marker>
          <c:xVal>
            <c:numRef>
              <c:f>Trucks!$L$10:$O$10</c:f>
              <c:numCache>
                <c:formatCode>General</c:formatCode>
                <c:ptCount val="4"/>
                <c:pt idx="0">
                  <c:v>2010</c:v>
                </c:pt>
                <c:pt idx="1">
                  <c:v>2015</c:v>
                </c:pt>
                <c:pt idx="2">
                  <c:v>2025</c:v>
                </c:pt>
                <c:pt idx="3">
                  <c:v>2040</c:v>
                </c:pt>
              </c:numCache>
            </c:numRef>
          </c:xVal>
          <c:yVal>
            <c:numRef>
              <c:f>Trucks!$L$15:$O$15</c:f>
              <c:numCache>
                <c:formatCode>General</c:formatCode>
                <c:ptCount val="4"/>
                <c:pt idx="3" formatCode="#,##0.0000">
                  <c:v>0.17744269639706767</c:v>
                </c:pt>
              </c:numCache>
            </c:numRef>
          </c:yVal>
          <c:smooth val="1"/>
          <c:extLst>
            <c:ext xmlns:c16="http://schemas.microsoft.com/office/drawing/2014/chart" uri="{C3380CC4-5D6E-409C-BE32-E72D297353CC}">
              <c16:uniqueId val="{0000000A-8FDB-4B78-9FED-27688AEABF44}"/>
            </c:ext>
          </c:extLst>
        </c:ser>
        <c:dLbls>
          <c:showLegendKey val="0"/>
          <c:showVal val="0"/>
          <c:showCatName val="0"/>
          <c:showSerName val="0"/>
          <c:showPercent val="0"/>
          <c:showBubbleSize val="0"/>
        </c:dLbls>
        <c:axId val="793699128"/>
        <c:axId val="793699520"/>
      </c:scatterChart>
      <c:valAx>
        <c:axId val="79369912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699520"/>
        <c:crosses val="autoZero"/>
        <c:crossBetween val="midCat"/>
      </c:valAx>
      <c:valAx>
        <c:axId val="793699520"/>
        <c:scaling>
          <c:orientation val="minMax"/>
          <c:max val="0.35000000000000031"/>
          <c:min val="0.1"/>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699128"/>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77" l="0.70000000000000062" r="0.70000000000000062" t="0.750000000000005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Base Gasoline</c:v>
          </c:tx>
          <c:marker>
            <c:symbol val="none"/>
          </c:marker>
          <c:xVal>
            <c:numLit>
              <c:formatCode>General</c:formatCode>
              <c:ptCount val="4"/>
              <c:pt idx="0">
                <c:v>2010</c:v>
              </c:pt>
              <c:pt idx="1">
                <c:v>2015</c:v>
              </c:pt>
              <c:pt idx="2">
                <c:v>2025</c:v>
              </c:pt>
              <c:pt idx="3">
                <c:v>2040</c:v>
              </c:pt>
            </c:numLit>
          </c:xVal>
          <c:yVal>
            <c:numLit>
              <c:formatCode>General</c:formatCode>
              <c:ptCount val="4"/>
              <c:pt idx="0">
                <c:v>1113.4942710231383</c:v>
              </c:pt>
              <c:pt idx="1">
                <c:v>1122.3649389096922</c:v>
              </c:pt>
              <c:pt idx="2">
                <c:v>1161.559786753023</c:v>
              </c:pt>
              <c:pt idx="3">
                <c:v>1221.2986387588949</c:v>
              </c:pt>
            </c:numLit>
          </c:yVal>
          <c:smooth val="1"/>
          <c:extLst>
            <c:ext xmlns:c16="http://schemas.microsoft.com/office/drawing/2014/chart" uri="{C3380CC4-5D6E-409C-BE32-E72D297353CC}">
              <c16:uniqueId val="{00000000-DF44-471D-AF96-8E9E4293F7E9}"/>
            </c:ext>
          </c:extLst>
        </c:ser>
        <c:ser>
          <c:idx val="1"/>
          <c:order val="1"/>
          <c:tx>
            <c:v>Mild Hybrid</c:v>
          </c:tx>
          <c:spPr>
            <a:ln>
              <a:solidFill>
                <a:schemeClr val="tx2">
                  <a:lumMod val="75000"/>
                </a:scheme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1215.2079015640816</c:v>
              </c:pt>
              <c:pt idx="2">
                <c:v>1256.5737052392271</c:v>
              </c:pt>
            </c:numLit>
          </c:yVal>
          <c:smooth val="1"/>
          <c:extLst>
            <c:ext xmlns:c16="http://schemas.microsoft.com/office/drawing/2014/chart" uri="{C3380CC4-5D6E-409C-BE32-E72D297353CC}">
              <c16:uniqueId val="{00000001-DF44-471D-AF96-8E9E4293F7E9}"/>
            </c:ext>
          </c:extLst>
        </c:ser>
        <c:ser>
          <c:idx val="2"/>
          <c:order val="2"/>
          <c:tx>
            <c:v>Adv Hybrid</c:v>
          </c:tx>
          <c:spPr>
            <a:ln>
              <a:solidFill>
                <a:srgbClr val="1F497D">
                  <a:lumMod val="75000"/>
                </a:srgbClr>
              </a:solidFill>
              <a:prstDash val="sysDash"/>
            </a:ln>
          </c:spPr>
          <c:marker>
            <c:symbol val="none"/>
          </c:marker>
          <c:xVal>
            <c:numLit>
              <c:formatCode>General</c:formatCode>
              <c:ptCount val="4"/>
              <c:pt idx="0">
                <c:v>2010</c:v>
              </c:pt>
              <c:pt idx="1">
                <c:v>2015</c:v>
              </c:pt>
              <c:pt idx="2">
                <c:v>2025</c:v>
              </c:pt>
              <c:pt idx="3">
                <c:v>2040</c:v>
              </c:pt>
            </c:numLit>
          </c:xVal>
          <c:yVal>
            <c:numLit>
              <c:formatCode>General</c:formatCode>
              <c:ptCount val="4"/>
              <c:pt idx="1">
                <c:v>1476.4571278768453</c:v>
              </c:pt>
              <c:pt idx="2">
                <c:v>1517.8298517208536</c:v>
              </c:pt>
              <c:pt idx="3">
                <c:v>1524.4040121405108</c:v>
              </c:pt>
            </c:numLit>
          </c:yVal>
          <c:smooth val="1"/>
          <c:extLst>
            <c:ext xmlns:c16="http://schemas.microsoft.com/office/drawing/2014/chart" uri="{C3380CC4-5D6E-409C-BE32-E72D297353CC}">
              <c16:uniqueId val="{00000002-DF44-471D-AF96-8E9E4293F7E9}"/>
            </c:ext>
          </c:extLst>
        </c:ser>
        <c:ser>
          <c:idx val="3"/>
          <c:order val="3"/>
          <c:tx>
            <c:v>Base Diesel</c:v>
          </c:tx>
          <c:spPr>
            <a:ln>
              <a:solidFill>
                <a:schemeClr val="accent6">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1393.1309012934623</c:v>
              </c:pt>
              <c:pt idx="1">
                <c:v>1403.6762500448133</c:v>
              </c:pt>
              <c:pt idx="2">
                <c:v>1403.6762500448133</c:v>
              </c:pt>
              <c:pt idx="3">
                <c:v>1460.5130798082935</c:v>
              </c:pt>
            </c:numLit>
          </c:yVal>
          <c:smooth val="1"/>
          <c:extLst>
            <c:ext xmlns:c16="http://schemas.microsoft.com/office/drawing/2014/chart" uri="{C3380CC4-5D6E-409C-BE32-E72D297353CC}">
              <c16:uniqueId val="{00000003-DF44-471D-AF96-8E9E4293F7E9}"/>
            </c:ext>
          </c:extLst>
        </c:ser>
        <c:ser>
          <c:idx val="4"/>
          <c:order val="4"/>
          <c:tx>
            <c:v>Adv Diesel</c:v>
          </c:tx>
          <c:spPr>
            <a:ln>
              <a:solidFill>
                <a:srgbClr val="F79646">
                  <a:lumMod val="75000"/>
                </a:srgb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1905.381078130963</c:v>
              </c:pt>
              <c:pt idx="2">
                <c:v>1905.381078130963</c:v>
              </c:pt>
              <c:pt idx="3">
                <c:v>1905.381078130963</c:v>
              </c:pt>
            </c:numLit>
          </c:yVal>
          <c:smooth val="1"/>
          <c:extLst>
            <c:ext xmlns:c16="http://schemas.microsoft.com/office/drawing/2014/chart" uri="{C3380CC4-5D6E-409C-BE32-E72D297353CC}">
              <c16:uniqueId val="{00000004-DF44-471D-AF96-8E9E4293F7E9}"/>
            </c:ext>
          </c:extLst>
        </c:ser>
        <c:ser>
          <c:idx val="5"/>
          <c:order val="5"/>
          <c:tx>
            <c:v>Biodeisel</c:v>
          </c:tx>
          <c:spPr>
            <a:ln w="19050">
              <a:solidFill>
                <a:schemeClr val="bg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1393.1309012934623</c:v>
              </c:pt>
              <c:pt idx="1">
                <c:v>1403.6762500448133</c:v>
              </c:pt>
              <c:pt idx="2">
                <c:v>1426.4361911367769</c:v>
              </c:pt>
              <c:pt idx="3">
                <c:v>1460.5130798082935</c:v>
              </c:pt>
            </c:numLit>
          </c:yVal>
          <c:smooth val="1"/>
          <c:extLst>
            <c:ext xmlns:c16="http://schemas.microsoft.com/office/drawing/2014/chart" uri="{C3380CC4-5D6E-409C-BE32-E72D297353CC}">
              <c16:uniqueId val="{00000005-DF44-471D-AF96-8E9E4293F7E9}"/>
            </c:ext>
          </c:extLst>
        </c:ser>
        <c:ser>
          <c:idx val="6"/>
          <c:order val="6"/>
          <c:tx>
            <c:v>CNG</c:v>
          </c:tx>
          <c:spPr>
            <a:ln>
              <a:solidFill>
                <a:srgbClr val="C0000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1441.6321043366597</c:v>
              </c:pt>
              <c:pt idx="1">
                <c:v>1453.1168869214987</c:v>
              </c:pt>
              <c:pt idx="2">
                <c:v>1503.8621421472997</c:v>
              </c:pt>
              <c:pt idx="3">
                <c:v>1581.2055548338762</c:v>
              </c:pt>
            </c:numLit>
          </c:yVal>
          <c:smooth val="1"/>
          <c:extLst>
            <c:ext xmlns:c16="http://schemas.microsoft.com/office/drawing/2014/chart" uri="{C3380CC4-5D6E-409C-BE32-E72D297353CC}">
              <c16:uniqueId val="{00000006-DF44-471D-AF96-8E9E4293F7E9}"/>
            </c:ext>
          </c:extLst>
        </c:ser>
        <c:ser>
          <c:idx val="7"/>
          <c:order val="7"/>
          <c:tx>
            <c:v>E85</c:v>
          </c:tx>
          <c:spPr>
            <a:ln>
              <a:solidFill>
                <a:schemeClr val="accent3">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1118.8475900809542</c:v>
              </c:pt>
              <c:pt idx="1">
                <c:v>1127.7182579675082</c:v>
              </c:pt>
              <c:pt idx="2">
                <c:v>1166.9131058108392</c:v>
              </c:pt>
              <c:pt idx="3">
                <c:v>1226.6519578167108</c:v>
              </c:pt>
            </c:numLit>
          </c:yVal>
          <c:smooth val="1"/>
          <c:extLst>
            <c:ext xmlns:c16="http://schemas.microsoft.com/office/drawing/2014/chart" uri="{C3380CC4-5D6E-409C-BE32-E72D297353CC}">
              <c16:uniqueId val="{00000007-DF44-471D-AF96-8E9E4293F7E9}"/>
            </c:ext>
          </c:extLst>
        </c:ser>
        <c:ser>
          <c:idx val="8"/>
          <c:order val="8"/>
          <c:tx>
            <c:v>LPG</c:v>
          </c:tx>
          <c:spPr>
            <a:ln>
              <a:solidFill>
                <a:schemeClr val="accent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1397.7832628029082</c:v>
              </c:pt>
              <c:pt idx="1">
                <c:v>1408.9187229704</c:v>
              </c:pt>
              <c:pt idx="2">
                <c:v>1458.1205049006962</c:v>
              </c:pt>
              <c:pt idx="3">
                <c:v>1533.111431792616</c:v>
              </c:pt>
            </c:numLit>
          </c:yVal>
          <c:smooth val="1"/>
          <c:extLst>
            <c:ext xmlns:c16="http://schemas.microsoft.com/office/drawing/2014/chart" uri="{C3380CC4-5D6E-409C-BE32-E72D297353CC}">
              <c16:uniqueId val="{00000008-DF44-471D-AF96-8E9E4293F7E9}"/>
            </c:ext>
          </c:extLst>
        </c:ser>
        <c:ser>
          <c:idx val="9"/>
          <c:order val="9"/>
          <c:tx>
            <c:v>Hydrogen</c:v>
          </c:tx>
          <c:spPr>
            <a:ln>
              <a:solidFill>
                <a:srgbClr val="00B0F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2">
                <c:v>2696.3939005076909</c:v>
              </c:pt>
              <c:pt idx="3">
                <c:v>2696.3939005076909</c:v>
              </c:pt>
            </c:numLit>
          </c:yVal>
          <c:smooth val="1"/>
          <c:extLst>
            <c:ext xmlns:c16="http://schemas.microsoft.com/office/drawing/2014/chart" uri="{C3380CC4-5D6E-409C-BE32-E72D297353CC}">
              <c16:uniqueId val="{00000009-DF44-471D-AF96-8E9E4293F7E9}"/>
            </c:ext>
          </c:extLst>
        </c:ser>
        <c:dLbls>
          <c:showLegendKey val="0"/>
          <c:showVal val="0"/>
          <c:showCatName val="0"/>
          <c:showSerName val="0"/>
          <c:showPercent val="0"/>
          <c:showBubbleSize val="0"/>
        </c:dLbls>
        <c:axId val="770815824"/>
        <c:axId val="770816216"/>
      </c:scatterChart>
      <c:valAx>
        <c:axId val="77081582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0816216"/>
        <c:crosses val="autoZero"/>
        <c:crossBetween val="midCat"/>
      </c:valAx>
      <c:valAx>
        <c:axId val="770816216"/>
        <c:scaling>
          <c:orientation val="minMax"/>
          <c:min val="1000"/>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0815824"/>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6" l="0.70000000000000062" r="0.70000000000000062" t="0.750000000000006"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Trucks!$J$77</c:f>
              <c:strCache>
                <c:ptCount val="1"/>
                <c:pt idx="0">
                  <c:v>diesel</c:v>
                </c:pt>
              </c:strCache>
            </c:strRef>
          </c:tx>
          <c:spPr>
            <a:ln>
              <a:solidFill>
                <a:schemeClr val="tx1">
                  <a:lumMod val="50000"/>
                  <a:lumOff val="50000"/>
                </a:schemeClr>
              </a:solidFill>
            </a:ln>
          </c:spPr>
          <c:marker>
            <c:symbol val="none"/>
          </c:marker>
          <c:xVal>
            <c:numRef>
              <c:f>Trucks!$K$75:$N$75</c:f>
              <c:numCache>
                <c:formatCode>0</c:formatCode>
                <c:ptCount val="4"/>
                <c:pt idx="0">
                  <c:v>2010</c:v>
                </c:pt>
                <c:pt idx="1">
                  <c:v>2015</c:v>
                </c:pt>
                <c:pt idx="2">
                  <c:v>2025</c:v>
                </c:pt>
                <c:pt idx="3">
                  <c:v>2040</c:v>
                </c:pt>
              </c:numCache>
            </c:numRef>
          </c:xVal>
          <c:yVal>
            <c:numRef>
              <c:f>Trucks!$K$77:$N$77</c:f>
              <c:numCache>
                <c:formatCode>0.0000</c:formatCode>
                <c:ptCount val="4"/>
                <c:pt idx="0">
                  <c:v>7.1554552517759842E-2</c:v>
                </c:pt>
                <c:pt idx="1">
                  <c:v>7.5263594035905171E-2</c:v>
                </c:pt>
                <c:pt idx="2">
                  <c:v>8.2850618921883556E-2</c:v>
                </c:pt>
                <c:pt idx="3">
                  <c:v>8.4286624644229674E-2</c:v>
                </c:pt>
              </c:numCache>
            </c:numRef>
          </c:yVal>
          <c:smooth val="0"/>
          <c:extLst>
            <c:ext xmlns:c16="http://schemas.microsoft.com/office/drawing/2014/chart" uri="{C3380CC4-5D6E-409C-BE32-E72D297353CC}">
              <c16:uniqueId val="{00000000-C624-4A20-B29C-B863B3D1B5CC}"/>
            </c:ext>
          </c:extLst>
        </c:ser>
        <c:ser>
          <c:idx val="1"/>
          <c:order val="1"/>
          <c:tx>
            <c:strRef>
              <c:f>Trucks!$J$78</c:f>
              <c:strCache>
                <c:ptCount val="1"/>
                <c:pt idx="0">
                  <c:v>adv diesel</c:v>
                </c:pt>
              </c:strCache>
            </c:strRef>
          </c:tx>
          <c:marker>
            <c:symbol val="none"/>
          </c:marker>
          <c:xVal>
            <c:numRef>
              <c:f>Trucks!$K$75:$N$75</c:f>
              <c:numCache>
                <c:formatCode>0</c:formatCode>
                <c:ptCount val="4"/>
                <c:pt idx="0">
                  <c:v>2010</c:v>
                </c:pt>
                <c:pt idx="1">
                  <c:v>2015</c:v>
                </c:pt>
                <c:pt idx="2">
                  <c:v>2025</c:v>
                </c:pt>
                <c:pt idx="3">
                  <c:v>2040</c:v>
                </c:pt>
              </c:numCache>
            </c:numRef>
          </c:xVal>
          <c:yVal>
            <c:numRef>
              <c:f>Trucks!$K$78:$N$78</c:f>
              <c:numCache>
                <c:formatCode>0.0000</c:formatCode>
                <c:ptCount val="4"/>
                <c:pt idx="1">
                  <c:v>0.12040946377747096</c:v>
                </c:pt>
                <c:pt idx="2">
                  <c:v>0.12438727642011957</c:v>
                </c:pt>
                <c:pt idx="3">
                  <c:v>0.12438727642011957</c:v>
                </c:pt>
              </c:numCache>
            </c:numRef>
          </c:yVal>
          <c:smooth val="0"/>
          <c:extLst>
            <c:ext xmlns:c16="http://schemas.microsoft.com/office/drawing/2014/chart" uri="{C3380CC4-5D6E-409C-BE32-E72D297353CC}">
              <c16:uniqueId val="{00000001-C624-4A20-B29C-B863B3D1B5CC}"/>
            </c:ext>
          </c:extLst>
        </c:ser>
        <c:ser>
          <c:idx val="2"/>
          <c:order val="2"/>
          <c:tx>
            <c:strRef>
              <c:f>Trucks!$J$79</c:f>
              <c:strCache>
                <c:ptCount val="1"/>
                <c:pt idx="0">
                  <c:v>gasolin</c:v>
                </c:pt>
              </c:strCache>
            </c:strRef>
          </c:tx>
          <c:marker>
            <c:symbol val="none"/>
          </c:marker>
          <c:xVal>
            <c:numRef>
              <c:f>Trucks!$K$75:$N$75</c:f>
              <c:numCache>
                <c:formatCode>0</c:formatCode>
                <c:ptCount val="4"/>
                <c:pt idx="0">
                  <c:v>2010</c:v>
                </c:pt>
                <c:pt idx="1">
                  <c:v>2015</c:v>
                </c:pt>
                <c:pt idx="2">
                  <c:v>2025</c:v>
                </c:pt>
                <c:pt idx="3">
                  <c:v>2040</c:v>
                </c:pt>
              </c:numCache>
            </c:numRef>
          </c:xVal>
          <c:yVal>
            <c:numRef>
              <c:f>Trucks!$K$79:$N$79</c:f>
              <c:numCache>
                <c:formatCode>0.0000</c:formatCode>
                <c:ptCount val="4"/>
                <c:pt idx="0">
                  <c:v>6.2417562952645951E-2</c:v>
                </c:pt>
                <c:pt idx="1">
                  <c:v>6.4948004693969427E-2</c:v>
                </c:pt>
                <c:pt idx="2">
                  <c:v>6.9730539585070805E-2</c:v>
                </c:pt>
                <c:pt idx="3">
                  <c:v>7.5246902581156003E-2</c:v>
                </c:pt>
              </c:numCache>
            </c:numRef>
          </c:yVal>
          <c:smooth val="0"/>
          <c:extLst>
            <c:ext xmlns:c16="http://schemas.microsoft.com/office/drawing/2014/chart" uri="{C3380CC4-5D6E-409C-BE32-E72D297353CC}">
              <c16:uniqueId val="{00000002-C624-4A20-B29C-B863B3D1B5CC}"/>
            </c:ext>
          </c:extLst>
        </c:ser>
        <c:ser>
          <c:idx val="3"/>
          <c:order val="3"/>
          <c:tx>
            <c:strRef>
              <c:f>Trucks!$J$80</c:f>
              <c:strCache>
                <c:ptCount val="1"/>
                <c:pt idx="0">
                  <c:v>adv gasoline</c:v>
                </c:pt>
              </c:strCache>
            </c:strRef>
          </c:tx>
          <c:marker>
            <c:symbol val="none"/>
          </c:marker>
          <c:xVal>
            <c:numRef>
              <c:f>Trucks!$K$75:$N$75</c:f>
              <c:numCache>
                <c:formatCode>0</c:formatCode>
                <c:ptCount val="4"/>
                <c:pt idx="0">
                  <c:v>2010</c:v>
                </c:pt>
                <c:pt idx="1">
                  <c:v>2015</c:v>
                </c:pt>
                <c:pt idx="2">
                  <c:v>2025</c:v>
                </c:pt>
                <c:pt idx="3">
                  <c:v>2040</c:v>
                </c:pt>
              </c:numCache>
            </c:numRef>
          </c:xVal>
          <c:yVal>
            <c:numRef>
              <c:f>Trucks!$K$80:$N$80</c:f>
              <c:numCache>
                <c:formatCode>0.0000</c:formatCode>
                <c:ptCount val="4"/>
                <c:pt idx="1">
                  <c:v>7.8865434271248591E-2</c:v>
                </c:pt>
                <c:pt idx="2">
                  <c:v>9.961505655010118E-2</c:v>
                </c:pt>
                <c:pt idx="3">
                  <c:v>0.10749316517142161</c:v>
                </c:pt>
              </c:numCache>
            </c:numRef>
          </c:yVal>
          <c:smooth val="0"/>
          <c:extLst>
            <c:ext xmlns:c16="http://schemas.microsoft.com/office/drawing/2014/chart" uri="{C3380CC4-5D6E-409C-BE32-E72D297353CC}">
              <c16:uniqueId val="{00000003-C624-4A20-B29C-B863B3D1B5CC}"/>
            </c:ext>
          </c:extLst>
        </c:ser>
        <c:ser>
          <c:idx val="4"/>
          <c:order val="4"/>
          <c:tx>
            <c:strRef>
              <c:f>Trucks!$J$81</c:f>
              <c:strCache>
                <c:ptCount val="1"/>
                <c:pt idx="0">
                  <c:v>biodiesel</c:v>
                </c:pt>
              </c:strCache>
            </c:strRef>
          </c:tx>
          <c:spPr>
            <a:ln w="25400">
              <a:prstDash val="dash"/>
            </a:ln>
          </c:spPr>
          <c:marker>
            <c:symbol val="none"/>
          </c:marker>
          <c:xVal>
            <c:numRef>
              <c:f>Trucks!$K$75:$N$75</c:f>
              <c:numCache>
                <c:formatCode>0</c:formatCode>
                <c:ptCount val="4"/>
                <c:pt idx="0">
                  <c:v>2010</c:v>
                </c:pt>
                <c:pt idx="1">
                  <c:v>2015</c:v>
                </c:pt>
                <c:pt idx="2">
                  <c:v>2025</c:v>
                </c:pt>
                <c:pt idx="3">
                  <c:v>2040</c:v>
                </c:pt>
              </c:numCache>
            </c:numRef>
          </c:xVal>
          <c:yVal>
            <c:numRef>
              <c:f>Trucks!$K$81:$N$81</c:f>
              <c:numCache>
                <c:formatCode>0.0000</c:formatCode>
                <c:ptCount val="4"/>
                <c:pt idx="0">
                  <c:v>7.1504036192117926E-2</c:v>
                </c:pt>
                <c:pt idx="1">
                  <c:v>7.5210459188554166E-2</c:v>
                </c:pt>
                <c:pt idx="2">
                  <c:v>7.7965336736629975E-2</c:v>
                </c:pt>
                <c:pt idx="3">
                  <c:v>8.3060709137527847E-2</c:v>
                </c:pt>
              </c:numCache>
            </c:numRef>
          </c:yVal>
          <c:smooth val="0"/>
          <c:extLst>
            <c:ext xmlns:c16="http://schemas.microsoft.com/office/drawing/2014/chart" uri="{C3380CC4-5D6E-409C-BE32-E72D297353CC}">
              <c16:uniqueId val="{00000004-C624-4A20-B29C-B863B3D1B5CC}"/>
            </c:ext>
          </c:extLst>
        </c:ser>
        <c:ser>
          <c:idx val="5"/>
          <c:order val="5"/>
          <c:tx>
            <c:strRef>
              <c:f>Trucks!$J$82</c:f>
              <c:strCache>
                <c:ptCount val="1"/>
                <c:pt idx="0">
                  <c:v>CNG</c:v>
                </c:pt>
              </c:strCache>
            </c:strRef>
          </c:tx>
          <c:marker>
            <c:symbol val="none"/>
          </c:marker>
          <c:xVal>
            <c:numRef>
              <c:f>Trucks!$K$75:$N$75</c:f>
              <c:numCache>
                <c:formatCode>0</c:formatCode>
                <c:ptCount val="4"/>
                <c:pt idx="0">
                  <c:v>2010</c:v>
                </c:pt>
                <c:pt idx="1">
                  <c:v>2015</c:v>
                </c:pt>
                <c:pt idx="2">
                  <c:v>2025</c:v>
                </c:pt>
                <c:pt idx="3">
                  <c:v>2040</c:v>
                </c:pt>
              </c:numCache>
            </c:numRef>
          </c:xVal>
          <c:yVal>
            <c:numRef>
              <c:f>Trucks!$K$82:$N$82</c:f>
              <c:numCache>
                <c:formatCode>0.0000</c:formatCode>
                <c:ptCount val="4"/>
                <c:pt idx="0">
                  <c:v>5.2445274618984843E-2</c:v>
                </c:pt>
                <c:pt idx="1">
                  <c:v>5.5163783702583222E-2</c:v>
                </c:pt>
                <c:pt idx="2">
                  <c:v>6.0921619711943757E-2</c:v>
                </c:pt>
                <c:pt idx="3">
                  <c:v>6.3820237057809537E-2</c:v>
                </c:pt>
              </c:numCache>
            </c:numRef>
          </c:yVal>
          <c:smooth val="0"/>
          <c:extLst>
            <c:ext xmlns:c16="http://schemas.microsoft.com/office/drawing/2014/chart" uri="{C3380CC4-5D6E-409C-BE32-E72D297353CC}">
              <c16:uniqueId val="{00000005-C624-4A20-B29C-B863B3D1B5CC}"/>
            </c:ext>
          </c:extLst>
        </c:ser>
        <c:ser>
          <c:idx val="6"/>
          <c:order val="6"/>
          <c:tx>
            <c:strRef>
              <c:f>Trucks!$J$83</c:f>
              <c:strCache>
                <c:ptCount val="1"/>
                <c:pt idx="0">
                  <c:v>LPG</c:v>
                </c:pt>
              </c:strCache>
            </c:strRef>
          </c:tx>
          <c:marker>
            <c:symbol val="none"/>
          </c:marker>
          <c:xVal>
            <c:numRef>
              <c:f>Trucks!$K$75:$N$75</c:f>
              <c:numCache>
                <c:formatCode>0</c:formatCode>
                <c:ptCount val="4"/>
                <c:pt idx="0">
                  <c:v>2010</c:v>
                </c:pt>
                <c:pt idx="1">
                  <c:v>2015</c:v>
                </c:pt>
                <c:pt idx="2">
                  <c:v>2025</c:v>
                </c:pt>
                <c:pt idx="3">
                  <c:v>2040</c:v>
                </c:pt>
              </c:numCache>
            </c:numRef>
          </c:xVal>
          <c:yVal>
            <c:numRef>
              <c:f>Trucks!$K$83:$N$83</c:f>
              <c:numCache>
                <c:formatCode>0.0000</c:formatCode>
                <c:ptCount val="4"/>
                <c:pt idx="0">
                  <c:v>6.7978151294823944E-2</c:v>
                </c:pt>
                <c:pt idx="1">
                  <c:v>7.1501809491368279E-2</c:v>
                </c:pt>
                <c:pt idx="2">
                  <c:v>8.2722070995064262E-2</c:v>
                </c:pt>
                <c:pt idx="3">
                  <c:v>8.6127576547247009E-2</c:v>
                </c:pt>
              </c:numCache>
            </c:numRef>
          </c:yVal>
          <c:smooth val="0"/>
          <c:extLst>
            <c:ext xmlns:c16="http://schemas.microsoft.com/office/drawing/2014/chart" uri="{C3380CC4-5D6E-409C-BE32-E72D297353CC}">
              <c16:uniqueId val="{00000006-C624-4A20-B29C-B863B3D1B5CC}"/>
            </c:ext>
          </c:extLst>
        </c:ser>
        <c:dLbls>
          <c:showLegendKey val="0"/>
          <c:showVal val="0"/>
          <c:showCatName val="0"/>
          <c:showSerName val="0"/>
          <c:showPercent val="0"/>
          <c:showBubbleSize val="0"/>
        </c:dLbls>
        <c:axId val="770817000"/>
        <c:axId val="297703280"/>
      </c:scatterChart>
      <c:valAx>
        <c:axId val="770817000"/>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97703280"/>
        <c:crosses val="autoZero"/>
        <c:crossBetween val="midCat"/>
      </c:valAx>
      <c:valAx>
        <c:axId val="297703280"/>
        <c:scaling>
          <c:orientation val="minMax"/>
          <c:min val="4.0000000000000022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0817000"/>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Trucks!$Q$77</c:f>
              <c:strCache>
                <c:ptCount val="1"/>
                <c:pt idx="0">
                  <c:v>diesel</c:v>
                </c:pt>
              </c:strCache>
            </c:strRef>
          </c:tx>
          <c:marker>
            <c:symbol val="none"/>
          </c:marker>
          <c:xVal>
            <c:numRef>
              <c:f>Trucks!$R$75:$U$75</c:f>
              <c:numCache>
                <c:formatCode>0</c:formatCode>
                <c:ptCount val="4"/>
                <c:pt idx="0">
                  <c:v>2010</c:v>
                </c:pt>
                <c:pt idx="1">
                  <c:v>2015</c:v>
                </c:pt>
                <c:pt idx="2">
                  <c:v>2025</c:v>
                </c:pt>
                <c:pt idx="3">
                  <c:v>2040</c:v>
                </c:pt>
              </c:numCache>
            </c:numRef>
          </c:xVal>
          <c:yVal>
            <c:numRef>
              <c:f>Trucks!$R$77:$U$77</c:f>
              <c:numCache>
                <c:formatCode>0</c:formatCode>
                <c:ptCount val="4"/>
                <c:pt idx="0">
                  <c:v>6276.5914442142484</c:v>
                </c:pt>
                <c:pt idx="1">
                  <c:v>6295.5716205961326</c:v>
                </c:pt>
                <c:pt idx="2">
                  <c:v>6691.9683084070857</c:v>
                </c:pt>
                <c:pt idx="3">
                  <c:v>0</c:v>
                </c:pt>
              </c:numCache>
            </c:numRef>
          </c:yVal>
          <c:smooth val="0"/>
          <c:extLst>
            <c:ext xmlns:c16="http://schemas.microsoft.com/office/drawing/2014/chart" uri="{C3380CC4-5D6E-409C-BE32-E72D297353CC}">
              <c16:uniqueId val="{00000000-568F-4B9D-BF74-F71E73B4A2CD}"/>
            </c:ext>
          </c:extLst>
        </c:ser>
        <c:ser>
          <c:idx val="1"/>
          <c:order val="1"/>
          <c:tx>
            <c:strRef>
              <c:f>Trucks!$Q$78</c:f>
              <c:strCache>
                <c:ptCount val="1"/>
                <c:pt idx="0">
                  <c:v>adv diesel</c:v>
                </c:pt>
              </c:strCache>
            </c:strRef>
          </c:tx>
          <c:marker>
            <c:symbol val="none"/>
          </c:marker>
          <c:xVal>
            <c:numRef>
              <c:f>Trucks!$R$75:$U$75</c:f>
              <c:numCache>
                <c:formatCode>0</c:formatCode>
                <c:ptCount val="4"/>
                <c:pt idx="0">
                  <c:v>2010</c:v>
                </c:pt>
                <c:pt idx="1">
                  <c:v>2015</c:v>
                </c:pt>
                <c:pt idx="2">
                  <c:v>2025</c:v>
                </c:pt>
                <c:pt idx="3">
                  <c:v>2040</c:v>
                </c:pt>
              </c:numCache>
            </c:numRef>
          </c:xVal>
          <c:yVal>
            <c:numRef>
              <c:f>Trucks!$R$78:$U$78</c:f>
              <c:numCache>
                <c:formatCode>0</c:formatCode>
                <c:ptCount val="4"/>
                <c:pt idx="1">
                  <c:v>8334.222211770475</c:v>
                </c:pt>
                <c:pt idx="2">
                  <c:v>7963.0152642194289</c:v>
                </c:pt>
                <c:pt idx="3">
                  <c:v>7963.0152642194289</c:v>
                </c:pt>
              </c:numCache>
            </c:numRef>
          </c:yVal>
          <c:smooth val="0"/>
          <c:extLst>
            <c:ext xmlns:c16="http://schemas.microsoft.com/office/drawing/2014/chart" uri="{C3380CC4-5D6E-409C-BE32-E72D297353CC}">
              <c16:uniqueId val="{00000001-568F-4B9D-BF74-F71E73B4A2CD}"/>
            </c:ext>
          </c:extLst>
        </c:ser>
        <c:ser>
          <c:idx val="2"/>
          <c:order val="2"/>
          <c:tx>
            <c:strRef>
              <c:f>Trucks!$Q$79</c:f>
              <c:strCache>
                <c:ptCount val="1"/>
                <c:pt idx="0">
                  <c:v>gasolin</c:v>
                </c:pt>
              </c:strCache>
            </c:strRef>
          </c:tx>
          <c:marker>
            <c:symbol val="none"/>
          </c:marker>
          <c:xVal>
            <c:numRef>
              <c:f>Trucks!$R$75:$U$75</c:f>
              <c:numCache>
                <c:formatCode>0</c:formatCode>
                <c:ptCount val="4"/>
                <c:pt idx="0">
                  <c:v>2010</c:v>
                </c:pt>
                <c:pt idx="1">
                  <c:v>2015</c:v>
                </c:pt>
                <c:pt idx="2">
                  <c:v>2025</c:v>
                </c:pt>
                <c:pt idx="3">
                  <c:v>2040</c:v>
                </c:pt>
              </c:numCache>
            </c:numRef>
          </c:xVal>
          <c:yVal>
            <c:numRef>
              <c:f>Trucks!$R$79:$U$79</c:f>
              <c:numCache>
                <c:formatCode>0</c:formatCode>
                <c:ptCount val="4"/>
                <c:pt idx="0">
                  <c:v>5812.2033972904501</c:v>
                </c:pt>
                <c:pt idx="1">
                  <c:v>5834.9327443156681</c:v>
                </c:pt>
                <c:pt idx="2">
                  <c:v>6443.5418634659982</c:v>
                </c:pt>
                <c:pt idx="3">
                  <c:v>0</c:v>
                </c:pt>
              </c:numCache>
            </c:numRef>
          </c:yVal>
          <c:smooth val="0"/>
          <c:extLst>
            <c:ext xmlns:c16="http://schemas.microsoft.com/office/drawing/2014/chart" uri="{C3380CC4-5D6E-409C-BE32-E72D297353CC}">
              <c16:uniqueId val="{00000002-568F-4B9D-BF74-F71E73B4A2CD}"/>
            </c:ext>
          </c:extLst>
        </c:ser>
        <c:ser>
          <c:idx val="3"/>
          <c:order val="3"/>
          <c:tx>
            <c:strRef>
              <c:f>Trucks!$Q$80</c:f>
              <c:strCache>
                <c:ptCount val="1"/>
                <c:pt idx="0">
                  <c:v>adv gasoline</c:v>
                </c:pt>
              </c:strCache>
            </c:strRef>
          </c:tx>
          <c:marker>
            <c:symbol val="none"/>
          </c:marker>
          <c:xVal>
            <c:numRef>
              <c:f>Trucks!$R$75:$U$75</c:f>
              <c:numCache>
                <c:formatCode>0</c:formatCode>
                <c:ptCount val="4"/>
                <c:pt idx="0">
                  <c:v>2010</c:v>
                </c:pt>
                <c:pt idx="1">
                  <c:v>2015</c:v>
                </c:pt>
                <c:pt idx="2">
                  <c:v>2025</c:v>
                </c:pt>
                <c:pt idx="3">
                  <c:v>2040</c:v>
                </c:pt>
              </c:numCache>
            </c:numRef>
          </c:xVal>
          <c:yVal>
            <c:numRef>
              <c:f>Trucks!$R$80:$U$80</c:f>
              <c:numCache>
                <c:formatCode>0</c:formatCode>
                <c:ptCount val="4"/>
                <c:pt idx="1">
                  <c:v>6616.0099616771531</c:v>
                </c:pt>
                <c:pt idx="2">
                  <c:v>6935.0018972475837</c:v>
                </c:pt>
                <c:pt idx="3">
                  <c:v>7469.8773270789898</c:v>
                </c:pt>
              </c:numCache>
            </c:numRef>
          </c:yVal>
          <c:smooth val="0"/>
          <c:extLst>
            <c:ext xmlns:c16="http://schemas.microsoft.com/office/drawing/2014/chart" uri="{C3380CC4-5D6E-409C-BE32-E72D297353CC}">
              <c16:uniqueId val="{00000003-568F-4B9D-BF74-F71E73B4A2CD}"/>
            </c:ext>
          </c:extLst>
        </c:ser>
        <c:ser>
          <c:idx val="4"/>
          <c:order val="4"/>
          <c:tx>
            <c:strRef>
              <c:f>Trucks!$Q$81</c:f>
              <c:strCache>
                <c:ptCount val="1"/>
                <c:pt idx="0">
                  <c:v>biodiesel</c:v>
                </c:pt>
              </c:strCache>
            </c:strRef>
          </c:tx>
          <c:marker>
            <c:symbol val="none"/>
          </c:marker>
          <c:xVal>
            <c:numRef>
              <c:f>Trucks!$R$75:$U$75</c:f>
              <c:numCache>
                <c:formatCode>0</c:formatCode>
                <c:ptCount val="4"/>
                <c:pt idx="0">
                  <c:v>2010</c:v>
                </c:pt>
                <c:pt idx="1">
                  <c:v>2015</c:v>
                </c:pt>
                <c:pt idx="2">
                  <c:v>2025</c:v>
                </c:pt>
                <c:pt idx="3">
                  <c:v>2040</c:v>
                </c:pt>
              </c:numCache>
            </c:numRef>
          </c:xVal>
          <c:yVal>
            <c:numRef>
              <c:f>Trucks!$R$81:$U$81</c:f>
              <c:numCache>
                <c:formatCode>0</c:formatCode>
                <c:ptCount val="4"/>
                <c:pt idx="0">
                  <c:v>6276.5914442142484</c:v>
                </c:pt>
                <c:pt idx="1">
                  <c:v>6295.5716205961326</c:v>
                </c:pt>
                <c:pt idx="2">
                  <c:v>6469.2831937373276</c:v>
                </c:pt>
                <c:pt idx="3">
                  <c:v>6772.0677770475058</c:v>
                </c:pt>
              </c:numCache>
            </c:numRef>
          </c:yVal>
          <c:smooth val="0"/>
          <c:extLst>
            <c:ext xmlns:c16="http://schemas.microsoft.com/office/drawing/2014/chart" uri="{C3380CC4-5D6E-409C-BE32-E72D297353CC}">
              <c16:uniqueId val="{00000004-568F-4B9D-BF74-F71E73B4A2CD}"/>
            </c:ext>
          </c:extLst>
        </c:ser>
        <c:ser>
          <c:idx val="5"/>
          <c:order val="5"/>
          <c:tx>
            <c:strRef>
              <c:f>Trucks!$Q$82</c:f>
              <c:strCache>
                <c:ptCount val="1"/>
                <c:pt idx="0">
                  <c:v>CNG</c:v>
                </c:pt>
              </c:strCache>
            </c:strRef>
          </c:tx>
          <c:marker>
            <c:symbol val="none"/>
          </c:marker>
          <c:xVal>
            <c:numRef>
              <c:f>Trucks!$R$75:$U$75</c:f>
              <c:numCache>
                <c:formatCode>0</c:formatCode>
                <c:ptCount val="4"/>
                <c:pt idx="0">
                  <c:v>2010</c:v>
                </c:pt>
                <c:pt idx="1">
                  <c:v>2015</c:v>
                </c:pt>
                <c:pt idx="2">
                  <c:v>2025</c:v>
                </c:pt>
                <c:pt idx="3">
                  <c:v>2040</c:v>
                </c:pt>
              </c:numCache>
            </c:numRef>
          </c:xVal>
          <c:yVal>
            <c:numRef>
              <c:f>Trucks!$R$82:$U$82</c:f>
              <c:numCache>
                <c:formatCode>0</c:formatCode>
                <c:ptCount val="4"/>
                <c:pt idx="0">
                  <c:v>6575.7618337437334</c:v>
                </c:pt>
                <c:pt idx="1">
                  <c:v>6601.4771713632026</c:v>
                </c:pt>
                <c:pt idx="2">
                  <c:v>7290.0402418233361</c:v>
                </c:pt>
                <c:pt idx="3">
                  <c:v>0</c:v>
                </c:pt>
              </c:numCache>
            </c:numRef>
          </c:yVal>
          <c:smooth val="0"/>
          <c:extLst>
            <c:ext xmlns:c16="http://schemas.microsoft.com/office/drawing/2014/chart" uri="{C3380CC4-5D6E-409C-BE32-E72D297353CC}">
              <c16:uniqueId val="{00000005-568F-4B9D-BF74-F71E73B4A2CD}"/>
            </c:ext>
          </c:extLst>
        </c:ser>
        <c:ser>
          <c:idx val="6"/>
          <c:order val="6"/>
          <c:tx>
            <c:strRef>
              <c:f>Trucks!$Q$83</c:f>
              <c:strCache>
                <c:ptCount val="1"/>
                <c:pt idx="0">
                  <c:v>LPG</c:v>
                </c:pt>
              </c:strCache>
            </c:strRef>
          </c:tx>
          <c:marker>
            <c:symbol val="none"/>
          </c:marker>
          <c:xVal>
            <c:numRef>
              <c:f>Trucks!$R$75:$U$75</c:f>
              <c:numCache>
                <c:formatCode>0</c:formatCode>
                <c:ptCount val="4"/>
                <c:pt idx="0">
                  <c:v>2010</c:v>
                </c:pt>
                <c:pt idx="1">
                  <c:v>2015</c:v>
                </c:pt>
                <c:pt idx="2">
                  <c:v>2025</c:v>
                </c:pt>
                <c:pt idx="3">
                  <c:v>2040</c:v>
                </c:pt>
              </c:numCache>
            </c:numRef>
          </c:xVal>
          <c:yVal>
            <c:numRef>
              <c:f>Trucks!$R$83:$U$83</c:f>
              <c:numCache>
                <c:formatCode>0</c:formatCode>
                <c:ptCount val="4"/>
                <c:pt idx="0">
                  <c:v>6193.9826155170922</c:v>
                </c:pt>
                <c:pt idx="1">
                  <c:v>6218.2049578394353</c:v>
                </c:pt>
                <c:pt idx="2">
                  <c:v>6866.7910526446676</c:v>
                </c:pt>
                <c:pt idx="3">
                  <c:v>6997.7891799037952</c:v>
                </c:pt>
              </c:numCache>
            </c:numRef>
          </c:yVal>
          <c:smooth val="0"/>
          <c:extLst>
            <c:ext xmlns:c16="http://schemas.microsoft.com/office/drawing/2014/chart" uri="{C3380CC4-5D6E-409C-BE32-E72D297353CC}">
              <c16:uniqueId val="{00000006-568F-4B9D-BF74-F71E73B4A2CD}"/>
            </c:ext>
          </c:extLst>
        </c:ser>
        <c:dLbls>
          <c:showLegendKey val="0"/>
          <c:showVal val="0"/>
          <c:showCatName val="0"/>
          <c:showSerName val="0"/>
          <c:showPercent val="0"/>
          <c:showBubbleSize val="0"/>
        </c:dLbls>
        <c:axId val="297704064"/>
        <c:axId val="297704456"/>
      </c:scatterChart>
      <c:valAx>
        <c:axId val="297704064"/>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97704456"/>
        <c:crosses val="autoZero"/>
        <c:crossBetween val="midCat"/>
      </c:valAx>
      <c:valAx>
        <c:axId val="297704456"/>
        <c:scaling>
          <c:orientation val="minMax"/>
          <c:min val="500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97704064"/>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5240594925633"/>
          <c:y val="5.1400554097404488E-2"/>
          <c:w val="0.75051837270341204"/>
          <c:h val="0.79822506561679785"/>
        </c:manualLayout>
      </c:layout>
      <c:scatterChart>
        <c:scatterStyle val="lineMarker"/>
        <c:varyColors val="0"/>
        <c:ser>
          <c:idx val="0"/>
          <c:order val="0"/>
          <c:tx>
            <c:strRef>
              <c:f>Trucks!$J$130</c:f>
              <c:strCache>
                <c:ptCount val="1"/>
                <c:pt idx="0">
                  <c:v>diesel</c:v>
                </c:pt>
              </c:strCache>
            </c:strRef>
          </c:tx>
          <c:xVal>
            <c:numRef>
              <c:f>Trucks!$K$129:$N$129</c:f>
              <c:numCache>
                <c:formatCode>0</c:formatCode>
                <c:ptCount val="4"/>
                <c:pt idx="0">
                  <c:v>2010</c:v>
                </c:pt>
                <c:pt idx="1">
                  <c:v>2015</c:v>
                </c:pt>
                <c:pt idx="2">
                  <c:v>2025</c:v>
                </c:pt>
                <c:pt idx="3">
                  <c:v>2040</c:v>
                </c:pt>
              </c:numCache>
            </c:numRef>
          </c:xVal>
          <c:yVal>
            <c:numRef>
              <c:f>Trucks!$K$130:$N$130</c:f>
              <c:numCache>
                <c:formatCode>0.0000</c:formatCode>
                <c:ptCount val="4"/>
                <c:pt idx="0">
                  <c:v>3.038743284803256E-2</c:v>
                </c:pt>
                <c:pt idx="1">
                  <c:v>3.32457527364899E-2</c:v>
                </c:pt>
                <c:pt idx="2">
                  <c:v>3.4398179039330415E-2</c:v>
                </c:pt>
                <c:pt idx="3">
                  <c:v>3.5096619222870114E-2</c:v>
                </c:pt>
              </c:numCache>
            </c:numRef>
          </c:yVal>
          <c:smooth val="0"/>
          <c:extLst>
            <c:ext xmlns:c16="http://schemas.microsoft.com/office/drawing/2014/chart" uri="{C3380CC4-5D6E-409C-BE32-E72D297353CC}">
              <c16:uniqueId val="{00000000-F869-47C5-949C-2801CF7C4B9D}"/>
            </c:ext>
          </c:extLst>
        </c:ser>
        <c:ser>
          <c:idx val="1"/>
          <c:order val="1"/>
          <c:tx>
            <c:strRef>
              <c:f>Trucks!$J$131</c:f>
              <c:strCache>
                <c:ptCount val="1"/>
                <c:pt idx="0">
                  <c:v>adv diesel</c:v>
                </c:pt>
              </c:strCache>
            </c:strRef>
          </c:tx>
          <c:xVal>
            <c:numRef>
              <c:f>Trucks!$K$129:$N$129</c:f>
              <c:numCache>
                <c:formatCode>0</c:formatCode>
                <c:ptCount val="4"/>
                <c:pt idx="0">
                  <c:v>2010</c:v>
                </c:pt>
                <c:pt idx="1">
                  <c:v>2015</c:v>
                </c:pt>
                <c:pt idx="2">
                  <c:v>2025</c:v>
                </c:pt>
                <c:pt idx="3">
                  <c:v>2040</c:v>
                </c:pt>
              </c:numCache>
            </c:numRef>
          </c:xVal>
          <c:yVal>
            <c:numRef>
              <c:f>Trucks!$K$131:$N$131</c:f>
              <c:numCache>
                <c:formatCode>0.0000</c:formatCode>
                <c:ptCount val="4"/>
                <c:pt idx="1">
                  <c:v>3.4863805828356888E-2</c:v>
                </c:pt>
                <c:pt idx="2">
                  <c:v>3.538763596601166E-2</c:v>
                </c:pt>
                <c:pt idx="3">
                  <c:v>6.2047733885329429E-2</c:v>
                </c:pt>
              </c:numCache>
            </c:numRef>
          </c:yVal>
          <c:smooth val="0"/>
          <c:extLst>
            <c:ext xmlns:c16="http://schemas.microsoft.com/office/drawing/2014/chart" uri="{C3380CC4-5D6E-409C-BE32-E72D297353CC}">
              <c16:uniqueId val="{00000001-F869-47C5-949C-2801CF7C4B9D}"/>
            </c:ext>
          </c:extLst>
        </c:ser>
        <c:ser>
          <c:idx val="2"/>
          <c:order val="2"/>
          <c:tx>
            <c:strRef>
              <c:f>Trucks!$J$132</c:f>
              <c:strCache>
                <c:ptCount val="1"/>
                <c:pt idx="0">
                  <c:v>biodiesel</c:v>
                </c:pt>
              </c:strCache>
            </c:strRef>
          </c:tx>
          <c:marker>
            <c:spPr>
              <a:noFill/>
            </c:spPr>
          </c:marker>
          <c:xVal>
            <c:numRef>
              <c:f>Trucks!$K$129:$N$129</c:f>
              <c:numCache>
                <c:formatCode>0</c:formatCode>
                <c:ptCount val="4"/>
                <c:pt idx="0">
                  <c:v>2010</c:v>
                </c:pt>
                <c:pt idx="1">
                  <c:v>2015</c:v>
                </c:pt>
                <c:pt idx="2">
                  <c:v>2025</c:v>
                </c:pt>
                <c:pt idx="3">
                  <c:v>2040</c:v>
                </c:pt>
              </c:numCache>
            </c:numRef>
          </c:xVal>
          <c:yVal>
            <c:numRef>
              <c:f>Trucks!$K$132:$N$132</c:f>
              <c:numCache>
                <c:formatCode>0.0000</c:formatCode>
                <c:ptCount val="4"/>
                <c:pt idx="0">
                  <c:v>4.0063961642811542E-2</c:v>
                </c:pt>
                <c:pt idx="1">
                  <c:v>4.3832480653506929E-2</c:v>
                </c:pt>
                <c:pt idx="2">
                  <c:v>4.5385378613801756E-2</c:v>
                </c:pt>
                <c:pt idx="3">
                  <c:v>4.6306909144031239E-2</c:v>
                </c:pt>
              </c:numCache>
            </c:numRef>
          </c:yVal>
          <c:smooth val="0"/>
          <c:extLst>
            <c:ext xmlns:c16="http://schemas.microsoft.com/office/drawing/2014/chart" uri="{C3380CC4-5D6E-409C-BE32-E72D297353CC}">
              <c16:uniqueId val="{00000002-F869-47C5-949C-2801CF7C4B9D}"/>
            </c:ext>
          </c:extLst>
        </c:ser>
        <c:ser>
          <c:idx val="3"/>
          <c:order val="3"/>
          <c:tx>
            <c:strRef>
              <c:f>Trucks!$J$133</c:f>
              <c:strCache>
                <c:ptCount val="1"/>
                <c:pt idx="0">
                  <c:v>CNG</c:v>
                </c:pt>
              </c:strCache>
            </c:strRef>
          </c:tx>
          <c:xVal>
            <c:numRef>
              <c:f>Trucks!$K$129:$N$129</c:f>
              <c:numCache>
                <c:formatCode>0</c:formatCode>
                <c:ptCount val="4"/>
                <c:pt idx="0">
                  <c:v>2010</c:v>
                </c:pt>
                <c:pt idx="1">
                  <c:v>2015</c:v>
                </c:pt>
                <c:pt idx="2">
                  <c:v>2025</c:v>
                </c:pt>
                <c:pt idx="3">
                  <c:v>2040</c:v>
                </c:pt>
              </c:numCache>
            </c:numRef>
          </c:xVal>
          <c:yVal>
            <c:numRef>
              <c:f>Trucks!$K$133:$N$133</c:f>
              <c:numCache>
                <c:formatCode>0.0000</c:formatCode>
                <c:ptCount val="4"/>
                <c:pt idx="0">
                  <c:v>3.0116116483317988E-2</c:v>
                </c:pt>
                <c:pt idx="1">
                  <c:v>3.2948915658485532E-2</c:v>
                </c:pt>
                <c:pt idx="2">
                  <c:v>3.4091052440764963E-2</c:v>
                </c:pt>
                <c:pt idx="3">
                  <c:v>3.4783256551237353E-2</c:v>
                </c:pt>
              </c:numCache>
            </c:numRef>
          </c:yVal>
          <c:smooth val="0"/>
          <c:extLst>
            <c:ext xmlns:c16="http://schemas.microsoft.com/office/drawing/2014/chart" uri="{C3380CC4-5D6E-409C-BE32-E72D297353CC}">
              <c16:uniqueId val="{00000003-F869-47C5-949C-2801CF7C4B9D}"/>
            </c:ext>
          </c:extLst>
        </c:ser>
        <c:dLbls>
          <c:showLegendKey val="0"/>
          <c:showVal val="0"/>
          <c:showCatName val="0"/>
          <c:showSerName val="0"/>
          <c:showPercent val="0"/>
          <c:showBubbleSize val="0"/>
        </c:dLbls>
        <c:axId val="793192984"/>
        <c:axId val="793193376"/>
      </c:scatterChart>
      <c:valAx>
        <c:axId val="793192984"/>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3376"/>
        <c:crosses val="autoZero"/>
        <c:crossBetween val="midCat"/>
      </c:valAx>
      <c:valAx>
        <c:axId val="793193376"/>
        <c:scaling>
          <c:orientation val="minMax"/>
          <c:min val="2.0000000000000011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2984"/>
        <c:crosses val="autoZero"/>
        <c:crossBetween val="midCat"/>
      </c:valAx>
    </c:plotArea>
    <c:legend>
      <c:legendPos val="r"/>
      <c:layout>
        <c:manualLayout>
          <c:xMode val="edge"/>
          <c:yMode val="edge"/>
          <c:x val="0.359652668416448"/>
          <c:y val="0.61034338851687864"/>
          <c:w val="0.41256955380577426"/>
          <c:h val="0.20986876640419949"/>
        </c:manualLayout>
      </c:layout>
      <c:overlay val="0"/>
      <c:spPr>
        <a:solidFill>
          <a:schemeClr val="bg1"/>
        </a:solidFill>
      </c:spPr>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5240594925633"/>
          <c:y val="5.1400554097404488E-2"/>
          <c:w val="0.77274059492563463"/>
          <c:h val="0.79822506561679785"/>
        </c:manualLayout>
      </c:layout>
      <c:scatterChart>
        <c:scatterStyle val="lineMarker"/>
        <c:varyColors val="0"/>
        <c:ser>
          <c:idx val="0"/>
          <c:order val="0"/>
          <c:tx>
            <c:strRef>
              <c:f>Trucks!$J$170</c:f>
              <c:strCache>
                <c:ptCount val="1"/>
                <c:pt idx="0">
                  <c:v>diesel</c:v>
                </c:pt>
              </c:strCache>
            </c:strRef>
          </c:tx>
          <c:xVal>
            <c:numRef>
              <c:f>Trucks!$K$169:$N$169</c:f>
              <c:numCache>
                <c:formatCode>0</c:formatCode>
                <c:ptCount val="4"/>
                <c:pt idx="0">
                  <c:v>2010</c:v>
                </c:pt>
                <c:pt idx="1">
                  <c:v>2015</c:v>
                </c:pt>
                <c:pt idx="2">
                  <c:v>2025</c:v>
                </c:pt>
                <c:pt idx="3">
                  <c:v>2040</c:v>
                </c:pt>
              </c:numCache>
            </c:numRef>
          </c:xVal>
          <c:yVal>
            <c:numRef>
              <c:f>Trucks!$K$170:$N$170</c:f>
              <c:numCache>
                <c:formatCode>0.0000</c:formatCode>
                <c:ptCount val="4"/>
                <c:pt idx="0">
                  <c:v>4.2741355933938345E-2</c:v>
                </c:pt>
                <c:pt idx="1">
                  <c:v>4.6675189351799498E-2</c:v>
                </c:pt>
                <c:pt idx="2">
                  <c:v>5.3053883474229534E-2</c:v>
                </c:pt>
                <c:pt idx="3">
                  <c:v>5.3053883474229534E-2</c:v>
                </c:pt>
              </c:numCache>
            </c:numRef>
          </c:yVal>
          <c:smooth val="0"/>
          <c:extLst>
            <c:ext xmlns:c16="http://schemas.microsoft.com/office/drawing/2014/chart" uri="{C3380CC4-5D6E-409C-BE32-E72D297353CC}">
              <c16:uniqueId val="{00000000-82A9-4837-8072-41B26E57C047}"/>
            </c:ext>
          </c:extLst>
        </c:ser>
        <c:ser>
          <c:idx val="1"/>
          <c:order val="1"/>
          <c:tx>
            <c:strRef>
              <c:f>Trucks!$J$171</c:f>
              <c:strCache>
                <c:ptCount val="1"/>
                <c:pt idx="0">
                  <c:v>adv diesel</c:v>
                </c:pt>
              </c:strCache>
            </c:strRef>
          </c:tx>
          <c:xVal>
            <c:numRef>
              <c:f>Trucks!$K$169:$N$169</c:f>
              <c:numCache>
                <c:formatCode>0</c:formatCode>
                <c:ptCount val="4"/>
                <c:pt idx="0">
                  <c:v>2010</c:v>
                </c:pt>
                <c:pt idx="1">
                  <c:v>2015</c:v>
                </c:pt>
                <c:pt idx="2">
                  <c:v>2025</c:v>
                </c:pt>
                <c:pt idx="3">
                  <c:v>2040</c:v>
                </c:pt>
              </c:numCache>
            </c:numRef>
          </c:xVal>
          <c:yVal>
            <c:numRef>
              <c:f>Trucks!$K$171:$N$171</c:f>
              <c:numCache>
                <c:formatCode>0.0000</c:formatCode>
                <c:ptCount val="4"/>
                <c:pt idx="1">
                  <c:v>4.9764823566427481E-2</c:v>
                </c:pt>
                <c:pt idx="2">
                  <c:v>5.2921248765543959E-2</c:v>
                </c:pt>
                <c:pt idx="3">
                  <c:v>5.5937246706524606E-2</c:v>
                </c:pt>
              </c:numCache>
            </c:numRef>
          </c:yVal>
          <c:smooth val="0"/>
          <c:extLst>
            <c:ext xmlns:c16="http://schemas.microsoft.com/office/drawing/2014/chart" uri="{C3380CC4-5D6E-409C-BE32-E72D297353CC}">
              <c16:uniqueId val="{00000001-82A9-4837-8072-41B26E57C047}"/>
            </c:ext>
          </c:extLst>
        </c:ser>
        <c:ser>
          <c:idx val="2"/>
          <c:order val="2"/>
          <c:tx>
            <c:strRef>
              <c:f>Trucks!$J$172</c:f>
              <c:strCache>
                <c:ptCount val="1"/>
                <c:pt idx="0">
                  <c:v>SW diesel</c:v>
                </c:pt>
              </c:strCache>
            </c:strRef>
          </c:tx>
          <c:xVal>
            <c:numRef>
              <c:f>Trucks!$K$169:$N$169</c:f>
              <c:numCache>
                <c:formatCode>0</c:formatCode>
                <c:ptCount val="4"/>
                <c:pt idx="0">
                  <c:v>2010</c:v>
                </c:pt>
                <c:pt idx="1">
                  <c:v>2015</c:v>
                </c:pt>
                <c:pt idx="2">
                  <c:v>2025</c:v>
                </c:pt>
                <c:pt idx="3">
                  <c:v>2040</c:v>
                </c:pt>
              </c:numCache>
            </c:numRef>
          </c:xVal>
          <c:yVal>
            <c:numRef>
              <c:f>Trucks!$K$172:$N$172</c:f>
              <c:numCache>
                <c:formatCode>0.0000</c:formatCode>
                <c:ptCount val="4"/>
                <c:pt idx="2">
                  <c:v>6.0541147891030989E-2</c:v>
                </c:pt>
                <c:pt idx="3">
                  <c:v>7.2955528269861528E-2</c:v>
                </c:pt>
              </c:numCache>
            </c:numRef>
          </c:yVal>
          <c:smooth val="0"/>
          <c:extLst>
            <c:ext xmlns:c16="http://schemas.microsoft.com/office/drawing/2014/chart" uri="{C3380CC4-5D6E-409C-BE32-E72D297353CC}">
              <c16:uniqueId val="{00000002-82A9-4837-8072-41B26E57C047}"/>
            </c:ext>
          </c:extLst>
        </c:ser>
        <c:ser>
          <c:idx val="3"/>
          <c:order val="3"/>
          <c:tx>
            <c:strRef>
              <c:f>Trucks!$J$173</c:f>
              <c:strCache>
                <c:ptCount val="1"/>
                <c:pt idx="0">
                  <c:v>biodiesel</c:v>
                </c:pt>
              </c:strCache>
            </c:strRef>
          </c:tx>
          <c:xVal>
            <c:numRef>
              <c:f>Trucks!$K$169:$N$169</c:f>
              <c:numCache>
                <c:formatCode>0</c:formatCode>
                <c:ptCount val="4"/>
                <c:pt idx="0">
                  <c:v>2010</c:v>
                </c:pt>
                <c:pt idx="1">
                  <c:v>2015</c:v>
                </c:pt>
                <c:pt idx="2">
                  <c:v>2025</c:v>
                </c:pt>
                <c:pt idx="3">
                  <c:v>2040</c:v>
                </c:pt>
              </c:numCache>
            </c:numRef>
          </c:xVal>
          <c:yVal>
            <c:numRef>
              <c:f>Trucks!$K$173:$N$173</c:f>
              <c:numCache>
                <c:formatCode>0.0000</c:formatCode>
                <c:ptCount val="4"/>
                <c:pt idx="0">
                  <c:v>4.271211262559866E-2</c:v>
                </c:pt>
                <c:pt idx="1">
                  <c:v>4.6641074476893418E-2</c:v>
                </c:pt>
                <c:pt idx="2">
                  <c:v>5.3055583726002262E-2</c:v>
                </c:pt>
                <c:pt idx="3">
                  <c:v>5.3055583726002262E-2</c:v>
                </c:pt>
              </c:numCache>
            </c:numRef>
          </c:yVal>
          <c:smooth val="0"/>
          <c:extLst>
            <c:ext xmlns:c16="http://schemas.microsoft.com/office/drawing/2014/chart" uri="{C3380CC4-5D6E-409C-BE32-E72D297353CC}">
              <c16:uniqueId val="{00000003-82A9-4837-8072-41B26E57C047}"/>
            </c:ext>
          </c:extLst>
        </c:ser>
        <c:ser>
          <c:idx val="4"/>
          <c:order val="4"/>
          <c:tx>
            <c:strRef>
              <c:f>Trucks!$J$174</c:f>
              <c:strCache>
                <c:ptCount val="1"/>
                <c:pt idx="0">
                  <c:v>LNG</c:v>
                </c:pt>
              </c:strCache>
            </c:strRef>
          </c:tx>
          <c:xVal>
            <c:numRef>
              <c:f>Trucks!$K$169:$N$169</c:f>
              <c:numCache>
                <c:formatCode>0</c:formatCode>
                <c:ptCount val="4"/>
                <c:pt idx="0">
                  <c:v>2010</c:v>
                </c:pt>
                <c:pt idx="1">
                  <c:v>2015</c:v>
                </c:pt>
                <c:pt idx="2">
                  <c:v>2025</c:v>
                </c:pt>
                <c:pt idx="3">
                  <c:v>2040</c:v>
                </c:pt>
              </c:numCache>
            </c:numRef>
          </c:xVal>
          <c:yVal>
            <c:numRef>
              <c:f>Trucks!$K$174:$N$174</c:f>
              <c:numCache>
                <c:formatCode>0.0000</c:formatCode>
                <c:ptCount val="4"/>
                <c:pt idx="0">
                  <c:v>4.1842580380559553E-2</c:v>
                </c:pt>
                <c:pt idx="1">
                  <c:v>4.1842580380559553E-2</c:v>
                </c:pt>
                <c:pt idx="2">
                  <c:v>4.1842580380559553E-2</c:v>
                </c:pt>
                <c:pt idx="3">
                  <c:v>4.1842580380559553E-2</c:v>
                </c:pt>
              </c:numCache>
            </c:numRef>
          </c:yVal>
          <c:smooth val="0"/>
          <c:extLst>
            <c:ext xmlns:c16="http://schemas.microsoft.com/office/drawing/2014/chart" uri="{C3380CC4-5D6E-409C-BE32-E72D297353CC}">
              <c16:uniqueId val="{00000004-82A9-4837-8072-41B26E57C047}"/>
            </c:ext>
          </c:extLst>
        </c:ser>
        <c:dLbls>
          <c:showLegendKey val="0"/>
          <c:showVal val="0"/>
          <c:showCatName val="0"/>
          <c:showSerName val="0"/>
          <c:showPercent val="0"/>
          <c:showBubbleSize val="0"/>
        </c:dLbls>
        <c:axId val="793194160"/>
        <c:axId val="793194552"/>
      </c:scatterChart>
      <c:valAx>
        <c:axId val="793194160"/>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4552"/>
        <c:crosses val="autoZero"/>
        <c:crossBetween val="midCat"/>
      </c:valAx>
      <c:valAx>
        <c:axId val="793194552"/>
        <c:scaling>
          <c:orientation val="minMax"/>
          <c:min val="1.0000000000000005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4160"/>
        <c:crosses val="autoZero"/>
        <c:crossBetween val="midCat"/>
      </c:valAx>
    </c:plotArea>
    <c:legend>
      <c:legendPos val="r"/>
      <c:layout>
        <c:manualLayout>
          <c:xMode val="edge"/>
          <c:yMode val="edge"/>
          <c:x val="0.17631933508311462"/>
          <c:y val="0.61941043307086618"/>
          <c:w val="0.47368066491688543"/>
          <c:h val="0.20099343832020999"/>
        </c:manualLayout>
      </c:layout>
      <c:overlay val="0"/>
      <c:spPr>
        <a:solidFill>
          <a:sysClr val="window" lastClr="FFFFFF"/>
        </a:solidFill>
      </c:spPr>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178453499764143"/>
          <c:y val="5.1400559662866545E-2"/>
          <c:w val="0.60459789300531064"/>
          <c:h val="0.79822506561679785"/>
        </c:manualLayout>
      </c:layout>
      <c:scatterChart>
        <c:scatterStyle val="smoothMarker"/>
        <c:varyColors val="0"/>
        <c:ser>
          <c:idx val="0"/>
          <c:order val="0"/>
          <c:tx>
            <c:strRef>
              <c:f>'Rail&amp;Bus2'!$K$7</c:f>
              <c:strCache>
                <c:ptCount val="1"/>
                <c:pt idx="0">
                  <c:v>Diesel</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'Rail&amp;Bus2'!$L$7:$O$7</c:f>
              <c:numCache>
                <c:formatCode>#,##0.0000</c:formatCode>
                <c:ptCount val="4"/>
                <c:pt idx="0">
                  <c:v>3.1791784441245516E-2</c:v>
                </c:pt>
                <c:pt idx="1">
                  <c:v>3.348888211310911E-2</c:v>
                </c:pt>
                <c:pt idx="2">
                  <c:v>3.4986321235341691E-2</c:v>
                </c:pt>
                <c:pt idx="3">
                  <c:v>3.9094679852749017E-2</c:v>
                </c:pt>
              </c:numCache>
            </c:numRef>
          </c:yVal>
          <c:smooth val="1"/>
          <c:extLst>
            <c:ext xmlns:c16="http://schemas.microsoft.com/office/drawing/2014/chart" uri="{C3380CC4-5D6E-409C-BE32-E72D297353CC}">
              <c16:uniqueId val="{00000000-3285-496F-A079-DB8144334719}"/>
            </c:ext>
          </c:extLst>
        </c:ser>
        <c:ser>
          <c:idx val="1"/>
          <c:order val="1"/>
          <c:tx>
            <c:strRef>
              <c:f>'Rail&amp;Bus2'!$K$8</c:f>
              <c:strCache>
                <c:ptCount val="1"/>
                <c:pt idx="0">
                  <c:v>Adv Diesel</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'Rail&amp;Bus2'!$L$8:$O$8</c:f>
              <c:numCache>
                <c:formatCode>#,##0.0000</c:formatCode>
                <c:ptCount val="4"/>
                <c:pt idx="1">
                  <c:v>3.7727786705275178E-2</c:v>
                </c:pt>
                <c:pt idx="2">
                  <c:v>3.9094679852749017E-2</c:v>
                </c:pt>
                <c:pt idx="3">
                  <c:v>3.9355771802266494E-2</c:v>
                </c:pt>
              </c:numCache>
            </c:numRef>
          </c:yVal>
          <c:smooth val="1"/>
          <c:extLst>
            <c:ext xmlns:c16="http://schemas.microsoft.com/office/drawing/2014/chart" uri="{C3380CC4-5D6E-409C-BE32-E72D297353CC}">
              <c16:uniqueId val="{00000001-3285-496F-A079-DB8144334719}"/>
            </c:ext>
          </c:extLst>
        </c:ser>
        <c:ser>
          <c:idx val="2"/>
          <c:order val="2"/>
          <c:tx>
            <c:strRef>
              <c:f>'Rail&amp;Bus2'!$K$9</c:f>
              <c:strCache>
                <c:ptCount val="1"/>
                <c:pt idx="0">
                  <c:v>Biodiesel</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'Rail&amp;Bus2'!$L$9:$O$9</c:f>
              <c:numCache>
                <c:formatCode>#,##0.0000</c:formatCode>
                <c:ptCount val="4"/>
                <c:pt idx="0">
                  <c:v>3.1770686560191462E-2</c:v>
                </c:pt>
                <c:pt idx="1">
                  <c:v>3.3466657992510862E-2</c:v>
                </c:pt>
                <c:pt idx="2">
                  <c:v>3.496310337396915E-2</c:v>
                </c:pt>
                <c:pt idx="3">
                  <c:v>3.906873557438037E-2</c:v>
                </c:pt>
              </c:numCache>
            </c:numRef>
          </c:yVal>
          <c:smooth val="1"/>
          <c:extLst>
            <c:ext xmlns:c16="http://schemas.microsoft.com/office/drawing/2014/chart" uri="{C3380CC4-5D6E-409C-BE32-E72D297353CC}">
              <c16:uniqueId val="{00000002-3285-496F-A079-DB8144334719}"/>
            </c:ext>
          </c:extLst>
        </c:ser>
        <c:ser>
          <c:idx val="3"/>
          <c:order val="3"/>
          <c:tx>
            <c:strRef>
              <c:f>'Rail&amp;Bus2'!$K$10</c:f>
              <c:strCache>
                <c:ptCount val="1"/>
                <c:pt idx="0">
                  <c:v>CNG</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'Rail&amp;Bus2'!$L$10:$O$10</c:f>
              <c:numCache>
                <c:formatCode>#,##0.0000</c:formatCode>
                <c:ptCount val="4"/>
                <c:pt idx="0">
                  <c:v>2.7030695950044502E-2</c:v>
                </c:pt>
                <c:pt idx="1">
                  <c:v>2.8412947447489963E-2</c:v>
                </c:pt>
                <c:pt idx="2">
                  <c:v>2.9718407195077338E-2</c:v>
                </c:pt>
                <c:pt idx="3">
                  <c:v>3.1231204667281531E-2</c:v>
                </c:pt>
              </c:numCache>
            </c:numRef>
          </c:yVal>
          <c:smooth val="1"/>
          <c:extLst>
            <c:ext xmlns:c16="http://schemas.microsoft.com/office/drawing/2014/chart" uri="{C3380CC4-5D6E-409C-BE32-E72D297353CC}">
              <c16:uniqueId val="{00000003-3285-496F-A079-DB8144334719}"/>
            </c:ext>
          </c:extLst>
        </c:ser>
        <c:ser>
          <c:idx val="4"/>
          <c:order val="4"/>
          <c:tx>
            <c:strRef>
              <c:f>'Rail&amp;Bus2'!$K$11</c:f>
              <c:strCache>
                <c:ptCount val="1"/>
                <c:pt idx="0">
                  <c:v>adv CNG</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'Rail&amp;Bus2'!$L$11:$O$11</c:f>
              <c:numCache>
                <c:formatCode>#,##0.0000</c:formatCode>
                <c:ptCount val="4"/>
                <c:pt idx="1">
                  <c:v>3.022523274414067E-2</c:v>
                </c:pt>
                <c:pt idx="2">
                  <c:v>3.0839566743005316E-2</c:v>
                </c:pt>
                <c:pt idx="3">
                  <c:v>3.1231204667281531E-2</c:v>
                </c:pt>
              </c:numCache>
            </c:numRef>
          </c:yVal>
          <c:smooth val="1"/>
          <c:extLst>
            <c:ext xmlns:c16="http://schemas.microsoft.com/office/drawing/2014/chart" uri="{C3380CC4-5D6E-409C-BE32-E72D297353CC}">
              <c16:uniqueId val="{00000004-3285-496F-A079-DB8144334719}"/>
            </c:ext>
          </c:extLst>
        </c:ser>
        <c:ser>
          <c:idx val="5"/>
          <c:order val="5"/>
          <c:tx>
            <c:strRef>
              <c:f>'Rail&amp;Bus2'!$K$12</c:f>
              <c:strCache>
                <c:ptCount val="1"/>
                <c:pt idx="0">
                  <c:v>H2</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'Rail&amp;Bus2'!$L$12:$O$12</c:f>
              <c:numCache>
                <c:formatCode>#,##0.0000</c:formatCode>
                <c:ptCount val="4"/>
                <c:pt idx="0">
                  <c:v>2.7477593548993765E-2</c:v>
                </c:pt>
                <c:pt idx="1">
                  <c:v>2.7477593548993765E-2</c:v>
                </c:pt>
                <c:pt idx="2">
                  <c:v>2.7477593548993765E-2</c:v>
                </c:pt>
                <c:pt idx="3">
                  <c:v>2.7477593548993765E-2</c:v>
                </c:pt>
              </c:numCache>
            </c:numRef>
          </c:yVal>
          <c:smooth val="1"/>
          <c:extLst>
            <c:ext xmlns:c16="http://schemas.microsoft.com/office/drawing/2014/chart" uri="{C3380CC4-5D6E-409C-BE32-E72D297353CC}">
              <c16:uniqueId val="{00000005-3285-496F-A079-DB8144334719}"/>
            </c:ext>
          </c:extLst>
        </c:ser>
        <c:ser>
          <c:idx val="6"/>
          <c:order val="6"/>
          <c:tx>
            <c:strRef>
              <c:f>'Rail&amp;Bus2'!$K$13</c:f>
              <c:strCache>
                <c:ptCount val="1"/>
                <c:pt idx="0">
                  <c:v>H2 Hybrid</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'Rail&amp;Bus2'!$L$13:$O$13</c:f>
              <c:numCache>
                <c:formatCode>#,##0.0000</c:formatCode>
                <c:ptCount val="4"/>
                <c:pt idx="0">
                  <c:v>4.9930712849028683E-2</c:v>
                </c:pt>
                <c:pt idx="1">
                  <c:v>4.9930712849028683E-2</c:v>
                </c:pt>
                <c:pt idx="2">
                  <c:v>4.9930712849028683E-2</c:v>
                </c:pt>
                <c:pt idx="3">
                  <c:v>4.9930712849028683E-2</c:v>
                </c:pt>
              </c:numCache>
            </c:numRef>
          </c:yVal>
          <c:smooth val="1"/>
          <c:extLst>
            <c:ext xmlns:c16="http://schemas.microsoft.com/office/drawing/2014/chart" uri="{C3380CC4-5D6E-409C-BE32-E72D297353CC}">
              <c16:uniqueId val="{00000006-3285-496F-A079-DB8144334719}"/>
            </c:ext>
          </c:extLst>
        </c:ser>
        <c:dLbls>
          <c:showLegendKey val="0"/>
          <c:showVal val="0"/>
          <c:showCatName val="0"/>
          <c:showSerName val="0"/>
          <c:showPercent val="0"/>
          <c:showBubbleSize val="0"/>
        </c:dLbls>
        <c:axId val="755578360"/>
        <c:axId val="755578752"/>
      </c:scatterChart>
      <c:valAx>
        <c:axId val="7555783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55578752"/>
        <c:crosses val="autoZero"/>
        <c:crossBetween val="midCat"/>
      </c:valAx>
      <c:valAx>
        <c:axId val="755578752"/>
        <c:scaling>
          <c:orientation val="minMax"/>
          <c:min val="2.0000000000000011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55578360"/>
        <c:crosses val="autoZero"/>
        <c:crossBetween val="midCat"/>
      </c:valAx>
    </c:plotArea>
    <c:legend>
      <c:legendPos val="r"/>
      <c:layout>
        <c:manualLayout>
          <c:xMode val="edge"/>
          <c:yMode val="edge"/>
          <c:x val="0.72110768412013015"/>
          <c:y val="0.11439695992199449"/>
          <c:w val="0.22615285992476741"/>
          <c:h val="0.61379816072609239"/>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73840769903771"/>
          <c:y val="5.1400554097404488E-2"/>
          <c:w val="0.6578379265091987"/>
          <c:h val="0.79822506561679785"/>
        </c:manualLayout>
      </c:layout>
      <c:scatterChart>
        <c:scatterStyle val="smoothMarker"/>
        <c:varyColors val="0"/>
        <c:ser>
          <c:idx val="0"/>
          <c:order val="0"/>
          <c:tx>
            <c:strRef>
              <c:f>'Rail&amp;Bus2'!$S$7</c:f>
              <c:strCache>
                <c:ptCount val="1"/>
                <c:pt idx="0">
                  <c:v>Diesel</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'Rail&amp;Bus2'!$T$7:$W$7</c:f>
              <c:numCache>
                <c:formatCode>0</c:formatCode>
                <c:ptCount val="4"/>
                <c:pt idx="0">
                  <c:v>10426.65660557352</c:v>
                </c:pt>
                <c:pt idx="1">
                  <c:v>10488.438715335413</c:v>
                </c:pt>
                <c:pt idx="2">
                  <c:v>10598.809880170465</c:v>
                </c:pt>
                <c:pt idx="3">
                  <c:v>10912.547156305081</c:v>
                </c:pt>
              </c:numCache>
            </c:numRef>
          </c:yVal>
          <c:smooth val="1"/>
          <c:extLst>
            <c:ext xmlns:c16="http://schemas.microsoft.com/office/drawing/2014/chart" uri="{C3380CC4-5D6E-409C-BE32-E72D297353CC}">
              <c16:uniqueId val="{00000000-2051-44B5-A3F1-253B0F47BBB4}"/>
            </c:ext>
          </c:extLst>
        </c:ser>
        <c:ser>
          <c:idx val="1"/>
          <c:order val="1"/>
          <c:tx>
            <c:strRef>
              <c:f>'Rail&amp;Bus2'!$S$8</c:f>
              <c:strCache>
                <c:ptCount val="1"/>
                <c:pt idx="0">
                  <c:v>Adv Diesel</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'Rail&amp;Bus2'!$T$8:$W$8</c:f>
              <c:numCache>
                <c:formatCode>0</c:formatCode>
                <c:ptCount val="4"/>
                <c:pt idx="1">
                  <c:v>10807.968064260209</c:v>
                </c:pt>
                <c:pt idx="2">
                  <c:v>10912.547156305081</c:v>
                </c:pt>
                <c:pt idx="3">
                  <c:v>11236.002243454332</c:v>
                </c:pt>
              </c:numCache>
            </c:numRef>
          </c:yVal>
          <c:smooth val="1"/>
          <c:extLst>
            <c:ext xmlns:c16="http://schemas.microsoft.com/office/drawing/2014/chart" uri="{C3380CC4-5D6E-409C-BE32-E72D297353CC}">
              <c16:uniqueId val="{00000001-2051-44B5-A3F1-253B0F47BBB4}"/>
            </c:ext>
          </c:extLst>
        </c:ser>
        <c:ser>
          <c:idx val="2"/>
          <c:order val="2"/>
          <c:tx>
            <c:strRef>
              <c:f>'Rail&amp;Bus2'!$S$9</c:f>
              <c:strCache>
                <c:ptCount val="1"/>
                <c:pt idx="0">
                  <c:v>Biodiesel</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'Rail&amp;Bus2'!$T$9:$W$9</c:f>
              <c:numCache>
                <c:formatCode>0</c:formatCode>
                <c:ptCount val="4"/>
                <c:pt idx="0">
                  <c:v>10426.65660557352</c:v>
                </c:pt>
                <c:pt idx="1">
                  <c:v>10488.438715335413</c:v>
                </c:pt>
                <c:pt idx="2">
                  <c:v>10749.403772715079</c:v>
                </c:pt>
                <c:pt idx="3">
                  <c:v>11404.873343470175</c:v>
                </c:pt>
              </c:numCache>
            </c:numRef>
          </c:yVal>
          <c:smooth val="1"/>
          <c:extLst>
            <c:ext xmlns:c16="http://schemas.microsoft.com/office/drawing/2014/chart" uri="{C3380CC4-5D6E-409C-BE32-E72D297353CC}">
              <c16:uniqueId val="{00000002-2051-44B5-A3F1-253B0F47BBB4}"/>
            </c:ext>
          </c:extLst>
        </c:ser>
        <c:ser>
          <c:idx val="3"/>
          <c:order val="3"/>
          <c:tx>
            <c:strRef>
              <c:f>'Rail&amp;Bus2'!$S$10</c:f>
              <c:strCache>
                <c:ptCount val="1"/>
                <c:pt idx="0">
                  <c:v>CNG</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'Rail&amp;Bus2'!$T$10:$W$10</c:f>
              <c:numCache>
                <c:formatCode>0</c:formatCode>
                <c:ptCount val="4"/>
                <c:pt idx="0">
                  <c:v>12020.946606425739</c:v>
                </c:pt>
                <c:pt idx="1">
                  <c:v>12033.045602920778</c:v>
                </c:pt>
                <c:pt idx="2">
                  <c:v>12046.850043070701</c:v>
                </c:pt>
                <c:pt idx="3">
                  <c:v>12573.413816062179</c:v>
                </c:pt>
              </c:numCache>
            </c:numRef>
          </c:yVal>
          <c:smooth val="1"/>
          <c:extLst>
            <c:ext xmlns:c16="http://schemas.microsoft.com/office/drawing/2014/chart" uri="{C3380CC4-5D6E-409C-BE32-E72D297353CC}">
              <c16:uniqueId val="{00000003-2051-44B5-A3F1-253B0F47BBB4}"/>
            </c:ext>
          </c:extLst>
        </c:ser>
        <c:ser>
          <c:idx val="4"/>
          <c:order val="4"/>
          <c:tx>
            <c:strRef>
              <c:f>'Rail&amp;Bus2'!$S$11</c:f>
              <c:strCache>
                <c:ptCount val="1"/>
                <c:pt idx="0">
                  <c:v>adv CNG</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'Rail&amp;Bus2'!$T$11:$W$11</c:f>
              <c:numCache>
                <c:formatCode>0</c:formatCode>
                <c:ptCount val="4"/>
                <c:pt idx="1">
                  <c:v>12097.884639988599</c:v>
                </c:pt>
                <c:pt idx="2">
                  <c:v>12081.087628897085</c:v>
                </c:pt>
                <c:pt idx="3">
                  <c:v>12404.542716046335</c:v>
                </c:pt>
              </c:numCache>
            </c:numRef>
          </c:yVal>
          <c:smooth val="1"/>
          <c:extLst>
            <c:ext xmlns:c16="http://schemas.microsoft.com/office/drawing/2014/chart" uri="{C3380CC4-5D6E-409C-BE32-E72D297353CC}">
              <c16:uniqueId val="{00000004-2051-44B5-A3F1-253B0F47BBB4}"/>
            </c:ext>
          </c:extLst>
        </c:ser>
        <c:ser>
          <c:idx val="5"/>
          <c:order val="5"/>
          <c:tx>
            <c:strRef>
              <c:f>'Rail&amp;Bus2'!$S$12</c:f>
              <c:strCache>
                <c:ptCount val="1"/>
                <c:pt idx="0">
                  <c:v>H2</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'Rail&amp;Bus2'!$T$12:$W$12</c:f>
              <c:numCache>
                <c:formatCode>0</c:formatCode>
                <c:ptCount val="4"/>
                <c:pt idx="0">
                  <c:v>63771.600034088806</c:v>
                </c:pt>
                <c:pt idx="1">
                  <c:v>51017.280027271045</c:v>
                </c:pt>
                <c:pt idx="2">
                  <c:v>31885.800017044403</c:v>
                </c:pt>
                <c:pt idx="3">
                  <c:v>19131.480010226642</c:v>
                </c:pt>
              </c:numCache>
            </c:numRef>
          </c:yVal>
          <c:smooth val="1"/>
          <c:extLst>
            <c:ext xmlns:c16="http://schemas.microsoft.com/office/drawing/2014/chart" uri="{C3380CC4-5D6E-409C-BE32-E72D297353CC}">
              <c16:uniqueId val="{00000005-2051-44B5-A3F1-253B0F47BBB4}"/>
            </c:ext>
          </c:extLst>
        </c:ser>
        <c:ser>
          <c:idx val="6"/>
          <c:order val="6"/>
          <c:tx>
            <c:strRef>
              <c:f>'Rail&amp;Bus2'!$S$13</c:f>
              <c:strCache>
                <c:ptCount val="1"/>
                <c:pt idx="0">
                  <c:v>H2 Hybrid</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'Rail&amp;Bus2'!$T$13:$W$13</c:f>
              <c:numCache>
                <c:formatCode>0</c:formatCode>
                <c:ptCount val="4"/>
                <c:pt idx="0">
                  <c:v>63771.600034088806</c:v>
                </c:pt>
                <c:pt idx="1">
                  <c:v>51017.280027271045</c:v>
                </c:pt>
                <c:pt idx="2">
                  <c:v>31885.800017044403</c:v>
                </c:pt>
                <c:pt idx="3">
                  <c:v>19131.480010226642</c:v>
                </c:pt>
              </c:numCache>
            </c:numRef>
          </c:yVal>
          <c:smooth val="1"/>
          <c:extLst>
            <c:ext xmlns:c16="http://schemas.microsoft.com/office/drawing/2014/chart" uri="{C3380CC4-5D6E-409C-BE32-E72D297353CC}">
              <c16:uniqueId val="{00000006-2051-44B5-A3F1-253B0F47BBB4}"/>
            </c:ext>
          </c:extLst>
        </c:ser>
        <c:dLbls>
          <c:showLegendKey val="0"/>
          <c:showVal val="0"/>
          <c:showCatName val="0"/>
          <c:showSerName val="0"/>
          <c:showPercent val="0"/>
          <c:showBubbleSize val="0"/>
        </c:dLbls>
        <c:axId val="755579536"/>
        <c:axId val="968808488"/>
      </c:scatterChart>
      <c:valAx>
        <c:axId val="75557953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8808488"/>
        <c:crosses val="autoZero"/>
        <c:crossBetween val="midCat"/>
      </c:valAx>
      <c:valAx>
        <c:axId val="96880848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55579536"/>
        <c:crosses val="autoZero"/>
        <c:crossBetween val="midCat"/>
      </c:valAx>
    </c:plotArea>
    <c:legend>
      <c:legendPos val="r"/>
      <c:layout>
        <c:manualLayout>
          <c:xMode val="edge"/>
          <c:yMode val="edge"/>
          <c:x val="0.72662483414738721"/>
          <c:y val="7.2730259862555352E-2"/>
          <c:w val="0.23663856587462995"/>
          <c:h val="0.66009443476054042"/>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image" Target="../media/image36.jpeg"/><Relationship Id="rId2" Type="http://schemas.openxmlformats.org/officeDocument/2006/relationships/image" Target="../media/image35.png"/><Relationship Id="rId1"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4" Type="http://schemas.openxmlformats.org/officeDocument/2006/relationships/image" Target="../media/image16.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5" Type="http://schemas.openxmlformats.org/officeDocument/2006/relationships/image" Target="../media/image21.emf"/><Relationship Id="rId4" Type="http://schemas.openxmlformats.org/officeDocument/2006/relationships/image" Target="../media/image20.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4.emf"/><Relationship Id="rId7" Type="http://schemas.openxmlformats.org/officeDocument/2006/relationships/image" Target="../media/image28.emf"/><Relationship Id="rId2" Type="http://schemas.openxmlformats.org/officeDocument/2006/relationships/image" Target="../media/image23.emf"/><Relationship Id="rId1" Type="http://schemas.openxmlformats.org/officeDocument/2006/relationships/image" Target="../media/image22.emf"/><Relationship Id="rId6" Type="http://schemas.openxmlformats.org/officeDocument/2006/relationships/image" Target="../media/image27.emf"/><Relationship Id="rId5" Type="http://schemas.openxmlformats.org/officeDocument/2006/relationships/image" Target="../media/image26.emf"/><Relationship Id="rId4" Type="http://schemas.openxmlformats.org/officeDocument/2006/relationships/image" Target="../media/image25.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31.emf"/><Relationship Id="rId2" Type="http://schemas.openxmlformats.org/officeDocument/2006/relationships/image" Target="../media/image30.emf"/><Relationship Id="rId1" Type="http://schemas.openxmlformats.org/officeDocument/2006/relationships/image" Target="../media/image29.emf"/><Relationship Id="rId6" Type="http://schemas.openxmlformats.org/officeDocument/2006/relationships/image" Target="../media/image34.emf"/><Relationship Id="rId5" Type="http://schemas.openxmlformats.org/officeDocument/2006/relationships/image" Target="../media/image33.emf"/><Relationship Id="rId4" Type="http://schemas.openxmlformats.org/officeDocument/2006/relationships/image" Target="../media/image3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104775</xdr:rowOff>
        </xdr:from>
        <xdr:to>
          <xdr:col>4</xdr:col>
          <xdr:colOff>981075</xdr:colOff>
          <xdr:row>4</xdr:row>
          <xdr:rowOff>123825</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180975</xdr:rowOff>
        </xdr:from>
        <xdr:to>
          <xdr:col>4</xdr:col>
          <xdr:colOff>981075</xdr:colOff>
          <xdr:row>6</xdr:row>
          <xdr:rowOff>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180975</xdr:rowOff>
        </xdr:from>
        <xdr:to>
          <xdr:col>4</xdr:col>
          <xdr:colOff>1971675</xdr:colOff>
          <xdr:row>6</xdr:row>
          <xdr:rowOff>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104775</xdr:rowOff>
        </xdr:from>
        <xdr:to>
          <xdr:col>4</xdr:col>
          <xdr:colOff>1971675</xdr:colOff>
          <xdr:row>4</xdr:row>
          <xdr:rowOff>123825</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180975</xdr:rowOff>
        </xdr:from>
        <xdr:to>
          <xdr:col>3</xdr:col>
          <xdr:colOff>676275</xdr:colOff>
          <xdr:row>6</xdr:row>
          <xdr:rowOff>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114300</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28575</xdr:colOff>
          <xdr:row>4</xdr:row>
          <xdr:rowOff>28575</xdr:rowOff>
        </xdr:from>
        <xdr:to>
          <xdr:col>5</xdr:col>
          <xdr:colOff>1828800</xdr:colOff>
          <xdr:row>5</xdr:row>
          <xdr:rowOff>104775</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3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28575</xdr:rowOff>
        </xdr:from>
        <xdr:to>
          <xdr:col>3</xdr:col>
          <xdr:colOff>647700</xdr:colOff>
          <xdr:row>5</xdr:row>
          <xdr:rowOff>104775</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3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28575</xdr:rowOff>
        </xdr:from>
        <xdr:to>
          <xdr:col>4</xdr:col>
          <xdr:colOff>647700</xdr:colOff>
          <xdr:row>5</xdr:row>
          <xdr:rowOff>104775</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3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257175</xdr:colOff>
          <xdr:row>3</xdr:row>
          <xdr:rowOff>209550</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3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4</xdr:row>
          <xdr:rowOff>28575</xdr:rowOff>
        </xdr:from>
        <xdr:to>
          <xdr:col>4</xdr:col>
          <xdr:colOff>1000125</xdr:colOff>
          <xdr:row>5</xdr:row>
          <xdr:rowOff>47625</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04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04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9525</xdr:rowOff>
        </xdr:from>
        <xdr:to>
          <xdr:col>3</xdr:col>
          <xdr:colOff>581025</xdr:colOff>
          <xdr:row>5</xdr:row>
          <xdr:rowOff>28575</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04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xdr:row>
          <xdr:rowOff>47625</xdr:rowOff>
        </xdr:from>
        <xdr:to>
          <xdr:col>3</xdr:col>
          <xdr:colOff>581025</xdr:colOff>
          <xdr:row>4</xdr:row>
          <xdr:rowOff>28575</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04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4</xdr:row>
          <xdr:rowOff>238125</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28575</xdr:rowOff>
        </xdr:from>
        <xdr:to>
          <xdr:col>2</xdr:col>
          <xdr:colOff>1400175</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05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28575</xdr:rowOff>
        </xdr:from>
        <xdr:to>
          <xdr:col>0</xdr:col>
          <xdr:colOff>695325</xdr:colOff>
          <xdr:row>4</xdr:row>
          <xdr:rowOff>9525</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05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3</xdr:col>
          <xdr:colOff>285750</xdr:colOff>
          <xdr:row>4</xdr:row>
          <xdr:rowOff>9525</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05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1543050</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06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9525</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5</xdr:col>
          <xdr:colOff>695325</xdr:colOff>
          <xdr:row>4</xdr:row>
          <xdr:rowOff>9525</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0</xdr:col>
          <xdr:colOff>695325</xdr:colOff>
          <xdr:row>4</xdr:row>
          <xdr:rowOff>219075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06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06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28575</xdr:rowOff>
        </xdr:from>
        <xdr:to>
          <xdr:col>4</xdr:col>
          <xdr:colOff>0</xdr:colOff>
          <xdr:row>4</xdr:row>
          <xdr:rowOff>28575</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06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3</xdr:row>
          <xdr:rowOff>0</xdr:rowOff>
        </xdr:from>
        <xdr:to>
          <xdr:col>2</xdr:col>
          <xdr:colOff>1000125</xdr:colOff>
          <xdr:row>4</xdr:row>
          <xdr:rowOff>28575</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0</xdr:col>
          <xdr:colOff>695325</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07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07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1019175</xdr:colOff>
          <xdr:row>2</xdr:row>
          <xdr:rowOff>28575</xdr:rowOff>
        </xdr:from>
        <xdr:to>
          <xdr:col>3</xdr:col>
          <xdr:colOff>342900</xdr:colOff>
          <xdr:row>4</xdr:row>
          <xdr:rowOff>28575</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07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17</xdr:col>
      <xdr:colOff>257175</xdr:colOff>
      <xdr:row>199</xdr:row>
      <xdr:rowOff>66675</xdr:rowOff>
    </xdr:from>
    <xdr:to>
      <xdr:col>25</xdr:col>
      <xdr:colOff>447675</xdr:colOff>
      <xdr:row>221</xdr:row>
      <xdr:rowOff>28575</xdr:rowOff>
    </xdr:to>
    <xdr:graphicFrame macro="">
      <xdr:nvGraphicFramePr>
        <xdr:cNvPr id="92169" name="Chart 12">
          <a:extLst>
            <a:ext uri="{FF2B5EF4-FFF2-40B4-BE49-F238E27FC236}">
              <a16:creationId xmlns:a16="http://schemas.microsoft.com/office/drawing/2014/main" id="{00000000-0008-0000-1300-00000968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57</xdr:row>
      <xdr:rowOff>38100</xdr:rowOff>
    </xdr:from>
    <xdr:to>
      <xdr:col>6</xdr:col>
      <xdr:colOff>685800</xdr:colOff>
      <xdr:row>80</xdr:row>
      <xdr:rowOff>47625</xdr:rowOff>
    </xdr:to>
    <xdr:graphicFrame macro="">
      <xdr:nvGraphicFramePr>
        <xdr:cNvPr id="3" name="Chart 1">
          <a:extLst>
            <a:ext uri="{FF2B5EF4-FFF2-40B4-BE49-F238E27FC236}">
              <a16:creationId xmlns:a16="http://schemas.microsoft.com/office/drawing/2014/main" id="{00000000-0008-0000-1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23811</xdr:colOff>
      <xdr:row>46</xdr:row>
      <xdr:rowOff>130970</xdr:rowOff>
    </xdr:from>
    <xdr:to>
      <xdr:col>23</xdr:col>
      <xdr:colOff>554789</xdr:colOff>
      <xdr:row>77</xdr:row>
      <xdr:rowOff>20954</xdr:rowOff>
    </xdr:to>
    <xdr:pic>
      <xdr:nvPicPr>
        <xdr:cNvPr id="6" name="Picture 5">
          <a:extLst>
            <a:ext uri="{FF2B5EF4-FFF2-40B4-BE49-F238E27FC236}">
              <a16:creationId xmlns:a16="http://schemas.microsoft.com/office/drawing/2014/main" id="{00000000-0008-0000-1500-000006000000}"/>
            </a:ext>
          </a:extLst>
        </xdr:cNvPr>
        <xdr:cNvPicPr>
          <a:picLocks noChangeAspect="1"/>
        </xdr:cNvPicPr>
      </xdr:nvPicPr>
      <xdr:blipFill>
        <a:blip xmlns:r="http://schemas.openxmlformats.org/officeDocument/2006/relationships" r:embed="rId2"/>
        <a:stretch>
          <a:fillRect/>
        </a:stretch>
      </xdr:blipFill>
      <xdr:spPr>
        <a:xfrm>
          <a:off x="14920911" y="7617620"/>
          <a:ext cx="7243722" cy="4374355"/>
        </a:xfrm>
        <a:prstGeom prst="rect">
          <a:avLst/>
        </a:prstGeom>
        <a:solidFill>
          <a:schemeClr val="bg1"/>
        </a:solidFill>
        <a:ln w="19050">
          <a:solidFill>
            <a:schemeClr val="tx1"/>
          </a:solidFill>
        </a:ln>
      </xdr:spPr>
    </xdr:pic>
    <xdr:clientData/>
  </xdr:twoCellAnchor>
  <xdr:twoCellAnchor editAs="oneCell">
    <xdr:from>
      <xdr:col>23</xdr:col>
      <xdr:colOff>398915</xdr:colOff>
      <xdr:row>47</xdr:row>
      <xdr:rowOff>1</xdr:rowOff>
    </xdr:from>
    <xdr:to>
      <xdr:col>26</xdr:col>
      <xdr:colOff>1580196</xdr:colOff>
      <xdr:row>76</xdr:row>
      <xdr:rowOff>132398</xdr:rowOff>
    </xdr:to>
    <xdr:pic>
      <xdr:nvPicPr>
        <xdr:cNvPr id="7" name="Picture 6" descr="NYC Car Ownership Rates">
          <a:extLst>
            <a:ext uri="{FF2B5EF4-FFF2-40B4-BE49-F238E27FC236}">
              <a16:creationId xmlns:a16="http://schemas.microsoft.com/office/drawing/2014/main" id="{00000000-0008-0000-15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239740" y="7658101"/>
          <a:ext cx="4339771" cy="4333874"/>
        </a:xfrm>
        <a:prstGeom prst="rect">
          <a:avLst/>
        </a:prstGeom>
        <a:noFill/>
        <a:ln w="190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c:userShapes xmlns:c="http://schemas.openxmlformats.org/drawingml/2006/chart">
  <cdr:relSizeAnchor xmlns:cdr="http://schemas.openxmlformats.org/drawingml/2006/chartDrawing">
    <cdr:from>
      <cdr:x>0.45696</cdr:x>
      <cdr:y>0.38779</cdr:y>
    </cdr:from>
    <cdr:to>
      <cdr:x>0.63723</cdr:x>
      <cdr:y>0.39022</cdr:y>
    </cdr:to>
    <cdr:sp macro="" textlink="">
      <cdr:nvSpPr>
        <cdr:cNvPr id="96257" name="Line 1"/>
        <cdr:cNvSpPr>
          <a:spLocks xmlns:a="http://schemas.openxmlformats.org/drawingml/2006/main" noChangeShapeType="1"/>
        </cdr:cNvSpPr>
      </cdr:nvSpPr>
      <cdr:spPr bwMode="auto">
        <a:xfrm xmlns:a="http://schemas.openxmlformats.org/drawingml/2006/main">
          <a:off x="2679998" y="1403090"/>
          <a:ext cx="1056001" cy="8787"/>
        </a:xfrm>
        <a:prstGeom xmlns:a="http://schemas.openxmlformats.org/drawingml/2006/main" prst="line">
          <a:avLst/>
        </a:prstGeom>
        <a:noFill xmlns:a="http://schemas.openxmlformats.org/drawingml/2006/main"/>
        <a:ln xmlns:a="http://schemas.openxmlformats.org/drawingml/2006/main" w="9525">
          <a:solidFill>
            <a:srgbClr val="000000"/>
          </a:solidFill>
          <a:round/>
          <a:headEnd/>
          <a:tailEnd type="triangle" w="med" len="med"/>
        </a:ln>
      </cdr:spPr>
      <cdr:txBody>
        <a:bodyPr xmlns:a="http://schemas.openxmlformats.org/drawingml/2006/main"/>
        <a:lstStyle xmlns:a="http://schemas.openxmlformats.org/drawingml/2006/main"/>
        <a:p xmlns:a="http://schemas.openxmlformats.org/drawingml/2006/main">
          <a:endParaRPr lang="en-US"/>
        </a:p>
      </cdr:txBody>
    </cdr:sp>
  </cdr:relSizeAnchor>
</c:userShapes>
</file>

<file path=xl/drawings/drawing10.xml><?xml version="1.0" encoding="utf-8"?>
<xdr:wsDr xmlns:xdr="http://schemas.openxmlformats.org/drawingml/2006/spreadsheetDrawing" xmlns:a="http://schemas.openxmlformats.org/drawingml/2006/main">
  <xdr:twoCellAnchor>
    <xdr:from>
      <xdr:col>14</xdr:col>
      <xdr:colOff>0</xdr:colOff>
      <xdr:row>3</xdr:row>
      <xdr:rowOff>0</xdr:rowOff>
    </xdr:from>
    <xdr:to>
      <xdr:col>22</xdr:col>
      <xdr:colOff>123825</xdr:colOff>
      <xdr:row>24</xdr:row>
      <xdr:rowOff>66675</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0.45696</cdr:x>
      <cdr:y>0.38779</cdr:y>
    </cdr:from>
    <cdr:to>
      <cdr:x>0.63723</cdr:x>
      <cdr:y>0.39022</cdr:y>
    </cdr:to>
    <cdr:sp macro="" textlink="">
      <cdr:nvSpPr>
        <cdr:cNvPr id="96257" name="Line 1"/>
        <cdr:cNvSpPr>
          <a:spLocks xmlns:a="http://schemas.openxmlformats.org/drawingml/2006/main" noChangeShapeType="1"/>
        </cdr:cNvSpPr>
      </cdr:nvSpPr>
      <cdr:spPr bwMode="auto">
        <a:xfrm xmlns:a="http://schemas.openxmlformats.org/drawingml/2006/main">
          <a:off x="2679998" y="1403090"/>
          <a:ext cx="1056001" cy="8787"/>
        </a:xfrm>
        <a:prstGeom xmlns:a="http://schemas.openxmlformats.org/drawingml/2006/main" prst="line">
          <a:avLst/>
        </a:prstGeom>
        <a:noFill xmlns:a="http://schemas.openxmlformats.org/drawingml/2006/main"/>
        <a:ln xmlns:a="http://schemas.openxmlformats.org/drawingml/2006/main" w="9525">
          <a:solidFill>
            <a:srgbClr val="000000"/>
          </a:solidFill>
          <a:round/>
          <a:headEnd/>
          <a:tailEnd type="triangle" w="med" len="med"/>
        </a:ln>
      </cdr:spPr>
      <cdr:txBody>
        <a:bodyPr xmlns:a="http://schemas.openxmlformats.org/drawingml/2006/main"/>
        <a:lstStyle xmlns:a="http://schemas.openxmlformats.org/drawingml/2006/main"/>
        <a:p xmlns:a="http://schemas.openxmlformats.org/drawingml/2006/main">
          <a:endParaRPr lang="en-US"/>
        </a:p>
      </cdr:txBody>
    </cdr:sp>
  </cdr:relSizeAnchor>
</c:userShapes>
</file>

<file path=xl/drawings/drawing12.xml><?xml version="1.0" encoding="utf-8"?>
<xdr:wsDr xmlns:xdr="http://schemas.openxmlformats.org/drawingml/2006/spreadsheetDrawing" xmlns:a="http://schemas.openxmlformats.org/drawingml/2006/main">
  <xdr:twoCellAnchor>
    <xdr:from>
      <xdr:col>3</xdr:col>
      <xdr:colOff>47625</xdr:colOff>
      <xdr:row>89</xdr:row>
      <xdr:rowOff>114300</xdr:rowOff>
    </xdr:from>
    <xdr:to>
      <xdr:col>8</xdr:col>
      <xdr:colOff>104775</xdr:colOff>
      <xdr:row>97</xdr:row>
      <xdr:rowOff>104775</xdr:rowOff>
    </xdr:to>
    <xdr:sp macro="" textlink="">
      <xdr:nvSpPr>
        <xdr:cNvPr id="352271" name="Line 125">
          <a:extLst>
            <a:ext uri="{FF2B5EF4-FFF2-40B4-BE49-F238E27FC236}">
              <a16:creationId xmlns:a16="http://schemas.microsoft.com/office/drawing/2014/main" id="{00000000-0008-0000-2B00-00000F600500}"/>
            </a:ext>
          </a:extLst>
        </xdr:cNvPr>
        <xdr:cNvSpPr>
          <a:spLocks noChangeShapeType="1"/>
        </xdr:cNvSpPr>
      </xdr:nvSpPr>
      <xdr:spPr bwMode="auto">
        <a:xfrm flipH="1" flipV="1">
          <a:off x="4381500" y="15382875"/>
          <a:ext cx="5153025" cy="1285875"/>
        </a:xfrm>
        <a:prstGeom prst="line">
          <a:avLst/>
        </a:prstGeom>
        <a:noFill/>
        <a:ln w="9525">
          <a:solidFill>
            <a:srgbClr val="000000"/>
          </a:solidFill>
          <a:round/>
          <a:headEnd/>
          <a:tailEnd type="triangle" w="med" len="med"/>
        </a:ln>
      </xdr:spPr>
    </xdr:sp>
    <xdr:clientData/>
  </xdr:twoCellAnchor>
  <xdr:twoCellAnchor>
    <xdr:from>
      <xdr:col>12</xdr:col>
      <xdr:colOff>76200</xdr:colOff>
      <xdr:row>92</xdr:row>
      <xdr:rowOff>114300</xdr:rowOff>
    </xdr:from>
    <xdr:to>
      <xdr:col>20</xdr:col>
      <xdr:colOff>561975</xdr:colOff>
      <xdr:row>98</xdr:row>
      <xdr:rowOff>85725</xdr:rowOff>
    </xdr:to>
    <xdr:sp macro="" textlink="">
      <xdr:nvSpPr>
        <xdr:cNvPr id="352272" name="Line 126">
          <a:extLst>
            <a:ext uri="{FF2B5EF4-FFF2-40B4-BE49-F238E27FC236}">
              <a16:creationId xmlns:a16="http://schemas.microsoft.com/office/drawing/2014/main" id="{00000000-0008-0000-2B00-000010600500}"/>
            </a:ext>
          </a:extLst>
        </xdr:cNvPr>
        <xdr:cNvSpPr>
          <a:spLocks noChangeShapeType="1"/>
        </xdr:cNvSpPr>
      </xdr:nvSpPr>
      <xdr:spPr bwMode="auto">
        <a:xfrm flipV="1">
          <a:off x="12868275" y="15868650"/>
          <a:ext cx="6267450" cy="942975"/>
        </a:xfrm>
        <a:prstGeom prst="line">
          <a:avLst/>
        </a:prstGeom>
        <a:noFill/>
        <a:ln w="9525">
          <a:solidFill>
            <a:srgbClr val="000000"/>
          </a:solidFill>
          <a:round/>
          <a:headEnd/>
          <a:tailEnd type="triangle" w="med" len="me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9</xdr:col>
      <xdr:colOff>209550</xdr:colOff>
      <xdr:row>23</xdr:row>
      <xdr:rowOff>95250</xdr:rowOff>
    </xdr:from>
    <xdr:to>
      <xdr:col>16</xdr:col>
      <xdr:colOff>304800</xdr:colOff>
      <xdr:row>54</xdr:row>
      <xdr:rowOff>85725</xdr:rowOff>
    </xdr:to>
    <xdr:graphicFrame macro="">
      <xdr:nvGraphicFramePr>
        <xdr:cNvPr id="353323" name="Chart 1">
          <a:extLst>
            <a:ext uri="{FF2B5EF4-FFF2-40B4-BE49-F238E27FC236}">
              <a16:creationId xmlns:a16="http://schemas.microsoft.com/office/drawing/2014/main" id="{00000000-0008-0000-2C00-00002B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23</xdr:row>
      <xdr:rowOff>0</xdr:rowOff>
    </xdr:from>
    <xdr:to>
      <xdr:col>25</xdr:col>
      <xdr:colOff>304800</xdr:colOff>
      <xdr:row>53</xdr:row>
      <xdr:rowOff>152400</xdr:rowOff>
    </xdr:to>
    <xdr:graphicFrame macro="">
      <xdr:nvGraphicFramePr>
        <xdr:cNvPr id="353324" name="Chart 2">
          <a:extLst>
            <a:ext uri="{FF2B5EF4-FFF2-40B4-BE49-F238E27FC236}">
              <a16:creationId xmlns:a16="http://schemas.microsoft.com/office/drawing/2014/main" id="{00000000-0008-0000-2C00-00002C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495300</xdr:colOff>
      <xdr:row>86</xdr:row>
      <xdr:rowOff>57150</xdr:rowOff>
    </xdr:from>
    <xdr:to>
      <xdr:col>16</xdr:col>
      <xdr:colOff>190500</xdr:colOff>
      <xdr:row>108</xdr:row>
      <xdr:rowOff>0</xdr:rowOff>
    </xdr:to>
    <xdr:graphicFrame macro="">
      <xdr:nvGraphicFramePr>
        <xdr:cNvPr id="353325" name="Chart 3">
          <a:extLst>
            <a:ext uri="{FF2B5EF4-FFF2-40B4-BE49-F238E27FC236}">
              <a16:creationId xmlns:a16="http://schemas.microsoft.com/office/drawing/2014/main" id="{00000000-0008-0000-2C00-00002D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561975</xdr:colOff>
      <xdr:row>88</xdr:row>
      <xdr:rowOff>104775</xdr:rowOff>
    </xdr:from>
    <xdr:to>
      <xdr:col>24</xdr:col>
      <xdr:colOff>257175</xdr:colOff>
      <xdr:row>119</xdr:row>
      <xdr:rowOff>57150</xdr:rowOff>
    </xdr:to>
    <xdr:graphicFrame macro="">
      <xdr:nvGraphicFramePr>
        <xdr:cNvPr id="353326" name="Chart 4">
          <a:extLst>
            <a:ext uri="{FF2B5EF4-FFF2-40B4-BE49-F238E27FC236}">
              <a16:creationId xmlns:a16="http://schemas.microsoft.com/office/drawing/2014/main" id="{00000000-0008-0000-2C00-00002E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161925</xdr:colOff>
      <xdr:row>133</xdr:row>
      <xdr:rowOff>152400</xdr:rowOff>
    </xdr:from>
    <xdr:to>
      <xdr:col>18</xdr:col>
      <xdr:colOff>466725</xdr:colOff>
      <xdr:row>155</xdr:row>
      <xdr:rowOff>28575</xdr:rowOff>
    </xdr:to>
    <xdr:graphicFrame macro="">
      <xdr:nvGraphicFramePr>
        <xdr:cNvPr id="353327" name="Chart 5">
          <a:extLst>
            <a:ext uri="{FF2B5EF4-FFF2-40B4-BE49-F238E27FC236}">
              <a16:creationId xmlns:a16="http://schemas.microsoft.com/office/drawing/2014/main" id="{00000000-0008-0000-2C00-00002F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276225</xdr:colOff>
      <xdr:row>175</xdr:row>
      <xdr:rowOff>76200</xdr:rowOff>
    </xdr:from>
    <xdr:to>
      <xdr:col>15</xdr:col>
      <xdr:colOff>581025</xdr:colOff>
      <xdr:row>194</xdr:row>
      <xdr:rowOff>47625</xdr:rowOff>
    </xdr:to>
    <xdr:graphicFrame macro="">
      <xdr:nvGraphicFramePr>
        <xdr:cNvPr id="353328" name="Chart 6">
          <a:extLst>
            <a:ext uri="{FF2B5EF4-FFF2-40B4-BE49-F238E27FC236}">
              <a16:creationId xmlns:a16="http://schemas.microsoft.com/office/drawing/2014/main" id="{00000000-0008-0000-2C00-000030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9</xdr:col>
      <xdr:colOff>371475</xdr:colOff>
      <xdr:row>19</xdr:row>
      <xdr:rowOff>133350</xdr:rowOff>
    </xdr:from>
    <xdr:to>
      <xdr:col>16</xdr:col>
      <xdr:colOff>238125</xdr:colOff>
      <xdr:row>46</xdr:row>
      <xdr:rowOff>19050</xdr:rowOff>
    </xdr:to>
    <xdr:graphicFrame macro="">
      <xdr:nvGraphicFramePr>
        <xdr:cNvPr id="360463" name="Chart 3">
          <a:extLst>
            <a:ext uri="{FF2B5EF4-FFF2-40B4-BE49-F238E27FC236}">
              <a16:creationId xmlns:a16="http://schemas.microsoft.com/office/drawing/2014/main" id="{00000000-0008-0000-2D00-00000F80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390525</xdr:colOff>
      <xdr:row>19</xdr:row>
      <xdr:rowOff>28575</xdr:rowOff>
    </xdr:from>
    <xdr:to>
      <xdr:col>24</xdr:col>
      <xdr:colOff>409575</xdr:colOff>
      <xdr:row>45</xdr:row>
      <xdr:rowOff>57150</xdr:rowOff>
    </xdr:to>
    <xdr:graphicFrame macro="">
      <xdr:nvGraphicFramePr>
        <xdr:cNvPr id="360464" name="Chart 4">
          <a:extLst>
            <a:ext uri="{FF2B5EF4-FFF2-40B4-BE49-F238E27FC236}">
              <a16:creationId xmlns:a16="http://schemas.microsoft.com/office/drawing/2014/main" id="{00000000-0008-0000-2D00-00001080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2626umcec001\nrml_appcd\MARKAL%202005%20USEPA%20NM\MARKAL_14_Residenti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2626umcec001\cgage$\MARKAL%202005%20USEPA%20NM\MARKAL_14_Residenti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ITEMS-C"/>
      <sheetName val="TS-C"/>
      <sheetName val="Sheet3"/>
      <sheetName val="MARKAL data"/>
      <sheetName val="RESID calcs"/>
      <sheetName val="RESID data"/>
      <sheetName val="Input-Output"/>
      <sheetName val="IBOND"/>
      <sheetName val="GROWTH"/>
      <sheetName val="AEO HW"/>
      <sheetName val="Conversions"/>
      <sheetName val="RTEKTY05"/>
      <sheetName val="RTEK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3">
          <cell r="B33">
            <v>9.9441618796908582</v>
          </cell>
        </row>
      </sheetData>
      <sheetData sheetId="13">
        <row r="5">
          <cell r="D5">
            <v>1055.056</v>
          </cell>
        </row>
      </sheetData>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ITEMS-C"/>
      <sheetName val="TS-C"/>
      <sheetName val="Sheet3"/>
      <sheetName val="MARKAL data"/>
      <sheetName val="RESID calcs"/>
      <sheetName val="RESID data"/>
      <sheetName val="Input-Output"/>
      <sheetName val="IBOND"/>
      <sheetName val="GROWTH"/>
      <sheetName val="AEO HW"/>
      <sheetName val="Conversions"/>
      <sheetName val="RTEKTY05"/>
      <sheetName val="RTEK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3">
          <cell r="B33">
            <v>9.9441618796908582</v>
          </cell>
        </row>
      </sheetData>
      <sheetData sheetId="13">
        <row r="5">
          <cell r="D5">
            <v>1055.056</v>
          </cell>
        </row>
      </sheetData>
      <sheetData sheetId="14"/>
      <sheetData sheetId="15"/>
      <sheetData sheetId="1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RN_HDV/TRN%20DMD_MI.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RN_HDV/TRN%20DMD_MI.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L/Original%20Files/Road%20Transport%20GHG%20tables_MI.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L/Original%20Files/Road%20Transport%20GHG%20tables_MI.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5626620374" createdVersion="6" refreshedVersion="6" minRefreshableVersion="3" recordCount="13" xr:uid="{00000000-000A-0000-FFFF-FFFF0B000000}">
  <cacheSource type="worksheet">
    <worksheetSource ref="A1:I14" sheet="2010 GHG" r:id="rId2"/>
  </cacheSource>
  <cacheFields count="7">
    <cacheField name="GHG Emissions 2010" numFmtId="0">
      <sharedItems containsBlank="1"/>
    </cacheField>
    <cacheField name="Sector" numFmtId="0">
      <sharedItems/>
    </cacheField>
    <cacheField name="Fuel Type" numFmtId="0">
      <sharedItems count="4">
        <s v="CNG"/>
        <s v="Diesel"/>
        <s v="Electricity"/>
        <s v="Gasoline"/>
      </sharedItems>
    </cacheField>
    <cacheField name="Units" numFmtId="0">
      <sharedItems/>
    </cacheField>
    <cacheField name="Consumed" numFmtId="3">
      <sharedItems containsSemiMixedTypes="0" containsString="0" containsNumber="1" containsInteger="1" minValue="855804" maxValue="3629210490"/>
    </cacheField>
    <cacheField name="MgCO2e" numFmtId="3">
      <sharedItems containsSemiMixedTypes="0" containsString="0" containsNumber="1" containsInteger="1" minValue="13789" maxValue="7790907"/>
    </cacheField>
    <cacheField name="Source GJ" numFmtId="3">
      <sharedItems containsSemiMixedTypes="0" containsString="0" containsNumber="1" containsInteger="1" minValue="195751" maxValue="1223513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6417708331" createdVersion="6" refreshedVersion="6" minRefreshableVersion="3" recordCount="70" xr:uid="{00000000-000A-0000-FFFF-FFFF0C000000}">
  <cacheSource type="worksheet">
    <worksheetSource ref="A1:F71" sheet="Fuel consumptions" r:id="rId2"/>
  </cacheSource>
  <cacheFields count="6">
    <cacheField name="GPC ID" numFmtId="0">
      <sharedItems/>
    </cacheField>
    <cacheField name="Sector" numFmtId="0">
      <sharedItems/>
    </cacheField>
    <cacheField name="Sub-Sector / Service Class" numFmtId="0">
      <sharedItems/>
    </cacheField>
    <cacheField name="FuelType" numFmtId="0">
      <sharedItems count="7">
        <s v="Gasoline"/>
        <s v="Gasoline Hybrid"/>
        <s v="Diesel"/>
        <s v="Diesel Hybrid"/>
        <s v="CNG"/>
        <s v="Electricity"/>
        <s v="Fuel Cell"/>
      </sharedItems>
    </cacheField>
    <cacheField name="Original Units" numFmtId="0">
      <sharedItems count="1">
        <s v="GJ"/>
      </sharedItems>
    </cacheField>
    <cacheField name="2010" numFmtId="174">
      <sharedItems containsSemiMixedTypes="0" containsString="0" containsNumber="1" minValue="0" maxValue="197140277.4329384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6417708331" createdVersion="6" refreshedVersion="6" minRefreshableVersion="3" recordCount="70" xr:uid="{802AB340-FCD8-4DDB-84C2-D7DD9C697AA4}">
  <cacheSource type="worksheet">
    <worksheetSource ref="A1:F71" sheet="Fuel consumptions" r:id="rId2"/>
  </cacheSource>
  <cacheFields count="6">
    <cacheField name="GPC ID" numFmtId="0">
      <sharedItems/>
    </cacheField>
    <cacheField name="Sector" numFmtId="0">
      <sharedItems/>
    </cacheField>
    <cacheField name="Sub-Sector / Service Class" numFmtId="0">
      <sharedItems/>
    </cacheField>
    <cacheField name="FuelType" numFmtId="0">
      <sharedItems count="7">
        <s v="Gasoline"/>
        <s v="Gasoline Hybrid"/>
        <s v="Diesel"/>
        <s v="Diesel Hybrid"/>
        <s v="CNG"/>
        <s v="Electricity"/>
        <s v="Fuel Cell"/>
      </sharedItems>
    </cacheField>
    <cacheField name="Original Units" numFmtId="0">
      <sharedItems count="1">
        <s v="GJ"/>
      </sharedItems>
    </cacheField>
    <cacheField name="2010" numFmtId="174">
      <sharedItems containsSemiMixedTypes="0" containsString="0" containsNumber="1" minValue="0" maxValue="197140277.4329384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5626620374" createdVersion="6" refreshedVersion="6" minRefreshableVersion="3" recordCount="13" xr:uid="{462D6FA6-6B1A-4E97-9E22-28CA1B603ED5}">
  <cacheSource type="worksheet">
    <worksheetSource ref="A1:I14" sheet="2010 GHG" r:id="rId2"/>
  </cacheSource>
  <cacheFields count="7">
    <cacheField name="GHG Emissions 2010" numFmtId="0">
      <sharedItems containsBlank="1"/>
    </cacheField>
    <cacheField name="Sector" numFmtId="0">
      <sharedItems/>
    </cacheField>
    <cacheField name="Fuel Type" numFmtId="0">
      <sharedItems count="4">
        <s v="CNG"/>
        <s v="Diesel"/>
        <s v="Electricity"/>
        <s v="Gasoline"/>
      </sharedItems>
    </cacheField>
    <cacheField name="Units" numFmtId="0">
      <sharedItems/>
    </cacheField>
    <cacheField name="Consumed" numFmtId="3">
      <sharedItems containsSemiMixedTypes="0" containsString="0" containsNumber="1" containsInteger="1" minValue="855804" maxValue="3629210490"/>
    </cacheField>
    <cacheField name="MgCO2e" numFmtId="3">
      <sharedItems containsSemiMixedTypes="0" containsString="0" containsNumber="1" containsInteger="1" minValue="13789" maxValue="7790907"/>
    </cacheField>
    <cacheField name="Source GJ" numFmtId="3">
      <sharedItems containsSemiMixedTypes="0" containsString="0" containsNumber="1" containsInteger="1" minValue="195751" maxValue="12235139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transit bus"/>
    <s v="transportation"/>
    <x v="0"/>
    <s v="GJ"/>
    <n v="1420989"/>
    <n v="78637"/>
    <n v="1420989"/>
  </r>
  <r>
    <s v="commuter rail"/>
    <s v="transportation"/>
    <x v="1"/>
    <s v="liters"/>
    <n v="5064028"/>
    <n v="13789"/>
    <n v="195751"/>
  </r>
  <r>
    <s v="heavy truck"/>
    <s v="transportation"/>
    <x v="1"/>
    <s v="liters"/>
    <n v="326200350"/>
    <n v="881007"/>
    <n v="12555252"/>
  </r>
  <r>
    <s v="light truck"/>
    <s v="transportation"/>
    <x v="1"/>
    <s v="light"/>
    <n v="35234181"/>
    <n v="95080"/>
    <n v="1356142"/>
  </r>
  <r>
    <s v="non-transit bus"/>
    <s v="transportation"/>
    <x v="1"/>
    <s v="liters"/>
    <n v="7545275"/>
    <n v="20391"/>
    <n v="290413"/>
  </r>
  <r>
    <s v="passenger cars"/>
    <s v="transportation"/>
    <x v="1"/>
    <s v="liters"/>
    <n v="14166357"/>
    <n v="38228"/>
    <n v="545254"/>
  </r>
  <r>
    <s v="solid waste trn rail"/>
    <s v="transportation"/>
    <x v="1"/>
    <s v="liters"/>
    <n v="5671501"/>
    <n v="15443"/>
    <n v="219257"/>
  </r>
  <r>
    <s v="solid waste trn truck"/>
    <s v="transportation"/>
    <x v="1"/>
    <s v="liters"/>
    <n v="28064413"/>
    <n v="75797"/>
    <n v="1080300"/>
  </r>
  <r>
    <s v="transit bus"/>
    <s v="transportation"/>
    <x v="1"/>
    <s v="liters"/>
    <n v="188631878"/>
    <n v="509784"/>
    <n v="7260325"/>
  </r>
  <r>
    <s v="subway and commuter rail"/>
    <s v="transportation"/>
    <x v="2"/>
    <s v="GJ"/>
    <n v="10118346"/>
    <n v="889291"/>
    <n v="25432916"/>
  </r>
  <r>
    <s v="light truck"/>
    <s v="transportation"/>
    <x v="3"/>
    <s v="liters"/>
    <n v="440373688"/>
    <n v="946065"/>
    <n v="14846296"/>
  </r>
  <r>
    <s v="passenger cars"/>
    <s v="transportation"/>
    <x v="3"/>
    <s v="liters"/>
    <n v="3629210490"/>
    <n v="7790907"/>
    <n v="122351394"/>
  </r>
  <r>
    <m/>
    <s v="Street light and traffic signals"/>
    <x v="2"/>
    <s v="GJ"/>
    <n v="855804"/>
    <n v="75216"/>
    <n v="2151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RoadPassenger cars"/>
    <s v="Private"/>
    <s v="LightDuty-"/>
    <x v="0"/>
    <x v="0"/>
    <n v="197140277.43293849"/>
  </r>
  <r>
    <s v="RoadPassenger cars"/>
    <s v="Private"/>
    <s v="LightDuty-"/>
    <x v="1"/>
    <x v="0"/>
    <n v="285842.63734909787"/>
  </r>
  <r>
    <s v="RoadPassenger cars"/>
    <s v="Private"/>
    <s v="LightDuty-"/>
    <x v="2"/>
    <x v="0"/>
    <n v="2041938.4084569474"/>
  </r>
  <r>
    <s v="RoadPassenger cars"/>
    <s v="Private"/>
    <s v="LightDuty-"/>
    <x v="3"/>
    <x v="0"/>
    <n v="12.046237098259951"/>
  </r>
  <r>
    <s v="RoadPassenger cars"/>
    <s v="Private"/>
    <s v="LightDuty-"/>
    <x v="4"/>
    <x v="0"/>
    <n v="13.063158000121131"/>
  </r>
  <r>
    <s v="RoadPassenger cars"/>
    <s v="Private"/>
    <s v="LightDuty-"/>
    <x v="5"/>
    <x v="0"/>
    <n v="20843.554608539576"/>
  </r>
  <r>
    <s v="RoadPassenger cars"/>
    <s v="Private"/>
    <s v="LightDuty-"/>
    <x v="6"/>
    <x v="0"/>
    <n v="0"/>
  </r>
  <r>
    <s v="RoadMedium duty trucks"/>
    <s v="Private"/>
    <s v="MediumDuty-"/>
    <x v="0"/>
    <x v="0"/>
    <n v="3830407.8734880253"/>
  </r>
  <r>
    <s v="RoadMedium duty trucks"/>
    <s v="Private"/>
    <s v="MediumDuty-"/>
    <x v="1"/>
    <x v="0"/>
    <n v="0"/>
  </r>
  <r>
    <s v="RoadMedium duty trucks"/>
    <s v="Private"/>
    <s v="MediumDuty-"/>
    <x v="2"/>
    <x v="0"/>
    <n v="1497870.9942587353"/>
  </r>
  <r>
    <s v="RoadMedium duty trucks"/>
    <s v="Private"/>
    <s v="MediumDuty-"/>
    <x v="3"/>
    <x v="0"/>
    <n v="0"/>
  </r>
  <r>
    <s v="RoadMedium duty trucks"/>
    <s v="Private"/>
    <s v="MediumDuty-"/>
    <x v="4"/>
    <x v="0"/>
    <n v="0"/>
  </r>
  <r>
    <s v="RoadMedium duty trucks"/>
    <s v="Private"/>
    <s v="MediumDuty-"/>
    <x v="5"/>
    <x v="0"/>
    <n v="0"/>
  </r>
  <r>
    <s v="RoadMedium duty trucks"/>
    <s v="Private"/>
    <s v="MediumDuty-"/>
    <x v="6"/>
    <x v="0"/>
    <n v="0"/>
  </r>
  <r>
    <s v="RoadHeavy duty trucks"/>
    <s v="Private"/>
    <s v="HeavyDuty-"/>
    <x v="0"/>
    <x v="0"/>
    <n v="0"/>
  </r>
  <r>
    <s v="RoadHeavy duty trucks"/>
    <s v="Private"/>
    <s v="HeavyDuty-"/>
    <x v="1"/>
    <x v="0"/>
    <n v="0"/>
  </r>
  <r>
    <s v="RoadHeavy duty trucks"/>
    <s v="Private"/>
    <s v="HeavyDuty-"/>
    <x v="2"/>
    <x v="0"/>
    <n v="16775910.393430715"/>
  </r>
  <r>
    <s v="RoadHeavy duty trucks"/>
    <s v="Private"/>
    <s v="HeavyDuty-"/>
    <x v="3"/>
    <x v="0"/>
    <n v="0"/>
  </r>
  <r>
    <s v="RoadHeavy duty trucks"/>
    <s v="Private"/>
    <s v="HeavyDuty-"/>
    <x v="4"/>
    <x v="0"/>
    <n v="0"/>
  </r>
  <r>
    <s v="RoadHeavy duty trucks"/>
    <s v="Private"/>
    <s v="HeavyDuty-"/>
    <x v="5"/>
    <x v="0"/>
    <n v="0"/>
  </r>
  <r>
    <s v="RoadHeavy duty trucks"/>
    <s v="Private"/>
    <s v="HeavyDuty-"/>
    <x v="6"/>
    <x v="0"/>
    <n v="0"/>
  </r>
  <r>
    <s v="RoadPassenger cars"/>
    <s v="Public"/>
    <s v="LightDuty-"/>
    <x v="0"/>
    <x v="0"/>
    <n v="1235026.8903158603"/>
  </r>
  <r>
    <s v="RoadPassenger cars"/>
    <s v="Public"/>
    <s v="LightDuty-"/>
    <x v="1"/>
    <x v="0"/>
    <n v="46949.904509489272"/>
  </r>
  <r>
    <s v="RoadPassenger cars"/>
    <s v="Public"/>
    <s v="LightDuty-"/>
    <x v="2"/>
    <x v="0"/>
    <n v="0"/>
  </r>
  <r>
    <s v="RoadPassenger cars"/>
    <s v="Public"/>
    <s v="LightDuty-"/>
    <x v="3"/>
    <x v="0"/>
    <n v="0"/>
  </r>
  <r>
    <s v="RoadPassenger cars"/>
    <s v="Public"/>
    <s v="LightDuty-"/>
    <x v="4"/>
    <x v="0"/>
    <n v="0"/>
  </r>
  <r>
    <s v="RoadPassenger cars"/>
    <s v="Public"/>
    <s v="LightDuty-"/>
    <x v="5"/>
    <x v="0"/>
    <n v="2364.862918363674"/>
  </r>
  <r>
    <s v="RoadPassenger cars"/>
    <s v="Public"/>
    <s v="LightDuty-"/>
    <x v="6"/>
    <x v="0"/>
    <n v="0"/>
  </r>
  <r>
    <s v="RoadMedium duty trucks"/>
    <s v="Public"/>
    <s v="MediumDuty-"/>
    <x v="0"/>
    <x v="0"/>
    <n v="335820.06174380326"/>
  </r>
  <r>
    <s v="RoadMedium duty trucks"/>
    <s v="Public"/>
    <s v="MediumDuty-"/>
    <x v="1"/>
    <x v="0"/>
    <n v="0"/>
  </r>
  <r>
    <s v="RoadMedium duty trucks"/>
    <s v="Public"/>
    <s v="MediumDuty-"/>
    <x v="2"/>
    <x v="0"/>
    <n v="414924.64982192969"/>
  </r>
  <r>
    <s v="RoadMedium duty trucks"/>
    <s v="Public"/>
    <s v="MediumDuty-"/>
    <x v="3"/>
    <x v="0"/>
    <n v="0"/>
  </r>
  <r>
    <s v="RoadMedium duty trucks"/>
    <s v="Public"/>
    <s v="MediumDuty-"/>
    <x v="4"/>
    <x v="0"/>
    <n v="12292.592241518645"/>
  </r>
  <r>
    <s v="RoadMedium duty trucks"/>
    <s v="Public"/>
    <s v="MediumDuty-"/>
    <x v="5"/>
    <x v="0"/>
    <n v="0"/>
  </r>
  <r>
    <s v="RoadMedium duty trucks"/>
    <s v="Public"/>
    <s v="MediumDuty-"/>
    <x v="6"/>
    <x v="0"/>
    <n v="0"/>
  </r>
  <r>
    <s v="RoadHeavy duty trucks"/>
    <s v="Public"/>
    <s v="HeavyDuty-"/>
    <x v="0"/>
    <x v="0"/>
    <n v="0"/>
  </r>
  <r>
    <s v="RoadHeavy duty trucks"/>
    <s v="Public"/>
    <s v="HeavyDuty-"/>
    <x v="1"/>
    <x v="0"/>
    <n v="0"/>
  </r>
  <r>
    <s v="RoadHeavy duty trucks"/>
    <s v="Public"/>
    <s v="HeavyDuty-"/>
    <x v="2"/>
    <x v="0"/>
    <n v="3409010.8720334689"/>
  </r>
  <r>
    <s v="RoadHeavy duty trucks"/>
    <s v="Public"/>
    <s v="HeavyDuty-"/>
    <x v="3"/>
    <x v="0"/>
    <n v="0"/>
  </r>
  <r>
    <s v="RoadHeavy duty trucks"/>
    <s v="Public"/>
    <s v="HeavyDuty-"/>
    <x v="4"/>
    <x v="0"/>
    <n v="0"/>
  </r>
  <r>
    <s v="RoadHeavy duty trucks"/>
    <s v="Public"/>
    <s v="HeavyDuty-"/>
    <x v="5"/>
    <x v="0"/>
    <n v="0"/>
  </r>
  <r>
    <s v="RoadHeavy duty trucks"/>
    <s v="Public"/>
    <s v="HeavyDuty-"/>
    <x v="6"/>
    <x v="0"/>
    <n v="0"/>
  </r>
  <r>
    <s v="RoadHeavy duty trucks"/>
    <s v="Public"/>
    <s v="SWCV-HD-"/>
    <x v="0"/>
    <x v="0"/>
    <n v="0"/>
  </r>
  <r>
    <s v="RoadHeavy duty trucks"/>
    <s v="Public"/>
    <s v="SWCV-HD-"/>
    <x v="1"/>
    <x v="0"/>
    <n v="0"/>
  </r>
  <r>
    <s v="RoadHeavy duty trucks"/>
    <s v="Public"/>
    <s v="SWCV-HD-"/>
    <x v="2"/>
    <x v="0"/>
    <n v="415330.08518520975"/>
  </r>
  <r>
    <s v="RoadHeavy duty trucks"/>
    <s v="Public"/>
    <s v="SWCV-HD-"/>
    <x v="3"/>
    <x v="0"/>
    <n v="0"/>
  </r>
  <r>
    <s v="RoadHeavy duty trucks"/>
    <s v="Public"/>
    <s v="SWCV-HD-"/>
    <x v="4"/>
    <x v="0"/>
    <n v="0"/>
  </r>
  <r>
    <s v="RoadHeavy duty trucks"/>
    <s v="Public"/>
    <s v="SWCV-HD-"/>
    <x v="5"/>
    <x v="0"/>
    <n v="0"/>
  </r>
  <r>
    <s v="RoadHeavy duty trucks"/>
    <s v="Public"/>
    <s v="SWCV-HD-"/>
    <x v="6"/>
    <x v="0"/>
    <n v="0"/>
  </r>
  <r>
    <s v="RoadHeavy duty trucks"/>
    <s v="Private"/>
    <s v="SWCV-HD-"/>
    <x v="0"/>
    <x v="0"/>
    <n v="0"/>
  </r>
  <r>
    <s v="RoadHeavy duty trucks"/>
    <s v="Private"/>
    <s v="SWCV-HD-"/>
    <x v="1"/>
    <x v="0"/>
    <n v="0"/>
  </r>
  <r>
    <s v="RoadHeavy duty trucks"/>
    <s v="Private"/>
    <s v="SWCV-HD-"/>
    <x v="2"/>
    <x v="0"/>
    <n v="591947.33623949799"/>
  </r>
  <r>
    <s v="RoadHeavy duty trucks"/>
    <s v="Private"/>
    <s v="SWCV-HD-"/>
    <x v="3"/>
    <x v="0"/>
    <n v="0"/>
  </r>
  <r>
    <s v="RoadHeavy duty trucks"/>
    <s v="Private"/>
    <s v="SWCV-HD-"/>
    <x v="4"/>
    <x v="0"/>
    <n v="0"/>
  </r>
  <r>
    <s v="RoadHeavy duty trucks"/>
    <s v="Private"/>
    <s v="SWCV-HD-"/>
    <x v="5"/>
    <x v="0"/>
    <n v="0"/>
  </r>
  <r>
    <s v="RoadHeavy duty trucks"/>
    <s v="Private"/>
    <s v="SWCV-HD-"/>
    <x v="6"/>
    <x v="0"/>
    <n v="0"/>
  </r>
  <r>
    <s v="RoadBuses"/>
    <s v="Public"/>
    <s v="Transit-Bus"/>
    <x v="0"/>
    <x v="0"/>
    <n v="0"/>
  </r>
  <r>
    <s v="RoadBuses"/>
    <s v="Public"/>
    <s v="Transit-Bus"/>
    <x v="1"/>
    <x v="0"/>
    <n v="0"/>
  </r>
  <r>
    <s v="RoadBuses"/>
    <s v="Public"/>
    <s v="Transit-Bus"/>
    <x v="2"/>
    <x v="0"/>
    <n v="0"/>
  </r>
  <r>
    <s v="RoadBuses"/>
    <s v="Public"/>
    <s v="Transit-Bus"/>
    <x v="3"/>
    <x v="0"/>
    <n v="0"/>
  </r>
  <r>
    <s v="RoadBuses"/>
    <s v="Public"/>
    <s v="Transit-Bus"/>
    <x v="4"/>
    <x v="0"/>
    <n v="0"/>
  </r>
  <r>
    <s v="RoadBuses"/>
    <s v="Public"/>
    <s v="Transit-Bus"/>
    <x v="5"/>
    <x v="0"/>
    <n v="0"/>
  </r>
  <r>
    <s v="RoadBuses"/>
    <s v="Public"/>
    <s v="Transit-Bus"/>
    <x v="6"/>
    <x v="0"/>
    <n v="0"/>
  </r>
  <r>
    <s v="RoadBuses"/>
    <s v="Private"/>
    <s v="Transit-OtherBuses-"/>
    <x v="0"/>
    <x v="0"/>
    <n v="0"/>
  </r>
  <r>
    <s v="RoadBuses"/>
    <s v="Private"/>
    <s v="Transit-OtherBuses-"/>
    <x v="1"/>
    <x v="0"/>
    <n v="0"/>
  </r>
  <r>
    <s v="RoadBuses"/>
    <s v="Private"/>
    <s v="Transit-OtherBuses-"/>
    <x v="2"/>
    <x v="0"/>
    <n v="0"/>
  </r>
  <r>
    <s v="RoadBuses"/>
    <s v="Private"/>
    <s v="Transit-OtherBuses-"/>
    <x v="3"/>
    <x v="0"/>
    <n v="0"/>
  </r>
  <r>
    <s v="RoadBuses"/>
    <s v="Private"/>
    <s v="Transit-OtherBuses-"/>
    <x v="4"/>
    <x v="0"/>
    <n v="0"/>
  </r>
  <r>
    <s v="RoadBuses"/>
    <s v="Private"/>
    <s v="Transit-OtherBuses-"/>
    <x v="5"/>
    <x v="0"/>
    <n v="0"/>
  </r>
  <r>
    <s v="RoadBuses"/>
    <s v="Private"/>
    <s v="Transit-OtherBuses-"/>
    <x v="6"/>
    <x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RoadPassenger cars"/>
    <s v="Private"/>
    <s v="LightDuty-"/>
    <x v="0"/>
    <x v="0"/>
    <n v="197140277.43293849"/>
  </r>
  <r>
    <s v="RoadPassenger cars"/>
    <s v="Private"/>
    <s v="LightDuty-"/>
    <x v="1"/>
    <x v="0"/>
    <n v="285842.63734909787"/>
  </r>
  <r>
    <s v="RoadPassenger cars"/>
    <s v="Private"/>
    <s v="LightDuty-"/>
    <x v="2"/>
    <x v="0"/>
    <n v="2041938.4084569474"/>
  </r>
  <r>
    <s v="RoadPassenger cars"/>
    <s v="Private"/>
    <s v="LightDuty-"/>
    <x v="3"/>
    <x v="0"/>
    <n v="12.046237098259951"/>
  </r>
  <r>
    <s v="RoadPassenger cars"/>
    <s v="Private"/>
    <s v="LightDuty-"/>
    <x v="4"/>
    <x v="0"/>
    <n v="13.063158000121131"/>
  </r>
  <r>
    <s v="RoadPassenger cars"/>
    <s v="Private"/>
    <s v="LightDuty-"/>
    <x v="5"/>
    <x v="0"/>
    <n v="20843.554608539576"/>
  </r>
  <r>
    <s v="RoadPassenger cars"/>
    <s v="Private"/>
    <s v="LightDuty-"/>
    <x v="6"/>
    <x v="0"/>
    <n v="0"/>
  </r>
  <r>
    <s v="RoadMedium duty trucks"/>
    <s v="Private"/>
    <s v="MediumDuty-"/>
    <x v="0"/>
    <x v="0"/>
    <n v="3830407.8734880253"/>
  </r>
  <r>
    <s v="RoadMedium duty trucks"/>
    <s v="Private"/>
    <s v="MediumDuty-"/>
    <x v="1"/>
    <x v="0"/>
    <n v="0"/>
  </r>
  <r>
    <s v="RoadMedium duty trucks"/>
    <s v="Private"/>
    <s v="MediumDuty-"/>
    <x v="2"/>
    <x v="0"/>
    <n v="1497870.9942587353"/>
  </r>
  <r>
    <s v="RoadMedium duty trucks"/>
    <s v="Private"/>
    <s v="MediumDuty-"/>
    <x v="3"/>
    <x v="0"/>
    <n v="0"/>
  </r>
  <r>
    <s v="RoadMedium duty trucks"/>
    <s v="Private"/>
    <s v="MediumDuty-"/>
    <x v="4"/>
    <x v="0"/>
    <n v="0"/>
  </r>
  <r>
    <s v="RoadMedium duty trucks"/>
    <s v="Private"/>
    <s v="MediumDuty-"/>
    <x v="5"/>
    <x v="0"/>
    <n v="0"/>
  </r>
  <r>
    <s v="RoadMedium duty trucks"/>
    <s v="Private"/>
    <s v="MediumDuty-"/>
    <x v="6"/>
    <x v="0"/>
    <n v="0"/>
  </r>
  <r>
    <s v="RoadHeavy duty trucks"/>
    <s v="Private"/>
    <s v="HeavyDuty-"/>
    <x v="0"/>
    <x v="0"/>
    <n v="0"/>
  </r>
  <r>
    <s v="RoadHeavy duty trucks"/>
    <s v="Private"/>
    <s v="HeavyDuty-"/>
    <x v="1"/>
    <x v="0"/>
    <n v="0"/>
  </r>
  <r>
    <s v="RoadHeavy duty trucks"/>
    <s v="Private"/>
    <s v="HeavyDuty-"/>
    <x v="2"/>
    <x v="0"/>
    <n v="16775910.393430715"/>
  </r>
  <r>
    <s v="RoadHeavy duty trucks"/>
    <s v="Private"/>
    <s v="HeavyDuty-"/>
    <x v="3"/>
    <x v="0"/>
    <n v="0"/>
  </r>
  <r>
    <s v="RoadHeavy duty trucks"/>
    <s v="Private"/>
    <s v="HeavyDuty-"/>
    <x v="4"/>
    <x v="0"/>
    <n v="0"/>
  </r>
  <r>
    <s v="RoadHeavy duty trucks"/>
    <s v="Private"/>
    <s v="HeavyDuty-"/>
    <x v="5"/>
    <x v="0"/>
    <n v="0"/>
  </r>
  <r>
    <s v="RoadHeavy duty trucks"/>
    <s v="Private"/>
    <s v="HeavyDuty-"/>
    <x v="6"/>
    <x v="0"/>
    <n v="0"/>
  </r>
  <r>
    <s v="RoadPassenger cars"/>
    <s v="Public"/>
    <s v="LightDuty-"/>
    <x v="0"/>
    <x v="0"/>
    <n v="1235026.8903158603"/>
  </r>
  <r>
    <s v="RoadPassenger cars"/>
    <s v="Public"/>
    <s v="LightDuty-"/>
    <x v="1"/>
    <x v="0"/>
    <n v="46949.904509489272"/>
  </r>
  <r>
    <s v="RoadPassenger cars"/>
    <s v="Public"/>
    <s v="LightDuty-"/>
    <x v="2"/>
    <x v="0"/>
    <n v="0"/>
  </r>
  <r>
    <s v="RoadPassenger cars"/>
    <s v="Public"/>
    <s v="LightDuty-"/>
    <x v="3"/>
    <x v="0"/>
    <n v="0"/>
  </r>
  <r>
    <s v="RoadPassenger cars"/>
    <s v="Public"/>
    <s v="LightDuty-"/>
    <x v="4"/>
    <x v="0"/>
    <n v="0"/>
  </r>
  <r>
    <s v="RoadPassenger cars"/>
    <s v="Public"/>
    <s v="LightDuty-"/>
    <x v="5"/>
    <x v="0"/>
    <n v="2364.862918363674"/>
  </r>
  <r>
    <s v="RoadPassenger cars"/>
    <s v="Public"/>
    <s v="LightDuty-"/>
    <x v="6"/>
    <x v="0"/>
    <n v="0"/>
  </r>
  <r>
    <s v="RoadMedium duty trucks"/>
    <s v="Public"/>
    <s v="MediumDuty-"/>
    <x v="0"/>
    <x v="0"/>
    <n v="335820.06174380326"/>
  </r>
  <r>
    <s v="RoadMedium duty trucks"/>
    <s v="Public"/>
    <s v="MediumDuty-"/>
    <x v="1"/>
    <x v="0"/>
    <n v="0"/>
  </r>
  <r>
    <s v="RoadMedium duty trucks"/>
    <s v="Public"/>
    <s v="MediumDuty-"/>
    <x v="2"/>
    <x v="0"/>
    <n v="414924.64982192969"/>
  </r>
  <r>
    <s v="RoadMedium duty trucks"/>
    <s v="Public"/>
    <s v="MediumDuty-"/>
    <x v="3"/>
    <x v="0"/>
    <n v="0"/>
  </r>
  <r>
    <s v="RoadMedium duty trucks"/>
    <s v="Public"/>
    <s v="MediumDuty-"/>
    <x v="4"/>
    <x v="0"/>
    <n v="12292.592241518645"/>
  </r>
  <r>
    <s v="RoadMedium duty trucks"/>
    <s v="Public"/>
    <s v="MediumDuty-"/>
    <x v="5"/>
    <x v="0"/>
    <n v="0"/>
  </r>
  <r>
    <s v="RoadMedium duty trucks"/>
    <s v="Public"/>
    <s v="MediumDuty-"/>
    <x v="6"/>
    <x v="0"/>
    <n v="0"/>
  </r>
  <r>
    <s v="RoadHeavy duty trucks"/>
    <s v="Public"/>
    <s v="HeavyDuty-"/>
    <x v="0"/>
    <x v="0"/>
    <n v="0"/>
  </r>
  <r>
    <s v="RoadHeavy duty trucks"/>
    <s v="Public"/>
    <s v="HeavyDuty-"/>
    <x v="1"/>
    <x v="0"/>
    <n v="0"/>
  </r>
  <r>
    <s v="RoadHeavy duty trucks"/>
    <s v="Public"/>
    <s v="HeavyDuty-"/>
    <x v="2"/>
    <x v="0"/>
    <n v="3409010.8720334689"/>
  </r>
  <r>
    <s v="RoadHeavy duty trucks"/>
    <s v="Public"/>
    <s v="HeavyDuty-"/>
    <x v="3"/>
    <x v="0"/>
    <n v="0"/>
  </r>
  <r>
    <s v="RoadHeavy duty trucks"/>
    <s v="Public"/>
    <s v="HeavyDuty-"/>
    <x v="4"/>
    <x v="0"/>
    <n v="0"/>
  </r>
  <r>
    <s v="RoadHeavy duty trucks"/>
    <s v="Public"/>
    <s v="HeavyDuty-"/>
    <x v="5"/>
    <x v="0"/>
    <n v="0"/>
  </r>
  <r>
    <s v="RoadHeavy duty trucks"/>
    <s v="Public"/>
    <s v="HeavyDuty-"/>
    <x v="6"/>
    <x v="0"/>
    <n v="0"/>
  </r>
  <r>
    <s v="RoadHeavy duty trucks"/>
    <s v="Public"/>
    <s v="SWCV-HD-"/>
    <x v="0"/>
    <x v="0"/>
    <n v="0"/>
  </r>
  <r>
    <s v="RoadHeavy duty trucks"/>
    <s v="Public"/>
    <s v="SWCV-HD-"/>
    <x v="1"/>
    <x v="0"/>
    <n v="0"/>
  </r>
  <r>
    <s v="RoadHeavy duty trucks"/>
    <s v="Public"/>
    <s v="SWCV-HD-"/>
    <x v="2"/>
    <x v="0"/>
    <n v="415330.08518520975"/>
  </r>
  <r>
    <s v="RoadHeavy duty trucks"/>
    <s v="Public"/>
    <s v="SWCV-HD-"/>
    <x v="3"/>
    <x v="0"/>
    <n v="0"/>
  </r>
  <r>
    <s v="RoadHeavy duty trucks"/>
    <s v="Public"/>
    <s v="SWCV-HD-"/>
    <x v="4"/>
    <x v="0"/>
    <n v="0"/>
  </r>
  <r>
    <s v="RoadHeavy duty trucks"/>
    <s v="Public"/>
    <s v="SWCV-HD-"/>
    <x v="5"/>
    <x v="0"/>
    <n v="0"/>
  </r>
  <r>
    <s v="RoadHeavy duty trucks"/>
    <s v="Public"/>
    <s v="SWCV-HD-"/>
    <x v="6"/>
    <x v="0"/>
    <n v="0"/>
  </r>
  <r>
    <s v="RoadHeavy duty trucks"/>
    <s v="Private"/>
    <s v="SWCV-HD-"/>
    <x v="0"/>
    <x v="0"/>
    <n v="0"/>
  </r>
  <r>
    <s v="RoadHeavy duty trucks"/>
    <s v="Private"/>
    <s v="SWCV-HD-"/>
    <x v="1"/>
    <x v="0"/>
    <n v="0"/>
  </r>
  <r>
    <s v="RoadHeavy duty trucks"/>
    <s v="Private"/>
    <s v="SWCV-HD-"/>
    <x v="2"/>
    <x v="0"/>
    <n v="591947.33623949799"/>
  </r>
  <r>
    <s v="RoadHeavy duty trucks"/>
    <s v="Private"/>
    <s v="SWCV-HD-"/>
    <x v="3"/>
    <x v="0"/>
    <n v="0"/>
  </r>
  <r>
    <s v="RoadHeavy duty trucks"/>
    <s v="Private"/>
    <s v="SWCV-HD-"/>
    <x v="4"/>
    <x v="0"/>
    <n v="0"/>
  </r>
  <r>
    <s v="RoadHeavy duty trucks"/>
    <s v="Private"/>
    <s v="SWCV-HD-"/>
    <x v="5"/>
    <x v="0"/>
    <n v="0"/>
  </r>
  <r>
    <s v="RoadHeavy duty trucks"/>
    <s v="Private"/>
    <s v="SWCV-HD-"/>
    <x v="6"/>
    <x v="0"/>
    <n v="0"/>
  </r>
  <r>
    <s v="RoadBuses"/>
    <s v="Public"/>
    <s v="Transit-Bus"/>
    <x v="0"/>
    <x v="0"/>
    <n v="0"/>
  </r>
  <r>
    <s v="RoadBuses"/>
    <s v="Public"/>
    <s v="Transit-Bus"/>
    <x v="1"/>
    <x v="0"/>
    <n v="0"/>
  </r>
  <r>
    <s v="RoadBuses"/>
    <s v="Public"/>
    <s v="Transit-Bus"/>
    <x v="2"/>
    <x v="0"/>
    <n v="0"/>
  </r>
  <r>
    <s v="RoadBuses"/>
    <s v="Public"/>
    <s v="Transit-Bus"/>
    <x v="3"/>
    <x v="0"/>
    <n v="0"/>
  </r>
  <r>
    <s v="RoadBuses"/>
    <s v="Public"/>
    <s v="Transit-Bus"/>
    <x v="4"/>
    <x v="0"/>
    <n v="0"/>
  </r>
  <r>
    <s v="RoadBuses"/>
    <s v="Public"/>
    <s v="Transit-Bus"/>
    <x v="5"/>
    <x v="0"/>
    <n v="0"/>
  </r>
  <r>
    <s v="RoadBuses"/>
    <s v="Public"/>
    <s v="Transit-Bus"/>
    <x v="6"/>
    <x v="0"/>
    <n v="0"/>
  </r>
  <r>
    <s v="RoadBuses"/>
    <s v="Private"/>
    <s v="Transit-OtherBuses-"/>
    <x v="0"/>
    <x v="0"/>
    <n v="0"/>
  </r>
  <r>
    <s v="RoadBuses"/>
    <s v="Private"/>
    <s v="Transit-OtherBuses-"/>
    <x v="1"/>
    <x v="0"/>
    <n v="0"/>
  </r>
  <r>
    <s v="RoadBuses"/>
    <s v="Private"/>
    <s v="Transit-OtherBuses-"/>
    <x v="2"/>
    <x v="0"/>
    <n v="0"/>
  </r>
  <r>
    <s v="RoadBuses"/>
    <s v="Private"/>
    <s v="Transit-OtherBuses-"/>
    <x v="3"/>
    <x v="0"/>
    <n v="0"/>
  </r>
  <r>
    <s v="RoadBuses"/>
    <s v="Private"/>
    <s v="Transit-OtherBuses-"/>
    <x v="4"/>
    <x v="0"/>
    <n v="0"/>
  </r>
  <r>
    <s v="RoadBuses"/>
    <s v="Private"/>
    <s v="Transit-OtherBuses-"/>
    <x v="5"/>
    <x v="0"/>
    <n v="0"/>
  </r>
  <r>
    <s v="RoadBuses"/>
    <s v="Private"/>
    <s v="Transit-OtherBuses-"/>
    <x v="6"/>
    <x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transit bus"/>
    <s v="transportation"/>
    <x v="0"/>
    <s v="GJ"/>
    <n v="1420989"/>
    <n v="78637"/>
    <n v="1420989"/>
  </r>
  <r>
    <s v="commuter rail"/>
    <s v="transportation"/>
    <x v="1"/>
    <s v="liters"/>
    <n v="5064028"/>
    <n v="13789"/>
    <n v="195751"/>
  </r>
  <r>
    <s v="heavy truck"/>
    <s v="transportation"/>
    <x v="1"/>
    <s v="liters"/>
    <n v="326200350"/>
    <n v="881007"/>
    <n v="12555252"/>
  </r>
  <r>
    <s v="light truck"/>
    <s v="transportation"/>
    <x v="1"/>
    <s v="light"/>
    <n v="35234181"/>
    <n v="95080"/>
    <n v="1356142"/>
  </r>
  <r>
    <s v="non-transit bus"/>
    <s v="transportation"/>
    <x v="1"/>
    <s v="liters"/>
    <n v="7545275"/>
    <n v="20391"/>
    <n v="290413"/>
  </r>
  <r>
    <s v="passenger cars"/>
    <s v="transportation"/>
    <x v="1"/>
    <s v="liters"/>
    <n v="14166357"/>
    <n v="38228"/>
    <n v="545254"/>
  </r>
  <r>
    <s v="solid waste trn rail"/>
    <s v="transportation"/>
    <x v="1"/>
    <s v="liters"/>
    <n v="5671501"/>
    <n v="15443"/>
    <n v="219257"/>
  </r>
  <r>
    <s v="solid waste trn truck"/>
    <s v="transportation"/>
    <x v="1"/>
    <s v="liters"/>
    <n v="28064413"/>
    <n v="75797"/>
    <n v="1080300"/>
  </r>
  <r>
    <s v="transit bus"/>
    <s v="transportation"/>
    <x v="1"/>
    <s v="liters"/>
    <n v="188631878"/>
    <n v="509784"/>
    <n v="7260325"/>
  </r>
  <r>
    <s v="subway and commuter rail"/>
    <s v="transportation"/>
    <x v="2"/>
    <s v="GJ"/>
    <n v="10118346"/>
    <n v="889291"/>
    <n v="25432916"/>
  </r>
  <r>
    <s v="light truck"/>
    <s v="transportation"/>
    <x v="3"/>
    <s v="liters"/>
    <n v="440373688"/>
    <n v="946065"/>
    <n v="14846296"/>
  </r>
  <r>
    <s v="passenger cars"/>
    <s v="transportation"/>
    <x v="3"/>
    <s v="liters"/>
    <n v="3629210490"/>
    <n v="7790907"/>
    <n v="122351394"/>
  </r>
  <r>
    <m/>
    <s v="Street light and traffic signals"/>
    <x v="2"/>
    <s v="GJ"/>
    <n v="855804"/>
    <n v="75216"/>
    <n v="2151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06BC7A-B248-4599-8113-8F975FCBF675}" name="PivotTable6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1:Q9" firstHeaderRow="1" firstDataRow="1" firstDataCol="1"/>
  <pivotFields count="6">
    <pivotField showAll="0"/>
    <pivotField showAll="0"/>
    <pivotField showAll="0"/>
    <pivotField axis="axisRow" showAll="0">
      <items count="8">
        <item x="4"/>
        <item x="2"/>
        <item x="3"/>
        <item x="5"/>
        <item x="6"/>
        <item x="0"/>
        <item x="1"/>
        <item t="default"/>
      </items>
    </pivotField>
    <pivotField showAll="0">
      <items count="2">
        <item x="0"/>
        <item t="default"/>
      </items>
    </pivotField>
    <pivotField dataField="1" numFmtId="174" showAll="0"/>
  </pivotFields>
  <rowFields count="1">
    <field x="3"/>
  </rowFields>
  <rowItems count="8">
    <i>
      <x/>
    </i>
    <i>
      <x v="1"/>
    </i>
    <i>
      <x v="2"/>
    </i>
    <i>
      <x v="3"/>
    </i>
    <i>
      <x v="4"/>
    </i>
    <i>
      <x v="5"/>
    </i>
    <i>
      <x v="6"/>
    </i>
    <i t="grand">
      <x/>
    </i>
  </rowItems>
  <colItems count="1">
    <i/>
  </colItems>
  <dataFields count="1">
    <dataField name="Sum of 2010"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EED924-70B4-4AB4-A511-A920B3E39336}" name="PivotTable6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N6" firstHeaderRow="0" firstDataRow="1" firstDataCol="1"/>
  <pivotFields count="7">
    <pivotField showAll="0"/>
    <pivotField showAll="0"/>
    <pivotField axis="axisRow" showAll="0">
      <items count="5">
        <item x="0"/>
        <item x="1"/>
        <item x="2"/>
        <item x="3"/>
        <item t="default"/>
      </items>
    </pivotField>
    <pivotField showAll="0"/>
    <pivotField dataField="1" numFmtId="3" showAll="0"/>
    <pivotField numFmtId="3" showAll="0"/>
    <pivotField dataField="1" numFmtId="3" showAll="0"/>
  </pivotFields>
  <rowFields count="1">
    <field x="2"/>
  </rowFields>
  <rowItems count="5">
    <i>
      <x/>
    </i>
    <i>
      <x v="1"/>
    </i>
    <i>
      <x v="2"/>
    </i>
    <i>
      <x v="3"/>
    </i>
    <i t="grand">
      <x/>
    </i>
  </rowItems>
  <colFields count="1">
    <field x="-2"/>
  </colFields>
  <colItems count="2">
    <i>
      <x/>
    </i>
    <i i="1">
      <x v="1"/>
    </i>
  </colItems>
  <dataFields count="2">
    <dataField name="Sum of Source GJ" fld="6" baseField="0" baseItem="0"/>
    <dataField name="Sum of Consumed" fld="4" baseField="0" baseItem="0"/>
  </dataFields>
  <formats count="3">
    <format dxfId="62">
      <pivotArea field="2" type="button" dataOnly="0" labelOnly="1" outline="0" axis="axisRow" fieldPosition="0"/>
    </format>
    <format dxfId="61">
      <pivotArea dataOnly="0" labelOnly="1" outline="0" fieldPosition="0">
        <references count="1">
          <reference field="4294967294" count="2">
            <x v="0"/>
            <x v="1"/>
          </reference>
        </references>
      </pivotArea>
    </format>
    <format dxfId="60">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A00-000001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P9" firstHeaderRow="1" firstDataRow="1" firstDataCol="1"/>
  <pivotFields count="6">
    <pivotField showAll="0"/>
    <pivotField showAll="0"/>
    <pivotField showAll="0"/>
    <pivotField axis="axisRow" showAll="0">
      <items count="8">
        <item x="4"/>
        <item x="2"/>
        <item x="3"/>
        <item x="5"/>
        <item x="6"/>
        <item x="0"/>
        <item x="1"/>
        <item t="default"/>
      </items>
    </pivotField>
    <pivotField showAll="0">
      <items count="2">
        <item x="0"/>
        <item t="default"/>
      </items>
    </pivotField>
    <pivotField dataField="1" numFmtId="174" showAll="0"/>
  </pivotFields>
  <rowFields count="1">
    <field x="3"/>
  </rowFields>
  <rowItems count="8">
    <i>
      <x/>
    </i>
    <i>
      <x v="1"/>
    </i>
    <i>
      <x v="2"/>
    </i>
    <i>
      <x v="3"/>
    </i>
    <i>
      <x v="4"/>
    </i>
    <i>
      <x v="5"/>
    </i>
    <i>
      <x v="6"/>
    </i>
    <i t="grand">
      <x/>
    </i>
  </rowItems>
  <colItems count="1">
    <i/>
  </colItems>
  <dataFields count="1">
    <dataField name="Sum of 2010" fld="5" baseField="0" baseItem="0"/>
  </dataFields>
  <formats count="25">
    <format dxfId="38">
      <pivotArea type="all" dataOnly="0" outline="0" fieldPosition="0"/>
    </format>
    <format dxfId="37">
      <pivotArea outline="0" collapsedLevelsAreSubtotals="1" fieldPosition="0"/>
    </format>
    <format dxfId="36">
      <pivotArea field="3" type="button" dataOnly="0" labelOnly="1" outline="0" axis="axisRow" fieldPosition="0"/>
    </format>
    <format dxfId="35">
      <pivotArea dataOnly="0" labelOnly="1" outline="0" axis="axisValues"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3" type="button" dataOnly="0" labelOnly="1" outline="0" axis="axisRow" fieldPosition="0"/>
    </format>
    <format dxfId="28">
      <pivotArea dataOnly="0" labelOnly="1" outline="0" axis="axisValues" fieldPosition="0"/>
    </format>
    <format dxfId="27">
      <pivotArea dataOnly="0" labelOnly="1" fieldPosition="0">
        <references count="1">
          <reference field="3"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outline="0" axis="axisValues"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axis="axisValues" fieldPosition="0"/>
    </format>
    <format dxfId="17">
      <pivotArea collapsedLevelsAreSubtotals="1" fieldPosition="0">
        <references count="1">
          <reference field="3" count="1">
            <x v="6"/>
          </reference>
        </references>
      </pivotArea>
    </format>
    <format dxfId="16">
      <pivotArea grandRow="1" outline="0" collapsedLevelsAreSubtotals="1" fieldPosition="0"/>
    </format>
    <format dxfId="15">
      <pivotArea dataOnly="0" labelOnly="1" fieldPosition="0">
        <references count="1">
          <reference field="3" count="1">
            <x v="6"/>
          </reference>
        </references>
      </pivotArea>
    </format>
    <format dxfId="1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A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M6" firstHeaderRow="0" firstDataRow="1" firstDataCol="1"/>
  <pivotFields count="7">
    <pivotField showAll="0"/>
    <pivotField showAll="0"/>
    <pivotField axis="axisRow" showAll="0">
      <items count="5">
        <item x="0"/>
        <item x="1"/>
        <item x="2"/>
        <item x="3"/>
        <item t="default"/>
      </items>
    </pivotField>
    <pivotField showAll="0"/>
    <pivotField dataField="1" numFmtId="3" showAll="0"/>
    <pivotField numFmtId="3" showAll="0"/>
    <pivotField dataField="1" numFmtId="3" showAll="0"/>
  </pivotFields>
  <rowFields count="1">
    <field x="2"/>
  </rowFields>
  <rowItems count="5">
    <i>
      <x/>
    </i>
    <i>
      <x v="1"/>
    </i>
    <i>
      <x v="2"/>
    </i>
    <i>
      <x v="3"/>
    </i>
    <i t="grand">
      <x/>
    </i>
  </rowItems>
  <colFields count="1">
    <field x="-2"/>
  </colFields>
  <colItems count="2">
    <i>
      <x/>
    </i>
    <i i="1">
      <x v="1"/>
    </i>
  </colItems>
  <dataFields count="2">
    <dataField name="Sum of Source GJ" fld="6" baseField="0" baseItem="0"/>
    <dataField name="Sum of Consumed" fld="4" baseField="0" baseItem="0"/>
  </dataFields>
  <formats count="21">
    <format dxfId="59">
      <pivotArea field="2" type="button" dataOnly="0" labelOnly="1" outline="0" axis="axisRow" fieldPosition="0"/>
    </format>
    <format dxfId="58">
      <pivotArea dataOnly="0" labelOnly="1" outline="0" fieldPosition="0">
        <references count="1">
          <reference field="4294967294" count="2">
            <x v="0"/>
            <x v="1"/>
          </reference>
        </references>
      </pivotArea>
    </format>
    <format dxfId="57">
      <pivotArea dataOnly="0" grandRow="1" axis="axisRow" fieldPosition="0"/>
    </format>
    <format dxfId="56">
      <pivotArea type="all" dataOnly="0" outline="0" fieldPosition="0"/>
    </format>
    <format dxfId="55">
      <pivotArea outline="0" collapsedLevelsAreSubtotals="1" fieldPosition="0"/>
    </format>
    <format dxfId="54">
      <pivotArea field="2" type="button" dataOnly="0" labelOnly="1" outline="0" axis="axisRow" fieldPosition="0"/>
    </format>
    <format dxfId="53">
      <pivotArea dataOnly="0" labelOnly="1" fieldPosition="0">
        <references count="1">
          <reference field="2"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outline="0" fieldPosition="0">
        <references count="1">
          <reference field="4294967294" count="2">
            <x v="0"/>
            <x v="1"/>
          </reference>
        </references>
      </pivotArea>
    </format>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0.xml"/><Relationship Id="rId13" Type="http://schemas.openxmlformats.org/officeDocument/2006/relationships/image" Target="../media/image12.emf"/><Relationship Id="rId3" Type="http://schemas.openxmlformats.org/officeDocument/2006/relationships/vmlDrawing" Target="../drawings/vmlDrawing2.vml"/><Relationship Id="rId7" Type="http://schemas.openxmlformats.org/officeDocument/2006/relationships/image" Target="../media/image9.emf"/><Relationship Id="rId12" Type="http://schemas.openxmlformats.org/officeDocument/2006/relationships/control" Target="../activeX/activeX12.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ntrol" Target="../activeX/activeX9.xml"/><Relationship Id="rId11" Type="http://schemas.openxmlformats.org/officeDocument/2006/relationships/image" Target="../media/image11.emf"/><Relationship Id="rId5" Type="http://schemas.openxmlformats.org/officeDocument/2006/relationships/image" Target="../media/image8.emf"/><Relationship Id="rId10" Type="http://schemas.openxmlformats.org/officeDocument/2006/relationships/control" Target="../activeX/activeX11.xml"/><Relationship Id="rId4" Type="http://schemas.openxmlformats.org/officeDocument/2006/relationships/control" Target="../activeX/activeX8.xml"/><Relationship Id="rId9" Type="http://schemas.openxmlformats.org/officeDocument/2006/relationships/image" Target="../media/image10.emf"/></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15.xml"/><Relationship Id="rId3" Type="http://schemas.openxmlformats.org/officeDocument/2006/relationships/vmlDrawing" Target="../drawings/vmlDrawing3.vml"/><Relationship Id="rId7" Type="http://schemas.openxmlformats.org/officeDocument/2006/relationships/image" Target="../media/image14.emf"/><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ntrol" Target="../activeX/activeX14.xml"/><Relationship Id="rId11" Type="http://schemas.openxmlformats.org/officeDocument/2006/relationships/image" Target="../media/image16.emf"/><Relationship Id="rId5" Type="http://schemas.openxmlformats.org/officeDocument/2006/relationships/image" Target="../media/image13.emf"/><Relationship Id="rId10" Type="http://schemas.openxmlformats.org/officeDocument/2006/relationships/control" Target="../activeX/activeX16.xml"/><Relationship Id="rId4" Type="http://schemas.openxmlformats.org/officeDocument/2006/relationships/control" Target="../activeX/activeX13.xml"/><Relationship Id="rId9" Type="http://schemas.openxmlformats.org/officeDocument/2006/relationships/image" Target="../media/image15.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19.xml"/><Relationship Id="rId13" Type="http://schemas.openxmlformats.org/officeDocument/2006/relationships/image" Target="../media/image21.emf"/><Relationship Id="rId3" Type="http://schemas.openxmlformats.org/officeDocument/2006/relationships/vmlDrawing" Target="../drawings/vmlDrawing4.vml"/><Relationship Id="rId7" Type="http://schemas.openxmlformats.org/officeDocument/2006/relationships/image" Target="../media/image18.emf"/><Relationship Id="rId12" Type="http://schemas.openxmlformats.org/officeDocument/2006/relationships/control" Target="../activeX/activeX21.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control" Target="../activeX/activeX18.xml"/><Relationship Id="rId11" Type="http://schemas.openxmlformats.org/officeDocument/2006/relationships/image" Target="../media/image20.emf"/><Relationship Id="rId5" Type="http://schemas.openxmlformats.org/officeDocument/2006/relationships/image" Target="../media/image17.emf"/><Relationship Id="rId10" Type="http://schemas.openxmlformats.org/officeDocument/2006/relationships/control" Target="../activeX/activeX20.xml"/><Relationship Id="rId4" Type="http://schemas.openxmlformats.org/officeDocument/2006/relationships/control" Target="../activeX/activeX17.xml"/><Relationship Id="rId9" Type="http://schemas.openxmlformats.org/officeDocument/2006/relationships/image" Target="../media/image19.emf"/></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24.xml"/><Relationship Id="rId13" Type="http://schemas.openxmlformats.org/officeDocument/2006/relationships/image" Target="../media/image26.emf"/><Relationship Id="rId3" Type="http://schemas.openxmlformats.org/officeDocument/2006/relationships/vmlDrawing" Target="../drawings/vmlDrawing5.vml"/><Relationship Id="rId7" Type="http://schemas.openxmlformats.org/officeDocument/2006/relationships/image" Target="../media/image23.emf"/><Relationship Id="rId12" Type="http://schemas.openxmlformats.org/officeDocument/2006/relationships/control" Target="../activeX/activeX26.xml"/><Relationship Id="rId17" Type="http://schemas.openxmlformats.org/officeDocument/2006/relationships/image" Target="../media/image28.emf"/><Relationship Id="rId2" Type="http://schemas.openxmlformats.org/officeDocument/2006/relationships/drawing" Target="../drawings/drawing5.xml"/><Relationship Id="rId16" Type="http://schemas.openxmlformats.org/officeDocument/2006/relationships/control" Target="../activeX/activeX28.xml"/><Relationship Id="rId1" Type="http://schemas.openxmlformats.org/officeDocument/2006/relationships/printerSettings" Target="../printerSettings/printerSettings6.bin"/><Relationship Id="rId6" Type="http://schemas.openxmlformats.org/officeDocument/2006/relationships/control" Target="../activeX/activeX23.xml"/><Relationship Id="rId11" Type="http://schemas.openxmlformats.org/officeDocument/2006/relationships/image" Target="../media/image25.emf"/><Relationship Id="rId5" Type="http://schemas.openxmlformats.org/officeDocument/2006/relationships/image" Target="../media/image22.emf"/><Relationship Id="rId15" Type="http://schemas.openxmlformats.org/officeDocument/2006/relationships/image" Target="../media/image27.emf"/><Relationship Id="rId10" Type="http://schemas.openxmlformats.org/officeDocument/2006/relationships/control" Target="../activeX/activeX25.xml"/><Relationship Id="rId4" Type="http://schemas.openxmlformats.org/officeDocument/2006/relationships/control" Target="../activeX/activeX22.xml"/><Relationship Id="rId9" Type="http://schemas.openxmlformats.org/officeDocument/2006/relationships/image" Target="../media/image24.emf"/><Relationship Id="rId14" Type="http://schemas.openxmlformats.org/officeDocument/2006/relationships/control" Target="../activeX/activeX27.x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31.xml"/><Relationship Id="rId13" Type="http://schemas.openxmlformats.org/officeDocument/2006/relationships/image" Target="../media/image33.emf"/><Relationship Id="rId3" Type="http://schemas.openxmlformats.org/officeDocument/2006/relationships/vmlDrawing" Target="../drawings/vmlDrawing6.vml"/><Relationship Id="rId7" Type="http://schemas.openxmlformats.org/officeDocument/2006/relationships/image" Target="../media/image30.emf"/><Relationship Id="rId12" Type="http://schemas.openxmlformats.org/officeDocument/2006/relationships/control" Target="../activeX/activeX33.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control" Target="../activeX/activeX30.xml"/><Relationship Id="rId11" Type="http://schemas.openxmlformats.org/officeDocument/2006/relationships/image" Target="../media/image32.emf"/><Relationship Id="rId5" Type="http://schemas.openxmlformats.org/officeDocument/2006/relationships/image" Target="../media/image29.emf"/><Relationship Id="rId15" Type="http://schemas.openxmlformats.org/officeDocument/2006/relationships/image" Target="../media/image34.emf"/><Relationship Id="rId10" Type="http://schemas.openxmlformats.org/officeDocument/2006/relationships/control" Target="../activeX/activeX32.xml"/><Relationship Id="rId4" Type="http://schemas.openxmlformats.org/officeDocument/2006/relationships/control" Target="../activeX/activeX29.xml"/><Relationship Id="rId9" Type="http://schemas.openxmlformats.org/officeDocument/2006/relationships/image" Target="../media/image31.emf"/><Relationship Id="rId14" Type="http://schemas.openxmlformats.org/officeDocument/2006/relationships/control" Target="../activeX/activeX3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8" Type="http://schemas.openxmlformats.org/officeDocument/2006/relationships/hyperlink" Target="http://www.nyc.gov/html/planyc/downloads/pdf/NYC_GHG_Inventory_2014.pdf" TargetMode="External"/><Relationship Id="rId13" Type="http://schemas.openxmlformats.org/officeDocument/2006/relationships/hyperlink" Target="http://www.rita.dot.gov/bts/sites/rita.dot.gov.bts/files/publications/national_transportation_statistics/html/table_04_15.html" TargetMode="External"/><Relationship Id="rId18" Type="http://schemas.openxmlformats.org/officeDocument/2006/relationships/hyperlink" Target="http://www.nyc.gov/html/dot/downloads/pdf/nyc_greendividend_april2010.pdf" TargetMode="External"/><Relationship Id="rId3" Type="http://schemas.openxmlformats.org/officeDocument/2006/relationships/hyperlink" Target="http://www.nyc.gov/html/planyc/downloads/pdf/NYC_GHG_Inventory_2014.pdf" TargetMode="External"/><Relationship Id="rId21" Type="http://schemas.openxmlformats.org/officeDocument/2006/relationships/drawing" Target="../drawings/drawing8.xml"/><Relationship Id="rId7" Type="http://schemas.openxmlformats.org/officeDocument/2006/relationships/hyperlink" Target="http://www.nyc.gov/html/planyc/downloads/pdf/NYC_GHG_Inventory_2014.pdf" TargetMode="External"/><Relationship Id="rId12" Type="http://schemas.openxmlformats.org/officeDocument/2006/relationships/hyperlink" Target="http://www.nyc.gov/html/planyc/downloads/pdf/NYC_GHG_Inventory_2014.pdf" TargetMode="External"/><Relationship Id="rId17" Type="http://schemas.openxmlformats.org/officeDocument/2006/relationships/hyperlink" Target="http://www.streetsblog.org/2011/04/06/new-yorks-car-ownership-rate-is-on-the-rise/" TargetMode="External"/><Relationship Id="rId2" Type="http://schemas.openxmlformats.org/officeDocument/2006/relationships/hyperlink" Target="http://www.nyc.gov/html/planyc/downloads/pdf/NYC_GHG_Inventory_2014.pdf" TargetMode="External"/><Relationship Id="rId16" Type="http://schemas.openxmlformats.org/officeDocument/2006/relationships/hyperlink" Target="http://www.nycedc.com/blog-entry/new-yorkers-and-cars" TargetMode="External"/><Relationship Id="rId20" Type="http://schemas.openxmlformats.org/officeDocument/2006/relationships/printerSettings" Target="../printerSettings/printerSettings15.bin"/><Relationship Id="rId1" Type="http://schemas.openxmlformats.org/officeDocument/2006/relationships/hyperlink" Target="http://railtec.illinois.edu/articles/Files/Conference%20Proceedings/2014/JRC2014-3787.pdf" TargetMode="External"/><Relationship Id="rId6" Type="http://schemas.openxmlformats.org/officeDocument/2006/relationships/hyperlink" Target="http://www.nyc.gov/html/planyc/downloads/pdf/NYC_GHG_Inventory_2014.pdf" TargetMode="External"/><Relationship Id="rId11" Type="http://schemas.openxmlformats.org/officeDocument/2006/relationships/hyperlink" Target="http://www.nyc.gov/html/planyc/downloads/pdf/NYC_GHG_Inventory_2014.pdf" TargetMode="External"/><Relationship Id="rId5" Type="http://schemas.openxmlformats.org/officeDocument/2006/relationships/hyperlink" Target="http://www.nyc.gov/html/planyc/downloads/pdf/NYC_GHG_Inventory_2014.pdf" TargetMode="External"/><Relationship Id="rId15" Type="http://schemas.openxmlformats.org/officeDocument/2006/relationships/hyperlink" Target="http://web.mta.info/nyct/facts/ffsubway.htm" TargetMode="External"/><Relationship Id="rId10" Type="http://schemas.openxmlformats.org/officeDocument/2006/relationships/hyperlink" Target="http://www.nyc.gov/html/planyc/downloads/pdf/NYC_GHG_Inventory_2014.pdf" TargetMode="External"/><Relationship Id="rId19" Type="http://schemas.openxmlformats.org/officeDocument/2006/relationships/hyperlink" Target="http://www.apta.com/resources/statistics/Documents/FactBook/2013-APTA-Fact-Book.pdf" TargetMode="External"/><Relationship Id="rId4" Type="http://schemas.openxmlformats.org/officeDocument/2006/relationships/hyperlink" Target="http://www.nyc.gov/html/planyc/downloads/pdf/NYC_GHG_Inventory_2014.pdf" TargetMode="External"/><Relationship Id="rId9" Type="http://schemas.openxmlformats.org/officeDocument/2006/relationships/hyperlink" Target="http://www.nyc.gov/html/planyc/downloads/pdf/NYC_GHG_Inventory_2014.pdf" TargetMode="External"/><Relationship Id="rId14" Type="http://schemas.openxmlformats.org/officeDocument/2006/relationships/hyperlink" Target="http://www.apta.com/resources/hottopics/sustainability/Documents/septainable13.pdf"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6.bin"/><Relationship Id="rId1" Type="http://schemas.openxmlformats.org/officeDocument/2006/relationships/hyperlink" Target="https://www.apta.com/resources/statistics/Documents/FactBook/2018-APTA-Fact-Book.pdf" TargetMode="External"/><Relationship Id="rId4" Type="http://schemas.openxmlformats.org/officeDocument/2006/relationships/comments" Target="../comments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comments" Target="../comments4.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12.vml"/></Relationships>
</file>

<file path=xl/worksheets/_rels/sheet29.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13.v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faa.gov/airports/planning_capacity/passenger_allcargo_stats/passenger/index.cfm?year=2005"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www.iwr.usace.army.mil/ndc/wcsc/statenm06.htm" TargetMode="External"/><Relationship Id="rId2" Type="http://schemas.openxmlformats.org/officeDocument/2006/relationships/hyperlink" Target="http://www.aar.org/abouttheindustry/stateinformation.asp" TargetMode="External"/><Relationship Id="rId1" Type="http://schemas.openxmlformats.org/officeDocument/2006/relationships/hyperlink" Target="http://www.bts.gov/publications/commodity_flow_survey/2002/united_states/" TargetMode="External"/><Relationship Id="rId5" Type="http://schemas.openxmlformats.org/officeDocument/2006/relationships/drawing" Target="../drawings/drawing12.xml"/><Relationship Id="rId4" Type="http://schemas.openxmlformats.org/officeDocument/2006/relationships/printerSettings" Target="../printerSettings/printerSettings23.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5.bin"/></Relationships>
</file>

<file path=xl/worksheets/_rels/sheet42.xml.rels><?xml version="1.0" encoding="UTF-8" standalone="yes"?>
<Relationships xmlns="http://schemas.openxmlformats.org/package/2006/relationships"><Relationship Id="rId2" Type="http://schemas.openxmlformats.org/officeDocument/2006/relationships/hyperlink" Target="http://alternativefuels.about.com/od/resources/a/gge.htm" TargetMode="External"/><Relationship Id="rId1" Type="http://schemas.openxmlformats.org/officeDocument/2006/relationships/hyperlink" Target="http://www.nafa.org/Content/NavigationMenu/Resource_Center/Alternative_Fuels/Energy_Equivalents/Energy_Equivalents.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42578125" customWidth="1"/>
    <col min="3" max="3" width="29.5703125" customWidth="1"/>
    <col min="4" max="4" width="10.42578125" customWidth="1"/>
    <col min="5" max="5" width="29.5703125" customWidth="1"/>
    <col min="6" max="6" width="10.42578125" customWidth="1"/>
  </cols>
  <sheetData>
    <row r="1" spans="1:6" x14ac:dyDescent="0.2">
      <c r="A1" s="1" t="s">
        <v>0</v>
      </c>
      <c r="B1" s="35"/>
    </row>
    <row r="4" spans="1:6" ht="17.25" customHeight="1" x14ac:dyDescent="0.2"/>
    <row r="5" spans="1:6" ht="17.25" customHeight="1" x14ac:dyDescent="0.2">
      <c r="C5" s="2"/>
    </row>
    <row r="6" spans="1:6" ht="15.75" customHeight="1" x14ac:dyDescent="0.2"/>
    <row r="7" spans="1:6" x14ac:dyDescent="0.2">
      <c r="B7" s="3" t="s">
        <v>1</v>
      </c>
      <c r="C7" s="1" t="s">
        <v>2</v>
      </c>
      <c r="D7" s="1" t="s">
        <v>3</v>
      </c>
      <c r="E7" s="1" t="s">
        <v>4</v>
      </c>
      <c r="F7" s="1" t="s">
        <v>5</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49" r:id="rId4" name="cmdEnergySets">
          <controlPr defaultSize="0" autoLine="0" r:id="rId5">
            <anchor moveWithCells="1">
              <from>
                <xdr:col>4</xdr:col>
                <xdr:colOff>9525</xdr:colOff>
                <xdr:row>3</xdr:row>
                <xdr:rowOff>104775</xdr:rowOff>
              </from>
              <to>
                <xdr:col>4</xdr:col>
                <xdr:colOff>981075</xdr:colOff>
                <xdr:row>4</xdr:row>
                <xdr:rowOff>123825</xdr:rowOff>
              </to>
            </anchor>
          </controlPr>
        </control>
      </mc:Choice>
      <mc:Fallback>
        <control shapeId="2049" r:id="rId4" name="cmdEnergySets"/>
      </mc:Fallback>
    </mc:AlternateContent>
    <mc:AlternateContent xmlns:mc="http://schemas.openxmlformats.org/markup-compatibility/2006">
      <mc:Choice Requires="x14">
        <control shapeId="2051" r:id="rId6" name="cmdDemandSets">
          <controlPr defaultSize="0" autoLine="0" r:id="rId7">
            <anchor moveWithCells="1">
              <from>
                <xdr:col>4</xdr:col>
                <xdr:colOff>9525</xdr:colOff>
                <xdr:row>4</xdr:row>
                <xdr:rowOff>180975</xdr:rowOff>
              </from>
              <to>
                <xdr:col>4</xdr:col>
                <xdr:colOff>981075</xdr:colOff>
                <xdr:row>6</xdr:row>
                <xdr:rowOff>0</xdr:rowOff>
              </to>
            </anchor>
          </controlPr>
        </control>
      </mc:Choice>
      <mc:Fallback>
        <control shapeId="2051" r:id="rId6" name="cmdDemandSets"/>
      </mc:Fallback>
    </mc:AlternateContent>
    <mc:AlternateContent xmlns:mc="http://schemas.openxmlformats.org/markup-compatibility/2006">
      <mc:Choice Requires="x14">
        <control shapeId="2052" r:id="rId8" name="cmdEmissionSets">
          <controlPr defaultSize="0" autoLine="0" r:id="rId9">
            <anchor moveWithCells="1">
              <from>
                <xdr:col>4</xdr:col>
                <xdr:colOff>1000125</xdr:colOff>
                <xdr:row>4</xdr:row>
                <xdr:rowOff>180975</xdr:rowOff>
              </from>
              <to>
                <xdr:col>5</xdr:col>
                <xdr:colOff>0</xdr:colOff>
                <xdr:row>6</xdr:row>
                <xdr:rowOff>0</xdr:rowOff>
              </to>
            </anchor>
          </controlPr>
        </control>
      </mc:Choice>
      <mc:Fallback>
        <control shapeId="2052" r:id="rId8" name="cmdEmissionSets"/>
      </mc:Fallback>
    </mc:AlternateContent>
    <mc:AlternateContent xmlns:mc="http://schemas.openxmlformats.org/markup-compatibility/2006">
      <mc:Choice Requires="x14">
        <control shapeId="2053" r:id="rId10" name="cmdMaterialSets">
          <controlPr defaultSize="0" autoLine="0" r:id="rId11">
            <anchor moveWithCells="1">
              <from>
                <xdr:col>4</xdr:col>
                <xdr:colOff>1000125</xdr:colOff>
                <xdr:row>3</xdr:row>
                <xdr:rowOff>104775</xdr:rowOff>
              </from>
              <to>
                <xdr:col>5</xdr:col>
                <xdr:colOff>0</xdr:colOff>
                <xdr:row>4</xdr:row>
                <xdr:rowOff>123825</xdr:rowOff>
              </to>
            </anchor>
          </controlPr>
        </control>
      </mc:Choice>
      <mc:Fallback>
        <control shapeId="2053" r:id="rId10" name="cmdMaterialSets"/>
      </mc:Fallback>
    </mc:AlternateContent>
    <mc:AlternateContent xmlns:mc="http://schemas.openxmlformats.org/markup-compatibility/2006">
      <mc:Choice Requires="x14">
        <control shapeId="2061" r:id="rId12" name="cmdCheckCommoditiesSheet">
          <controlPr defaultSize="0" autoLine="0" autoPict="0" r:id="rId13">
            <anchor moveWithCells="1">
              <from>
                <xdr:col>0</xdr:col>
                <xdr:colOff>9525</xdr:colOff>
                <xdr:row>2</xdr:row>
                <xdr:rowOff>142875</xdr:rowOff>
              </from>
              <to>
                <xdr:col>0</xdr:col>
                <xdr:colOff>828675</xdr:colOff>
                <xdr:row>4</xdr:row>
                <xdr:rowOff>0</xdr:rowOff>
              </to>
            </anchor>
          </controlPr>
        </control>
      </mc:Choice>
      <mc:Fallback>
        <control shapeId="2061" r:id="rId12" name="cmdCheckCommoditiesSheet"/>
      </mc:Fallback>
    </mc:AlternateContent>
    <mc:AlternateContent xmlns:mc="http://schemas.openxmlformats.org/markup-compatibility/2006">
      <mc:Choice Requires="x14">
        <control shapeId="2063" r:id="rId14" name="cmdCommUnit">
          <controlPr defaultSize="0" autoLine="0" r:id="rId15">
            <anchor moveWithCells="1">
              <from>
                <xdr:col>3</xdr:col>
                <xdr:colOff>9525</xdr:colOff>
                <xdr:row>4</xdr:row>
                <xdr:rowOff>180975</xdr:rowOff>
              </from>
              <to>
                <xdr:col>3</xdr:col>
                <xdr:colOff>676275</xdr:colOff>
                <xdr:row>6</xdr:row>
                <xdr:rowOff>0</xdr:rowOff>
              </to>
            </anchor>
          </controlPr>
        </control>
      </mc:Choice>
      <mc:Fallback>
        <control shapeId="2063" r:id="rId14" name="cmdCommUnit"/>
      </mc:Fallback>
    </mc:AlternateContent>
    <mc:AlternateContent xmlns:mc="http://schemas.openxmlformats.org/markup-compatibility/2006">
      <mc:Choice Requires="x14">
        <control shapeId="2073" r:id="rId16" name="cmdRefreshUnits">
          <controlPr defaultSize="0" autoLine="0" r:id="rId17">
            <anchor moveWithCells="1">
              <from>
                <xdr:col>3</xdr:col>
                <xdr:colOff>66675</xdr:colOff>
                <xdr:row>2</xdr:row>
                <xdr:rowOff>114300</xdr:rowOff>
              </from>
              <to>
                <xdr:col>3</xdr:col>
                <xdr:colOff>619125</xdr:colOff>
                <xdr:row>4</xdr:row>
                <xdr:rowOff>104775</xdr:rowOff>
              </to>
            </anchor>
          </controlPr>
        </control>
      </mc:Choice>
      <mc:Fallback>
        <control shapeId="2073" r:id="rId16" name="cmdRefreshUnits"/>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2A28-951B-4FF5-9A8A-216D28ACD338}">
  <dimension ref="B1:C91"/>
  <sheetViews>
    <sheetView workbookViewId="0">
      <selection activeCell="K3" sqref="K3"/>
    </sheetView>
  </sheetViews>
  <sheetFormatPr defaultRowHeight="12.75" x14ac:dyDescent="0.2"/>
  <sheetData>
    <row r="1" spans="2:2" x14ac:dyDescent="0.2">
      <c r="B1" s="1" t="s">
        <v>1962</v>
      </c>
    </row>
    <row r="2" spans="2:2" x14ac:dyDescent="0.2">
      <c r="B2" s="1"/>
    </row>
    <row r="3" spans="2:2" x14ac:dyDescent="0.2">
      <c r="B3" t="s">
        <v>1963</v>
      </c>
    </row>
    <row r="4" spans="2:2" x14ac:dyDescent="0.2">
      <c r="B4" t="s">
        <v>1964</v>
      </c>
    </row>
    <row r="5" spans="2:2" x14ac:dyDescent="0.2">
      <c r="B5" t="s">
        <v>1965</v>
      </c>
    </row>
    <row r="6" spans="2:2" x14ac:dyDescent="0.2">
      <c r="B6" t="s">
        <v>1966</v>
      </c>
    </row>
    <row r="8" spans="2:2" x14ac:dyDescent="0.2">
      <c r="B8" s="1" t="s">
        <v>1967</v>
      </c>
    </row>
    <row r="9" spans="2:2" x14ac:dyDescent="0.2">
      <c r="B9" t="s">
        <v>1968</v>
      </c>
    </row>
    <row r="10" spans="2:2" x14ac:dyDescent="0.2">
      <c r="B10" t="s">
        <v>1969</v>
      </c>
    </row>
    <row r="11" spans="2:2" x14ac:dyDescent="0.2">
      <c r="B11" t="s">
        <v>1970</v>
      </c>
    </row>
    <row r="12" spans="2:2" x14ac:dyDescent="0.2">
      <c r="B12" t="s">
        <v>1971</v>
      </c>
    </row>
    <row r="13" spans="2:2" x14ac:dyDescent="0.2">
      <c r="B13" t="s">
        <v>1972</v>
      </c>
    </row>
    <row r="14" spans="2:2" x14ac:dyDescent="0.2">
      <c r="B14" t="s">
        <v>1973</v>
      </c>
    </row>
    <row r="15" spans="2:2" x14ac:dyDescent="0.2">
      <c r="B15" t="s">
        <v>1974</v>
      </c>
    </row>
    <row r="16" spans="2:2" x14ac:dyDescent="0.2">
      <c r="B16" t="s">
        <v>1975</v>
      </c>
    </row>
    <row r="19" spans="2:3" x14ac:dyDescent="0.2">
      <c r="B19" s="1" t="s">
        <v>1976</v>
      </c>
    </row>
    <row r="20" spans="2:3" x14ac:dyDescent="0.2">
      <c r="B20" t="s">
        <v>1977</v>
      </c>
    </row>
    <row r="21" spans="2:3" x14ac:dyDescent="0.2">
      <c r="C21" t="s">
        <v>1978</v>
      </c>
    </row>
    <row r="22" spans="2:3" x14ac:dyDescent="0.2">
      <c r="C22" t="s">
        <v>1979</v>
      </c>
    </row>
    <row r="23" spans="2:3" x14ac:dyDescent="0.2">
      <c r="C23" s="56" t="s">
        <v>1980</v>
      </c>
    </row>
    <row r="24" spans="2:3" x14ac:dyDescent="0.2">
      <c r="B24" t="s">
        <v>1981</v>
      </c>
    </row>
    <row r="25" spans="2:3" x14ac:dyDescent="0.2">
      <c r="C25" t="s">
        <v>1982</v>
      </c>
    </row>
    <row r="27" spans="2:3" x14ac:dyDescent="0.2">
      <c r="B27" t="s">
        <v>1983</v>
      </c>
    </row>
    <row r="28" spans="2:3" x14ac:dyDescent="0.2">
      <c r="C28" t="s">
        <v>1984</v>
      </c>
    </row>
    <row r="30" spans="2:3" x14ac:dyDescent="0.2">
      <c r="B30" t="s">
        <v>1985</v>
      </c>
    </row>
    <row r="31" spans="2:3" x14ac:dyDescent="0.2">
      <c r="C31" t="s">
        <v>1986</v>
      </c>
    </row>
    <row r="33" spans="2:3" x14ac:dyDescent="0.2">
      <c r="B33" t="s">
        <v>1987</v>
      </c>
    </row>
    <row r="34" spans="2:3" x14ac:dyDescent="0.2">
      <c r="C34" t="s">
        <v>1988</v>
      </c>
    </row>
    <row r="35" spans="2:3" x14ac:dyDescent="0.2">
      <c r="C35" t="s">
        <v>1989</v>
      </c>
    </row>
    <row r="36" spans="2:3" x14ac:dyDescent="0.2">
      <c r="C36" t="s">
        <v>1990</v>
      </c>
    </row>
    <row r="38" spans="2:3" x14ac:dyDescent="0.2">
      <c r="B38" t="s">
        <v>1991</v>
      </c>
    </row>
    <row r="39" spans="2:3" x14ac:dyDescent="0.2">
      <c r="C39" s="56" t="s">
        <v>1992</v>
      </c>
    </row>
    <row r="41" spans="2:3" x14ac:dyDescent="0.2">
      <c r="B41" t="s">
        <v>1993</v>
      </c>
    </row>
    <row r="42" spans="2:3" x14ac:dyDescent="0.2">
      <c r="C42" t="s">
        <v>1994</v>
      </c>
    </row>
    <row r="43" spans="2:3" x14ac:dyDescent="0.2">
      <c r="C43" s="56" t="s">
        <v>1995</v>
      </c>
    </row>
    <row r="46" spans="2:3" x14ac:dyDescent="0.2">
      <c r="B46" s="1" t="s">
        <v>1996</v>
      </c>
    </row>
    <row r="47" spans="2:3" x14ac:dyDescent="0.2">
      <c r="B47" t="s">
        <v>1997</v>
      </c>
    </row>
    <row r="48" spans="2:3" x14ac:dyDescent="0.2">
      <c r="C48" t="s">
        <v>1998</v>
      </c>
    </row>
    <row r="50" spans="2:3" x14ac:dyDescent="0.2">
      <c r="B50" t="s">
        <v>1999</v>
      </c>
    </row>
    <row r="51" spans="2:3" x14ac:dyDescent="0.2">
      <c r="C51" t="s">
        <v>2000</v>
      </c>
    </row>
    <row r="52" spans="2:3" x14ac:dyDescent="0.2">
      <c r="C52" s="56" t="s">
        <v>2001</v>
      </c>
    </row>
    <row r="53" spans="2:3" x14ac:dyDescent="0.2">
      <c r="C53" t="s">
        <v>2002</v>
      </c>
    </row>
    <row r="55" spans="2:3" x14ac:dyDescent="0.2">
      <c r="B55" t="s">
        <v>2003</v>
      </c>
    </row>
    <row r="56" spans="2:3" x14ac:dyDescent="0.2">
      <c r="C56" s="56" t="s">
        <v>2004</v>
      </c>
    </row>
    <row r="57" spans="2:3" x14ac:dyDescent="0.2">
      <c r="C57" t="s">
        <v>2005</v>
      </c>
    </row>
    <row r="59" spans="2:3" x14ac:dyDescent="0.2">
      <c r="B59" t="s">
        <v>2006</v>
      </c>
    </row>
    <row r="60" spans="2:3" x14ac:dyDescent="0.2">
      <c r="C60" t="s">
        <v>2007</v>
      </c>
    </row>
    <row r="62" spans="2:3" x14ac:dyDescent="0.2">
      <c r="B62" t="s">
        <v>2008</v>
      </c>
    </row>
    <row r="63" spans="2:3" x14ac:dyDescent="0.2">
      <c r="C63" t="s">
        <v>2009</v>
      </c>
    </row>
    <row r="64" spans="2:3" x14ac:dyDescent="0.2">
      <c r="C64" t="s">
        <v>2010</v>
      </c>
    </row>
    <row r="65" spans="2:3" x14ac:dyDescent="0.2">
      <c r="C65" t="s">
        <v>2011</v>
      </c>
    </row>
    <row r="66" spans="2:3" x14ac:dyDescent="0.2">
      <c r="C66" t="s">
        <v>2012</v>
      </c>
    </row>
    <row r="67" spans="2:3" x14ac:dyDescent="0.2">
      <c r="C67" t="s">
        <v>2013</v>
      </c>
    </row>
    <row r="68" spans="2:3" x14ac:dyDescent="0.2">
      <c r="C68" t="s">
        <v>2014</v>
      </c>
    </row>
    <row r="69" spans="2:3" x14ac:dyDescent="0.2">
      <c r="C69" t="s">
        <v>2015</v>
      </c>
    </row>
    <row r="71" spans="2:3" x14ac:dyDescent="0.2">
      <c r="B71" s="1" t="s">
        <v>2016</v>
      </c>
    </row>
    <row r="72" spans="2:3" x14ac:dyDescent="0.2">
      <c r="B72" t="s">
        <v>2017</v>
      </c>
    </row>
    <row r="73" spans="2:3" x14ac:dyDescent="0.2">
      <c r="B73" s="56" t="s">
        <v>2018</v>
      </c>
    </row>
    <row r="74" spans="2:3" x14ac:dyDescent="0.2">
      <c r="C74" s="56" t="s">
        <v>2019</v>
      </c>
    </row>
    <row r="76" spans="2:3" x14ac:dyDescent="0.2">
      <c r="B76" t="s">
        <v>2020</v>
      </c>
    </row>
    <row r="77" spans="2:3" x14ac:dyDescent="0.2">
      <c r="C77" s="35" t="s">
        <v>2021</v>
      </c>
    </row>
    <row r="78" spans="2:3" x14ac:dyDescent="0.2">
      <c r="B78" t="s">
        <v>2022</v>
      </c>
    </row>
    <row r="79" spans="2:3" x14ac:dyDescent="0.2">
      <c r="C79" t="s">
        <v>2023</v>
      </c>
    </row>
    <row r="80" spans="2:3" x14ac:dyDescent="0.2">
      <c r="C80" t="s">
        <v>2024</v>
      </c>
    </row>
    <row r="81" spans="2:3" x14ac:dyDescent="0.2">
      <c r="C81" t="s">
        <v>2025</v>
      </c>
    </row>
    <row r="84" spans="2:3" x14ac:dyDescent="0.2">
      <c r="B84" s="1" t="s">
        <v>2026</v>
      </c>
    </row>
    <row r="85" spans="2:3" x14ac:dyDescent="0.2">
      <c r="B85" t="s">
        <v>2027</v>
      </c>
    </row>
    <row r="86" spans="2:3" x14ac:dyDescent="0.2">
      <c r="B86" t="s">
        <v>2028</v>
      </c>
    </row>
    <row r="87" spans="2:3" x14ac:dyDescent="0.2">
      <c r="B87" t="s">
        <v>2029</v>
      </c>
    </row>
    <row r="88" spans="2:3" x14ac:dyDescent="0.2">
      <c r="B88" t="s">
        <v>2030</v>
      </c>
    </row>
    <row r="89" spans="2:3" x14ac:dyDescent="0.2">
      <c r="B89" t="s">
        <v>2031</v>
      </c>
    </row>
    <row r="90" spans="2:3" x14ac:dyDescent="0.2">
      <c r="B90" t="s">
        <v>2032</v>
      </c>
    </row>
    <row r="91" spans="2:3" x14ac:dyDescent="0.2">
      <c r="B91" t="s">
        <v>2033</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rgb="FFFFC000"/>
  </sheetPr>
  <dimension ref="B1:O85"/>
  <sheetViews>
    <sheetView zoomScale="80" zoomScaleNormal="80" workbookViewId="0">
      <pane xSplit="4" ySplit="7" topLeftCell="E56" activePane="bottomRight" state="frozen"/>
      <selection pane="topRight" activeCell="O26" sqref="O26"/>
      <selection pane="bottomLeft" activeCell="O26" sqref="O26"/>
      <selection pane="bottomRight" activeCell="D80" sqref="D80"/>
    </sheetView>
  </sheetViews>
  <sheetFormatPr defaultColWidth="9.140625" defaultRowHeight="12.75" x14ac:dyDescent="0.2"/>
  <cols>
    <col min="1" max="1" width="9.140625" style="265"/>
    <col min="2" max="2" width="19.5703125" style="265" customWidth="1"/>
    <col min="3" max="3" width="14.5703125" style="265" customWidth="1"/>
    <col min="4" max="4" width="44.140625" style="265" customWidth="1"/>
    <col min="5" max="5" width="15.85546875" style="265" customWidth="1"/>
    <col min="6" max="6" width="29.5703125" style="265" customWidth="1"/>
    <col min="7" max="7" width="10.42578125" style="265" customWidth="1"/>
    <col min="8" max="16384" width="9.140625" style="265"/>
  </cols>
  <sheetData>
    <row r="1" spans="2:15" x14ac:dyDescent="0.2">
      <c r="B1" s="1064" t="s">
        <v>6</v>
      </c>
      <c r="C1" s="265" t="s">
        <v>7</v>
      </c>
    </row>
    <row r="4" spans="2:15" ht="17.25" customHeight="1" x14ac:dyDescent="0.2"/>
    <row r="5" spans="2:15" ht="17.25" customHeight="1" x14ac:dyDescent="0.2">
      <c r="D5" s="1065"/>
    </row>
    <row r="6" spans="2:15" ht="15.75" customHeight="1" x14ac:dyDescent="0.2">
      <c r="B6" s="1067" t="s">
        <v>2034</v>
      </c>
      <c r="C6"/>
      <c r="D6"/>
      <c r="E6" s="35"/>
      <c r="F6" s="35"/>
      <c r="G6"/>
      <c r="H6"/>
      <c r="I6"/>
      <c r="J6"/>
      <c r="K6"/>
      <c r="L6"/>
      <c r="M6"/>
      <c r="N6"/>
      <c r="O6"/>
    </row>
    <row r="7" spans="2:15" x14ac:dyDescent="0.2">
      <c r="B7" s="1068" t="s">
        <v>717</v>
      </c>
      <c r="C7" s="1068" t="s">
        <v>1</v>
      </c>
      <c r="D7" s="1068" t="s">
        <v>2</v>
      </c>
      <c r="E7" s="1068" t="s">
        <v>1567</v>
      </c>
      <c r="F7" s="1068" t="s">
        <v>2035</v>
      </c>
      <c r="G7" s="1068" t="s">
        <v>2036</v>
      </c>
      <c r="H7" s="1068" t="s">
        <v>2037</v>
      </c>
      <c r="I7" s="1068" t="s">
        <v>2038</v>
      </c>
      <c r="J7" s="1068" t="s">
        <v>2039</v>
      </c>
      <c r="K7"/>
      <c r="L7"/>
      <c r="M7"/>
      <c r="N7"/>
      <c r="O7" t="s">
        <v>5</v>
      </c>
    </row>
    <row r="8" spans="2:15" x14ac:dyDescent="0.2">
      <c r="B8" s="1073" t="s">
        <v>88</v>
      </c>
      <c r="C8" s="1073"/>
      <c r="D8" s="1073"/>
      <c r="E8" s="1073"/>
      <c r="F8" s="1073"/>
      <c r="G8" s="1073"/>
      <c r="H8" s="1070"/>
      <c r="I8" s="1070"/>
      <c r="J8" s="1070"/>
    </row>
    <row r="9" spans="2:15" x14ac:dyDescent="0.2">
      <c r="B9" s="1071" t="s">
        <v>7</v>
      </c>
      <c r="C9" s="1071" t="s">
        <v>89</v>
      </c>
      <c r="D9" s="1071" t="s">
        <v>90</v>
      </c>
      <c r="E9" s="1071" t="s">
        <v>91</v>
      </c>
      <c r="F9" s="1071" t="s">
        <v>2041</v>
      </c>
      <c r="G9" s="1071"/>
      <c r="H9" s="1072"/>
      <c r="I9" s="1072"/>
      <c r="J9" s="1072"/>
    </row>
    <row r="10" spans="2:15" x14ac:dyDescent="0.2">
      <c r="B10" s="1071" t="s">
        <v>92</v>
      </c>
      <c r="C10" s="1071" t="s">
        <v>93</v>
      </c>
      <c r="D10" s="1071" t="s">
        <v>94</v>
      </c>
      <c r="E10" s="1071" t="s">
        <v>95</v>
      </c>
      <c r="F10" s="1071" t="s">
        <v>2041</v>
      </c>
      <c r="G10" s="1071"/>
      <c r="H10" s="1072"/>
      <c r="I10" s="1072"/>
      <c r="J10" s="1072"/>
    </row>
    <row r="11" spans="2:15" x14ac:dyDescent="0.2">
      <c r="B11" s="1071" t="s">
        <v>92</v>
      </c>
      <c r="C11" s="1071" t="s">
        <v>96</v>
      </c>
      <c r="D11" s="1071" t="s">
        <v>97</v>
      </c>
      <c r="E11" s="1071" t="s">
        <v>95</v>
      </c>
      <c r="F11" s="1071" t="s">
        <v>2041</v>
      </c>
      <c r="G11" s="1071"/>
      <c r="H11" s="1072"/>
      <c r="I11" s="1072"/>
      <c r="J11" s="1072"/>
    </row>
    <row r="12" spans="2:15" x14ac:dyDescent="0.2">
      <c r="B12" s="1071" t="s">
        <v>92</v>
      </c>
      <c r="C12" s="1071" t="s">
        <v>98</v>
      </c>
      <c r="D12" s="1071" t="s">
        <v>99</v>
      </c>
      <c r="E12" s="1071" t="s">
        <v>95</v>
      </c>
      <c r="F12" s="1071" t="s">
        <v>2041</v>
      </c>
      <c r="G12" s="1071"/>
      <c r="H12" s="1072"/>
      <c r="I12" s="1072"/>
      <c r="J12" s="1072"/>
    </row>
    <row r="13" spans="2:15" x14ac:dyDescent="0.2">
      <c r="B13" s="1071" t="s">
        <v>12</v>
      </c>
      <c r="C13" s="1071" t="s">
        <v>100</v>
      </c>
      <c r="D13" s="1071" t="s">
        <v>101</v>
      </c>
      <c r="E13" s="1071" t="s">
        <v>95</v>
      </c>
      <c r="F13" s="1071" t="s">
        <v>2041</v>
      </c>
      <c r="G13" s="1071"/>
      <c r="H13" s="1072"/>
      <c r="I13" s="1072"/>
      <c r="J13" s="1072"/>
    </row>
    <row r="14" spans="2:15" x14ac:dyDescent="0.2">
      <c r="B14" s="1071" t="s">
        <v>7</v>
      </c>
      <c r="C14" s="1071" t="s">
        <v>102</v>
      </c>
      <c r="D14" s="1071" t="s">
        <v>103</v>
      </c>
      <c r="E14" s="1071" t="s">
        <v>104</v>
      </c>
      <c r="F14" s="1071" t="s">
        <v>2041</v>
      </c>
      <c r="G14" s="1071"/>
      <c r="H14" s="1072"/>
      <c r="I14" s="1072"/>
      <c r="J14" s="1072"/>
    </row>
    <row r="15" spans="2:15" x14ac:dyDescent="0.2">
      <c r="B15" s="1071" t="s">
        <v>105</v>
      </c>
      <c r="C15" s="1071" t="s">
        <v>106</v>
      </c>
      <c r="D15" s="1071" t="s">
        <v>107</v>
      </c>
      <c r="E15" s="1071" t="s">
        <v>104</v>
      </c>
      <c r="F15" s="1071" t="s">
        <v>2041</v>
      </c>
      <c r="G15" s="1071"/>
      <c r="H15" s="1072"/>
      <c r="I15" s="1072"/>
      <c r="J15" s="1072"/>
    </row>
    <row r="16" spans="2:15" x14ac:dyDescent="0.2">
      <c r="B16" s="1071" t="s">
        <v>105</v>
      </c>
      <c r="C16" s="1071" t="s">
        <v>108</v>
      </c>
      <c r="D16" s="1071" t="s">
        <v>109</v>
      </c>
      <c r="E16" s="1071" t="s">
        <v>95</v>
      </c>
      <c r="F16" s="1071" t="s">
        <v>2041</v>
      </c>
      <c r="G16" s="1071"/>
      <c r="H16" s="1072"/>
      <c r="I16" s="1072"/>
      <c r="J16" s="1072"/>
    </row>
    <row r="17" spans="2:15" x14ac:dyDescent="0.2">
      <c r="B17" s="1071" t="s">
        <v>92</v>
      </c>
      <c r="C17" s="1071" t="s">
        <v>110</v>
      </c>
      <c r="D17" s="1071" t="s">
        <v>111</v>
      </c>
      <c r="E17" s="1071" t="s">
        <v>91</v>
      </c>
      <c r="F17" s="1071" t="s">
        <v>2041</v>
      </c>
      <c r="G17" s="1071"/>
      <c r="H17" s="1072"/>
      <c r="I17" s="1072"/>
      <c r="J17" s="1072"/>
    </row>
    <row r="18" spans="2:15" x14ac:dyDescent="0.2">
      <c r="B18" s="1071" t="s">
        <v>105</v>
      </c>
      <c r="C18" s="1071" t="s">
        <v>112</v>
      </c>
      <c r="D18" s="1071" t="s">
        <v>113</v>
      </c>
      <c r="E18" s="1071" t="s">
        <v>95</v>
      </c>
      <c r="F18" s="1071" t="s">
        <v>2041</v>
      </c>
      <c r="G18" s="1071"/>
      <c r="H18" s="1072"/>
      <c r="I18" s="1072"/>
      <c r="J18" s="1072"/>
    </row>
    <row r="19" spans="2:15" x14ac:dyDescent="0.2">
      <c r="B19" s="1116"/>
      <c r="C19" s="1116"/>
      <c r="D19" s="1116"/>
      <c r="E19" s="1116"/>
      <c r="F19" s="1116"/>
      <c r="G19" s="1116"/>
      <c r="H19" s="1116"/>
      <c r="I19" s="1116"/>
      <c r="J19" s="1116"/>
      <c r="K19" s="35"/>
      <c r="L19" s="35"/>
      <c r="M19" s="35"/>
      <c r="N19" s="35"/>
      <c r="O19" s="35"/>
    </row>
    <row r="20" spans="2:15" x14ac:dyDescent="0.2">
      <c r="B20" s="1116"/>
      <c r="C20" s="1116"/>
      <c r="D20" s="1116"/>
      <c r="E20" s="1116"/>
      <c r="F20" s="1116"/>
      <c r="G20" s="1116"/>
      <c r="H20" s="1116"/>
      <c r="I20" s="1116"/>
      <c r="J20" s="1116"/>
      <c r="K20" s="35"/>
      <c r="L20" s="35"/>
      <c r="M20" s="35"/>
      <c r="N20" s="35"/>
      <c r="O20" s="35"/>
    </row>
    <row r="21" spans="2:15" x14ac:dyDescent="0.2">
      <c r="B21" s="1116"/>
      <c r="C21" s="1116"/>
      <c r="D21" s="1116"/>
      <c r="E21" s="1116"/>
      <c r="F21" s="1116"/>
      <c r="G21" s="1116"/>
      <c r="H21" s="1116"/>
      <c r="I21" s="1116"/>
      <c r="J21" s="1116"/>
      <c r="K21" s="35"/>
      <c r="L21" s="35"/>
      <c r="M21" s="35"/>
      <c r="N21" s="35"/>
      <c r="O21" s="35"/>
    </row>
    <row r="22" spans="2:15" x14ac:dyDescent="0.2">
      <c r="B22" s="1116"/>
      <c r="C22" s="1116"/>
      <c r="D22" s="1116"/>
      <c r="E22" s="1116"/>
      <c r="F22" s="1116"/>
      <c r="G22" s="1116"/>
      <c r="H22" s="1116"/>
      <c r="I22" s="1116"/>
      <c r="J22" s="1116"/>
      <c r="K22" s="35"/>
      <c r="L22" s="35"/>
      <c r="M22" s="35"/>
      <c r="N22" s="35"/>
      <c r="O22" s="35"/>
    </row>
    <row r="23" spans="2:15" x14ac:dyDescent="0.2">
      <c r="B23" s="1116"/>
      <c r="C23" s="1116"/>
      <c r="D23" s="1116"/>
      <c r="E23" s="1116"/>
      <c r="F23" s="1116"/>
      <c r="G23" s="1116"/>
      <c r="H23" s="1116"/>
      <c r="I23" s="1116"/>
      <c r="J23" s="1116"/>
      <c r="K23" s="35"/>
      <c r="L23" s="35"/>
      <c r="M23" s="35"/>
      <c r="N23" s="35"/>
      <c r="O23" s="35"/>
    </row>
    <row r="24" spans="2:15" x14ac:dyDescent="0.2">
      <c r="B24" s="1116"/>
      <c r="C24" s="1116"/>
      <c r="D24" s="1116"/>
      <c r="E24" s="1116"/>
      <c r="F24" s="1116"/>
      <c r="G24" s="1116"/>
      <c r="H24" s="1116"/>
      <c r="I24" s="1116"/>
      <c r="J24" s="1116"/>
      <c r="K24" s="35"/>
      <c r="L24" s="35"/>
      <c r="M24" s="35"/>
      <c r="N24" s="35"/>
      <c r="O24" s="35"/>
    </row>
    <row r="25" spans="2:15" x14ac:dyDescent="0.2">
      <c r="B25" s="1116"/>
      <c r="C25" s="1116"/>
      <c r="D25" s="1116"/>
      <c r="E25" s="1116"/>
      <c r="F25" s="1116"/>
      <c r="G25" s="1116"/>
      <c r="H25" s="1116"/>
      <c r="I25" s="1116"/>
      <c r="J25" s="1116"/>
      <c r="K25" s="35"/>
      <c r="L25" s="35"/>
      <c r="M25" s="35"/>
      <c r="N25" s="35"/>
      <c r="O25" s="35"/>
    </row>
    <row r="26" spans="2:15" x14ac:dyDescent="0.2">
      <c r="B26" s="1069" t="s">
        <v>8</v>
      </c>
      <c r="C26" s="1070"/>
      <c r="D26" s="1070"/>
      <c r="E26" s="1070"/>
      <c r="F26" s="1070"/>
      <c r="G26" s="1070"/>
      <c r="H26" s="1070"/>
      <c r="I26" s="1070"/>
      <c r="J26" s="1070"/>
    </row>
    <row r="27" spans="2:15" x14ac:dyDescent="0.2">
      <c r="B27" s="1071" t="s">
        <v>7</v>
      </c>
      <c r="C27" s="1071" t="s">
        <v>9</v>
      </c>
      <c r="D27" s="1071" t="s">
        <v>10</v>
      </c>
      <c r="E27" s="1071" t="s">
        <v>11</v>
      </c>
      <c r="F27" s="1071" t="s">
        <v>2040</v>
      </c>
      <c r="G27" s="1071"/>
      <c r="H27" s="1072"/>
      <c r="I27" s="1072"/>
      <c r="J27" s="1072"/>
    </row>
    <row r="28" spans="2:15" x14ac:dyDescent="0.2">
      <c r="B28" s="1071" t="s">
        <v>12</v>
      </c>
      <c r="C28" s="1071" t="s">
        <v>13</v>
      </c>
      <c r="D28" s="1071" t="s">
        <v>14</v>
      </c>
      <c r="E28" s="1071" t="s">
        <v>11</v>
      </c>
      <c r="F28" s="1071" t="s">
        <v>2040</v>
      </c>
      <c r="G28" s="1071"/>
      <c r="H28" s="1072"/>
      <c r="I28" s="1072"/>
      <c r="J28" s="1072"/>
    </row>
    <row r="29" spans="2:15" x14ac:dyDescent="0.2">
      <c r="B29" s="1071" t="s">
        <v>12</v>
      </c>
      <c r="C29" s="1071" t="s">
        <v>15</v>
      </c>
      <c r="D29" s="1071" t="s">
        <v>16</v>
      </c>
      <c r="E29" s="1071" t="s">
        <v>11</v>
      </c>
      <c r="F29" s="1071" t="s">
        <v>2040</v>
      </c>
      <c r="G29" s="1071"/>
      <c r="H29" s="1072"/>
      <c r="I29" s="1072"/>
      <c r="J29" s="1072"/>
    </row>
    <row r="30" spans="2:15" x14ac:dyDescent="0.2">
      <c r="B30" s="1071" t="s">
        <v>12</v>
      </c>
      <c r="C30" s="1071" t="s">
        <v>17</v>
      </c>
      <c r="D30" s="1071" t="s">
        <v>18</v>
      </c>
      <c r="E30" s="1071" t="s">
        <v>11</v>
      </c>
      <c r="F30" s="1071" t="s">
        <v>2040</v>
      </c>
      <c r="G30" s="1071"/>
      <c r="H30" s="1072"/>
      <c r="I30" s="1072"/>
      <c r="J30" s="1072"/>
    </row>
    <row r="31" spans="2:15" x14ac:dyDescent="0.2">
      <c r="B31" s="1071" t="s">
        <v>7</v>
      </c>
      <c r="C31" s="1071" t="s">
        <v>19</v>
      </c>
      <c r="D31" s="1071" t="s">
        <v>20</v>
      </c>
      <c r="E31" s="1071" t="s">
        <v>11</v>
      </c>
      <c r="F31" s="1071" t="s">
        <v>2040</v>
      </c>
      <c r="G31" s="1071"/>
      <c r="H31" s="1072"/>
      <c r="I31" s="1072"/>
      <c r="J31" s="1072"/>
    </row>
    <row r="32" spans="2:15" x14ac:dyDescent="0.2">
      <c r="B32" s="1071" t="s">
        <v>7</v>
      </c>
      <c r="C32" s="1071" t="s">
        <v>21</v>
      </c>
      <c r="D32" s="1071" t="s">
        <v>22</v>
      </c>
      <c r="E32" s="1071" t="s">
        <v>11</v>
      </c>
      <c r="F32" s="1071" t="s">
        <v>2040</v>
      </c>
      <c r="G32" s="1071"/>
      <c r="H32" s="1072"/>
      <c r="I32" s="1072"/>
      <c r="J32" s="1072"/>
    </row>
    <row r="33" spans="2:10" x14ac:dyDescent="0.2">
      <c r="B33" s="1071" t="s">
        <v>12</v>
      </c>
      <c r="C33" s="1071" t="s">
        <v>23</v>
      </c>
      <c r="D33" s="1071" t="s">
        <v>24</v>
      </c>
      <c r="E33" s="1071" t="s">
        <v>11</v>
      </c>
      <c r="F33" s="1071" t="s">
        <v>2040</v>
      </c>
      <c r="G33" s="1071"/>
      <c r="H33" s="1072"/>
      <c r="I33" s="1072"/>
      <c r="J33" s="1072"/>
    </row>
    <row r="34" spans="2:10" x14ac:dyDescent="0.2">
      <c r="B34" s="1071" t="s">
        <v>7</v>
      </c>
      <c r="C34" s="1071" t="s">
        <v>25</v>
      </c>
      <c r="D34" s="1071" t="s">
        <v>26</v>
      </c>
      <c r="E34" s="1071" t="s">
        <v>11</v>
      </c>
      <c r="F34" s="1071" t="s">
        <v>2040</v>
      </c>
      <c r="G34" s="1071"/>
      <c r="H34" s="1072"/>
      <c r="I34" s="1072"/>
      <c r="J34" s="1072"/>
    </row>
    <row r="35" spans="2:10" x14ac:dyDescent="0.2">
      <c r="B35" s="1071" t="s">
        <v>7</v>
      </c>
      <c r="C35" s="1071" t="s">
        <v>27</v>
      </c>
      <c r="D35" s="1071" t="s">
        <v>28</v>
      </c>
      <c r="E35" s="1071" t="s">
        <v>11</v>
      </c>
      <c r="F35" s="1071" t="s">
        <v>2040</v>
      </c>
      <c r="G35" s="1071"/>
      <c r="H35" s="1072"/>
      <c r="I35" s="1072"/>
      <c r="J35" s="1072"/>
    </row>
    <row r="36" spans="2:10" x14ac:dyDescent="0.2">
      <c r="B36" s="1071" t="s">
        <v>7</v>
      </c>
      <c r="C36" s="1071" t="s">
        <v>29</v>
      </c>
      <c r="D36" s="1071" t="s">
        <v>30</v>
      </c>
      <c r="E36" s="1071" t="s">
        <v>11</v>
      </c>
      <c r="F36" s="1071" t="s">
        <v>2040</v>
      </c>
      <c r="G36" s="1071"/>
      <c r="H36" s="1072"/>
      <c r="I36" s="1072"/>
      <c r="J36" s="1072"/>
    </row>
    <row r="37" spans="2:10" x14ac:dyDescent="0.2">
      <c r="B37" s="1071" t="s">
        <v>7</v>
      </c>
      <c r="C37" s="1071" t="s">
        <v>31</v>
      </c>
      <c r="D37" s="1071" t="s">
        <v>32</v>
      </c>
      <c r="E37" s="1071" t="s">
        <v>11</v>
      </c>
      <c r="F37" s="1071" t="s">
        <v>2040</v>
      </c>
      <c r="G37" s="1071"/>
      <c r="H37" s="1072"/>
      <c r="I37" s="1072"/>
      <c r="J37" s="1072"/>
    </row>
    <row r="38" spans="2:10" x14ac:dyDescent="0.2">
      <c r="B38" s="1071" t="s">
        <v>7</v>
      </c>
      <c r="C38" s="1071" t="s">
        <v>33</v>
      </c>
      <c r="D38" s="1071" t="s">
        <v>34</v>
      </c>
      <c r="E38" s="1071" t="s">
        <v>11</v>
      </c>
      <c r="F38" s="1071" t="s">
        <v>2040</v>
      </c>
      <c r="G38" s="1071"/>
      <c r="H38" s="1072"/>
      <c r="I38" s="1072"/>
      <c r="J38" s="1072"/>
    </row>
    <row r="39" spans="2:10" x14ac:dyDescent="0.2">
      <c r="B39" s="1071" t="s">
        <v>7</v>
      </c>
      <c r="C39" s="1071" t="s">
        <v>35</v>
      </c>
      <c r="D39" s="1071" t="s">
        <v>36</v>
      </c>
      <c r="E39" s="1071" t="s">
        <v>11</v>
      </c>
      <c r="F39" s="1071" t="s">
        <v>2040</v>
      </c>
      <c r="G39" s="1071"/>
      <c r="H39" s="1072"/>
      <c r="I39" s="1072"/>
      <c r="J39" s="1072"/>
    </row>
    <row r="40" spans="2:10" x14ac:dyDescent="0.2">
      <c r="B40" s="1071" t="s">
        <v>7</v>
      </c>
      <c r="C40" s="1071" t="s">
        <v>37</v>
      </c>
      <c r="D40" s="1071" t="s">
        <v>38</v>
      </c>
      <c r="E40" s="1071" t="s">
        <v>11</v>
      </c>
      <c r="F40" s="1071" t="s">
        <v>2040</v>
      </c>
      <c r="G40" s="1071"/>
      <c r="H40" s="1072"/>
      <c r="I40" s="1072"/>
      <c r="J40" s="1072"/>
    </row>
    <row r="41" spans="2:10" x14ac:dyDescent="0.2">
      <c r="B41" s="1071" t="s">
        <v>7</v>
      </c>
      <c r="C41" s="1071" t="s">
        <v>39</v>
      </c>
      <c r="D41" s="1071" t="s">
        <v>40</v>
      </c>
      <c r="E41" s="1071" t="s">
        <v>11</v>
      </c>
      <c r="F41" s="1071" t="s">
        <v>2040</v>
      </c>
      <c r="G41" s="1071"/>
      <c r="H41" s="1072"/>
      <c r="I41" s="1072"/>
      <c r="J41" s="1072"/>
    </row>
    <row r="42" spans="2:10" x14ac:dyDescent="0.2">
      <c r="B42" s="1071" t="s">
        <v>7</v>
      </c>
      <c r="C42" s="1071" t="s">
        <v>41</v>
      </c>
      <c r="D42" s="1071" t="s">
        <v>42</v>
      </c>
      <c r="E42" s="1071" t="s">
        <v>11</v>
      </c>
      <c r="F42" s="1071" t="s">
        <v>2040</v>
      </c>
      <c r="G42" s="1071"/>
      <c r="H42" s="1072"/>
      <c r="I42" s="1072"/>
      <c r="J42" s="1072"/>
    </row>
    <row r="43" spans="2:10" x14ac:dyDescent="0.2">
      <c r="B43" s="1071" t="s">
        <v>7</v>
      </c>
      <c r="C43" s="1071" t="s">
        <v>43</v>
      </c>
      <c r="D43" s="1071" t="s">
        <v>44</v>
      </c>
      <c r="E43" s="1071" t="s">
        <v>11</v>
      </c>
      <c r="F43" s="1071" t="s">
        <v>2040</v>
      </c>
      <c r="G43" s="1071"/>
      <c r="H43" s="1072"/>
      <c r="I43" s="1072"/>
      <c r="J43" s="1072"/>
    </row>
    <row r="44" spans="2:10" x14ac:dyDescent="0.2">
      <c r="B44" s="1071" t="s">
        <v>7</v>
      </c>
      <c r="C44" s="1071" t="s">
        <v>45</v>
      </c>
      <c r="D44" s="1071" t="s">
        <v>46</v>
      </c>
      <c r="E44" s="1071" t="s">
        <v>11</v>
      </c>
      <c r="F44" s="1071" t="s">
        <v>2040</v>
      </c>
      <c r="G44" s="1071"/>
      <c r="H44" s="1072"/>
      <c r="I44" s="1072"/>
      <c r="J44" s="1072"/>
    </row>
    <row r="45" spans="2:10" x14ac:dyDescent="0.2">
      <c r="B45" s="1071" t="s">
        <v>7</v>
      </c>
      <c r="C45" s="1071" t="s">
        <v>47</v>
      </c>
      <c r="D45" s="1071" t="s">
        <v>48</v>
      </c>
      <c r="E45" s="1071" t="s">
        <v>11</v>
      </c>
      <c r="F45" s="1071" t="s">
        <v>2040</v>
      </c>
      <c r="G45" s="1071"/>
      <c r="H45" s="1072"/>
      <c r="I45" s="1072"/>
      <c r="J45" s="1072"/>
    </row>
    <row r="46" spans="2:10" x14ac:dyDescent="0.2">
      <c r="B46" s="1071" t="s">
        <v>7</v>
      </c>
      <c r="C46" s="1071" t="s">
        <v>49</v>
      </c>
      <c r="D46" s="1071" t="s">
        <v>50</v>
      </c>
      <c r="E46" s="1071" t="s">
        <v>11</v>
      </c>
      <c r="F46" s="1071" t="s">
        <v>2040</v>
      </c>
      <c r="G46" s="1071"/>
      <c r="H46" s="1072"/>
      <c r="I46" s="1072"/>
      <c r="J46" s="1072"/>
    </row>
    <row r="47" spans="2:10" x14ac:dyDescent="0.2">
      <c r="B47" s="1071" t="s">
        <v>7</v>
      </c>
      <c r="C47" s="1071" t="s">
        <v>51</v>
      </c>
      <c r="D47" s="1071" t="s">
        <v>52</v>
      </c>
      <c r="E47" s="1071" t="s">
        <v>11</v>
      </c>
      <c r="F47" s="1071" t="s">
        <v>2040</v>
      </c>
      <c r="G47" s="1071"/>
      <c r="H47" s="1072"/>
      <c r="I47" s="1072"/>
      <c r="J47" s="1072"/>
    </row>
    <row r="48" spans="2:10" x14ac:dyDescent="0.2">
      <c r="B48" s="1071" t="s">
        <v>7</v>
      </c>
      <c r="C48" s="1071" t="s">
        <v>53</v>
      </c>
      <c r="D48" s="1071" t="s">
        <v>54</v>
      </c>
      <c r="E48" s="1071" t="s">
        <v>11</v>
      </c>
      <c r="F48" s="1071" t="s">
        <v>2040</v>
      </c>
      <c r="G48" s="1071"/>
      <c r="H48" s="1072"/>
      <c r="I48" s="1072"/>
      <c r="J48" s="1072"/>
    </row>
    <row r="49" spans="2:10" x14ac:dyDescent="0.2">
      <c r="B49" s="1071" t="s">
        <v>7</v>
      </c>
      <c r="C49" s="1071" t="s">
        <v>55</v>
      </c>
      <c r="D49" s="1071" t="s">
        <v>28</v>
      </c>
      <c r="E49" s="1071" t="s">
        <v>11</v>
      </c>
      <c r="F49" s="1071" t="s">
        <v>2040</v>
      </c>
      <c r="G49" s="1071"/>
      <c r="H49" s="1072"/>
      <c r="I49" s="1072"/>
      <c r="J49" s="1072"/>
    </row>
    <row r="50" spans="2:10" x14ac:dyDescent="0.2">
      <c r="B50" s="1071" t="s">
        <v>12</v>
      </c>
      <c r="C50" s="1071" t="s">
        <v>56</v>
      </c>
      <c r="D50" s="1071" t="s">
        <v>57</v>
      </c>
      <c r="E50" s="1071" t="s">
        <v>11</v>
      </c>
      <c r="F50" s="1071" t="s">
        <v>2040</v>
      </c>
      <c r="G50" s="1071"/>
      <c r="H50" s="1072"/>
      <c r="I50" s="1072"/>
      <c r="J50" s="1072"/>
    </row>
    <row r="51" spans="2:10" x14ac:dyDescent="0.2">
      <c r="B51" s="1071" t="s">
        <v>12</v>
      </c>
      <c r="C51" s="1071" t="s">
        <v>58</v>
      </c>
      <c r="D51" s="1071" t="s">
        <v>59</v>
      </c>
      <c r="E51" s="1071" t="s">
        <v>11</v>
      </c>
      <c r="F51" s="1071" t="s">
        <v>2040</v>
      </c>
      <c r="G51" s="1071"/>
      <c r="H51" s="1072"/>
      <c r="I51" s="1072"/>
      <c r="J51" s="1072"/>
    </row>
    <row r="52" spans="2:10" x14ac:dyDescent="0.2">
      <c r="B52" s="1071" t="s">
        <v>12</v>
      </c>
      <c r="C52" s="1071" t="s">
        <v>60</v>
      </c>
      <c r="D52" s="1071" t="s">
        <v>61</v>
      </c>
      <c r="E52" s="1071" t="s">
        <v>11</v>
      </c>
      <c r="F52" s="1071" t="s">
        <v>2040</v>
      </c>
      <c r="G52" s="1071"/>
      <c r="H52" s="1072"/>
      <c r="I52" s="1072"/>
      <c r="J52" s="1072"/>
    </row>
    <row r="53" spans="2:10" x14ac:dyDescent="0.2">
      <c r="B53" s="1071" t="s">
        <v>7</v>
      </c>
      <c r="C53" s="1071" t="s">
        <v>62</v>
      </c>
      <c r="D53" s="1071" t="s">
        <v>63</v>
      </c>
      <c r="E53" s="1071" t="s">
        <v>11</v>
      </c>
      <c r="F53" s="1071" t="s">
        <v>2040</v>
      </c>
      <c r="G53" s="1071"/>
      <c r="H53" s="1072"/>
      <c r="I53" s="1072"/>
      <c r="J53" s="1072"/>
    </row>
    <row r="54" spans="2:10" x14ac:dyDescent="0.2">
      <c r="B54" s="1071" t="s">
        <v>12</v>
      </c>
      <c r="C54" s="1071" t="s">
        <v>64</v>
      </c>
      <c r="D54" s="1071" t="s">
        <v>65</v>
      </c>
      <c r="E54" s="1071" t="s">
        <v>11</v>
      </c>
      <c r="F54" s="1071" t="s">
        <v>2040</v>
      </c>
      <c r="G54" s="1071"/>
      <c r="H54" s="1072"/>
      <c r="I54" s="1072"/>
      <c r="J54" s="1072"/>
    </row>
    <row r="55" spans="2:10" x14ac:dyDescent="0.2">
      <c r="B55" s="1071" t="s">
        <v>7</v>
      </c>
      <c r="C55" s="1071" t="s">
        <v>66</v>
      </c>
      <c r="D55" s="1071" t="s">
        <v>67</v>
      </c>
      <c r="E55" s="1071" t="s">
        <v>11</v>
      </c>
      <c r="F55" s="1071" t="s">
        <v>2040</v>
      </c>
      <c r="G55" s="1071"/>
      <c r="H55" s="1072"/>
      <c r="I55" s="1072"/>
      <c r="J55" s="1072"/>
    </row>
    <row r="56" spans="2:10" x14ac:dyDescent="0.2">
      <c r="B56" s="1071" t="s">
        <v>7</v>
      </c>
      <c r="C56" s="1071" t="s">
        <v>68</v>
      </c>
      <c r="D56" s="1071" t="s">
        <v>69</v>
      </c>
      <c r="E56" s="1071" t="s">
        <v>11</v>
      </c>
      <c r="F56" s="1071" t="s">
        <v>2040</v>
      </c>
      <c r="G56" s="1071"/>
      <c r="H56" s="1072"/>
      <c r="I56" s="1072"/>
      <c r="J56" s="1072"/>
    </row>
    <row r="57" spans="2:10" x14ac:dyDescent="0.2">
      <c r="B57" s="1071" t="s">
        <v>7</v>
      </c>
      <c r="C57" s="1071" t="s">
        <v>70</v>
      </c>
      <c r="D57" s="1071" t="s">
        <v>71</v>
      </c>
      <c r="E57" s="1071" t="s">
        <v>11</v>
      </c>
      <c r="F57" s="1071" t="s">
        <v>2040</v>
      </c>
      <c r="G57" s="1071"/>
      <c r="H57" s="1072"/>
      <c r="I57" s="1072"/>
      <c r="J57" s="1072"/>
    </row>
    <row r="58" spans="2:10" x14ac:dyDescent="0.2">
      <c r="B58" s="1071" t="s">
        <v>7</v>
      </c>
      <c r="C58" s="1071" t="s">
        <v>72</v>
      </c>
      <c r="D58" s="1071" t="s">
        <v>73</v>
      </c>
      <c r="E58" s="1071" t="s">
        <v>11</v>
      </c>
      <c r="F58" s="1071" t="s">
        <v>2040</v>
      </c>
      <c r="G58" s="1071"/>
      <c r="H58" s="1072"/>
      <c r="I58" s="1072"/>
      <c r="J58" s="1072"/>
    </row>
    <row r="59" spans="2:10" x14ac:dyDescent="0.2">
      <c r="B59" s="1071" t="s">
        <v>12</v>
      </c>
      <c r="C59" s="1071" t="s">
        <v>74</v>
      </c>
      <c r="D59" s="1071" t="s">
        <v>75</v>
      </c>
      <c r="E59" s="1071" t="s">
        <v>11</v>
      </c>
      <c r="F59" s="1071" t="s">
        <v>2040</v>
      </c>
      <c r="G59" s="1071"/>
      <c r="H59" s="1072"/>
      <c r="I59" s="1072"/>
      <c r="J59" s="1072"/>
    </row>
    <row r="60" spans="2:10" x14ac:dyDescent="0.2">
      <c r="B60" s="1071" t="s">
        <v>12</v>
      </c>
      <c r="C60" s="1071" t="s">
        <v>76</v>
      </c>
      <c r="D60" s="1071" t="s">
        <v>77</v>
      </c>
      <c r="E60" s="1071" t="s">
        <v>11</v>
      </c>
      <c r="F60" s="1071" t="s">
        <v>2040</v>
      </c>
      <c r="G60" s="1071"/>
      <c r="H60" s="1072"/>
      <c r="I60" s="1072"/>
      <c r="J60" s="1072"/>
    </row>
    <row r="61" spans="2:10" x14ac:dyDescent="0.2">
      <c r="B61" s="1071" t="s">
        <v>12</v>
      </c>
      <c r="C61" s="1071" t="s">
        <v>78</v>
      </c>
      <c r="D61" s="1071" t="s">
        <v>79</v>
      </c>
      <c r="E61" s="1071" t="s">
        <v>11</v>
      </c>
      <c r="F61" s="1071" t="s">
        <v>2040</v>
      </c>
      <c r="G61" s="1071"/>
      <c r="H61" s="1072"/>
      <c r="I61" s="1072"/>
      <c r="J61" s="1072"/>
    </row>
    <row r="62" spans="2:10" x14ac:dyDescent="0.2">
      <c r="B62" s="1071" t="s">
        <v>12</v>
      </c>
      <c r="C62" s="1071" t="s">
        <v>80</v>
      </c>
      <c r="D62" s="1071" t="s">
        <v>81</v>
      </c>
      <c r="E62" s="1071" t="s">
        <v>11</v>
      </c>
      <c r="F62" s="1071" t="s">
        <v>2040</v>
      </c>
      <c r="G62" s="1071"/>
      <c r="H62" s="1072"/>
      <c r="I62" s="1072"/>
      <c r="J62" s="1072"/>
    </row>
    <row r="63" spans="2:10" x14ac:dyDescent="0.2">
      <c r="B63" s="1071" t="s">
        <v>12</v>
      </c>
      <c r="C63" s="1071" t="s">
        <v>82</v>
      </c>
      <c r="D63" s="1071" t="s">
        <v>83</v>
      </c>
      <c r="E63" s="1071" t="s">
        <v>11</v>
      </c>
      <c r="F63" s="1071" t="s">
        <v>2040</v>
      </c>
      <c r="G63" s="1071"/>
      <c r="H63" s="1072"/>
      <c r="I63" s="1072"/>
      <c r="J63" s="1072"/>
    </row>
    <row r="64" spans="2:10" x14ac:dyDescent="0.2">
      <c r="B64" s="1071" t="s">
        <v>12</v>
      </c>
      <c r="C64" s="1071" t="s">
        <v>84</v>
      </c>
      <c r="D64" s="1071" t="s">
        <v>85</v>
      </c>
      <c r="E64" s="1071" t="s">
        <v>11</v>
      </c>
      <c r="F64" s="1071" t="s">
        <v>2040</v>
      </c>
      <c r="G64" s="1071"/>
      <c r="H64" s="1072"/>
      <c r="I64" s="1072"/>
      <c r="J64" s="1072"/>
    </row>
    <row r="65" spans="2:10" x14ac:dyDescent="0.2">
      <c r="B65" s="1071" t="s">
        <v>12</v>
      </c>
      <c r="C65" s="1071" t="s">
        <v>86</v>
      </c>
      <c r="D65" s="1071" t="s">
        <v>87</v>
      </c>
      <c r="E65" s="1071" t="s">
        <v>11</v>
      </c>
      <c r="F65" s="1071" t="s">
        <v>2040</v>
      </c>
      <c r="G65" s="1071"/>
      <c r="H65" s="1072"/>
      <c r="I65" s="1072"/>
      <c r="J65" s="1072"/>
    </row>
    <row r="66" spans="2:10" x14ac:dyDescent="0.2">
      <c r="B66" s="1073" t="s">
        <v>114</v>
      </c>
      <c r="C66" s="1073"/>
      <c r="D66" s="1073"/>
      <c r="E66" s="1073"/>
      <c r="F66" s="1073"/>
      <c r="G66" s="1073"/>
      <c r="H66" s="1070"/>
      <c r="I66" s="1070"/>
      <c r="J66" s="1070"/>
    </row>
    <row r="67" spans="2:10" x14ac:dyDescent="0.2">
      <c r="B67" s="1071" t="s">
        <v>115</v>
      </c>
      <c r="C67" s="1071" t="s">
        <v>116</v>
      </c>
      <c r="D67" s="1071" t="s">
        <v>117</v>
      </c>
      <c r="E67" s="1071" t="s">
        <v>118</v>
      </c>
      <c r="F67" s="1071" t="s">
        <v>119</v>
      </c>
      <c r="G67" s="1071"/>
      <c r="H67" s="1072"/>
      <c r="I67" s="1072"/>
      <c r="J67" s="1072"/>
    </row>
    <row r="68" spans="2:10" x14ac:dyDescent="0.2">
      <c r="B68" s="1071" t="s">
        <v>92</v>
      </c>
      <c r="C68" s="1071" t="s">
        <v>122</v>
      </c>
      <c r="D68" s="1071" t="s">
        <v>123</v>
      </c>
      <c r="E68" s="1071" t="s">
        <v>124</v>
      </c>
      <c r="F68" s="1071" t="s">
        <v>119</v>
      </c>
      <c r="G68" s="1071"/>
      <c r="H68" s="1072"/>
      <c r="I68" s="1072"/>
      <c r="J68" s="1072"/>
    </row>
    <row r="69" spans="2:10" x14ac:dyDescent="0.2">
      <c r="B69" s="1071" t="s">
        <v>92</v>
      </c>
      <c r="C69" s="1071" t="s">
        <v>127</v>
      </c>
      <c r="D69" s="1071" t="s">
        <v>128</v>
      </c>
      <c r="E69" s="1071" t="s">
        <v>124</v>
      </c>
      <c r="F69" s="1071" t="s">
        <v>119</v>
      </c>
      <c r="G69" s="1071"/>
      <c r="H69" s="1072"/>
      <c r="I69" s="1072"/>
      <c r="J69" s="1072"/>
    </row>
    <row r="70" spans="2:10" x14ac:dyDescent="0.2">
      <c r="B70" s="1071" t="s">
        <v>92</v>
      </c>
      <c r="C70" s="1071" t="s">
        <v>131</v>
      </c>
      <c r="D70" s="1071" t="s">
        <v>132</v>
      </c>
      <c r="E70" s="1071" t="s">
        <v>124</v>
      </c>
      <c r="F70" s="1071" t="s">
        <v>119</v>
      </c>
      <c r="G70" s="1071"/>
      <c r="H70" s="1072"/>
      <c r="I70" s="1072"/>
      <c r="J70" s="1072"/>
    </row>
    <row r="71" spans="2:10" x14ac:dyDescent="0.2">
      <c r="B71" s="1071" t="s">
        <v>92</v>
      </c>
      <c r="C71" s="1071" t="s">
        <v>135</v>
      </c>
      <c r="D71" s="1071" t="s">
        <v>136</v>
      </c>
      <c r="E71" s="1071" t="s">
        <v>124</v>
      </c>
      <c r="F71" s="1071" t="s">
        <v>119</v>
      </c>
      <c r="G71" s="1071"/>
      <c r="H71" s="1072"/>
      <c r="I71" s="1072"/>
      <c r="J71" s="1072"/>
    </row>
    <row r="72" spans="2:10" x14ac:dyDescent="0.2">
      <c r="B72" s="1071" t="s">
        <v>92</v>
      </c>
      <c r="C72" s="1071" t="s">
        <v>139</v>
      </c>
      <c r="D72" s="1071" t="s">
        <v>140</v>
      </c>
      <c r="E72" s="1071" t="s">
        <v>124</v>
      </c>
      <c r="F72" s="1071" t="s">
        <v>119</v>
      </c>
      <c r="G72" s="1071"/>
      <c r="H72" s="1072"/>
      <c r="I72" s="1072"/>
      <c r="J72" s="1072"/>
    </row>
    <row r="73" spans="2:10" x14ac:dyDescent="0.2">
      <c r="B73" s="1071" t="s">
        <v>92</v>
      </c>
      <c r="C73" s="1071" t="s">
        <v>143</v>
      </c>
      <c r="D73" s="1071" t="s">
        <v>144</v>
      </c>
      <c r="E73" s="1071" t="s">
        <v>124</v>
      </c>
      <c r="F73" s="1071" t="s">
        <v>119</v>
      </c>
      <c r="G73" s="1071"/>
      <c r="H73" s="1072"/>
      <c r="I73" s="1072"/>
      <c r="J73" s="1072"/>
    </row>
    <row r="74" spans="2:10" x14ac:dyDescent="0.2">
      <c r="B74" s="1071" t="s">
        <v>92</v>
      </c>
      <c r="C74" s="1071" t="s">
        <v>120</v>
      </c>
      <c r="D74" s="1071" t="s">
        <v>121</v>
      </c>
      <c r="E74" s="1071" t="s">
        <v>118</v>
      </c>
      <c r="F74" s="1071" t="s">
        <v>119</v>
      </c>
      <c r="G74" s="1071"/>
      <c r="H74" s="1072"/>
      <c r="I74" s="1072"/>
      <c r="J74" s="1072"/>
    </row>
    <row r="75" spans="2:10" x14ac:dyDescent="0.2">
      <c r="B75" s="1071" t="s">
        <v>92</v>
      </c>
      <c r="C75" s="1071" t="s">
        <v>125</v>
      </c>
      <c r="D75" s="1071" t="s">
        <v>126</v>
      </c>
      <c r="E75" s="1071" t="s">
        <v>124</v>
      </c>
      <c r="F75" s="1071" t="s">
        <v>119</v>
      </c>
      <c r="G75" s="1071"/>
      <c r="H75" s="1072"/>
      <c r="I75" s="1072"/>
      <c r="J75" s="1072"/>
    </row>
    <row r="76" spans="2:10" x14ac:dyDescent="0.2">
      <c r="B76" s="1071" t="s">
        <v>92</v>
      </c>
      <c r="C76" s="1071" t="s">
        <v>129</v>
      </c>
      <c r="D76" s="1071" t="s">
        <v>130</v>
      </c>
      <c r="E76" s="1071" t="s">
        <v>124</v>
      </c>
      <c r="F76" s="1071" t="s">
        <v>119</v>
      </c>
      <c r="G76" s="1071"/>
      <c r="H76" s="1072"/>
      <c r="I76" s="1072"/>
      <c r="J76" s="1072"/>
    </row>
    <row r="77" spans="2:10" x14ac:dyDescent="0.2">
      <c r="B77" s="1071" t="s">
        <v>92</v>
      </c>
      <c r="C77" s="1071" t="s">
        <v>133</v>
      </c>
      <c r="D77" s="1071" t="s">
        <v>134</v>
      </c>
      <c r="E77" s="1071" t="s">
        <v>124</v>
      </c>
      <c r="F77" s="1071" t="s">
        <v>119</v>
      </c>
      <c r="G77" s="1071"/>
      <c r="H77" s="1072"/>
      <c r="I77" s="1072"/>
      <c r="J77" s="1072"/>
    </row>
    <row r="78" spans="2:10" x14ac:dyDescent="0.2">
      <c r="B78" s="1071" t="s">
        <v>92</v>
      </c>
      <c r="C78" s="1071" t="s">
        <v>137</v>
      </c>
      <c r="D78" s="1071" t="s">
        <v>138</v>
      </c>
      <c r="E78" s="1071" t="s">
        <v>124</v>
      </c>
      <c r="F78" s="1071" t="s">
        <v>119</v>
      </c>
      <c r="G78" s="1071"/>
      <c r="H78" s="1072"/>
      <c r="I78" s="1072"/>
      <c r="J78" s="1072"/>
    </row>
    <row r="79" spans="2:10" x14ac:dyDescent="0.2">
      <c r="B79" s="1071" t="s">
        <v>92</v>
      </c>
      <c r="C79" s="1071" t="s">
        <v>141</v>
      </c>
      <c r="D79" s="1071" t="s">
        <v>142</v>
      </c>
      <c r="E79" s="1071" t="s">
        <v>124</v>
      </c>
      <c r="F79" s="1071" t="s">
        <v>119</v>
      </c>
      <c r="G79" s="1071"/>
      <c r="H79" s="1072"/>
      <c r="I79" s="1072"/>
      <c r="J79" s="1072"/>
    </row>
    <row r="80" spans="2:10" x14ac:dyDescent="0.2">
      <c r="B80" s="1071" t="s">
        <v>92</v>
      </c>
      <c r="C80" s="1071" t="s">
        <v>145</v>
      </c>
      <c r="D80" s="1071" t="s">
        <v>146</v>
      </c>
      <c r="E80" s="1071" t="s">
        <v>124</v>
      </c>
      <c r="F80" s="1071" t="s">
        <v>119</v>
      </c>
      <c r="G80" s="1071"/>
      <c r="H80" s="1072"/>
      <c r="I80" s="1072"/>
      <c r="J80" s="1072"/>
    </row>
    <row r="81" spans="2:10" x14ac:dyDescent="0.2">
      <c r="B81" s="1071" t="s">
        <v>92</v>
      </c>
      <c r="C81" s="1071" t="s">
        <v>147</v>
      </c>
      <c r="D81" s="1071" t="s">
        <v>148</v>
      </c>
      <c r="E81" s="1071" t="s">
        <v>124</v>
      </c>
      <c r="F81" s="1071" t="s">
        <v>119</v>
      </c>
      <c r="G81" s="1071"/>
      <c r="H81" s="1072"/>
      <c r="I81" s="1072"/>
      <c r="J81" s="1072"/>
    </row>
    <row r="82" spans="2:10" x14ac:dyDescent="0.2">
      <c r="B82" s="1071" t="s">
        <v>92</v>
      </c>
      <c r="C82" s="1071" t="s">
        <v>149</v>
      </c>
      <c r="D82" s="1071" t="s">
        <v>150</v>
      </c>
      <c r="E82" s="1071" t="s">
        <v>124</v>
      </c>
      <c r="F82" s="1071" t="s">
        <v>119</v>
      </c>
      <c r="G82" s="1071"/>
      <c r="H82" s="1072"/>
      <c r="I82" s="1072"/>
      <c r="J82" s="1072"/>
    </row>
    <row r="83" spans="2:10" x14ac:dyDescent="0.2">
      <c r="B83" s="1071" t="s">
        <v>92</v>
      </c>
      <c r="C83" s="1071" t="s">
        <v>151</v>
      </c>
      <c r="D83" s="1071" t="s">
        <v>152</v>
      </c>
      <c r="E83" s="1071" t="s">
        <v>124</v>
      </c>
      <c r="F83" s="1071" t="s">
        <v>119</v>
      </c>
      <c r="G83" s="1071"/>
      <c r="H83" s="1072"/>
      <c r="I83" s="1072"/>
      <c r="J83" s="1072"/>
    </row>
    <row r="84" spans="2:10" x14ac:dyDescent="0.2">
      <c r="B84" s="1071" t="s">
        <v>92</v>
      </c>
      <c r="C84" s="1071" t="s">
        <v>153</v>
      </c>
      <c r="D84" s="1071" t="s">
        <v>154</v>
      </c>
      <c r="E84" s="1071" t="s">
        <v>124</v>
      </c>
      <c r="F84" s="1071" t="s">
        <v>119</v>
      </c>
      <c r="G84" s="1071"/>
      <c r="H84" s="1072"/>
      <c r="I84" s="1072"/>
      <c r="J84" s="1072"/>
    </row>
    <row r="85" spans="2:10" x14ac:dyDescent="0.2">
      <c r="B85" s="1071" t="s">
        <v>92</v>
      </c>
      <c r="C85" s="1071" t="s">
        <v>155</v>
      </c>
      <c r="D85" s="1071" t="s">
        <v>156</v>
      </c>
      <c r="E85" s="1071" t="s">
        <v>124</v>
      </c>
      <c r="F85" s="1071" t="s">
        <v>119</v>
      </c>
      <c r="G85" s="1071"/>
      <c r="H85" s="1072"/>
      <c r="I85" s="1072"/>
      <c r="J85" s="1072"/>
    </row>
  </sheetData>
  <phoneticPr fontId="0" type="noConversion"/>
  <pageMargins left="0.75" right="0.75" top="1" bottom="1" header="0.5" footer="0.5"/>
  <pageSetup paperSize="9" orientation="portrait" horizontalDpi="1200"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42578125" customWidth="1"/>
    <col min="4" max="4" width="9.5703125" customWidth="1"/>
    <col min="5" max="5" width="9.85546875" customWidth="1"/>
    <col min="6" max="6" width="30.42578125" customWidth="1"/>
    <col min="7" max="7" width="10.42578125" customWidth="1"/>
  </cols>
  <sheetData>
    <row r="1" spans="1:12" x14ac:dyDescent="0.2">
      <c r="A1" s="1" t="s">
        <v>157</v>
      </c>
      <c r="B1" s="35"/>
    </row>
    <row r="4" spans="1:12" ht="18" customHeight="1" x14ac:dyDescent="0.2"/>
    <row r="7" spans="1:12" x14ac:dyDescent="0.2">
      <c r="B7" s="1" t="s">
        <v>158</v>
      </c>
      <c r="C7" s="1" t="s">
        <v>159</v>
      </c>
      <c r="D7" s="1" t="s">
        <v>160</v>
      </c>
      <c r="E7" s="1" t="s">
        <v>161</v>
      </c>
      <c r="F7" s="1" t="s">
        <v>4</v>
      </c>
      <c r="G7" s="1" t="s">
        <v>5</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25" r:id="rId4" name="cmdTechnologySets">
          <controlPr defaultSize="0" autoLine="0" r:id="rId5">
            <anchor moveWithCells="1">
              <from>
                <xdr:col>5</xdr:col>
                <xdr:colOff>28575</xdr:colOff>
                <xdr:row>4</xdr:row>
                <xdr:rowOff>28575</xdr:rowOff>
              </from>
              <to>
                <xdr:col>5</xdr:col>
                <xdr:colOff>1828800</xdr:colOff>
                <xdr:row>5</xdr:row>
                <xdr:rowOff>104775</xdr:rowOff>
              </to>
            </anchor>
          </controlPr>
        </control>
      </mc:Choice>
      <mc:Fallback>
        <control shapeId="1025" r:id="rId4" name="cmdTechnologySets"/>
      </mc:Fallback>
    </mc:AlternateContent>
    <mc:AlternateContent xmlns:mc="http://schemas.openxmlformats.org/markup-compatibility/2006">
      <mc:Choice Requires="x14">
        <control shapeId="1034" r:id="rId6" name="cmdCheckTechnologiesSheet">
          <controlPr defaultSize="0" autoLine="0" autoPict="0" r:id="rId7">
            <anchor moveWithCells="1">
              <from>
                <xdr:col>0</xdr:col>
                <xdr:colOff>9525</xdr:colOff>
                <xdr:row>2</xdr:row>
                <xdr:rowOff>152400</xdr:rowOff>
              </from>
              <to>
                <xdr:col>1</xdr:col>
                <xdr:colOff>0</xdr:colOff>
                <xdr:row>4</xdr:row>
                <xdr:rowOff>0</xdr:rowOff>
              </to>
            </anchor>
          </controlPr>
        </control>
      </mc:Choice>
      <mc:Fallback>
        <control shapeId="1034" r:id="rId6" name="cmdCheckTechnologiesSheet"/>
      </mc:Fallback>
    </mc:AlternateContent>
    <mc:AlternateContent xmlns:mc="http://schemas.openxmlformats.org/markup-compatibility/2006">
      <mc:Choice Requires="x14">
        <control shapeId="1035" r:id="rId8" name="cmdTACTUnit">
          <controlPr defaultSize="0" autoLine="0" r:id="rId9">
            <anchor moveWithCells="1">
              <from>
                <xdr:col>3</xdr:col>
                <xdr:colOff>9525</xdr:colOff>
                <xdr:row>4</xdr:row>
                <xdr:rowOff>28575</xdr:rowOff>
              </from>
              <to>
                <xdr:col>4</xdr:col>
                <xdr:colOff>9525</xdr:colOff>
                <xdr:row>5</xdr:row>
                <xdr:rowOff>104775</xdr:rowOff>
              </to>
            </anchor>
          </controlPr>
        </control>
      </mc:Choice>
      <mc:Fallback>
        <control shapeId="1035" r:id="rId8" name="cmdTACTUnit"/>
      </mc:Fallback>
    </mc:AlternateContent>
    <mc:AlternateContent xmlns:mc="http://schemas.openxmlformats.org/markup-compatibility/2006">
      <mc:Choice Requires="x14">
        <control shapeId="1036" r:id="rId10" name="cmdTCAPUnit">
          <controlPr defaultSize="0" autoLine="0" r:id="rId11">
            <anchor moveWithCells="1">
              <from>
                <xdr:col>4</xdr:col>
                <xdr:colOff>9525</xdr:colOff>
                <xdr:row>4</xdr:row>
                <xdr:rowOff>28575</xdr:rowOff>
              </from>
              <to>
                <xdr:col>4</xdr:col>
                <xdr:colOff>647700</xdr:colOff>
                <xdr:row>5</xdr:row>
                <xdr:rowOff>104775</xdr:rowOff>
              </to>
            </anchor>
          </controlPr>
        </control>
      </mc:Choice>
      <mc:Fallback>
        <control shapeId="1036" r:id="rId10" name="cmdTCAPUnit"/>
      </mc:Fallback>
    </mc:AlternateContent>
    <mc:AlternateContent xmlns:mc="http://schemas.openxmlformats.org/markup-compatibility/2006">
      <mc:Choice Requires="x14">
        <control shapeId="1135" r:id="rId12" name="cmdRefreshUnits">
          <controlPr defaultSize="0" autoLine="0" r:id="rId13">
            <anchor moveWithCells="1">
              <from>
                <xdr:col>3</xdr:col>
                <xdr:colOff>381000</xdr:colOff>
                <xdr:row>1</xdr:row>
                <xdr:rowOff>152400</xdr:rowOff>
              </from>
              <to>
                <xdr:col>4</xdr:col>
                <xdr:colOff>295275</xdr:colOff>
                <xdr:row>3</xdr:row>
                <xdr:rowOff>200025</xdr:rowOff>
              </to>
            </anchor>
          </controlPr>
        </control>
      </mc:Choice>
      <mc:Fallback>
        <control shapeId="1135" r:id="rId12" name="cmdRefreshUnits"/>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5703125" customWidth="1"/>
    <col min="3" max="3" width="21.42578125" customWidth="1"/>
    <col min="4" max="4" width="8.5703125" customWidth="1"/>
    <col min="5" max="5" width="18.140625" customWidth="1"/>
    <col min="6" max="6" width="10.42578125" customWidth="1"/>
  </cols>
  <sheetData>
    <row r="1" spans="1:6" x14ac:dyDescent="0.2">
      <c r="A1" s="1" t="s">
        <v>162</v>
      </c>
      <c r="B1" s="35"/>
    </row>
    <row r="4" spans="1:6" ht="18.75" customHeight="1" x14ac:dyDescent="0.2"/>
    <row r="5" spans="1:6" ht="17.25" customHeight="1" x14ac:dyDescent="0.2">
      <c r="C5" s="2"/>
    </row>
    <row r="6" spans="1:6" ht="15.75" customHeight="1" x14ac:dyDescent="0.2"/>
    <row r="7" spans="1:6" x14ac:dyDescent="0.2">
      <c r="B7" s="3" t="s">
        <v>163</v>
      </c>
      <c r="C7" s="1" t="s">
        <v>164</v>
      </c>
      <c r="D7" s="1" t="s">
        <v>165</v>
      </c>
      <c r="E7" s="1" t="s">
        <v>4</v>
      </c>
      <c r="F7" s="1" t="s">
        <v>5</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242" r:id="rId4" name="cmdConstraintSets">
          <controlPr defaultSize="0" autoLine="0" r:id="rId5">
            <anchor moveWithCells="1">
              <from>
                <xdr:col>4</xdr:col>
                <xdr:colOff>28575</xdr:colOff>
                <xdr:row>4</xdr:row>
                <xdr:rowOff>28575</xdr:rowOff>
              </from>
              <to>
                <xdr:col>4</xdr:col>
                <xdr:colOff>1000125</xdr:colOff>
                <xdr:row>5</xdr:row>
                <xdr:rowOff>47625</xdr:rowOff>
              </to>
            </anchor>
          </controlPr>
        </control>
      </mc:Choice>
      <mc:Fallback>
        <control shapeId="10242" r:id="rId4" name="cmdConstraintSets"/>
      </mc:Fallback>
    </mc:AlternateContent>
    <mc:AlternateContent xmlns:mc="http://schemas.openxmlformats.org/markup-compatibility/2006">
      <mc:Choice Requires="x14">
        <control shapeId="10246" r:id="rId6" name="cmdCheckConstraintsSheet">
          <controlPr defaultSize="0" autoLine="0" r:id="rId7">
            <anchor moveWithCells="1">
              <from>
                <xdr:col>0</xdr:col>
                <xdr:colOff>9525</xdr:colOff>
                <xdr:row>3</xdr:row>
                <xdr:rowOff>0</xdr:rowOff>
              </from>
              <to>
                <xdr:col>0</xdr:col>
                <xdr:colOff>790575</xdr:colOff>
                <xdr:row>4</xdr:row>
                <xdr:rowOff>0</xdr:rowOff>
              </to>
            </anchor>
          </controlPr>
        </control>
      </mc:Choice>
      <mc:Fallback>
        <control shapeId="10246" r:id="rId6" name="cmdCheckConstraintsSheet"/>
      </mc:Fallback>
    </mc:AlternateContent>
    <mc:AlternateContent xmlns:mc="http://schemas.openxmlformats.org/markup-compatibility/2006">
      <mc:Choice Requires="x14">
        <control shapeId="10247" r:id="rId8" name="cmdConstraintUnit">
          <controlPr defaultSize="0" autoLine="0" r:id="rId9">
            <anchor moveWithCells="1">
              <from>
                <xdr:col>3</xdr:col>
                <xdr:colOff>28575</xdr:colOff>
                <xdr:row>4</xdr:row>
                <xdr:rowOff>9525</xdr:rowOff>
              </from>
              <to>
                <xdr:col>4</xdr:col>
                <xdr:colOff>9525</xdr:colOff>
                <xdr:row>5</xdr:row>
                <xdr:rowOff>28575</xdr:rowOff>
              </to>
            </anchor>
          </controlPr>
        </control>
      </mc:Choice>
      <mc:Fallback>
        <control shapeId="10247" r:id="rId8" name="cmdConstraintUnit"/>
      </mc:Fallback>
    </mc:AlternateContent>
    <mc:AlternateContent xmlns:mc="http://schemas.openxmlformats.org/markup-compatibility/2006">
      <mc:Choice Requires="x14">
        <control shapeId="10359" r:id="rId10" name="cmdRefreshUnits">
          <controlPr defaultSize="0" autoLine="0" r:id="rId11">
            <anchor moveWithCells="1">
              <from>
                <xdr:col>3</xdr:col>
                <xdr:colOff>28575</xdr:colOff>
                <xdr:row>2</xdr:row>
                <xdr:rowOff>47625</xdr:rowOff>
              </from>
              <to>
                <xdr:col>4</xdr:col>
                <xdr:colOff>9525</xdr:colOff>
                <xdr:row>4</xdr:row>
                <xdr:rowOff>19050</xdr:rowOff>
              </to>
            </anchor>
          </controlPr>
        </control>
      </mc:Choice>
      <mc:Fallback>
        <control shapeId="10359" r:id="rId10" name="cmdRefreshUnits"/>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5703125" customWidth="1"/>
    <col min="3" max="3" width="24" customWidth="1"/>
    <col min="4" max="4" width="5.42578125" customWidth="1"/>
    <col min="6" max="6" width="10.140625" bestFit="1" customWidth="1"/>
  </cols>
  <sheetData>
    <row r="1" spans="1:8" x14ac:dyDescent="0.2">
      <c r="A1" s="1" t="s">
        <v>166</v>
      </c>
      <c r="B1" s="35"/>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1</v>
      </c>
      <c r="C7" s="1" t="s">
        <v>2</v>
      </c>
      <c r="D7" s="1" t="s">
        <v>165</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13"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097" r:id="rId4" name="cmdAddParameter">
          <controlPr defaultSize="0" autoLine="0" r:id="rId5">
            <anchor moveWithCells="1">
              <from>
                <xdr:col>0</xdr:col>
                <xdr:colOff>9525</xdr:colOff>
                <xdr:row>4</xdr:row>
                <xdr:rowOff>9525</xdr:rowOff>
              </from>
              <to>
                <xdr:col>0</xdr:col>
                <xdr:colOff>695325</xdr:colOff>
                <xdr:row>5</xdr:row>
                <xdr:rowOff>0</xdr:rowOff>
              </to>
            </anchor>
          </controlPr>
        </control>
      </mc:Choice>
      <mc:Fallback>
        <control shapeId="4097" r:id="rId4" name="cmdAddParameter"/>
      </mc:Fallback>
    </mc:AlternateContent>
    <mc:AlternateContent xmlns:mc="http://schemas.openxmlformats.org/markup-compatibility/2006">
      <mc:Choice Requires="x14">
        <control shapeId="4098" r:id="rId6" name="cmdCommNameAndDesc">
          <controlPr defaultSize="0" autoLine="0" autoPict="0" r:id="rId7">
            <anchor moveWithCells="1">
              <from>
                <xdr:col>1</xdr:col>
                <xdr:colOff>0</xdr:colOff>
                <xdr:row>3</xdr:row>
                <xdr:rowOff>28575</xdr:rowOff>
              </from>
              <to>
                <xdr:col>2</xdr:col>
                <xdr:colOff>1400175</xdr:colOff>
                <xdr:row>4</xdr:row>
                <xdr:rowOff>0</xdr:rowOff>
              </to>
            </anchor>
          </controlPr>
        </control>
      </mc:Choice>
      <mc:Fallback>
        <control shapeId="4098" r:id="rId6" name="cmdCommNameAndDesc"/>
      </mc:Fallback>
    </mc:AlternateContent>
    <mc:AlternateContent xmlns:mc="http://schemas.openxmlformats.org/markup-compatibility/2006">
      <mc:Choice Requires="x14">
        <control shapeId="4100"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106" r:id="rId10" name="cmdCheckCommDataSheet">
          <controlPr defaultSize="0" autoLine="0" r:id="rId11">
            <anchor moveWithCells="1">
              <from>
                <xdr:col>0</xdr:col>
                <xdr:colOff>9525</xdr:colOff>
                <xdr:row>3</xdr:row>
                <xdr:rowOff>28575</xdr:rowOff>
              </from>
              <to>
                <xdr:col>0</xdr:col>
                <xdr:colOff>695325</xdr:colOff>
                <xdr:row>4</xdr:row>
                <xdr:rowOff>9525</xdr:rowOff>
              </to>
            </anchor>
          </controlPr>
        </control>
      </mc:Choice>
      <mc:Fallback>
        <control shapeId="4106" r:id="rId10" name="cmdCheckCommDataSheet"/>
      </mc:Fallback>
    </mc:AlternateContent>
    <mc:AlternateContent xmlns:mc="http://schemas.openxmlformats.org/markup-compatibility/2006">
      <mc:Choice Requires="x14">
        <control shapeId="4299" r:id="rId12" name="cmdRefreshUnits">
          <controlPr defaultSize="0" autoLine="0" r:id="rId13">
            <anchor moveWithCells="1">
              <from>
                <xdr:col>2</xdr:col>
                <xdr:colOff>1409700</xdr:colOff>
                <xdr:row>2</xdr:row>
                <xdr:rowOff>76200</xdr:rowOff>
              </from>
              <to>
                <xdr:col>4</xdr:col>
                <xdr:colOff>0</xdr:colOff>
                <xdr:row>4</xdr:row>
                <xdr:rowOff>0</xdr:rowOff>
              </to>
            </anchor>
          </controlPr>
        </control>
      </mc:Choice>
      <mc:Fallback>
        <control shapeId="4299" r:id="rId12" name="cmdRefreshUnits"/>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42578125" customWidth="1"/>
    <col min="3" max="3" width="24.42578125" customWidth="1"/>
    <col min="4" max="4" width="7.85546875" customWidth="1"/>
    <col min="6" max="6" width="10.5703125" customWidth="1"/>
    <col min="7" max="7" width="9.85546875" customWidth="1"/>
    <col min="8" max="8" width="8.140625" customWidth="1"/>
    <col min="9" max="11" width="9.42578125" customWidth="1"/>
    <col min="12" max="12" width="12.5703125" customWidth="1"/>
    <col min="13" max="13" width="12.42578125" customWidth="1"/>
  </cols>
  <sheetData>
    <row r="1" spans="1:16" x14ac:dyDescent="0.2">
      <c r="A1" s="1" t="s">
        <v>167</v>
      </c>
      <c r="B1" s="35"/>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158</v>
      </c>
      <c r="C7" s="1" t="s">
        <v>159</v>
      </c>
      <c r="D7" s="1" t="s">
        <v>165</v>
      </c>
      <c r="E7" s="1" t="s">
        <v>168</v>
      </c>
      <c r="F7" s="1" t="s">
        <v>169</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074" r:id="rId4" name="cmdTechNameAndDesc">
          <controlPr defaultSize="0" autoLine="0" r:id="rId5">
            <anchor moveWithCells="1">
              <from>
                <xdr:col>1</xdr:col>
                <xdr:colOff>38100</xdr:colOff>
                <xdr:row>2</xdr:row>
                <xdr:rowOff>152400</xdr:rowOff>
              </from>
              <to>
                <xdr:col>2</xdr:col>
                <xdr:colOff>1571625</xdr:colOff>
                <xdr:row>4</xdr:row>
                <xdr:rowOff>9525</xdr:rowOff>
              </to>
            </anchor>
          </controlPr>
        </control>
      </mc:Choice>
      <mc:Fallback>
        <control shapeId="3074" r:id="rId4" name="cmdTechNameAndDesc"/>
      </mc:Fallback>
    </mc:AlternateContent>
    <mc:AlternateContent xmlns:mc="http://schemas.openxmlformats.org/markup-compatibility/2006">
      <mc:Choice Requires="x14">
        <control shapeId="3075" r:id="rId6" name="cmdCommIN">
          <controlPr defaultSize="0" autoLine="0" r:id="rId7">
            <anchor moveWithCells="1">
              <from>
                <xdr:col>4</xdr:col>
                <xdr:colOff>9525</xdr:colOff>
                <xdr:row>2</xdr:row>
                <xdr:rowOff>142875</xdr:rowOff>
              </from>
              <to>
                <xdr:col>4</xdr:col>
                <xdr:colOff>600075</xdr:colOff>
                <xdr:row>4</xdr:row>
                <xdr:rowOff>0</xdr:rowOff>
              </to>
            </anchor>
          </controlPr>
        </control>
      </mc:Choice>
      <mc:Fallback>
        <control shapeId="3075" r:id="rId6" name="cmdCommIN"/>
      </mc:Fallback>
    </mc:AlternateContent>
    <mc:AlternateContent xmlns:mc="http://schemas.openxmlformats.org/markup-compatibility/2006">
      <mc:Choice Requires="x14">
        <control shapeId="3076" r:id="rId8" name="cmdCommOUT">
          <controlPr defaultSize="0" autoLine="0" r:id="rId9">
            <anchor moveWithCells="1">
              <from>
                <xdr:col>5</xdr:col>
                <xdr:colOff>9525</xdr:colOff>
                <xdr:row>2</xdr:row>
                <xdr:rowOff>142875</xdr:rowOff>
              </from>
              <to>
                <xdr:col>6</xdr:col>
                <xdr:colOff>0</xdr:colOff>
                <xdr:row>4</xdr:row>
                <xdr:rowOff>0</xdr:rowOff>
              </to>
            </anchor>
          </controlPr>
        </control>
      </mc:Choice>
      <mc:Fallback>
        <control shapeId="3076" r:id="rId8" name="cmdCommOUT"/>
      </mc:Fallback>
    </mc:AlternateContent>
    <mc:AlternateContent xmlns:mc="http://schemas.openxmlformats.org/markup-compatibility/2006">
      <mc:Choice Requires="x14">
        <control shapeId="3077" r:id="rId10" name="cmdAddParameter">
          <controlPr defaultSize="0" autoLine="0" r:id="rId11">
            <anchor moveWithCells="1">
              <from>
                <xdr:col>0</xdr:col>
                <xdr:colOff>9525</xdr:colOff>
                <xdr:row>3</xdr:row>
                <xdr:rowOff>200025</xdr:rowOff>
              </from>
              <to>
                <xdr:col>1</xdr:col>
                <xdr:colOff>0</xdr:colOff>
                <xdr:row>4</xdr:row>
                <xdr:rowOff>219075</xdr:rowOff>
              </to>
            </anchor>
          </controlPr>
        </control>
      </mc:Choice>
      <mc:Fallback>
        <control shapeId="3077" r:id="rId10" name="cmdAddParameter"/>
      </mc:Fallback>
    </mc:AlternateContent>
    <mc:AlternateContent xmlns:mc="http://schemas.openxmlformats.org/markup-compatibility/2006">
      <mc:Choice Requires="x14">
        <control shapeId="3079" r:id="rId12" name="cmdAddParamQualifier">
          <controlPr defaultSize="0" autoLine="0" autoPict="0" r:id="rId13">
            <anchor moveWithCells="1">
              <from>
                <xdr:col>0</xdr:col>
                <xdr:colOff>9525</xdr:colOff>
                <xdr:row>5</xdr:row>
                <xdr:rowOff>9525</xdr:rowOff>
              </from>
              <to>
                <xdr:col>1</xdr:col>
                <xdr:colOff>9525</xdr:colOff>
                <xdr:row>6</xdr:row>
                <xdr:rowOff>28575</xdr:rowOff>
              </to>
            </anchor>
          </controlPr>
        </control>
      </mc:Choice>
      <mc:Fallback>
        <control shapeId="3079" r:id="rId12" name="cmdAddParamQualifier"/>
      </mc:Fallback>
    </mc:AlternateContent>
    <mc:AlternateContent xmlns:mc="http://schemas.openxmlformats.org/markup-compatibility/2006">
      <mc:Choice Requires="x14">
        <control shapeId="3080" r:id="rId14" name="cmdCheckTechDataSheet">
          <controlPr defaultSize="0" autoLine="0" autoPict="0" r:id="rId15">
            <anchor moveWithCells="1">
              <from>
                <xdr:col>0</xdr:col>
                <xdr:colOff>9525</xdr:colOff>
                <xdr:row>2</xdr:row>
                <xdr:rowOff>152400</xdr:rowOff>
              </from>
              <to>
                <xdr:col>1</xdr:col>
                <xdr:colOff>9525</xdr:colOff>
                <xdr:row>4</xdr:row>
                <xdr:rowOff>9525</xdr:rowOff>
              </to>
            </anchor>
          </controlPr>
        </control>
      </mc:Choice>
      <mc:Fallback>
        <control shapeId="3080" r:id="rId14" name="cmdCheckTechDataSheet"/>
      </mc:Fallback>
    </mc:AlternateContent>
    <mc:AlternateContent xmlns:mc="http://schemas.openxmlformats.org/markup-compatibility/2006">
      <mc:Choice Requires="x14">
        <control shapeId="3112" r:id="rId16" name="cmdRefreshUnits">
          <controlPr defaultSize="0" autoLine="0" r:id="rId17">
            <anchor moveWithCells="1">
              <from>
                <xdr:col>3</xdr:col>
                <xdr:colOff>0</xdr:colOff>
                <xdr:row>2</xdr:row>
                <xdr:rowOff>28575</xdr:rowOff>
              </from>
              <to>
                <xdr:col>4</xdr:col>
                <xdr:colOff>28575</xdr:colOff>
                <xdr:row>4</xdr:row>
                <xdr:rowOff>19050</xdr:rowOff>
              </to>
            </anchor>
          </controlPr>
        </control>
      </mc:Choice>
      <mc:Fallback>
        <control shapeId="3112" r:id="rId16" name="cmdRefreshUnits"/>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170</v>
      </c>
      <c r="B1" s="35"/>
    </row>
    <row r="4" spans="1:5" ht="17.25" customHeight="1" x14ac:dyDescent="0.2"/>
    <row r="5" spans="1:5" ht="18" customHeight="1" x14ac:dyDescent="0.2"/>
    <row r="6" spans="1:5" ht="17.25" customHeight="1" x14ac:dyDescent="0.2"/>
    <row r="7" spans="1:5" ht="15.75" customHeight="1" x14ac:dyDescent="0.2">
      <c r="B7" s="1" t="s">
        <v>163</v>
      </c>
      <c r="C7" s="1" t="s">
        <v>164</v>
      </c>
      <c r="D7" s="1" t="s">
        <v>165</v>
      </c>
      <c r="E7" s="1" t="s">
        <v>158</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265" r:id="rId4" name="cmdConstrNameAndDesc">
          <controlPr defaultSize="0" autoLine="0" autoPict="0" r:id="rId5">
            <anchor moveWithCells="1">
              <from>
                <xdr:col>1</xdr:col>
                <xdr:colOff>28575</xdr:colOff>
                <xdr:row>3</xdr:row>
                <xdr:rowOff>0</xdr:rowOff>
              </from>
              <to>
                <xdr:col>2</xdr:col>
                <xdr:colOff>1000125</xdr:colOff>
                <xdr:row>4</xdr:row>
                <xdr:rowOff>28575</xdr:rowOff>
              </to>
            </anchor>
          </controlPr>
        </control>
      </mc:Choice>
      <mc:Fallback>
        <control shapeId="11265" r:id="rId4" name="cmdConstrNameAndDesc"/>
      </mc:Fallback>
    </mc:AlternateContent>
    <mc:AlternateContent xmlns:mc="http://schemas.openxmlformats.org/markup-compatibility/2006">
      <mc:Choice Requires="x14">
        <control shapeId="11266" r:id="rId6" name="cmdTechName">
          <controlPr defaultSize="0" autoLine="0" r:id="rId7">
            <anchor moveWithCells="1">
              <from>
                <xdr:col>4</xdr:col>
                <xdr:colOff>0</xdr:colOff>
                <xdr:row>3</xdr:row>
                <xdr:rowOff>0</xdr:rowOff>
              </from>
              <to>
                <xdr:col>4</xdr:col>
                <xdr:colOff>657225</xdr:colOff>
                <xdr:row>4</xdr:row>
                <xdr:rowOff>19050</xdr:rowOff>
              </to>
            </anchor>
          </controlPr>
        </control>
      </mc:Choice>
      <mc:Fallback>
        <control shapeId="11266" r:id="rId6" name="cmdTechName"/>
      </mc:Fallback>
    </mc:AlternateContent>
    <mc:AlternateContent xmlns:mc="http://schemas.openxmlformats.org/markup-compatibility/2006">
      <mc:Choice Requires="x14">
        <control shapeId="11268" r:id="rId8" name="cmdAddParameter">
          <controlPr defaultSize="0" autoLine="0" r:id="rId9">
            <anchor moveWithCells="1">
              <from>
                <xdr:col>0</xdr:col>
                <xdr:colOff>9525</xdr:colOff>
                <xdr:row>4</xdr:row>
                <xdr:rowOff>0</xdr:rowOff>
              </from>
              <to>
                <xdr:col>1</xdr:col>
                <xdr:colOff>0</xdr:colOff>
                <xdr:row>5</xdr:row>
                <xdr:rowOff>9525</xdr:rowOff>
              </to>
            </anchor>
          </controlPr>
        </control>
      </mc:Choice>
      <mc:Fallback>
        <control shapeId="11268" r:id="rId8" name="cmdAddParameter"/>
      </mc:Fallback>
    </mc:AlternateContent>
    <mc:AlternateContent xmlns:mc="http://schemas.openxmlformats.org/markup-compatibility/2006">
      <mc:Choice Requires="x14">
        <control shapeId="11271" r:id="rId10" name="cmdCheckConstrDataSheet">
          <controlPr defaultSize="0" autoLine="0" autoPict="0" r:id="rId11">
            <anchor moveWithCells="1">
              <from>
                <xdr:col>0</xdr:col>
                <xdr:colOff>9525</xdr:colOff>
                <xdr:row>2</xdr:row>
                <xdr:rowOff>152400</xdr:rowOff>
              </from>
              <to>
                <xdr:col>1</xdr:col>
                <xdr:colOff>0</xdr:colOff>
                <xdr:row>4</xdr:row>
                <xdr:rowOff>9525</xdr:rowOff>
              </to>
            </anchor>
          </controlPr>
        </control>
      </mc:Choice>
      <mc:Fallback>
        <control shapeId="11271" r:id="rId10" name="cmdCheckConstrDataSheet"/>
      </mc:Fallback>
    </mc:AlternateContent>
    <mc:AlternateContent xmlns:mc="http://schemas.openxmlformats.org/markup-compatibility/2006">
      <mc:Choice Requires="x14">
        <control shapeId="11361" r:id="rId12" name="cmdAddParamQualifier">
          <controlPr defaultSize="0" autoLine="0" r:id="rId13">
            <anchor moveWithCells="1">
              <from>
                <xdr:col>0</xdr:col>
                <xdr:colOff>9525</xdr:colOff>
                <xdr:row>5</xdr:row>
                <xdr:rowOff>0</xdr:rowOff>
              </from>
              <to>
                <xdr:col>1</xdr:col>
                <xdr:colOff>0</xdr:colOff>
                <xdr:row>6</xdr:row>
                <xdr:rowOff>19050</xdr:rowOff>
              </to>
            </anchor>
          </controlPr>
        </control>
      </mc:Choice>
      <mc:Fallback>
        <control shapeId="11361" r:id="rId12" name="cmdAddParamQualifier"/>
      </mc:Fallback>
    </mc:AlternateContent>
    <mc:AlternateContent xmlns:mc="http://schemas.openxmlformats.org/markup-compatibility/2006">
      <mc:Choice Requires="x14">
        <control shapeId="11374" r:id="rId14" name="cmdRefreshUnits">
          <controlPr defaultSize="0" autoLine="0" r:id="rId15">
            <anchor moveWithCells="1">
              <from>
                <xdr:col>2</xdr:col>
                <xdr:colOff>1019175</xdr:colOff>
                <xdr:row>2</xdr:row>
                <xdr:rowOff>28575</xdr:rowOff>
              </from>
              <to>
                <xdr:col>4</xdr:col>
                <xdr:colOff>9525</xdr:colOff>
                <xdr:row>4</xdr:row>
                <xdr:rowOff>19050</xdr:rowOff>
              </to>
            </anchor>
          </controlPr>
        </control>
      </mc:Choice>
      <mc:Fallback>
        <control shapeId="11374" r:id="rId14" name="cmdRefreshUnits"/>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FFC000"/>
  </sheetPr>
  <dimension ref="B1:I746"/>
  <sheetViews>
    <sheetView zoomScale="80" zoomScaleNormal="80" workbookViewId="0">
      <pane xSplit="4" ySplit="7" topLeftCell="E8" activePane="bottomRight" state="frozen"/>
      <selection pane="topRight" activeCell="O26" sqref="O26"/>
      <selection pane="bottomLeft" activeCell="O26" sqref="O26"/>
      <selection pane="bottomRight" activeCell="C28" sqref="C28"/>
    </sheetView>
  </sheetViews>
  <sheetFormatPr defaultColWidth="9.140625" defaultRowHeight="12.75" x14ac:dyDescent="0.2"/>
  <cols>
    <col min="1" max="1" width="9.140625" style="265"/>
    <col min="2" max="2" width="23.85546875" style="265" customWidth="1"/>
    <col min="3" max="3" width="15.140625" style="265" customWidth="1"/>
    <col min="4" max="4" width="53.5703125" style="265" customWidth="1"/>
    <col min="5" max="5" width="14.140625" style="265" customWidth="1"/>
    <col min="6" max="6" width="17" style="265" customWidth="1"/>
    <col min="7" max="7" width="30.42578125" style="265" customWidth="1"/>
    <col min="8" max="8" width="11.5703125" style="265" bestFit="1" customWidth="1"/>
    <col min="9" max="16384" width="9.140625" style="265"/>
  </cols>
  <sheetData>
    <row r="1" spans="2:9" x14ac:dyDescent="0.2">
      <c r="B1" s="1064" t="s">
        <v>194</v>
      </c>
      <c r="C1" s="265" t="s">
        <v>7</v>
      </c>
    </row>
    <row r="4" spans="2:9" ht="18" customHeight="1" x14ac:dyDescent="0.2"/>
    <row r="6" spans="2:9" x14ac:dyDescent="0.2">
      <c r="B6" s="1067" t="s">
        <v>2042</v>
      </c>
      <c r="C6"/>
      <c r="D6"/>
      <c r="E6"/>
      <c r="F6"/>
      <c r="G6"/>
      <c r="H6"/>
      <c r="I6"/>
    </row>
    <row r="7" spans="2:9" x14ac:dyDescent="0.2">
      <c r="B7" s="1068" t="s">
        <v>717</v>
      </c>
      <c r="C7" s="1068" t="s">
        <v>158</v>
      </c>
      <c r="D7" s="1068" t="s">
        <v>159</v>
      </c>
      <c r="E7" s="1078" t="s">
        <v>2043</v>
      </c>
      <c r="F7" s="1078" t="s">
        <v>2044</v>
      </c>
      <c r="G7" s="1068" t="s">
        <v>2045</v>
      </c>
      <c r="H7" s="1078" t="s">
        <v>2046</v>
      </c>
      <c r="I7" s="1078" t="s">
        <v>2047</v>
      </c>
    </row>
    <row r="8" spans="2:9" x14ac:dyDescent="0.2">
      <c r="B8" s="1118" t="s">
        <v>2322</v>
      </c>
      <c r="C8" s="1118"/>
      <c r="D8" s="1118"/>
      <c r="E8" s="1118"/>
      <c r="F8" s="1118"/>
      <c r="G8" s="1118"/>
      <c r="H8" s="1118"/>
      <c r="I8" s="1118"/>
    </row>
    <row r="9" spans="2:9" x14ac:dyDescent="0.2">
      <c r="B9" s="1116" t="str">
        <f>TechData!A8</f>
        <v>R2,R3,R4,R5,R6</v>
      </c>
      <c r="C9" s="1116" t="str">
        <f>TechData!B8</f>
        <v>TAJE</v>
      </c>
      <c r="D9" s="1116" t="str">
        <f>TechData!C8</f>
        <v>Air Jet, Passenger Existing</v>
      </c>
      <c r="E9" s="1071" t="s">
        <v>91</v>
      </c>
      <c r="F9" s="1071" t="s">
        <v>196</v>
      </c>
      <c r="G9" s="1116" t="s">
        <v>1501</v>
      </c>
      <c r="H9" s="1116"/>
      <c r="I9" s="1116"/>
    </row>
    <row r="10" spans="2:9" x14ac:dyDescent="0.2">
      <c r="B10" s="1116" t="str">
        <f>TechData!A9</f>
        <v>*</v>
      </c>
      <c r="C10" s="1116" t="str">
        <f>TechData!B9</f>
        <v>TAPE</v>
      </c>
      <c r="D10" s="1116" t="str">
        <f>TechData!C9</f>
        <v>Airplane, General Aviation, exisiting</v>
      </c>
      <c r="E10" s="1071" t="s">
        <v>91</v>
      </c>
      <c r="F10" s="1071" t="s">
        <v>196</v>
      </c>
      <c r="G10" s="1116" t="s">
        <v>1501</v>
      </c>
      <c r="H10" s="1116"/>
      <c r="I10" s="1116"/>
    </row>
    <row r="11" spans="2:9" x14ac:dyDescent="0.2">
      <c r="B11" s="1116" t="str">
        <f>TechData!A11</f>
        <v>R2,R3,R4,R5,R6</v>
      </c>
      <c r="C11" s="1116" t="str">
        <f>TechData!B11</f>
        <v>TBDSLE</v>
      </c>
      <c r="D11" s="1116" t="str">
        <f>TechData!C11</f>
        <v>Bus, Exisiting Diesel</v>
      </c>
      <c r="E11" s="1071" t="s">
        <v>95</v>
      </c>
      <c r="F11" s="1071" t="s">
        <v>209</v>
      </c>
      <c r="G11" s="1116" t="s">
        <v>1501</v>
      </c>
      <c r="H11" s="1117"/>
      <c r="I11" s="1117"/>
    </row>
    <row r="12" spans="2:9" x14ac:dyDescent="0.2">
      <c r="B12" s="1116" t="str">
        <f>TechData!A12</f>
        <v>*</v>
      </c>
      <c r="C12" s="1116" t="str">
        <f>TechData!B12</f>
        <v>TBGSLE</v>
      </c>
      <c r="D12" s="1116" t="str">
        <f>TechData!C12</f>
        <v>Bus, Exisiting Gasoline</v>
      </c>
      <c r="E12" s="1071" t="s">
        <v>95</v>
      </c>
      <c r="F12" s="1071" t="s">
        <v>209</v>
      </c>
      <c r="G12" s="1116" t="s">
        <v>1501</v>
      </c>
      <c r="H12" s="1117"/>
      <c r="I12" s="1117"/>
    </row>
    <row r="13" spans="2:9" x14ac:dyDescent="0.2">
      <c r="B13" s="1116" t="str">
        <f>TechData!A13</f>
        <v>R2,R3,R4,R5,R6</v>
      </c>
      <c r="C13" s="1116" t="str">
        <f>TechData!B13</f>
        <v>TBCNGE</v>
      </c>
      <c r="D13" s="1116" t="str">
        <f>TechData!C13</f>
        <v>Bus, Exisiting CNG</v>
      </c>
      <c r="E13" s="1071" t="s">
        <v>95</v>
      </c>
      <c r="F13" s="1071" t="s">
        <v>209</v>
      </c>
      <c r="G13" s="1116" t="s">
        <v>1501</v>
      </c>
      <c r="H13" s="1117"/>
      <c r="I13" s="1117"/>
    </row>
    <row r="14" spans="2:9" x14ac:dyDescent="0.2">
      <c r="B14" s="1116" t="str">
        <f>TechData!A15</f>
        <v>*</v>
      </c>
      <c r="C14" s="1116" t="str">
        <f>TechData!B15</f>
        <v>TCGSLE</v>
      </c>
      <c r="D14" s="1116" t="str">
        <f>TechData!C15</f>
        <v>Truck, Commerical, Exisiting Gasoline</v>
      </c>
      <c r="E14" s="1071" t="s">
        <v>95</v>
      </c>
      <c r="F14" s="1071" t="s">
        <v>209</v>
      </c>
      <c r="G14" s="1116" t="s">
        <v>1501</v>
      </c>
      <c r="H14" s="1117"/>
      <c r="I14" s="1117"/>
    </row>
    <row r="15" spans="2:9" x14ac:dyDescent="0.2">
      <c r="B15" s="1116" t="str">
        <f>TechData!A16</f>
        <v>*</v>
      </c>
      <c r="C15" s="1116" t="str">
        <f>TechData!B16</f>
        <v>TCDSLE</v>
      </c>
      <c r="D15" s="1116" t="str">
        <f>TechData!C16</f>
        <v>Truck, Commerical, Existing Diesel</v>
      </c>
      <c r="E15" s="1071" t="s">
        <v>95</v>
      </c>
      <c r="F15" s="1071" t="s">
        <v>209</v>
      </c>
      <c r="G15" s="1116" t="s">
        <v>1501</v>
      </c>
      <c r="H15" s="1117"/>
      <c r="I15" s="1117"/>
    </row>
    <row r="16" spans="2:9" x14ac:dyDescent="0.2">
      <c r="B16" s="1116" t="str">
        <f>TechData!A18</f>
        <v>R2,R3,R4,R5,R6</v>
      </c>
      <c r="C16" s="1116" t="str">
        <f>TechData!B18</f>
        <v>TMGSLE</v>
      </c>
      <c r="D16" s="1116" t="str">
        <f>TechData!C18</f>
        <v>Medium Duty Truck, Existing Gasoline</v>
      </c>
      <c r="E16" s="1071" t="s">
        <v>95</v>
      </c>
      <c r="F16" s="1071" t="s">
        <v>209</v>
      </c>
      <c r="G16" s="1116" t="s">
        <v>1501</v>
      </c>
      <c r="H16" s="1117"/>
      <c r="I16" s="1117"/>
    </row>
    <row r="17" spans="2:9" x14ac:dyDescent="0.2">
      <c r="B17" s="1116" t="str">
        <f>TechData!A19</f>
        <v>R2,R3,R4,R5,R6</v>
      </c>
      <c r="C17" s="1116" t="str">
        <f>TechData!B19</f>
        <v>TMDSLE</v>
      </c>
      <c r="D17" s="1116" t="str">
        <f>TechData!C19</f>
        <v>Medium Duty Truck, Existing Diesel</v>
      </c>
      <c r="E17" s="1071" t="s">
        <v>95</v>
      </c>
      <c r="F17" s="1071" t="s">
        <v>209</v>
      </c>
      <c r="G17" s="1116" t="s">
        <v>1501</v>
      </c>
      <c r="H17" s="1117"/>
      <c r="I17" s="1117"/>
    </row>
    <row r="18" spans="2:9" x14ac:dyDescent="0.2">
      <c r="B18" s="1116" t="str">
        <f>TechData!A20</f>
        <v>R2,R3,R4,R5,R6</v>
      </c>
      <c r="C18" s="1116" t="str">
        <f>TechData!B20</f>
        <v>TMCNGE</v>
      </c>
      <c r="D18" s="1116" t="str">
        <f>TechData!C20</f>
        <v>Medium Duty Truck, Existing CNG</v>
      </c>
      <c r="E18" s="1071" t="s">
        <v>95</v>
      </c>
      <c r="F18" s="1071" t="s">
        <v>209</v>
      </c>
      <c r="G18" s="1116" t="s">
        <v>1501</v>
      </c>
      <c r="H18" s="1117"/>
      <c r="I18" s="1117"/>
    </row>
    <row r="19" spans="2:9" x14ac:dyDescent="0.2">
      <c r="B19" s="1116" t="str">
        <f>TechData!A21</f>
        <v>*</v>
      </c>
      <c r="C19" s="1116" t="str">
        <f>TechData!B21</f>
        <v>TMLPGE</v>
      </c>
      <c r="D19" s="1116" t="str">
        <f>TechData!C21</f>
        <v>Medium Duty Truck, Existing LPG</v>
      </c>
      <c r="E19" s="1071" t="s">
        <v>95</v>
      </c>
      <c r="F19" s="1071" t="s">
        <v>209</v>
      </c>
      <c r="G19" s="1116" t="s">
        <v>1501</v>
      </c>
      <c r="H19" s="1117"/>
      <c r="I19" s="1117"/>
    </row>
    <row r="20" spans="2:9" x14ac:dyDescent="0.2">
      <c r="B20" s="1116" t="str">
        <f>TechData!A23</f>
        <v>R2,R3,R4,R5,R6</v>
      </c>
      <c r="C20" s="1116" t="str">
        <f>TechData!B23</f>
        <v>THSGSLE</v>
      </c>
      <c r="D20" s="1116" t="str">
        <f>TechData!C23</f>
        <v>Heavy Truck, Short Haul, Gasoline exisiting</v>
      </c>
      <c r="E20" s="1071" t="s">
        <v>95</v>
      </c>
      <c r="F20" s="1071" t="s">
        <v>209</v>
      </c>
      <c r="G20" s="1116" t="s">
        <v>1501</v>
      </c>
      <c r="H20" s="1117"/>
      <c r="I20" s="1117"/>
    </row>
    <row r="21" spans="2:9" x14ac:dyDescent="0.2">
      <c r="B21" s="1116" t="str">
        <f>TechData!A24</f>
        <v>R2,R3,R4,R5,R6</v>
      </c>
      <c r="C21" s="1116" t="str">
        <f>TechData!B24</f>
        <v>THSDSLE</v>
      </c>
      <c r="D21" s="1116" t="str">
        <f>TechData!C24</f>
        <v>Heavy Truck, Short Haul, Diesel exisiting</v>
      </c>
      <c r="E21" s="1071" t="s">
        <v>95</v>
      </c>
      <c r="F21" s="1071" t="s">
        <v>209</v>
      </c>
      <c r="G21" s="1116" t="s">
        <v>1501</v>
      </c>
      <c r="H21" s="1117"/>
      <c r="I21" s="1117"/>
    </row>
    <row r="22" spans="2:9" x14ac:dyDescent="0.2">
      <c r="B22" s="1116" t="str">
        <f>TechData!A25</f>
        <v>*</v>
      </c>
      <c r="C22" s="1116" t="str">
        <f>TechData!B25</f>
        <v>THSDSLE2</v>
      </c>
      <c r="D22" s="1116" t="str">
        <f>TechData!C25</f>
        <v>Heavy Truck, Short Haul, Diesel exisiting MSW</v>
      </c>
      <c r="E22" s="1071" t="s">
        <v>95</v>
      </c>
      <c r="F22" s="1071" t="s">
        <v>209</v>
      </c>
      <c r="G22" s="1116" t="s">
        <v>1501</v>
      </c>
      <c r="H22" s="1117"/>
      <c r="I22" s="1117"/>
    </row>
    <row r="23" spans="2:9" x14ac:dyDescent="0.2">
      <c r="B23" s="1116" t="str">
        <f>TechData!A26</f>
        <v>*</v>
      </c>
      <c r="C23" s="1116" t="str">
        <f>TechData!B26</f>
        <v>THSCNGE2</v>
      </c>
      <c r="D23" s="1116" t="str">
        <f>TechData!C26</f>
        <v>Heavy Truck, Short Haul, CNG exisiting MSW</v>
      </c>
      <c r="E23" s="1071" t="s">
        <v>95</v>
      </c>
      <c r="F23" s="1071" t="s">
        <v>209</v>
      </c>
      <c r="G23" s="1116" t="s">
        <v>1501</v>
      </c>
      <c r="H23" s="1117"/>
      <c r="I23" s="1117"/>
    </row>
    <row r="24" spans="2:9" x14ac:dyDescent="0.2">
      <c r="B24" s="1116" t="str">
        <f>TechData!A28</f>
        <v>R2,R3,R4,R5,R6</v>
      </c>
      <c r="C24" s="1116" t="str">
        <f>TechData!B28</f>
        <v>TPDSLCR</v>
      </c>
      <c r="D24" s="1116" t="str">
        <f>TechData!C28</f>
        <v>Commuter Rail, Diesel</v>
      </c>
      <c r="E24" s="1071" t="s">
        <v>91</v>
      </c>
      <c r="F24" s="1071" t="s">
        <v>196</v>
      </c>
      <c r="G24" s="1116" t="s">
        <v>1501</v>
      </c>
      <c r="H24" s="1117"/>
      <c r="I24" s="1117"/>
    </row>
    <row r="25" spans="2:9" x14ac:dyDescent="0.2">
      <c r="B25" s="1116" t="str">
        <f>TechData!A29</f>
        <v>R2,R3,R4,R5,R6</v>
      </c>
      <c r="C25" s="1116" t="str">
        <f>TechData!B29</f>
        <v>TPELCSUB</v>
      </c>
      <c r="D25" s="1116" t="str">
        <f>TechData!C29</f>
        <v>Subways and Streetcars, Electricity</v>
      </c>
      <c r="E25" s="1071" t="s">
        <v>91</v>
      </c>
      <c r="F25" s="1071" t="s">
        <v>196</v>
      </c>
      <c r="G25" s="1116" t="s">
        <v>1501</v>
      </c>
      <c r="H25" s="1117"/>
      <c r="I25" s="1117"/>
    </row>
    <row r="26" spans="2:9" x14ac:dyDescent="0.2">
      <c r="B26" s="1116" t="str">
        <f>TechData!A31</f>
        <v>*</v>
      </c>
      <c r="C26" s="1116" t="str">
        <f>TechData!B31</f>
        <v>TRFDSLE</v>
      </c>
      <c r="D26" s="1116" t="str">
        <f>TechData!C31</f>
        <v>Rail Freight, Diesel Existing</v>
      </c>
      <c r="E26" s="1071" t="s">
        <v>104</v>
      </c>
      <c r="F26" s="1071" t="s">
        <v>413</v>
      </c>
      <c r="G26" s="1116" t="s">
        <v>1501</v>
      </c>
      <c r="H26" s="1117"/>
      <c r="I26" s="1117"/>
    </row>
    <row r="27" spans="2:9" x14ac:dyDescent="0.2">
      <c r="B27" s="1116" t="str">
        <f>TechData!A32</f>
        <v>*</v>
      </c>
      <c r="C27" s="1116" t="str">
        <f>TechData!B32</f>
        <v>TRFDSLE2</v>
      </c>
      <c r="D27" s="1116" t="str">
        <f>TechData!C32</f>
        <v>Rail Freight, Diesel Existing-MSW</v>
      </c>
      <c r="E27" s="1071" t="s">
        <v>95</v>
      </c>
      <c r="F27" s="1071" t="s">
        <v>209</v>
      </c>
      <c r="G27" s="1116" t="s">
        <v>1501</v>
      </c>
      <c r="H27" s="1117"/>
      <c r="I27" s="1117"/>
    </row>
    <row r="28" spans="2:9" x14ac:dyDescent="0.2">
      <c r="B28" s="1116" t="str">
        <f>TechData!A33</f>
        <v>R2,R3,R4,R5,R6</v>
      </c>
      <c r="C28" s="1116" t="str">
        <f>TechData!B33</f>
        <v>TSDSLE</v>
      </c>
      <c r="D28" s="1116" t="str">
        <f>TechData!C33</f>
        <v>Water Shipping, Diesel exisiting</v>
      </c>
      <c r="E28" s="1071" t="s">
        <v>104</v>
      </c>
      <c r="F28" s="1071" t="s">
        <v>413</v>
      </c>
      <c r="G28" s="1116" t="s">
        <v>1501</v>
      </c>
      <c r="H28" s="1117"/>
      <c r="I28" s="1117"/>
    </row>
    <row r="29" spans="2:9" x14ac:dyDescent="0.2">
      <c r="B29" s="1116"/>
      <c r="C29" s="1116"/>
      <c r="D29" s="1116"/>
      <c r="E29" s="1116"/>
      <c r="F29" s="1116"/>
      <c r="G29" s="1116"/>
      <c r="H29" s="1117"/>
      <c r="I29" s="1117"/>
    </row>
    <row r="30" spans="2:9" x14ac:dyDescent="0.2">
      <c r="B30" s="1116"/>
      <c r="C30" s="1116"/>
      <c r="D30" s="1116"/>
      <c r="E30" s="1116"/>
      <c r="F30" s="1116"/>
      <c r="G30" s="1116"/>
      <c r="H30" s="1117"/>
      <c r="I30" s="1117"/>
    </row>
    <row r="31" spans="2:9" x14ac:dyDescent="0.2">
      <c r="B31" s="1116"/>
      <c r="C31" s="1116"/>
      <c r="D31" s="1116"/>
      <c r="E31" s="1116"/>
      <c r="F31" s="1116"/>
      <c r="G31" s="1116"/>
      <c r="H31" s="1117"/>
      <c r="I31" s="1117"/>
    </row>
    <row r="32" spans="2:9" x14ac:dyDescent="0.2">
      <c r="B32" s="1116"/>
      <c r="C32" s="1116"/>
      <c r="D32" s="1116"/>
      <c r="E32" s="1116"/>
      <c r="F32" s="1116"/>
      <c r="G32" s="1116"/>
      <c r="H32" s="1117"/>
      <c r="I32" s="1117"/>
    </row>
    <row r="33" spans="2:9" x14ac:dyDescent="0.2">
      <c r="B33" s="1116" t="e">
        <f>#REF!</f>
        <v>#REF!</v>
      </c>
      <c r="C33" s="1116" t="e">
        <f>#REF!</f>
        <v>#REF!</v>
      </c>
      <c r="D33" s="1116"/>
      <c r="E33" s="1116" t="s">
        <v>11</v>
      </c>
      <c r="F33" s="1116" t="s">
        <v>2321</v>
      </c>
      <c r="G33" s="1116" t="s">
        <v>2048</v>
      </c>
      <c r="H33" s="1116"/>
      <c r="I33" s="1116"/>
    </row>
    <row r="34" spans="2:9" x14ac:dyDescent="0.2">
      <c r="B34" s="1116" t="e">
        <f>#REF!</f>
        <v>#REF!</v>
      </c>
      <c r="C34" s="1116" t="e">
        <f>#REF!</f>
        <v>#REF!</v>
      </c>
      <c r="D34" s="1116"/>
      <c r="E34" s="1116" t="s">
        <v>11</v>
      </c>
      <c r="F34" s="1116" t="s">
        <v>2321</v>
      </c>
      <c r="G34" s="1116" t="s">
        <v>2048</v>
      </c>
      <c r="H34" s="1116"/>
      <c r="I34" s="1116"/>
    </row>
    <row r="35" spans="2:9" x14ac:dyDescent="0.2">
      <c r="B35" s="1116" t="e">
        <f>#REF!</f>
        <v>#REF!</v>
      </c>
      <c r="C35" s="1116" t="e">
        <f>#REF!</f>
        <v>#REF!</v>
      </c>
      <c r="D35" s="1116"/>
      <c r="E35" s="1116" t="s">
        <v>11</v>
      </c>
      <c r="F35" s="1116" t="s">
        <v>2321</v>
      </c>
      <c r="G35" s="1116" t="s">
        <v>2048</v>
      </c>
      <c r="H35" s="1116"/>
      <c r="I35" s="1116"/>
    </row>
    <row r="36" spans="2:9" x14ac:dyDescent="0.2">
      <c r="B36" s="1116" t="e">
        <f>#REF!</f>
        <v>#REF!</v>
      </c>
      <c r="C36" s="1116" t="e">
        <f>#REF!</f>
        <v>#REF!</v>
      </c>
      <c r="D36" s="1116"/>
      <c r="E36" s="1116" t="s">
        <v>11</v>
      </c>
      <c r="F36" s="1116" t="s">
        <v>2321</v>
      </c>
      <c r="G36" s="1116" t="s">
        <v>2048</v>
      </c>
      <c r="H36" s="1116"/>
      <c r="I36" s="1116"/>
    </row>
    <row r="37" spans="2:9" x14ac:dyDescent="0.2">
      <c r="B37" s="1116" t="e">
        <f>#REF!</f>
        <v>#REF!</v>
      </c>
      <c r="C37" s="1116" t="e">
        <f>#REF!</f>
        <v>#REF!</v>
      </c>
      <c r="D37" s="1116"/>
      <c r="E37" s="1116" t="s">
        <v>11</v>
      </c>
      <c r="F37" s="1116" t="s">
        <v>2321</v>
      </c>
      <c r="G37" s="1116" t="s">
        <v>2048</v>
      </c>
      <c r="H37" s="1116"/>
      <c r="I37" s="1116"/>
    </row>
    <row r="38" spans="2:9" x14ac:dyDescent="0.2">
      <c r="B38" s="1116" t="e">
        <f>#REF!</f>
        <v>#REF!</v>
      </c>
      <c r="C38" s="1116" t="e">
        <f>#REF!</f>
        <v>#REF!</v>
      </c>
      <c r="D38" s="1116"/>
      <c r="E38" s="1116" t="s">
        <v>11</v>
      </c>
      <c r="F38" s="1116" t="s">
        <v>2321</v>
      </c>
      <c r="G38" s="1116" t="s">
        <v>2048</v>
      </c>
      <c r="H38" s="1116"/>
      <c r="I38" s="1116"/>
    </row>
    <row r="39" spans="2:9" x14ac:dyDescent="0.2">
      <c r="B39" s="1116" t="e">
        <f>#REF!</f>
        <v>#REF!</v>
      </c>
      <c r="C39" s="1116" t="e">
        <f>#REF!</f>
        <v>#REF!</v>
      </c>
      <c r="D39" s="1116"/>
      <c r="E39" s="1116" t="s">
        <v>11</v>
      </c>
      <c r="F39" s="1116" t="s">
        <v>2321</v>
      </c>
      <c r="G39" s="1116" t="s">
        <v>2048</v>
      </c>
      <c r="H39" s="1116"/>
      <c r="I39" s="1116"/>
    </row>
    <row r="40" spans="2:9" x14ac:dyDescent="0.2">
      <c r="B40" s="1116" t="e">
        <f>#REF!</f>
        <v>#REF!</v>
      </c>
      <c r="C40" s="1116" t="e">
        <f>#REF!</f>
        <v>#REF!</v>
      </c>
      <c r="D40" s="1116"/>
      <c r="E40" s="1116" t="s">
        <v>11</v>
      </c>
      <c r="F40" s="1116" t="s">
        <v>2321</v>
      </c>
      <c r="G40" s="1116" t="s">
        <v>2048</v>
      </c>
      <c r="H40" s="1116"/>
      <c r="I40" s="1116"/>
    </row>
    <row r="41" spans="2:9" x14ac:dyDescent="0.2">
      <c r="B41" s="1116" t="e">
        <f>#REF!</f>
        <v>#REF!</v>
      </c>
      <c r="C41" s="1116" t="e">
        <f>#REF!</f>
        <v>#REF!</v>
      </c>
      <c r="D41" s="1116"/>
      <c r="E41" s="1116" t="s">
        <v>11</v>
      </c>
      <c r="F41" s="1116" t="s">
        <v>2321</v>
      </c>
      <c r="G41" s="1116" t="s">
        <v>2048</v>
      </c>
      <c r="H41" s="1116"/>
      <c r="I41" s="1116"/>
    </row>
    <row r="42" spans="2:9" x14ac:dyDescent="0.2">
      <c r="B42" s="1116" t="e">
        <f>#REF!</f>
        <v>#REF!</v>
      </c>
      <c r="C42" s="1116" t="e">
        <f>#REF!</f>
        <v>#REF!</v>
      </c>
      <c r="D42" s="1116"/>
      <c r="E42" s="1116" t="s">
        <v>11</v>
      </c>
      <c r="F42" s="1116" t="s">
        <v>2321</v>
      </c>
      <c r="G42" s="1116" t="s">
        <v>2048</v>
      </c>
      <c r="H42" s="1116"/>
      <c r="I42" s="1116"/>
    </row>
    <row r="43" spans="2:9" x14ac:dyDescent="0.2">
      <c r="B43" s="1116"/>
      <c r="C43" s="1116"/>
      <c r="D43" s="1116"/>
      <c r="E43" s="1117"/>
      <c r="F43" s="1117"/>
      <c r="G43" s="1116"/>
      <c r="H43" s="1117"/>
      <c r="I43" s="1117"/>
    </row>
    <row r="44" spans="2:9" x14ac:dyDescent="0.2">
      <c r="B44" s="1116"/>
      <c r="C44" s="1116"/>
      <c r="D44" s="1116"/>
      <c r="E44" s="1117"/>
      <c r="F44" s="1117"/>
      <c r="G44" s="1116"/>
      <c r="H44" s="1117"/>
      <c r="I44" s="1117"/>
    </row>
    <row r="45" spans="2:9" x14ac:dyDescent="0.2">
      <c r="B45" s="1116"/>
      <c r="C45" s="1116"/>
      <c r="D45" s="1116"/>
      <c r="E45" s="1117"/>
      <c r="F45" s="1117"/>
      <c r="G45" s="1116"/>
      <c r="H45" s="1117"/>
      <c r="I45" s="1117"/>
    </row>
    <row r="46" spans="2:9" x14ac:dyDescent="0.2">
      <c r="B46" s="1116"/>
      <c r="C46" s="1116"/>
      <c r="D46" s="1116"/>
      <c r="E46" s="1117"/>
      <c r="F46" s="1117"/>
      <c r="G46" s="1116"/>
      <c r="H46" s="1117"/>
      <c r="I46" s="1117"/>
    </row>
    <row r="47" spans="2:9" x14ac:dyDescent="0.2">
      <c r="B47" s="1071" t="s">
        <v>92</v>
      </c>
      <c r="C47" s="1071" t="s">
        <v>195</v>
      </c>
      <c r="D47" s="1071" t="str">
        <f>'Air&amp;Marine'!B6</f>
        <v>Air Jet, Passenger Existing</v>
      </c>
      <c r="E47" s="1071" t="s">
        <v>91</v>
      </c>
      <c r="F47" s="1071" t="s">
        <v>196</v>
      </c>
      <c r="G47" s="1071" t="s">
        <v>1501</v>
      </c>
      <c r="H47" s="1071"/>
      <c r="I47" s="1072"/>
    </row>
    <row r="48" spans="2:9" x14ac:dyDescent="0.2">
      <c r="B48" s="1071" t="s">
        <v>105</v>
      </c>
      <c r="C48" s="1071" t="s">
        <v>197</v>
      </c>
      <c r="D48" s="1071" t="s">
        <v>198</v>
      </c>
      <c r="E48" s="1071" t="s">
        <v>91</v>
      </c>
      <c r="F48" s="1071" t="s">
        <v>196</v>
      </c>
      <c r="G48" s="1071" t="s">
        <v>1501</v>
      </c>
      <c r="H48" s="1071"/>
      <c r="I48" s="1072"/>
    </row>
    <row r="49" spans="2:9" x14ac:dyDescent="0.2">
      <c r="B49" s="1071" t="s">
        <v>92</v>
      </c>
      <c r="C49" s="1071" t="s">
        <v>199</v>
      </c>
      <c r="D49" s="1071" t="str">
        <f>'Air&amp;Marine'!B7</f>
        <v>Air Jet, Passenger 2010</v>
      </c>
      <c r="E49" s="1071" t="s">
        <v>91</v>
      </c>
      <c r="F49" s="1071" t="s">
        <v>196</v>
      </c>
      <c r="G49" s="1071" t="s">
        <v>1501</v>
      </c>
      <c r="H49" s="1071"/>
      <c r="I49" s="1072"/>
    </row>
    <row r="50" spans="2:9" x14ac:dyDescent="0.2">
      <c r="B50" s="1071" t="s">
        <v>92</v>
      </c>
      <c r="C50" s="1071" t="s">
        <v>200</v>
      </c>
      <c r="D50" s="1071" t="str">
        <f>'Air&amp;Marine'!B8</f>
        <v>Air Jet, Passenger, Syn fuel, 2010</v>
      </c>
      <c r="E50" s="1071" t="s">
        <v>91</v>
      </c>
      <c r="F50" s="1071" t="s">
        <v>196</v>
      </c>
      <c r="G50" s="1071" t="s">
        <v>1501</v>
      </c>
      <c r="H50" s="1071"/>
      <c r="I50" s="1072"/>
    </row>
    <row r="51" spans="2:9" x14ac:dyDescent="0.2">
      <c r="B51" s="1071" t="s">
        <v>92</v>
      </c>
      <c r="C51" s="1071" t="s">
        <v>201</v>
      </c>
      <c r="D51" s="1071" t="str">
        <f>'Air&amp;Marine'!B9</f>
        <v>Air Jet, Passenger (Wing tips),2010</v>
      </c>
      <c r="E51" s="1071" t="s">
        <v>91</v>
      </c>
      <c r="F51" s="1071" t="s">
        <v>196</v>
      </c>
      <c r="G51" s="1071" t="s">
        <v>1501</v>
      </c>
      <c r="H51" s="1071"/>
      <c r="I51" s="1072"/>
    </row>
    <row r="52" spans="2:9" x14ac:dyDescent="0.2">
      <c r="B52" s="1071" t="s">
        <v>92</v>
      </c>
      <c r="C52" s="1071" t="s">
        <v>202</v>
      </c>
      <c r="D52" s="1071" t="str">
        <f>'Air&amp;Marine'!B11</f>
        <v>Air Jet Passeneger (APU) 2015</v>
      </c>
      <c r="E52" s="1071" t="s">
        <v>91</v>
      </c>
      <c r="F52" s="1071" t="s">
        <v>196</v>
      </c>
      <c r="G52" s="1071" t="s">
        <v>1501</v>
      </c>
      <c r="H52" s="1071"/>
      <c r="I52" s="1072"/>
    </row>
    <row r="53" spans="2:9" x14ac:dyDescent="0.2">
      <c r="B53" s="1071" t="s">
        <v>92</v>
      </c>
      <c r="C53" s="1071" t="s">
        <v>203</v>
      </c>
      <c r="D53" s="1071" t="str">
        <f>'Air&amp;Marine'!B12</f>
        <v>Air Jet, Passenger(blended wing), 2030</v>
      </c>
      <c r="E53" s="1071" t="s">
        <v>91</v>
      </c>
      <c r="F53" s="1071" t="s">
        <v>196</v>
      </c>
      <c r="G53" s="1071" t="s">
        <v>1501</v>
      </c>
      <c r="H53" s="1071"/>
      <c r="I53" s="1072"/>
    </row>
    <row r="54" spans="2:9" x14ac:dyDescent="0.2">
      <c r="B54" s="1071" t="s">
        <v>92</v>
      </c>
      <c r="C54" s="1071" t="s">
        <v>204</v>
      </c>
      <c r="D54" s="1071" t="str">
        <f>'Air&amp;Marine'!B13</f>
        <v>Air Jet, Passenger (improved aero), 2030</v>
      </c>
      <c r="E54" s="1071" t="s">
        <v>91</v>
      </c>
      <c r="F54" s="1071" t="s">
        <v>196</v>
      </c>
      <c r="G54" s="1071" t="s">
        <v>1501</v>
      </c>
      <c r="H54" s="1071"/>
      <c r="I54" s="1072"/>
    </row>
    <row r="55" spans="2:9" x14ac:dyDescent="0.2">
      <c r="B55" s="1071" t="s">
        <v>92</v>
      </c>
      <c r="C55" s="1071" t="s">
        <v>205</v>
      </c>
      <c r="D55" s="1071" t="str">
        <f>'Air&amp;Marine'!B15</f>
        <v>Air Jet Passenger, (geared engine), 2015</v>
      </c>
      <c r="E55" s="1071" t="s">
        <v>91</v>
      </c>
      <c r="F55" s="1071" t="s">
        <v>196</v>
      </c>
      <c r="G55" s="1071" t="s">
        <v>1501</v>
      </c>
      <c r="H55" s="1071"/>
      <c r="I55" s="1072"/>
    </row>
    <row r="56" spans="2:9" x14ac:dyDescent="0.2">
      <c r="B56" s="1071" t="s">
        <v>105</v>
      </c>
      <c r="C56" s="1071" t="s">
        <v>206</v>
      </c>
      <c r="D56" s="1071" t="s">
        <v>207</v>
      </c>
      <c r="E56" s="1071" t="s">
        <v>91</v>
      </c>
      <c r="F56" s="1071" t="s">
        <v>196</v>
      </c>
      <c r="G56" s="1071" t="s">
        <v>1501</v>
      </c>
      <c r="H56" s="1071"/>
      <c r="I56" s="1072"/>
    </row>
    <row r="57" spans="2:9" x14ac:dyDescent="0.2">
      <c r="B57" s="1071" t="s">
        <v>92</v>
      </c>
      <c r="C57" s="1071" t="s">
        <v>208</v>
      </c>
      <c r="D57" s="1071" t="str">
        <f>TechData!C11</f>
        <v>Bus, Exisiting Diesel</v>
      </c>
      <c r="E57" s="1071" t="s">
        <v>95</v>
      </c>
      <c r="F57" s="1071" t="s">
        <v>209</v>
      </c>
      <c r="G57" s="1071" t="s">
        <v>1501</v>
      </c>
      <c r="H57" s="1071"/>
      <c r="I57" s="1072"/>
    </row>
    <row r="58" spans="2:9" x14ac:dyDescent="0.2">
      <c r="B58" s="1071" t="s">
        <v>105</v>
      </c>
      <c r="C58" s="1071" t="s">
        <v>210</v>
      </c>
      <c r="D58" s="1071" t="str">
        <f>TechData!C12</f>
        <v>Bus, Exisiting Gasoline</v>
      </c>
      <c r="E58" s="1071" t="s">
        <v>95</v>
      </c>
      <c r="F58" s="1071" t="s">
        <v>209</v>
      </c>
      <c r="G58" s="1071" t="s">
        <v>1501</v>
      </c>
      <c r="H58" s="1071"/>
      <c r="I58" s="1072"/>
    </row>
    <row r="59" spans="2:9" x14ac:dyDescent="0.2">
      <c r="B59" s="1071" t="s">
        <v>92</v>
      </c>
      <c r="C59" s="1071" t="s">
        <v>211</v>
      </c>
      <c r="D59" s="1071" t="str">
        <f>TechData!C13</f>
        <v>Bus, Exisiting CNG</v>
      </c>
      <c r="E59" s="1071" t="s">
        <v>95</v>
      </c>
      <c r="F59" s="1071" t="s">
        <v>209</v>
      </c>
      <c r="G59" s="1071" t="s">
        <v>1501</v>
      </c>
      <c r="H59" s="1071"/>
      <c r="I59" s="1072"/>
    </row>
    <row r="60" spans="2:9" x14ac:dyDescent="0.2">
      <c r="B60" s="1071" t="s">
        <v>92</v>
      </c>
      <c r="C60" s="1071" t="s">
        <v>212</v>
      </c>
      <c r="D60" s="1071" t="s">
        <v>213</v>
      </c>
      <c r="E60" s="1071" t="s">
        <v>95</v>
      </c>
      <c r="F60" s="1071" t="s">
        <v>209</v>
      </c>
      <c r="G60" s="1071" t="s">
        <v>1501</v>
      </c>
      <c r="H60" s="1071"/>
      <c r="I60" s="1072"/>
    </row>
    <row r="61" spans="2:9" x14ac:dyDescent="0.2">
      <c r="B61" s="1071" t="s">
        <v>92</v>
      </c>
      <c r="C61" s="1071" t="s">
        <v>214</v>
      </c>
      <c r="D61" s="1071" t="str">
        <f>NewTech!C18</f>
        <v>Bus, Conventional Diesel</v>
      </c>
      <c r="E61" s="1071" t="s">
        <v>95</v>
      </c>
      <c r="F61" s="1071" t="s">
        <v>209</v>
      </c>
      <c r="G61" s="1071" t="s">
        <v>1501</v>
      </c>
      <c r="H61" s="1071"/>
      <c r="I61" s="1072"/>
    </row>
    <row r="62" spans="2:9" x14ac:dyDescent="0.2">
      <c r="B62" s="1071" t="s">
        <v>92</v>
      </c>
      <c r="C62" s="1071" t="s">
        <v>215</v>
      </c>
      <c r="D62" s="1071" t="s">
        <v>216</v>
      </c>
      <c r="E62" s="1071" t="s">
        <v>95</v>
      </c>
      <c r="F62" s="1071" t="s">
        <v>209</v>
      </c>
      <c r="G62" s="1071" t="s">
        <v>1501</v>
      </c>
      <c r="H62" s="1071"/>
      <c r="I62" s="1072"/>
    </row>
    <row r="63" spans="2:9" x14ac:dyDescent="0.2">
      <c r="B63" s="1071" t="s">
        <v>92</v>
      </c>
      <c r="C63" s="1071" t="s">
        <v>217</v>
      </c>
      <c r="D63" s="1071" t="str">
        <f>NewTech!C20</f>
        <v>Bus, Advanced Tech Diesel</v>
      </c>
      <c r="E63" s="1071" t="s">
        <v>95</v>
      </c>
      <c r="F63" s="1071" t="s">
        <v>209</v>
      </c>
      <c r="G63" s="1071" t="s">
        <v>1501</v>
      </c>
      <c r="H63" s="1071"/>
      <c r="I63" s="1072"/>
    </row>
    <row r="64" spans="2:9" x14ac:dyDescent="0.2">
      <c r="B64" s="1071" t="s">
        <v>92</v>
      </c>
      <c r="C64" s="1071" t="s">
        <v>218</v>
      </c>
      <c r="D64" s="1071" t="str">
        <f>NewTech!C21</f>
        <v>Bus, Advanced Hybrid Diesel</v>
      </c>
      <c r="E64" s="1071" t="s">
        <v>95</v>
      </c>
      <c r="F64" s="1071" t="s">
        <v>209</v>
      </c>
      <c r="G64" s="1071" t="s">
        <v>1501</v>
      </c>
      <c r="H64" s="1071"/>
      <c r="I64" s="1072"/>
    </row>
    <row r="65" spans="2:9" x14ac:dyDescent="0.2">
      <c r="B65" s="1071" t="s">
        <v>105</v>
      </c>
      <c r="C65" s="1071" t="s">
        <v>219</v>
      </c>
      <c r="D65" s="1071" t="s">
        <v>220</v>
      </c>
      <c r="E65" s="1071" t="s">
        <v>95</v>
      </c>
      <c r="F65" s="1071" t="s">
        <v>209</v>
      </c>
      <c r="G65" s="1071" t="s">
        <v>1501</v>
      </c>
      <c r="H65" s="1071"/>
      <c r="I65" s="1072"/>
    </row>
    <row r="66" spans="2:9" x14ac:dyDescent="0.2">
      <c r="B66" s="1071" t="s">
        <v>105</v>
      </c>
      <c r="C66" s="1071" t="s">
        <v>221</v>
      </c>
      <c r="D66" s="1071" t="str">
        <f>NewTech!C23</f>
        <v>Bus, Conventional B20</v>
      </c>
      <c r="E66" s="1071" t="s">
        <v>95</v>
      </c>
      <c r="F66" s="1071" t="s">
        <v>209</v>
      </c>
      <c r="G66" s="1071" t="s">
        <v>1501</v>
      </c>
      <c r="H66" s="1071"/>
      <c r="I66" s="1072"/>
    </row>
    <row r="67" spans="2:9" x14ac:dyDescent="0.2">
      <c r="B67" s="1071" t="s">
        <v>105</v>
      </c>
      <c r="C67" s="1071" t="s">
        <v>222</v>
      </c>
      <c r="D67" s="1071" t="s">
        <v>223</v>
      </c>
      <c r="E67" s="1071" t="s">
        <v>95</v>
      </c>
      <c r="F67" s="1071" t="s">
        <v>209</v>
      </c>
      <c r="G67" s="1071" t="s">
        <v>1501</v>
      </c>
      <c r="H67" s="1071"/>
      <c r="I67" s="1072"/>
    </row>
    <row r="68" spans="2:9" x14ac:dyDescent="0.2">
      <c r="B68" s="1071" t="s">
        <v>105</v>
      </c>
      <c r="C68" s="1071" t="s">
        <v>224</v>
      </c>
      <c r="D68" s="1071" t="str">
        <f>NewTech!C25</f>
        <v>Bus, Advanced Tech B20</v>
      </c>
      <c r="E68" s="1071" t="s">
        <v>95</v>
      </c>
      <c r="F68" s="1071" t="s">
        <v>209</v>
      </c>
      <c r="G68" s="1071" t="s">
        <v>1501</v>
      </c>
      <c r="H68" s="1071"/>
      <c r="I68" s="1072"/>
    </row>
    <row r="69" spans="2:9" x14ac:dyDescent="0.2">
      <c r="B69" s="1071" t="s">
        <v>105</v>
      </c>
      <c r="C69" s="1071" t="s">
        <v>225</v>
      </c>
      <c r="D69" s="1071" t="str">
        <f>NewTech!C26</f>
        <v>Bus, Advanced Hybrid B20</v>
      </c>
      <c r="E69" s="1071" t="s">
        <v>95</v>
      </c>
      <c r="F69" s="1071" t="s">
        <v>209</v>
      </c>
      <c r="G69" s="1071" t="s">
        <v>1501</v>
      </c>
      <c r="H69" s="1071"/>
      <c r="I69" s="1072"/>
    </row>
    <row r="70" spans="2:9" x14ac:dyDescent="0.2">
      <c r="B70" s="1071" t="s">
        <v>92</v>
      </c>
      <c r="C70" s="1071" t="s">
        <v>226</v>
      </c>
      <c r="D70" s="1071" t="s">
        <v>227</v>
      </c>
      <c r="E70" s="1071" t="s">
        <v>95</v>
      </c>
      <c r="F70" s="1071" t="s">
        <v>209</v>
      </c>
      <c r="G70" s="1071" t="s">
        <v>1501</v>
      </c>
      <c r="H70" s="1071"/>
      <c r="I70" s="1072"/>
    </row>
    <row r="71" spans="2:9" x14ac:dyDescent="0.2">
      <c r="B71" s="1071" t="s">
        <v>92</v>
      </c>
      <c r="C71" s="1071" t="s">
        <v>228</v>
      </c>
      <c r="D71" s="1071" t="str">
        <f>NewTech!C28</f>
        <v>Bus, Conventional CNG</v>
      </c>
      <c r="E71" s="1071" t="s">
        <v>95</v>
      </c>
      <c r="F71" s="1071" t="s">
        <v>209</v>
      </c>
      <c r="G71" s="1071" t="s">
        <v>1501</v>
      </c>
      <c r="H71" s="1071"/>
      <c r="I71" s="1072"/>
    </row>
    <row r="72" spans="2:9" x14ac:dyDescent="0.2">
      <c r="B72" s="1071" t="s">
        <v>92</v>
      </c>
      <c r="C72" s="1071" t="s">
        <v>229</v>
      </c>
      <c r="D72" s="1071" t="s">
        <v>230</v>
      </c>
      <c r="E72" s="1071" t="s">
        <v>95</v>
      </c>
      <c r="F72" s="1071" t="s">
        <v>209</v>
      </c>
      <c r="G72" s="1071" t="s">
        <v>1501</v>
      </c>
      <c r="H72" s="1071"/>
      <c r="I72" s="1072"/>
    </row>
    <row r="73" spans="2:9" x14ac:dyDescent="0.2">
      <c r="B73" s="1071" t="s">
        <v>92</v>
      </c>
      <c r="C73" s="1071" t="s">
        <v>231</v>
      </c>
      <c r="D73" s="1071" t="str">
        <f>NewTech!C30</f>
        <v>Bus, Advanced Tech CNG</v>
      </c>
      <c r="E73" s="1071" t="s">
        <v>95</v>
      </c>
      <c r="F73" s="1071" t="s">
        <v>209</v>
      </c>
      <c r="G73" s="1071" t="s">
        <v>1501</v>
      </c>
      <c r="H73" s="1071"/>
      <c r="I73" s="1072"/>
    </row>
    <row r="74" spans="2:9" x14ac:dyDescent="0.2">
      <c r="B74" s="1071" t="s">
        <v>92</v>
      </c>
      <c r="C74" s="1071" t="s">
        <v>232</v>
      </c>
      <c r="D74" s="1071" t="str">
        <f>NewTech!C31</f>
        <v>Bus, Advanced Hybird CNG</v>
      </c>
      <c r="E74" s="1071" t="s">
        <v>95</v>
      </c>
      <c r="F74" s="1071" t="s">
        <v>209</v>
      </c>
      <c r="G74" s="1071" t="s">
        <v>1501</v>
      </c>
      <c r="H74" s="1071"/>
      <c r="I74" s="1072"/>
    </row>
    <row r="75" spans="2:9" x14ac:dyDescent="0.2">
      <c r="B75" s="1071" t="s">
        <v>92</v>
      </c>
      <c r="C75" s="1071" t="s">
        <v>233</v>
      </c>
      <c r="D75" s="1071" t="str">
        <f>NewTech!C32</f>
        <v>Bus, Hydrogen Fuel Cell</v>
      </c>
      <c r="E75" s="1071" t="s">
        <v>95</v>
      </c>
      <c r="F75" s="1071" t="s">
        <v>209</v>
      </c>
      <c r="G75" s="1071" t="s">
        <v>1501</v>
      </c>
      <c r="H75" s="1071"/>
      <c r="I75" s="1072"/>
    </row>
    <row r="76" spans="2:9" x14ac:dyDescent="0.2">
      <c r="B76" s="1071" t="s">
        <v>92</v>
      </c>
      <c r="C76" s="1071" t="s">
        <v>234</v>
      </c>
      <c r="D76" s="1071" t="str">
        <f>NewTech!C33</f>
        <v>Bus, Hydrogen Fuel Cell Hybrid</v>
      </c>
      <c r="E76" s="1071" t="s">
        <v>95</v>
      </c>
      <c r="F76" s="1071" t="s">
        <v>209</v>
      </c>
      <c r="G76" s="1071" t="s">
        <v>1501</v>
      </c>
      <c r="H76" s="1071"/>
      <c r="I76" s="1072"/>
    </row>
    <row r="77" spans="2:9" x14ac:dyDescent="0.2">
      <c r="B77" s="1071" t="s">
        <v>92</v>
      </c>
      <c r="C77" s="1071" t="s">
        <v>235</v>
      </c>
      <c r="D77" s="1071" t="s">
        <v>236</v>
      </c>
      <c r="E77" s="1071" t="s">
        <v>95</v>
      </c>
      <c r="F77" s="1071" t="s">
        <v>209</v>
      </c>
      <c r="G77" s="1071" t="s">
        <v>1501</v>
      </c>
      <c r="H77" s="1071"/>
      <c r="I77" s="1072"/>
    </row>
    <row r="78" spans="2:9" x14ac:dyDescent="0.2">
      <c r="B78" s="1071" t="s">
        <v>92</v>
      </c>
      <c r="C78" s="1071" t="s">
        <v>237</v>
      </c>
      <c r="D78" s="1071" t="s">
        <v>238</v>
      </c>
      <c r="E78" s="1071" t="s">
        <v>95</v>
      </c>
      <c r="F78" s="1071" t="s">
        <v>209</v>
      </c>
      <c r="G78" s="1071" t="s">
        <v>1501</v>
      </c>
      <c r="H78" s="1071"/>
      <c r="I78" s="1072"/>
    </row>
    <row r="79" spans="2:9" x14ac:dyDescent="0.2">
      <c r="B79" s="1071" t="s">
        <v>105</v>
      </c>
      <c r="C79" s="1071" t="s">
        <v>239</v>
      </c>
      <c r="D79" s="1071" t="s">
        <v>240</v>
      </c>
      <c r="E79" s="1071" t="s">
        <v>95</v>
      </c>
      <c r="F79" s="1071" t="s">
        <v>209</v>
      </c>
      <c r="G79" s="1071" t="s">
        <v>1501</v>
      </c>
      <c r="H79" s="1071"/>
      <c r="I79" s="1072"/>
    </row>
    <row r="80" spans="2:9" x14ac:dyDescent="0.2">
      <c r="B80" s="1071" t="s">
        <v>105</v>
      </c>
      <c r="C80" s="1071" t="s">
        <v>241</v>
      </c>
      <c r="D80" s="1071" t="s">
        <v>242</v>
      </c>
      <c r="E80" s="1071" t="s">
        <v>95</v>
      </c>
      <c r="F80" s="1071" t="s">
        <v>209</v>
      </c>
      <c r="G80" s="1071" t="s">
        <v>1501</v>
      </c>
      <c r="H80" s="1071"/>
      <c r="I80" s="1072"/>
    </row>
    <row r="81" spans="2:9" x14ac:dyDescent="0.2">
      <c r="B81" s="1071" t="s">
        <v>105</v>
      </c>
      <c r="C81" s="1071" t="s">
        <v>243</v>
      </c>
      <c r="D81" s="1071" t="str">
        <f>Trucks!A7</f>
        <v>Commercial Truck, Gasoline 2010</v>
      </c>
      <c r="E81" s="1071" t="s">
        <v>95</v>
      </c>
      <c r="F81" s="1071" t="s">
        <v>209</v>
      </c>
      <c r="G81" s="1071" t="s">
        <v>1501</v>
      </c>
      <c r="H81" s="1071"/>
      <c r="I81" s="1072"/>
    </row>
    <row r="82" spans="2:9" x14ac:dyDescent="0.2">
      <c r="B82" s="1071" t="s">
        <v>105</v>
      </c>
      <c r="C82" s="1071" t="s">
        <v>244</v>
      </c>
      <c r="D82" s="1071" t="str">
        <f>Trucks!A8</f>
        <v>Commercial Truck, Conventional Gasoline</v>
      </c>
      <c r="E82" s="1071" t="s">
        <v>95</v>
      </c>
      <c r="F82" s="1071" t="s">
        <v>209</v>
      </c>
      <c r="G82" s="1071" t="s">
        <v>1501</v>
      </c>
      <c r="H82" s="1071"/>
      <c r="I82" s="1072"/>
    </row>
    <row r="83" spans="2:9" x14ac:dyDescent="0.2">
      <c r="B83" s="1071" t="s">
        <v>105</v>
      </c>
      <c r="C83" s="1071" t="s">
        <v>245</v>
      </c>
      <c r="D83" s="1071" t="str">
        <f>Trucks!A10</f>
        <v>Commercial Truck, Improved Gasoline</v>
      </c>
      <c r="E83" s="1071" t="s">
        <v>95</v>
      </c>
      <c r="F83" s="1071" t="s">
        <v>209</v>
      </c>
      <c r="G83" s="1071" t="s">
        <v>1501</v>
      </c>
      <c r="H83" s="1071"/>
      <c r="I83" s="1072"/>
    </row>
    <row r="84" spans="2:9" x14ac:dyDescent="0.2">
      <c r="B84" s="1071" t="s">
        <v>105</v>
      </c>
      <c r="C84" s="1071" t="s">
        <v>246</v>
      </c>
      <c r="D84" s="1071" t="str">
        <f>Trucks!A12</f>
        <v>Commercial Truck, Advanced Tech Gasoline</v>
      </c>
      <c r="E84" s="1071" t="s">
        <v>95</v>
      </c>
      <c r="F84" s="1071" t="s">
        <v>209</v>
      </c>
      <c r="G84" s="1071" t="s">
        <v>1501</v>
      </c>
      <c r="H84" s="1071"/>
      <c r="I84" s="1072"/>
    </row>
    <row r="85" spans="2:9" ht="17.25" customHeight="1" x14ac:dyDescent="0.2">
      <c r="B85" s="1071" t="s">
        <v>105</v>
      </c>
      <c r="C85" s="1071" t="s">
        <v>247</v>
      </c>
      <c r="D85" s="1071" t="str">
        <f>Trucks!A14</f>
        <v>Commercial Truck, Advanced Hybrid Tech Gasoline</v>
      </c>
      <c r="E85" s="1071" t="s">
        <v>95</v>
      </c>
      <c r="F85" s="1071" t="s">
        <v>209</v>
      </c>
      <c r="G85" s="1071" t="s">
        <v>1501</v>
      </c>
      <c r="H85" s="1071"/>
      <c r="I85" s="1072"/>
    </row>
    <row r="86" spans="2:9" x14ac:dyDescent="0.2">
      <c r="B86" s="1071" t="s">
        <v>105</v>
      </c>
      <c r="C86" s="1071" t="s">
        <v>248</v>
      </c>
      <c r="D86" s="1071" t="str">
        <f>Trucks!A17</f>
        <v>Commercial Truck, Diesel 2010</v>
      </c>
      <c r="E86" s="1071" t="s">
        <v>95</v>
      </c>
      <c r="F86" s="1071" t="s">
        <v>209</v>
      </c>
      <c r="G86" s="1071" t="s">
        <v>1501</v>
      </c>
      <c r="H86" s="1071"/>
      <c r="I86" s="1072"/>
    </row>
    <row r="87" spans="2:9" x14ac:dyDescent="0.2">
      <c r="B87" s="1071" t="s">
        <v>105</v>
      </c>
      <c r="C87" s="1071" t="s">
        <v>249</v>
      </c>
      <c r="D87" s="1071" t="str">
        <f>Trucks!A18</f>
        <v>Commercial Truck, Conventional Diesel</v>
      </c>
      <c r="E87" s="1071" t="s">
        <v>95</v>
      </c>
      <c r="F87" s="1071" t="s">
        <v>209</v>
      </c>
      <c r="G87" s="1071" t="s">
        <v>1501</v>
      </c>
      <c r="H87" s="1071"/>
      <c r="I87" s="1072"/>
    </row>
    <row r="88" spans="2:9" x14ac:dyDescent="0.2">
      <c r="B88" s="1071" t="s">
        <v>105</v>
      </c>
      <c r="C88" s="1071" t="s">
        <v>250</v>
      </c>
      <c r="D88" s="1071" t="str">
        <f>Trucks!A20</f>
        <v>Commercial Truck, Improved Diesel</v>
      </c>
      <c r="E88" s="1071" t="s">
        <v>95</v>
      </c>
      <c r="F88" s="1071" t="s">
        <v>209</v>
      </c>
      <c r="G88" s="1071" t="s">
        <v>1501</v>
      </c>
      <c r="H88" s="1071"/>
      <c r="I88" s="1072"/>
    </row>
    <row r="89" spans="2:9" x14ac:dyDescent="0.2">
      <c r="B89" s="1071" t="s">
        <v>105</v>
      </c>
      <c r="C89" s="1071" t="s">
        <v>251</v>
      </c>
      <c r="D89" s="1071" t="str">
        <f>Trucks!A21</f>
        <v>Commercial Truck, Advanced Hybrid Diesel</v>
      </c>
      <c r="E89" s="1071" t="s">
        <v>95</v>
      </c>
      <c r="F89" s="1071" t="s">
        <v>209</v>
      </c>
      <c r="G89" s="1071" t="s">
        <v>1501</v>
      </c>
      <c r="H89" s="1071"/>
      <c r="I89" s="1072"/>
    </row>
    <row r="90" spans="2:9" x14ac:dyDescent="0.2">
      <c r="B90" s="1071" t="s">
        <v>105</v>
      </c>
      <c r="C90" s="1071" t="s">
        <v>252</v>
      </c>
      <c r="D90" s="1071" t="str">
        <f>Trucks!A24</f>
        <v>Commercial Truck, B20 2010</v>
      </c>
      <c r="E90" s="1071" t="s">
        <v>95</v>
      </c>
      <c r="F90" s="1071" t="s">
        <v>209</v>
      </c>
      <c r="G90" s="1071" t="s">
        <v>1501</v>
      </c>
      <c r="H90" s="1071"/>
      <c r="I90" s="1072"/>
    </row>
    <row r="91" spans="2:9" x14ac:dyDescent="0.2">
      <c r="B91" s="1071" t="s">
        <v>105</v>
      </c>
      <c r="C91" s="1071" t="s">
        <v>253</v>
      </c>
      <c r="D91" s="1071" t="str">
        <f>Trucks!A25</f>
        <v>Commercial Truck, Conventional B20</v>
      </c>
      <c r="E91" s="1071" t="s">
        <v>95</v>
      </c>
      <c r="F91" s="1071" t="s">
        <v>209</v>
      </c>
      <c r="G91" s="1071" t="s">
        <v>1501</v>
      </c>
      <c r="H91" s="1071"/>
      <c r="I91" s="1072"/>
    </row>
    <row r="92" spans="2:9" x14ac:dyDescent="0.2">
      <c r="B92" s="1071" t="s">
        <v>105</v>
      </c>
      <c r="C92" s="1071" t="s">
        <v>254</v>
      </c>
      <c r="D92" s="1071" t="str">
        <f>Trucks!A27</f>
        <v>Commercial Truck, Improved B20</v>
      </c>
      <c r="E92" s="1071" t="s">
        <v>95</v>
      </c>
      <c r="F92" s="1071" t="s">
        <v>209</v>
      </c>
      <c r="G92" s="1071" t="s">
        <v>1501</v>
      </c>
      <c r="H92" s="1071"/>
      <c r="I92" s="1072"/>
    </row>
    <row r="93" spans="2:9" x14ac:dyDescent="0.2">
      <c r="B93" s="1071" t="s">
        <v>105</v>
      </c>
      <c r="C93" s="1071" t="s">
        <v>255</v>
      </c>
      <c r="D93" s="1071" t="str">
        <f>Trucks!A28</f>
        <v>Commerical Truck, Advanced Hybrid B20</v>
      </c>
      <c r="E93" s="1071" t="s">
        <v>95</v>
      </c>
      <c r="F93" s="1071" t="s">
        <v>209</v>
      </c>
      <c r="G93" s="1071" t="s">
        <v>1501</v>
      </c>
      <c r="H93" s="1071"/>
      <c r="I93" s="1072"/>
    </row>
    <row r="94" spans="2:9" x14ac:dyDescent="0.2">
      <c r="B94" s="1071" t="s">
        <v>105</v>
      </c>
      <c r="C94" s="1071" t="s">
        <v>256</v>
      </c>
      <c r="D94" s="1071" t="str">
        <f>Trucks!A31</f>
        <v>Commercial Truck, CNG 2010</v>
      </c>
      <c r="E94" s="1071" t="s">
        <v>95</v>
      </c>
      <c r="F94" s="1071" t="s">
        <v>209</v>
      </c>
      <c r="G94" s="1071" t="s">
        <v>1501</v>
      </c>
      <c r="H94" s="1071"/>
      <c r="I94" s="1072"/>
    </row>
    <row r="95" spans="2:9" x14ac:dyDescent="0.2">
      <c r="B95" s="1071" t="s">
        <v>105</v>
      </c>
      <c r="C95" s="1071" t="s">
        <v>257</v>
      </c>
      <c r="D95" s="1071" t="str">
        <f>Trucks!A32</f>
        <v>Commercial Truck, Conventional CNG</v>
      </c>
      <c r="E95" s="1071" t="s">
        <v>95</v>
      </c>
      <c r="F95" s="1071" t="s">
        <v>209</v>
      </c>
      <c r="G95" s="1071" t="s">
        <v>1501</v>
      </c>
      <c r="H95" s="1071"/>
      <c r="I95" s="1072"/>
    </row>
    <row r="96" spans="2:9" x14ac:dyDescent="0.2">
      <c r="B96" s="1071" t="s">
        <v>105</v>
      </c>
      <c r="C96" s="1071" t="s">
        <v>258</v>
      </c>
      <c r="D96" s="1071" t="str">
        <f>Trucks!A34</f>
        <v>Commercial Truck, Improved CNG</v>
      </c>
      <c r="E96" s="1071" t="s">
        <v>95</v>
      </c>
      <c r="F96" s="1071" t="s">
        <v>209</v>
      </c>
      <c r="G96" s="1071" t="s">
        <v>1501</v>
      </c>
      <c r="H96" s="1071"/>
      <c r="I96" s="1072"/>
    </row>
    <row r="97" spans="2:9" x14ac:dyDescent="0.2">
      <c r="B97" s="1071" t="s">
        <v>105</v>
      </c>
      <c r="C97" s="1071" t="s">
        <v>259</v>
      </c>
      <c r="D97" s="1071" t="str">
        <f>Trucks!A36</f>
        <v>Commerical Truck, Advanced CNG</v>
      </c>
      <c r="E97" s="1071" t="s">
        <v>95</v>
      </c>
      <c r="F97" s="1071" t="s">
        <v>209</v>
      </c>
      <c r="G97" s="1071" t="s">
        <v>1501</v>
      </c>
      <c r="H97" s="1071"/>
      <c r="I97" s="1072"/>
    </row>
    <row r="98" spans="2:9" x14ac:dyDescent="0.2">
      <c r="B98" s="1071" t="s">
        <v>105</v>
      </c>
      <c r="C98" s="1071" t="s">
        <v>260</v>
      </c>
      <c r="D98" s="1071" t="str">
        <f>Trucks!A39</f>
        <v>Commerical Truck, Advanced Hybrid CNG</v>
      </c>
      <c r="E98" s="1071" t="s">
        <v>95</v>
      </c>
      <c r="F98" s="1071" t="s">
        <v>209</v>
      </c>
      <c r="G98" s="1071" t="s">
        <v>1501</v>
      </c>
      <c r="H98" s="1071"/>
      <c r="I98" s="1072"/>
    </row>
    <row r="99" spans="2:9" x14ac:dyDescent="0.2">
      <c r="B99" s="1071" t="s">
        <v>105</v>
      </c>
      <c r="C99" s="1071" t="s">
        <v>261</v>
      </c>
      <c r="D99" s="1071" t="str">
        <f>Trucks!A42</f>
        <v>Commercial Truck, E85 2010</v>
      </c>
      <c r="E99" s="1071" t="s">
        <v>95</v>
      </c>
      <c r="F99" s="1071" t="s">
        <v>209</v>
      </c>
      <c r="G99" s="1071" t="s">
        <v>1501</v>
      </c>
      <c r="H99" s="1071"/>
      <c r="I99" s="1072"/>
    </row>
    <row r="100" spans="2:9" x14ac:dyDescent="0.2">
      <c r="B100" s="1071" t="s">
        <v>105</v>
      </c>
      <c r="C100" s="1071" t="s">
        <v>262</v>
      </c>
      <c r="D100" s="1071" t="str">
        <f>Trucks!A43</f>
        <v>Commercial Truck, Conventional E85</v>
      </c>
      <c r="E100" s="1071" t="s">
        <v>95</v>
      </c>
      <c r="F100" s="1071" t="s">
        <v>209</v>
      </c>
      <c r="G100" s="1071" t="s">
        <v>1501</v>
      </c>
      <c r="H100" s="1071"/>
      <c r="I100" s="1072"/>
    </row>
    <row r="101" spans="2:9" x14ac:dyDescent="0.2">
      <c r="B101" s="1071" t="s">
        <v>105</v>
      </c>
      <c r="C101" s="1071" t="s">
        <v>263</v>
      </c>
      <c r="D101" s="1071" t="str">
        <f>Trucks!A45</f>
        <v>Commercial Truck, Improved E85</v>
      </c>
      <c r="E101" s="1071" t="s">
        <v>95</v>
      </c>
      <c r="F101" s="1071" t="s">
        <v>209</v>
      </c>
      <c r="G101" s="1071" t="s">
        <v>1501</v>
      </c>
      <c r="H101" s="1071"/>
      <c r="I101" s="1072"/>
    </row>
    <row r="102" spans="2:9" x14ac:dyDescent="0.2">
      <c r="B102" s="1071" t="s">
        <v>105</v>
      </c>
      <c r="C102" s="1071" t="s">
        <v>264</v>
      </c>
      <c r="D102" s="1071" t="str">
        <f>Trucks!A47</f>
        <v>Commercial Truck, Advanced E85</v>
      </c>
      <c r="E102" s="1071" t="s">
        <v>95</v>
      </c>
      <c r="F102" s="1071" t="s">
        <v>209</v>
      </c>
      <c r="G102" s="1071" t="s">
        <v>1501</v>
      </c>
      <c r="H102" s="1071"/>
      <c r="I102" s="1072"/>
    </row>
    <row r="103" spans="2:9" x14ac:dyDescent="0.2">
      <c r="B103" s="1071" t="s">
        <v>105</v>
      </c>
      <c r="C103" s="1071" t="s">
        <v>265</v>
      </c>
      <c r="D103" s="1071" t="str">
        <f>Trucks!A50</f>
        <v>Commerical Truck, Hybrid E85</v>
      </c>
      <c r="E103" s="1071" t="s">
        <v>95</v>
      </c>
      <c r="F103" s="1071" t="s">
        <v>209</v>
      </c>
      <c r="G103" s="1071" t="s">
        <v>1501</v>
      </c>
      <c r="H103" s="1071"/>
      <c r="I103" s="1072"/>
    </row>
    <row r="104" spans="2:9" x14ac:dyDescent="0.2">
      <c r="B104" s="1071" t="s">
        <v>105</v>
      </c>
      <c r="C104" s="1071" t="s">
        <v>266</v>
      </c>
      <c r="D104" s="1071" t="str">
        <f>Trucks!A53</f>
        <v>Commercial Truck, LPG 2010</v>
      </c>
      <c r="E104" s="1071" t="s">
        <v>95</v>
      </c>
      <c r="F104" s="1071" t="s">
        <v>209</v>
      </c>
      <c r="G104" s="1071" t="s">
        <v>1501</v>
      </c>
      <c r="H104" s="1071"/>
      <c r="I104" s="1072"/>
    </row>
    <row r="105" spans="2:9" x14ac:dyDescent="0.2">
      <c r="B105" s="1071" t="s">
        <v>105</v>
      </c>
      <c r="C105" s="1071" t="s">
        <v>267</v>
      </c>
      <c r="D105" s="1071" t="str">
        <f>Trucks!A54</f>
        <v>Commercial Truck, Conventional LPG</v>
      </c>
      <c r="E105" s="1071" t="s">
        <v>95</v>
      </c>
      <c r="F105" s="1071" t="s">
        <v>209</v>
      </c>
      <c r="G105" s="1071" t="s">
        <v>1501</v>
      </c>
      <c r="H105" s="1071"/>
      <c r="I105" s="1072"/>
    </row>
    <row r="106" spans="2:9" x14ac:dyDescent="0.2">
      <c r="B106" s="1071" t="s">
        <v>105</v>
      </c>
      <c r="C106" s="1071" t="s">
        <v>268</v>
      </c>
      <c r="D106" s="1071" t="str">
        <f>Trucks!A56</f>
        <v>Commercial Truck, Improved LPG</v>
      </c>
      <c r="E106" s="1071" t="s">
        <v>95</v>
      </c>
      <c r="F106" s="1071" t="s">
        <v>209</v>
      </c>
      <c r="G106" s="1071" t="s">
        <v>1501</v>
      </c>
      <c r="H106" s="1071"/>
      <c r="I106" s="1072"/>
    </row>
    <row r="107" spans="2:9" x14ac:dyDescent="0.2">
      <c r="B107" s="1071" t="s">
        <v>105</v>
      </c>
      <c r="C107" s="1071" t="s">
        <v>269</v>
      </c>
      <c r="D107" s="1071" t="str">
        <f>Trucks!A58</f>
        <v>Commercial Truck, Advanced LPG</v>
      </c>
      <c r="E107" s="1071" t="s">
        <v>95</v>
      </c>
      <c r="F107" s="1071" t="s">
        <v>209</v>
      </c>
      <c r="G107" s="1071" t="s">
        <v>1501</v>
      </c>
      <c r="H107" s="1071"/>
      <c r="I107" s="1072"/>
    </row>
    <row r="108" spans="2:9" x14ac:dyDescent="0.2">
      <c r="B108" s="1071" t="s">
        <v>105</v>
      </c>
      <c r="C108" s="1071" t="s">
        <v>270</v>
      </c>
      <c r="D108" s="1071" t="str">
        <f>Trucks!A61</f>
        <v>Commercial Truck, Hybrid LPG</v>
      </c>
      <c r="E108" s="1071" t="s">
        <v>95</v>
      </c>
      <c r="F108" s="1071" t="s">
        <v>209</v>
      </c>
      <c r="G108" s="1071" t="s">
        <v>1501</v>
      </c>
      <c r="H108" s="1071"/>
      <c r="I108" s="1072"/>
    </row>
    <row r="109" spans="2:9" x14ac:dyDescent="0.2">
      <c r="B109" s="1071" t="s">
        <v>105</v>
      </c>
      <c r="C109" s="1071" t="s">
        <v>271</v>
      </c>
      <c r="D109" s="1071" t="str">
        <f>Trucks!A64</f>
        <v>Commercial Truck, Hydrogen Fuel Cell</v>
      </c>
      <c r="E109" s="1071" t="s">
        <v>95</v>
      </c>
      <c r="F109" s="1071" t="s">
        <v>209</v>
      </c>
      <c r="G109" s="1071" t="s">
        <v>1501</v>
      </c>
      <c r="H109" s="1071"/>
      <c r="I109" s="1072"/>
    </row>
    <row r="110" spans="2:9" x14ac:dyDescent="0.2">
      <c r="B110" s="1071" t="s">
        <v>92</v>
      </c>
      <c r="C110" s="1071" t="s">
        <v>272</v>
      </c>
      <c r="D110" s="1071" t="str">
        <f>Trucks!A119</f>
        <v>Medium Duty Truck, Existing Gasoline</v>
      </c>
      <c r="E110" s="1071" t="s">
        <v>95</v>
      </c>
      <c r="F110" s="1071" t="s">
        <v>209</v>
      </c>
      <c r="G110" s="1071" t="s">
        <v>1501</v>
      </c>
      <c r="H110" s="1071"/>
      <c r="I110" s="1072"/>
    </row>
    <row r="111" spans="2:9" x14ac:dyDescent="0.2">
      <c r="B111" s="1071" t="s">
        <v>92</v>
      </c>
      <c r="C111" s="1071" t="s">
        <v>273</v>
      </c>
      <c r="D111" s="1071" t="str">
        <f>Trucks!A120</f>
        <v>Medium Duty Truck, Existing Diesel</v>
      </c>
      <c r="E111" s="1071" t="s">
        <v>95</v>
      </c>
      <c r="F111" s="1071" t="s">
        <v>209</v>
      </c>
      <c r="G111" s="1071" t="s">
        <v>1501</v>
      </c>
      <c r="H111" s="1071"/>
      <c r="I111" s="1072"/>
    </row>
    <row r="112" spans="2:9" x14ac:dyDescent="0.2">
      <c r="B112" s="1071" t="s">
        <v>92</v>
      </c>
      <c r="C112" s="1071" t="s">
        <v>274</v>
      </c>
      <c r="D112" s="1071" t="str">
        <f>Trucks!A122</f>
        <v>Medium Duty Truck, Existing CNG</v>
      </c>
      <c r="E112" s="1071" t="s">
        <v>95</v>
      </c>
      <c r="F112" s="1071" t="s">
        <v>209</v>
      </c>
      <c r="G112" s="1071" t="s">
        <v>1501</v>
      </c>
      <c r="H112" s="1071"/>
      <c r="I112" s="1072"/>
    </row>
    <row r="113" spans="2:9" x14ac:dyDescent="0.2">
      <c r="B113" s="1071" t="s">
        <v>105</v>
      </c>
      <c r="C113" s="1071" t="s">
        <v>275</v>
      </c>
      <c r="D113" s="1071" t="str">
        <f>Trucks!A121</f>
        <v>Medium Duty Truck, Existing LPG</v>
      </c>
      <c r="E113" s="1071" t="s">
        <v>95</v>
      </c>
      <c r="F113" s="1071" t="s">
        <v>209</v>
      </c>
      <c r="G113" s="1071" t="s">
        <v>1501</v>
      </c>
      <c r="H113" s="1071"/>
      <c r="I113" s="1072"/>
    </row>
    <row r="114" spans="2:9" x14ac:dyDescent="0.2">
      <c r="B114" s="1071" t="s">
        <v>92</v>
      </c>
      <c r="C114" s="1071" t="s">
        <v>276</v>
      </c>
      <c r="D114" s="1071" t="str">
        <f>Trucks!A88</f>
        <v>Medium Duty Truck, Gasoline, 2010</v>
      </c>
      <c r="E114" s="1071" t="s">
        <v>95</v>
      </c>
      <c r="F114" s="1071" t="s">
        <v>209</v>
      </c>
      <c r="G114" s="1071" t="s">
        <v>1501</v>
      </c>
      <c r="H114" s="1071"/>
      <c r="I114" s="1072"/>
    </row>
    <row r="115" spans="2:9" x14ac:dyDescent="0.2">
      <c r="B115" s="1071" t="s">
        <v>92</v>
      </c>
      <c r="C115" s="1071" t="s">
        <v>277</v>
      </c>
      <c r="D115" s="1071" t="str">
        <f>Trucks!A89</f>
        <v>Medium Duty Truck, Conventional Gasoline</v>
      </c>
      <c r="E115" s="1071" t="s">
        <v>95</v>
      </c>
      <c r="F115" s="1071" t="s">
        <v>209</v>
      </c>
      <c r="G115" s="1071" t="s">
        <v>1501</v>
      </c>
      <c r="H115" s="1071"/>
      <c r="I115" s="1072"/>
    </row>
    <row r="116" spans="2:9" x14ac:dyDescent="0.2">
      <c r="B116" s="1071" t="s">
        <v>92</v>
      </c>
      <c r="C116" s="1071" t="s">
        <v>278</v>
      </c>
      <c r="D116" s="1071" t="str">
        <f>Trucks!A91</f>
        <v>Medium Duty Truck, Improved Gasoline</v>
      </c>
      <c r="E116" s="1071" t="s">
        <v>95</v>
      </c>
      <c r="F116" s="1071" t="s">
        <v>209</v>
      </c>
      <c r="G116" s="1071" t="s">
        <v>1501</v>
      </c>
      <c r="H116" s="1071"/>
      <c r="I116" s="1072"/>
    </row>
    <row r="117" spans="2:9" x14ac:dyDescent="0.2">
      <c r="B117" s="1071" t="s">
        <v>92</v>
      </c>
      <c r="C117" s="1071" t="s">
        <v>279</v>
      </c>
      <c r="D117" s="1071" t="str">
        <f>Trucks!A92</f>
        <v>Medium Duty Truck, Advanced Hybrid Gasoline</v>
      </c>
      <c r="E117" s="1071" t="s">
        <v>95</v>
      </c>
      <c r="F117" s="1071" t="s">
        <v>209</v>
      </c>
      <c r="G117" s="1071" t="s">
        <v>1501</v>
      </c>
      <c r="H117" s="1071"/>
      <c r="I117" s="1072"/>
    </row>
    <row r="118" spans="2:9" x14ac:dyDescent="0.2">
      <c r="B118" s="1071" t="s">
        <v>92</v>
      </c>
      <c r="C118" s="1071" t="s">
        <v>280</v>
      </c>
      <c r="D118" s="1071" t="str">
        <f>Trucks!A78</f>
        <v>Medium Duty Truck, Diesel, 2010</v>
      </c>
      <c r="E118" s="1071" t="s">
        <v>95</v>
      </c>
      <c r="F118" s="1071" t="s">
        <v>209</v>
      </c>
      <c r="G118" s="1071" t="s">
        <v>1501</v>
      </c>
      <c r="H118" s="1071"/>
      <c r="I118" s="1072"/>
    </row>
    <row r="119" spans="2:9" x14ac:dyDescent="0.2">
      <c r="B119" s="1071" t="s">
        <v>92</v>
      </c>
      <c r="C119" s="1071" t="s">
        <v>281</v>
      </c>
      <c r="D119" s="1071" t="str">
        <f>Trucks!A79</f>
        <v>Medium Duty Truck, Conventional Diesel</v>
      </c>
      <c r="E119" s="1071" t="s">
        <v>95</v>
      </c>
      <c r="F119" s="1071" t="s">
        <v>209</v>
      </c>
      <c r="G119" s="1071" t="s">
        <v>1501</v>
      </c>
      <c r="H119" s="1071"/>
      <c r="I119" s="1072"/>
    </row>
    <row r="120" spans="2:9" x14ac:dyDescent="0.2">
      <c r="B120" s="1071" t="s">
        <v>92</v>
      </c>
      <c r="C120" s="1071" t="s">
        <v>282</v>
      </c>
      <c r="D120" s="1071" t="str">
        <f>Trucks!A81</f>
        <v>Medium Duty Truck, Improved Diesel</v>
      </c>
      <c r="E120" s="1071" t="s">
        <v>95</v>
      </c>
      <c r="F120" s="1071" t="s">
        <v>209</v>
      </c>
      <c r="G120" s="1071" t="s">
        <v>1501</v>
      </c>
      <c r="H120" s="1071"/>
      <c r="I120" s="1072"/>
    </row>
    <row r="121" spans="2:9" x14ac:dyDescent="0.2">
      <c r="B121" s="1071" t="s">
        <v>92</v>
      </c>
      <c r="C121" s="1071" t="s">
        <v>283</v>
      </c>
      <c r="D121" s="1071" t="str">
        <f>Trucks!A82</f>
        <v>Medium Duty Truck, Advanced Diesel</v>
      </c>
      <c r="E121" s="1071" t="s">
        <v>95</v>
      </c>
      <c r="F121" s="1071" t="s">
        <v>209</v>
      </c>
      <c r="G121" s="1071" t="s">
        <v>1501</v>
      </c>
      <c r="H121" s="1071"/>
      <c r="I121" s="1072"/>
    </row>
    <row r="122" spans="2:9" x14ac:dyDescent="0.2">
      <c r="B122" s="1071" t="s">
        <v>92</v>
      </c>
      <c r="C122" s="1071" t="s">
        <v>284</v>
      </c>
      <c r="D122" s="1071" t="str">
        <f>Trucks!A85</f>
        <v>Medium Duty Truck, Advanced Hybrid Diesel</v>
      </c>
      <c r="E122" s="1071" t="s">
        <v>95</v>
      </c>
      <c r="F122" s="1071" t="s">
        <v>209</v>
      </c>
      <c r="G122" s="1071" t="s">
        <v>1501</v>
      </c>
      <c r="H122" s="1071"/>
      <c r="I122" s="1072"/>
    </row>
    <row r="123" spans="2:9" x14ac:dyDescent="0.2">
      <c r="B123" s="1071" t="s">
        <v>105</v>
      </c>
      <c r="C123" s="1071" t="s">
        <v>285</v>
      </c>
      <c r="D123" s="1071" t="str">
        <f>Trucks!A95</f>
        <v>Medium Duty Truck, B20, 2010</v>
      </c>
      <c r="E123" s="1071" t="s">
        <v>95</v>
      </c>
      <c r="F123" s="1071" t="s">
        <v>209</v>
      </c>
      <c r="G123" s="1071" t="s">
        <v>1501</v>
      </c>
      <c r="H123" s="1071"/>
      <c r="I123" s="1072"/>
    </row>
    <row r="124" spans="2:9" x14ac:dyDescent="0.2">
      <c r="B124" s="1071" t="s">
        <v>286</v>
      </c>
      <c r="C124" s="1071" t="s">
        <v>287</v>
      </c>
      <c r="D124" s="1071" t="str">
        <f>Trucks!A96</f>
        <v>Medium Duty Truck, Conventional B20</v>
      </c>
      <c r="E124" s="1071" t="s">
        <v>95</v>
      </c>
      <c r="F124" s="1071" t="s">
        <v>209</v>
      </c>
      <c r="G124" s="1071" t="s">
        <v>1501</v>
      </c>
      <c r="H124" s="1071"/>
      <c r="I124" s="1072"/>
    </row>
    <row r="125" spans="2:9" x14ac:dyDescent="0.2">
      <c r="B125" s="1071" t="s">
        <v>288</v>
      </c>
      <c r="C125" s="1071" t="s">
        <v>289</v>
      </c>
      <c r="D125" s="1071" t="str">
        <f>Trucks!A98</f>
        <v>Medium Duty Truck, Improved B20</v>
      </c>
      <c r="E125" s="1071" t="s">
        <v>95</v>
      </c>
      <c r="F125" s="1071" t="s">
        <v>209</v>
      </c>
      <c r="G125" s="1071" t="s">
        <v>1501</v>
      </c>
      <c r="H125" s="1071"/>
      <c r="I125" s="1072"/>
    </row>
    <row r="126" spans="2:9" x14ac:dyDescent="0.2">
      <c r="B126" s="1071" t="s">
        <v>290</v>
      </c>
      <c r="C126" s="1071" t="s">
        <v>291</v>
      </c>
      <c r="D126" s="1071" t="s">
        <v>292</v>
      </c>
      <c r="E126" s="1071" t="s">
        <v>95</v>
      </c>
      <c r="F126" s="1071" t="s">
        <v>209</v>
      </c>
      <c r="G126" s="1071" t="s">
        <v>1501</v>
      </c>
      <c r="H126" s="1071"/>
      <c r="I126" s="1072"/>
    </row>
    <row r="127" spans="2:9" x14ac:dyDescent="0.2">
      <c r="B127" s="1071" t="s">
        <v>293</v>
      </c>
      <c r="C127" s="1071" t="s">
        <v>294</v>
      </c>
      <c r="D127" s="1071" t="s">
        <v>295</v>
      </c>
      <c r="E127" s="1071" t="s">
        <v>95</v>
      </c>
      <c r="F127" s="1071" t="s">
        <v>209</v>
      </c>
      <c r="G127" s="1071" t="s">
        <v>1501</v>
      </c>
      <c r="H127" s="1071"/>
      <c r="I127" s="1072"/>
    </row>
    <row r="128" spans="2:9" x14ac:dyDescent="0.2">
      <c r="B128" s="1071" t="s">
        <v>92</v>
      </c>
      <c r="C128" s="1071" t="s">
        <v>296</v>
      </c>
      <c r="D128" s="1071" t="str">
        <f>Trucks!A105</f>
        <v>Medium Duty Truck, CNG, 2010</v>
      </c>
      <c r="E128" s="1071" t="s">
        <v>95</v>
      </c>
      <c r="F128" s="1071" t="s">
        <v>209</v>
      </c>
      <c r="G128" s="1071" t="s">
        <v>1501</v>
      </c>
      <c r="H128" s="1071"/>
      <c r="I128" s="1072"/>
    </row>
    <row r="129" spans="2:9" x14ac:dyDescent="0.2">
      <c r="B129" s="1071" t="s">
        <v>92</v>
      </c>
      <c r="C129" s="1071" t="s">
        <v>297</v>
      </c>
      <c r="D129" s="1071" t="str">
        <f>Trucks!A106</f>
        <v>Medium Duty Truck, Conventional CNG</v>
      </c>
      <c r="E129" s="1071" t="s">
        <v>95</v>
      </c>
      <c r="F129" s="1071" t="s">
        <v>209</v>
      </c>
      <c r="G129" s="1071" t="s">
        <v>1501</v>
      </c>
      <c r="H129" s="1071"/>
      <c r="I129" s="1072"/>
    </row>
    <row r="130" spans="2:9" x14ac:dyDescent="0.2">
      <c r="B130" s="1071" t="s">
        <v>92</v>
      </c>
      <c r="C130" s="1071" t="s">
        <v>298</v>
      </c>
      <c r="D130" s="1071" t="str">
        <f>Trucks!A108</f>
        <v>Medium Duty Truck, Improved CNG</v>
      </c>
      <c r="E130" s="1071" t="s">
        <v>95</v>
      </c>
      <c r="F130" s="1071" t="s">
        <v>209</v>
      </c>
      <c r="G130" s="1071" t="s">
        <v>1501</v>
      </c>
      <c r="H130" s="1071"/>
      <c r="I130" s="1072"/>
    </row>
    <row r="131" spans="2:9" x14ac:dyDescent="0.2">
      <c r="B131" s="1071" t="s">
        <v>92</v>
      </c>
      <c r="C131" s="1071" t="s">
        <v>299</v>
      </c>
      <c r="D131" s="1071" t="str">
        <f>Trucks!A109</f>
        <v>Medium Duty Truck, Advanced Hybrid CNG</v>
      </c>
      <c r="E131" s="1071" t="s">
        <v>95</v>
      </c>
      <c r="F131" s="1071" t="s">
        <v>209</v>
      </c>
      <c r="G131" s="1071" t="s">
        <v>1501</v>
      </c>
      <c r="H131" s="1071"/>
      <c r="I131" s="1072"/>
    </row>
    <row r="132" spans="2:9" x14ac:dyDescent="0.2">
      <c r="B132" s="1071" t="s">
        <v>105</v>
      </c>
      <c r="C132" s="1071" t="s">
        <v>300</v>
      </c>
      <c r="D132" s="1071" t="str">
        <f>Trucks!A112</f>
        <v>Medium Duty Truck, LPG, 2010</v>
      </c>
      <c r="E132" s="1071" t="s">
        <v>95</v>
      </c>
      <c r="F132" s="1071" t="s">
        <v>209</v>
      </c>
      <c r="G132" s="1071" t="s">
        <v>1501</v>
      </c>
      <c r="H132" s="1071"/>
      <c r="I132" s="1072"/>
    </row>
    <row r="133" spans="2:9" x14ac:dyDescent="0.2">
      <c r="B133" s="1071" t="s">
        <v>105</v>
      </c>
      <c r="C133" s="1071" t="s">
        <v>301</v>
      </c>
      <c r="D133" s="1071" t="str">
        <f>Trucks!A113</f>
        <v>Medium Duty Truck, Conventional LPG</v>
      </c>
      <c r="E133" s="1071" t="s">
        <v>95</v>
      </c>
      <c r="F133" s="1071" t="s">
        <v>209</v>
      </c>
      <c r="G133" s="1071" t="s">
        <v>1501</v>
      </c>
      <c r="H133" s="1071"/>
      <c r="I133" s="1072"/>
    </row>
    <row r="134" spans="2:9" x14ac:dyDescent="0.2">
      <c r="B134" s="1071" t="s">
        <v>105</v>
      </c>
      <c r="C134" s="1071" t="s">
        <v>302</v>
      </c>
      <c r="D134" s="1071" t="str">
        <f>Trucks!A115</f>
        <v>Medium Duty Truck, Improved LPG</v>
      </c>
      <c r="E134" s="1071" t="s">
        <v>95</v>
      </c>
      <c r="F134" s="1071" t="s">
        <v>209</v>
      </c>
      <c r="G134" s="1071" t="s">
        <v>1501</v>
      </c>
      <c r="H134" s="1071"/>
      <c r="I134" s="1072"/>
    </row>
    <row r="135" spans="2:9" x14ac:dyDescent="0.2">
      <c r="B135" s="1071" t="s">
        <v>105</v>
      </c>
      <c r="C135" s="1071" t="s">
        <v>303</v>
      </c>
      <c r="D135" s="1071" t="str">
        <f>Trucks!A116</f>
        <v>Medium Duty Truck, Advanced Hybrid LPG</v>
      </c>
      <c r="E135" s="1071" t="s">
        <v>95</v>
      </c>
      <c r="F135" s="1071" t="s">
        <v>209</v>
      </c>
      <c r="G135" s="1071" t="s">
        <v>1501</v>
      </c>
      <c r="H135" s="1071"/>
      <c r="I135" s="1072"/>
    </row>
    <row r="136" spans="2:9" x14ac:dyDescent="0.2">
      <c r="B136" s="1071" t="s">
        <v>92</v>
      </c>
      <c r="C136" s="1071" t="s">
        <v>304</v>
      </c>
      <c r="D136" s="1071" t="s">
        <v>305</v>
      </c>
      <c r="E136" s="1071" t="s">
        <v>95</v>
      </c>
      <c r="F136" s="1071" t="s">
        <v>209</v>
      </c>
      <c r="G136" s="1071" t="s">
        <v>1501</v>
      </c>
      <c r="H136" s="1071"/>
      <c r="I136" s="1072"/>
    </row>
    <row r="137" spans="2:9" x14ac:dyDescent="0.2">
      <c r="B137" s="1071" t="s">
        <v>92</v>
      </c>
      <c r="C137" s="1071" t="s">
        <v>306</v>
      </c>
      <c r="D137" s="1071" t="s">
        <v>307</v>
      </c>
      <c r="E137" s="1071" t="s">
        <v>95</v>
      </c>
      <c r="F137" s="1071" t="s">
        <v>209</v>
      </c>
      <c r="G137" s="1071" t="s">
        <v>1501</v>
      </c>
      <c r="H137" s="1071"/>
      <c r="I137" s="1072"/>
    </row>
    <row r="138" spans="2:9" x14ac:dyDescent="0.2">
      <c r="B138" s="1071" t="s">
        <v>105</v>
      </c>
      <c r="C138" s="1071" t="s">
        <v>308</v>
      </c>
      <c r="D138" s="1071" t="s">
        <v>309</v>
      </c>
      <c r="E138" s="1071" t="s">
        <v>95</v>
      </c>
      <c r="F138" s="1071" t="s">
        <v>209</v>
      </c>
      <c r="G138" s="1071" t="s">
        <v>1501</v>
      </c>
      <c r="H138" s="1071"/>
      <c r="I138" s="1072"/>
    </row>
    <row r="139" spans="2:9" x14ac:dyDescent="0.2">
      <c r="B139" s="1071" t="s">
        <v>92</v>
      </c>
      <c r="C139" s="1071" t="s">
        <v>310</v>
      </c>
      <c r="D139" s="1071" t="s">
        <v>311</v>
      </c>
      <c r="E139" s="1071" t="s">
        <v>95</v>
      </c>
      <c r="F139" s="1071" t="s">
        <v>209</v>
      </c>
      <c r="G139" s="1071" t="s">
        <v>1501</v>
      </c>
      <c r="H139" s="1071"/>
      <c r="I139" s="1072"/>
    </row>
    <row r="140" spans="2:9" x14ac:dyDescent="0.2">
      <c r="B140" s="1071" t="s">
        <v>105</v>
      </c>
      <c r="C140" s="1071" t="s">
        <v>312</v>
      </c>
      <c r="D140" s="1071" t="s">
        <v>313</v>
      </c>
      <c r="E140" s="1071" t="s">
        <v>95</v>
      </c>
      <c r="F140" s="1071" t="s">
        <v>209</v>
      </c>
      <c r="G140" s="1071" t="s">
        <v>1501</v>
      </c>
      <c r="H140" s="1071"/>
      <c r="I140" s="1072"/>
    </row>
    <row r="141" spans="2:9" x14ac:dyDescent="0.2">
      <c r="B141" s="1071" t="s">
        <v>105</v>
      </c>
      <c r="C141" s="1071" t="s">
        <v>314</v>
      </c>
      <c r="D141" s="1071" t="s">
        <v>315</v>
      </c>
      <c r="E141" s="1071" t="s">
        <v>95</v>
      </c>
      <c r="F141" s="1071" t="s">
        <v>209</v>
      </c>
      <c r="G141" s="1071" t="s">
        <v>1501</v>
      </c>
      <c r="H141" s="1071"/>
      <c r="I141" s="1072"/>
    </row>
    <row r="142" spans="2:9" x14ac:dyDescent="0.2">
      <c r="B142" s="1071" t="s">
        <v>105</v>
      </c>
      <c r="C142" s="1071" t="s">
        <v>316</v>
      </c>
      <c r="D142" s="1071" t="s">
        <v>317</v>
      </c>
      <c r="E142" s="1071" t="s">
        <v>95</v>
      </c>
      <c r="F142" s="1071" t="s">
        <v>209</v>
      </c>
      <c r="G142" s="1071" t="s">
        <v>1501</v>
      </c>
      <c r="H142" s="1071"/>
      <c r="I142" s="1072"/>
    </row>
    <row r="143" spans="2:9" x14ac:dyDescent="0.2">
      <c r="B143" s="1071" t="s">
        <v>92</v>
      </c>
      <c r="C143" s="1071" t="s">
        <v>318</v>
      </c>
      <c r="D143" s="1071" t="s">
        <v>319</v>
      </c>
      <c r="E143" s="1071" t="s">
        <v>95</v>
      </c>
      <c r="F143" s="1071" t="s">
        <v>209</v>
      </c>
      <c r="G143" s="1071" t="s">
        <v>1501</v>
      </c>
      <c r="H143" s="1071"/>
      <c r="I143" s="1072"/>
    </row>
    <row r="144" spans="2:9" x14ac:dyDescent="0.2">
      <c r="B144" s="1071" t="s">
        <v>105</v>
      </c>
      <c r="C144" s="1071" t="s">
        <v>320</v>
      </c>
      <c r="D144" s="1071" t="s">
        <v>319</v>
      </c>
      <c r="E144" s="1071" t="s">
        <v>95</v>
      </c>
      <c r="F144" s="1071" t="s">
        <v>209</v>
      </c>
      <c r="G144" s="1071" t="s">
        <v>1501</v>
      </c>
      <c r="H144" s="1071"/>
      <c r="I144" s="1072"/>
    </row>
    <row r="145" spans="2:9" x14ac:dyDescent="0.2">
      <c r="B145" s="1071" t="s">
        <v>92</v>
      </c>
      <c r="C145" s="1071" t="s">
        <v>321</v>
      </c>
      <c r="D145" s="1071" t="s">
        <v>322</v>
      </c>
      <c r="E145" s="1071" t="s">
        <v>95</v>
      </c>
      <c r="F145" s="1071" t="s">
        <v>209</v>
      </c>
      <c r="G145" s="1071" t="s">
        <v>1501</v>
      </c>
      <c r="H145" s="1071"/>
      <c r="I145" s="1072"/>
    </row>
    <row r="146" spans="2:9" x14ac:dyDescent="0.2">
      <c r="B146" s="1071" t="s">
        <v>92</v>
      </c>
      <c r="C146" s="1071" t="s">
        <v>323</v>
      </c>
      <c r="D146" s="1071" t="s">
        <v>324</v>
      </c>
      <c r="E146" s="1071" t="s">
        <v>95</v>
      </c>
      <c r="F146" s="1071" t="s">
        <v>209</v>
      </c>
      <c r="G146" s="1071" t="s">
        <v>1501</v>
      </c>
      <c r="H146" s="1071"/>
      <c r="I146" s="1072"/>
    </row>
    <row r="147" spans="2:9" x14ac:dyDescent="0.2">
      <c r="B147" s="1071" t="s">
        <v>92</v>
      </c>
      <c r="C147" s="1071" t="s">
        <v>325</v>
      </c>
      <c r="D147" s="1071" t="s">
        <v>326</v>
      </c>
      <c r="E147" s="1071" t="s">
        <v>95</v>
      </c>
      <c r="F147" s="1071" t="s">
        <v>209</v>
      </c>
      <c r="G147" s="1071" t="s">
        <v>1501</v>
      </c>
      <c r="H147" s="1071"/>
      <c r="I147" s="1072"/>
    </row>
    <row r="148" spans="2:9" x14ac:dyDescent="0.2">
      <c r="B148" s="1071" t="s">
        <v>92</v>
      </c>
      <c r="C148" s="1071" t="s">
        <v>327</v>
      </c>
      <c r="D148" s="1071" t="s">
        <v>328</v>
      </c>
      <c r="E148" s="1071" t="s">
        <v>95</v>
      </c>
      <c r="F148" s="1071" t="s">
        <v>209</v>
      </c>
      <c r="G148" s="1071" t="s">
        <v>1501</v>
      </c>
      <c r="H148" s="1071"/>
      <c r="I148" s="1072"/>
    </row>
    <row r="149" spans="2:9" x14ac:dyDescent="0.2">
      <c r="B149" s="1071" t="s">
        <v>92</v>
      </c>
      <c r="C149" s="1071" t="s">
        <v>329</v>
      </c>
      <c r="D149" s="1071" t="s">
        <v>330</v>
      </c>
      <c r="E149" s="1071" t="s">
        <v>95</v>
      </c>
      <c r="F149" s="1071" t="s">
        <v>209</v>
      </c>
      <c r="G149" s="1071" t="s">
        <v>1501</v>
      </c>
      <c r="H149" s="1071"/>
      <c r="I149" s="1072"/>
    </row>
    <row r="150" spans="2:9" x14ac:dyDescent="0.2">
      <c r="B150" s="1071" t="s">
        <v>105</v>
      </c>
      <c r="C150" s="1071" t="s">
        <v>320</v>
      </c>
      <c r="D150" s="1071" t="s">
        <v>319</v>
      </c>
      <c r="E150" s="1071" t="s">
        <v>95</v>
      </c>
      <c r="F150" s="1071" t="s">
        <v>209</v>
      </c>
      <c r="G150" s="1071" t="s">
        <v>1501</v>
      </c>
      <c r="H150" s="1071"/>
      <c r="I150" s="1072"/>
    </row>
    <row r="151" spans="2:9" x14ac:dyDescent="0.2">
      <c r="B151" s="1071" t="s">
        <v>105</v>
      </c>
      <c r="C151" s="1071" t="s">
        <v>331</v>
      </c>
      <c r="D151" s="1071" t="s">
        <v>322</v>
      </c>
      <c r="E151" s="1071" t="s">
        <v>95</v>
      </c>
      <c r="F151" s="1071" t="s">
        <v>209</v>
      </c>
      <c r="G151" s="1071" t="s">
        <v>1501</v>
      </c>
      <c r="H151" s="1071"/>
      <c r="I151" s="1072"/>
    </row>
    <row r="152" spans="2:9" x14ac:dyDescent="0.2">
      <c r="B152" s="1071" t="s">
        <v>105</v>
      </c>
      <c r="C152" s="1071" t="s">
        <v>332</v>
      </c>
      <c r="D152" s="1071" t="s">
        <v>324</v>
      </c>
      <c r="E152" s="1071" t="s">
        <v>95</v>
      </c>
      <c r="F152" s="1071" t="s">
        <v>209</v>
      </c>
      <c r="G152" s="1071" t="s">
        <v>1501</v>
      </c>
      <c r="H152" s="1071"/>
      <c r="I152" s="1072"/>
    </row>
    <row r="153" spans="2:9" x14ac:dyDescent="0.2">
      <c r="B153" s="1071" t="s">
        <v>105</v>
      </c>
      <c r="C153" s="1071" t="s">
        <v>333</v>
      </c>
      <c r="D153" s="1071" t="s">
        <v>326</v>
      </c>
      <c r="E153" s="1071" t="s">
        <v>95</v>
      </c>
      <c r="F153" s="1071" t="s">
        <v>209</v>
      </c>
      <c r="G153" s="1071" t="s">
        <v>1501</v>
      </c>
      <c r="H153" s="1071"/>
      <c r="I153" s="1072"/>
    </row>
    <row r="154" spans="2:9" x14ac:dyDescent="0.2">
      <c r="B154" s="1071" t="s">
        <v>105</v>
      </c>
      <c r="C154" s="1071" t="s">
        <v>334</v>
      </c>
      <c r="D154" s="1071" t="s">
        <v>328</v>
      </c>
      <c r="E154" s="1071" t="s">
        <v>95</v>
      </c>
      <c r="F154" s="1071" t="s">
        <v>209</v>
      </c>
      <c r="G154" s="1071" t="s">
        <v>1501</v>
      </c>
      <c r="H154" s="1071"/>
      <c r="I154" s="1072"/>
    </row>
    <row r="155" spans="2:9" x14ac:dyDescent="0.2">
      <c r="B155" s="1071" t="s">
        <v>105</v>
      </c>
      <c r="C155" s="1071" t="s">
        <v>335</v>
      </c>
      <c r="D155" s="1071" t="s">
        <v>330</v>
      </c>
      <c r="E155" s="1071" t="s">
        <v>95</v>
      </c>
      <c r="F155" s="1071" t="s">
        <v>209</v>
      </c>
      <c r="G155" s="1071" t="s">
        <v>1501</v>
      </c>
      <c r="H155" s="1071"/>
      <c r="I155" s="1072"/>
    </row>
    <row r="156" spans="2:9" x14ac:dyDescent="0.2">
      <c r="B156" s="1071" t="s">
        <v>105</v>
      </c>
      <c r="C156" s="1071" t="s">
        <v>336</v>
      </c>
      <c r="D156" s="1071" t="s">
        <v>337</v>
      </c>
      <c r="E156" s="1071" t="s">
        <v>95</v>
      </c>
      <c r="F156" s="1071" t="s">
        <v>209</v>
      </c>
      <c r="G156" s="1071" t="s">
        <v>1501</v>
      </c>
      <c r="H156" s="1071"/>
      <c r="I156" s="1072"/>
    </row>
    <row r="157" spans="2:9" x14ac:dyDescent="0.2">
      <c r="B157" s="1071" t="s">
        <v>105</v>
      </c>
      <c r="C157" s="1071" t="s">
        <v>338</v>
      </c>
      <c r="D157" s="1071" t="s">
        <v>339</v>
      </c>
      <c r="E157" s="1071" t="s">
        <v>95</v>
      </c>
      <c r="F157" s="1071" t="s">
        <v>209</v>
      </c>
      <c r="G157" s="1071" t="s">
        <v>1501</v>
      </c>
      <c r="H157" s="1071"/>
      <c r="I157" s="1072"/>
    </row>
    <row r="158" spans="2:9" x14ac:dyDescent="0.2">
      <c r="B158" s="1071" t="s">
        <v>105</v>
      </c>
      <c r="C158" s="1071" t="s">
        <v>340</v>
      </c>
      <c r="D158" s="1071" t="s">
        <v>341</v>
      </c>
      <c r="E158" s="1071" t="s">
        <v>95</v>
      </c>
      <c r="F158" s="1071" t="s">
        <v>209</v>
      </c>
      <c r="G158" s="1071" t="s">
        <v>1501</v>
      </c>
      <c r="H158" s="1071"/>
      <c r="I158" s="1072"/>
    </row>
    <row r="159" spans="2:9" x14ac:dyDescent="0.2">
      <c r="B159" s="1071" t="s">
        <v>105</v>
      </c>
      <c r="C159" s="1071" t="s">
        <v>342</v>
      </c>
      <c r="D159" s="1071" t="s">
        <v>343</v>
      </c>
      <c r="E159" s="1071" t="s">
        <v>95</v>
      </c>
      <c r="F159" s="1071" t="s">
        <v>209</v>
      </c>
      <c r="G159" s="1071" t="s">
        <v>1501</v>
      </c>
      <c r="H159" s="1071"/>
      <c r="I159" s="1072"/>
    </row>
    <row r="160" spans="2:9" x14ac:dyDescent="0.2">
      <c r="B160" s="1071" t="s">
        <v>105</v>
      </c>
      <c r="C160" s="1071" t="s">
        <v>344</v>
      </c>
      <c r="D160" s="1071" t="s">
        <v>345</v>
      </c>
      <c r="E160" s="1071" t="s">
        <v>95</v>
      </c>
      <c r="F160" s="1071" t="s">
        <v>209</v>
      </c>
      <c r="G160" s="1071" t="s">
        <v>1501</v>
      </c>
      <c r="H160" s="1071"/>
      <c r="I160" s="1072"/>
    </row>
    <row r="161" spans="2:9" x14ac:dyDescent="0.2">
      <c r="B161" s="1071" t="s">
        <v>92</v>
      </c>
      <c r="C161" s="1071" t="s">
        <v>346</v>
      </c>
      <c r="D161" s="1071" t="s">
        <v>347</v>
      </c>
      <c r="E161" s="1071" t="s">
        <v>95</v>
      </c>
      <c r="F161" s="1071" t="s">
        <v>209</v>
      </c>
      <c r="G161" s="1071" t="s">
        <v>1501</v>
      </c>
      <c r="H161" s="1071"/>
      <c r="I161" s="1072"/>
    </row>
    <row r="162" spans="2:9" x14ac:dyDescent="0.2">
      <c r="B162" s="1071" t="s">
        <v>92</v>
      </c>
      <c r="C162" s="1071" t="s">
        <v>348</v>
      </c>
      <c r="D162" s="1071" t="s">
        <v>349</v>
      </c>
      <c r="E162" s="1071" t="s">
        <v>95</v>
      </c>
      <c r="F162" s="1071" t="s">
        <v>209</v>
      </c>
      <c r="G162" s="1071" t="s">
        <v>1501</v>
      </c>
      <c r="H162" s="1071"/>
      <c r="I162" s="1072"/>
    </row>
    <row r="163" spans="2:9" x14ac:dyDescent="0.2">
      <c r="B163" s="1071" t="s">
        <v>105</v>
      </c>
      <c r="C163" s="1071" t="s">
        <v>350</v>
      </c>
      <c r="D163" s="1071" t="s">
        <v>349</v>
      </c>
      <c r="E163" s="1071" t="s">
        <v>95</v>
      </c>
      <c r="F163" s="1071" t="s">
        <v>209</v>
      </c>
      <c r="G163" s="1071" t="s">
        <v>1501</v>
      </c>
      <c r="H163" s="1071"/>
      <c r="I163" s="1072"/>
    </row>
    <row r="164" spans="2:9" x14ac:dyDescent="0.2">
      <c r="B164" s="1071" t="s">
        <v>92</v>
      </c>
      <c r="C164" s="1071" t="s">
        <v>351</v>
      </c>
      <c r="D164" s="1071" t="s">
        <v>352</v>
      </c>
      <c r="E164" s="1071" t="s">
        <v>95</v>
      </c>
      <c r="F164" s="1071" t="s">
        <v>209</v>
      </c>
      <c r="G164" s="1071" t="s">
        <v>1501</v>
      </c>
      <c r="H164" s="1071"/>
      <c r="I164" s="1072"/>
    </row>
    <row r="165" spans="2:9" x14ac:dyDescent="0.2">
      <c r="B165" s="1071" t="s">
        <v>92</v>
      </c>
      <c r="C165" s="1071" t="s">
        <v>353</v>
      </c>
      <c r="D165" s="1071" t="s">
        <v>352</v>
      </c>
      <c r="E165" s="1071" t="s">
        <v>95</v>
      </c>
      <c r="F165" s="1071" t="s">
        <v>209</v>
      </c>
      <c r="G165" s="1071" t="s">
        <v>1501</v>
      </c>
      <c r="H165" s="1071"/>
      <c r="I165" s="1072"/>
    </row>
    <row r="166" spans="2:9" x14ac:dyDescent="0.2">
      <c r="B166" s="1071" t="s">
        <v>92</v>
      </c>
      <c r="C166" s="1071" t="s">
        <v>354</v>
      </c>
      <c r="D166" s="1071" t="s">
        <v>355</v>
      </c>
      <c r="E166" s="1071" t="s">
        <v>95</v>
      </c>
      <c r="F166" s="1071" t="s">
        <v>209</v>
      </c>
      <c r="G166" s="1071" t="s">
        <v>1501</v>
      </c>
      <c r="H166" s="1071"/>
      <c r="I166" s="1072"/>
    </row>
    <row r="167" spans="2:9" x14ac:dyDescent="0.2">
      <c r="B167" s="1071" t="s">
        <v>105</v>
      </c>
      <c r="C167" s="1071" t="s">
        <v>356</v>
      </c>
      <c r="D167" s="1071" t="s">
        <v>355</v>
      </c>
      <c r="E167" s="1071" t="s">
        <v>95</v>
      </c>
      <c r="F167" s="1071" t="s">
        <v>209</v>
      </c>
      <c r="G167" s="1071" t="s">
        <v>1501</v>
      </c>
      <c r="H167" s="1071"/>
      <c r="I167" s="1072"/>
    </row>
    <row r="168" spans="2:9" x14ac:dyDescent="0.2">
      <c r="B168" s="1071" t="s">
        <v>105</v>
      </c>
      <c r="C168" s="1071" t="s">
        <v>357</v>
      </c>
      <c r="D168" s="1071" t="s">
        <v>358</v>
      </c>
      <c r="E168" s="1071" t="s">
        <v>95</v>
      </c>
      <c r="F168" s="1071" t="s">
        <v>209</v>
      </c>
      <c r="G168" s="1071" t="s">
        <v>1501</v>
      </c>
      <c r="H168" s="1071"/>
      <c r="I168" s="1072"/>
    </row>
    <row r="169" spans="2:9" x14ac:dyDescent="0.2">
      <c r="B169" s="1071" t="s">
        <v>105</v>
      </c>
      <c r="C169" s="1071" t="s">
        <v>359</v>
      </c>
      <c r="D169" s="1071" t="s">
        <v>360</v>
      </c>
      <c r="E169" s="1071" t="s">
        <v>95</v>
      </c>
      <c r="F169" s="1071" t="s">
        <v>209</v>
      </c>
      <c r="G169" s="1071" t="s">
        <v>1501</v>
      </c>
      <c r="H169" s="1071"/>
      <c r="I169" s="1072"/>
    </row>
    <row r="170" spans="2:9" x14ac:dyDescent="0.2">
      <c r="B170" s="1071" t="s">
        <v>105</v>
      </c>
      <c r="C170" s="1071" t="s">
        <v>361</v>
      </c>
      <c r="D170" s="1071" t="s">
        <v>362</v>
      </c>
      <c r="E170" s="1071" t="s">
        <v>95</v>
      </c>
      <c r="F170" s="1071" t="s">
        <v>209</v>
      </c>
      <c r="G170" s="1071" t="s">
        <v>1501</v>
      </c>
      <c r="H170" s="1071"/>
      <c r="I170" s="1072"/>
    </row>
    <row r="171" spans="2:9" x14ac:dyDescent="0.2">
      <c r="B171" s="1071" t="s">
        <v>105</v>
      </c>
      <c r="C171" s="1071" t="s">
        <v>363</v>
      </c>
      <c r="D171" s="1071" t="s">
        <v>364</v>
      </c>
      <c r="E171" s="1071" t="s">
        <v>95</v>
      </c>
      <c r="F171" s="1071" t="s">
        <v>209</v>
      </c>
      <c r="G171" s="1071" t="s">
        <v>1501</v>
      </c>
      <c r="H171" s="1071"/>
      <c r="I171" s="1072"/>
    </row>
    <row r="172" spans="2:9" x14ac:dyDescent="0.2">
      <c r="B172" s="1071" t="s">
        <v>105</v>
      </c>
      <c r="C172" s="1071" t="s">
        <v>365</v>
      </c>
      <c r="D172" s="1071" t="s">
        <v>366</v>
      </c>
      <c r="E172" s="1071" t="s">
        <v>95</v>
      </c>
      <c r="F172" s="1071" t="s">
        <v>209</v>
      </c>
      <c r="G172" s="1071" t="s">
        <v>1501</v>
      </c>
      <c r="H172" s="1071"/>
      <c r="I172" s="1072"/>
    </row>
    <row r="173" spans="2:9" x14ac:dyDescent="0.2">
      <c r="B173" s="1071" t="s">
        <v>105</v>
      </c>
      <c r="C173" s="1071" t="s">
        <v>367</v>
      </c>
      <c r="D173" s="1071" t="s">
        <v>368</v>
      </c>
      <c r="E173" s="1071" t="s">
        <v>95</v>
      </c>
      <c r="F173" s="1071" t="s">
        <v>209</v>
      </c>
      <c r="G173" s="1071" t="s">
        <v>1501</v>
      </c>
      <c r="H173" s="1071"/>
      <c r="I173" s="1072"/>
    </row>
    <row r="174" spans="2:9" x14ac:dyDescent="0.2">
      <c r="B174" s="1071" t="s">
        <v>105</v>
      </c>
      <c r="C174" s="1071" t="s">
        <v>369</v>
      </c>
      <c r="D174" s="1071" t="s">
        <v>370</v>
      </c>
      <c r="E174" s="1071" t="s">
        <v>95</v>
      </c>
      <c r="F174" s="1071" t="s">
        <v>209</v>
      </c>
      <c r="G174" s="1071" t="s">
        <v>1501</v>
      </c>
      <c r="H174" s="1071"/>
      <c r="I174" s="1072"/>
    </row>
    <row r="175" spans="2:9" x14ac:dyDescent="0.2">
      <c r="B175" s="1071" t="s">
        <v>105</v>
      </c>
      <c r="C175" s="1071" t="s">
        <v>371</v>
      </c>
      <c r="D175" s="1071" t="s">
        <v>372</v>
      </c>
      <c r="E175" s="1071" t="s">
        <v>95</v>
      </c>
      <c r="F175" s="1071" t="s">
        <v>209</v>
      </c>
      <c r="G175" s="1071" t="s">
        <v>1501</v>
      </c>
      <c r="H175" s="1071"/>
      <c r="I175" s="1072"/>
    </row>
    <row r="176" spans="2:9" x14ac:dyDescent="0.2">
      <c r="B176" s="1071" t="s">
        <v>105</v>
      </c>
      <c r="C176" s="1071" t="s">
        <v>373</v>
      </c>
      <c r="D176" s="1071" t="s">
        <v>374</v>
      </c>
      <c r="E176" s="1071" t="s">
        <v>95</v>
      </c>
      <c r="F176" s="1071" t="s">
        <v>209</v>
      </c>
      <c r="G176" s="1071" t="s">
        <v>1501</v>
      </c>
      <c r="H176" s="1071"/>
      <c r="I176" s="1072"/>
    </row>
    <row r="177" spans="2:9" x14ac:dyDescent="0.2">
      <c r="B177" s="1071" t="s">
        <v>105</v>
      </c>
      <c r="C177" s="1071" t="s">
        <v>375</v>
      </c>
      <c r="D177" s="1071" t="s">
        <v>376</v>
      </c>
      <c r="E177" s="1071" t="s">
        <v>95</v>
      </c>
      <c r="F177" s="1071" t="s">
        <v>209</v>
      </c>
      <c r="G177" s="1071" t="s">
        <v>1501</v>
      </c>
      <c r="H177" s="1071"/>
      <c r="I177" s="1072"/>
    </row>
    <row r="178" spans="2:9" x14ac:dyDescent="0.2">
      <c r="B178" s="1071" t="s">
        <v>105</v>
      </c>
      <c r="C178" s="1071" t="s">
        <v>377</v>
      </c>
      <c r="D178" s="1071" t="s">
        <v>378</v>
      </c>
      <c r="E178" s="1071" t="s">
        <v>95</v>
      </c>
      <c r="F178" s="1071" t="s">
        <v>209</v>
      </c>
      <c r="G178" s="1071" t="s">
        <v>1501</v>
      </c>
      <c r="H178" s="1071"/>
      <c r="I178" s="1072"/>
    </row>
    <row r="179" spans="2:9" x14ac:dyDescent="0.2">
      <c r="B179" s="1071" t="s">
        <v>105</v>
      </c>
      <c r="C179" s="1071" t="s">
        <v>379</v>
      </c>
      <c r="D179" s="1071" t="s">
        <v>380</v>
      </c>
      <c r="E179" s="1071" t="s">
        <v>95</v>
      </c>
      <c r="F179" s="1071" t="s">
        <v>209</v>
      </c>
      <c r="G179" s="1071" t="s">
        <v>1501</v>
      </c>
      <c r="H179" s="1071"/>
      <c r="I179" s="1072"/>
    </row>
    <row r="180" spans="2:9" x14ac:dyDescent="0.2">
      <c r="B180" s="1071" t="s">
        <v>105</v>
      </c>
      <c r="C180" s="1071" t="s">
        <v>381</v>
      </c>
      <c r="D180" s="1071" t="s">
        <v>382</v>
      </c>
      <c r="E180" s="1071" t="s">
        <v>95</v>
      </c>
      <c r="F180" s="1071" t="s">
        <v>209</v>
      </c>
      <c r="G180" s="1071" t="s">
        <v>1501</v>
      </c>
      <c r="H180" s="1071"/>
      <c r="I180" s="1072"/>
    </row>
    <row r="181" spans="2:9" x14ac:dyDescent="0.2">
      <c r="B181" s="1071" t="s">
        <v>105</v>
      </c>
      <c r="C181" s="1071" t="s">
        <v>383</v>
      </c>
      <c r="D181" s="1071" t="s">
        <v>384</v>
      </c>
      <c r="E181" s="1071" t="s">
        <v>95</v>
      </c>
      <c r="F181" s="1071" t="s">
        <v>209</v>
      </c>
      <c r="G181" s="1071" t="s">
        <v>1501</v>
      </c>
      <c r="H181" s="1071"/>
      <c r="I181" s="1072"/>
    </row>
    <row r="182" spans="2:9" x14ac:dyDescent="0.2">
      <c r="B182" s="1071" t="s">
        <v>105</v>
      </c>
      <c r="C182" s="1071" t="s">
        <v>385</v>
      </c>
      <c r="D182" s="1071" t="s">
        <v>386</v>
      </c>
      <c r="E182" s="1071" t="s">
        <v>95</v>
      </c>
      <c r="F182" s="1071" t="s">
        <v>209</v>
      </c>
      <c r="G182" s="1071" t="s">
        <v>1501</v>
      </c>
      <c r="H182" s="1071"/>
      <c r="I182" s="1072"/>
    </row>
    <row r="183" spans="2:9" x14ac:dyDescent="0.2">
      <c r="B183" s="1071" t="s">
        <v>105</v>
      </c>
      <c r="C183" s="1071" t="s">
        <v>387</v>
      </c>
      <c r="D183" s="1071" t="s">
        <v>388</v>
      </c>
      <c r="E183" s="1071" t="s">
        <v>95</v>
      </c>
      <c r="F183" s="1071" t="s">
        <v>209</v>
      </c>
      <c r="G183" s="1071" t="s">
        <v>1501</v>
      </c>
      <c r="H183" s="1071"/>
      <c r="I183" s="1072"/>
    </row>
    <row r="184" spans="2:9" x14ac:dyDescent="0.2">
      <c r="B184" s="1071" t="s">
        <v>105</v>
      </c>
      <c r="C184" s="1071" t="s">
        <v>389</v>
      </c>
      <c r="D184" s="1071" t="s">
        <v>390</v>
      </c>
      <c r="E184" s="1071" t="s">
        <v>95</v>
      </c>
      <c r="F184" s="1071" t="s">
        <v>209</v>
      </c>
      <c r="G184" s="1071" t="s">
        <v>1501</v>
      </c>
      <c r="H184" s="1071"/>
      <c r="I184" s="1072"/>
    </row>
    <row r="185" spans="2:9" x14ac:dyDescent="0.2">
      <c r="B185" s="1071" t="s">
        <v>105</v>
      </c>
      <c r="C185" s="1071" t="s">
        <v>391</v>
      </c>
      <c r="D185" s="1071" t="s">
        <v>392</v>
      </c>
      <c r="E185" s="1071" t="s">
        <v>95</v>
      </c>
      <c r="F185" s="1071" t="s">
        <v>209</v>
      </c>
      <c r="G185" s="1071" t="s">
        <v>1501</v>
      </c>
      <c r="H185" s="1071"/>
      <c r="I185" s="1072"/>
    </row>
    <row r="186" spans="2:9" x14ac:dyDescent="0.2">
      <c r="B186" s="1071" t="s">
        <v>105</v>
      </c>
      <c r="C186" s="1071" t="s">
        <v>393</v>
      </c>
      <c r="D186" s="1071" t="s">
        <v>394</v>
      </c>
      <c r="E186" s="1071" t="s">
        <v>95</v>
      </c>
      <c r="F186" s="1071" t="s">
        <v>209</v>
      </c>
      <c r="G186" s="1071" t="s">
        <v>1501</v>
      </c>
      <c r="H186" s="1071"/>
      <c r="I186" s="1072"/>
    </row>
    <row r="187" spans="2:9" x14ac:dyDescent="0.2">
      <c r="B187" s="1071" t="s">
        <v>105</v>
      </c>
      <c r="C187" s="1071" t="s">
        <v>395</v>
      </c>
      <c r="D187" s="1071" t="s">
        <v>396</v>
      </c>
      <c r="E187" s="1071" t="s">
        <v>95</v>
      </c>
      <c r="F187" s="1071" t="s">
        <v>209</v>
      </c>
      <c r="G187" s="1071" t="s">
        <v>1501</v>
      </c>
      <c r="H187" s="1071"/>
      <c r="I187" s="1072"/>
    </row>
    <row r="188" spans="2:9" x14ac:dyDescent="0.2">
      <c r="B188" s="1071" t="s">
        <v>105</v>
      </c>
      <c r="C188" s="1071" t="s">
        <v>397</v>
      </c>
      <c r="D188" s="1071" t="s">
        <v>398</v>
      </c>
      <c r="E188" s="1071" t="s">
        <v>95</v>
      </c>
      <c r="F188" s="1071" t="s">
        <v>209</v>
      </c>
      <c r="G188" s="1071" t="s">
        <v>1501</v>
      </c>
      <c r="H188" s="1071"/>
      <c r="I188" s="1072"/>
    </row>
    <row r="189" spans="2:9" x14ac:dyDescent="0.2">
      <c r="B189" s="1071" t="s">
        <v>105</v>
      </c>
      <c r="C189" s="1071" t="s">
        <v>399</v>
      </c>
      <c r="D189" s="1071" t="s">
        <v>400</v>
      </c>
      <c r="E189" s="1071" t="s">
        <v>95</v>
      </c>
      <c r="F189" s="1071" t="s">
        <v>209</v>
      </c>
      <c r="G189" s="1071" t="s">
        <v>1501</v>
      </c>
      <c r="H189" s="1071"/>
      <c r="I189" s="1072"/>
    </row>
    <row r="190" spans="2:9" x14ac:dyDescent="0.2">
      <c r="B190" s="1071" t="s">
        <v>105</v>
      </c>
      <c r="C190" s="1071" t="s">
        <v>401</v>
      </c>
      <c r="D190" s="1071" t="s">
        <v>402</v>
      </c>
      <c r="E190" s="1071" t="s">
        <v>95</v>
      </c>
      <c r="F190" s="1071" t="s">
        <v>209</v>
      </c>
      <c r="G190" s="1071" t="s">
        <v>1501</v>
      </c>
      <c r="H190" s="1071"/>
      <c r="I190" s="1072"/>
    </row>
    <row r="191" spans="2:9" x14ac:dyDescent="0.2">
      <c r="B191" s="1071" t="s">
        <v>92</v>
      </c>
      <c r="C191" s="1071" t="s">
        <v>403</v>
      </c>
      <c r="D191" s="1071" t="s">
        <v>404</v>
      </c>
      <c r="E191" s="1071" t="s">
        <v>91</v>
      </c>
      <c r="F191" s="1071" t="s">
        <v>196</v>
      </c>
      <c r="G191" s="1071" t="s">
        <v>1501</v>
      </c>
      <c r="H191" s="1071"/>
      <c r="I191" s="1072"/>
    </row>
    <row r="192" spans="2:9" x14ac:dyDescent="0.2">
      <c r="B192" s="1071" t="s">
        <v>92</v>
      </c>
      <c r="C192" s="1071" t="s">
        <v>405</v>
      </c>
      <c r="D192" s="1071" t="s">
        <v>406</v>
      </c>
      <c r="E192" s="1071" t="s">
        <v>91</v>
      </c>
      <c r="F192" s="1071" t="s">
        <v>196</v>
      </c>
      <c r="G192" s="1071" t="s">
        <v>1501</v>
      </c>
      <c r="H192" s="1071"/>
      <c r="I192" s="1072"/>
    </row>
    <row r="193" spans="2:9" x14ac:dyDescent="0.2">
      <c r="B193" s="1071" t="s">
        <v>92</v>
      </c>
      <c r="C193" s="1071" t="s">
        <v>407</v>
      </c>
      <c r="D193" s="1071" t="s">
        <v>408</v>
      </c>
      <c r="E193" s="1071" t="s">
        <v>91</v>
      </c>
      <c r="F193" s="1071" t="s">
        <v>196</v>
      </c>
      <c r="G193" s="1071" t="s">
        <v>1501</v>
      </c>
      <c r="H193" s="1071"/>
      <c r="I193" s="1072"/>
    </row>
    <row r="194" spans="2:9" x14ac:dyDescent="0.2">
      <c r="B194" s="1071" t="s">
        <v>105</v>
      </c>
      <c r="C194" s="1071" t="s">
        <v>409</v>
      </c>
      <c r="D194" s="1071" t="s">
        <v>410</v>
      </c>
      <c r="E194" s="1071" t="s">
        <v>91</v>
      </c>
      <c r="F194" s="1071" t="s">
        <v>196</v>
      </c>
      <c r="G194" s="1071" t="s">
        <v>1501</v>
      </c>
      <c r="H194" s="1071"/>
      <c r="I194" s="1072"/>
    </row>
    <row r="195" spans="2:9" x14ac:dyDescent="0.2">
      <c r="B195" s="1071" t="s">
        <v>105</v>
      </c>
      <c r="C195" s="1071" t="s">
        <v>411</v>
      </c>
      <c r="D195" s="1071" t="s">
        <v>412</v>
      </c>
      <c r="E195" s="1071" t="s">
        <v>104</v>
      </c>
      <c r="F195" s="1071" t="s">
        <v>413</v>
      </c>
      <c r="G195" s="1071" t="s">
        <v>1501</v>
      </c>
      <c r="H195" s="1071"/>
      <c r="I195" s="1072"/>
    </row>
    <row r="196" spans="2:9" x14ac:dyDescent="0.2">
      <c r="B196" s="1071" t="s">
        <v>105</v>
      </c>
      <c r="C196" s="1071" t="s">
        <v>414</v>
      </c>
      <c r="D196" s="1071" t="s">
        <v>415</v>
      </c>
      <c r="E196" s="1071" t="s">
        <v>95</v>
      </c>
      <c r="F196" s="1071" t="s">
        <v>209</v>
      </c>
      <c r="G196" s="1071" t="s">
        <v>1501</v>
      </c>
      <c r="H196" s="1071"/>
      <c r="I196" s="1072"/>
    </row>
    <row r="197" spans="2:9" x14ac:dyDescent="0.2">
      <c r="B197" s="1071" t="s">
        <v>105</v>
      </c>
      <c r="C197" s="1071" t="s">
        <v>416</v>
      </c>
      <c r="D197" s="1071" t="s">
        <v>417</v>
      </c>
      <c r="E197" s="1071" t="s">
        <v>104</v>
      </c>
      <c r="F197" s="1071" t="s">
        <v>413</v>
      </c>
      <c r="G197" s="1071" t="s">
        <v>1501</v>
      </c>
      <c r="H197" s="1071"/>
      <c r="I197" s="1072"/>
    </row>
    <row r="198" spans="2:9" x14ac:dyDescent="0.2">
      <c r="B198" s="1071" t="s">
        <v>105</v>
      </c>
      <c r="C198" s="1071" t="s">
        <v>418</v>
      </c>
      <c r="D198" s="1071" t="s">
        <v>419</v>
      </c>
      <c r="E198" s="1071" t="s">
        <v>95</v>
      </c>
      <c r="F198" s="1071" t="s">
        <v>209</v>
      </c>
      <c r="G198" s="1071" t="s">
        <v>1501</v>
      </c>
      <c r="H198" s="1071"/>
      <c r="I198" s="1072"/>
    </row>
    <row r="199" spans="2:9" x14ac:dyDescent="0.2">
      <c r="B199" s="1071" t="s">
        <v>105</v>
      </c>
      <c r="C199" s="1071" t="s">
        <v>420</v>
      </c>
      <c r="D199" s="1071" t="s">
        <v>421</v>
      </c>
      <c r="E199" s="1071" t="s">
        <v>104</v>
      </c>
      <c r="F199" s="1071" t="s">
        <v>413</v>
      </c>
      <c r="G199" s="1071" t="s">
        <v>1501</v>
      </c>
      <c r="H199" s="1071"/>
      <c r="I199" s="1072"/>
    </row>
    <row r="200" spans="2:9" x14ac:dyDescent="0.2">
      <c r="B200" s="1071" t="s">
        <v>105</v>
      </c>
      <c r="C200" s="1071" t="s">
        <v>422</v>
      </c>
      <c r="D200" s="1071" t="s">
        <v>423</v>
      </c>
      <c r="E200" s="1071" t="s">
        <v>95</v>
      </c>
      <c r="F200" s="1071" t="s">
        <v>209</v>
      </c>
      <c r="G200" s="1071" t="s">
        <v>1501</v>
      </c>
      <c r="H200" s="1071"/>
      <c r="I200" s="1072"/>
    </row>
    <row r="201" spans="2:9" x14ac:dyDescent="0.2">
      <c r="B201" s="1071" t="s">
        <v>105</v>
      </c>
      <c r="C201" s="1071" t="s">
        <v>424</v>
      </c>
      <c r="D201" s="1071" t="s">
        <v>425</v>
      </c>
      <c r="E201" s="1071" t="s">
        <v>104</v>
      </c>
      <c r="F201" s="1071" t="s">
        <v>413</v>
      </c>
      <c r="G201" s="1071" t="s">
        <v>1501</v>
      </c>
      <c r="H201" s="1071"/>
      <c r="I201" s="1072"/>
    </row>
    <row r="202" spans="2:9" x14ac:dyDescent="0.2">
      <c r="B202" s="1071" t="s">
        <v>105</v>
      </c>
      <c r="C202" s="1071" t="s">
        <v>426</v>
      </c>
      <c r="D202" s="1071" t="s">
        <v>427</v>
      </c>
      <c r="E202" s="1071" t="s">
        <v>95</v>
      </c>
      <c r="F202" s="1071" t="s">
        <v>209</v>
      </c>
      <c r="G202" s="1071" t="s">
        <v>1501</v>
      </c>
      <c r="H202" s="1071"/>
      <c r="I202" s="1072"/>
    </row>
    <row r="203" spans="2:9" x14ac:dyDescent="0.2">
      <c r="B203" s="1071" t="s">
        <v>105</v>
      </c>
      <c r="C203" s="1071" t="s">
        <v>428</v>
      </c>
      <c r="D203" s="1071" t="s">
        <v>429</v>
      </c>
      <c r="E203" s="1071" t="s">
        <v>104</v>
      </c>
      <c r="F203" s="1071" t="s">
        <v>413</v>
      </c>
      <c r="G203" s="1071" t="s">
        <v>1501</v>
      </c>
      <c r="H203" s="1071"/>
      <c r="I203" s="1072"/>
    </row>
    <row r="204" spans="2:9" x14ac:dyDescent="0.2">
      <c r="B204" s="1071" t="s">
        <v>105</v>
      </c>
      <c r="C204" s="1071" t="s">
        <v>430</v>
      </c>
      <c r="D204" s="1071" t="s">
        <v>431</v>
      </c>
      <c r="E204" s="1071" t="s">
        <v>104</v>
      </c>
      <c r="F204" s="1071" t="s">
        <v>413</v>
      </c>
      <c r="G204" s="1071" t="s">
        <v>1501</v>
      </c>
      <c r="H204" s="1071"/>
      <c r="I204" s="1072"/>
    </row>
    <row r="205" spans="2:9" x14ac:dyDescent="0.2">
      <c r="B205" s="1071" t="s">
        <v>105</v>
      </c>
      <c r="C205" s="1071" t="s">
        <v>432</v>
      </c>
      <c r="D205" s="1071" t="s">
        <v>433</v>
      </c>
      <c r="E205" s="1071" t="s">
        <v>104</v>
      </c>
      <c r="F205" s="1071" t="s">
        <v>413</v>
      </c>
      <c r="G205" s="1071" t="s">
        <v>1501</v>
      </c>
      <c r="H205" s="1071"/>
      <c r="I205" s="1072"/>
    </row>
    <row r="206" spans="2:9" x14ac:dyDescent="0.2">
      <c r="B206" s="1071" t="s">
        <v>115</v>
      </c>
      <c r="C206" s="1071" t="s">
        <v>434</v>
      </c>
      <c r="D206" s="1071" t="s">
        <v>435</v>
      </c>
      <c r="E206" s="1071" t="s">
        <v>104</v>
      </c>
      <c r="F206" s="1071" t="s">
        <v>413</v>
      </c>
      <c r="G206" s="1071" t="s">
        <v>1501</v>
      </c>
      <c r="H206" s="1071"/>
      <c r="I206" s="1072"/>
    </row>
    <row r="207" spans="2:9" x14ac:dyDescent="0.2">
      <c r="B207" s="1071" t="s">
        <v>115</v>
      </c>
      <c r="C207" s="1071" t="s">
        <v>436</v>
      </c>
      <c r="D207" s="1071" t="s">
        <v>437</v>
      </c>
      <c r="E207" s="1071" t="s">
        <v>104</v>
      </c>
      <c r="F207" s="1071" t="s">
        <v>413</v>
      </c>
      <c r="G207" s="1071" t="s">
        <v>1501</v>
      </c>
      <c r="H207" s="1071"/>
      <c r="I207" s="1072"/>
    </row>
    <row r="208" spans="2:9" x14ac:dyDescent="0.2">
      <c r="B208" s="1071" t="s">
        <v>115</v>
      </c>
      <c r="C208" s="1071" t="s">
        <v>438</v>
      </c>
      <c r="D208" s="1071" t="s">
        <v>439</v>
      </c>
      <c r="E208" s="1071" t="s">
        <v>104</v>
      </c>
      <c r="F208" s="1071" t="s">
        <v>413</v>
      </c>
      <c r="G208" s="1071" t="s">
        <v>1501</v>
      </c>
      <c r="H208" s="1071"/>
      <c r="I208" s="1072"/>
    </row>
    <row r="209" spans="2:9" x14ac:dyDescent="0.2">
      <c r="B209" s="1071" t="s">
        <v>115</v>
      </c>
      <c r="C209" s="1071" t="s">
        <v>440</v>
      </c>
      <c r="D209" s="1071" t="s">
        <v>441</v>
      </c>
      <c r="E209" s="1071" t="s">
        <v>104</v>
      </c>
      <c r="F209" s="1071" t="s">
        <v>413</v>
      </c>
      <c r="G209" s="1071" t="s">
        <v>1501</v>
      </c>
      <c r="H209" s="1071"/>
      <c r="I209" s="1072"/>
    </row>
    <row r="210" spans="2:9" x14ac:dyDescent="0.2">
      <c r="B210" s="1071" t="s">
        <v>92</v>
      </c>
      <c r="C210" s="1071" t="s">
        <v>442</v>
      </c>
      <c r="D210" s="1071" t="s">
        <v>443</v>
      </c>
      <c r="E210" s="1071" t="s">
        <v>104</v>
      </c>
      <c r="F210" s="1071" t="s">
        <v>413</v>
      </c>
      <c r="G210" s="1071" t="s">
        <v>1501</v>
      </c>
      <c r="H210" s="1071"/>
      <c r="I210" s="1072"/>
    </row>
    <row r="211" spans="2:9" x14ac:dyDescent="0.2">
      <c r="B211" s="1071" t="s">
        <v>92</v>
      </c>
      <c r="C211" s="1071" t="s">
        <v>444</v>
      </c>
      <c r="D211" s="1071" t="s">
        <v>445</v>
      </c>
      <c r="E211" s="1071" t="s">
        <v>104</v>
      </c>
      <c r="F211" s="1071" t="s">
        <v>413</v>
      </c>
      <c r="G211" s="1071" t="s">
        <v>1501</v>
      </c>
      <c r="H211" s="1071"/>
      <c r="I211" s="1072"/>
    </row>
    <row r="212" spans="2:9" x14ac:dyDescent="0.2">
      <c r="B212" s="1071" t="s">
        <v>92</v>
      </c>
      <c r="C212" s="1071" t="s">
        <v>446</v>
      </c>
      <c r="D212" s="1071" t="s">
        <v>447</v>
      </c>
      <c r="E212" s="1071" t="s">
        <v>104</v>
      </c>
      <c r="F212" s="1071" t="s">
        <v>413</v>
      </c>
      <c r="G212" s="1071" t="s">
        <v>1501</v>
      </c>
      <c r="H212" s="1071"/>
      <c r="I212" s="1072"/>
    </row>
    <row r="213" spans="2:9" x14ac:dyDescent="0.2">
      <c r="B213" s="1071" t="s">
        <v>92</v>
      </c>
      <c r="C213" s="1071" t="s">
        <v>448</v>
      </c>
      <c r="D213" s="1071" t="s">
        <v>449</v>
      </c>
      <c r="E213" s="1071" t="s">
        <v>104</v>
      </c>
      <c r="F213" s="1071" t="s">
        <v>413</v>
      </c>
      <c r="G213" s="1071" t="s">
        <v>1501</v>
      </c>
      <c r="H213" s="1071"/>
      <c r="I213" s="1072"/>
    </row>
    <row r="214" spans="2:9" x14ac:dyDescent="0.2">
      <c r="B214" s="1073" t="s">
        <v>450</v>
      </c>
      <c r="C214" s="1073"/>
      <c r="D214" s="1073"/>
      <c r="E214" s="1073"/>
      <c r="F214" s="1073"/>
      <c r="G214" s="1073"/>
      <c r="H214" s="1073"/>
      <c r="I214" s="1070"/>
    </row>
    <row r="215" spans="2:9" ht="14.25" customHeight="1" x14ac:dyDescent="0.2">
      <c r="B215" s="1071" t="s">
        <v>92</v>
      </c>
      <c r="C215" s="1071" t="s">
        <v>451</v>
      </c>
      <c r="D215" s="1071" t="s">
        <v>452</v>
      </c>
      <c r="E215" s="1071" t="s">
        <v>11</v>
      </c>
      <c r="F215" s="1071" t="s">
        <v>453</v>
      </c>
      <c r="G215" s="1071" t="s">
        <v>2048</v>
      </c>
      <c r="H215" s="1071"/>
      <c r="I215" s="1072"/>
    </row>
    <row r="216" spans="2:9" x14ac:dyDescent="0.2">
      <c r="B216" s="1071" t="s">
        <v>105</v>
      </c>
      <c r="C216" s="1071" t="s">
        <v>454</v>
      </c>
      <c r="D216" s="1071" t="s">
        <v>455</v>
      </c>
      <c r="E216" s="1071" t="s">
        <v>11</v>
      </c>
      <c r="F216" s="1071" t="s">
        <v>453</v>
      </c>
      <c r="G216" s="1071" t="s">
        <v>2048</v>
      </c>
      <c r="H216" s="1071"/>
      <c r="I216" s="1072"/>
    </row>
    <row r="217" spans="2:9" x14ac:dyDescent="0.2">
      <c r="B217" s="1073" t="s">
        <v>456</v>
      </c>
      <c r="C217" s="1073"/>
      <c r="D217" s="1073"/>
      <c r="E217" s="1073"/>
      <c r="F217" s="1073"/>
      <c r="G217" s="1073"/>
      <c r="H217" s="1073"/>
      <c r="I217" s="1070"/>
    </row>
    <row r="218" spans="2:9" x14ac:dyDescent="0.2">
      <c r="B218" s="1071" t="s">
        <v>92</v>
      </c>
      <c r="C218" s="1071" t="s">
        <v>457</v>
      </c>
      <c r="D218" s="1071" t="s">
        <v>458</v>
      </c>
      <c r="E218" s="1071" t="s">
        <v>95</v>
      </c>
      <c r="F218" s="1071" t="s">
        <v>209</v>
      </c>
      <c r="G218" s="1071" t="s">
        <v>1501</v>
      </c>
      <c r="H218" s="1071"/>
      <c r="I218" s="1072"/>
    </row>
    <row r="219" spans="2:9" x14ac:dyDescent="0.2">
      <c r="B219" s="1071" t="s">
        <v>105</v>
      </c>
      <c r="C219" s="1071" t="s">
        <v>459</v>
      </c>
      <c r="D219" s="1071" t="s">
        <v>460</v>
      </c>
      <c r="E219" s="1071" t="s">
        <v>95</v>
      </c>
      <c r="F219" s="1071" t="s">
        <v>209</v>
      </c>
      <c r="G219" s="1071" t="s">
        <v>1501</v>
      </c>
      <c r="H219" s="1071"/>
      <c r="I219" s="1072"/>
    </row>
    <row r="220" spans="2:9" x14ac:dyDescent="0.2">
      <c r="B220" s="1071" t="s">
        <v>92</v>
      </c>
      <c r="C220" s="1071" t="s">
        <v>461</v>
      </c>
      <c r="D220" s="1071" t="s">
        <v>462</v>
      </c>
      <c r="E220" s="1071" t="s">
        <v>95</v>
      </c>
      <c r="F220" s="1071" t="s">
        <v>209</v>
      </c>
      <c r="G220" s="1071" t="s">
        <v>1501</v>
      </c>
      <c r="H220" s="1071"/>
      <c r="I220" s="1072"/>
    </row>
    <row r="221" spans="2:9" x14ac:dyDescent="0.2">
      <c r="B221" s="1071" t="s">
        <v>92</v>
      </c>
      <c r="C221" s="1071" t="s">
        <v>463</v>
      </c>
      <c r="D221" s="1071" t="s">
        <v>464</v>
      </c>
      <c r="E221" s="1071" t="s">
        <v>95</v>
      </c>
      <c r="F221" s="1071" t="s">
        <v>209</v>
      </c>
      <c r="G221" s="1071" t="s">
        <v>1501</v>
      </c>
      <c r="H221" s="1071"/>
      <c r="I221" s="1072"/>
    </row>
    <row r="222" spans="2:9" x14ac:dyDescent="0.2">
      <c r="B222" s="1071" t="s">
        <v>92</v>
      </c>
      <c r="C222" s="1071" t="s">
        <v>465</v>
      </c>
      <c r="D222" s="1071" t="s">
        <v>466</v>
      </c>
      <c r="E222" s="1071" t="s">
        <v>95</v>
      </c>
      <c r="F222" s="1071" t="s">
        <v>209</v>
      </c>
      <c r="G222" s="1071" t="s">
        <v>1501</v>
      </c>
      <c r="H222" s="1071"/>
      <c r="I222" s="1072"/>
    </row>
    <row r="223" spans="2:9" x14ac:dyDescent="0.2">
      <c r="B223" s="1071" t="s">
        <v>105</v>
      </c>
      <c r="C223" s="1071" t="s">
        <v>467</v>
      </c>
      <c r="D223" s="1071" t="s">
        <v>468</v>
      </c>
      <c r="E223" s="1071" t="s">
        <v>95</v>
      </c>
      <c r="F223" s="1071" t="s">
        <v>209</v>
      </c>
      <c r="G223" s="1071" t="s">
        <v>1501</v>
      </c>
      <c r="H223" s="1071"/>
      <c r="I223" s="1072"/>
    </row>
    <row r="224" spans="2:9" x14ac:dyDescent="0.2">
      <c r="B224" s="1071" t="s">
        <v>92</v>
      </c>
      <c r="C224" s="1071" t="s">
        <v>469</v>
      </c>
      <c r="D224" s="1071" t="s">
        <v>470</v>
      </c>
      <c r="E224" s="1071" t="s">
        <v>104</v>
      </c>
      <c r="F224" s="1071" t="s">
        <v>413</v>
      </c>
      <c r="G224" s="1071" t="s">
        <v>1501</v>
      </c>
      <c r="H224" s="1071"/>
      <c r="I224" s="1072"/>
    </row>
    <row r="225" spans="2:9" x14ac:dyDescent="0.2">
      <c r="B225" s="1071" t="s">
        <v>105</v>
      </c>
      <c r="C225" s="1072" t="s">
        <v>471</v>
      </c>
      <c r="D225" s="1071" t="s">
        <v>472</v>
      </c>
      <c r="E225" s="1071" t="s">
        <v>95</v>
      </c>
      <c r="F225" s="1071" t="s">
        <v>209</v>
      </c>
      <c r="G225" s="1071" t="s">
        <v>1501</v>
      </c>
      <c r="H225" s="1079"/>
      <c r="I225" s="1072"/>
    </row>
    <row r="226" spans="2:9" x14ac:dyDescent="0.2">
      <c r="E226" s="1076"/>
      <c r="F226" s="1076"/>
      <c r="G226" s="1076"/>
      <c r="H226" s="1064"/>
    </row>
    <row r="228" spans="2:9" x14ac:dyDescent="0.2">
      <c r="E228" s="1076"/>
      <c r="F228" s="1076"/>
      <c r="G228" s="1076"/>
      <c r="H228" s="1064"/>
    </row>
    <row r="229" spans="2:9" x14ac:dyDescent="0.2">
      <c r="E229" s="1077"/>
      <c r="F229" s="1077"/>
      <c r="G229" s="1077"/>
    </row>
    <row r="230" spans="2:9" x14ac:dyDescent="0.2">
      <c r="E230" s="1077"/>
      <c r="F230" s="1077"/>
      <c r="G230" s="1077"/>
    </row>
    <row r="231" spans="2:9" x14ac:dyDescent="0.2">
      <c r="E231" s="1077"/>
      <c r="F231" s="1077"/>
      <c r="G231" s="1077"/>
    </row>
    <row r="232" spans="2:9" x14ac:dyDescent="0.2">
      <c r="E232" s="1077"/>
      <c r="F232" s="1077"/>
      <c r="G232" s="1077"/>
    </row>
    <row r="233" spans="2:9" x14ac:dyDescent="0.2">
      <c r="E233" s="1077"/>
      <c r="F233" s="1077"/>
      <c r="G233" s="1077"/>
    </row>
    <row r="234" spans="2:9" x14ac:dyDescent="0.2">
      <c r="E234" s="1077"/>
      <c r="F234" s="1077"/>
      <c r="G234" s="1077"/>
    </row>
    <row r="235" spans="2:9" x14ac:dyDescent="0.2">
      <c r="E235" s="1077"/>
      <c r="F235" s="1077"/>
      <c r="G235" s="1077"/>
    </row>
    <row r="236" spans="2:9" x14ac:dyDescent="0.2">
      <c r="E236" s="1077"/>
      <c r="F236" s="1077"/>
      <c r="G236" s="1077"/>
    </row>
    <row r="237" spans="2:9" ht="15" customHeight="1" x14ac:dyDescent="0.2">
      <c r="E237" s="1077"/>
      <c r="F237" s="1077"/>
      <c r="G237" s="1077"/>
    </row>
    <row r="238" spans="2:9" ht="13.5" customHeight="1" x14ac:dyDescent="0.2">
      <c r="E238" s="1077"/>
      <c r="F238" s="1077"/>
      <c r="G238" s="1077"/>
    </row>
    <row r="240" spans="2:9" x14ac:dyDescent="0.2">
      <c r="E240" s="1076"/>
      <c r="F240" s="1076"/>
      <c r="G240" s="1076"/>
    </row>
    <row r="241" spans="2:7" x14ac:dyDescent="0.2">
      <c r="E241" s="1076"/>
      <c r="F241" s="1076"/>
      <c r="G241" s="1076"/>
    </row>
    <row r="242" spans="2:7" x14ac:dyDescent="0.2">
      <c r="E242" s="1076"/>
      <c r="F242" s="1076"/>
      <c r="G242" s="1076"/>
    </row>
    <row r="243" spans="2:7" x14ac:dyDescent="0.2">
      <c r="E243" s="1076"/>
      <c r="F243" s="1076"/>
      <c r="G243" s="1076"/>
    </row>
    <row r="244" spans="2:7" x14ac:dyDescent="0.2">
      <c r="E244" s="1076"/>
      <c r="F244" s="1076"/>
      <c r="G244" s="1076"/>
    </row>
    <row r="245" spans="2:7" x14ac:dyDescent="0.2">
      <c r="E245" s="1076"/>
      <c r="F245" s="1076"/>
      <c r="G245" s="1076"/>
    </row>
    <row r="246" spans="2:7" x14ac:dyDescent="0.2">
      <c r="E246" s="1076"/>
      <c r="F246" s="1076"/>
      <c r="G246" s="1076"/>
    </row>
    <row r="247" spans="2:7" x14ac:dyDescent="0.2">
      <c r="E247" s="1076"/>
      <c r="F247" s="1076"/>
      <c r="G247" s="1076"/>
    </row>
    <row r="248" spans="2:7" x14ac:dyDescent="0.2">
      <c r="E248" s="1076"/>
      <c r="F248" s="1076"/>
      <c r="G248" s="1076"/>
    </row>
    <row r="249" spans="2:7" x14ac:dyDescent="0.2">
      <c r="E249" s="1076"/>
      <c r="F249" s="1076"/>
      <c r="G249" s="1076"/>
    </row>
    <row r="250" spans="2:7" x14ac:dyDescent="0.2">
      <c r="E250" s="1076"/>
      <c r="F250" s="1076"/>
      <c r="G250" s="1076"/>
    </row>
    <row r="251" spans="2:7" x14ac:dyDescent="0.2">
      <c r="B251" s="1064"/>
      <c r="E251" s="1076"/>
      <c r="F251" s="1076"/>
      <c r="G251" s="1076"/>
    </row>
    <row r="252" spans="2:7" x14ac:dyDescent="0.2">
      <c r="E252" s="1076"/>
      <c r="F252" s="1076"/>
      <c r="G252" s="1076"/>
    </row>
    <row r="253" spans="2:7" x14ac:dyDescent="0.2">
      <c r="E253" s="1076"/>
      <c r="F253" s="1076"/>
      <c r="G253" s="1076"/>
    </row>
    <row r="254" spans="2:7" x14ac:dyDescent="0.2">
      <c r="E254" s="1076"/>
      <c r="F254" s="1076"/>
      <c r="G254" s="1076"/>
    </row>
    <row r="255" spans="2:7" x14ac:dyDescent="0.2">
      <c r="E255" s="1076"/>
      <c r="F255" s="1076"/>
      <c r="G255" s="1076"/>
    </row>
    <row r="256" spans="2:7" x14ac:dyDescent="0.2">
      <c r="E256" s="1076"/>
      <c r="F256" s="1076"/>
      <c r="G256" s="1076"/>
    </row>
    <row r="257" spans="2:7" x14ac:dyDescent="0.2">
      <c r="E257" s="1076"/>
      <c r="F257" s="1076"/>
      <c r="G257" s="1076"/>
    </row>
    <row r="258" spans="2:7" x14ac:dyDescent="0.2">
      <c r="E258" s="1076"/>
      <c r="F258" s="1076"/>
      <c r="G258" s="1076"/>
    </row>
    <row r="259" spans="2:7" x14ac:dyDescent="0.2">
      <c r="E259" s="1076"/>
      <c r="F259" s="1076"/>
      <c r="G259" s="1076"/>
    </row>
    <row r="260" spans="2:7" x14ac:dyDescent="0.2">
      <c r="B260" s="1064"/>
      <c r="E260" s="1076"/>
      <c r="F260" s="1076"/>
      <c r="G260" s="1076"/>
    </row>
    <row r="261" spans="2:7" x14ac:dyDescent="0.2">
      <c r="E261" s="1076"/>
      <c r="F261" s="1076"/>
      <c r="G261" s="1076"/>
    </row>
    <row r="262" spans="2:7" x14ac:dyDescent="0.2">
      <c r="E262" s="1076"/>
      <c r="F262" s="1076"/>
      <c r="G262" s="1076"/>
    </row>
    <row r="263" spans="2:7" x14ac:dyDescent="0.2">
      <c r="E263" s="1076"/>
      <c r="F263" s="1076"/>
      <c r="G263" s="1076"/>
    </row>
    <row r="264" spans="2:7" x14ac:dyDescent="0.2">
      <c r="E264" s="1076"/>
      <c r="F264" s="1076"/>
      <c r="G264" s="1076"/>
    </row>
    <row r="265" spans="2:7" x14ac:dyDescent="0.2">
      <c r="E265" s="1076"/>
      <c r="F265" s="1076"/>
      <c r="G265" s="1076"/>
    </row>
    <row r="266" spans="2:7" x14ac:dyDescent="0.2">
      <c r="E266" s="1076"/>
      <c r="F266" s="1076"/>
      <c r="G266" s="1076"/>
    </row>
    <row r="267" spans="2:7" x14ac:dyDescent="0.2">
      <c r="B267" s="1064"/>
      <c r="E267" s="1076"/>
      <c r="F267" s="1076"/>
      <c r="G267" s="1076"/>
    </row>
    <row r="268" spans="2:7" x14ac:dyDescent="0.2">
      <c r="E268" s="1076"/>
      <c r="F268" s="1076"/>
      <c r="G268" s="1076"/>
    </row>
    <row r="269" spans="2:7" x14ac:dyDescent="0.2">
      <c r="E269" s="1076"/>
      <c r="F269" s="1076"/>
      <c r="G269" s="1076"/>
    </row>
    <row r="270" spans="2:7" x14ac:dyDescent="0.2">
      <c r="E270" s="1076"/>
      <c r="F270" s="1076"/>
      <c r="G270" s="1076"/>
    </row>
    <row r="271" spans="2:7" x14ac:dyDescent="0.2">
      <c r="E271" s="1076"/>
      <c r="F271" s="1076"/>
      <c r="G271" s="1076"/>
    </row>
    <row r="272" spans="2:7" x14ac:dyDescent="0.2">
      <c r="B272" s="1064"/>
      <c r="E272" s="1076"/>
      <c r="F272" s="1076"/>
      <c r="G272" s="1076"/>
    </row>
    <row r="273" spans="2:7" x14ac:dyDescent="0.2">
      <c r="E273" s="1076"/>
      <c r="F273" s="1076"/>
      <c r="G273" s="1076"/>
    </row>
    <row r="274" spans="2:7" x14ac:dyDescent="0.2">
      <c r="E274" s="1076"/>
      <c r="F274" s="1076"/>
      <c r="G274" s="1076"/>
    </row>
    <row r="275" spans="2:7" x14ac:dyDescent="0.2">
      <c r="E275" s="1076"/>
      <c r="F275" s="1076"/>
      <c r="G275" s="1076"/>
    </row>
    <row r="276" spans="2:7" x14ac:dyDescent="0.2">
      <c r="E276" s="1076"/>
      <c r="F276" s="1076"/>
      <c r="G276" s="1076"/>
    </row>
    <row r="277" spans="2:7" x14ac:dyDescent="0.2">
      <c r="E277" s="1076"/>
      <c r="F277" s="1076"/>
      <c r="G277" s="1076"/>
    </row>
    <row r="278" spans="2:7" x14ac:dyDescent="0.2">
      <c r="E278" s="1076"/>
      <c r="F278" s="1076"/>
      <c r="G278" s="1076"/>
    </row>
    <row r="279" spans="2:7" x14ac:dyDescent="0.2">
      <c r="E279" s="1076"/>
      <c r="F279" s="1076"/>
      <c r="G279" s="1076"/>
    </row>
    <row r="280" spans="2:7" x14ac:dyDescent="0.2">
      <c r="E280" s="1076"/>
      <c r="F280" s="1076"/>
      <c r="G280" s="1076"/>
    </row>
    <row r="281" spans="2:7" x14ac:dyDescent="0.2">
      <c r="B281" s="1064"/>
      <c r="E281" s="1076"/>
      <c r="F281" s="1076"/>
      <c r="G281" s="1076"/>
    </row>
    <row r="282" spans="2:7" x14ac:dyDescent="0.2">
      <c r="E282" s="1076"/>
      <c r="F282" s="1076"/>
      <c r="G282" s="1076"/>
    </row>
    <row r="283" spans="2:7" x14ac:dyDescent="0.2">
      <c r="E283" s="1076"/>
      <c r="F283" s="1076"/>
      <c r="G283" s="1076"/>
    </row>
    <row r="284" spans="2:7" x14ac:dyDescent="0.2">
      <c r="E284" s="1076"/>
      <c r="F284" s="1076"/>
      <c r="G284" s="1076"/>
    </row>
    <row r="285" spans="2:7" x14ac:dyDescent="0.2">
      <c r="E285" s="1076"/>
      <c r="F285" s="1076"/>
      <c r="G285" s="1076"/>
    </row>
    <row r="286" spans="2:7" x14ac:dyDescent="0.2">
      <c r="E286" s="1076"/>
      <c r="F286" s="1076"/>
      <c r="G286" s="1076"/>
    </row>
    <row r="287" spans="2:7" x14ac:dyDescent="0.2">
      <c r="E287" s="1076"/>
      <c r="F287" s="1076"/>
      <c r="G287" s="1076"/>
    </row>
    <row r="288" spans="2:7" x14ac:dyDescent="0.2">
      <c r="B288" s="1064"/>
      <c r="E288" s="1076"/>
      <c r="F288" s="1076"/>
      <c r="G288" s="1076"/>
    </row>
    <row r="289" spans="2:7" x14ac:dyDescent="0.2">
      <c r="E289" s="1076"/>
      <c r="F289" s="1076"/>
      <c r="G289" s="1076"/>
    </row>
    <row r="290" spans="2:7" x14ac:dyDescent="0.2">
      <c r="E290" s="1076"/>
      <c r="F290" s="1076"/>
      <c r="G290" s="1076"/>
    </row>
    <row r="291" spans="2:7" x14ac:dyDescent="0.2">
      <c r="E291" s="1076"/>
      <c r="F291" s="1076"/>
      <c r="G291" s="1076"/>
    </row>
    <row r="292" spans="2:7" x14ac:dyDescent="0.2">
      <c r="E292" s="1076"/>
      <c r="F292" s="1076"/>
      <c r="G292" s="1076"/>
    </row>
    <row r="293" spans="2:7" x14ac:dyDescent="0.2">
      <c r="E293" s="1076"/>
      <c r="F293" s="1076"/>
      <c r="G293" s="1076"/>
    </row>
    <row r="294" spans="2:7" x14ac:dyDescent="0.2">
      <c r="E294" s="1076"/>
      <c r="F294" s="1076"/>
      <c r="G294" s="1076"/>
    </row>
    <row r="295" spans="2:7" x14ac:dyDescent="0.2">
      <c r="B295" s="1064"/>
      <c r="E295" s="1076"/>
      <c r="F295" s="1076"/>
      <c r="G295" s="1076"/>
    </row>
    <row r="296" spans="2:7" x14ac:dyDescent="0.2">
      <c r="E296" s="1076"/>
      <c r="F296" s="1076"/>
      <c r="G296" s="1076"/>
    </row>
    <row r="297" spans="2:7" x14ac:dyDescent="0.2">
      <c r="E297" s="1076"/>
      <c r="F297" s="1076"/>
      <c r="G297" s="1076"/>
    </row>
    <row r="298" spans="2:7" x14ac:dyDescent="0.2">
      <c r="B298" s="1064"/>
      <c r="E298" s="1076"/>
      <c r="F298" s="1076"/>
      <c r="G298" s="1076"/>
    </row>
    <row r="299" spans="2:7" x14ac:dyDescent="0.2">
      <c r="E299" s="1076"/>
      <c r="F299" s="1076"/>
      <c r="G299" s="1076"/>
    </row>
    <row r="300" spans="2:7" x14ac:dyDescent="0.2">
      <c r="E300" s="1076"/>
      <c r="F300" s="1076"/>
      <c r="G300" s="1076"/>
    </row>
    <row r="301" spans="2:7" x14ac:dyDescent="0.2">
      <c r="E301" s="1076"/>
      <c r="F301" s="1076"/>
      <c r="G301" s="1076"/>
    </row>
    <row r="302" spans="2:7" x14ac:dyDescent="0.2">
      <c r="E302" s="1076"/>
      <c r="F302" s="1076"/>
      <c r="G302" s="1076"/>
    </row>
    <row r="303" spans="2:7" x14ac:dyDescent="0.2">
      <c r="E303" s="1076"/>
      <c r="F303" s="1076"/>
      <c r="G303" s="1076"/>
    </row>
    <row r="304" spans="2:7" x14ac:dyDescent="0.2">
      <c r="E304" s="1076"/>
      <c r="F304" s="1076"/>
      <c r="G304" s="1076"/>
    </row>
    <row r="305" spans="2:7" x14ac:dyDescent="0.2">
      <c r="E305" s="1076"/>
      <c r="F305" s="1076"/>
      <c r="G305" s="1076"/>
    </row>
    <row r="306" spans="2:7" x14ac:dyDescent="0.2">
      <c r="B306" s="1064"/>
      <c r="E306" s="1076"/>
      <c r="F306" s="1076"/>
      <c r="G306" s="1076"/>
    </row>
    <row r="307" spans="2:7" x14ac:dyDescent="0.2">
      <c r="B307" s="1064"/>
      <c r="E307" s="1076"/>
      <c r="F307" s="1076"/>
      <c r="G307" s="1076"/>
    </row>
    <row r="308" spans="2:7" x14ac:dyDescent="0.2">
      <c r="E308" s="1076"/>
      <c r="F308" s="1076"/>
      <c r="G308" s="1076"/>
    </row>
    <row r="309" spans="2:7" x14ac:dyDescent="0.2">
      <c r="E309" s="1076"/>
      <c r="F309" s="1076"/>
      <c r="G309" s="1076"/>
    </row>
    <row r="310" spans="2:7" x14ac:dyDescent="0.2">
      <c r="E310" s="1076"/>
      <c r="F310" s="1076"/>
      <c r="G310" s="1076"/>
    </row>
    <row r="311" spans="2:7" x14ac:dyDescent="0.2">
      <c r="B311" s="1064"/>
      <c r="E311" s="1076"/>
      <c r="F311" s="1076"/>
      <c r="G311" s="1076"/>
    </row>
    <row r="312" spans="2:7" x14ac:dyDescent="0.2">
      <c r="B312" s="1064"/>
      <c r="E312" s="1076"/>
      <c r="F312" s="1076"/>
      <c r="G312" s="1076"/>
    </row>
    <row r="313" spans="2:7" x14ac:dyDescent="0.2">
      <c r="E313" s="1076"/>
      <c r="F313" s="1076"/>
      <c r="G313" s="1076"/>
    </row>
    <row r="314" spans="2:7" x14ac:dyDescent="0.2">
      <c r="E314" s="1076"/>
      <c r="F314" s="1076"/>
      <c r="G314" s="1076"/>
    </row>
    <row r="315" spans="2:7" x14ac:dyDescent="0.2">
      <c r="E315" s="1076"/>
      <c r="F315" s="1076"/>
      <c r="G315" s="1076"/>
    </row>
    <row r="316" spans="2:7" x14ac:dyDescent="0.2">
      <c r="E316" s="1076"/>
      <c r="F316" s="1076"/>
      <c r="G316" s="1076"/>
    </row>
    <row r="317" spans="2:7" x14ac:dyDescent="0.2">
      <c r="E317" s="1076"/>
      <c r="F317" s="1076"/>
      <c r="G317" s="1076"/>
    </row>
    <row r="318" spans="2:7" x14ac:dyDescent="0.2">
      <c r="E318" s="1076"/>
      <c r="F318" s="1076"/>
      <c r="G318" s="1076"/>
    </row>
    <row r="319" spans="2:7" x14ac:dyDescent="0.2">
      <c r="E319" s="1076"/>
      <c r="F319" s="1076"/>
      <c r="G319" s="1076"/>
    </row>
    <row r="320" spans="2:7" x14ac:dyDescent="0.2">
      <c r="B320" s="1064"/>
      <c r="E320" s="1076"/>
      <c r="F320" s="1076"/>
      <c r="G320" s="1076"/>
    </row>
    <row r="321" spans="2:7" x14ac:dyDescent="0.2">
      <c r="E321" s="1076"/>
      <c r="F321" s="1076"/>
      <c r="G321" s="1076"/>
    </row>
    <row r="322" spans="2:7" x14ac:dyDescent="0.2">
      <c r="E322" s="1076"/>
      <c r="F322" s="1076"/>
      <c r="G322" s="1076"/>
    </row>
    <row r="323" spans="2:7" x14ac:dyDescent="0.2">
      <c r="E323" s="1076"/>
      <c r="F323" s="1076"/>
      <c r="G323" s="1076"/>
    </row>
    <row r="324" spans="2:7" x14ac:dyDescent="0.2">
      <c r="E324" s="1076"/>
      <c r="F324" s="1076"/>
      <c r="G324" s="1076"/>
    </row>
    <row r="325" spans="2:7" x14ac:dyDescent="0.2">
      <c r="E325" s="1076"/>
      <c r="F325" s="1076"/>
      <c r="G325" s="1076"/>
    </row>
    <row r="326" spans="2:7" x14ac:dyDescent="0.2">
      <c r="E326" s="1076"/>
      <c r="F326" s="1076"/>
      <c r="G326" s="1076"/>
    </row>
    <row r="327" spans="2:7" x14ac:dyDescent="0.2">
      <c r="E327" s="1076"/>
      <c r="F327" s="1076"/>
      <c r="G327" s="1076"/>
    </row>
    <row r="328" spans="2:7" x14ac:dyDescent="0.2">
      <c r="E328" s="1076"/>
      <c r="F328" s="1076"/>
      <c r="G328" s="1076"/>
    </row>
    <row r="329" spans="2:7" x14ac:dyDescent="0.2">
      <c r="E329" s="1076"/>
      <c r="F329" s="1076"/>
      <c r="G329" s="1076"/>
    </row>
    <row r="330" spans="2:7" x14ac:dyDescent="0.2">
      <c r="E330" s="1076"/>
      <c r="F330" s="1076"/>
      <c r="G330" s="1076"/>
    </row>
    <row r="331" spans="2:7" x14ac:dyDescent="0.2">
      <c r="B331" s="1064"/>
      <c r="E331" s="1076"/>
      <c r="F331" s="1076"/>
      <c r="G331" s="1076"/>
    </row>
    <row r="332" spans="2:7" x14ac:dyDescent="0.2">
      <c r="E332" s="1076"/>
      <c r="F332" s="1076"/>
      <c r="G332" s="1076"/>
    </row>
    <row r="333" spans="2:7" x14ac:dyDescent="0.2">
      <c r="E333" s="1076"/>
      <c r="F333" s="1076"/>
      <c r="G333" s="1076"/>
    </row>
    <row r="334" spans="2:7" x14ac:dyDescent="0.2">
      <c r="E334" s="1076"/>
      <c r="F334" s="1076"/>
      <c r="G334" s="1076"/>
    </row>
    <row r="335" spans="2:7" x14ac:dyDescent="0.2">
      <c r="E335" s="1076"/>
      <c r="F335" s="1076"/>
      <c r="G335" s="1076"/>
    </row>
    <row r="336" spans="2:7" x14ac:dyDescent="0.2">
      <c r="E336" s="1076"/>
      <c r="F336" s="1076"/>
      <c r="G336" s="1076"/>
    </row>
    <row r="337" spans="2:7" x14ac:dyDescent="0.2">
      <c r="E337" s="1076"/>
      <c r="F337" s="1076"/>
      <c r="G337" s="1076"/>
    </row>
    <row r="338" spans="2:7" x14ac:dyDescent="0.2">
      <c r="E338" s="1076"/>
      <c r="F338" s="1076"/>
      <c r="G338" s="1076"/>
    </row>
    <row r="339" spans="2:7" x14ac:dyDescent="0.2">
      <c r="E339" s="1076"/>
      <c r="F339" s="1076"/>
      <c r="G339" s="1076"/>
    </row>
    <row r="340" spans="2:7" x14ac:dyDescent="0.2">
      <c r="E340" s="1076"/>
      <c r="F340" s="1076"/>
      <c r="G340" s="1076"/>
    </row>
    <row r="341" spans="2:7" x14ac:dyDescent="0.2">
      <c r="B341" s="1064"/>
      <c r="E341" s="1076"/>
      <c r="F341" s="1076"/>
      <c r="G341" s="1076"/>
    </row>
    <row r="342" spans="2:7" x14ac:dyDescent="0.2">
      <c r="E342" s="1076"/>
      <c r="F342" s="1076"/>
      <c r="G342" s="1076"/>
    </row>
    <row r="343" spans="2:7" x14ac:dyDescent="0.2">
      <c r="E343" s="1076"/>
      <c r="F343" s="1076"/>
      <c r="G343" s="1076"/>
    </row>
    <row r="344" spans="2:7" x14ac:dyDescent="0.2">
      <c r="E344" s="1076"/>
      <c r="F344" s="1076"/>
      <c r="G344" s="1076"/>
    </row>
    <row r="345" spans="2:7" x14ac:dyDescent="0.2">
      <c r="E345" s="1076"/>
      <c r="F345" s="1076"/>
      <c r="G345" s="1076"/>
    </row>
    <row r="346" spans="2:7" x14ac:dyDescent="0.2">
      <c r="E346" s="1076"/>
      <c r="F346" s="1076"/>
      <c r="G346" s="1076"/>
    </row>
    <row r="347" spans="2:7" x14ac:dyDescent="0.2">
      <c r="E347" s="1076"/>
      <c r="F347" s="1076"/>
      <c r="G347" s="1076"/>
    </row>
    <row r="348" spans="2:7" x14ac:dyDescent="0.2">
      <c r="E348" s="1076"/>
      <c r="F348" s="1076"/>
      <c r="G348" s="1076"/>
    </row>
    <row r="349" spans="2:7" x14ac:dyDescent="0.2">
      <c r="B349" s="1064"/>
      <c r="E349" s="1076"/>
      <c r="F349" s="1076"/>
      <c r="G349" s="1076"/>
    </row>
    <row r="350" spans="2:7" x14ac:dyDescent="0.2">
      <c r="B350" s="1064"/>
      <c r="E350" s="1076"/>
      <c r="F350" s="1076"/>
      <c r="G350" s="1076"/>
    </row>
    <row r="351" spans="2:7" x14ac:dyDescent="0.2">
      <c r="E351" s="1076"/>
      <c r="F351" s="1076"/>
      <c r="G351" s="1076"/>
    </row>
    <row r="352" spans="2:7" x14ac:dyDescent="0.2">
      <c r="E352" s="1076"/>
      <c r="F352" s="1076"/>
      <c r="G352" s="1076"/>
    </row>
    <row r="353" spans="2:7" x14ac:dyDescent="0.2">
      <c r="B353" s="1064"/>
      <c r="E353" s="1076"/>
      <c r="F353" s="1076"/>
      <c r="G353" s="1076"/>
    </row>
    <row r="354" spans="2:7" x14ac:dyDescent="0.2">
      <c r="B354" s="1064"/>
      <c r="E354" s="1076"/>
      <c r="F354" s="1076"/>
      <c r="G354" s="1076"/>
    </row>
    <row r="355" spans="2:7" x14ac:dyDescent="0.2">
      <c r="E355" s="1076"/>
      <c r="F355" s="1076"/>
      <c r="G355" s="1076"/>
    </row>
    <row r="356" spans="2:7" x14ac:dyDescent="0.2">
      <c r="E356" s="1076"/>
      <c r="F356" s="1076"/>
      <c r="G356" s="1076"/>
    </row>
    <row r="357" spans="2:7" x14ac:dyDescent="0.2">
      <c r="E357" s="1076"/>
      <c r="F357" s="1076"/>
      <c r="G357" s="1076"/>
    </row>
    <row r="358" spans="2:7" x14ac:dyDescent="0.2">
      <c r="E358" s="1076"/>
      <c r="F358" s="1076"/>
      <c r="G358" s="1076"/>
    </row>
    <row r="359" spans="2:7" x14ac:dyDescent="0.2">
      <c r="E359" s="1076"/>
      <c r="F359" s="1076"/>
      <c r="G359" s="1076"/>
    </row>
    <row r="360" spans="2:7" x14ac:dyDescent="0.2">
      <c r="E360" s="1076"/>
      <c r="F360" s="1076"/>
      <c r="G360" s="1076"/>
    </row>
    <row r="361" spans="2:7" x14ac:dyDescent="0.2">
      <c r="E361" s="1076"/>
      <c r="F361" s="1076"/>
      <c r="G361" s="1076"/>
    </row>
    <row r="362" spans="2:7" x14ac:dyDescent="0.2">
      <c r="E362" s="1076"/>
      <c r="F362" s="1076"/>
      <c r="G362" s="1076"/>
    </row>
    <row r="363" spans="2:7" x14ac:dyDescent="0.2">
      <c r="E363" s="1076"/>
      <c r="F363" s="1076"/>
      <c r="G363" s="1076"/>
    </row>
    <row r="364" spans="2:7" x14ac:dyDescent="0.2">
      <c r="E364" s="1076"/>
      <c r="F364" s="1076"/>
      <c r="G364" s="1076"/>
    </row>
    <row r="365" spans="2:7" x14ac:dyDescent="0.2">
      <c r="E365" s="1076"/>
      <c r="F365" s="1076"/>
      <c r="G365" s="1076"/>
    </row>
    <row r="366" spans="2:7" x14ac:dyDescent="0.2">
      <c r="E366" s="1076"/>
      <c r="F366" s="1076"/>
      <c r="G366" s="1076"/>
    </row>
    <row r="367" spans="2:7" x14ac:dyDescent="0.2">
      <c r="B367" s="1064"/>
      <c r="E367" s="1076"/>
      <c r="F367" s="1076"/>
      <c r="G367" s="1076"/>
    </row>
    <row r="368" spans="2:7" x14ac:dyDescent="0.2">
      <c r="E368" s="1076"/>
      <c r="F368" s="1076"/>
      <c r="G368" s="1076"/>
    </row>
    <row r="369" spans="2:7" x14ac:dyDescent="0.2">
      <c r="E369" s="1076"/>
      <c r="F369" s="1076"/>
      <c r="G369" s="1076"/>
    </row>
    <row r="370" spans="2:7" x14ac:dyDescent="0.2">
      <c r="E370" s="1076"/>
      <c r="F370" s="1076"/>
      <c r="G370" s="1076"/>
    </row>
    <row r="371" spans="2:7" x14ac:dyDescent="0.2">
      <c r="E371" s="1076"/>
      <c r="F371" s="1076"/>
      <c r="G371" s="1076"/>
    </row>
    <row r="372" spans="2:7" x14ac:dyDescent="0.2">
      <c r="E372" s="1076"/>
      <c r="F372" s="1076"/>
      <c r="G372" s="1076"/>
    </row>
    <row r="373" spans="2:7" x14ac:dyDescent="0.2">
      <c r="E373" s="1076"/>
      <c r="F373" s="1076"/>
      <c r="G373" s="1076"/>
    </row>
    <row r="374" spans="2:7" x14ac:dyDescent="0.2">
      <c r="E374" s="1076"/>
      <c r="F374" s="1076"/>
      <c r="G374" s="1076"/>
    </row>
    <row r="375" spans="2:7" x14ac:dyDescent="0.2">
      <c r="E375" s="1076"/>
      <c r="F375" s="1076"/>
      <c r="G375" s="1076"/>
    </row>
    <row r="376" spans="2:7" x14ac:dyDescent="0.2">
      <c r="E376" s="1076"/>
      <c r="F376" s="1076"/>
      <c r="G376" s="1076"/>
    </row>
    <row r="377" spans="2:7" x14ac:dyDescent="0.2">
      <c r="E377" s="1076"/>
      <c r="F377" s="1076"/>
      <c r="G377" s="1076"/>
    </row>
    <row r="378" spans="2:7" x14ac:dyDescent="0.2">
      <c r="E378" s="1076"/>
      <c r="F378" s="1076"/>
      <c r="G378" s="1076"/>
    </row>
    <row r="379" spans="2:7" x14ac:dyDescent="0.2">
      <c r="E379" s="1076"/>
      <c r="F379" s="1076"/>
      <c r="G379" s="1076"/>
    </row>
    <row r="380" spans="2:7" x14ac:dyDescent="0.2">
      <c r="E380" s="1076"/>
      <c r="F380" s="1076"/>
      <c r="G380" s="1076"/>
    </row>
    <row r="381" spans="2:7" x14ac:dyDescent="0.2">
      <c r="E381" s="1076"/>
      <c r="F381" s="1076"/>
      <c r="G381" s="1076"/>
    </row>
    <row r="382" spans="2:7" x14ac:dyDescent="0.2">
      <c r="E382" s="1076"/>
      <c r="F382" s="1076"/>
      <c r="G382" s="1076"/>
    </row>
    <row r="383" spans="2:7" x14ac:dyDescent="0.2">
      <c r="B383" s="1064"/>
      <c r="E383" s="1076"/>
      <c r="F383" s="1076"/>
      <c r="G383" s="1076"/>
    </row>
    <row r="384" spans="2:7" x14ac:dyDescent="0.2">
      <c r="E384" s="1076"/>
      <c r="F384" s="1076"/>
      <c r="G384" s="1076"/>
    </row>
    <row r="385" spans="2:7" x14ac:dyDescent="0.2">
      <c r="E385" s="1076"/>
      <c r="F385" s="1076"/>
      <c r="G385" s="1076"/>
    </row>
    <row r="386" spans="2:7" x14ac:dyDescent="0.2">
      <c r="E386" s="1076"/>
      <c r="F386" s="1076"/>
      <c r="G386" s="1076"/>
    </row>
    <row r="387" spans="2:7" x14ac:dyDescent="0.2">
      <c r="E387" s="1076"/>
      <c r="F387" s="1076"/>
      <c r="G387" s="1076"/>
    </row>
    <row r="388" spans="2:7" x14ac:dyDescent="0.2">
      <c r="E388" s="1076"/>
      <c r="F388" s="1076"/>
      <c r="G388" s="1076"/>
    </row>
    <row r="389" spans="2:7" x14ac:dyDescent="0.2">
      <c r="E389" s="1076"/>
      <c r="F389" s="1076"/>
      <c r="G389" s="1076"/>
    </row>
    <row r="390" spans="2:7" x14ac:dyDescent="0.2">
      <c r="E390" s="1076"/>
      <c r="F390" s="1076"/>
      <c r="G390" s="1076"/>
    </row>
    <row r="391" spans="2:7" x14ac:dyDescent="0.2">
      <c r="E391" s="1076"/>
      <c r="F391" s="1076"/>
      <c r="G391" s="1076"/>
    </row>
    <row r="392" spans="2:7" x14ac:dyDescent="0.2">
      <c r="E392" s="1076"/>
      <c r="F392" s="1076"/>
      <c r="G392" s="1076"/>
    </row>
    <row r="393" spans="2:7" x14ac:dyDescent="0.2">
      <c r="E393" s="1076"/>
      <c r="F393" s="1076"/>
      <c r="G393" s="1076"/>
    </row>
    <row r="394" spans="2:7" x14ac:dyDescent="0.2">
      <c r="E394" s="1076"/>
      <c r="F394" s="1076"/>
      <c r="G394" s="1076"/>
    </row>
    <row r="395" spans="2:7" x14ac:dyDescent="0.2">
      <c r="B395" s="1064"/>
      <c r="E395" s="1076"/>
      <c r="F395" s="1076"/>
      <c r="G395" s="1076"/>
    </row>
    <row r="396" spans="2:7" x14ac:dyDescent="0.2">
      <c r="E396" s="1076"/>
      <c r="F396" s="1076"/>
      <c r="G396" s="1076"/>
    </row>
    <row r="397" spans="2:7" x14ac:dyDescent="0.2">
      <c r="E397" s="1076"/>
      <c r="F397" s="1076"/>
      <c r="G397" s="1076"/>
    </row>
    <row r="398" spans="2:7" x14ac:dyDescent="0.2">
      <c r="E398" s="1076"/>
      <c r="F398" s="1076"/>
      <c r="G398" s="1076"/>
    </row>
    <row r="399" spans="2:7" x14ac:dyDescent="0.2">
      <c r="B399" s="1064"/>
      <c r="E399" s="1076"/>
      <c r="F399" s="1076"/>
      <c r="G399" s="1076"/>
    </row>
    <row r="400" spans="2:7" x14ac:dyDescent="0.2">
      <c r="E400" s="1076"/>
      <c r="F400" s="1076"/>
      <c r="G400" s="1076"/>
    </row>
    <row r="401" spans="2:7" x14ac:dyDescent="0.2">
      <c r="E401" s="1076"/>
      <c r="F401" s="1076"/>
      <c r="G401" s="1076"/>
    </row>
    <row r="402" spans="2:7" x14ac:dyDescent="0.2">
      <c r="E402" s="1076"/>
      <c r="F402" s="1076"/>
      <c r="G402" s="1076"/>
    </row>
    <row r="403" spans="2:7" x14ac:dyDescent="0.2">
      <c r="B403" s="1064"/>
      <c r="E403" s="1076"/>
      <c r="F403" s="1076"/>
      <c r="G403" s="1076"/>
    </row>
    <row r="404" spans="2:7" x14ac:dyDescent="0.2">
      <c r="E404" s="1076"/>
      <c r="F404" s="1076"/>
      <c r="G404" s="1076"/>
    </row>
    <row r="405" spans="2:7" x14ac:dyDescent="0.2">
      <c r="E405" s="1076"/>
      <c r="F405" s="1076"/>
      <c r="G405" s="1076"/>
    </row>
    <row r="406" spans="2:7" x14ac:dyDescent="0.2">
      <c r="E406" s="1076"/>
      <c r="F406" s="1076"/>
      <c r="G406" s="1076"/>
    </row>
    <row r="407" spans="2:7" x14ac:dyDescent="0.2">
      <c r="B407" s="1064"/>
      <c r="E407" s="1076"/>
      <c r="F407" s="1076"/>
      <c r="G407" s="1076"/>
    </row>
    <row r="408" spans="2:7" x14ac:dyDescent="0.2">
      <c r="B408" s="1064"/>
      <c r="E408" s="1076"/>
      <c r="F408" s="1076"/>
      <c r="G408" s="1076"/>
    </row>
    <row r="409" spans="2:7" x14ac:dyDescent="0.2">
      <c r="E409" s="1076"/>
      <c r="F409" s="1076"/>
      <c r="G409" s="1076"/>
    </row>
    <row r="410" spans="2:7" x14ac:dyDescent="0.2">
      <c r="E410" s="1076"/>
      <c r="F410" s="1076"/>
      <c r="G410" s="1076"/>
    </row>
    <row r="411" spans="2:7" x14ac:dyDescent="0.2">
      <c r="E411" s="1076"/>
      <c r="F411" s="1076"/>
      <c r="G411" s="1076"/>
    </row>
    <row r="412" spans="2:7" x14ac:dyDescent="0.2">
      <c r="E412" s="1076"/>
      <c r="F412" s="1076"/>
      <c r="G412" s="1076"/>
    </row>
    <row r="413" spans="2:7" x14ac:dyDescent="0.2">
      <c r="E413" s="1076"/>
      <c r="F413" s="1076"/>
      <c r="G413" s="1076"/>
    </row>
    <row r="414" spans="2:7" x14ac:dyDescent="0.2">
      <c r="E414" s="1076"/>
      <c r="F414" s="1076"/>
      <c r="G414" s="1076"/>
    </row>
    <row r="415" spans="2:7" x14ac:dyDescent="0.2">
      <c r="E415" s="1076"/>
      <c r="F415" s="1076"/>
      <c r="G415" s="1076"/>
    </row>
    <row r="416" spans="2:7" x14ac:dyDescent="0.2">
      <c r="E416" s="1076"/>
      <c r="F416" s="1076"/>
      <c r="G416" s="1076"/>
    </row>
    <row r="417" spans="2:7" x14ac:dyDescent="0.2">
      <c r="E417" s="1076"/>
      <c r="F417" s="1076"/>
      <c r="G417" s="1076"/>
    </row>
    <row r="418" spans="2:7" x14ac:dyDescent="0.2">
      <c r="E418" s="1076"/>
      <c r="F418" s="1076"/>
      <c r="G418" s="1076"/>
    </row>
    <row r="419" spans="2:7" x14ac:dyDescent="0.2">
      <c r="B419" s="1064"/>
      <c r="E419" s="1076"/>
      <c r="F419" s="1076"/>
      <c r="G419" s="1076"/>
    </row>
    <row r="420" spans="2:7" x14ac:dyDescent="0.2">
      <c r="B420" s="1064"/>
      <c r="E420" s="1076"/>
      <c r="F420" s="1076"/>
      <c r="G420" s="1076"/>
    </row>
    <row r="421" spans="2:7" x14ac:dyDescent="0.2">
      <c r="E421" s="1076"/>
      <c r="F421" s="1076"/>
      <c r="G421" s="1076"/>
    </row>
    <row r="422" spans="2:7" x14ac:dyDescent="0.2">
      <c r="E422" s="1076"/>
      <c r="F422" s="1076"/>
      <c r="G422" s="1076"/>
    </row>
    <row r="423" spans="2:7" x14ac:dyDescent="0.2">
      <c r="E423" s="1076"/>
      <c r="F423" s="1076"/>
      <c r="G423" s="1076"/>
    </row>
    <row r="424" spans="2:7" x14ac:dyDescent="0.2">
      <c r="E424" s="1076"/>
      <c r="F424" s="1076"/>
      <c r="G424" s="1076"/>
    </row>
    <row r="425" spans="2:7" x14ac:dyDescent="0.2">
      <c r="E425" s="1076"/>
      <c r="F425" s="1076"/>
      <c r="G425" s="1076"/>
    </row>
    <row r="426" spans="2:7" x14ac:dyDescent="0.2">
      <c r="B426" s="1064"/>
      <c r="E426" s="1076"/>
      <c r="F426" s="1076"/>
      <c r="G426" s="1076"/>
    </row>
    <row r="427" spans="2:7" x14ac:dyDescent="0.2">
      <c r="B427" s="1064"/>
      <c r="E427" s="1076"/>
      <c r="F427" s="1076"/>
      <c r="G427" s="1076"/>
    </row>
    <row r="428" spans="2:7" x14ac:dyDescent="0.2">
      <c r="E428" s="1076"/>
      <c r="F428" s="1076"/>
      <c r="G428" s="1076"/>
    </row>
    <row r="429" spans="2:7" x14ac:dyDescent="0.2">
      <c r="E429" s="1076"/>
      <c r="F429" s="1076"/>
      <c r="G429" s="1076"/>
    </row>
    <row r="430" spans="2:7" x14ac:dyDescent="0.2">
      <c r="B430" s="1064"/>
      <c r="E430" s="1076"/>
      <c r="F430" s="1076"/>
      <c r="G430" s="1076"/>
    </row>
    <row r="431" spans="2:7" x14ac:dyDescent="0.2">
      <c r="E431" s="1076"/>
      <c r="F431" s="1076"/>
      <c r="G431" s="1076"/>
    </row>
    <row r="432" spans="2:7" x14ac:dyDescent="0.2">
      <c r="E432" s="1076"/>
      <c r="F432" s="1076"/>
      <c r="G432" s="1076"/>
    </row>
    <row r="433" spans="2:7" x14ac:dyDescent="0.2">
      <c r="E433" s="1076"/>
      <c r="F433" s="1076"/>
      <c r="G433" s="1076"/>
    </row>
    <row r="434" spans="2:7" x14ac:dyDescent="0.2">
      <c r="E434" s="1076"/>
      <c r="F434" s="1076"/>
      <c r="G434" s="1076"/>
    </row>
    <row r="435" spans="2:7" x14ac:dyDescent="0.2">
      <c r="B435" s="1064"/>
      <c r="E435" s="1076"/>
      <c r="F435" s="1076"/>
      <c r="G435" s="1076"/>
    </row>
    <row r="436" spans="2:7" x14ac:dyDescent="0.2">
      <c r="E436" s="1076"/>
      <c r="F436" s="1076"/>
      <c r="G436" s="1076"/>
    </row>
    <row r="437" spans="2:7" x14ac:dyDescent="0.2">
      <c r="E437" s="1076"/>
      <c r="F437" s="1076"/>
      <c r="G437" s="1076"/>
    </row>
    <row r="438" spans="2:7" x14ac:dyDescent="0.2">
      <c r="E438" s="1076"/>
      <c r="F438" s="1076"/>
      <c r="G438" s="1076"/>
    </row>
    <row r="439" spans="2:7" x14ac:dyDescent="0.2">
      <c r="B439" s="1064"/>
      <c r="E439" s="1076"/>
      <c r="F439" s="1076"/>
      <c r="G439" s="1076"/>
    </row>
    <row r="440" spans="2:7" x14ac:dyDescent="0.2">
      <c r="E440" s="1076"/>
      <c r="F440" s="1076"/>
      <c r="G440" s="1076"/>
    </row>
    <row r="441" spans="2:7" x14ac:dyDescent="0.2">
      <c r="E441" s="1076"/>
      <c r="F441" s="1076"/>
      <c r="G441" s="1076"/>
    </row>
    <row r="442" spans="2:7" x14ac:dyDescent="0.2">
      <c r="E442" s="1076"/>
      <c r="F442" s="1076"/>
      <c r="G442" s="1076"/>
    </row>
    <row r="443" spans="2:7" x14ac:dyDescent="0.2">
      <c r="E443" s="1076"/>
      <c r="F443" s="1076"/>
      <c r="G443" s="1076"/>
    </row>
    <row r="444" spans="2:7" x14ac:dyDescent="0.2">
      <c r="B444" s="1064"/>
      <c r="E444" s="1076"/>
      <c r="F444" s="1076"/>
      <c r="G444" s="1076"/>
    </row>
    <row r="445" spans="2:7" x14ac:dyDescent="0.2">
      <c r="E445" s="1076"/>
      <c r="F445" s="1076"/>
      <c r="G445" s="1076"/>
    </row>
    <row r="446" spans="2:7" x14ac:dyDescent="0.2">
      <c r="E446" s="1076"/>
      <c r="F446" s="1076"/>
      <c r="G446" s="1076"/>
    </row>
    <row r="447" spans="2:7" x14ac:dyDescent="0.2">
      <c r="E447" s="1076"/>
      <c r="F447" s="1076"/>
      <c r="G447" s="1076"/>
    </row>
    <row r="448" spans="2:7" x14ac:dyDescent="0.2">
      <c r="E448" s="1076"/>
      <c r="F448" s="1076"/>
      <c r="G448" s="1076"/>
    </row>
    <row r="449" spans="2:7" x14ac:dyDescent="0.2">
      <c r="E449" s="1076"/>
      <c r="F449" s="1076"/>
      <c r="G449" s="1076"/>
    </row>
    <row r="450" spans="2:7" x14ac:dyDescent="0.2">
      <c r="E450" s="1076"/>
      <c r="F450" s="1076"/>
      <c r="G450" s="1076"/>
    </row>
    <row r="451" spans="2:7" x14ac:dyDescent="0.2">
      <c r="E451" s="1076"/>
      <c r="F451" s="1076"/>
      <c r="G451" s="1076"/>
    </row>
    <row r="452" spans="2:7" x14ac:dyDescent="0.2">
      <c r="B452" s="1064"/>
      <c r="E452" s="1076"/>
      <c r="F452" s="1076"/>
      <c r="G452" s="1076"/>
    </row>
    <row r="453" spans="2:7" x14ac:dyDescent="0.2">
      <c r="E453" s="1076"/>
      <c r="F453" s="1076"/>
      <c r="G453" s="1076"/>
    </row>
    <row r="454" spans="2:7" x14ac:dyDescent="0.2">
      <c r="E454" s="1076"/>
      <c r="F454" s="1076"/>
      <c r="G454" s="1076"/>
    </row>
    <row r="455" spans="2:7" x14ac:dyDescent="0.2">
      <c r="E455" s="1076"/>
      <c r="F455" s="1076"/>
      <c r="G455" s="1076"/>
    </row>
    <row r="456" spans="2:7" x14ac:dyDescent="0.2">
      <c r="E456" s="1076"/>
      <c r="F456" s="1076"/>
      <c r="G456" s="1076"/>
    </row>
    <row r="457" spans="2:7" x14ac:dyDescent="0.2">
      <c r="E457" s="1076"/>
      <c r="F457" s="1076"/>
      <c r="G457" s="1076"/>
    </row>
    <row r="458" spans="2:7" x14ac:dyDescent="0.2">
      <c r="E458" s="1076"/>
      <c r="F458" s="1076"/>
      <c r="G458" s="1076"/>
    </row>
    <row r="459" spans="2:7" x14ac:dyDescent="0.2">
      <c r="E459" s="1076"/>
      <c r="F459" s="1076"/>
      <c r="G459" s="1076"/>
    </row>
    <row r="460" spans="2:7" x14ac:dyDescent="0.2">
      <c r="E460" s="1076"/>
      <c r="F460" s="1076"/>
      <c r="G460" s="1076"/>
    </row>
    <row r="461" spans="2:7" x14ac:dyDescent="0.2">
      <c r="E461" s="1076"/>
      <c r="F461" s="1076"/>
      <c r="G461" s="1076"/>
    </row>
    <row r="462" spans="2:7" x14ac:dyDescent="0.2">
      <c r="E462" s="1076"/>
      <c r="F462" s="1076"/>
      <c r="G462" s="1076"/>
    </row>
    <row r="463" spans="2:7" x14ac:dyDescent="0.2">
      <c r="E463" s="1076"/>
      <c r="F463" s="1076"/>
      <c r="G463" s="1076"/>
    </row>
    <row r="464" spans="2:7" x14ac:dyDescent="0.2">
      <c r="E464" s="1076"/>
      <c r="F464" s="1076"/>
      <c r="G464" s="1076"/>
    </row>
    <row r="465" spans="5:7" x14ac:dyDescent="0.2">
      <c r="E465" s="1076"/>
      <c r="F465" s="1076"/>
      <c r="G465" s="1076"/>
    </row>
    <row r="466" spans="5:7" x14ac:dyDescent="0.2">
      <c r="E466" s="1076"/>
      <c r="F466" s="1076"/>
      <c r="G466" s="1076"/>
    </row>
    <row r="467" spans="5:7" x14ac:dyDescent="0.2">
      <c r="E467" s="1076"/>
      <c r="F467" s="1076"/>
      <c r="G467" s="1076"/>
    </row>
    <row r="468" spans="5:7" x14ac:dyDescent="0.2">
      <c r="E468" s="1076"/>
      <c r="F468" s="1076"/>
      <c r="G468" s="1076"/>
    </row>
    <row r="469" spans="5:7" x14ac:dyDescent="0.2">
      <c r="E469" s="1076"/>
      <c r="F469" s="1076"/>
      <c r="G469" s="1076"/>
    </row>
    <row r="470" spans="5:7" x14ac:dyDescent="0.2">
      <c r="E470" s="1076"/>
      <c r="F470" s="1076"/>
      <c r="G470" s="1076"/>
    </row>
    <row r="471" spans="5:7" x14ac:dyDescent="0.2">
      <c r="E471" s="1076"/>
      <c r="F471" s="1076"/>
      <c r="G471" s="1076"/>
    </row>
    <row r="472" spans="5:7" x14ac:dyDescent="0.2">
      <c r="E472" s="1076"/>
      <c r="F472" s="1076"/>
      <c r="G472" s="1076"/>
    </row>
    <row r="473" spans="5:7" x14ac:dyDescent="0.2">
      <c r="E473" s="1076"/>
      <c r="F473" s="1076"/>
      <c r="G473" s="1076"/>
    </row>
    <row r="474" spans="5:7" x14ac:dyDescent="0.2">
      <c r="E474" s="1076"/>
      <c r="F474" s="1076"/>
      <c r="G474" s="1076"/>
    </row>
    <row r="475" spans="5:7" x14ac:dyDescent="0.2">
      <c r="E475" s="1076"/>
      <c r="F475" s="1076"/>
      <c r="G475" s="1076"/>
    </row>
    <row r="476" spans="5:7" x14ac:dyDescent="0.2">
      <c r="E476" s="1076"/>
      <c r="F476" s="1076"/>
      <c r="G476" s="1076"/>
    </row>
    <row r="477" spans="5:7" x14ac:dyDescent="0.2">
      <c r="E477" s="1076"/>
      <c r="F477" s="1076"/>
      <c r="G477" s="1076"/>
    </row>
    <row r="478" spans="5:7" x14ac:dyDescent="0.2">
      <c r="E478" s="1076"/>
      <c r="F478" s="1076"/>
      <c r="G478" s="1076"/>
    </row>
    <row r="479" spans="5:7" x14ac:dyDescent="0.2">
      <c r="E479" s="1076"/>
      <c r="F479" s="1076"/>
      <c r="G479" s="1076"/>
    </row>
    <row r="480" spans="5:7" x14ac:dyDescent="0.2">
      <c r="E480" s="1076"/>
      <c r="F480" s="1076"/>
      <c r="G480" s="1076"/>
    </row>
    <row r="481" spans="5:7" x14ac:dyDescent="0.2">
      <c r="E481" s="1076"/>
      <c r="F481" s="1076"/>
      <c r="G481" s="1076"/>
    </row>
    <row r="482" spans="5:7" x14ac:dyDescent="0.2">
      <c r="E482" s="1076"/>
      <c r="F482" s="1076"/>
      <c r="G482" s="1076"/>
    </row>
    <row r="483" spans="5:7" x14ac:dyDescent="0.2">
      <c r="E483" s="1076"/>
      <c r="F483" s="1076"/>
      <c r="G483" s="1076"/>
    </row>
    <row r="484" spans="5:7" x14ac:dyDescent="0.2">
      <c r="E484" s="1076"/>
      <c r="F484" s="1076"/>
      <c r="G484" s="1076"/>
    </row>
    <row r="485" spans="5:7" x14ac:dyDescent="0.2">
      <c r="E485" s="1076"/>
      <c r="F485" s="1076"/>
      <c r="G485" s="1076"/>
    </row>
    <row r="486" spans="5:7" x14ac:dyDescent="0.2">
      <c r="E486" s="1076"/>
      <c r="F486" s="1076"/>
      <c r="G486" s="1076"/>
    </row>
    <row r="487" spans="5:7" x14ac:dyDescent="0.2">
      <c r="E487" s="1076"/>
      <c r="F487" s="1076"/>
      <c r="G487" s="1076"/>
    </row>
    <row r="488" spans="5:7" x14ac:dyDescent="0.2">
      <c r="E488" s="1076"/>
      <c r="F488" s="1076"/>
      <c r="G488" s="1076"/>
    </row>
    <row r="489" spans="5:7" x14ac:dyDescent="0.2">
      <c r="E489" s="1076"/>
      <c r="F489" s="1076"/>
      <c r="G489" s="1076"/>
    </row>
    <row r="490" spans="5:7" x14ac:dyDescent="0.2">
      <c r="E490" s="1076"/>
      <c r="F490" s="1076"/>
      <c r="G490" s="1076"/>
    </row>
    <row r="491" spans="5:7" x14ac:dyDescent="0.2">
      <c r="E491" s="1076"/>
      <c r="F491" s="1076"/>
      <c r="G491" s="1076"/>
    </row>
    <row r="492" spans="5:7" x14ac:dyDescent="0.2">
      <c r="E492" s="1076"/>
      <c r="F492" s="1076"/>
      <c r="G492" s="1076"/>
    </row>
    <row r="493" spans="5:7" x14ac:dyDescent="0.2">
      <c r="E493" s="1076"/>
      <c r="F493" s="1076"/>
      <c r="G493" s="1076"/>
    </row>
    <row r="494" spans="5:7" x14ac:dyDescent="0.2">
      <c r="E494" s="1076"/>
      <c r="F494" s="1076"/>
      <c r="G494" s="1076"/>
    </row>
    <row r="495" spans="5:7" x14ac:dyDescent="0.2">
      <c r="E495" s="1076"/>
      <c r="F495" s="1076"/>
      <c r="G495" s="1076"/>
    </row>
    <row r="496" spans="5:7" x14ac:dyDescent="0.2">
      <c r="E496" s="1076"/>
      <c r="F496" s="1076"/>
      <c r="G496" s="1076"/>
    </row>
    <row r="497" spans="5:7" x14ac:dyDescent="0.2">
      <c r="E497" s="1076"/>
      <c r="F497" s="1076"/>
      <c r="G497" s="1076"/>
    </row>
    <row r="498" spans="5:7" x14ac:dyDescent="0.2">
      <c r="E498" s="1076"/>
      <c r="F498" s="1076"/>
      <c r="G498" s="1076"/>
    </row>
    <row r="499" spans="5:7" x14ac:dyDescent="0.2">
      <c r="E499" s="1076"/>
      <c r="F499" s="1076"/>
      <c r="G499" s="1076"/>
    </row>
    <row r="500" spans="5:7" x14ac:dyDescent="0.2">
      <c r="E500" s="1076"/>
      <c r="F500" s="1076"/>
      <c r="G500" s="1076"/>
    </row>
    <row r="501" spans="5:7" x14ac:dyDescent="0.2">
      <c r="E501" s="1076"/>
      <c r="F501" s="1076"/>
      <c r="G501" s="1076"/>
    </row>
    <row r="502" spans="5:7" x14ac:dyDescent="0.2">
      <c r="E502" s="1076"/>
      <c r="F502" s="1076"/>
      <c r="G502" s="1076"/>
    </row>
    <row r="503" spans="5:7" x14ac:dyDescent="0.2">
      <c r="E503" s="1076"/>
      <c r="F503" s="1076"/>
      <c r="G503" s="1076"/>
    </row>
    <row r="504" spans="5:7" x14ac:dyDescent="0.2">
      <c r="E504" s="1076"/>
      <c r="F504" s="1076"/>
      <c r="G504" s="1076"/>
    </row>
    <row r="505" spans="5:7" x14ac:dyDescent="0.2">
      <c r="E505" s="1076"/>
      <c r="F505" s="1076"/>
      <c r="G505" s="1076"/>
    </row>
    <row r="506" spans="5:7" x14ac:dyDescent="0.2">
      <c r="E506" s="1076"/>
      <c r="F506" s="1076"/>
      <c r="G506" s="1076"/>
    </row>
    <row r="507" spans="5:7" x14ac:dyDescent="0.2">
      <c r="E507" s="1076"/>
      <c r="F507" s="1076"/>
      <c r="G507" s="1076"/>
    </row>
    <row r="508" spans="5:7" x14ac:dyDescent="0.2">
      <c r="E508" s="1076"/>
      <c r="F508" s="1076"/>
      <c r="G508" s="1076"/>
    </row>
    <row r="509" spans="5:7" x14ac:dyDescent="0.2">
      <c r="E509" s="1076"/>
      <c r="F509" s="1076"/>
      <c r="G509" s="1076"/>
    </row>
    <row r="510" spans="5:7" x14ac:dyDescent="0.2">
      <c r="E510" s="1076"/>
      <c r="F510" s="1076"/>
      <c r="G510" s="1076"/>
    </row>
    <row r="511" spans="5:7" x14ac:dyDescent="0.2">
      <c r="E511" s="1076"/>
      <c r="F511" s="1076"/>
      <c r="G511" s="1076"/>
    </row>
    <row r="512" spans="5:7" x14ac:dyDescent="0.2">
      <c r="E512" s="1076"/>
      <c r="F512" s="1076"/>
      <c r="G512" s="1076"/>
    </row>
    <row r="513" spans="5:7" x14ac:dyDescent="0.2">
      <c r="E513" s="1076"/>
      <c r="F513" s="1076"/>
      <c r="G513" s="1076"/>
    </row>
    <row r="514" spans="5:7" x14ac:dyDescent="0.2">
      <c r="E514" s="1076"/>
      <c r="F514" s="1076"/>
      <c r="G514" s="1076"/>
    </row>
    <row r="515" spans="5:7" x14ac:dyDescent="0.2">
      <c r="E515" s="1076"/>
      <c r="F515" s="1076"/>
      <c r="G515" s="1076"/>
    </row>
    <row r="516" spans="5:7" x14ac:dyDescent="0.2">
      <c r="E516" s="1076"/>
      <c r="F516" s="1076"/>
      <c r="G516" s="1076"/>
    </row>
    <row r="517" spans="5:7" x14ac:dyDescent="0.2">
      <c r="E517" s="1076"/>
      <c r="F517" s="1076"/>
      <c r="G517" s="1076"/>
    </row>
    <row r="518" spans="5:7" x14ac:dyDescent="0.2">
      <c r="E518" s="1076"/>
      <c r="F518" s="1076"/>
      <c r="G518" s="1076"/>
    </row>
    <row r="519" spans="5:7" x14ac:dyDescent="0.2">
      <c r="E519" s="1076"/>
      <c r="F519" s="1076"/>
      <c r="G519" s="1076"/>
    </row>
    <row r="520" spans="5:7" x14ac:dyDescent="0.2">
      <c r="E520" s="1076"/>
      <c r="F520" s="1076"/>
      <c r="G520" s="1076"/>
    </row>
    <row r="521" spans="5:7" x14ac:dyDescent="0.2">
      <c r="E521" s="1076"/>
      <c r="F521" s="1076"/>
      <c r="G521" s="1076"/>
    </row>
    <row r="522" spans="5:7" x14ac:dyDescent="0.2">
      <c r="E522" s="1076"/>
      <c r="F522" s="1076"/>
      <c r="G522" s="1076"/>
    </row>
    <row r="523" spans="5:7" x14ac:dyDescent="0.2">
      <c r="E523" s="1076"/>
      <c r="F523" s="1076"/>
      <c r="G523" s="1076"/>
    </row>
    <row r="524" spans="5:7" x14ac:dyDescent="0.2">
      <c r="E524" s="1076"/>
      <c r="F524" s="1076"/>
      <c r="G524" s="1076"/>
    </row>
    <row r="525" spans="5:7" x14ac:dyDescent="0.2">
      <c r="E525" s="1076"/>
      <c r="F525" s="1076"/>
      <c r="G525" s="1076"/>
    </row>
    <row r="526" spans="5:7" x14ac:dyDescent="0.2">
      <c r="E526" s="1076"/>
      <c r="F526" s="1076"/>
      <c r="G526" s="1076"/>
    </row>
    <row r="527" spans="5:7" x14ac:dyDescent="0.2">
      <c r="E527" s="1076"/>
      <c r="F527" s="1076"/>
      <c r="G527" s="1076"/>
    </row>
    <row r="528" spans="5:7" x14ac:dyDescent="0.2">
      <c r="E528" s="1076"/>
      <c r="F528" s="1076"/>
      <c r="G528" s="1076"/>
    </row>
    <row r="529" spans="5:7" x14ac:dyDescent="0.2">
      <c r="E529" s="1076"/>
      <c r="F529" s="1076"/>
      <c r="G529" s="1076"/>
    </row>
    <row r="530" spans="5:7" x14ac:dyDescent="0.2">
      <c r="E530" s="1076"/>
      <c r="F530" s="1076"/>
      <c r="G530" s="1076"/>
    </row>
    <row r="531" spans="5:7" x14ac:dyDescent="0.2">
      <c r="E531" s="1076"/>
      <c r="F531" s="1076"/>
      <c r="G531" s="1076"/>
    </row>
    <row r="532" spans="5:7" x14ac:dyDescent="0.2">
      <c r="E532" s="1076"/>
      <c r="F532" s="1076"/>
      <c r="G532" s="1076"/>
    </row>
    <row r="533" spans="5:7" x14ac:dyDescent="0.2">
      <c r="E533" s="1076"/>
      <c r="F533" s="1076"/>
      <c r="G533" s="1076"/>
    </row>
    <row r="534" spans="5:7" x14ac:dyDescent="0.2">
      <c r="E534" s="1076"/>
      <c r="F534" s="1076"/>
      <c r="G534" s="1076"/>
    </row>
    <row r="535" spans="5:7" x14ac:dyDescent="0.2">
      <c r="E535" s="1076"/>
      <c r="F535" s="1076"/>
      <c r="G535" s="1076"/>
    </row>
    <row r="536" spans="5:7" x14ac:dyDescent="0.2">
      <c r="E536" s="1076"/>
      <c r="F536" s="1076"/>
      <c r="G536" s="1076"/>
    </row>
    <row r="537" spans="5:7" x14ac:dyDescent="0.2">
      <c r="E537" s="1076"/>
      <c r="F537" s="1076"/>
      <c r="G537" s="1076"/>
    </row>
    <row r="538" spans="5:7" x14ac:dyDescent="0.2">
      <c r="E538" s="1076"/>
      <c r="F538" s="1076"/>
      <c r="G538" s="1076"/>
    </row>
    <row r="539" spans="5:7" x14ac:dyDescent="0.2">
      <c r="E539" s="1076"/>
      <c r="F539" s="1076"/>
      <c r="G539" s="1076"/>
    </row>
    <row r="540" spans="5:7" x14ac:dyDescent="0.2">
      <c r="E540" s="1076"/>
      <c r="F540" s="1076"/>
      <c r="G540" s="1076"/>
    </row>
    <row r="541" spans="5:7" x14ac:dyDescent="0.2">
      <c r="E541" s="1076"/>
      <c r="F541" s="1076"/>
      <c r="G541" s="1076"/>
    </row>
    <row r="542" spans="5:7" x14ac:dyDescent="0.2">
      <c r="E542" s="1076"/>
      <c r="F542" s="1076"/>
      <c r="G542" s="1076"/>
    </row>
    <row r="543" spans="5:7" x14ac:dyDescent="0.2">
      <c r="E543" s="1076"/>
      <c r="F543" s="1076"/>
      <c r="G543" s="1076"/>
    </row>
    <row r="544" spans="5:7" x14ac:dyDescent="0.2">
      <c r="E544" s="1076"/>
      <c r="F544" s="1076"/>
      <c r="G544" s="1076"/>
    </row>
    <row r="545" spans="5:7" x14ac:dyDescent="0.2">
      <c r="E545" s="1076"/>
      <c r="F545" s="1076"/>
      <c r="G545" s="1076"/>
    </row>
    <row r="546" spans="5:7" x14ac:dyDescent="0.2">
      <c r="E546" s="1076"/>
      <c r="F546" s="1076"/>
      <c r="G546" s="1076"/>
    </row>
    <row r="547" spans="5:7" x14ac:dyDescent="0.2">
      <c r="E547" s="1076"/>
      <c r="F547" s="1076"/>
      <c r="G547" s="1076"/>
    </row>
    <row r="548" spans="5:7" x14ac:dyDescent="0.2">
      <c r="E548" s="1076"/>
      <c r="F548" s="1076"/>
      <c r="G548" s="1076"/>
    </row>
    <row r="549" spans="5:7" x14ac:dyDescent="0.2">
      <c r="E549" s="1076"/>
      <c r="F549" s="1076"/>
      <c r="G549" s="1076"/>
    </row>
    <row r="550" spans="5:7" x14ac:dyDescent="0.2">
      <c r="E550" s="1076"/>
      <c r="F550" s="1076"/>
      <c r="G550" s="1076"/>
    </row>
    <row r="551" spans="5:7" x14ac:dyDescent="0.2">
      <c r="E551" s="1076"/>
      <c r="F551" s="1076"/>
      <c r="G551" s="1076"/>
    </row>
    <row r="552" spans="5:7" x14ac:dyDescent="0.2">
      <c r="E552" s="1076"/>
      <c r="F552" s="1076"/>
      <c r="G552" s="1076"/>
    </row>
    <row r="553" spans="5:7" x14ac:dyDescent="0.2">
      <c r="E553" s="1076"/>
      <c r="F553" s="1076"/>
      <c r="G553" s="1076"/>
    </row>
    <row r="554" spans="5:7" x14ac:dyDescent="0.2">
      <c r="E554" s="1076"/>
      <c r="F554" s="1076"/>
      <c r="G554" s="1076"/>
    </row>
    <row r="555" spans="5:7" x14ac:dyDescent="0.2">
      <c r="E555" s="1076"/>
      <c r="F555" s="1076"/>
      <c r="G555" s="1076"/>
    </row>
    <row r="556" spans="5:7" x14ac:dyDescent="0.2">
      <c r="E556" s="1076"/>
      <c r="F556" s="1076"/>
      <c r="G556" s="1076"/>
    </row>
    <row r="557" spans="5:7" x14ac:dyDescent="0.2">
      <c r="E557" s="1076"/>
      <c r="F557" s="1076"/>
      <c r="G557" s="1076"/>
    </row>
    <row r="558" spans="5:7" x14ac:dyDescent="0.2">
      <c r="E558" s="1076"/>
      <c r="F558" s="1076"/>
      <c r="G558" s="1076"/>
    </row>
    <row r="559" spans="5:7" x14ac:dyDescent="0.2">
      <c r="E559" s="1076"/>
      <c r="F559" s="1076"/>
      <c r="G559" s="1076"/>
    </row>
    <row r="560" spans="5:7" x14ac:dyDescent="0.2">
      <c r="E560" s="1076"/>
      <c r="F560" s="1076"/>
      <c r="G560" s="1076"/>
    </row>
    <row r="561" spans="5:7" x14ac:dyDescent="0.2">
      <c r="E561" s="1076"/>
      <c r="F561" s="1076"/>
      <c r="G561" s="1076"/>
    </row>
    <row r="562" spans="5:7" x14ac:dyDescent="0.2">
      <c r="E562" s="1076"/>
      <c r="F562" s="1076"/>
      <c r="G562" s="1076"/>
    </row>
    <row r="563" spans="5:7" x14ac:dyDescent="0.2">
      <c r="E563" s="1076"/>
      <c r="F563" s="1076"/>
      <c r="G563" s="1076"/>
    </row>
    <row r="564" spans="5:7" x14ac:dyDescent="0.2">
      <c r="E564" s="1076"/>
      <c r="F564" s="1076"/>
      <c r="G564" s="1076"/>
    </row>
    <row r="565" spans="5:7" x14ac:dyDescent="0.2">
      <c r="E565" s="1076"/>
      <c r="F565" s="1076"/>
      <c r="G565" s="1076"/>
    </row>
    <row r="566" spans="5:7" x14ac:dyDescent="0.2">
      <c r="E566" s="1076"/>
      <c r="F566" s="1076"/>
      <c r="G566" s="1076"/>
    </row>
    <row r="567" spans="5:7" x14ac:dyDescent="0.2">
      <c r="E567" s="1076"/>
      <c r="F567" s="1076"/>
      <c r="G567" s="1076"/>
    </row>
    <row r="568" spans="5:7" x14ac:dyDescent="0.2">
      <c r="E568" s="1076"/>
      <c r="F568" s="1076"/>
      <c r="G568" s="1076"/>
    </row>
    <row r="569" spans="5:7" x14ac:dyDescent="0.2">
      <c r="E569" s="1076"/>
      <c r="F569" s="1076"/>
      <c r="G569" s="1076"/>
    </row>
    <row r="570" spans="5:7" x14ac:dyDescent="0.2">
      <c r="E570" s="1076"/>
      <c r="F570" s="1076"/>
      <c r="G570" s="1076"/>
    </row>
    <row r="571" spans="5:7" x14ac:dyDescent="0.2">
      <c r="E571" s="1076"/>
      <c r="F571" s="1076"/>
      <c r="G571" s="1076"/>
    </row>
    <row r="572" spans="5:7" x14ac:dyDescent="0.2">
      <c r="E572" s="1076"/>
      <c r="F572" s="1076"/>
      <c r="G572" s="1076"/>
    </row>
    <row r="573" spans="5:7" x14ac:dyDescent="0.2">
      <c r="E573" s="1076"/>
      <c r="F573" s="1076"/>
      <c r="G573" s="1076"/>
    </row>
    <row r="574" spans="5:7" x14ac:dyDescent="0.2">
      <c r="E574" s="1076"/>
      <c r="F574" s="1076"/>
      <c r="G574" s="1076"/>
    </row>
    <row r="575" spans="5:7" x14ac:dyDescent="0.2">
      <c r="E575" s="1076"/>
      <c r="F575" s="1076"/>
      <c r="G575" s="1076"/>
    </row>
    <row r="576" spans="5:7" x14ac:dyDescent="0.2">
      <c r="E576" s="1076"/>
      <c r="F576" s="1076"/>
      <c r="G576" s="1076"/>
    </row>
    <row r="577" spans="5:7" x14ac:dyDescent="0.2">
      <c r="E577" s="1076"/>
      <c r="F577" s="1076"/>
      <c r="G577" s="1076"/>
    </row>
    <row r="578" spans="5:7" x14ac:dyDescent="0.2">
      <c r="E578" s="1076"/>
      <c r="F578" s="1076"/>
      <c r="G578" s="1076"/>
    </row>
    <row r="579" spans="5:7" x14ac:dyDescent="0.2">
      <c r="E579" s="1076"/>
      <c r="F579" s="1076"/>
      <c r="G579" s="1076"/>
    </row>
    <row r="580" spans="5:7" x14ac:dyDescent="0.2">
      <c r="E580" s="1076"/>
      <c r="F580" s="1076"/>
      <c r="G580" s="1076"/>
    </row>
    <row r="581" spans="5:7" x14ac:dyDescent="0.2">
      <c r="E581" s="1076"/>
      <c r="F581" s="1076"/>
      <c r="G581" s="1076"/>
    </row>
    <row r="582" spans="5:7" x14ac:dyDescent="0.2">
      <c r="E582" s="1076"/>
      <c r="F582" s="1076"/>
      <c r="G582" s="1076"/>
    </row>
    <row r="583" spans="5:7" x14ac:dyDescent="0.2">
      <c r="E583" s="1076"/>
      <c r="F583" s="1076"/>
      <c r="G583" s="1076"/>
    </row>
    <row r="584" spans="5:7" x14ac:dyDescent="0.2">
      <c r="E584" s="1076"/>
      <c r="F584" s="1076"/>
      <c r="G584" s="1076"/>
    </row>
    <row r="585" spans="5:7" x14ac:dyDescent="0.2">
      <c r="E585" s="1076"/>
      <c r="F585" s="1076"/>
      <c r="G585" s="1076"/>
    </row>
    <row r="586" spans="5:7" x14ac:dyDescent="0.2">
      <c r="E586" s="1076"/>
      <c r="F586" s="1076"/>
      <c r="G586" s="1076"/>
    </row>
    <row r="587" spans="5:7" x14ac:dyDescent="0.2">
      <c r="E587" s="1076"/>
      <c r="F587" s="1076"/>
      <c r="G587" s="1076"/>
    </row>
    <row r="588" spans="5:7" x14ac:dyDescent="0.2">
      <c r="E588" s="1076"/>
      <c r="F588" s="1076"/>
      <c r="G588" s="1076"/>
    </row>
    <row r="589" spans="5:7" x14ac:dyDescent="0.2">
      <c r="E589" s="1076"/>
      <c r="F589" s="1076"/>
      <c r="G589" s="1076"/>
    </row>
    <row r="590" spans="5:7" x14ac:dyDescent="0.2">
      <c r="E590" s="1076"/>
      <c r="F590" s="1076"/>
      <c r="G590" s="1076"/>
    </row>
    <row r="591" spans="5:7" x14ac:dyDescent="0.2">
      <c r="E591" s="1076"/>
      <c r="F591" s="1076"/>
      <c r="G591" s="1076"/>
    </row>
    <row r="592" spans="5:7" x14ac:dyDescent="0.2">
      <c r="E592" s="1076"/>
      <c r="F592" s="1076"/>
      <c r="G592" s="1076"/>
    </row>
    <row r="593" spans="5:7" x14ac:dyDescent="0.2">
      <c r="E593" s="1076"/>
      <c r="F593" s="1076"/>
      <c r="G593" s="1076"/>
    </row>
    <row r="594" spans="5:7" x14ac:dyDescent="0.2">
      <c r="E594" s="1076"/>
      <c r="F594" s="1076"/>
      <c r="G594" s="1076"/>
    </row>
    <row r="595" spans="5:7" x14ac:dyDescent="0.2">
      <c r="E595" s="1076"/>
      <c r="F595" s="1076"/>
      <c r="G595" s="1076"/>
    </row>
    <row r="596" spans="5:7" x14ac:dyDescent="0.2">
      <c r="E596" s="1076"/>
      <c r="F596" s="1076"/>
      <c r="G596" s="1076"/>
    </row>
    <row r="597" spans="5:7" x14ac:dyDescent="0.2">
      <c r="E597" s="1076"/>
      <c r="F597" s="1076"/>
      <c r="G597" s="1076"/>
    </row>
    <row r="598" spans="5:7" x14ac:dyDescent="0.2">
      <c r="E598" s="1076"/>
      <c r="F598" s="1076"/>
      <c r="G598" s="1076"/>
    </row>
    <row r="599" spans="5:7" x14ac:dyDescent="0.2">
      <c r="E599" s="1076"/>
      <c r="F599" s="1076"/>
      <c r="G599" s="1076"/>
    </row>
    <row r="600" spans="5:7" x14ac:dyDescent="0.2">
      <c r="E600" s="1076"/>
      <c r="F600" s="1076"/>
      <c r="G600" s="1076"/>
    </row>
    <row r="601" spans="5:7" x14ac:dyDescent="0.2">
      <c r="E601" s="1076"/>
      <c r="F601" s="1076"/>
      <c r="G601" s="1076"/>
    </row>
    <row r="602" spans="5:7" x14ac:dyDescent="0.2">
      <c r="E602" s="1076"/>
      <c r="F602" s="1076"/>
      <c r="G602" s="1076"/>
    </row>
    <row r="603" spans="5:7" x14ac:dyDescent="0.2">
      <c r="E603" s="1076"/>
      <c r="F603" s="1076"/>
      <c r="G603" s="1076"/>
    </row>
    <row r="604" spans="5:7" x14ac:dyDescent="0.2">
      <c r="E604" s="1076"/>
      <c r="F604" s="1076"/>
      <c r="G604" s="1076"/>
    </row>
    <row r="605" spans="5:7" x14ac:dyDescent="0.2">
      <c r="E605" s="1076"/>
      <c r="F605" s="1076"/>
      <c r="G605" s="1076"/>
    </row>
    <row r="606" spans="5:7" x14ac:dyDescent="0.2">
      <c r="E606" s="1076"/>
      <c r="F606" s="1076"/>
      <c r="G606" s="1076"/>
    </row>
    <row r="607" spans="5:7" x14ac:dyDescent="0.2">
      <c r="E607" s="1076"/>
      <c r="F607" s="1076"/>
      <c r="G607" s="1076"/>
    </row>
    <row r="608" spans="5:7" x14ac:dyDescent="0.2">
      <c r="E608" s="1076"/>
      <c r="F608" s="1076"/>
      <c r="G608" s="1076"/>
    </row>
    <row r="609" spans="5:7" x14ac:dyDescent="0.2">
      <c r="E609" s="1076"/>
      <c r="F609" s="1076"/>
      <c r="G609" s="1076"/>
    </row>
    <row r="610" spans="5:7" x14ac:dyDescent="0.2">
      <c r="E610" s="1076"/>
      <c r="F610" s="1076"/>
      <c r="G610" s="1076"/>
    </row>
    <row r="611" spans="5:7" x14ac:dyDescent="0.2">
      <c r="E611" s="1076"/>
      <c r="F611" s="1076"/>
      <c r="G611" s="1076"/>
    </row>
    <row r="612" spans="5:7" x14ac:dyDescent="0.2">
      <c r="E612" s="1076"/>
      <c r="F612" s="1076"/>
      <c r="G612" s="1076"/>
    </row>
    <row r="613" spans="5:7" x14ac:dyDescent="0.2">
      <c r="E613" s="1076"/>
      <c r="F613" s="1076"/>
      <c r="G613" s="1076"/>
    </row>
    <row r="614" spans="5:7" x14ac:dyDescent="0.2">
      <c r="E614" s="1076"/>
      <c r="F614" s="1076"/>
      <c r="G614" s="1076"/>
    </row>
    <row r="615" spans="5:7" x14ac:dyDescent="0.2">
      <c r="E615" s="1076"/>
      <c r="F615" s="1076"/>
      <c r="G615" s="1076"/>
    </row>
    <row r="616" spans="5:7" x14ac:dyDescent="0.2">
      <c r="E616" s="1076"/>
      <c r="F616" s="1076"/>
      <c r="G616" s="1076"/>
    </row>
    <row r="617" spans="5:7" x14ac:dyDescent="0.2">
      <c r="E617" s="1076"/>
      <c r="F617" s="1076"/>
      <c r="G617" s="1076"/>
    </row>
    <row r="618" spans="5:7" x14ac:dyDescent="0.2">
      <c r="E618" s="1076"/>
      <c r="F618" s="1076"/>
      <c r="G618" s="1076"/>
    </row>
    <row r="619" spans="5:7" x14ac:dyDescent="0.2">
      <c r="E619" s="1076"/>
      <c r="F619" s="1076"/>
      <c r="G619" s="1076"/>
    </row>
    <row r="620" spans="5:7" x14ac:dyDescent="0.2">
      <c r="E620" s="1076"/>
      <c r="F620" s="1076"/>
      <c r="G620" s="1076"/>
    </row>
    <row r="621" spans="5:7" x14ac:dyDescent="0.2">
      <c r="E621" s="1076"/>
      <c r="F621" s="1076"/>
      <c r="G621" s="1076"/>
    </row>
    <row r="622" spans="5:7" x14ac:dyDescent="0.2">
      <c r="E622" s="1076"/>
      <c r="F622" s="1076"/>
      <c r="G622" s="1076"/>
    </row>
    <row r="623" spans="5:7" x14ac:dyDescent="0.2">
      <c r="E623" s="1076"/>
      <c r="F623" s="1076"/>
      <c r="G623" s="1076"/>
    </row>
    <row r="624" spans="5:7" x14ac:dyDescent="0.2">
      <c r="E624" s="1076"/>
      <c r="F624" s="1076"/>
      <c r="G624" s="1076"/>
    </row>
    <row r="625" spans="5:7" x14ac:dyDescent="0.2">
      <c r="E625" s="1076"/>
      <c r="F625" s="1076"/>
      <c r="G625" s="1076"/>
    </row>
    <row r="626" spans="5:7" x14ac:dyDescent="0.2">
      <c r="E626" s="1076"/>
      <c r="F626" s="1076"/>
      <c r="G626" s="1076"/>
    </row>
    <row r="627" spans="5:7" x14ac:dyDescent="0.2">
      <c r="E627" s="1076"/>
      <c r="F627" s="1076"/>
      <c r="G627" s="1076"/>
    </row>
    <row r="628" spans="5:7" x14ac:dyDescent="0.2">
      <c r="E628" s="1076"/>
      <c r="F628" s="1076"/>
      <c r="G628" s="1076"/>
    </row>
    <row r="629" spans="5:7" x14ac:dyDescent="0.2">
      <c r="E629" s="1076"/>
      <c r="F629" s="1076"/>
      <c r="G629" s="1076"/>
    </row>
    <row r="630" spans="5:7" x14ac:dyDescent="0.2">
      <c r="E630" s="1076"/>
      <c r="F630" s="1076"/>
      <c r="G630" s="1076"/>
    </row>
    <row r="631" spans="5:7" x14ac:dyDescent="0.2">
      <c r="E631" s="1076"/>
      <c r="F631" s="1076"/>
      <c r="G631" s="1076"/>
    </row>
    <row r="632" spans="5:7" x14ac:dyDescent="0.2">
      <c r="E632" s="1076"/>
      <c r="F632" s="1076"/>
      <c r="G632" s="1076"/>
    </row>
    <row r="633" spans="5:7" x14ac:dyDescent="0.2">
      <c r="E633" s="1076"/>
      <c r="F633" s="1076"/>
      <c r="G633" s="1076"/>
    </row>
    <row r="634" spans="5:7" x14ac:dyDescent="0.2">
      <c r="E634" s="1076"/>
      <c r="F634" s="1076"/>
      <c r="G634" s="1076"/>
    </row>
    <row r="635" spans="5:7" x14ac:dyDescent="0.2">
      <c r="E635" s="1076"/>
      <c r="F635" s="1076"/>
      <c r="G635" s="1076"/>
    </row>
    <row r="636" spans="5:7" x14ac:dyDescent="0.2">
      <c r="E636" s="1076"/>
      <c r="F636" s="1076"/>
      <c r="G636" s="1076"/>
    </row>
    <row r="637" spans="5:7" x14ac:dyDescent="0.2">
      <c r="E637" s="1076"/>
      <c r="F637" s="1076"/>
      <c r="G637" s="1076"/>
    </row>
    <row r="638" spans="5:7" x14ac:dyDescent="0.2">
      <c r="E638" s="1076"/>
      <c r="F638" s="1076"/>
      <c r="G638" s="1076"/>
    </row>
    <row r="639" spans="5:7" x14ac:dyDescent="0.2">
      <c r="E639" s="1076"/>
      <c r="F639" s="1076"/>
      <c r="G639" s="1076"/>
    </row>
    <row r="640" spans="5:7" x14ac:dyDescent="0.2">
      <c r="E640" s="1076"/>
      <c r="F640" s="1076"/>
      <c r="G640" s="1076"/>
    </row>
    <row r="641" spans="5:7" x14ac:dyDescent="0.2">
      <c r="E641" s="1076"/>
      <c r="F641" s="1076"/>
      <c r="G641" s="1076"/>
    </row>
    <row r="642" spans="5:7" x14ac:dyDescent="0.2">
      <c r="E642" s="1076"/>
      <c r="F642" s="1076"/>
      <c r="G642" s="1076"/>
    </row>
    <row r="643" spans="5:7" x14ac:dyDescent="0.2">
      <c r="E643" s="1076"/>
      <c r="F643" s="1076"/>
      <c r="G643" s="1076"/>
    </row>
    <row r="644" spans="5:7" x14ac:dyDescent="0.2">
      <c r="E644" s="1076"/>
      <c r="F644" s="1076"/>
      <c r="G644" s="1076"/>
    </row>
    <row r="645" spans="5:7" x14ac:dyDescent="0.2">
      <c r="E645" s="1076"/>
      <c r="F645" s="1076"/>
      <c r="G645" s="1076"/>
    </row>
    <row r="646" spans="5:7" x14ac:dyDescent="0.2">
      <c r="E646" s="1076"/>
      <c r="F646" s="1076"/>
      <c r="G646" s="1076"/>
    </row>
    <row r="647" spans="5:7" x14ac:dyDescent="0.2">
      <c r="E647" s="1076"/>
      <c r="F647" s="1076"/>
      <c r="G647" s="1076"/>
    </row>
    <row r="648" spans="5:7" x14ac:dyDescent="0.2">
      <c r="E648" s="1076"/>
      <c r="F648" s="1076"/>
      <c r="G648" s="1076"/>
    </row>
    <row r="649" spans="5:7" x14ac:dyDescent="0.2">
      <c r="E649" s="1076"/>
      <c r="F649" s="1076"/>
      <c r="G649" s="1076"/>
    </row>
    <row r="650" spans="5:7" x14ac:dyDescent="0.2">
      <c r="E650" s="1076"/>
      <c r="F650" s="1076"/>
      <c r="G650" s="1076"/>
    </row>
    <row r="651" spans="5:7" x14ac:dyDescent="0.2">
      <c r="E651" s="1076"/>
      <c r="F651" s="1076"/>
      <c r="G651" s="1076"/>
    </row>
    <row r="652" spans="5:7" x14ac:dyDescent="0.2">
      <c r="E652" s="1076"/>
      <c r="F652" s="1076"/>
      <c r="G652" s="1076"/>
    </row>
    <row r="653" spans="5:7" x14ac:dyDescent="0.2">
      <c r="E653" s="1076"/>
      <c r="F653" s="1076"/>
      <c r="G653" s="1076"/>
    </row>
    <row r="654" spans="5:7" x14ac:dyDescent="0.2">
      <c r="E654" s="1076"/>
      <c r="F654" s="1076"/>
      <c r="G654" s="1076"/>
    </row>
    <row r="655" spans="5:7" x14ac:dyDescent="0.2">
      <c r="E655" s="1076"/>
      <c r="F655" s="1076"/>
      <c r="G655" s="1076"/>
    </row>
    <row r="656" spans="5:7" x14ac:dyDescent="0.2">
      <c r="E656" s="1076"/>
      <c r="F656" s="1076"/>
      <c r="G656" s="1076"/>
    </row>
    <row r="657" spans="5:7" x14ac:dyDescent="0.2">
      <c r="E657" s="1076"/>
      <c r="F657" s="1076"/>
      <c r="G657" s="1076"/>
    </row>
    <row r="658" spans="5:7" x14ac:dyDescent="0.2">
      <c r="E658" s="1076"/>
      <c r="F658" s="1076"/>
      <c r="G658" s="1076"/>
    </row>
    <row r="659" spans="5:7" x14ac:dyDescent="0.2">
      <c r="E659" s="1076"/>
      <c r="F659" s="1076"/>
      <c r="G659" s="1076"/>
    </row>
    <row r="660" spans="5:7" x14ac:dyDescent="0.2">
      <c r="E660" s="1076"/>
      <c r="F660" s="1076"/>
      <c r="G660" s="1076"/>
    </row>
    <row r="661" spans="5:7" x14ac:dyDescent="0.2">
      <c r="E661" s="1076"/>
      <c r="F661" s="1076"/>
      <c r="G661" s="1076"/>
    </row>
    <row r="662" spans="5:7" x14ac:dyDescent="0.2">
      <c r="E662" s="1076"/>
      <c r="F662" s="1076"/>
      <c r="G662" s="1076"/>
    </row>
    <row r="663" spans="5:7" x14ac:dyDescent="0.2">
      <c r="E663" s="1076"/>
      <c r="F663" s="1076"/>
      <c r="G663" s="1076"/>
    </row>
    <row r="664" spans="5:7" x14ac:dyDescent="0.2">
      <c r="E664" s="1076"/>
      <c r="F664" s="1076"/>
      <c r="G664" s="1076"/>
    </row>
    <row r="665" spans="5:7" x14ac:dyDescent="0.2">
      <c r="E665" s="1076"/>
      <c r="F665" s="1076"/>
      <c r="G665" s="1076"/>
    </row>
    <row r="666" spans="5:7" x14ac:dyDescent="0.2">
      <c r="E666" s="1076"/>
      <c r="F666" s="1076"/>
      <c r="G666" s="1076"/>
    </row>
    <row r="667" spans="5:7" x14ac:dyDescent="0.2">
      <c r="E667" s="1076"/>
      <c r="F667" s="1076"/>
      <c r="G667" s="1076"/>
    </row>
    <row r="668" spans="5:7" x14ac:dyDescent="0.2">
      <c r="E668" s="1076"/>
      <c r="F668" s="1076"/>
      <c r="G668" s="1076"/>
    </row>
    <row r="669" spans="5:7" x14ac:dyDescent="0.2">
      <c r="E669" s="1076"/>
      <c r="F669" s="1076"/>
      <c r="G669" s="1076"/>
    </row>
    <row r="670" spans="5:7" x14ac:dyDescent="0.2">
      <c r="E670" s="1076"/>
      <c r="F670" s="1076"/>
      <c r="G670" s="1076"/>
    </row>
    <row r="671" spans="5:7" x14ac:dyDescent="0.2">
      <c r="E671" s="1076"/>
      <c r="F671" s="1076"/>
      <c r="G671" s="1076"/>
    </row>
    <row r="672" spans="5:7" x14ac:dyDescent="0.2">
      <c r="E672" s="1076"/>
      <c r="F672" s="1076"/>
      <c r="G672" s="1076"/>
    </row>
    <row r="673" spans="5:7" x14ac:dyDescent="0.2">
      <c r="E673" s="1076"/>
      <c r="F673" s="1076"/>
      <c r="G673" s="1076"/>
    </row>
    <row r="674" spans="5:7" x14ac:dyDescent="0.2">
      <c r="E674" s="1076"/>
      <c r="F674" s="1076"/>
      <c r="G674" s="1076"/>
    </row>
    <row r="675" spans="5:7" x14ac:dyDescent="0.2">
      <c r="E675" s="1076"/>
      <c r="F675" s="1076"/>
      <c r="G675" s="1076"/>
    </row>
    <row r="676" spans="5:7" x14ac:dyDescent="0.2">
      <c r="E676" s="1076"/>
      <c r="F676" s="1076"/>
      <c r="G676" s="1076"/>
    </row>
    <row r="677" spans="5:7" x14ac:dyDescent="0.2">
      <c r="E677" s="1076"/>
      <c r="F677" s="1076"/>
      <c r="G677" s="1076"/>
    </row>
    <row r="678" spans="5:7" x14ac:dyDescent="0.2">
      <c r="E678" s="1076"/>
      <c r="F678" s="1076"/>
      <c r="G678" s="1076"/>
    </row>
    <row r="679" spans="5:7" x14ac:dyDescent="0.2">
      <c r="E679" s="1076"/>
      <c r="F679" s="1076"/>
      <c r="G679" s="1076"/>
    </row>
    <row r="680" spans="5:7" x14ac:dyDescent="0.2">
      <c r="E680" s="1076"/>
      <c r="F680" s="1076"/>
      <c r="G680" s="1076"/>
    </row>
    <row r="681" spans="5:7" x14ac:dyDescent="0.2">
      <c r="E681" s="1076"/>
      <c r="F681" s="1076"/>
      <c r="G681" s="1076"/>
    </row>
    <row r="682" spans="5:7" x14ac:dyDescent="0.2">
      <c r="E682" s="1076"/>
      <c r="F682" s="1076"/>
      <c r="G682" s="1076"/>
    </row>
    <row r="683" spans="5:7" x14ac:dyDescent="0.2">
      <c r="E683" s="1076"/>
      <c r="F683" s="1076"/>
      <c r="G683" s="1076"/>
    </row>
    <row r="684" spans="5:7" x14ac:dyDescent="0.2">
      <c r="E684" s="1076"/>
      <c r="F684" s="1076"/>
      <c r="G684" s="1076"/>
    </row>
    <row r="685" spans="5:7" x14ac:dyDescent="0.2">
      <c r="E685" s="1076"/>
      <c r="F685" s="1076"/>
      <c r="G685" s="1076"/>
    </row>
    <row r="686" spans="5:7" x14ac:dyDescent="0.2">
      <c r="E686" s="1076"/>
      <c r="F686" s="1076"/>
      <c r="G686" s="1076"/>
    </row>
    <row r="687" spans="5:7" x14ac:dyDescent="0.2">
      <c r="E687" s="1076"/>
      <c r="F687" s="1076"/>
      <c r="G687" s="1076"/>
    </row>
    <row r="688" spans="5:7" x14ac:dyDescent="0.2">
      <c r="E688" s="1076"/>
      <c r="F688" s="1076"/>
      <c r="G688" s="1076"/>
    </row>
    <row r="689" spans="5:7" x14ac:dyDescent="0.2">
      <c r="E689" s="1076"/>
      <c r="F689" s="1076"/>
      <c r="G689" s="1076"/>
    </row>
    <row r="690" spans="5:7" x14ac:dyDescent="0.2">
      <c r="E690" s="1076"/>
      <c r="F690" s="1076"/>
      <c r="G690" s="1076"/>
    </row>
    <row r="691" spans="5:7" x14ac:dyDescent="0.2">
      <c r="E691" s="1076"/>
      <c r="F691" s="1076"/>
      <c r="G691" s="1076"/>
    </row>
    <row r="692" spans="5:7" x14ac:dyDescent="0.2">
      <c r="E692" s="1076"/>
      <c r="F692" s="1076"/>
      <c r="G692" s="1076"/>
    </row>
    <row r="693" spans="5:7" x14ac:dyDescent="0.2">
      <c r="E693" s="1076"/>
      <c r="F693" s="1076"/>
      <c r="G693" s="1076"/>
    </row>
    <row r="694" spans="5:7" x14ac:dyDescent="0.2">
      <c r="E694" s="1076"/>
      <c r="F694" s="1076"/>
      <c r="G694" s="1076"/>
    </row>
    <row r="695" spans="5:7" x14ac:dyDescent="0.2">
      <c r="E695" s="1076"/>
      <c r="F695" s="1076"/>
      <c r="G695" s="1076"/>
    </row>
    <row r="696" spans="5:7" x14ac:dyDescent="0.2">
      <c r="E696" s="1076"/>
      <c r="F696" s="1076"/>
      <c r="G696" s="1076"/>
    </row>
    <row r="697" spans="5:7" x14ac:dyDescent="0.2">
      <c r="E697" s="1076"/>
      <c r="F697" s="1076"/>
      <c r="G697" s="1076"/>
    </row>
    <row r="698" spans="5:7" x14ac:dyDescent="0.2">
      <c r="E698" s="1076"/>
      <c r="F698" s="1076"/>
      <c r="G698" s="1076"/>
    </row>
    <row r="699" spans="5:7" x14ac:dyDescent="0.2">
      <c r="E699" s="1076"/>
      <c r="F699" s="1076"/>
      <c r="G699" s="1076"/>
    </row>
    <row r="700" spans="5:7" x14ac:dyDescent="0.2">
      <c r="E700" s="1076"/>
      <c r="F700" s="1076"/>
      <c r="G700" s="1076"/>
    </row>
    <row r="701" spans="5:7" x14ac:dyDescent="0.2">
      <c r="E701" s="1076"/>
      <c r="F701" s="1076"/>
      <c r="G701" s="1076"/>
    </row>
    <row r="702" spans="5:7" x14ac:dyDescent="0.2">
      <c r="E702" s="1076"/>
      <c r="F702" s="1076"/>
      <c r="G702" s="1076"/>
    </row>
    <row r="703" spans="5:7" x14ac:dyDescent="0.2">
      <c r="E703" s="1076"/>
      <c r="F703" s="1076"/>
      <c r="G703" s="1076"/>
    </row>
    <row r="704" spans="5:7" x14ac:dyDescent="0.2">
      <c r="E704" s="1076"/>
      <c r="F704" s="1076"/>
      <c r="G704" s="1076"/>
    </row>
    <row r="705" spans="5:7" x14ac:dyDescent="0.2">
      <c r="E705" s="1076"/>
      <c r="F705" s="1076"/>
      <c r="G705" s="1076"/>
    </row>
    <row r="706" spans="5:7" x14ac:dyDescent="0.2">
      <c r="E706" s="1076"/>
      <c r="F706" s="1076"/>
      <c r="G706" s="1076"/>
    </row>
    <row r="707" spans="5:7" x14ac:dyDescent="0.2">
      <c r="E707" s="1076"/>
      <c r="F707" s="1076"/>
      <c r="G707" s="1076"/>
    </row>
    <row r="708" spans="5:7" x14ac:dyDescent="0.2">
      <c r="E708" s="1076"/>
      <c r="F708" s="1076"/>
      <c r="G708" s="1076"/>
    </row>
    <row r="709" spans="5:7" x14ac:dyDescent="0.2">
      <c r="E709" s="1076"/>
      <c r="F709" s="1076"/>
      <c r="G709" s="1076"/>
    </row>
    <row r="710" spans="5:7" x14ac:dyDescent="0.2">
      <c r="E710" s="1076"/>
      <c r="F710" s="1076"/>
      <c r="G710" s="1076"/>
    </row>
    <row r="711" spans="5:7" x14ac:dyDescent="0.2">
      <c r="E711" s="1076"/>
      <c r="F711" s="1076"/>
      <c r="G711" s="1076"/>
    </row>
    <row r="712" spans="5:7" x14ac:dyDescent="0.2">
      <c r="E712" s="1076"/>
      <c r="F712" s="1076"/>
      <c r="G712" s="1076"/>
    </row>
    <row r="713" spans="5:7" x14ac:dyDescent="0.2">
      <c r="E713" s="1076"/>
      <c r="F713" s="1076"/>
      <c r="G713" s="1076"/>
    </row>
    <row r="714" spans="5:7" x14ac:dyDescent="0.2">
      <c r="E714" s="1076"/>
      <c r="F714" s="1076"/>
      <c r="G714" s="1076"/>
    </row>
    <row r="715" spans="5:7" x14ac:dyDescent="0.2">
      <c r="E715" s="1076"/>
      <c r="F715" s="1076"/>
      <c r="G715" s="1076"/>
    </row>
    <row r="716" spans="5:7" x14ac:dyDescent="0.2">
      <c r="E716" s="1076"/>
      <c r="F716" s="1076"/>
      <c r="G716" s="1076"/>
    </row>
    <row r="717" spans="5:7" x14ac:dyDescent="0.2">
      <c r="E717" s="1076"/>
      <c r="F717" s="1076"/>
      <c r="G717" s="1076"/>
    </row>
    <row r="718" spans="5:7" x14ac:dyDescent="0.2">
      <c r="E718" s="1076"/>
      <c r="F718" s="1076"/>
      <c r="G718" s="1076"/>
    </row>
    <row r="719" spans="5:7" x14ac:dyDescent="0.2">
      <c r="E719" s="1076"/>
      <c r="F719" s="1076"/>
      <c r="G719" s="1076"/>
    </row>
    <row r="720" spans="5:7" x14ac:dyDescent="0.2">
      <c r="E720" s="1076"/>
      <c r="F720" s="1076"/>
      <c r="G720" s="1076"/>
    </row>
    <row r="721" spans="5:7" x14ac:dyDescent="0.2">
      <c r="E721" s="1076"/>
      <c r="F721" s="1076"/>
      <c r="G721" s="1076"/>
    </row>
    <row r="722" spans="5:7" x14ac:dyDescent="0.2">
      <c r="E722" s="1076"/>
      <c r="F722" s="1076"/>
      <c r="G722" s="1076"/>
    </row>
    <row r="723" spans="5:7" x14ac:dyDescent="0.2">
      <c r="E723" s="1076"/>
      <c r="F723" s="1076"/>
      <c r="G723" s="1076"/>
    </row>
    <row r="724" spans="5:7" x14ac:dyDescent="0.2">
      <c r="E724" s="1076"/>
      <c r="F724" s="1076"/>
      <c r="G724" s="1076"/>
    </row>
    <row r="725" spans="5:7" x14ac:dyDescent="0.2">
      <c r="E725" s="1076"/>
      <c r="F725" s="1076"/>
      <c r="G725" s="1076"/>
    </row>
    <row r="726" spans="5:7" x14ac:dyDescent="0.2">
      <c r="E726" s="1076"/>
      <c r="F726" s="1076"/>
      <c r="G726" s="1076"/>
    </row>
    <row r="727" spans="5:7" x14ac:dyDescent="0.2">
      <c r="E727" s="1076"/>
      <c r="F727" s="1076"/>
      <c r="G727" s="1076"/>
    </row>
    <row r="728" spans="5:7" x14ac:dyDescent="0.2">
      <c r="E728" s="1076"/>
      <c r="F728" s="1076"/>
      <c r="G728" s="1076"/>
    </row>
    <row r="729" spans="5:7" x14ac:dyDescent="0.2">
      <c r="E729" s="1076"/>
      <c r="F729" s="1076"/>
      <c r="G729" s="1076"/>
    </row>
    <row r="730" spans="5:7" x14ac:dyDescent="0.2">
      <c r="E730" s="1076"/>
      <c r="F730" s="1076"/>
      <c r="G730" s="1076"/>
    </row>
    <row r="731" spans="5:7" x14ac:dyDescent="0.2">
      <c r="E731" s="1076"/>
      <c r="F731" s="1076"/>
      <c r="G731" s="1076"/>
    </row>
    <row r="732" spans="5:7" x14ac:dyDescent="0.2">
      <c r="E732" s="1076"/>
      <c r="F732" s="1076"/>
      <c r="G732" s="1076"/>
    </row>
    <row r="733" spans="5:7" x14ac:dyDescent="0.2">
      <c r="E733" s="1076"/>
      <c r="F733" s="1076"/>
      <c r="G733" s="1076"/>
    </row>
    <row r="734" spans="5:7" x14ac:dyDescent="0.2">
      <c r="E734" s="1076"/>
      <c r="F734" s="1076"/>
      <c r="G734" s="1076"/>
    </row>
    <row r="735" spans="5:7" x14ac:dyDescent="0.2">
      <c r="E735" s="1076"/>
      <c r="F735" s="1076"/>
      <c r="G735" s="1076"/>
    </row>
    <row r="736" spans="5:7" x14ac:dyDescent="0.2">
      <c r="E736" s="1076"/>
      <c r="F736" s="1076"/>
      <c r="G736" s="1076"/>
    </row>
    <row r="737" spans="5:7" x14ac:dyDescent="0.2">
      <c r="E737" s="1076"/>
      <c r="F737" s="1076"/>
      <c r="G737" s="1076"/>
    </row>
    <row r="738" spans="5:7" x14ac:dyDescent="0.2">
      <c r="E738" s="1076"/>
      <c r="F738" s="1076"/>
      <c r="G738" s="1076"/>
    </row>
    <row r="739" spans="5:7" x14ac:dyDescent="0.2">
      <c r="E739" s="1076"/>
      <c r="F739" s="1076"/>
      <c r="G739" s="1076"/>
    </row>
    <row r="740" spans="5:7" x14ac:dyDescent="0.2">
      <c r="E740" s="1076"/>
      <c r="F740" s="1076"/>
      <c r="G740" s="1076"/>
    </row>
    <row r="741" spans="5:7" x14ac:dyDescent="0.2">
      <c r="E741" s="1076"/>
      <c r="F741" s="1076"/>
      <c r="G741" s="1076"/>
    </row>
    <row r="742" spans="5:7" x14ac:dyDescent="0.2">
      <c r="E742" s="1076"/>
      <c r="F742" s="1076"/>
      <c r="G742" s="1076"/>
    </row>
    <row r="743" spans="5:7" x14ac:dyDescent="0.2">
      <c r="E743" s="1076"/>
      <c r="F743" s="1076"/>
      <c r="G743" s="1076"/>
    </row>
    <row r="744" spans="5:7" x14ac:dyDescent="0.2">
      <c r="E744" s="1076"/>
      <c r="F744" s="1076"/>
      <c r="G744" s="1076"/>
    </row>
    <row r="745" spans="5:7" x14ac:dyDescent="0.2">
      <c r="E745" s="1076"/>
      <c r="F745" s="1076"/>
      <c r="G745" s="1076"/>
    </row>
    <row r="746" spans="5:7" x14ac:dyDescent="0.2">
      <c r="E746" s="1076"/>
      <c r="F746" s="1076"/>
      <c r="G746" s="1076"/>
    </row>
  </sheetData>
  <phoneticPr fontId="0" type="noConversion"/>
  <pageMargins left="0.75" right="0.75" top="1" bottom="1" header="0.5" footer="0.5"/>
  <pageSetup paperSize="9" orientation="portrait" horizontalDpi="1200" r:id="rId1"/>
  <headerFooter alignWithMargins="0"/>
  <ignoredErrors>
    <ignoredError sqref="D75:D76 D71 D66 D57:D59 D63 D73 D61" unlockedFormula="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rgb="FFFFC000"/>
  </sheetPr>
  <dimension ref="A1:O263"/>
  <sheetViews>
    <sheetView showFormulas="1" zoomScale="80" zoomScaleNormal="80" workbookViewId="0">
      <pane xSplit="4" ySplit="4" topLeftCell="E20" activePane="bottomRight" state="frozen"/>
      <selection pane="topRight" activeCell="O26" sqref="O26"/>
      <selection pane="bottomLeft" activeCell="O26" sqref="O26"/>
      <selection pane="bottomRight" activeCell="E52" sqref="E52"/>
    </sheetView>
  </sheetViews>
  <sheetFormatPr defaultColWidth="9.140625" defaultRowHeight="12.75" x14ac:dyDescent="0.2"/>
  <cols>
    <col min="1" max="1" width="27.5703125" style="265" bestFit="1" customWidth="1"/>
    <col min="2" max="2" width="17.42578125" style="265" bestFit="1" customWidth="1"/>
    <col min="3" max="3" width="24" style="265" bestFit="1" customWidth="1"/>
    <col min="4" max="4" width="13.42578125" style="1074" bestFit="1" customWidth="1"/>
    <col min="5" max="5" width="17.42578125" style="1074" bestFit="1" customWidth="1"/>
    <col min="6" max="15" width="16.42578125" style="1074" bestFit="1" customWidth="1"/>
    <col min="16" max="16384" width="9.140625" style="265"/>
  </cols>
  <sheetData>
    <row r="1" spans="1:15" x14ac:dyDescent="0.2">
      <c r="A1" s="1064" t="s">
        <v>171</v>
      </c>
      <c r="B1" s="265" t="s">
        <v>7</v>
      </c>
    </row>
    <row r="3" spans="1:15" ht="15" customHeight="1" x14ac:dyDescent="0.2">
      <c r="E3" s="1123" t="s">
        <v>2320</v>
      </c>
      <c r="F3" s="1123"/>
    </row>
    <row r="4" spans="1:15" x14ac:dyDescent="0.2">
      <c r="A4" s="1068" t="s">
        <v>717</v>
      </c>
      <c r="B4" s="1068" t="s">
        <v>1</v>
      </c>
      <c r="C4" s="1068" t="s">
        <v>2060</v>
      </c>
      <c r="D4" s="1068" t="s">
        <v>2061</v>
      </c>
      <c r="E4" s="1068" t="s">
        <v>2049</v>
      </c>
      <c r="F4" s="1068" t="s">
        <v>2050</v>
      </c>
      <c r="G4" s="1068" t="s">
        <v>2051</v>
      </c>
      <c r="H4" s="1068" t="s">
        <v>2052</v>
      </c>
      <c r="I4" s="1068" t="s">
        <v>2053</v>
      </c>
      <c r="J4" s="1068" t="s">
        <v>2054</v>
      </c>
      <c r="K4" s="1068" t="s">
        <v>2055</v>
      </c>
      <c r="L4" s="1068" t="s">
        <v>2056</v>
      </c>
      <c r="M4" s="1068" t="s">
        <v>2057</v>
      </c>
      <c r="N4" s="1068" t="s">
        <v>2058</v>
      </c>
      <c r="O4" s="1068" t="s">
        <v>2059</v>
      </c>
    </row>
    <row r="5" spans="1:15" x14ac:dyDescent="0.2">
      <c r="A5" s="1069" t="s">
        <v>178</v>
      </c>
      <c r="B5" s="1070"/>
      <c r="C5" s="1070"/>
      <c r="D5" s="1081"/>
      <c r="E5" s="1126"/>
      <c r="F5" s="1126"/>
      <c r="G5" s="1126"/>
      <c r="H5" s="1126"/>
      <c r="I5" s="1126"/>
      <c r="J5" s="1126"/>
      <c r="K5" s="1126"/>
      <c r="L5" s="1126"/>
      <c r="M5" s="1126"/>
      <c r="N5" s="1126"/>
      <c r="O5" s="1126"/>
    </row>
    <row r="6" spans="1:15" x14ac:dyDescent="0.2">
      <c r="A6" s="1071" t="s">
        <v>115</v>
      </c>
      <c r="B6" s="1071" t="str">
        <f t="shared" ref="B6:D7" si="0">B16</f>
        <v>TA</v>
      </c>
      <c r="C6" s="1071" t="str">
        <f t="shared" si="0"/>
        <v>TRN.AIR</v>
      </c>
      <c r="D6" s="1071" t="str">
        <f t="shared" si="0"/>
        <v>bn-pass-miles</v>
      </c>
      <c r="E6" s="1128">
        <f t="shared" ref="E6" si="1">E16+E26+E37+E48+E59+E70</f>
        <v>1.7477079974788159E-2</v>
      </c>
      <c r="F6" s="1128">
        <f>F16+F26+F37+F48+F59+F70</f>
        <v>1.4855517978569936E-2</v>
      </c>
      <c r="G6" s="1128">
        <f t="shared" ref="G6:O6" si="2">G16+G26+G37+G48+G59+G70</f>
        <v>1.9044072748038786E-2</v>
      </c>
      <c r="H6" s="1128">
        <f t="shared" si="2"/>
        <v>1.9869505508434072E-2</v>
      </c>
      <c r="I6" s="1128">
        <f t="shared" si="2"/>
        <v>2.0959275032636986E-2</v>
      </c>
      <c r="J6" s="1128">
        <f t="shared" si="2"/>
        <v>2.1741126606205752E-2</v>
      </c>
      <c r="K6" s="1128">
        <f t="shared" si="2"/>
        <v>2.280496237057611E-2</v>
      </c>
      <c r="L6" s="1128">
        <f t="shared" si="2"/>
        <v>2.4131693772529373E-2</v>
      </c>
      <c r="M6" s="1128">
        <f t="shared" si="2"/>
        <v>2.5731443679320079E-2</v>
      </c>
      <c r="N6" s="1128">
        <f t="shared" si="2"/>
        <v>2.711760913380238E-2</v>
      </c>
      <c r="O6" s="1128">
        <f t="shared" si="2"/>
        <v>2.8601289692330587E-2</v>
      </c>
    </row>
    <row r="7" spans="1:15" x14ac:dyDescent="0.2">
      <c r="A7" s="1071" t="s">
        <v>115</v>
      </c>
      <c r="B7" s="1071" t="str">
        <f t="shared" si="0"/>
        <v>TB</v>
      </c>
      <c r="C7" s="1071" t="str">
        <f t="shared" si="0"/>
        <v>TRN.BUS</v>
      </c>
      <c r="D7" s="1071" t="str">
        <f t="shared" si="0"/>
        <v>bn-vmt</v>
      </c>
      <c r="E7" s="1082">
        <f>E17+E27+E38+E49+E60+E71</f>
        <v>0.44094655827892293</v>
      </c>
      <c r="F7" s="1082">
        <f t="shared" ref="F7:O7" si="3">F17+F27+F38+F49+F60+F71</f>
        <v>0.44094655827892293</v>
      </c>
      <c r="G7" s="1082">
        <f t="shared" si="3"/>
        <v>0.42448076785438221</v>
      </c>
      <c r="H7" s="1082">
        <f t="shared" si="3"/>
        <v>0.44203269979113718</v>
      </c>
      <c r="I7" s="1082">
        <f t="shared" si="3"/>
        <v>0.4603799251758397</v>
      </c>
      <c r="J7" s="1082">
        <f t="shared" si="3"/>
        <v>0.47882279355352364</v>
      </c>
      <c r="K7" s="1082">
        <f t="shared" si="3"/>
        <v>0.49685819759996225</v>
      </c>
      <c r="L7" s="1082">
        <f t="shared" si="3"/>
        <v>0.5142527914607804</v>
      </c>
      <c r="M7" s="1082">
        <f t="shared" si="3"/>
        <v>0.53749953674891449</v>
      </c>
      <c r="N7" s="1082">
        <f t="shared" si="3"/>
        <v>0.56372644321344145</v>
      </c>
      <c r="O7" s="1082">
        <f t="shared" si="3"/>
        <v>0.59327236919845339</v>
      </c>
    </row>
    <row r="8" spans="1:15" x14ac:dyDescent="0.2">
      <c r="A8" s="1071" t="s">
        <v>115</v>
      </c>
      <c r="B8" s="1071" t="s">
        <v>96</v>
      </c>
      <c r="C8" s="1071" t="s">
        <v>179</v>
      </c>
      <c r="D8" s="1071" t="s">
        <v>95</v>
      </c>
      <c r="E8" s="1082">
        <f t="shared" ref="E8:O8" si="4">E18+E28+E39+E50+E61+E72</f>
        <v>0.49815343929975958</v>
      </c>
      <c r="F8" s="1082">
        <f t="shared" si="4"/>
        <v>0.49815343929975958</v>
      </c>
      <c r="G8" s="1082">
        <f t="shared" si="4"/>
        <v>0.50909164235446069</v>
      </c>
      <c r="H8" s="1082">
        <f t="shared" si="4"/>
        <v>0.50912534202945536</v>
      </c>
      <c r="I8" s="1082">
        <f t="shared" si="4"/>
        <v>0.51716491749796689</v>
      </c>
      <c r="J8" s="1082">
        <f t="shared" si="4"/>
        <v>0.52520449296647842</v>
      </c>
      <c r="K8" s="1082">
        <f t="shared" si="4"/>
        <v>0.53128109213658259</v>
      </c>
      <c r="L8" s="1082">
        <f t="shared" si="4"/>
        <v>0.53735769130668665</v>
      </c>
      <c r="M8" s="1082">
        <f t="shared" si="4"/>
        <v>0.55329628078744353</v>
      </c>
      <c r="N8" s="1082">
        <f t="shared" si="4"/>
        <v>0.56243160616554289</v>
      </c>
      <c r="O8" s="1082">
        <f t="shared" si="4"/>
        <v>0.57156693154364224</v>
      </c>
    </row>
    <row r="9" spans="1:15" x14ac:dyDescent="0.2">
      <c r="A9" s="1071" t="s">
        <v>115</v>
      </c>
      <c r="B9" s="1071" t="str">
        <f>B19</f>
        <v>THS</v>
      </c>
      <c r="C9" s="1071" t="str">
        <f>C19</f>
        <v>TRN.HDV Short Haul</v>
      </c>
      <c r="D9" s="1071" t="str">
        <f>D19</f>
        <v>bn-vmt</v>
      </c>
      <c r="E9" s="1082">
        <f t="shared" ref="E9:O9" si="5">E19+E29+E40+E51+E62+E73</f>
        <v>0.91154637771238234</v>
      </c>
      <c r="F9" s="1082">
        <f t="shared" si="5"/>
        <v>0.91154637771238234</v>
      </c>
      <c r="G9" s="1082">
        <f t="shared" si="5"/>
        <v>0.94339498605839145</v>
      </c>
      <c r="H9" s="1082">
        <f t="shared" si="5"/>
        <v>0.9842848281519343</v>
      </c>
      <c r="I9" s="1082">
        <f t="shared" si="5"/>
        <v>1.0382692420267523</v>
      </c>
      <c r="J9" s="1082">
        <f t="shared" si="5"/>
        <v>1.0770001828347049</v>
      </c>
      <c r="K9" s="1082">
        <f t="shared" si="5"/>
        <v>1.1296999041272497</v>
      </c>
      <c r="L9" s="1082">
        <f t="shared" si="5"/>
        <v>1.1954228074688062</v>
      </c>
      <c r="M9" s="1082">
        <f t="shared" si="5"/>
        <v>1.2746703539879278</v>
      </c>
      <c r="N9" s="1082">
        <f t="shared" si="5"/>
        <v>1.3433374693107583</v>
      </c>
      <c r="O9" s="1082">
        <f t="shared" si="5"/>
        <v>1.4168352351692703</v>
      </c>
    </row>
    <row r="10" spans="1:15" x14ac:dyDescent="0.2">
      <c r="A10" s="1071" t="s">
        <v>115</v>
      </c>
      <c r="B10" s="1071" t="str">
        <f>B20</f>
        <v>THL</v>
      </c>
      <c r="C10" s="1071" t="str">
        <f>C20</f>
        <v>TRN.HDV Long Haul</v>
      </c>
      <c r="D10" s="1071" t="str">
        <f>D9</f>
        <v>bn-vmt</v>
      </c>
      <c r="E10" s="1082">
        <f t="shared" ref="E10:O10" si="6">E20+E30+E41+E52+E63+E74</f>
        <v>0</v>
      </c>
      <c r="F10" s="1082">
        <f t="shared" si="6"/>
        <v>0</v>
      </c>
      <c r="G10" s="1082">
        <f t="shared" si="6"/>
        <v>0</v>
      </c>
      <c r="H10" s="1082">
        <f t="shared" si="6"/>
        <v>0</v>
      </c>
      <c r="I10" s="1082">
        <f t="shared" si="6"/>
        <v>0</v>
      </c>
      <c r="J10" s="1082">
        <f t="shared" si="6"/>
        <v>0</v>
      </c>
      <c r="K10" s="1082">
        <f t="shared" si="6"/>
        <v>0</v>
      </c>
      <c r="L10" s="1082">
        <f t="shared" si="6"/>
        <v>0</v>
      </c>
      <c r="M10" s="1082">
        <f t="shared" si="6"/>
        <v>0</v>
      </c>
      <c r="N10" s="1082">
        <f t="shared" si="6"/>
        <v>0</v>
      </c>
      <c r="O10" s="1082">
        <f t="shared" si="6"/>
        <v>0</v>
      </c>
    </row>
    <row r="11" spans="1:15" x14ac:dyDescent="0.2">
      <c r="A11" s="1071" t="s">
        <v>115</v>
      </c>
      <c r="B11" s="1071" t="str">
        <f>B21</f>
        <v>TRF</v>
      </c>
      <c r="C11" s="1071" t="str">
        <f t="shared" ref="C11:D14" si="7">C21</f>
        <v>TRN.RAIL.FREIGHT</v>
      </c>
      <c r="D11" s="1071" t="str">
        <f t="shared" si="7"/>
        <v>bn-t-m</v>
      </c>
      <c r="E11" s="1082">
        <f t="shared" ref="E11:O11" si="8">E21+E31+E42+E53+E64+E75</f>
        <v>0</v>
      </c>
      <c r="F11" s="1082">
        <f t="shared" si="8"/>
        <v>0</v>
      </c>
      <c r="G11" s="1082">
        <f t="shared" si="8"/>
        <v>0</v>
      </c>
      <c r="H11" s="1082">
        <f t="shared" si="8"/>
        <v>0</v>
      </c>
      <c r="I11" s="1082">
        <f t="shared" si="8"/>
        <v>0</v>
      </c>
      <c r="J11" s="1082">
        <f t="shared" si="8"/>
        <v>0</v>
      </c>
      <c r="K11" s="1082">
        <f t="shared" si="8"/>
        <v>0</v>
      </c>
      <c r="L11" s="1082">
        <f t="shared" si="8"/>
        <v>0</v>
      </c>
      <c r="M11" s="1082">
        <f t="shared" si="8"/>
        <v>0</v>
      </c>
      <c r="N11" s="1082">
        <f t="shared" si="8"/>
        <v>0</v>
      </c>
      <c r="O11" s="1082">
        <f t="shared" si="8"/>
        <v>0</v>
      </c>
    </row>
    <row r="12" spans="1:15" x14ac:dyDescent="0.2">
      <c r="A12" s="1071" t="s">
        <v>115</v>
      </c>
      <c r="B12" s="1071" t="str">
        <f>B22</f>
        <v>TRP</v>
      </c>
      <c r="C12" s="1071" t="str">
        <f t="shared" si="7"/>
        <v>TRN.RAIL.PASS</v>
      </c>
      <c r="D12" s="1071" t="str">
        <f t="shared" si="7"/>
        <v>bn-pass-miles</v>
      </c>
      <c r="E12" s="1082">
        <f>E22+E32+E43+E54+E65+E76</f>
        <v>28.027524770630695</v>
      </c>
      <c r="F12" s="1082">
        <f t="shared" ref="F12:O12" si="9">F22+F32+F43+F54+F65+F76</f>
        <v>28.027524770630695</v>
      </c>
      <c r="G12" s="1082">
        <f t="shared" si="9"/>
        <v>29.38391032469606</v>
      </c>
      <c r="H12" s="1082">
        <f t="shared" si="9"/>
        <v>30.881757935057923</v>
      </c>
      <c r="I12" s="1082">
        <f t="shared" si="9"/>
        <v>32.723300642332518</v>
      </c>
      <c r="J12" s="1082">
        <f t="shared" si="9"/>
        <v>34.380043443282034</v>
      </c>
      <c r="K12" s="1082">
        <f t="shared" si="9"/>
        <v>35.920869139746237</v>
      </c>
      <c r="L12" s="1082">
        <f t="shared" si="9"/>
        <v>38.097929406017492</v>
      </c>
      <c r="M12" s="1082">
        <f t="shared" si="9"/>
        <v>40.296735179568245</v>
      </c>
      <c r="N12" s="1082">
        <f t="shared" si="9"/>
        <v>42.623115646917839</v>
      </c>
      <c r="O12" s="1082">
        <f t="shared" si="9"/>
        <v>45.084512329954045</v>
      </c>
    </row>
    <row r="13" spans="1:15" x14ac:dyDescent="0.2">
      <c r="A13" s="1071" t="s">
        <v>115</v>
      </c>
      <c r="B13" s="1071" t="str">
        <f>B23</f>
        <v>TS</v>
      </c>
      <c r="C13" s="1071" t="str">
        <f t="shared" si="7"/>
        <v>TRN.SHIP</v>
      </c>
      <c r="D13" s="1071" t="str">
        <f t="shared" si="7"/>
        <v>bn-t-m</v>
      </c>
      <c r="E13" s="1082">
        <f t="shared" ref="E13:O13" si="10">E23+E33+E44+E55+E66+E77</f>
        <v>1.6792503530572207</v>
      </c>
      <c r="F13" s="1082">
        <f t="shared" si="10"/>
        <v>1.6792503530572207</v>
      </c>
      <c r="G13" s="1082">
        <f t="shared" si="10"/>
        <v>1.87450644719486</v>
      </c>
      <c r="H13" s="1082">
        <f t="shared" si="10"/>
        <v>1.7615035327382063</v>
      </c>
      <c r="I13" s="1082">
        <f t="shared" si="10"/>
        <v>1.6458123739755646</v>
      </c>
      <c r="J13" s="1082">
        <f t="shared" si="10"/>
        <v>1.5707945014637528</v>
      </c>
      <c r="K13" s="1082">
        <f t="shared" si="10"/>
        <v>1.5633757019778434</v>
      </c>
      <c r="L13" s="1082">
        <f t="shared" si="10"/>
        <v>1.5833336226788965</v>
      </c>
      <c r="M13" s="1082">
        <f t="shared" si="10"/>
        <v>1.5833336226788965</v>
      </c>
      <c r="N13" s="1082">
        <f t="shared" si="10"/>
        <v>1.5833336226788965</v>
      </c>
      <c r="O13" s="1082">
        <f t="shared" si="10"/>
        <v>1.5833336226788965</v>
      </c>
    </row>
    <row r="14" spans="1:15" x14ac:dyDescent="0.2">
      <c r="A14" s="1071" t="s">
        <v>115</v>
      </c>
      <c r="B14" s="1071" t="str">
        <f>B24</f>
        <v>TC</v>
      </c>
      <c r="C14" s="1071" t="str">
        <f t="shared" si="7"/>
        <v>TRN.TRUCK.COMMERCIAL</v>
      </c>
      <c r="D14" s="1071" t="str">
        <f t="shared" si="7"/>
        <v>bn-vmt</v>
      </c>
      <c r="E14" s="1082">
        <f t="shared" ref="E14:O14" si="11">E24+E34+E45+E56+E67+E78</f>
        <v>0</v>
      </c>
      <c r="F14" s="1082">
        <f t="shared" si="11"/>
        <v>0</v>
      </c>
      <c r="G14" s="1082">
        <f t="shared" si="11"/>
        <v>0</v>
      </c>
      <c r="H14" s="1082">
        <f t="shared" si="11"/>
        <v>0</v>
      </c>
      <c r="I14" s="1082">
        <f t="shared" si="11"/>
        <v>0</v>
      </c>
      <c r="J14" s="1082">
        <f t="shared" si="11"/>
        <v>0</v>
      </c>
      <c r="K14" s="1082">
        <f t="shared" si="11"/>
        <v>0</v>
      </c>
      <c r="L14" s="1082">
        <f t="shared" si="11"/>
        <v>0</v>
      </c>
      <c r="M14" s="1082">
        <f t="shared" si="11"/>
        <v>0</v>
      </c>
      <c r="N14" s="1082">
        <f t="shared" si="11"/>
        <v>0</v>
      </c>
      <c r="O14" s="1082">
        <f t="shared" si="11"/>
        <v>0</v>
      </c>
    </row>
    <row r="15" spans="1:15" x14ac:dyDescent="0.2">
      <c r="A15" s="1073" t="s">
        <v>115</v>
      </c>
      <c r="B15" s="1073"/>
      <c r="C15" s="1073"/>
      <c r="D15" s="1073"/>
      <c r="E15" s="1081"/>
      <c r="F15" s="1081"/>
      <c r="G15" s="1081"/>
      <c r="H15" s="1081"/>
      <c r="I15" s="1081"/>
      <c r="J15" s="1081"/>
      <c r="K15" s="1081"/>
      <c r="L15" s="1081"/>
      <c r="M15" s="1081"/>
      <c r="N15" s="1081"/>
      <c r="O15" s="1081"/>
    </row>
    <row r="16" spans="1:15" x14ac:dyDescent="0.2">
      <c r="A16" s="1071" t="s">
        <v>180</v>
      </c>
      <c r="B16" s="1071" t="s">
        <v>89</v>
      </c>
      <c r="C16" s="1071" t="s">
        <v>90</v>
      </c>
      <c r="D16" s="1071" t="s">
        <v>91</v>
      </c>
      <c r="E16" s="1082">
        <f>RegionalDMDNYC!C4</f>
        <v>0</v>
      </c>
      <c r="F16" s="1082">
        <f>RegionalDMDNYC!D4</f>
        <v>0</v>
      </c>
      <c r="G16" s="1082">
        <f>RegionalDMDNYC!E4</f>
        <v>0</v>
      </c>
      <c r="H16" s="1082">
        <f>RegionalDMDNYC!F4</f>
        <v>0</v>
      </c>
      <c r="I16" s="1082">
        <f>RegionalDMDNYC!G4</f>
        <v>0</v>
      </c>
      <c r="J16" s="1082">
        <f>RegionalDMDNYC!H4</f>
        <v>0</v>
      </c>
      <c r="K16" s="1082">
        <f>RegionalDMDNYC!I4</f>
        <v>0</v>
      </c>
      <c r="L16" s="1082">
        <f>RegionalDMDNYC!J4</f>
        <v>0</v>
      </c>
      <c r="M16" s="1082">
        <f>RegionalDMDNYC!K4</f>
        <v>0</v>
      </c>
      <c r="N16" s="1082">
        <f>RegionalDMDNYC!L4</f>
        <v>0</v>
      </c>
      <c r="O16" s="1082">
        <f>RegionalDMDNYC!M4</f>
        <v>0</v>
      </c>
    </row>
    <row r="17" spans="1:15" x14ac:dyDescent="0.2">
      <c r="A17" s="1071" t="s">
        <v>180</v>
      </c>
      <c r="B17" s="1071" t="s">
        <v>93</v>
      </c>
      <c r="C17" s="1071" t="s">
        <v>94</v>
      </c>
      <c r="D17" s="1071" t="s">
        <v>95</v>
      </c>
      <c r="E17" s="1082">
        <f>RegionalDMDNYC!C5</f>
        <v>8.1762146617053999E-2</v>
      </c>
      <c r="F17" s="1082">
        <f>RegionalDMDNYC!D5</f>
        <v>8.1762146617053999E-2</v>
      </c>
      <c r="G17" s="1082">
        <f>RegionalDMDNYC!E5</f>
        <v>7.8708991204952131E-2</v>
      </c>
      <c r="H17" s="1082">
        <f>RegionalDMDNYC!F5</f>
        <v>8.1963543498152575E-2</v>
      </c>
      <c r="I17" s="1082">
        <f>RegionalDMDNYC!G5</f>
        <v>8.5365562413495327E-2</v>
      </c>
      <c r="J17" s="1082">
        <f>RegionalDMDNYC!H5</f>
        <v>8.8785315850784599E-2</v>
      </c>
      <c r="K17" s="1082">
        <f>RegionalDMDNYC!I5</f>
        <v>9.2129515555389049E-2</v>
      </c>
      <c r="L17" s="1082">
        <f>RegionalDMDNYC!J5</f>
        <v>9.5354893567507898E-2</v>
      </c>
      <c r="M17" s="1082">
        <f>RegionalDMDNYC!K5</f>
        <v>9.96654018613847E-2</v>
      </c>
      <c r="N17" s="1082">
        <f>RegionalDMDNYC!L5</f>
        <v>0.10452850404781337</v>
      </c>
      <c r="O17" s="1082">
        <f>RegionalDMDNYC!M5</f>
        <v>0.11000703265171524</v>
      </c>
    </row>
    <row r="18" spans="1:15" x14ac:dyDescent="0.2">
      <c r="A18" s="1071" t="s">
        <v>180</v>
      </c>
      <c r="B18" s="1071" t="s">
        <v>96</v>
      </c>
      <c r="C18" s="1071" t="s">
        <v>179</v>
      </c>
      <c r="D18" s="1071" t="s">
        <v>95</v>
      </c>
      <c r="E18" s="1082">
        <f>RegionalDMDNYC!C6</f>
        <v>0</v>
      </c>
      <c r="F18" s="1082">
        <f>RegionalDMDNYC!D6</f>
        <v>0</v>
      </c>
      <c r="G18" s="1082">
        <f>RegionalDMDNYC!E6</f>
        <v>0</v>
      </c>
      <c r="H18" s="1082">
        <f>RegionalDMDNYC!F6</f>
        <v>0</v>
      </c>
      <c r="I18" s="1082">
        <f>RegionalDMDNYC!G6</f>
        <v>0</v>
      </c>
      <c r="J18" s="1082">
        <f>RegionalDMDNYC!H6</f>
        <v>0</v>
      </c>
      <c r="K18" s="1082">
        <f>RegionalDMDNYC!I6</f>
        <v>0</v>
      </c>
      <c r="L18" s="1082">
        <f>RegionalDMDNYC!J6</f>
        <v>0</v>
      </c>
      <c r="M18" s="1082">
        <f>RegionalDMDNYC!K6</f>
        <v>0</v>
      </c>
      <c r="N18" s="1082">
        <f>RegionalDMDNYC!L6</f>
        <v>0</v>
      </c>
      <c r="O18" s="1082">
        <f>RegionalDMDNYC!M6</f>
        <v>0</v>
      </c>
    </row>
    <row r="19" spans="1:15" x14ac:dyDescent="0.2">
      <c r="A19" s="1071" t="s">
        <v>180</v>
      </c>
      <c r="B19" s="1071" t="str">
        <f>Commodities!$C$12</f>
        <v>THS</v>
      </c>
      <c r="C19" s="1071" t="str">
        <f>Commodities!$D$12</f>
        <v>TRN.HDV Short Haul</v>
      </c>
      <c r="D19" s="1071" t="s">
        <v>95</v>
      </c>
      <c r="E19" s="1082">
        <f>RegionalDMDNYC!C7</f>
        <v>0.2675698632123823</v>
      </c>
      <c r="F19" s="1082">
        <f>RegionalDMDNYC!D7</f>
        <v>0.2675698632123823</v>
      </c>
      <c r="G19" s="1082">
        <f>RegionalDMDNYC!E7</f>
        <v>0.28773600405839145</v>
      </c>
      <c r="H19" s="1082">
        <f>RegionalDMDNYC!F7</f>
        <v>0.30020742901235703</v>
      </c>
      <c r="I19" s="1082">
        <f>RegionalDMDNYC!G7</f>
        <v>0.31667270576210338</v>
      </c>
      <c r="J19" s="1082">
        <f>RegionalDMDNYC!H7</f>
        <v>0.32848566460351558</v>
      </c>
      <c r="K19" s="1082">
        <f>RegionalDMDNYC!I7</f>
        <v>0.34455910938941908</v>
      </c>
      <c r="L19" s="1082">
        <f>RegionalDMDNYC!J7</f>
        <v>0.36460463206240573</v>
      </c>
      <c r="M19" s="1082">
        <f>RegionalDMDNYC!K7</f>
        <v>0.38877517855016508</v>
      </c>
      <c r="N19" s="1082">
        <f>RegionalDMDNYC!L7</f>
        <v>0.40971868754183266</v>
      </c>
      <c r="O19" s="1082">
        <f>RegionalDMDNYC!M7</f>
        <v>0.43213554767769791</v>
      </c>
    </row>
    <row r="20" spans="1:15" x14ac:dyDescent="0.2">
      <c r="A20" s="1071" t="s">
        <v>180</v>
      </c>
      <c r="B20" s="1071" t="str">
        <f>Commodities!$C$13</f>
        <v>THL</v>
      </c>
      <c r="C20" s="1071" t="str">
        <f>Commodities!$D$13</f>
        <v>TRN.HDV Long Haul</v>
      </c>
      <c r="D20" s="1071" t="s">
        <v>95</v>
      </c>
      <c r="E20" s="1082">
        <f>RegionalDMDNYC!C8</f>
        <v>0</v>
      </c>
      <c r="F20" s="1082">
        <f>RegionalDMDNYC!D8</f>
        <v>0</v>
      </c>
      <c r="G20" s="1082">
        <f>RegionalDMDNYC!E8</f>
        <v>0</v>
      </c>
      <c r="H20" s="1082">
        <f>RegionalDMDNYC!F8</f>
        <v>0</v>
      </c>
      <c r="I20" s="1082">
        <f>RegionalDMDNYC!G8</f>
        <v>0</v>
      </c>
      <c r="J20" s="1082">
        <f>RegionalDMDNYC!H8</f>
        <v>0</v>
      </c>
      <c r="K20" s="1082">
        <f>RegionalDMDNYC!I8</f>
        <v>0</v>
      </c>
      <c r="L20" s="1082">
        <f>RegionalDMDNYC!J8</f>
        <v>0</v>
      </c>
      <c r="M20" s="1082">
        <f>RegionalDMDNYC!K8</f>
        <v>0</v>
      </c>
      <c r="N20" s="1082">
        <f>RegionalDMDNYC!L8</f>
        <v>0</v>
      </c>
      <c r="O20" s="1082">
        <f>RegionalDMDNYC!M8</f>
        <v>0</v>
      </c>
    </row>
    <row r="21" spans="1:15" x14ac:dyDescent="0.2">
      <c r="A21" s="1071" t="s">
        <v>180</v>
      </c>
      <c r="B21" s="1071" t="s">
        <v>106</v>
      </c>
      <c r="C21" s="1071" t="s">
        <v>107</v>
      </c>
      <c r="D21" s="1071" t="s">
        <v>104</v>
      </c>
      <c r="E21" s="1082">
        <f>RegionalDMDNYC!C9</f>
        <v>0</v>
      </c>
      <c r="F21" s="1082">
        <f>RegionalDMDNYC!D9</f>
        <v>0</v>
      </c>
      <c r="G21" s="1082">
        <f>RegionalDMDNYC!E9</f>
        <v>0</v>
      </c>
      <c r="H21" s="1082">
        <f>RegionalDMDNYC!F9</f>
        <v>0</v>
      </c>
      <c r="I21" s="1082">
        <f>RegionalDMDNYC!G9</f>
        <v>0</v>
      </c>
      <c r="J21" s="1082">
        <f>RegionalDMDNYC!H9</f>
        <v>0</v>
      </c>
      <c r="K21" s="1082">
        <f>RegionalDMDNYC!I9</f>
        <v>0</v>
      </c>
      <c r="L21" s="1082">
        <f>RegionalDMDNYC!J9</f>
        <v>0</v>
      </c>
      <c r="M21" s="1082">
        <f>RegionalDMDNYC!K9</f>
        <v>0</v>
      </c>
      <c r="N21" s="1082">
        <f>RegionalDMDNYC!L9</f>
        <v>0</v>
      </c>
      <c r="O21" s="1082">
        <f>RegionalDMDNYC!M9</f>
        <v>0</v>
      </c>
    </row>
    <row r="22" spans="1:15" ht="13.5" customHeight="1" x14ac:dyDescent="0.2">
      <c r="A22" s="1071" t="s">
        <v>180</v>
      </c>
      <c r="B22" s="1071" t="s">
        <v>110</v>
      </c>
      <c r="C22" s="1071" t="s">
        <v>111</v>
      </c>
      <c r="D22" s="1071" t="s">
        <v>91</v>
      </c>
      <c r="E22" s="1082">
        <f>RegionalDMDNYC!C10</f>
        <v>18.739064026920826</v>
      </c>
      <c r="F22" s="1082">
        <f>RegionalDMDNYC!D10</f>
        <v>18.739064026920826</v>
      </c>
      <c r="G22" s="1082">
        <f>RegionalDMDNYC!E10</f>
        <v>19.650375450555931</v>
      </c>
      <c r="H22" s="1082">
        <f>RegionalDMDNYC!F10</f>
        <v>20.647390161806943</v>
      </c>
      <c r="I22" s="1082">
        <f>RegionalDMDNYC!G10</f>
        <v>21.878636480643081</v>
      </c>
      <c r="J22" s="1082">
        <f>RegionalDMDNYC!H10</f>
        <v>22.986326498837812</v>
      </c>
      <c r="K22" s="1082">
        <f>RegionalDMDNYC!I10</f>
        <v>24.016514915997767</v>
      </c>
      <c r="L22" s="1082">
        <f>RegionalDMDNYC!J10</f>
        <v>25.472086610394108</v>
      </c>
      <c r="M22" s="1082">
        <f>RegionalDMDNYC!K10</f>
        <v>26.942197243085683</v>
      </c>
      <c r="N22" s="1082">
        <f>RegionalDMDNYC!L10</f>
        <v>28.497603683197841</v>
      </c>
      <c r="O22" s="1082">
        <f>RegionalDMDNYC!M10</f>
        <v>30.143281295349965</v>
      </c>
    </row>
    <row r="23" spans="1:15" x14ac:dyDescent="0.2">
      <c r="A23" s="1071" t="s">
        <v>180</v>
      </c>
      <c r="B23" s="1071" t="s">
        <v>102</v>
      </c>
      <c r="C23" s="1071" t="s">
        <v>103</v>
      </c>
      <c r="D23" s="1071" t="s">
        <v>104</v>
      </c>
      <c r="E23" s="1082">
        <f>RegionalDMDNYC!C11</f>
        <v>0</v>
      </c>
      <c r="F23" s="1082">
        <f>RegionalDMDNYC!D11</f>
        <v>0</v>
      </c>
      <c r="G23" s="1082">
        <f>RegionalDMDNYC!E11</f>
        <v>0</v>
      </c>
      <c r="H23" s="1082">
        <f>RegionalDMDNYC!F11</f>
        <v>0</v>
      </c>
      <c r="I23" s="1082">
        <f>RegionalDMDNYC!G11</f>
        <v>0</v>
      </c>
      <c r="J23" s="1082">
        <f>RegionalDMDNYC!H11</f>
        <v>0</v>
      </c>
      <c r="K23" s="1082">
        <f>RegionalDMDNYC!I11</f>
        <v>0</v>
      </c>
      <c r="L23" s="1082">
        <f>RegionalDMDNYC!J11</f>
        <v>0</v>
      </c>
      <c r="M23" s="1082">
        <f>RegionalDMDNYC!K11</f>
        <v>0</v>
      </c>
      <c r="N23" s="1082">
        <f>RegionalDMDNYC!L11</f>
        <v>0</v>
      </c>
      <c r="O23" s="1082">
        <f>RegionalDMDNYC!M11</f>
        <v>0</v>
      </c>
    </row>
    <row r="24" spans="1:15" x14ac:dyDescent="0.2">
      <c r="A24" s="1071" t="s">
        <v>180</v>
      </c>
      <c r="B24" s="1071" t="s">
        <v>112</v>
      </c>
      <c r="C24" s="1071" t="str">
        <f>Commodities!D18</f>
        <v>TRN.TRUCK.COMMERCIAL</v>
      </c>
      <c r="D24" s="1071" t="s">
        <v>95</v>
      </c>
      <c r="E24" s="1082">
        <f>RegionalDMDNYC!C12</f>
        <v>0</v>
      </c>
      <c r="F24" s="1082">
        <f>RegionalDMDNYC!D12</f>
        <v>0</v>
      </c>
      <c r="G24" s="1082">
        <f>RegionalDMDNYC!E12</f>
        <v>0</v>
      </c>
      <c r="H24" s="1082">
        <f>RegionalDMDNYC!F12</f>
        <v>0</v>
      </c>
      <c r="I24" s="1082">
        <f>RegionalDMDNYC!G12</f>
        <v>0</v>
      </c>
      <c r="J24" s="1082">
        <f>RegionalDMDNYC!H12</f>
        <v>0</v>
      </c>
      <c r="K24" s="1082">
        <f>RegionalDMDNYC!I12</f>
        <v>0</v>
      </c>
      <c r="L24" s="1082">
        <f>RegionalDMDNYC!J12</f>
        <v>0</v>
      </c>
      <c r="M24" s="1082">
        <f>RegionalDMDNYC!K12</f>
        <v>0</v>
      </c>
      <c r="N24" s="1082">
        <f>RegionalDMDNYC!L12</f>
        <v>0</v>
      </c>
      <c r="O24" s="1082">
        <f>RegionalDMDNYC!M12</f>
        <v>0</v>
      </c>
    </row>
    <row r="25" spans="1:15" x14ac:dyDescent="0.2">
      <c r="A25" s="1073" t="s">
        <v>181</v>
      </c>
      <c r="B25" s="1073"/>
      <c r="C25" s="1073"/>
      <c r="D25" s="1073"/>
      <c r="E25" s="1081"/>
      <c r="F25" s="1081"/>
      <c r="G25" s="1081"/>
      <c r="H25" s="1081"/>
      <c r="I25" s="1081"/>
      <c r="J25" s="1081"/>
      <c r="K25" s="1081"/>
      <c r="L25" s="1081"/>
      <c r="M25" s="1081"/>
      <c r="N25" s="1081"/>
      <c r="O25" s="1081"/>
    </row>
    <row r="26" spans="1:15" x14ac:dyDescent="0.2">
      <c r="A26" s="1071" t="s">
        <v>181</v>
      </c>
      <c r="B26" s="1071" t="str">
        <f>Commodities!C$9</f>
        <v>TA</v>
      </c>
      <c r="C26" s="1071" t="str">
        <f>Commodities!D$9</f>
        <v>TRN.AIR</v>
      </c>
      <c r="D26" s="1071" t="s">
        <v>91</v>
      </c>
      <c r="E26" s="1082">
        <f>RegionalDMDNYC!C16</f>
        <v>0</v>
      </c>
      <c r="F26" s="1082">
        <f>RegionalDMDNYC!D16</f>
        <v>0</v>
      </c>
      <c r="G26" s="1082">
        <f>RegionalDMDNYC!E16</f>
        <v>0</v>
      </c>
      <c r="H26" s="1082">
        <f>RegionalDMDNYC!F16</f>
        <v>0</v>
      </c>
      <c r="I26" s="1082">
        <f>RegionalDMDNYC!G16</f>
        <v>0</v>
      </c>
      <c r="J26" s="1082">
        <f>RegionalDMDNYC!H16</f>
        <v>0</v>
      </c>
      <c r="K26" s="1082">
        <f>RegionalDMDNYC!I16</f>
        <v>0</v>
      </c>
      <c r="L26" s="1082">
        <f>RegionalDMDNYC!J16</f>
        <v>0</v>
      </c>
      <c r="M26" s="1082">
        <f>RegionalDMDNYC!K16</f>
        <v>0</v>
      </c>
      <c r="N26" s="1082">
        <f>RegionalDMDNYC!L16</f>
        <v>0</v>
      </c>
      <c r="O26" s="1082">
        <f>RegionalDMDNYC!M16</f>
        <v>0</v>
      </c>
    </row>
    <row r="27" spans="1:15" x14ac:dyDescent="0.2">
      <c r="A27" s="1071" t="str">
        <f>IF(LEFT(Commodities!B$10,1)="*",A$25,RIGHT(A$25,2))</f>
        <v>R2</v>
      </c>
      <c r="B27" s="1071" t="str">
        <f>Commodities!C$10</f>
        <v>TB</v>
      </c>
      <c r="C27" s="1071" t="str">
        <f>Commodities!D$10</f>
        <v>TRN.BUS</v>
      </c>
      <c r="D27" s="1071" t="s">
        <v>95</v>
      </c>
      <c r="E27" s="1082">
        <f>RegionalDMDNYC!C17</f>
        <v>0.11124683542038477</v>
      </c>
      <c r="F27" s="1082">
        <f>RegionalDMDNYC!D17</f>
        <v>0.11124683542038477</v>
      </c>
      <c r="G27" s="1082">
        <f>RegionalDMDNYC!E17</f>
        <v>0.10662752764386425</v>
      </c>
      <c r="H27" s="1082">
        <f>RegionalDMDNYC!F17</f>
        <v>0.111522525000081</v>
      </c>
      <c r="I27" s="1082">
        <f>RegionalDMDNYC!G17</f>
        <v>0.11662449358233967</v>
      </c>
      <c r="J27" s="1082">
        <f>RegionalDMDNYC!H17</f>
        <v>0.12177343113569911</v>
      </c>
      <c r="K27" s="1082">
        <f>RegionalDMDNYC!I17</f>
        <v>0.12687697801374739</v>
      </c>
      <c r="L27" s="1082">
        <f>RegionalDMDNYC!J17</f>
        <v>0.13184164369805557</v>
      </c>
      <c r="M27" s="1082">
        <f>RegionalDMDNYC!K17</f>
        <v>0.13702255596248838</v>
      </c>
      <c r="N27" s="1082">
        <f>RegionalDMDNYC!L17</f>
        <v>0.14386412471116169</v>
      </c>
      <c r="O27" s="1082">
        <f>RegionalDMDNYC!M17</f>
        <v>0.1515628771092063</v>
      </c>
    </row>
    <row r="28" spans="1:15" x14ac:dyDescent="0.2">
      <c r="A28" s="1071" t="s">
        <v>182</v>
      </c>
      <c r="B28" s="1071" t="str">
        <f>Commodities!C$11</f>
        <v>TM</v>
      </c>
      <c r="C28" s="1071" t="str">
        <f>Commodities!D$11</f>
        <v>TRN.Medium Duty Trucks</v>
      </c>
      <c r="D28" s="1071" t="s">
        <v>95</v>
      </c>
      <c r="E28" s="1082">
        <f>RegionalDMDNYC!C18</f>
        <v>0.15428841530029619</v>
      </c>
      <c r="F28" s="1082">
        <f>RegionalDMDNYC!D18</f>
        <v>0.15428841530029619</v>
      </c>
      <c r="G28" s="1082">
        <f>RegionalDMDNYC!E18</f>
        <v>0.15699136492405785</v>
      </c>
      <c r="H28" s="1082">
        <f>RegionalDMDNYC!F18</f>
        <v>0.15768899582849658</v>
      </c>
      <c r="I28" s="1082">
        <f>RegionalDMDNYC!G18</f>
        <v>0.16083143098168579</v>
      </c>
      <c r="J28" s="1082">
        <f>RegionalDMDNYC!H18</f>
        <v>0.16397386613487502</v>
      </c>
      <c r="K28" s="1082">
        <f>RegionalDMDNYC!I18</f>
        <v>0.16654945012943079</v>
      </c>
      <c r="L28" s="1082">
        <f>RegionalDMDNYC!J18</f>
        <v>0.1691250341239865</v>
      </c>
      <c r="M28" s="1082">
        <f>RegionalDMDNYC!K18</f>
        <v>0.17315705779200877</v>
      </c>
      <c r="N28" s="1082">
        <f>RegionalDMDNYC!L18</f>
        <v>0.17620665039987007</v>
      </c>
      <c r="O28" s="1082">
        <f>RegionalDMDNYC!M18</f>
        <v>0.17925624300773135</v>
      </c>
    </row>
    <row r="29" spans="1:15" x14ac:dyDescent="0.2">
      <c r="A29" s="1071" t="str">
        <f>IF(LEFT(Commodities!B$12,1)="*",A$25,RIGHT(A$25,2))</f>
        <v>R2</v>
      </c>
      <c r="B29" s="1071" t="str">
        <f>Commodities!C$12</f>
        <v>THS</v>
      </c>
      <c r="C29" s="1071" t="str">
        <f>Commodities!$D$12</f>
        <v>TRN.HDV Short Haul</v>
      </c>
      <c r="D29" s="1071" t="s">
        <v>95</v>
      </c>
      <c r="E29" s="1082">
        <f>RegionalDMDNYC!C19</f>
        <v>0.19945283536028208</v>
      </c>
      <c r="F29" s="1082">
        <f>RegionalDMDNYC!D19</f>
        <v>0.19945283536028208</v>
      </c>
      <c r="G29" s="1082">
        <f>RegionalDMDNYC!E19</f>
        <v>0.20218913442155897</v>
      </c>
      <c r="H29" s="1082">
        <f>RegionalDMDNYC!F19</f>
        <v>0.21187607301042322</v>
      </c>
      <c r="I29" s="1082">
        <f>RegionalDMDNYC!G19</f>
        <v>0.22440695335705493</v>
      </c>
      <c r="J29" s="1082">
        <f>RegionalDMDNYC!H19</f>
        <v>0.2336933919190316</v>
      </c>
      <c r="K29" s="1082">
        <f>RegionalDMDNYC!I19</f>
        <v>0.24613103980774226</v>
      </c>
      <c r="L29" s="1082">
        <f>RegionalDMDNYC!J19</f>
        <v>0.2614871891472399</v>
      </c>
      <c r="M29" s="1082">
        <f>RegionalDMDNYC!K19</f>
        <v>0.27724567725744176</v>
      </c>
      <c r="N29" s="1082">
        <f>RegionalDMDNYC!L19</f>
        <v>0.29249749922035634</v>
      </c>
      <c r="O29" s="1082">
        <f>RegionalDMDNYC!M19</f>
        <v>0.30882396571458876</v>
      </c>
    </row>
    <row r="30" spans="1:15" x14ac:dyDescent="0.2">
      <c r="A30" s="1071" t="str">
        <f>IF(LEFT(Commodities!B$13,1)="*",A$25,RIGHT(A$25,2))</f>
        <v>*R2</v>
      </c>
      <c r="B30" s="1071" t="str">
        <f>Commodities!C$13</f>
        <v>THL</v>
      </c>
      <c r="C30" s="1071" t="str">
        <f>Commodities!$D$13</f>
        <v>TRN.HDV Long Haul</v>
      </c>
      <c r="D30" s="1071" t="s">
        <v>95</v>
      </c>
      <c r="E30" s="1082">
        <f>RegionalDMDNYC!C20</f>
        <v>0</v>
      </c>
      <c r="F30" s="1082">
        <f>RegionalDMDNYC!D20</f>
        <v>0</v>
      </c>
      <c r="G30" s="1082">
        <f>RegionalDMDNYC!E20</f>
        <v>0</v>
      </c>
      <c r="H30" s="1082">
        <f>RegionalDMDNYC!F20</f>
        <v>0</v>
      </c>
      <c r="I30" s="1082">
        <f>RegionalDMDNYC!G20</f>
        <v>0</v>
      </c>
      <c r="J30" s="1082">
        <f>RegionalDMDNYC!H20</f>
        <v>0</v>
      </c>
      <c r="K30" s="1082">
        <f>RegionalDMDNYC!I20</f>
        <v>0</v>
      </c>
      <c r="L30" s="1082">
        <f>RegionalDMDNYC!J20</f>
        <v>0</v>
      </c>
      <c r="M30" s="1082">
        <f>RegionalDMDNYC!K20</f>
        <v>0</v>
      </c>
      <c r="N30" s="1082">
        <f>RegionalDMDNYC!L20</f>
        <v>0</v>
      </c>
      <c r="O30" s="1082">
        <f>RegionalDMDNYC!M20</f>
        <v>0</v>
      </c>
    </row>
    <row r="31" spans="1:15" x14ac:dyDescent="0.2">
      <c r="A31" s="1071" t="str">
        <f>IF(LEFT(Commodities!B$15,1)="*",A$25,RIGHT(A$25,2))</f>
        <v>*R2</v>
      </c>
      <c r="B31" s="1071" t="str">
        <f>Commodities!C$15</f>
        <v>TRF</v>
      </c>
      <c r="C31" s="1071" t="str">
        <f>Commodities!D$15</f>
        <v>TRN.RAIL.FREIGHT</v>
      </c>
      <c r="D31" s="1071" t="s">
        <v>104</v>
      </c>
      <c r="E31" s="1082">
        <f>RegionalDMDNYC!C21</f>
        <v>0</v>
      </c>
      <c r="F31" s="1082">
        <f>RegionalDMDNYC!D21</f>
        <v>0</v>
      </c>
      <c r="G31" s="1082">
        <f>RegionalDMDNYC!E21</f>
        <v>0</v>
      </c>
      <c r="H31" s="1082">
        <f>RegionalDMDNYC!F21</f>
        <v>0</v>
      </c>
      <c r="I31" s="1082">
        <f>RegionalDMDNYC!G21</f>
        <v>0</v>
      </c>
      <c r="J31" s="1082">
        <f>RegionalDMDNYC!H21</f>
        <v>0</v>
      </c>
      <c r="K31" s="1082">
        <f>RegionalDMDNYC!I21</f>
        <v>0</v>
      </c>
      <c r="L31" s="1082">
        <f>RegionalDMDNYC!J21</f>
        <v>0</v>
      </c>
      <c r="M31" s="1082">
        <f>RegionalDMDNYC!K21</f>
        <v>0</v>
      </c>
      <c r="N31" s="1082">
        <f>RegionalDMDNYC!L21</f>
        <v>0</v>
      </c>
      <c r="O31" s="1082">
        <f>RegionalDMDNYC!M21</f>
        <v>0</v>
      </c>
    </row>
    <row r="32" spans="1:15" ht="13.5" customHeight="1" x14ac:dyDescent="0.2">
      <c r="A32" s="1071" t="str">
        <f>IF(LEFT(Commodities!B$17,1)="*",A$25,RIGHT(A$25,2))</f>
        <v>R2</v>
      </c>
      <c r="B32" s="1071" t="str">
        <f>Commodities!C$17</f>
        <v>TRP</v>
      </c>
      <c r="C32" s="1071" t="str">
        <f>Commodities!D$17</f>
        <v>TRN.RAIL.PASS</v>
      </c>
      <c r="D32" s="1071" t="s">
        <v>91</v>
      </c>
      <c r="E32" s="1082">
        <f>RegionalDMDNYC!C22</f>
        <v>2.8768282534403022</v>
      </c>
      <c r="F32" s="1082">
        <f>RegionalDMDNYC!D22</f>
        <v>2.8768282534403022</v>
      </c>
      <c r="G32" s="1082">
        <f>RegionalDMDNYC!E22</f>
        <v>3.0036304987790357</v>
      </c>
      <c r="H32" s="1082">
        <f>RegionalDMDNYC!F22</f>
        <v>3.1698425591435293</v>
      </c>
      <c r="I32" s="1082">
        <f>RegionalDMDNYC!G22</f>
        <v>3.3725467382407528</v>
      </c>
      <c r="J32" s="1082">
        <f>RegionalDMDNYC!H22</f>
        <v>3.5572274076988877</v>
      </c>
      <c r="K32" s="1082">
        <f>RegionalDMDNYC!I22</f>
        <v>3.7318543412449694</v>
      </c>
      <c r="L32" s="1082">
        <f>RegionalDMDNYC!J22</f>
        <v>3.9737890202360298</v>
      </c>
      <c r="M32" s="1082">
        <f>RegionalDMDNYC!K22</f>
        <v>4.1793747356516882</v>
      </c>
      <c r="N32" s="1082">
        <f>RegionalDMDNYC!L22</f>
        <v>4.4254432379424102</v>
      </c>
      <c r="O32" s="1082">
        <f>RegionalDMDNYC!M22</f>
        <v>4.6859060476789356</v>
      </c>
    </row>
    <row r="33" spans="1:15" x14ac:dyDescent="0.2">
      <c r="A33" s="1071" t="str">
        <f>IF(LEFT(Commodities!B$14,1)="*",A$25,RIGHT(A$25,2))</f>
        <v>R2</v>
      </c>
      <c r="B33" s="1071" t="str">
        <f>Commodities!C$14</f>
        <v>TS</v>
      </c>
      <c r="C33" s="1071" t="str">
        <f>Commodities!D$14</f>
        <v>TRN.SHIP</v>
      </c>
      <c r="D33" s="1071" t="s">
        <v>104</v>
      </c>
      <c r="E33" s="1082">
        <f>RegionalDMDNYC!C23</f>
        <v>1.6792503530572207</v>
      </c>
      <c r="F33" s="1082">
        <f>RegionalDMDNYC!D23</f>
        <v>1.6792503530572207</v>
      </c>
      <c r="G33" s="1082">
        <f>RegionalDMDNYC!E23</f>
        <v>1.87450644719486</v>
      </c>
      <c r="H33" s="1082">
        <f>RegionalDMDNYC!F23</f>
        <v>1.7615035327382063</v>
      </c>
      <c r="I33" s="1082">
        <f>RegionalDMDNYC!G23</f>
        <v>1.6458123739755646</v>
      </c>
      <c r="J33" s="1082">
        <f>RegionalDMDNYC!H23</f>
        <v>1.5707945014637528</v>
      </c>
      <c r="K33" s="1082">
        <f>RegionalDMDNYC!I23</f>
        <v>1.5633757019778434</v>
      </c>
      <c r="L33" s="1082">
        <f>RegionalDMDNYC!J23</f>
        <v>1.5833336226788965</v>
      </c>
      <c r="M33" s="1082">
        <f>RegionalDMDNYC!K23</f>
        <v>1.5833336226788965</v>
      </c>
      <c r="N33" s="1082">
        <f>RegionalDMDNYC!L23</f>
        <v>1.5833336226788965</v>
      </c>
      <c r="O33" s="1082">
        <f>RegionalDMDNYC!M23</f>
        <v>1.5833336226788965</v>
      </c>
    </row>
    <row r="34" spans="1:15" x14ac:dyDescent="0.2">
      <c r="A34" s="1071" t="str">
        <f>IF(LEFT(Commodities!B$18,1)="*",A$25,RIGHT(A$25,2))</f>
        <v>*R2</v>
      </c>
      <c r="B34" s="1071" t="str">
        <f>Commodities!C$18</f>
        <v>TC</v>
      </c>
      <c r="C34" s="1071" t="str">
        <f>Commodities!D$18</f>
        <v>TRN.TRUCK.COMMERCIAL</v>
      </c>
      <c r="D34" s="1071" t="s">
        <v>95</v>
      </c>
      <c r="E34" s="1082">
        <f>RegionalDMDNYC!C24</f>
        <v>0</v>
      </c>
      <c r="F34" s="1082">
        <f>RegionalDMDNYC!D24</f>
        <v>0</v>
      </c>
      <c r="G34" s="1082">
        <f>RegionalDMDNYC!E24</f>
        <v>0</v>
      </c>
      <c r="H34" s="1082">
        <f>RegionalDMDNYC!F24</f>
        <v>0</v>
      </c>
      <c r="I34" s="1082">
        <f>RegionalDMDNYC!G24</f>
        <v>0</v>
      </c>
      <c r="J34" s="1082">
        <f>RegionalDMDNYC!H24</f>
        <v>0</v>
      </c>
      <c r="K34" s="1082">
        <f>RegionalDMDNYC!I24</f>
        <v>0</v>
      </c>
      <c r="L34" s="1082">
        <f>RegionalDMDNYC!J24</f>
        <v>0</v>
      </c>
      <c r="M34" s="1082">
        <f>RegionalDMDNYC!K24</f>
        <v>0</v>
      </c>
      <c r="N34" s="1082">
        <f>RegionalDMDNYC!L24</f>
        <v>0</v>
      </c>
      <c r="O34" s="1082">
        <f>RegionalDMDNYC!M24</f>
        <v>0</v>
      </c>
    </row>
    <row r="35" spans="1:15" x14ac:dyDescent="0.2">
      <c r="A35" s="1071" t="str">
        <f>IF(LEFT(Commodities!B16,1)="*",A$25,RIGHT(A$25,2))</f>
        <v>*R2</v>
      </c>
      <c r="B35" s="1071" t="str">
        <f>Commodities!C16</f>
        <v>TSW</v>
      </c>
      <c r="C35" s="1071" t="str">
        <f>Commodities!D16</f>
        <v>TRN.MSW</v>
      </c>
      <c r="D35" s="1071" t="str">
        <f>Commodities!E16</f>
        <v>bn-vmt</v>
      </c>
      <c r="E35" s="1082"/>
      <c r="F35" s="1082"/>
      <c r="G35" s="1082"/>
      <c r="H35" s="1082"/>
      <c r="I35" s="1082"/>
      <c r="J35" s="1082"/>
      <c r="K35" s="1082"/>
      <c r="L35" s="1082"/>
      <c r="M35" s="1082"/>
      <c r="N35" s="1082"/>
      <c r="O35" s="1082"/>
    </row>
    <row r="36" spans="1:15" x14ac:dyDescent="0.2">
      <c r="A36" s="1073" t="s">
        <v>183</v>
      </c>
      <c r="B36" s="1073"/>
      <c r="C36" s="1073"/>
      <c r="D36" s="1073"/>
      <c r="E36" s="1081"/>
      <c r="F36" s="1081"/>
      <c r="G36" s="1081"/>
      <c r="H36" s="1081"/>
      <c r="I36" s="1081"/>
      <c r="J36" s="1081"/>
      <c r="K36" s="1081"/>
      <c r="L36" s="1081"/>
      <c r="M36" s="1081"/>
      <c r="N36" s="1081"/>
      <c r="O36" s="1081"/>
    </row>
    <row r="37" spans="1:15" x14ac:dyDescent="0.2">
      <c r="A37" s="1071" t="s">
        <v>183</v>
      </c>
      <c r="B37" s="1071" t="str">
        <f>Commodities!C$9</f>
        <v>TA</v>
      </c>
      <c r="C37" s="1071" t="str">
        <f>Commodities!D$9</f>
        <v>TRN.AIR</v>
      </c>
      <c r="D37" s="1071" t="s">
        <v>91</v>
      </c>
      <c r="E37" s="1082">
        <f>RegionalDMDNYC!C28</f>
        <v>0</v>
      </c>
      <c r="F37" s="1082">
        <f>RegionalDMDNYC!D28</f>
        <v>0</v>
      </c>
      <c r="G37" s="1082">
        <f>RegionalDMDNYC!E28</f>
        <v>0</v>
      </c>
      <c r="H37" s="1082">
        <f>RegionalDMDNYC!F28</f>
        <v>0</v>
      </c>
      <c r="I37" s="1082">
        <f>RegionalDMDNYC!G28</f>
        <v>0</v>
      </c>
      <c r="J37" s="1082">
        <f>RegionalDMDNYC!H28</f>
        <v>0</v>
      </c>
      <c r="K37" s="1082">
        <f>RegionalDMDNYC!I28</f>
        <v>0</v>
      </c>
      <c r="L37" s="1082">
        <f>RegionalDMDNYC!J28</f>
        <v>0</v>
      </c>
      <c r="M37" s="1082">
        <f>RegionalDMDNYC!K28</f>
        <v>0</v>
      </c>
      <c r="N37" s="1082">
        <f>RegionalDMDNYC!L28</f>
        <v>0</v>
      </c>
      <c r="O37" s="1082">
        <f>RegionalDMDNYC!M28</f>
        <v>0</v>
      </c>
    </row>
    <row r="38" spans="1:15" x14ac:dyDescent="0.2">
      <c r="A38" s="1071" t="str">
        <f>IF(LEFT(Commodities!B$10,1)="*",A$36,RIGHT(A$36,2))</f>
        <v>R3</v>
      </c>
      <c r="B38" s="1071" t="str">
        <f>Commodities!C$10</f>
        <v>TB</v>
      </c>
      <c r="C38" s="1071" t="str">
        <f>Commodities!D$10</f>
        <v>TRN.BUS</v>
      </c>
      <c r="D38" s="1071" t="s">
        <v>95</v>
      </c>
      <c r="E38" s="1082">
        <f>RegionalDMDNYC!C29</f>
        <v>6.0358109513202113E-2</v>
      </c>
      <c r="F38" s="1082">
        <f>RegionalDMDNYC!D29</f>
        <v>6.0358109513202113E-2</v>
      </c>
      <c r="G38" s="1082">
        <f>RegionalDMDNYC!E29</f>
        <v>5.8857031648647418E-2</v>
      </c>
      <c r="H38" s="1082">
        <f>RegionalDMDNYC!F29</f>
        <v>6.0922172990039915E-2</v>
      </c>
      <c r="I38" s="1082">
        <f>RegionalDMDNYC!G29</f>
        <v>6.4023283152547114E-2</v>
      </c>
      <c r="J38" s="1082">
        <f>RegionalDMDNYC!H29</f>
        <v>6.71652120048499E-2</v>
      </c>
      <c r="K38" s="1082">
        <f>RegionalDMDNYC!I29</f>
        <v>7.0264245242275189E-2</v>
      </c>
      <c r="L38" s="1082">
        <f>RegionalDMDNYC!J29</f>
        <v>7.329992047312936E-2</v>
      </c>
      <c r="M38" s="1082">
        <f>RegionalDMDNYC!K29</f>
        <v>7.6607213143695896E-2</v>
      </c>
      <c r="N38" s="1082">
        <f>RegionalDMDNYC!L29</f>
        <v>8.0723742054212122E-2</v>
      </c>
      <c r="O38" s="1082">
        <f>RegionalDMDNYC!M29</f>
        <v>8.534025976611348E-2</v>
      </c>
    </row>
    <row r="39" spans="1:15" x14ac:dyDescent="0.2">
      <c r="A39" s="1071" t="s">
        <v>184</v>
      </c>
      <c r="B39" s="1071" t="str">
        <f>Commodities!C$11</f>
        <v>TM</v>
      </c>
      <c r="C39" s="1071" t="str">
        <f>Commodities!D$11</f>
        <v>TRN.Medium Duty Trucks</v>
      </c>
      <c r="D39" s="1071" t="s">
        <v>95</v>
      </c>
      <c r="E39" s="1082">
        <f>RegionalDMDNYC!C30</f>
        <v>8.3710759340910296E-2</v>
      </c>
      <c r="F39" s="1082">
        <f>RegionalDMDNYC!D30</f>
        <v>8.3710759340910296E-2</v>
      </c>
      <c r="G39" s="1082">
        <f>RegionalDMDNYC!E30</f>
        <v>8.6657225747195088E-2</v>
      </c>
      <c r="H39" s="1082">
        <f>RegionalDMDNYC!F30</f>
        <v>8.614184697201191E-2</v>
      </c>
      <c r="I39" s="1082">
        <f>RegionalDMDNYC!G30</f>
        <v>8.8291540904311946E-2</v>
      </c>
      <c r="J39" s="1082">
        <f>RegionalDMDNYC!H30</f>
        <v>9.0441234836611969E-2</v>
      </c>
      <c r="K39" s="1082">
        <f>RegionalDMDNYC!I30</f>
        <v>9.2234789889087815E-2</v>
      </c>
      <c r="L39" s="1082">
        <f>RegionalDMDNYC!J30</f>
        <v>9.4028344941563646E-2</v>
      </c>
      <c r="M39" s="1082">
        <f>RegionalDMDNYC!K30</f>
        <v>9.6809459876366369E-2</v>
      </c>
      <c r="N39" s="1082">
        <f>RegionalDMDNYC!L30</f>
        <v>9.8871488800100202E-2</v>
      </c>
      <c r="O39" s="1082">
        <f>RegionalDMDNYC!M30</f>
        <v>0.10093351772383406</v>
      </c>
    </row>
    <row r="40" spans="1:15" x14ac:dyDescent="0.2">
      <c r="A40" s="1071" t="str">
        <f>IF(LEFT(Commodities!B$12,1)="*",A$36,RIGHT(A$36,2))</f>
        <v>R3</v>
      </c>
      <c r="B40" s="1071" t="str">
        <f>Commodities!C$12</f>
        <v>THS</v>
      </c>
      <c r="C40" s="1071" t="str">
        <f>Commodities!$D$12</f>
        <v>TRN.HDV Short Haul</v>
      </c>
      <c r="D40" s="1071" t="s">
        <v>95</v>
      </c>
      <c r="E40" s="1082">
        <f>RegionalDMDNYC!C31</f>
        <v>0.1082151778421612</v>
      </c>
      <c r="F40" s="1082">
        <f>RegionalDMDNYC!D31</f>
        <v>0.1082151778421612</v>
      </c>
      <c r="G40" s="1082">
        <f>RegionalDMDNYC!E31</f>
        <v>0.11160581649617859</v>
      </c>
      <c r="H40" s="1082">
        <f>RegionalDMDNYC!F31</f>
        <v>0.11574299247960854</v>
      </c>
      <c r="I40" s="1082">
        <f>RegionalDMDNYC!G31</f>
        <v>0.12319255994055422</v>
      </c>
      <c r="J40" s="1082">
        <f>RegionalDMDNYC!H31</f>
        <v>0.12889565536576866</v>
      </c>
      <c r="K40" s="1082">
        <f>RegionalDMDNYC!I31</f>
        <v>0.13630693301123181</v>
      </c>
      <c r="L40" s="1082">
        <f>RegionalDMDNYC!J31</f>
        <v>0.14537887750497983</v>
      </c>
      <c r="M40" s="1082">
        <f>RegionalDMDNYC!K31</f>
        <v>0.15500381336225844</v>
      </c>
      <c r="N40" s="1082">
        <f>RegionalDMDNYC!L31</f>
        <v>0.16412356260444588</v>
      </c>
      <c r="O40" s="1082">
        <f>RegionalDMDNYC!M31</f>
        <v>0.17388900210105243</v>
      </c>
    </row>
    <row r="41" spans="1:15" x14ac:dyDescent="0.2">
      <c r="A41" s="1071" t="str">
        <f>IF(LEFT(Commodities!B$13,1)="*",A$36,RIGHT(A$36,2))</f>
        <v>*R3</v>
      </c>
      <c r="B41" s="1071" t="str">
        <f>Commodities!C$13</f>
        <v>THL</v>
      </c>
      <c r="C41" s="1071" t="str">
        <f>Commodities!$D$13</f>
        <v>TRN.HDV Long Haul</v>
      </c>
      <c r="D41" s="1071" t="s">
        <v>95</v>
      </c>
      <c r="E41" s="1082">
        <f>RegionalDMDNYC!C32</f>
        <v>0</v>
      </c>
      <c r="F41" s="1082">
        <f>RegionalDMDNYC!D32</f>
        <v>0</v>
      </c>
      <c r="G41" s="1082">
        <f>RegionalDMDNYC!E32</f>
        <v>0</v>
      </c>
      <c r="H41" s="1082">
        <f>RegionalDMDNYC!F32</f>
        <v>0</v>
      </c>
      <c r="I41" s="1082">
        <f>RegionalDMDNYC!G32</f>
        <v>0</v>
      </c>
      <c r="J41" s="1082">
        <f>RegionalDMDNYC!H32</f>
        <v>0</v>
      </c>
      <c r="K41" s="1082">
        <f>RegionalDMDNYC!I32</f>
        <v>0</v>
      </c>
      <c r="L41" s="1082">
        <f>RegionalDMDNYC!J32</f>
        <v>0</v>
      </c>
      <c r="M41" s="1082">
        <f>RegionalDMDNYC!K32</f>
        <v>0</v>
      </c>
      <c r="N41" s="1082">
        <f>RegionalDMDNYC!L32</f>
        <v>0</v>
      </c>
      <c r="O41" s="1082">
        <f>RegionalDMDNYC!M32</f>
        <v>0</v>
      </c>
    </row>
    <row r="42" spans="1:15" x14ac:dyDescent="0.2">
      <c r="A42" s="1071" t="str">
        <f>IF(LEFT(Commodities!B$15,1)="*",A$36,RIGHT(A$36,2))</f>
        <v>*R3</v>
      </c>
      <c r="B42" s="1071" t="str">
        <f>Commodities!C$15</f>
        <v>TRF</v>
      </c>
      <c r="C42" s="1071" t="str">
        <f>Commodities!D$15</f>
        <v>TRN.RAIL.FREIGHT</v>
      </c>
      <c r="D42" s="1071" t="s">
        <v>104</v>
      </c>
      <c r="E42" s="1082">
        <f>RegionalDMDNYC!C33</f>
        <v>0</v>
      </c>
      <c r="F42" s="1082">
        <f>RegionalDMDNYC!D33</f>
        <v>0</v>
      </c>
      <c r="G42" s="1082">
        <f>RegionalDMDNYC!E33</f>
        <v>0</v>
      </c>
      <c r="H42" s="1082">
        <f>RegionalDMDNYC!F33</f>
        <v>0</v>
      </c>
      <c r="I42" s="1082">
        <f>RegionalDMDNYC!G33</f>
        <v>0</v>
      </c>
      <c r="J42" s="1082">
        <f>RegionalDMDNYC!H33</f>
        <v>0</v>
      </c>
      <c r="K42" s="1082">
        <f>RegionalDMDNYC!I33</f>
        <v>0</v>
      </c>
      <c r="L42" s="1082">
        <f>RegionalDMDNYC!J33</f>
        <v>0</v>
      </c>
      <c r="M42" s="1082">
        <f>RegionalDMDNYC!K33</f>
        <v>0</v>
      </c>
      <c r="N42" s="1082">
        <f>RegionalDMDNYC!L33</f>
        <v>0</v>
      </c>
      <c r="O42" s="1082">
        <f>RegionalDMDNYC!M33</f>
        <v>0</v>
      </c>
    </row>
    <row r="43" spans="1:15" ht="13.5" customHeight="1" x14ac:dyDescent="0.2">
      <c r="A43" s="1071" t="str">
        <f>IF(LEFT(Commodities!B$17,1)="*",A$36,RIGHT(A$36,2))</f>
        <v>R3</v>
      </c>
      <c r="B43" s="1071" t="str">
        <f>Commodities!C$17</f>
        <v>TRP</v>
      </c>
      <c r="C43" s="1071" t="str">
        <f>Commodities!D$17</f>
        <v>TRN.RAIL.PASS</v>
      </c>
      <c r="D43" s="1071" t="s">
        <v>91</v>
      </c>
      <c r="E43" s="1082">
        <f>RegionalDMDNYC!C34</f>
        <v>1.5608526221502397</v>
      </c>
      <c r="F43" s="1082">
        <f>RegionalDMDNYC!D34</f>
        <v>1.5608526221502397</v>
      </c>
      <c r="G43" s="1082">
        <f>RegionalDMDNYC!E34</f>
        <v>1.6579656232670157</v>
      </c>
      <c r="H43" s="1082">
        <f>RegionalDMDNYC!F34</f>
        <v>1.7316115891313677</v>
      </c>
      <c r="I43" s="1082">
        <f>RegionalDMDNYC!G34</f>
        <v>1.8514251006384106</v>
      </c>
      <c r="J43" s="1082">
        <f>RegionalDMDNYC!H34</f>
        <v>1.9620202104785407</v>
      </c>
      <c r="K43" s="1082">
        <f>RegionalDMDNYC!I34</f>
        <v>2.0666943108723328</v>
      </c>
      <c r="L43" s="1082">
        <f>RegionalDMDNYC!J34</f>
        <v>2.2093051253774036</v>
      </c>
      <c r="M43" s="1082">
        <f>RegionalDMDNYC!K34</f>
        <v>2.3366244260477607</v>
      </c>
      <c r="N43" s="1082">
        <f>RegionalDMDNYC!L34</f>
        <v>2.483164855258067</v>
      </c>
      <c r="O43" s="1082">
        <f>RegionalDMDNYC!M34</f>
        <v>2.6384854060297585</v>
      </c>
    </row>
    <row r="44" spans="1:15" x14ac:dyDescent="0.2">
      <c r="A44" s="1071" t="str">
        <f>IF(LEFT(Commodities!B$14,1)="*",A$36,RIGHT(A$36,2))</f>
        <v>R3</v>
      </c>
      <c r="B44" s="1071" t="str">
        <f>Commodities!C$14</f>
        <v>TS</v>
      </c>
      <c r="C44" s="1071" t="str">
        <f>Commodities!D$14</f>
        <v>TRN.SHIP</v>
      </c>
      <c r="D44" s="1071" t="s">
        <v>104</v>
      </c>
      <c r="E44" s="1082">
        <f>RegionalDMDNYC!C35</f>
        <v>0</v>
      </c>
      <c r="F44" s="1082">
        <f>RegionalDMDNYC!D35</f>
        <v>0</v>
      </c>
      <c r="G44" s="1082">
        <f>RegionalDMDNYC!E35</f>
        <v>0</v>
      </c>
      <c r="H44" s="1082">
        <f>RegionalDMDNYC!F35</f>
        <v>0</v>
      </c>
      <c r="I44" s="1082">
        <f>RegionalDMDNYC!G35</f>
        <v>0</v>
      </c>
      <c r="J44" s="1082">
        <f>RegionalDMDNYC!H35</f>
        <v>0</v>
      </c>
      <c r="K44" s="1082">
        <f>RegionalDMDNYC!I35</f>
        <v>0</v>
      </c>
      <c r="L44" s="1082">
        <f>RegionalDMDNYC!J35</f>
        <v>0</v>
      </c>
      <c r="M44" s="1082">
        <f>RegionalDMDNYC!K35</f>
        <v>0</v>
      </c>
      <c r="N44" s="1082">
        <f>RegionalDMDNYC!L35</f>
        <v>0</v>
      </c>
      <c r="O44" s="1082">
        <f>RegionalDMDNYC!M35</f>
        <v>0</v>
      </c>
    </row>
    <row r="45" spans="1:15" x14ac:dyDescent="0.2">
      <c r="A45" s="1071" t="str">
        <f>IF(LEFT(Commodities!B$18,1)="*",A$36,RIGHT(A$36,2))</f>
        <v>*R3</v>
      </c>
      <c r="B45" s="1071" t="str">
        <f>Commodities!C$18</f>
        <v>TC</v>
      </c>
      <c r="C45" s="1071" t="str">
        <f>Commodities!D$18</f>
        <v>TRN.TRUCK.COMMERCIAL</v>
      </c>
      <c r="D45" s="1071" t="s">
        <v>95</v>
      </c>
      <c r="E45" s="1082">
        <f>RegionalDMDNYC!C36</f>
        <v>0</v>
      </c>
      <c r="F45" s="1082">
        <f>RegionalDMDNYC!D36</f>
        <v>0</v>
      </c>
      <c r="G45" s="1082">
        <f>RegionalDMDNYC!E36</f>
        <v>0</v>
      </c>
      <c r="H45" s="1082">
        <f>RegionalDMDNYC!F36</f>
        <v>0</v>
      </c>
      <c r="I45" s="1082">
        <f>RegionalDMDNYC!G36</f>
        <v>0</v>
      </c>
      <c r="J45" s="1082">
        <f>RegionalDMDNYC!H36</f>
        <v>0</v>
      </c>
      <c r="K45" s="1082">
        <f>RegionalDMDNYC!I36</f>
        <v>0</v>
      </c>
      <c r="L45" s="1082">
        <f>RegionalDMDNYC!J36</f>
        <v>0</v>
      </c>
      <c r="M45" s="1082">
        <f>RegionalDMDNYC!K36</f>
        <v>0</v>
      </c>
      <c r="N45" s="1082">
        <f>RegionalDMDNYC!L36</f>
        <v>0</v>
      </c>
      <c r="O45" s="1082">
        <f>RegionalDMDNYC!M36</f>
        <v>0</v>
      </c>
    </row>
    <row r="46" spans="1:15" x14ac:dyDescent="0.2">
      <c r="A46" s="1071" t="str">
        <f>IF(LEFT(Commodities!B$16,1)="*",A$36,RIGHT(A$36,2))</f>
        <v>*R3</v>
      </c>
      <c r="B46" s="1071" t="str">
        <f>Commodities!C16</f>
        <v>TSW</v>
      </c>
      <c r="C46" s="1071" t="str">
        <f>Commodities!D16</f>
        <v>TRN.MSW</v>
      </c>
      <c r="D46" s="1071" t="str">
        <f>Commodities!E16</f>
        <v>bn-vmt</v>
      </c>
      <c r="E46" s="1082"/>
      <c r="F46" s="1082"/>
      <c r="G46" s="1082"/>
      <c r="H46" s="1082"/>
      <c r="I46" s="1082"/>
      <c r="J46" s="1082"/>
      <c r="K46" s="1082"/>
      <c r="L46" s="1082"/>
      <c r="M46" s="1082"/>
      <c r="N46" s="1082"/>
      <c r="O46" s="1082"/>
    </row>
    <row r="47" spans="1:15" x14ac:dyDescent="0.2">
      <c r="A47" s="1073" t="s">
        <v>185</v>
      </c>
      <c r="B47" s="1073"/>
      <c r="C47" s="1073"/>
      <c r="D47" s="1073"/>
      <c r="E47" s="1081"/>
      <c r="F47" s="1081"/>
      <c r="G47" s="1081"/>
      <c r="H47" s="1081"/>
      <c r="I47" s="1081"/>
      <c r="J47" s="1081"/>
      <c r="K47" s="1081"/>
      <c r="L47" s="1081"/>
      <c r="M47" s="1081"/>
      <c r="N47" s="1081"/>
      <c r="O47" s="1081"/>
    </row>
    <row r="48" spans="1:15" x14ac:dyDescent="0.2">
      <c r="A48" s="1071" t="s">
        <v>185</v>
      </c>
      <c r="B48" s="1071" t="str">
        <f>Commodities!C$9</f>
        <v>TA</v>
      </c>
      <c r="C48" s="1071" t="str">
        <f>Commodities!D$9</f>
        <v>TRN.AIR</v>
      </c>
      <c r="D48" s="1071" t="s">
        <v>91</v>
      </c>
      <c r="E48" s="1082">
        <f>RegionalDMDNYC!C40</f>
        <v>0</v>
      </c>
      <c r="F48" s="1082">
        <f>RegionalDMDNYC!D40</f>
        <v>0</v>
      </c>
      <c r="G48" s="1082">
        <f>RegionalDMDNYC!E40</f>
        <v>0</v>
      </c>
      <c r="H48" s="1082">
        <f>RegionalDMDNYC!F40</f>
        <v>0</v>
      </c>
      <c r="I48" s="1082">
        <f>RegionalDMDNYC!G40</f>
        <v>0</v>
      </c>
      <c r="J48" s="1082">
        <f>RegionalDMDNYC!H40</f>
        <v>0</v>
      </c>
      <c r="K48" s="1082">
        <f>RegionalDMDNYC!I40</f>
        <v>0</v>
      </c>
      <c r="L48" s="1082">
        <f>RegionalDMDNYC!J40</f>
        <v>0</v>
      </c>
      <c r="M48" s="1082">
        <f>RegionalDMDNYC!K40</f>
        <v>0</v>
      </c>
      <c r="N48" s="1082">
        <f>RegionalDMDNYC!L40</f>
        <v>0</v>
      </c>
      <c r="O48" s="1082">
        <f>RegionalDMDNYC!M40</f>
        <v>0</v>
      </c>
    </row>
    <row r="49" spans="1:15" x14ac:dyDescent="0.2">
      <c r="A49" s="1071" t="str">
        <f>IF(LEFT(Commodities!B$10,1)="*",A$47,RIGHT(A$47,2))</f>
        <v>R4</v>
      </c>
      <c r="B49" s="1071" t="str">
        <f>Commodities!C$10</f>
        <v>TB</v>
      </c>
      <c r="C49" s="1071" t="str">
        <f>Commodities!D$10</f>
        <v>TRN.BUS</v>
      </c>
      <c r="D49" s="1071" t="s">
        <v>95</v>
      </c>
      <c r="E49" s="1082">
        <f>RegionalDMDNYC!C41</f>
        <v>6.9106738397316583E-2</v>
      </c>
      <c r="F49" s="1082">
        <f>RegionalDMDNYC!D41</f>
        <v>6.9106738397316583E-2</v>
      </c>
      <c r="G49" s="1082">
        <f>RegionalDMDNYC!E41</f>
        <v>6.6503038229413405E-2</v>
      </c>
      <c r="H49" s="1082">
        <f>RegionalDMDNYC!F41</f>
        <v>6.8985669281398224E-2</v>
      </c>
      <c r="I49" s="1082">
        <f>RegionalDMDNYC!G41</f>
        <v>7.1561888711450125E-2</v>
      </c>
      <c r="J49" s="1082">
        <f>RegionalDMDNYC!H41</f>
        <v>7.4139172186383342E-2</v>
      </c>
      <c r="K49" s="1082">
        <f>RegionalDMDNYC!I41</f>
        <v>7.6389636651040427E-2</v>
      </c>
      <c r="L49" s="1082">
        <f>RegionalDMDNYC!J41</f>
        <v>7.8515614468302061E-2</v>
      </c>
      <c r="M49" s="1082">
        <f>RegionalDMDNYC!K41</f>
        <v>8.165849104012754E-2</v>
      </c>
      <c r="N49" s="1082">
        <f>RegionalDMDNYC!L41</f>
        <v>8.5231197934918415E-2</v>
      </c>
      <c r="O49" s="1082">
        <f>RegionalDMDNYC!M41</f>
        <v>8.9278829810808841E-2</v>
      </c>
    </row>
    <row r="50" spans="1:15" x14ac:dyDescent="0.2">
      <c r="A50" s="1071" t="s">
        <v>186</v>
      </c>
      <c r="B50" s="1071" t="str">
        <f>Commodities!C$11</f>
        <v>TM</v>
      </c>
      <c r="C50" s="1071" t="str">
        <f>Commodities!D$11</f>
        <v>TRN.Medium Duty Trucks</v>
      </c>
      <c r="D50" s="1071" t="s">
        <v>95</v>
      </c>
      <c r="E50" s="1082">
        <f>RegionalDMDNYC!C42</f>
        <v>9.584424683724839E-2</v>
      </c>
      <c r="F50" s="1082">
        <f>RegionalDMDNYC!D42</f>
        <v>9.584424683724839E-2</v>
      </c>
      <c r="G50" s="1082">
        <f>RegionalDMDNYC!E42</f>
        <v>9.7914703397262826E-2</v>
      </c>
      <c r="H50" s="1082">
        <f>RegionalDMDNYC!F42</f>
        <v>9.7543352031641578E-2</v>
      </c>
      <c r="I50" s="1082">
        <f>RegionalDMDNYC!G42</f>
        <v>9.8687682249944869E-2</v>
      </c>
      <c r="J50" s="1082">
        <f>RegionalDMDNYC!H42</f>
        <v>9.983201246824816E-2</v>
      </c>
      <c r="K50" s="1082">
        <f>RegionalDMDNYC!I42</f>
        <v>0.10027549661877405</v>
      </c>
      <c r="L50" s="1082">
        <f>RegionalDMDNYC!J42</f>
        <v>0.10071898076929993</v>
      </c>
      <c r="M50" s="1082">
        <f>RegionalDMDNYC!K42</f>
        <v>0.10319282072153524</v>
      </c>
      <c r="N50" s="1082">
        <f>RegionalDMDNYC!L42</f>
        <v>0.10439227936660919</v>
      </c>
      <c r="O50" s="1082">
        <f>RegionalDMDNYC!M42</f>
        <v>0.10559173801168314</v>
      </c>
    </row>
    <row r="51" spans="1:15" x14ac:dyDescent="0.2">
      <c r="A51" s="1071" t="str">
        <f>IF(LEFT(Commodities!B$12,1)="*",A$47,RIGHT(A$47,2))</f>
        <v>R4</v>
      </c>
      <c r="B51" s="1071" t="str">
        <f>Commodities!C$12</f>
        <v>THS</v>
      </c>
      <c r="C51" s="1071" t="str">
        <f>Commodities!$D$12</f>
        <v>TRN.HDV Short Haul</v>
      </c>
      <c r="D51" s="1071" t="s">
        <v>95</v>
      </c>
      <c r="E51" s="1082">
        <f>RegionalDMDNYC!C43</f>
        <v>0.12390046749429048</v>
      </c>
      <c r="F51" s="1082">
        <f>RegionalDMDNYC!D43</f>
        <v>0.12390046749429048</v>
      </c>
      <c r="G51" s="1082">
        <f>RegionalDMDNYC!E43</f>
        <v>0.12610431877328335</v>
      </c>
      <c r="H51" s="1082">
        <f>RegionalDMDNYC!F43</f>
        <v>0.13106242618993627</v>
      </c>
      <c r="I51" s="1082">
        <f>RegionalDMDNYC!G43</f>
        <v>0.13769822212239763</v>
      </c>
      <c r="J51" s="1082">
        <f>RegionalDMDNYC!H43</f>
        <v>0.14227926782319109</v>
      </c>
      <c r="K51" s="1082">
        <f>RegionalDMDNYC!I43</f>
        <v>0.14818969519765024</v>
      </c>
      <c r="L51" s="1082">
        <f>RegionalDMDNYC!J43</f>
        <v>0.15572338720612791</v>
      </c>
      <c r="M51" s="1082">
        <f>RegionalDMDNYC!K43</f>
        <v>0.16522435662664717</v>
      </c>
      <c r="N51" s="1082">
        <f>RegionalDMDNYC!L43</f>
        <v>0.17328790135533109</v>
      </c>
      <c r="O51" s="1082">
        <f>RegionalDMDNYC!M43</f>
        <v>0.18191421806189159</v>
      </c>
    </row>
    <row r="52" spans="1:15" x14ac:dyDescent="0.2">
      <c r="A52" s="1071" t="str">
        <f>IF(LEFT(Commodities!B$13,1)="*",A$47,RIGHT(A$47,2))</f>
        <v>*R4</v>
      </c>
      <c r="B52" s="1071" t="str">
        <f>Commodities!C$13</f>
        <v>THL</v>
      </c>
      <c r="C52" s="1071" t="str">
        <f>Commodities!$D$13</f>
        <v>TRN.HDV Long Haul</v>
      </c>
      <c r="D52" s="1071" t="s">
        <v>95</v>
      </c>
      <c r="E52" s="1082">
        <f>RegionalDMDNYC!C44</f>
        <v>0</v>
      </c>
      <c r="F52" s="1082">
        <f>RegionalDMDNYC!D44</f>
        <v>0</v>
      </c>
      <c r="G52" s="1082">
        <f>RegionalDMDNYC!E44</f>
        <v>0</v>
      </c>
      <c r="H52" s="1082">
        <f>RegionalDMDNYC!F44</f>
        <v>0</v>
      </c>
      <c r="I52" s="1082">
        <f>RegionalDMDNYC!G44</f>
        <v>0</v>
      </c>
      <c r="J52" s="1082">
        <f>RegionalDMDNYC!H44</f>
        <v>0</v>
      </c>
      <c r="K52" s="1082">
        <f>RegionalDMDNYC!I44</f>
        <v>0</v>
      </c>
      <c r="L52" s="1082">
        <f>RegionalDMDNYC!J44</f>
        <v>0</v>
      </c>
      <c r="M52" s="1082">
        <f>RegionalDMDNYC!K44</f>
        <v>0</v>
      </c>
      <c r="N52" s="1082">
        <f>RegionalDMDNYC!L44</f>
        <v>0</v>
      </c>
      <c r="O52" s="1082">
        <f>RegionalDMDNYC!M44</f>
        <v>0</v>
      </c>
    </row>
    <row r="53" spans="1:15" x14ac:dyDescent="0.2">
      <c r="A53" s="1071" t="str">
        <f>IF(LEFT(Commodities!B$15,1)="*",A$47,RIGHT(A$47,2))</f>
        <v>*R4</v>
      </c>
      <c r="B53" s="1071" t="str">
        <f>Commodities!C$15</f>
        <v>TRF</v>
      </c>
      <c r="C53" s="1071" t="str">
        <f>Commodities!D$15</f>
        <v>TRN.RAIL.FREIGHT</v>
      </c>
      <c r="D53" s="1071" t="s">
        <v>104</v>
      </c>
      <c r="E53" s="1082">
        <f>RegionalDMDNYC!C45</f>
        <v>0</v>
      </c>
      <c r="F53" s="1082">
        <f>RegionalDMDNYC!D45</f>
        <v>0</v>
      </c>
      <c r="G53" s="1082">
        <f>RegionalDMDNYC!E45</f>
        <v>0</v>
      </c>
      <c r="H53" s="1082">
        <f>RegionalDMDNYC!F45</f>
        <v>0</v>
      </c>
      <c r="I53" s="1082">
        <f>RegionalDMDNYC!G45</f>
        <v>0</v>
      </c>
      <c r="J53" s="1082">
        <f>RegionalDMDNYC!H45</f>
        <v>0</v>
      </c>
      <c r="K53" s="1082">
        <f>RegionalDMDNYC!I45</f>
        <v>0</v>
      </c>
      <c r="L53" s="1082">
        <f>RegionalDMDNYC!J45</f>
        <v>0</v>
      </c>
      <c r="M53" s="1082">
        <f>RegionalDMDNYC!K45</f>
        <v>0</v>
      </c>
      <c r="N53" s="1082">
        <f>RegionalDMDNYC!L45</f>
        <v>0</v>
      </c>
      <c r="O53" s="1082">
        <f>RegionalDMDNYC!M45</f>
        <v>0</v>
      </c>
    </row>
    <row r="54" spans="1:15" ht="13.5" customHeight="1" x14ac:dyDescent="0.2">
      <c r="A54" s="1071" t="str">
        <f>IF(LEFT(Commodities!B$17,1)="*",A$47,RIGHT(A$47,2))</f>
        <v>R4</v>
      </c>
      <c r="B54" s="1071" t="str">
        <f>Commodities!C$17</f>
        <v>TRP</v>
      </c>
      <c r="C54" s="1071" t="str">
        <f>Commodities!D$17</f>
        <v>TRN.RAIL.PASS</v>
      </c>
      <c r="D54" s="1071" t="s">
        <v>91</v>
      </c>
      <c r="E54" s="1082">
        <f>RegionalDMDNYC!C46</f>
        <v>1.7870909925054703</v>
      </c>
      <c r="F54" s="1082">
        <f>RegionalDMDNYC!D46</f>
        <v>1.7870909925054703</v>
      </c>
      <c r="G54" s="1082">
        <f>RegionalDMDNYC!E46</f>
        <v>1.8733488274669627</v>
      </c>
      <c r="H54" s="1082">
        <f>RegionalDMDNYC!F46</f>
        <v>1.9608030795484384</v>
      </c>
      <c r="I54" s="1082">
        <f>RegionalDMDNYC!G46</f>
        <v>2.0694264724566884</v>
      </c>
      <c r="J54" s="1082">
        <f>RegionalDMDNYC!H46</f>
        <v>2.1657425008548916</v>
      </c>
      <c r="K54" s="1082">
        <f>RegionalDMDNYC!I46</f>
        <v>2.246861500211824</v>
      </c>
      <c r="L54" s="1082">
        <f>RegionalDMDNYC!J46</f>
        <v>2.36650938155609</v>
      </c>
      <c r="M54" s="1082">
        <f>RegionalDMDNYC!K46</f>
        <v>2.4906952874093142</v>
      </c>
      <c r="N54" s="1082">
        <f>RegionalDMDNYC!L46</f>
        <v>2.621819924321632</v>
      </c>
      <c r="O54" s="1082">
        <f>RegionalDMDNYC!M46</f>
        <v>2.7602551265817574</v>
      </c>
    </row>
    <row r="55" spans="1:15" x14ac:dyDescent="0.2">
      <c r="A55" s="1071" t="str">
        <f>IF(LEFT(Commodities!B$14,1)="*",A$47,RIGHT(A$47,2))</f>
        <v>R4</v>
      </c>
      <c r="B55" s="1071" t="str">
        <f>Commodities!C$14</f>
        <v>TS</v>
      </c>
      <c r="C55" s="1071" t="str">
        <f>Commodities!D$14</f>
        <v>TRN.SHIP</v>
      </c>
      <c r="D55" s="1071" t="s">
        <v>104</v>
      </c>
      <c r="E55" s="1082">
        <f>RegionalDMDNYC!C47</f>
        <v>0</v>
      </c>
      <c r="F55" s="1082">
        <f>RegionalDMDNYC!D47</f>
        <v>0</v>
      </c>
      <c r="G55" s="1082">
        <f>RegionalDMDNYC!E47</f>
        <v>0</v>
      </c>
      <c r="H55" s="1082">
        <f>RegionalDMDNYC!F47</f>
        <v>0</v>
      </c>
      <c r="I55" s="1082">
        <f>RegionalDMDNYC!G47</f>
        <v>0</v>
      </c>
      <c r="J55" s="1082">
        <f>RegionalDMDNYC!H47</f>
        <v>0</v>
      </c>
      <c r="K55" s="1082">
        <f>RegionalDMDNYC!I47</f>
        <v>0</v>
      </c>
      <c r="L55" s="1082">
        <f>RegionalDMDNYC!J47</f>
        <v>0</v>
      </c>
      <c r="M55" s="1082">
        <f>RegionalDMDNYC!K47</f>
        <v>0</v>
      </c>
      <c r="N55" s="1082">
        <f>RegionalDMDNYC!L47</f>
        <v>0</v>
      </c>
      <c r="O55" s="1082">
        <f>RegionalDMDNYC!M47</f>
        <v>0</v>
      </c>
    </row>
    <row r="56" spans="1:15" x14ac:dyDescent="0.2">
      <c r="A56" s="1071" t="str">
        <f>IF(LEFT(Commodities!B$18,1)="*",A$47,RIGHT(A$47,2))</f>
        <v>*R4</v>
      </c>
      <c r="B56" s="1071" t="str">
        <f>Commodities!C$18</f>
        <v>TC</v>
      </c>
      <c r="C56" s="1071" t="str">
        <f>Commodities!D$18</f>
        <v>TRN.TRUCK.COMMERCIAL</v>
      </c>
      <c r="D56" s="1071" t="s">
        <v>95</v>
      </c>
      <c r="E56" s="1082">
        <f>RegionalDMDNYC!C48</f>
        <v>0</v>
      </c>
      <c r="F56" s="1082">
        <f>RegionalDMDNYC!D48</f>
        <v>0</v>
      </c>
      <c r="G56" s="1082">
        <f>RegionalDMDNYC!E48</f>
        <v>0</v>
      </c>
      <c r="H56" s="1082">
        <f>RegionalDMDNYC!F48</f>
        <v>0</v>
      </c>
      <c r="I56" s="1082">
        <f>RegionalDMDNYC!G48</f>
        <v>0</v>
      </c>
      <c r="J56" s="1082">
        <f>RegionalDMDNYC!H48</f>
        <v>0</v>
      </c>
      <c r="K56" s="1082">
        <f>RegionalDMDNYC!I48</f>
        <v>0</v>
      </c>
      <c r="L56" s="1082">
        <f>RegionalDMDNYC!J48</f>
        <v>0</v>
      </c>
      <c r="M56" s="1082">
        <f>RegionalDMDNYC!K48</f>
        <v>0</v>
      </c>
      <c r="N56" s="1082">
        <f>RegionalDMDNYC!L48</f>
        <v>0</v>
      </c>
      <c r="O56" s="1082">
        <f>RegionalDMDNYC!M48</f>
        <v>0</v>
      </c>
    </row>
    <row r="57" spans="1:15" x14ac:dyDescent="0.2">
      <c r="A57" s="1071" t="str">
        <f>IF(LEFT(Commodities!B$16,1)="*",A$47,RIGHT(A$47,2))</f>
        <v>*R4</v>
      </c>
      <c r="B57" s="1071" t="str">
        <f>Commodities!C16</f>
        <v>TSW</v>
      </c>
      <c r="C57" s="1071" t="str">
        <f>Commodities!D16</f>
        <v>TRN.MSW</v>
      </c>
      <c r="D57" s="1071" t="str">
        <f>Commodities!E16</f>
        <v>bn-vmt</v>
      </c>
      <c r="E57" s="1082"/>
      <c r="F57" s="1082"/>
      <c r="G57" s="1082"/>
      <c r="H57" s="1082"/>
      <c r="I57" s="1082"/>
      <c r="J57" s="1082"/>
      <c r="K57" s="1082"/>
      <c r="L57" s="1082"/>
      <c r="M57" s="1082"/>
      <c r="N57" s="1082"/>
      <c r="O57" s="1082"/>
    </row>
    <row r="58" spans="1:15" x14ac:dyDescent="0.2">
      <c r="A58" s="1073" t="s">
        <v>187</v>
      </c>
      <c r="B58" s="1073"/>
      <c r="C58" s="1073"/>
      <c r="D58" s="1073"/>
      <c r="E58" s="1081"/>
      <c r="F58" s="1081"/>
      <c r="G58" s="1081"/>
      <c r="H58" s="1081"/>
      <c r="I58" s="1081"/>
      <c r="J58" s="1081"/>
      <c r="K58" s="1081"/>
      <c r="L58" s="1081"/>
      <c r="M58" s="1081"/>
      <c r="N58" s="1081"/>
      <c r="O58" s="1081"/>
    </row>
    <row r="59" spans="1:15" x14ac:dyDescent="0.2">
      <c r="A59" s="1071" t="s">
        <v>187</v>
      </c>
      <c r="B59" s="1071" t="str">
        <f>Commodities!C$9</f>
        <v>TA</v>
      </c>
      <c r="C59" s="1071" t="str">
        <f>Commodities!D$9</f>
        <v>TRN.AIR</v>
      </c>
      <c r="D59" s="1071" t="s">
        <v>91</v>
      </c>
      <c r="E59" s="1082">
        <f>RegionalDMDNYC!C52</f>
        <v>0</v>
      </c>
      <c r="F59" s="1082">
        <f>RegionalDMDNYC!D52</f>
        <v>0</v>
      </c>
      <c r="G59" s="1082">
        <f>RegionalDMDNYC!E52</f>
        <v>0</v>
      </c>
      <c r="H59" s="1082">
        <f>RegionalDMDNYC!F52</f>
        <v>0</v>
      </c>
      <c r="I59" s="1082">
        <f>RegionalDMDNYC!G52</f>
        <v>0</v>
      </c>
      <c r="J59" s="1082">
        <f>RegionalDMDNYC!H52</f>
        <v>0</v>
      </c>
      <c r="K59" s="1082">
        <f>RegionalDMDNYC!I52</f>
        <v>0</v>
      </c>
      <c r="L59" s="1082">
        <f>RegionalDMDNYC!J52</f>
        <v>0</v>
      </c>
      <c r="M59" s="1082">
        <f>RegionalDMDNYC!K52</f>
        <v>0</v>
      </c>
      <c r="N59" s="1082">
        <f>RegionalDMDNYC!L52</f>
        <v>0</v>
      </c>
      <c r="O59" s="1082">
        <f>RegionalDMDNYC!M52</f>
        <v>0</v>
      </c>
    </row>
    <row r="60" spans="1:15" x14ac:dyDescent="0.2">
      <c r="A60" s="1071" t="str">
        <f>IF(LEFT(Commodities!B$10,1)="*",A$58,RIGHT(A$58,2))</f>
        <v>R5</v>
      </c>
      <c r="B60" s="1071" t="str">
        <f>Commodities!C$10</f>
        <v>TB</v>
      </c>
      <c r="C60" s="1071" t="str">
        <f>Commodities!D$10</f>
        <v>TRN.BUS</v>
      </c>
      <c r="D60" s="1071" t="s">
        <v>95</v>
      </c>
      <c r="E60" s="1082">
        <f>RegionalDMDNYC!C53</f>
        <v>2.0425596178870693E-2</v>
      </c>
      <c r="F60" s="1082">
        <f>RegionalDMDNYC!D53</f>
        <v>2.0425596178870693E-2</v>
      </c>
      <c r="G60" s="1082">
        <f>RegionalDMDNYC!E53</f>
        <v>1.9190759125819214E-2</v>
      </c>
      <c r="H60" s="1082">
        <f>RegionalDMDNYC!F53</f>
        <v>2.051340015466184E-2</v>
      </c>
      <c r="I60" s="1082">
        <f>RegionalDMDNYC!G53</f>
        <v>2.126140850016699E-2</v>
      </c>
      <c r="J60" s="1082">
        <f>RegionalDMDNYC!H53</f>
        <v>2.2008861835369129E-2</v>
      </c>
      <c r="K60" s="1082">
        <f>RegionalDMDNYC!I53</f>
        <v>2.2652840165929045E-2</v>
      </c>
      <c r="L60" s="1082">
        <f>RegionalDMDNYC!J53</f>
        <v>2.3258740631358264E-2</v>
      </c>
      <c r="M60" s="1082">
        <f>RegionalDMDNYC!K53</f>
        <v>2.4920922392353398E-2</v>
      </c>
      <c r="N60" s="1082">
        <f>RegionalDMDNYC!L53</f>
        <v>2.6213456898755857E-2</v>
      </c>
      <c r="O60" s="1082">
        <f>RegionalDMDNYC!M53</f>
        <v>2.7665324243579068E-2</v>
      </c>
    </row>
    <row r="61" spans="1:15" x14ac:dyDescent="0.2">
      <c r="A61" s="1071" t="s">
        <v>188</v>
      </c>
      <c r="B61" s="1071" t="str">
        <f>Commodities!C$11</f>
        <v>TM</v>
      </c>
      <c r="C61" s="1071" t="str">
        <f>Commodities!D$11</f>
        <v>TRN.Medium Duty Trucks</v>
      </c>
      <c r="D61" s="1071" t="s">
        <v>95</v>
      </c>
      <c r="E61" s="1082">
        <f>RegionalDMDNYC!C54</f>
        <v>2.8328292252925324E-2</v>
      </c>
      <c r="F61" s="1082">
        <f>RegionalDMDNYC!D54</f>
        <v>2.8328292252925324E-2</v>
      </c>
      <c r="G61" s="1082">
        <f>RegionalDMDNYC!E54</f>
        <v>2.8255212660973156E-2</v>
      </c>
      <c r="H61" s="1082">
        <f>RegionalDMDNYC!F54</f>
        <v>2.9005238819820499E-2</v>
      </c>
      <c r="I61" s="1082">
        <f>RegionalDMDNYC!G54</f>
        <v>2.9320622527323429E-2</v>
      </c>
      <c r="J61" s="1082">
        <f>RegionalDMDNYC!H54</f>
        <v>2.9636006234826359E-2</v>
      </c>
      <c r="K61" s="1082">
        <f>RegionalDMDNYC!I54</f>
        <v>2.9736033538697412E-2</v>
      </c>
      <c r="L61" s="1082">
        <f>RegionalDMDNYC!J54</f>
        <v>2.983606084256845E-2</v>
      </c>
      <c r="M61" s="1082">
        <f>RegionalDMDNYC!K54</f>
        <v>3.1492870415468319E-2</v>
      </c>
      <c r="N61" s="1082">
        <f>RegionalDMDNYC!L54</f>
        <v>3.21065828246253E-2</v>
      </c>
      <c r="O61" s="1082">
        <f>RegionalDMDNYC!M54</f>
        <v>3.2720295233782275E-2</v>
      </c>
    </row>
    <row r="62" spans="1:15" x14ac:dyDescent="0.2">
      <c r="A62" s="1071" t="str">
        <f>IF(LEFT(Commodities!B$12,1)="*",A$58,RIGHT(A$58,2))</f>
        <v>R5</v>
      </c>
      <c r="B62" s="1071" t="str">
        <f>Commodities!C$12</f>
        <v>THS</v>
      </c>
      <c r="C62" s="1071" t="str">
        <f>Commodities!$D$12</f>
        <v>TRN.HDV Short Haul</v>
      </c>
      <c r="D62" s="1071" t="s">
        <v>95</v>
      </c>
      <c r="E62" s="1082">
        <f>RegionalDMDNYC!C55</f>
        <v>3.662075470646059E-2</v>
      </c>
      <c r="F62" s="1082">
        <f>RegionalDMDNYC!D55</f>
        <v>3.662075470646059E-2</v>
      </c>
      <c r="G62" s="1082">
        <f>RegionalDMDNYC!E55</f>
        <v>3.6389880383438676E-2</v>
      </c>
      <c r="H62" s="1082">
        <f>RegionalDMDNYC!F55</f>
        <v>3.8972383999178663E-2</v>
      </c>
      <c r="I62" s="1082">
        <f>RegionalDMDNYC!G55</f>
        <v>4.0910856365122643E-2</v>
      </c>
      <c r="J62" s="1082">
        <f>RegionalDMDNYC!H55</f>
        <v>4.2236845316883889E-2</v>
      </c>
      <c r="K62" s="1082">
        <f>RegionalDMDNYC!I55</f>
        <v>4.3944671381080498E-2</v>
      </c>
      <c r="L62" s="1082">
        <f>RegionalDMDNYC!J55</f>
        <v>4.6130058304850063E-2</v>
      </c>
      <c r="M62" s="1082">
        <f>RegionalDMDNYC!K55</f>
        <v>5.0423946320484976E-2</v>
      </c>
      <c r="N62" s="1082">
        <f>RegionalDMDNYC!L55</f>
        <v>5.3295917965653979E-2</v>
      </c>
      <c r="O62" s="1082">
        <f>RegionalDMDNYC!M55</f>
        <v>5.6370763795451057E-2</v>
      </c>
    </row>
    <row r="63" spans="1:15" x14ac:dyDescent="0.2">
      <c r="A63" s="1071" t="str">
        <f>IF(LEFT(Commodities!B$13,1)="*",A$58,RIGHT(A$58,2))</f>
        <v>*R5</v>
      </c>
      <c r="B63" s="1071" t="str">
        <f>Commodities!C$13</f>
        <v>THL</v>
      </c>
      <c r="C63" s="1071" t="str">
        <f>Commodities!$D$13</f>
        <v>TRN.HDV Long Haul</v>
      </c>
      <c r="D63" s="1071" t="s">
        <v>95</v>
      </c>
      <c r="E63" s="1082">
        <f>RegionalDMDNYC!C56</f>
        <v>0</v>
      </c>
      <c r="F63" s="1082">
        <f>RegionalDMDNYC!D56</f>
        <v>0</v>
      </c>
      <c r="G63" s="1082">
        <f>RegionalDMDNYC!E56</f>
        <v>0</v>
      </c>
      <c r="H63" s="1082">
        <f>RegionalDMDNYC!F56</f>
        <v>0</v>
      </c>
      <c r="I63" s="1082">
        <f>RegionalDMDNYC!G56</f>
        <v>0</v>
      </c>
      <c r="J63" s="1082">
        <f>RegionalDMDNYC!H56</f>
        <v>0</v>
      </c>
      <c r="K63" s="1082">
        <f>RegionalDMDNYC!I56</f>
        <v>0</v>
      </c>
      <c r="L63" s="1082">
        <f>RegionalDMDNYC!J56</f>
        <v>0</v>
      </c>
      <c r="M63" s="1082">
        <f>RegionalDMDNYC!K56</f>
        <v>0</v>
      </c>
      <c r="N63" s="1082">
        <f>RegionalDMDNYC!L56</f>
        <v>0</v>
      </c>
      <c r="O63" s="1082">
        <f>RegionalDMDNYC!M56</f>
        <v>0</v>
      </c>
    </row>
    <row r="64" spans="1:15" x14ac:dyDescent="0.2">
      <c r="A64" s="1071" t="str">
        <f>IF(LEFT(Commodities!B$15,1)="*",A$58,RIGHT(A$58,2))</f>
        <v>*R5</v>
      </c>
      <c r="B64" s="1071" t="str">
        <f>Commodities!C$15</f>
        <v>TRF</v>
      </c>
      <c r="C64" s="1071" t="str">
        <f>Commodities!D$15</f>
        <v>TRN.RAIL.FREIGHT</v>
      </c>
      <c r="D64" s="1071" t="s">
        <v>104</v>
      </c>
      <c r="E64" s="1082">
        <f>RegionalDMDNYC!C57</f>
        <v>0</v>
      </c>
      <c r="F64" s="1082">
        <f>RegionalDMDNYC!D57</f>
        <v>0</v>
      </c>
      <c r="G64" s="1082">
        <f>RegionalDMDNYC!E57</f>
        <v>0</v>
      </c>
      <c r="H64" s="1082">
        <f>RegionalDMDNYC!F57</f>
        <v>0</v>
      </c>
      <c r="I64" s="1082">
        <f>RegionalDMDNYC!G57</f>
        <v>0</v>
      </c>
      <c r="J64" s="1082">
        <f>RegionalDMDNYC!H57</f>
        <v>0</v>
      </c>
      <c r="K64" s="1082">
        <f>RegionalDMDNYC!I57</f>
        <v>0</v>
      </c>
      <c r="L64" s="1082">
        <f>RegionalDMDNYC!J57</f>
        <v>0</v>
      </c>
      <c r="M64" s="1082">
        <f>RegionalDMDNYC!K57</f>
        <v>0</v>
      </c>
      <c r="N64" s="1082">
        <f>RegionalDMDNYC!L57</f>
        <v>0</v>
      </c>
      <c r="O64" s="1082">
        <f>RegionalDMDNYC!M57</f>
        <v>0</v>
      </c>
    </row>
    <row r="65" spans="1:15" ht="13.5" customHeight="1" x14ac:dyDescent="0.2">
      <c r="A65" s="1071" t="str">
        <f>IF(LEFT(Commodities!B$17,1)="*",A$58,RIGHT(A$58,2))</f>
        <v>R5</v>
      </c>
      <c r="B65" s="1071" t="str">
        <f>Commodities!C$17</f>
        <v>TRP</v>
      </c>
      <c r="C65" s="1071" t="str">
        <f>Commodities!D$17</f>
        <v>TRN.RAIL.PASS</v>
      </c>
      <c r="D65" s="1071" t="s">
        <v>91</v>
      </c>
      <c r="E65" s="1082">
        <f>RegionalDMDNYC!C58</f>
        <v>0.52820317952136719</v>
      </c>
      <c r="F65" s="1082">
        <f>RegionalDMDNYC!D58</f>
        <v>0.52820317952136719</v>
      </c>
      <c r="G65" s="1082">
        <f>RegionalDMDNYC!E58</f>
        <v>0.53395268151433395</v>
      </c>
      <c r="H65" s="1082">
        <f>RegionalDMDNYC!F58</f>
        <v>0.58305933122426457</v>
      </c>
      <c r="I65" s="1082">
        <f>RegionalDMDNYC!G58</f>
        <v>0.6148373440697249</v>
      </c>
      <c r="J65" s="1082">
        <f>RegionalDMDNYC!H58</f>
        <v>0.64291960736319798</v>
      </c>
      <c r="K65" s="1082">
        <f>RegionalDMDNYC!I58</f>
        <v>0.66629187767690168</v>
      </c>
      <c r="L65" s="1082">
        <f>RegionalDMDNYC!J58</f>
        <v>0.70103288728015301</v>
      </c>
      <c r="M65" s="1082">
        <f>RegionalDMDNYC!K58</f>
        <v>0.76012210328532792</v>
      </c>
      <c r="N65" s="1082">
        <f>RegionalDMDNYC!L58</f>
        <v>0.80635923520614583</v>
      </c>
      <c r="O65" s="1082">
        <f>RegionalDMDNYC!M58</f>
        <v>0.85533550600638053</v>
      </c>
    </row>
    <row r="66" spans="1:15" x14ac:dyDescent="0.2">
      <c r="A66" s="1071" t="str">
        <f>IF(LEFT(Commodities!B$14,1)="*",A$58,RIGHT(A$58,2))</f>
        <v>R5</v>
      </c>
      <c r="B66" s="1071" t="str">
        <f>Commodities!C$14</f>
        <v>TS</v>
      </c>
      <c r="C66" s="1071" t="str">
        <f>Commodities!D$14</f>
        <v>TRN.SHIP</v>
      </c>
      <c r="D66" s="1071" t="s">
        <v>104</v>
      </c>
      <c r="E66" s="1082">
        <f>RegionalDMDNYC!C59</f>
        <v>0</v>
      </c>
      <c r="F66" s="1082">
        <f>RegionalDMDNYC!D59</f>
        <v>0</v>
      </c>
      <c r="G66" s="1082">
        <f>RegionalDMDNYC!E59</f>
        <v>0</v>
      </c>
      <c r="H66" s="1082">
        <f>RegionalDMDNYC!F59</f>
        <v>0</v>
      </c>
      <c r="I66" s="1082">
        <f>RegionalDMDNYC!G59</f>
        <v>0</v>
      </c>
      <c r="J66" s="1082">
        <f>RegionalDMDNYC!H59</f>
        <v>0</v>
      </c>
      <c r="K66" s="1082">
        <f>RegionalDMDNYC!I59</f>
        <v>0</v>
      </c>
      <c r="L66" s="1082">
        <f>RegionalDMDNYC!J59</f>
        <v>0</v>
      </c>
      <c r="M66" s="1082">
        <f>RegionalDMDNYC!K59</f>
        <v>0</v>
      </c>
      <c r="N66" s="1082">
        <f>RegionalDMDNYC!L59</f>
        <v>0</v>
      </c>
      <c r="O66" s="1082">
        <f>RegionalDMDNYC!M59</f>
        <v>0</v>
      </c>
    </row>
    <row r="67" spans="1:15" x14ac:dyDescent="0.2">
      <c r="A67" s="1071" t="str">
        <f>IF(LEFT(Commodities!B$18,1)="*",A$58,RIGHT(A$58,2))</f>
        <v>*R5</v>
      </c>
      <c r="B67" s="1071" t="str">
        <f>Commodities!C$18</f>
        <v>TC</v>
      </c>
      <c r="C67" s="1071" t="str">
        <f>Commodities!D$18</f>
        <v>TRN.TRUCK.COMMERCIAL</v>
      </c>
      <c r="D67" s="1071" t="s">
        <v>95</v>
      </c>
      <c r="E67" s="1082">
        <f>RegionalDMDNYC!C60</f>
        <v>0</v>
      </c>
      <c r="F67" s="1082">
        <f>RegionalDMDNYC!D60</f>
        <v>0</v>
      </c>
      <c r="G67" s="1082">
        <f>RegionalDMDNYC!E60</f>
        <v>0</v>
      </c>
      <c r="H67" s="1082">
        <f>RegionalDMDNYC!F60</f>
        <v>0</v>
      </c>
      <c r="I67" s="1082">
        <f>RegionalDMDNYC!G60</f>
        <v>0</v>
      </c>
      <c r="J67" s="1082">
        <f>RegionalDMDNYC!H60</f>
        <v>0</v>
      </c>
      <c r="K67" s="1082">
        <f>RegionalDMDNYC!I60</f>
        <v>0</v>
      </c>
      <c r="L67" s="1082">
        <f>RegionalDMDNYC!J60</f>
        <v>0</v>
      </c>
      <c r="M67" s="1082">
        <f>RegionalDMDNYC!K60</f>
        <v>0</v>
      </c>
      <c r="N67" s="1082">
        <f>RegionalDMDNYC!L60</f>
        <v>0</v>
      </c>
      <c r="O67" s="1082">
        <f>RegionalDMDNYC!M60</f>
        <v>0</v>
      </c>
    </row>
    <row r="68" spans="1:15" x14ac:dyDescent="0.2">
      <c r="A68" s="1071" t="str">
        <f>IF(LEFT(Commodities!B$16,1)="*",A$58,RIGHT(A$58,2))</f>
        <v>*R5</v>
      </c>
      <c r="B68" s="1071" t="str">
        <f>Commodities!C16</f>
        <v>TSW</v>
      </c>
      <c r="C68" s="1071" t="str">
        <f>Commodities!D16</f>
        <v>TRN.MSW</v>
      </c>
      <c r="D68" s="1071" t="str">
        <f>Commodities!E16</f>
        <v>bn-vmt</v>
      </c>
      <c r="E68" s="1082"/>
      <c r="F68" s="1082"/>
      <c r="G68" s="1082"/>
      <c r="H68" s="1082"/>
      <c r="I68" s="1082"/>
      <c r="J68" s="1082"/>
      <c r="K68" s="1082"/>
      <c r="L68" s="1082"/>
      <c r="M68" s="1082"/>
      <c r="N68" s="1082"/>
      <c r="O68" s="1082"/>
    </row>
    <row r="69" spans="1:15" x14ac:dyDescent="0.2">
      <c r="A69" s="1073" t="s">
        <v>189</v>
      </c>
      <c r="B69" s="1073"/>
      <c r="C69" s="1073"/>
      <c r="D69" s="1073"/>
      <c r="E69" s="1081"/>
      <c r="F69" s="1081"/>
      <c r="G69" s="1081"/>
      <c r="H69" s="1081"/>
      <c r="I69" s="1081"/>
      <c r="J69" s="1081"/>
      <c r="K69" s="1081"/>
      <c r="L69" s="1081"/>
      <c r="M69" s="1081"/>
      <c r="N69" s="1081"/>
      <c r="O69" s="1081"/>
    </row>
    <row r="70" spans="1:15" x14ac:dyDescent="0.2">
      <c r="A70" s="1071" t="s">
        <v>190</v>
      </c>
      <c r="B70" s="1071" t="str">
        <f>Commodities!C$9</f>
        <v>TA</v>
      </c>
      <c r="C70" s="1071" t="str">
        <f>Commodities!D$9</f>
        <v>TRN.AIR</v>
      </c>
      <c r="D70" s="1071" t="s">
        <v>91</v>
      </c>
      <c r="E70" s="1082">
        <f>RegionalDMDNYC!C64</f>
        <v>1.7477079974788159E-2</v>
      </c>
      <c r="F70" s="1082">
        <f>RegionalDMDNYC!D64</f>
        <v>1.4855517978569936E-2</v>
      </c>
      <c r="G70" s="1082">
        <f>RegionalDMDNYC!E64</f>
        <v>1.9044072748038786E-2</v>
      </c>
      <c r="H70" s="1082">
        <f>RegionalDMDNYC!F64</f>
        <v>1.9869505508434072E-2</v>
      </c>
      <c r="I70" s="1082">
        <f>RegionalDMDNYC!G64</f>
        <v>2.0959275032636986E-2</v>
      </c>
      <c r="J70" s="1082">
        <f>RegionalDMDNYC!H64</f>
        <v>2.1741126606205752E-2</v>
      </c>
      <c r="K70" s="1082">
        <f>RegionalDMDNYC!I64</f>
        <v>2.280496237057611E-2</v>
      </c>
      <c r="L70" s="1082">
        <f>RegionalDMDNYC!J64</f>
        <v>2.4131693772529373E-2</v>
      </c>
      <c r="M70" s="1082">
        <f>RegionalDMDNYC!K64</f>
        <v>2.5731443679320079E-2</v>
      </c>
      <c r="N70" s="1082">
        <f>RegionalDMDNYC!L64</f>
        <v>2.711760913380238E-2</v>
      </c>
      <c r="O70" s="1082">
        <f>RegionalDMDNYC!M64</f>
        <v>2.8601289692330587E-2</v>
      </c>
    </row>
    <row r="71" spans="1:15" x14ac:dyDescent="0.2">
      <c r="A71" s="1071" t="str">
        <f>IF(LEFT(Commodities!B$10,1)="*",A$69,RIGHT(A$69,2))</f>
        <v>R6</v>
      </c>
      <c r="B71" s="1071" t="str">
        <f>Commodities!C$10</f>
        <v>TB</v>
      </c>
      <c r="C71" s="1071" t="str">
        <f>Commodities!D$10</f>
        <v>TRN.BUS</v>
      </c>
      <c r="D71" s="1071" t="s">
        <v>95</v>
      </c>
      <c r="E71" s="1082">
        <f>RegionalDMDNYC!C65</f>
        <v>9.8047132152094846E-2</v>
      </c>
      <c r="F71" s="1082">
        <f>RegionalDMDNYC!D65</f>
        <v>9.8047132152094846E-2</v>
      </c>
      <c r="G71" s="1082">
        <f>RegionalDMDNYC!E65</f>
        <v>9.4593420001685816E-2</v>
      </c>
      <c r="H71" s="1082">
        <f>RegionalDMDNYC!F65</f>
        <v>9.8125388866803595E-2</v>
      </c>
      <c r="I71" s="1082">
        <f>RegionalDMDNYC!G65</f>
        <v>0.10154328881584043</v>
      </c>
      <c r="J71" s="1082">
        <f>RegionalDMDNYC!H65</f>
        <v>0.10495080054043751</v>
      </c>
      <c r="K71" s="1082">
        <f>RegionalDMDNYC!I65</f>
        <v>0.10854498197158115</v>
      </c>
      <c r="L71" s="1082">
        <f>RegionalDMDNYC!J65</f>
        <v>0.11198197862242722</v>
      </c>
      <c r="M71" s="1082">
        <f>RegionalDMDNYC!K65</f>
        <v>0.11762495234886459</v>
      </c>
      <c r="N71" s="1082">
        <f>RegionalDMDNYC!L65</f>
        <v>0.12316541756658006</v>
      </c>
      <c r="O71" s="1082">
        <f>RegionalDMDNYC!M65</f>
        <v>0.12941804561703046</v>
      </c>
    </row>
    <row r="72" spans="1:15" x14ac:dyDescent="0.2">
      <c r="A72" s="1071" t="s">
        <v>190</v>
      </c>
      <c r="B72" s="1071" t="str">
        <f>Commodities!C$11</f>
        <v>TM</v>
      </c>
      <c r="C72" s="1071" t="str">
        <f>Commodities!D$11</f>
        <v>TRN.Medium Duty Trucks</v>
      </c>
      <c r="D72" s="1071" t="s">
        <v>95</v>
      </c>
      <c r="E72" s="1082">
        <f>RegionalDMDNYC!C66</f>
        <v>0.1359817255683794</v>
      </c>
      <c r="F72" s="1082">
        <f>RegionalDMDNYC!D66</f>
        <v>0.1359817255683794</v>
      </c>
      <c r="G72" s="1082">
        <f>RegionalDMDNYC!E66</f>
        <v>0.13927313562497176</v>
      </c>
      <c r="H72" s="1082">
        <f>RegionalDMDNYC!F66</f>
        <v>0.13874590837748482</v>
      </c>
      <c r="I72" s="1082">
        <f>RegionalDMDNYC!G66</f>
        <v>0.14003364083470085</v>
      </c>
      <c r="J72" s="1082">
        <f>RegionalDMDNYC!H66</f>
        <v>0.14132137329191688</v>
      </c>
      <c r="K72" s="1082">
        <f>RegionalDMDNYC!I66</f>
        <v>0.14248532196059252</v>
      </c>
      <c r="L72" s="1082">
        <f>RegionalDMDNYC!J66</f>
        <v>0.14364927062926813</v>
      </c>
      <c r="M72" s="1082">
        <f>RegionalDMDNYC!K66</f>
        <v>0.14864407198206478</v>
      </c>
      <c r="N72" s="1082">
        <f>RegionalDMDNYC!L66</f>
        <v>0.1508546047743381</v>
      </c>
      <c r="O72" s="1082">
        <f>RegionalDMDNYC!M66</f>
        <v>0.15306513756661136</v>
      </c>
    </row>
    <row r="73" spans="1:15" x14ac:dyDescent="0.2">
      <c r="A73" s="1071" t="str">
        <f>IF(LEFT(Commodities!B$12,1)="*",A$69,RIGHT(A$69,2))</f>
        <v>R6</v>
      </c>
      <c r="B73" s="1071" t="str">
        <f>Commodities!C$12</f>
        <v>THS</v>
      </c>
      <c r="C73" s="1071" t="str">
        <f>Commodities!$D$12</f>
        <v>TRN.HDV Short Haul</v>
      </c>
      <c r="D73" s="1071" t="s">
        <v>95</v>
      </c>
      <c r="E73" s="1082">
        <f>RegionalDMDNYC!C67</f>
        <v>0.17578727909680572</v>
      </c>
      <c r="F73" s="1082">
        <f>RegionalDMDNYC!D67</f>
        <v>0.17578727909680572</v>
      </c>
      <c r="G73" s="1082">
        <f>RegionalDMDNYC!E67</f>
        <v>0.17936983192554035</v>
      </c>
      <c r="H73" s="1082">
        <f>RegionalDMDNYC!F67</f>
        <v>0.18642352346043053</v>
      </c>
      <c r="I73" s="1082">
        <f>RegionalDMDNYC!G67</f>
        <v>0.19538794447951952</v>
      </c>
      <c r="J73" s="1082">
        <f>RegionalDMDNYC!H67</f>
        <v>0.20140935780631417</v>
      </c>
      <c r="K73" s="1082">
        <f>RegionalDMDNYC!I67</f>
        <v>0.21056845534012592</v>
      </c>
      <c r="L73" s="1082">
        <f>RegionalDMDNYC!J67</f>
        <v>0.22209866324320299</v>
      </c>
      <c r="M73" s="1082">
        <f>RegionalDMDNYC!K67</f>
        <v>0.23799738187093039</v>
      </c>
      <c r="N73" s="1082">
        <f>RegionalDMDNYC!L67</f>
        <v>0.25041390062313829</v>
      </c>
      <c r="O73" s="1082">
        <f>RegionalDMDNYC!M67</f>
        <v>0.26370173781858863</v>
      </c>
    </row>
    <row r="74" spans="1:15" x14ac:dyDescent="0.2">
      <c r="A74" s="1071" t="str">
        <f>IF(LEFT(Commodities!B$13,1)="*",A$69,RIGHT(A$69,2))</f>
        <v>*R6</v>
      </c>
      <c r="B74" s="1071" t="str">
        <f>Commodities!C$13</f>
        <v>THL</v>
      </c>
      <c r="C74" s="1071" t="str">
        <f>Commodities!$D$13</f>
        <v>TRN.HDV Long Haul</v>
      </c>
      <c r="D74" s="1071" t="s">
        <v>95</v>
      </c>
      <c r="E74" s="1082">
        <f>RegionalDMDNYC!C68</f>
        <v>0</v>
      </c>
      <c r="F74" s="1082">
        <f>RegionalDMDNYC!D68</f>
        <v>0</v>
      </c>
      <c r="G74" s="1082">
        <f>RegionalDMDNYC!E68</f>
        <v>0</v>
      </c>
      <c r="H74" s="1082">
        <f>RegionalDMDNYC!F68</f>
        <v>0</v>
      </c>
      <c r="I74" s="1082">
        <f>RegionalDMDNYC!G68</f>
        <v>0</v>
      </c>
      <c r="J74" s="1082">
        <f>RegionalDMDNYC!H68</f>
        <v>0</v>
      </c>
      <c r="K74" s="1082">
        <f>RegionalDMDNYC!I68</f>
        <v>0</v>
      </c>
      <c r="L74" s="1082">
        <f>RegionalDMDNYC!J68</f>
        <v>0</v>
      </c>
      <c r="M74" s="1082">
        <f>RegionalDMDNYC!K68</f>
        <v>0</v>
      </c>
      <c r="N74" s="1082">
        <f>RegionalDMDNYC!L68</f>
        <v>0</v>
      </c>
      <c r="O74" s="1082">
        <f>RegionalDMDNYC!M68</f>
        <v>0</v>
      </c>
    </row>
    <row r="75" spans="1:15" x14ac:dyDescent="0.2">
      <c r="A75" s="1071" t="str">
        <f>IF(LEFT(Commodities!B$15,1)="*",A$69,RIGHT(A$69,2))</f>
        <v>*R6</v>
      </c>
      <c r="B75" s="1071" t="str">
        <f>Commodities!C$15</f>
        <v>TRF</v>
      </c>
      <c r="C75" s="1071" t="str">
        <f>Commodities!D$15</f>
        <v>TRN.RAIL.FREIGHT</v>
      </c>
      <c r="D75" s="1071" t="s">
        <v>104</v>
      </c>
      <c r="E75" s="1082">
        <f>RegionalDMDNYC!C69</f>
        <v>0</v>
      </c>
      <c r="F75" s="1082">
        <f>RegionalDMDNYC!D69</f>
        <v>0</v>
      </c>
      <c r="G75" s="1082">
        <f>RegionalDMDNYC!E69</f>
        <v>0</v>
      </c>
      <c r="H75" s="1082">
        <f>RegionalDMDNYC!F69</f>
        <v>0</v>
      </c>
      <c r="I75" s="1082">
        <f>RegionalDMDNYC!G69</f>
        <v>0</v>
      </c>
      <c r="J75" s="1082">
        <f>RegionalDMDNYC!H69</f>
        <v>0</v>
      </c>
      <c r="K75" s="1082">
        <f>RegionalDMDNYC!I69</f>
        <v>0</v>
      </c>
      <c r="L75" s="1082">
        <f>RegionalDMDNYC!J69</f>
        <v>0</v>
      </c>
      <c r="M75" s="1082">
        <f>RegionalDMDNYC!K69</f>
        <v>0</v>
      </c>
      <c r="N75" s="1082">
        <f>RegionalDMDNYC!L69</f>
        <v>0</v>
      </c>
      <c r="O75" s="1082">
        <f>RegionalDMDNYC!M69</f>
        <v>0</v>
      </c>
    </row>
    <row r="76" spans="1:15" ht="13.5" customHeight="1" x14ac:dyDescent="0.2">
      <c r="A76" s="1071" t="str">
        <f>IF(LEFT(Commodities!B$17,1)="*",A$69,RIGHT(A$69,2))</f>
        <v>R6</v>
      </c>
      <c r="B76" s="1071" t="str">
        <f>Commodities!C$17</f>
        <v>TRP</v>
      </c>
      <c r="C76" s="1071" t="str">
        <f>Commodities!D$17</f>
        <v>TRN.RAIL.PASS</v>
      </c>
      <c r="D76" s="1071" t="s">
        <v>91</v>
      </c>
      <c r="E76" s="1082">
        <f>RegionalDMDNYC!C70</f>
        <v>2.5354856960924947</v>
      </c>
      <c r="F76" s="1082">
        <f>RegionalDMDNYC!D70</f>
        <v>2.5354856960924947</v>
      </c>
      <c r="G76" s="1082">
        <f>RegionalDMDNYC!E70</f>
        <v>2.6646372431127818</v>
      </c>
      <c r="H76" s="1082">
        <f>RegionalDMDNYC!F70</f>
        <v>2.7890512142033801</v>
      </c>
      <c r="I76" s="1082">
        <f>RegionalDMDNYC!G70</f>
        <v>2.9364285062838604</v>
      </c>
      <c r="J76" s="1082">
        <f>RegionalDMDNYC!H70</f>
        <v>3.0658072180487075</v>
      </c>
      <c r="K76" s="1082">
        <f>RegionalDMDNYC!I70</f>
        <v>3.1926521937424406</v>
      </c>
      <c r="L76" s="1082">
        <f>RegionalDMDNYC!J70</f>
        <v>3.3752063811737045</v>
      </c>
      <c r="M76" s="1082">
        <f>RegionalDMDNYC!K70</f>
        <v>3.5877213840884679</v>
      </c>
      <c r="N76" s="1082">
        <f>RegionalDMDNYC!L70</f>
        <v>3.788724710991735</v>
      </c>
      <c r="O76" s="1082">
        <f>RegionalDMDNYC!M70</f>
        <v>4.0012489483072411</v>
      </c>
    </row>
    <row r="77" spans="1:15" x14ac:dyDescent="0.2">
      <c r="A77" s="1071" t="str">
        <f>IF(LEFT(Commodities!B$14,1)="*",A$69,RIGHT(A$69,2))</f>
        <v>R6</v>
      </c>
      <c r="B77" s="1071" t="str">
        <f>Commodities!C$14</f>
        <v>TS</v>
      </c>
      <c r="C77" s="1071" t="str">
        <f>Commodities!D$14</f>
        <v>TRN.SHIP</v>
      </c>
      <c r="D77" s="1071" t="s">
        <v>104</v>
      </c>
      <c r="E77" s="1082">
        <f>RegionalDMDNYC!C71</f>
        <v>0</v>
      </c>
      <c r="F77" s="1082">
        <f>RegionalDMDNYC!D71</f>
        <v>0</v>
      </c>
      <c r="G77" s="1082">
        <f>RegionalDMDNYC!E71</f>
        <v>0</v>
      </c>
      <c r="H77" s="1082">
        <f>RegionalDMDNYC!F71</f>
        <v>0</v>
      </c>
      <c r="I77" s="1082">
        <f>RegionalDMDNYC!G71</f>
        <v>0</v>
      </c>
      <c r="J77" s="1082">
        <f>RegionalDMDNYC!H71</f>
        <v>0</v>
      </c>
      <c r="K77" s="1082">
        <f>RegionalDMDNYC!I71</f>
        <v>0</v>
      </c>
      <c r="L77" s="1082">
        <f>RegionalDMDNYC!J71</f>
        <v>0</v>
      </c>
      <c r="M77" s="1082">
        <f>RegionalDMDNYC!K71</f>
        <v>0</v>
      </c>
      <c r="N77" s="1082">
        <f>RegionalDMDNYC!L71</f>
        <v>0</v>
      </c>
      <c r="O77" s="1082">
        <f>RegionalDMDNYC!M71</f>
        <v>0</v>
      </c>
    </row>
    <row r="78" spans="1:15" x14ac:dyDescent="0.2">
      <c r="A78" s="1071" t="str">
        <f>IF(LEFT(Commodities!B$18,1)="*",A$69,RIGHT(A$69,2))</f>
        <v>*R6</v>
      </c>
      <c r="B78" s="1071" t="str">
        <f>Commodities!C$18</f>
        <v>TC</v>
      </c>
      <c r="C78" s="1071" t="str">
        <f>Commodities!D$18</f>
        <v>TRN.TRUCK.COMMERCIAL</v>
      </c>
      <c r="D78" s="1071" t="s">
        <v>95</v>
      </c>
      <c r="E78" s="1082">
        <f>RegionalDMDNYC!C72</f>
        <v>0</v>
      </c>
      <c r="F78" s="1082">
        <f>RegionalDMDNYC!D72</f>
        <v>0</v>
      </c>
      <c r="G78" s="1082">
        <f>RegionalDMDNYC!E72</f>
        <v>0</v>
      </c>
      <c r="H78" s="1082">
        <f>RegionalDMDNYC!F72</f>
        <v>0</v>
      </c>
      <c r="I78" s="1082">
        <f>RegionalDMDNYC!G72</f>
        <v>0</v>
      </c>
      <c r="J78" s="1082">
        <f>RegionalDMDNYC!H72</f>
        <v>0</v>
      </c>
      <c r="K78" s="1082">
        <f>RegionalDMDNYC!I72</f>
        <v>0</v>
      </c>
      <c r="L78" s="1082">
        <f>RegionalDMDNYC!J72</f>
        <v>0</v>
      </c>
      <c r="M78" s="1082">
        <f>RegionalDMDNYC!K72</f>
        <v>0</v>
      </c>
      <c r="N78" s="1082">
        <f>RegionalDMDNYC!L72</f>
        <v>0</v>
      </c>
      <c r="O78" s="1082">
        <f>RegionalDMDNYC!M72</f>
        <v>0</v>
      </c>
    </row>
    <row r="79" spans="1:15" x14ac:dyDescent="0.2">
      <c r="A79" s="1071" t="str">
        <f>IF(LEFT(Commodities!B$16,1)="*",A$69,RIGHT(A$69,2))</f>
        <v>*R6</v>
      </c>
      <c r="B79" s="1071" t="str">
        <f>Commodities!C16</f>
        <v>TSW</v>
      </c>
      <c r="C79" s="1071" t="str">
        <f>Commodities!D16</f>
        <v>TRN.MSW</v>
      </c>
      <c r="D79" s="1071" t="str">
        <f>Commodities!E16</f>
        <v>bn-vmt</v>
      </c>
      <c r="E79" s="1082"/>
      <c r="F79" s="1082"/>
      <c r="G79" s="1082"/>
      <c r="H79" s="1082"/>
      <c r="I79" s="1082"/>
      <c r="J79" s="1082"/>
      <c r="K79" s="1082"/>
      <c r="L79" s="1082"/>
      <c r="M79" s="1082"/>
      <c r="N79" s="1082"/>
      <c r="O79" s="1082"/>
    </row>
    <row r="80" spans="1:15" x14ac:dyDescent="0.2">
      <c r="A80" s="1066" t="s">
        <v>115</v>
      </c>
      <c r="B80" s="1066" t="s">
        <v>89</v>
      </c>
      <c r="C80" s="1066" t="s">
        <v>90</v>
      </c>
      <c r="D80" s="1124" t="s">
        <v>91</v>
      </c>
      <c r="E80" s="1121"/>
      <c r="F80" s="1121"/>
      <c r="G80" s="1121"/>
      <c r="H80" s="1121"/>
      <c r="I80" s="1121"/>
    </row>
    <row r="81" spans="1:15" x14ac:dyDescent="0.2">
      <c r="A81" s="265" t="s">
        <v>191</v>
      </c>
      <c r="B81" s="265" t="s">
        <v>93</v>
      </c>
      <c r="C81" s="265" t="s">
        <v>94</v>
      </c>
      <c r="D81" s="1075" t="s">
        <v>95</v>
      </c>
      <c r="E81" s="1074">
        <v>0</v>
      </c>
      <c r="F81" s="1074">
        <v>0</v>
      </c>
      <c r="G81" s="1074">
        <v>0</v>
      </c>
      <c r="H81" s="1074">
        <v>0</v>
      </c>
      <c r="I81" s="1074">
        <v>0</v>
      </c>
      <c r="J81" s="1074">
        <v>0</v>
      </c>
      <c r="K81" s="1074">
        <v>0</v>
      </c>
      <c r="L81" s="1074">
        <v>0</v>
      </c>
      <c r="M81" s="1074">
        <v>0</v>
      </c>
      <c r="N81" s="1074">
        <v>0</v>
      </c>
      <c r="O81" s="1074">
        <v>0</v>
      </c>
    </row>
    <row r="82" spans="1:15" x14ac:dyDescent="0.2">
      <c r="A82" s="265" t="s">
        <v>191</v>
      </c>
      <c r="B82" s="265" t="s">
        <v>96</v>
      </c>
      <c r="C82" s="265" t="s">
        <v>179</v>
      </c>
      <c r="D82" s="1075" t="s">
        <v>95</v>
      </c>
      <c r="E82" s="1074">
        <v>0</v>
      </c>
      <c r="F82" s="1074">
        <v>0</v>
      </c>
      <c r="G82" s="1074">
        <v>0</v>
      </c>
      <c r="H82" s="1074">
        <v>0</v>
      </c>
      <c r="I82" s="1074">
        <v>0</v>
      </c>
      <c r="J82" s="1074">
        <v>0</v>
      </c>
      <c r="K82" s="1074">
        <v>0</v>
      </c>
      <c r="L82" s="1074">
        <v>0</v>
      </c>
      <c r="M82" s="1074">
        <v>0</v>
      </c>
      <c r="N82" s="1074">
        <v>0</v>
      </c>
      <c r="O82" s="1074">
        <v>0</v>
      </c>
    </row>
    <row r="83" spans="1:15" x14ac:dyDescent="0.2">
      <c r="A83" s="265" t="s">
        <v>191</v>
      </c>
      <c r="B83" s="265" t="s">
        <v>98</v>
      </c>
      <c r="C83" s="265" t="s">
        <v>99</v>
      </c>
      <c r="D83" s="1075" t="s">
        <v>95</v>
      </c>
      <c r="E83" s="1074">
        <v>0</v>
      </c>
      <c r="F83" s="1074">
        <v>0</v>
      </c>
      <c r="G83" s="1074">
        <v>0</v>
      </c>
      <c r="H83" s="1074">
        <v>0</v>
      </c>
      <c r="I83" s="1074">
        <v>0</v>
      </c>
      <c r="J83" s="1074">
        <v>0</v>
      </c>
      <c r="K83" s="1074">
        <v>0</v>
      </c>
      <c r="L83" s="1074">
        <v>0</v>
      </c>
      <c r="M83" s="1074">
        <v>0</v>
      </c>
      <c r="N83" s="1074">
        <v>0</v>
      </c>
      <c r="O83" s="1074">
        <v>0</v>
      </c>
    </row>
    <row r="84" spans="1:15" x14ac:dyDescent="0.2">
      <c r="A84" s="265" t="s">
        <v>191</v>
      </c>
      <c r="B84" s="265" t="s">
        <v>100</v>
      </c>
      <c r="C84" s="265" t="s">
        <v>101</v>
      </c>
      <c r="D84" s="1075" t="s">
        <v>95</v>
      </c>
      <c r="E84" s="1074">
        <v>0</v>
      </c>
      <c r="F84" s="1074">
        <v>0</v>
      </c>
      <c r="G84" s="1074">
        <v>0</v>
      </c>
      <c r="H84" s="1074">
        <v>0</v>
      </c>
      <c r="I84" s="1074">
        <v>0</v>
      </c>
      <c r="J84" s="1074">
        <v>0</v>
      </c>
      <c r="K84" s="1074">
        <v>0</v>
      </c>
      <c r="L84" s="1074">
        <v>0</v>
      </c>
      <c r="M84" s="1074">
        <v>0</v>
      </c>
      <c r="N84" s="1074">
        <v>0</v>
      </c>
      <c r="O84" s="1074">
        <v>0</v>
      </c>
    </row>
    <row r="85" spans="1:15" x14ac:dyDescent="0.2">
      <c r="A85" s="265" t="s">
        <v>191</v>
      </c>
      <c r="B85" s="265" t="s">
        <v>106</v>
      </c>
      <c r="C85" s="265" t="s">
        <v>107</v>
      </c>
      <c r="D85" s="1075" t="s">
        <v>104</v>
      </c>
      <c r="E85" s="1074">
        <v>0</v>
      </c>
      <c r="F85" s="1074">
        <v>0</v>
      </c>
      <c r="G85" s="1074">
        <v>0</v>
      </c>
      <c r="H85" s="1074">
        <v>0</v>
      </c>
      <c r="I85" s="1074">
        <v>0</v>
      </c>
      <c r="J85" s="1074">
        <v>0</v>
      </c>
      <c r="K85" s="1074">
        <v>0</v>
      </c>
      <c r="L85" s="1074">
        <v>0</v>
      </c>
      <c r="M85" s="1074">
        <v>0</v>
      </c>
      <c r="N85" s="1074">
        <v>0</v>
      </c>
      <c r="O85" s="1074">
        <v>0</v>
      </c>
    </row>
    <row r="86" spans="1:15" x14ac:dyDescent="0.2">
      <c r="A86" s="265" t="s">
        <v>191</v>
      </c>
      <c r="B86" s="265" t="s">
        <v>110</v>
      </c>
      <c r="C86" s="265" t="s">
        <v>111</v>
      </c>
      <c r="D86" s="1075" t="s">
        <v>91</v>
      </c>
      <c r="E86" s="1074">
        <v>0</v>
      </c>
      <c r="F86" s="1074">
        <v>0</v>
      </c>
      <c r="G86" s="1074">
        <v>0</v>
      </c>
      <c r="H86" s="1074">
        <v>0</v>
      </c>
      <c r="I86" s="1074">
        <v>0</v>
      </c>
      <c r="J86" s="1074">
        <v>0</v>
      </c>
      <c r="K86" s="1074">
        <v>0</v>
      </c>
      <c r="L86" s="1074">
        <v>0</v>
      </c>
      <c r="M86" s="1074">
        <v>0</v>
      </c>
      <c r="N86" s="1074">
        <v>0</v>
      </c>
      <c r="O86" s="1074">
        <v>0</v>
      </c>
    </row>
    <row r="87" spans="1:15" x14ac:dyDescent="0.2">
      <c r="A87" s="265" t="s">
        <v>191</v>
      </c>
      <c r="B87" s="265" t="s">
        <v>102</v>
      </c>
      <c r="C87" s="265" t="s">
        <v>103</v>
      </c>
      <c r="D87" s="1075" t="s">
        <v>104</v>
      </c>
      <c r="E87" s="1074">
        <v>0</v>
      </c>
      <c r="F87" s="1074">
        <v>0</v>
      </c>
      <c r="G87" s="1074">
        <v>0</v>
      </c>
      <c r="H87" s="1074">
        <v>0</v>
      </c>
      <c r="I87" s="1074">
        <v>0</v>
      </c>
      <c r="J87" s="1074">
        <v>0</v>
      </c>
      <c r="K87" s="1074">
        <v>0</v>
      </c>
      <c r="L87" s="1074">
        <v>0</v>
      </c>
      <c r="M87" s="1074">
        <v>0</v>
      </c>
      <c r="N87" s="1074">
        <v>0</v>
      </c>
      <c r="O87" s="1074">
        <v>0</v>
      </c>
    </row>
    <row r="88" spans="1:15" x14ac:dyDescent="0.2">
      <c r="A88" s="265" t="s">
        <v>191</v>
      </c>
      <c r="B88" s="265" t="s">
        <v>112</v>
      </c>
      <c r="C88" s="265" t="s">
        <v>113</v>
      </c>
      <c r="D88" s="1075" t="s">
        <v>95</v>
      </c>
      <c r="E88" s="1074">
        <v>0</v>
      </c>
      <c r="F88" s="1074">
        <v>0</v>
      </c>
      <c r="G88" s="1074">
        <v>0</v>
      </c>
      <c r="H88" s="1074">
        <v>0</v>
      </c>
      <c r="I88" s="1074">
        <v>0</v>
      </c>
      <c r="J88" s="1074">
        <v>0</v>
      </c>
      <c r="K88" s="1074">
        <v>0</v>
      </c>
      <c r="L88" s="1074">
        <v>0</v>
      </c>
      <c r="M88" s="1074">
        <v>0</v>
      </c>
      <c r="N88" s="1074">
        <v>0</v>
      </c>
      <c r="O88" s="1074">
        <v>0</v>
      </c>
    </row>
    <row r="89" spans="1:15" x14ac:dyDescent="0.2">
      <c r="A89" s="265" t="s">
        <v>115</v>
      </c>
      <c r="D89" s="1075"/>
    </row>
    <row r="90" spans="1:15" x14ac:dyDescent="0.2">
      <c r="A90" s="265" t="s">
        <v>192</v>
      </c>
      <c r="B90" s="265" t="s">
        <v>89</v>
      </c>
      <c r="C90" s="265" t="s">
        <v>90</v>
      </c>
      <c r="D90" s="1075" t="s">
        <v>91</v>
      </c>
      <c r="E90" s="1074">
        <v>0</v>
      </c>
      <c r="F90" s="1074">
        <v>0</v>
      </c>
      <c r="G90" s="1074">
        <v>0</v>
      </c>
      <c r="H90" s="1074">
        <v>0</v>
      </c>
      <c r="I90" s="1074">
        <v>0</v>
      </c>
      <c r="J90" s="1074">
        <v>0</v>
      </c>
      <c r="K90" s="1074">
        <v>0</v>
      </c>
      <c r="L90" s="1074">
        <v>0</v>
      </c>
      <c r="M90" s="1074">
        <v>0</v>
      </c>
      <c r="N90" s="1074">
        <v>0</v>
      </c>
      <c r="O90" s="1074">
        <v>0</v>
      </c>
    </row>
    <row r="91" spans="1:15" x14ac:dyDescent="0.2">
      <c r="A91" s="265" t="s">
        <v>192</v>
      </c>
      <c r="B91" s="265" t="s">
        <v>93</v>
      </c>
      <c r="C91" s="265" t="s">
        <v>94</v>
      </c>
      <c r="D91" s="1075" t="s">
        <v>95</v>
      </c>
      <c r="E91" s="1074">
        <v>0</v>
      </c>
      <c r="F91" s="1074">
        <v>0</v>
      </c>
      <c r="G91" s="1074">
        <v>0</v>
      </c>
      <c r="H91" s="1074">
        <v>0</v>
      </c>
      <c r="I91" s="1074">
        <v>0</v>
      </c>
      <c r="J91" s="1074">
        <v>0</v>
      </c>
      <c r="K91" s="1074">
        <v>0</v>
      </c>
      <c r="L91" s="1074">
        <v>0</v>
      </c>
      <c r="M91" s="1074">
        <v>0</v>
      </c>
      <c r="N91" s="1074">
        <v>0</v>
      </c>
      <c r="O91" s="1074">
        <v>0</v>
      </c>
    </row>
    <row r="92" spans="1:15" x14ac:dyDescent="0.2">
      <c r="A92" s="265" t="s">
        <v>192</v>
      </c>
      <c r="B92" s="265" t="s">
        <v>96</v>
      </c>
      <c r="C92" s="265" t="s">
        <v>179</v>
      </c>
      <c r="D92" s="1075" t="s">
        <v>95</v>
      </c>
      <c r="E92" s="1074">
        <v>0</v>
      </c>
      <c r="F92" s="1074">
        <v>0</v>
      </c>
      <c r="G92" s="1074">
        <v>0</v>
      </c>
      <c r="H92" s="1074">
        <v>0</v>
      </c>
      <c r="I92" s="1074">
        <v>0</v>
      </c>
      <c r="J92" s="1074">
        <v>0</v>
      </c>
      <c r="K92" s="1074">
        <v>0</v>
      </c>
      <c r="L92" s="1074">
        <v>0</v>
      </c>
      <c r="M92" s="1074">
        <v>0</v>
      </c>
      <c r="N92" s="1074">
        <v>0</v>
      </c>
      <c r="O92" s="1074">
        <v>0</v>
      </c>
    </row>
    <row r="93" spans="1:15" x14ac:dyDescent="0.2">
      <c r="A93" s="265" t="s">
        <v>192</v>
      </c>
      <c r="B93" s="265" t="s">
        <v>98</v>
      </c>
      <c r="C93" s="265" t="s">
        <v>99</v>
      </c>
      <c r="D93" s="1075" t="s">
        <v>95</v>
      </c>
      <c r="E93" s="1074">
        <v>0</v>
      </c>
      <c r="F93" s="1074">
        <v>0</v>
      </c>
      <c r="G93" s="1074">
        <v>0</v>
      </c>
      <c r="H93" s="1074">
        <v>0</v>
      </c>
      <c r="I93" s="1074">
        <v>0</v>
      </c>
      <c r="J93" s="1074">
        <v>0</v>
      </c>
      <c r="K93" s="1074">
        <v>0</v>
      </c>
      <c r="L93" s="1074">
        <v>0</v>
      </c>
      <c r="M93" s="1074">
        <v>0</v>
      </c>
      <c r="N93" s="1074">
        <v>0</v>
      </c>
      <c r="O93" s="1074">
        <v>0</v>
      </c>
    </row>
    <row r="94" spans="1:15" x14ac:dyDescent="0.2">
      <c r="A94" s="265" t="s">
        <v>192</v>
      </c>
      <c r="B94" s="265" t="s">
        <v>100</v>
      </c>
      <c r="C94" s="265" t="s">
        <v>101</v>
      </c>
      <c r="D94" s="1075" t="s">
        <v>95</v>
      </c>
      <c r="E94" s="1074">
        <v>0</v>
      </c>
      <c r="F94" s="1074">
        <v>0</v>
      </c>
      <c r="G94" s="1074">
        <v>0</v>
      </c>
      <c r="H94" s="1074">
        <v>0</v>
      </c>
      <c r="I94" s="1074">
        <v>0</v>
      </c>
      <c r="J94" s="1074">
        <v>0</v>
      </c>
      <c r="K94" s="1074">
        <v>0</v>
      </c>
      <c r="L94" s="1074">
        <v>0</v>
      </c>
      <c r="M94" s="1074">
        <v>0</v>
      </c>
      <c r="N94" s="1074">
        <v>0</v>
      </c>
      <c r="O94" s="1074">
        <v>0</v>
      </c>
    </row>
    <row r="95" spans="1:15" x14ac:dyDescent="0.2">
      <c r="A95" s="265" t="s">
        <v>192</v>
      </c>
      <c r="B95" s="265" t="s">
        <v>106</v>
      </c>
      <c r="C95" s="265" t="s">
        <v>107</v>
      </c>
      <c r="D95" s="1075" t="s">
        <v>104</v>
      </c>
      <c r="E95" s="1074">
        <v>0</v>
      </c>
      <c r="F95" s="1074">
        <v>0</v>
      </c>
      <c r="G95" s="1074">
        <v>0</v>
      </c>
      <c r="H95" s="1074">
        <v>0</v>
      </c>
      <c r="I95" s="1074">
        <v>0</v>
      </c>
      <c r="J95" s="1074">
        <v>0</v>
      </c>
      <c r="K95" s="1074">
        <v>0</v>
      </c>
      <c r="L95" s="1074">
        <v>0</v>
      </c>
      <c r="M95" s="1074">
        <v>0</v>
      </c>
      <c r="N95" s="1074">
        <v>0</v>
      </c>
      <c r="O95" s="1074">
        <v>0</v>
      </c>
    </row>
    <row r="96" spans="1:15" x14ac:dyDescent="0.2">
      <c r="A96" s="265" t="s">
        <v>192</v>
      </c>
      <c r="B96" s="265" t="s">
        <v>110</v>
      </c>
      <c r="C96" s="265" t="s">
        <v>111</v>
      </c>
      <c r="D96" s="1075" t="s">
        <v>91</v>
      </c>
      <c r="E96" s="1074">
        <v>0</v>
      </c>
      <c r="F96" s="1074">
        <v>0</v>
      </c>
      <c r="G96" s="1074">
        <v>0</v>
      </c>
      <c r="H96" s="1074">
        <v>0</v>
      </c>
      <c r="I96" s="1074">
        <v>0</v>
      </c>
      <c r="J96" s="1074">
        <v>0</v>
      </c>
      <c r="K96" s="1074">
        <v>0</v>
      </c>
      <c r="L96" s="1074">
        <v>0</v>
      </c>
      <c r="M96" s="1074">
        <v>0</v>
      </c>
      <c r="N96" s="1074">
        <v>0</v>
      </c>
      <c r="O96" s="1074">
        <v>0</v>
      </c>
    </row>
    <row r="97" spans="1:15" x14ac:dyDescent="0.2">
      <c r="A97" s="265" t="s">
        <v>192</v>
      </c>
      <c r="B97" s="265" t="s">
        <v>102</v>
      </c>
      <c r="C97" s="265" t="s">
        <v>103</v>
      </c>
      <c r="D97" s="1075" t="s">
        <v>104</v>
      </c>
      <c r="E97" s="1074">
        <v>0</v>
      </c>
      <c r="F97" s="1074">
        <v>0</v>
      </c>
      <c r="G97" s="1074">
        <v>0</v>
      </c>
      <c r="H97" s="1074">
        <v>0</v>
      </c>
      <c r="I97" s="1074">
        <v>0</v>
      </c>
      <c r="J97" s="1074">
        <v>0</v>
      </c>
      <c r="K97" s="1074">
        <v>0</v>
      </c>
      <c r="L97" s="1074">
        <v>0</v>
      </c>
      <c r="M97" s="1074">
        <v>0</v>
      </c>
      <c r="N97" s="1074">
        <v>0</v>
      </c>
      <c r="O97" s="1074">
        <v>0</v>
      </c>
    </row>
    <row r="98" spans="1:15" x14ac:dyDescent="0.2">
      <c r="A98" s="265" t="s">
        <v>192</v>
      </c>
      <c r="B98" s="265" t="s">
        <v>112</v>
      </c>
      <c r="C98" s="265" t="s">
        <v>113</v>
      </c>
      <c r="D98" s="1075" t="s">
        <v>95</v>
      </c>
      <c r="E98" s="1074">
        <v>0</v>
      </c>
      <c r="F98" s="1074">
        <v>0</v>
      </c>
      <c r="G98" s="1074">
        <v>0</v>
      </c>
      <c r="H98" s="1074">
        <v>0</v>
      </c>
      <c r="I98" s="1074">
        <v>0</v>
      </c>
      <c r="J98" s="1074">
        <v>0</v>
      </c>
      <c r="K98" s="1074">
        <v>0</v>
      </c>
      <c r="L98" s="1074">
        <v>0</v>
      </c>
      <c r="M98" s="1074">
        <v>0</v>
      </c>
      <c r="N98" s="1074">
        <v>0</v>
      </c>
      <c r="O98" s="1074">
        <v>0</v>
      </c>
    </row>
    <row r="99" spans="1:15" x14ac:dyDescent="0.2">
      <c r="A99" s="265" t="s">
        <v>115</v>
      </c>
      <c r="D99" s="1075"/>
    </row>
    <row r="100" spans="1:15" x14ac:dyDescent="0.2">
      <c r="A100" s="265" t="s">
        <v>193</v>
      </c>
      <c r="B100" s="265" t="s">
        <v>89</v>
      </c>
      <c r="C100" s="265" t="s">
        <v>90</v>
      </c>
      <c r="D100" s="1075" t="s">
        <v>91</v>
      </c>
      <c r="E100" s="1074">
        <v>0</v>
      </c>
      <c r="F100" s="1074">
        <v>0</v>
      </c>
      <c r="G100" s="1074">
        <v>0</v>
      </c>
      <c r="H100" s="1074">
        <v>0</v>
      </c>
      <c r="I100" s="1074">
        <v>0</v>
      </c>
      <c r="J100" s="1074">
        <v>0</v>
      </c>
      <c r="K100" s="1074">
        <v>0</v>
      </c>
      <c r="L100" s="1074">
        <v>0</v>
      </c>
      <c r="M100" s="1074">
        <v>0</v>
      </c>
      <c r="N100" s="1074">
        <v>0</v>
      </c>
      <c r="O100" s="1074">
        <v>0</v>
      </c>
    </row>
    <row r="101" spans="1:15" x14ac:dyDescent="0.2">
      <c r="A101" s="265" t="s">
        <v>193</v>
      </c>
      <c r="B101" s="265" t="s">
        <v>93</v>
      </c>
      <c r="C101" s="265" t="s">
        <v>94</v>
      </c>
      <c r="D101" s="1075" t="s">
        <v>95</v>
      </c>
      <c r="E101" s="1074">
        <v>0</v>
      </c>
      <c r="F101" s="1074">
        <v>0</v>
      </c>
      <c r="G101" s="1074">
        <v>0</v>
      </c>
      <c r="H101" s="1074">
        <v>0</v>
      </c>
      <c r="I101" s="1074">
        <v>0</v>
      </c>
      <c r="J101" s="1074">
        <v>0</v>
      </c>
      <c r="K101" s="1074">
        <v>0</v>
      </c>
      <c r="L101" s="1074">
        <v>0</v>
      </c>
      <c r="M101" s="1074">
        <v>0</v>
      </c>
      <c r="N101" s="1074">
        <v>0</v>
      </c>
      <c r="O101" s="1074">
        <v>0</v>
      </c>
    </row>
    <row r="102" spans="1:15" x14ac:dyDescent="0.2">
      <c r="A102" s="265" t="s">
        <v>193</v>
      </c>
      <c r="B102" s="265" t="s">
        <v>96</v>
      </c>
      <c r="C102" s="265" t="s">
        <v>179</v>
      </c>
      <c r="D102" s="1075" t="s">
        <v>95</v>
      </c>
      <c r="E102" s="1074">
        <v>0</v>
      </c>
      <c r="F102" s="1074">
        <v>0</v>
      </c>
      <c r="G102" s="1074">
        <v>0</v>
      </c>
      <c r="H102" s="1074">
        <v>0</v>
      </c>
      <c r="I102" s="1074">
        <v>0</v>
      </c>
      <c r="J102" s="1074">
        <v>0</v>
      </c>
      <c r="K102" s="1074">
        <v>0</v>
      </c>
      <c r="L102" s="1074">
        <v>0</v>
      </c>
      <c r="M102" s="1074">
        <v>0</v>
      </c>
      <c r="N102" s="1074">
        <v>0</v>
      </c>
      <c r="O102" s="1074">
        <v>0</v>
      </c>
    </row>
    <row r="103" spans="1:15" x14ac:dyDescent="0.2">
      <c r="A103" s="265" t="s">
        <v>193</v>
      </c>
      <c r="B103" s="265" t="s">
        <v>98</v>
      </c>
      <c r="C103" s="265" t="s">
        <v>99</v>
      </c>
      <c r="D103" s="1075" t="s">
        <v>95</v>
      </c>
      <c r="E103" s="1074">
        <v>0</v>
      </c>
      <c r="F103" s="1074">
        <v>0</v>
      </c>
      <c r="G103" s="1074">
        <v>0</v>
      </c>
      <c r="H103" s="1074">
        <v>0</v>
      </c>
      <c r="I103" s="1074">
        <v>0</v>
      </c>
      <c r="J103" s="1074">
        <v>0</v>
      </c>
      <c r="K103" s="1074">
        <v>0</v>
      </c>
      <c r="L103" s="1074">
        <v>0</v>
      </c>
      <c r="M103" s="1074">
        <v>0</v>
      </c>
      <c r="N103" s="1074">
        <v>0</v>
      </c>
      <c r="O103" s="1074">
        <v>0</v>
      </c>
    </row>
    <row r="104" spans="1:15" x14ac:dyDescent="0.2">
      <c r="A104" s="265" t="s">
        <v>193</v>
      </c>
      <c r="B104" s="265" t="s">
        <v>100</v>
      </c>
      <c r="C104" s="265" t="s">
        <v>101</v>
      </c>
      <c r="D104" s="1075" t="s">
        <v>95</v>
      </c>
      <c r="E104" s="1074">
        <v>0</v>
      </c>
      <c r="F104" s="1074">
        <v>0</v>
      </c>
      <c r="G104" s="1074">
        <v>0</v>
      </c>
      <c r="H104" s="1074">
        <v>0</v>
      </c>
      <c r="I104" s="1074">
        <v>0</v>
      </c>
      <c r="J104" s="1074">
        <v>0</v>
      </c>
      <c r="K104" s="1074">
        <v>0</v>
      </c>
      <c r="L104" s="1074">
        <v>0</v>
      </c>
      <c r="M104" s="1074">
        <v>0</v>
      </c>
      <c r="N104" s="1074">
        <v>0</v>
      </c>
      <c r="O104" s="1074">
        <v>0</v>
      </c>
    </row>
    <row r="105" spans="1:15" x14ac:dyDescent="0.2">
      <c r="A105" s="265" t="s">
        <v>193</v>
      </c>
      <c r="B105" s="265" t="s">
        <v>106</v>
      </c>
      <c r="C105" s="265" t="s">
        <v>107</v>
      </c>
      <c r="D105" s="1075" t="s">
        <v>104</v>
      </c>
      <c r="E105" s="1074">
        <v>0</v>
      </c>
      <c r="F105" s="1074">
        <v>0</v>
      </c>
      <c r="G105" s="1074">
        <v>0</v>
      </c>
      <c r="H105" s="1074">
        <v>0</v>
      </c>
      <c r="I105" s="1074">
        <v>0</v>
      </c>
      <c r="J105" s="1074">
        <v>0</v>
      </c>
      <c r="K105" s="1074">
        <v>0</v>
      </c>
      <c r="L105" s="1074">
        <v>0</v>
      </c>
      <c r="M105" s="1074">
        <v>0</v>
      </c>
      <c r="N105" s="1074">
        <v>0</v>
      </c>
      <c r="O105" s="1074">
        <v>0</v>
      </c>
    </row>
    <row r="106" spans="1:15" x14ac:dyDescent="0.2">
      <c r="A106" s="265" t="s">
        <v>193</v>
      </c>
      <c r="B106" s="265" t="s">
        <v>110</v>
      </c>
      <c r="C106" s="265" t="s">
        <v>111</v>
      </c>
      <c r="D106" s="1075" t="s">
        <v>91</v>
      </c>
      <c r="E106" s="1074">
        <v>0</v>
      </c>
      <c r="F106" s="1074">
        <v>0</v>
      </c>
      <c r="G106" s="1074">
        <v>0</v>
      </c>
      <c r="H106" s="1074">
        <v>0</v>
      </c>
      <c r="I106" s="1074">
        <v>0</v>
      </c>
      <c r="J106" s="1074">
        <v>0</v>
      </c>
      <c r="K106" s="1074">
        <v>0</v>
      </c>
      <c r="L106" s="1074">
        <v>0</v>
      </c>
      <c r="M106" s="1074">
        <v>0</v>
      </c>
      <c r="N106" s="1074">
        <v>0</v>
      </c>
      <c r="O106" s="1074">
        <v>0</v>
      </c>
    </row>
    <row r="107" spans="1:15" x14ac:dyDescent="0.2">
      <c r="A107" s="265" t="s">
        <v>193</v>
      </c>
      <c r="B107" s="265" t="s">
        <v>102</v>
      </c>
      <c r="C107" s="265" t="s">
        <v>103</v>
      </c>
      <c r="D107" s="1075" t="s">
        <v>104</v>
      </c>
      <c r="E107" s="1074">
        <v>0</v>
      </c>
      <c r="F107" s="1074">
        <v>0</v>
      </c>
      <c r="G107" s="1074">
        <v>0</v>
      </c>
      <c r="H107" s="1074">
        <v>0</v>
      </c>
      <c r="I107" s="1074">
        <v>0</v>
      </c>
      <c r="J107" s="1074">
        <v>0</v>
      </c>
      <c r="K107" s="1074">
        <v>0</v>
      </c>
      <c r="L107" s="1074">
        <v>0</v>
      </c>
      <c r="M107" s="1074">
        <v>0</v>
      </c>
      <c r="N107" s="1074">
        <v>0</v>
      </c>
      <c r="O107" s="1074">
        <v>0</v>
      </c>
    </row>
    <row r="108" spans="1:15" x14ac:dyDescent="0.2">
      <c r="A108" s="265" t="s">
        <v>193</v>
      </c>
      <c r="B108" s="265" t="s">
        <v>112</v>
      </c>
      <c r="C108" s="265" t="s">
        <v>113</v>
      </c>
      <c r="D108" s="1075" t="s">
        <v>95</v>
      </c>
      <c r="E108" s="1074">
        <v>0</v>
      </c>
      <c r="F108" s="1074">
        <v>0</v>
      </c>
      <c r="G108" s="1074">
        <v>0</v>
      </c>
      <c r="H108" s="1074">
        <v>0</v>
      </c>
      <c r="I108" s="1074">
        <v>0</v>
      </c>
      <c r="J108" s="1074">
        <v>0</v>
      </c>
      <c r="K108" s="1074">
        <v>0</v>
      </c>
      <c r="L108" s="1074">
        <v>0</v>
      </c>
      <c r="M108" s="1074">
        <v>0</v>
      </c>
      <c r="N108" s="1074">
        <v>0</v>
      </c>
      <c r="O108" s="1074">
        <v>0</v>
      </c>
    </row>
    <row r="109" spans="1:15" x14ac:dyDescent="0.2">
      <c r="D109" s="1075"/>
    </row>
    <row r="110" spans="1:15" x14ac:dyDescent="0.2">
      <c r="D110" s="1075"/>
    </row>
    <row r="111" spans="1:15" x14ac:dyDescent="0.2">
      <c r="D111" s="1075"/>
    </row>
    <row r="112" spans="1:15" x14ac:dyDescent="0.2">
      <c r="A112" s="265" t="s">
        <v>178</v>
      </c>
      <c r="D112" s="1075"/>
      <c r="E112" s="1122"/>
      <c r="F112" s="1122"/>
      <c r="G112" s="1122"/>
      <c r="H112" s="1122"/>
      <c r="I112" s="1122"/>
      <c r="J112" s="1122"/>
      <c r="K112" s="1122"/>
      <c r="L112" s="1122"/>
      <c r="M112" s="1122"/>
      <c r="N112" s="1122"/>
      <c r="O112" s="1122"/>
    </row>
    <row r="113" spans="1:4" x14ac:dyDescent="0.2">
      <c r="A113" s="265" t="s">
        <v>115</v>
      </c>
      <c r="B113" s="265" t="s">
        <v>89</v>
      </c>
      <c r="C113" s="265" t="s">
        <v>90</v>
      </c>
      <c r="D113" s="1074" t="s">
        <v>91</v>
      </c>
    </row>
    <row r="114" spans="1:4" x14ac:dyDescent="0.2">
      <c r="A114" s="265" t="s">
        <v>115</v>
      </c>
      <c r="B114" s="265" t="s">
        <v>93</v>
      </c>
      <c r="C114" s="265" t="s">
        <v>94</v>
      </c>
      <c r="D114" s="1074" t="s">
        <v>95</v>
      </c>
    </row>
    <row r="115" spans="1:4" x14ac:dyDescent="0.2">
      <c r="A115" s="265" t="s">
        <v>115</v>
      </c>
      <c r="B115" s="265" t="s">
        <v>96</v>
      </c>
      <c r="C115" s="265" t="s">
        <v>179</v>
      </c>
      <c r="D115" s="1074" t="s">
        <v>95</v>
      </c>
    </row>
    <row r="116" spans="1:4" x14ac:dyDescent="0.2">
      <c r="A116" s="265" t="s">
        <v>115</v>
      </c>
      <c r="B116" s="265" t="s">
        <v>98</v>
      </c>
      <c r="C116" s="265" t="s">
        <v>99</v>
      </c>
      <c r="D116" s="1074" t="s">
        <v>95</v>
      </c>
    </row>
    <row r="117" spans="1:4" x14ac:dyDescent="0.2">
      <c r="A117" s="265" t="s">
        <v>115</v>
      </c>
      <c r="B117" s="265" t="s">
        <v>100</v>
      </c>
      <c r="C117" s="265" t="s">
        <v>101</v>
      </c>
      <c r="D117" s="1074" t="s">
        <v>95</v>
      </c>
    </row>
    <row r="118" spans="1:4" x14ac:dyDescent="0.2">
      <c r="A118" s="265" t="s">
        <v>115</v>
      </c>
      <c r="B118" s="265" t="s">
        <v>106</v>
      </c>
      <c r="C118" s="265" t="s">
        <v>107</v>
      </c>
      <c r="D118" s="1074" t="s">
        <v>104</v>
      </c>
    </row>
    <row r="119" spans="1:4" x14ac:dyDescent="0.2">
      <c r="A119" s="265" t="s">
        <v>115</v>
      </c>
      <c r="B119" s="265" t="s">
        <v>110</v>
      </c>
      <c r="C119" s="265" t="s">
        <v>111</v>
      </c>
      <c r="D119" s="1074" t="s">
        <v>91</v>
      </c>
    </row>
    <row r="120" spans="1:4" x14ac:dyDescent="0.2">
      <c r="A120" s="265" t="s">
        <v>115</v>
      </c>
      <c r="B120" s="265" t="s">
        <v>102</v>
      </c>
      <c r="C120" s="265" t="s">
        <v>103</v>
      </c>
      <c r="D120" s="1074" t="s">
        <v>104</v>
      </c>
    </row>
    <row r="121" spans="1:4" x14ac:dyDescent="0.2">
      <c r="A121" s="265" t="s">
        <v>115</v>
      </c>
      <c r="B121" s="265" t="s">
        <v>112</v>
      </c>
      <c r="C121" s="265" t="s">
        <v>113</v>
      </c>
      <c r="D121" s="1074" t="s">
        <v>95</v>
      </c>
    </row>
    <row r="122" spans="1:4" x14ac:dyDescent="0.2">
      <c r="A122" s="265" t="s">
        <v>115</v>
      </c>
    </row>
    <row r="123" spans="1:4" x14ac:dyDescent="0.2">
      <c r="A123" s="265" t="s">
        <v>180</v>
      </c>
      <c r="B123" s="265" t="s">
        <v>89</v>
      </c>
      <c r="C123" s="265" t="s">
        <v>90</v>
      </c>
      <c r="D123" s="1074" t="s">
        <v>91</v>
      </c>
    </row>
    <row r="124" spans="1:4" x14ac:dyDescent="0.2">
      <c r="A124" s="265" t="s">
        <v>180</v>
      </c>
      <c r="B124" s="265" t="s">
        <v>93</v>
      </c>
      <c r="C124" s="265" t="s">
        <v>94</v>
      </c>
      <c r="D124" s="1074" t="s">
        <v>95</v>
      </c>
    </row>
    <row r="125" spans="1:4" x14ac:dyDescent="0.2">
      <c r="A125" s="265" t="s">
        <v>180</v>
      </c>
      <c r="B125" s="265" t="s">
        <v>96</v>
      </c>
      <c r="C125" s="265" t="s">
        <v>179</v>
      </c>
      <c r="D125" s="1074" t="s">
        <v>95</v>
      </c>
    </row>
    <row r="126" spans="1:4" x14ac:dyDescent="0.2">
      <c r="A126" s="265" t="s">
        <v>180</v>
      </c>
      <c r="B126" s="265" t="s">
        <v>98</v>
      </c>
      <c r="C126" s="265" t="s">
        <v>99</v>
      </c>
      <c r="D126" s="1074" t="s">
        <v>95</v>
      </c>
    </row>
    <row r="127" spans="1:4" x14ac:dyDescent="0.2">
      <c r="A127" s="265" t="s">
        <v>180</v>
      </c>
      <c r="B127" s="265" t="s">
        <v>100</v>
      </c>
      <c r="C127" s="265" t="s">
        <v>101</v>
      </c>
      <c r="D127" s="1074" t="s">
        <v>95</v>
      </c>
    </row>
    <row r="128" spans="1:4" x14ac:dyDescent="0.2">
      <c r="A128" s="265" t="s">
        <v>180</v>
      </c>
      <c r="B128" s="265" t="s">
        <v>106</v>
      </c>
      <c r="C128" s="265" t="s">
        <v>107</v>
      </c>
      <c r="D128" s="1074" t="s">
        <v>104</v>
      </c>
    </row>
    <row r="129" spans="1:4" x14ac:dyDescent="0.2">
      <c r="A129" s="265" t="s">
        <v>180</v>
      </c>
      <c r="B129" s="265" t="s">
        <v>110</v>
      </c>
      <c r="C129" s="265" t="s">
        <v>111</v>
      </c>
      <c r="D129" s="1074" t="s">
        <v>91</v>
      </c>
    </row>
    <row r="130" spans="1:4" x14ac:dyDescent="0.2">
      <c r="A130" s="265" t="s">
        <v>180</v>
      </c>
      <c r="B130" s="265" t="s">
        <v>102</v>
      </c>
      <c r="C130" s="265" t="s">
        <v>103</v>
      </c>
      <c r="D130" s="1074" t="s">
        <v>104</v>
      </c>
    </row>
    <row r="131" spans="1:4" x14ac:dyDescent="0.2">
      <c r="A131" s="265" t="s">
        <v>180</v>
      </c>
      <c r="B131" s="265" t="s">
        <v>112</v>
      </c>
      <c r="C131" s="265" t="s">
        <v>113</v>
      </c>
      <c r="D131" s="1074" t="s">
        <v>95</v>
      </c>
    </row>
    <row r="132" spans="1:4" x14ac:dyDescent="0.2">
      <c r="A132" s="265" t="s">
        <v>181</v>
      </c>
    </row>
    <row r="133" spans="1:4" x14ac:dyDescent="0.2">
      <c r="A133" s="265" t="s">
        <v>181</v>
      </c>
      <c r="B133" s="265" t="s">
        <v>89</v>
      </c>
      <c r="C133" s="265" t="s">
        <v>90</v>
      </c>
      <c r="D133" s="1074" t="s">
        <v>91</v>
      </c>
    </row>
    <row r="134" spans="1:4" x14ac:dyDescent="0.2">
      <c r="A134" s="265" t="s">
        <v>182</v>
      </c>
      <c r="B134" s="265" t="s">
        <v>93</v>
      </c>
      <c r="C134" s="265" t="s">
        <v>94</v>
      </c>
      <c r="D134" s="1074" t="s">
        <v>95</v>
      </c>
    </row>
    <row r="135" spans="1:4" x14ac:dyDescent="0.2">
      <c r="A135" s="265" t="s">
        <v>182</v>
      </c>
      <c r="B135" s="265" t="s">
        <v>96</v>
      </c>
      <c r="C135" s="265" t="s">
        <v>97</v>
      </c>
      <c r="D135" s="1074" t="s">
        <v>95</v>
      </c>
    </row>
    <row r="136" spans="1:4" x14ac:dyDescent="0.2">
      <c r="A136" s="265" t="s">
        <v>182</v>
      </c>
      <c r="B136" s="265" t="s">
        <v>98</v>
      </c>
      <c r="C136" s="265" t="s">
        <v>99</v>
      </c>
      <c r="D136" s="1074" t="s">
        <v>95</v>
      </c>
    </row>
    <row r="137" spans="1:4" x14ac:dyDescent="0.2">
      <c r="A137" s="265" t="s">
        <v>181</v>
      </c>
      <c r="B137" s="265" t="s">
        <v>100</v>
      </c>
      <c r="C137" s="265" t="s">
        <v>101</v>
      </c>
      <c r="D137" s="1074" t="s">
        <v>95</v>
      </c>
    </row>
    <row r="138" spans="1:4" x14ac:dyDescent="0.2">
      <c r="A138" s="265" t="s">
        <v>181</v>
      </c>
      <c r="B138" s="265" t="s">
        <v>106</v>
      </c>
      <c r="C138" s="265" t="s">
        <v>107</v>
      </c>
      <c r="D138" s="1074" t="s">
        <v>104</v>
      </c>
    </row>
    <row r="139" spans="1:4" x14ac:dyDescent="0.2">
      <c r="A139" s="265" t="s">
        <v>182</v>
      </c>
      <c r="B139" s="265" t="s">
        <v>110</v>
      </c>
      <c r="C139" s="265" t="s">
        <v>111</v>
      </c>
      <c r="D139" s="1074" t="s">
        <v>91</v>
      </c>
    </row>
    <row r="140" spans="1:4" x14ac:dyDescent="0.2">
      <c r="A140" s="265" t="s">
        <v>182</v>
      </c>
      <c r="B140" s="265" t="s">
        <v>102</v>
      </c>
      <c r="C140" s="265" t="s">
        <v>103</v>
      </c>
      <c r="D140" s="1074" t="s">
        <v>104</v>
      </c>
    </row>
    <row r="141" spans="1:4" x14ac:dyDescent="0.2">
      <c r="A141" s="265" t="s">
        <v>181</v>
      </c>
      <c r="B141" s="265" t="s">
        <v>112</v>
      </c>
      <c r="C141" s="265" t="s">
        <v>113</v>
      </c>
      <c r="D141" s="1074" t="s">
        <v>95</v>
      </c>
    </row>
    <row r="142" spans="1:4" x14ac:dyDescent="0.2">
      <c r="A142" s="265" t="s">
        <v>181</v>
      </c>
      <c r="B142" s="265" t="s">
        <v>108</v>
      </c>
      <c r="C142" s="265" t="s">
        <v>109</v>
      </c>
      <c r="D142" s="1074" t="s">
        <v>95</v>
      </c>
    </row>
    <row r="143" spans="1:4" x14ac:dyDescent="0.2">
      <c r="A143" s="265" t="s">
        <v>183</v>
      </c>
    </row>
    <row r="144" spans="1:4" x14ac:dyDescent="0.2">
      <c r="A144" s="265" t="s">
        <v>183</v>
      </c>
      <c r="B144" s="265" t="s">
        <v>89</v>
      </c>
      <c r="C144" s="265" t="s">
        <v>90</v>
      </c>
      <c r="D144" s="1074" t="s">
        <v>91</v>
      </c>
    </row>
    <row r="145" spans="1:4" x14ac:dyDescent="0.2">
      <c r="A145" s="265" t="s">
        <v>184</v>
      </c>
      <c r="B145" s="265" t="s">
        <v>93</v>
      </c>
      <c r="C145" s="265" t="s">
        <v>94</v>
      </c>
      <c r="D145" s="1074" t="s">
        <v>95</v>
      </c>
    </row>
    <row r="146" spans="1:4" x14ac:dyDescent="0.2">
      <c r="A146" s="265" t="s">
        <v>184</v>
      </c>
      <c r="B146" s="265" t="s">
        <v>96</v>
      </c>
      <c r="C146" s="265" t="s">
        <v>97</v>
      </c>
      <c r="D146" s="1074" t="s">
        <v>95</v>
      </c>
    </row>
    <row r="147" spans="1:4" x14ac:dyDescent="0.2">
      <c r="A147" s="265" t="s">
        <v>184</v>
      </c>
      <c r="B147" s="265" t="s">
        <v>98</v>
      </c>
      <c r="C147" s="265" t="s">
        <v>99</v>
      </c>
      <c r="D147" s="1074" t="s">
        <v>95</v>
      </c>
    </row>
    <row r="148" spans="1:4" x14ac:dyDescent="0.2">
      <c r="A148" s="265" t="s">
        <v>183</v>
      </c>
      <c r="B148" s="265" t="s">
        <v>100</v>
      </c>
      <c r="C148" s="265" t="s">
        <v>101</v>
      </c>
      <c r="D148" s="1074" t="s">
        <v>95</v>
      </c>
    </row>
    <row r="149" spans="1:4" x14ac:dyDescent="0.2">
      <c r="A149" s="265" t="s">
        <v>183</v>
      </c>
      <c r="B149" s="265" t="s">
        <v>106</v>
      </c>
      <c r="C149" s="265" t="s">
        <v>107</v>
      </c>
      <c r="D149" s="1074" t="s">
        <v>104</v>
      </c>
    </row>
    <row r="150" spans="1:4" x14ac:dyDescent="0.2">
      <c r="A150" s="265" t="s">
        <v>184</v>
      </c>
      <c r="B150" s="265" t="s">
        <v>110</v>
      </c>
      <c r="C150" s="265" t="s">
        <v>111</v>
      </c>
      <c r="D150" s="1074" t="s">
        <v>91</v>
      </c>
    </row>
    <row r="151" spans="1:4" x14ac:dyDescent="0.2">
      <c r="A151" s="265" t="s">
        <v>184</v>
      </c>
      <c r="B151" s="265" t="s">
        <v>102</v>
      </c>
      <c r="C151" s="265" t="s">
        <v>103</v>
      </c>
      <c r="D151" s="1074" t="s">
        <v>104</v>
      </c>
    </row>
    <row r="152" spans="1:4" x14ac:dyDescent="0.2">
      <c r="A152" s="265" t="s">
        <v>183</v>
      </c>
      <c r="B152" s="265" t="s">
        <v>112</v>
      </c>
      <c r="C152" s="265" t="s">
        <v>113</v>
      </c>
      <c r="D152" s="1074" t="s">
        <v>95</v>
      </c>
    </row>
    <row r="153" spans="1:4" x14ac:dyDescent="0.2">
      <c r="A153" s="265" t="s">
        <v>183</v>
      </c>
      <c r="B153" s="265" t="s">
        <v>108</v>
      </c>
      <c r="C153" s="265" t="s">
        <v>109</v>
      </c>
      <c r="D153" s="1074" t="s">
        <v>95</v>
      </c>
    </row>
    <row r="154" spans="1:4" x14ac:dyDescent="0.2">
      <c r="A154" s="265" t="s">
        <v>185</v>
      </c>
    </row>
    <row r="155" spans="1:4" x14ac:dyDescent="0.2">
      <c r="A155" s="265" t="s">
        <v>185</v>
      </c>
      <c r="B155" s="265" t="s">
        <v>89</v>
      </c>
      <c r="C155" s="265" t="s">
        <v>90</v>
      </c>
      <c r="D155" s="1074" t="s">
        <v>91</v>
      </c>
    </row>
    <row r="156" spans="1:4" x14ac:dyDescent="0.2">
      <c r="A156" s="265" t="s">
        <v>186</v>
      </c>
      <c r="B156" s="265" t="s">
        <v>93</v>
      </c>
      <c r="C156" s="265" t="s">
        <v>94</v>
      </c>
      <c r="D156" s="1074" t="s">
        <v>95</v>
      </c>
    </row>
    <row r="157" spans="1:4" x14ac:dyDescent="0.2">
      <c r="A157" s="265" t="s">
        <v>186</v>
      </c>
      <c r="B157" s="265" t="s">
        <v>96</v>
      </c>
      <c r="C157" s="265" t="s">
        <v>97</v>
      </c>
      <c r="D157" s="1074" t="s">
        <v>95</v>
      </c>
    </row>
    <row r="158" spans="1:4" x14ac:dyDescent="0.2">
      <c r="A158" s="265" t="s">
        <v>186</v>
      </c>
      <c r="B158" s="265" t="s">
        <v>98</v>
      </c>
      <c r="C158" s="265" t="s">
        <v>99</v>
      </c>
      <c r="D158" s="1074" t="s">
        <v>95</v>
      </c>
    </row>
    <row r="159" spans="1:4" x14ac:dyDescent="0.2">
      <c r="A159" s="265" t="s">
        <v>185</v>
      </c>
      <c r="B159" s="265" t="s">
        <v>100</v>
      </c>
      <c r="C159" s="265" t="s">
        <v>101</v>
      </c>
      <c r="D159" s="1074" t="s">
        <v>95</v>
      </c>
    </row>
    <row r="160" spans="1:4" x14ac:dyDescent="0.2">
      <c r="A160" s="265" t="s">
        <v>185</v>
      </c>
      <c r="B160" s="265" t="s">
        <v>106</v>
      </c>
      <c r="C160" s="265" t="s">
        <v>107</v>
      </c>
      <c r="D160" s="1074" t="s">
        <v>104</v>
      </c>
    </row>
    <row r="161" spans="1:4" x14ac:dyDescent="0.2">
      <c r="A161" s="265" t="s">
        <v>186</v>
      </c>
      <c r="B161" s="265" t="s">
        <v>110</v>
      </c>
      <c r="C161" s="265" t="s">
        <v>111</v>
      </c>
      <c r="D161" s="1074" t="s">
        <v>91</v>
      </c>
    </row>
    <row r="162" spans="1:4" x14ac:dyDescent="0.2">
      <c r="A162" s="265" t="s">
        <v>186</v>
      </c>
      <c r="B162" s="265" t="s">
        <v>102</v>
      </c>
      <c r="C162" s="265" t="s">
        <v>103</v>
      </c>
      <c r="D162" s="1074" t="s">
        <v>104</v>
      </c>
    </row>
    <row r="163" spans="1:4" x14ac:dyDescent="0.2">
      <c r="A163" s="265" t="s">
        <v>185</v>
      </c>
      <c r="B163" s="265" t="s">
        <v>112</v>
      </c>
      <c r="C163" s="265" t="s">
        <v>113</v>
      </c>
      <c r="D163" s="1074" t="s">
        <v>95</v>
      </c>
    </row>
    <row r="164" spans="1:4" x14ac:dyDescent="0.2">
      <c r="A164" s="265" t="s">
        <v>185</v>
      </c>
      <c r="B164" s="265" t="s">
        <v>108</v>
      </c>
      <c r="C164" s="265" t="s">
        <v>109</v>
      </c>
      <c r="D164" s="1074" t="s">
        <v>95</v>
      </c>
    </row>
    <row r="165" spans="1:4" x14ac:dyDescent="0.2">
      <c r="A165" s="265" t="s">
        <v>187</v>
      </c>
    </row>
    <row r="166" spans="1:4" x14ac:dyDescent="0.2">
      <c r="A166" s="265" t="s">
        <v>187</v>
      </c>
      <c r="B166" s="265" t="s">
        <v>89</v>
      </c>
      <c r="C166" s="265" t="s">
        <v>90</v>
      </c>
      <c r="D166" s="1074" t="s">
        <v>91</v>
      </c>
    </row>
    <row r="167" spans="1:4" x14ac:dyDescent="0.2">
      <c r="A167" s="265" t="s">
        <v>188</v>
      </c>
      <c r="B167" s="265" t="s">
        <v>93</v>
      </c>
      <c r="C167" s="265" t="s">
        <v>94</v>
      </c>
      <c r="D167" s="1074" t="s">
        <v>95</v>
      </c>
    </row>
    <row r="168" spans="1:4" x14ac:dyDescent="0.2">
      <c r="A168" s="265" t="s">
        <v>188</v>
      </c>
      <c r="B168" s="265" t="s">
        <v>96</v>
      </c>
      <c r="C168" s="265" t="s">
        <v>97</v>
      </c>
      <c r="D168" s="1074" t="s">
        <v>95</v>
      </c>
    </row>
    <row r="169" spans="1:4" x14ac:dyDescent="0.2">
      <c r="A169" s="265" t="s">
        <v>188</v>
      </c>
      <c r="B169" s="265" t="s">
        <v>98</v>
      </c>
      <c r="C169" s="265" t="s">
        <v>99</v>
      </c>
      <c r="D169" s="1074" t="s">
        <v>95</v>
      </c>
    </row>
    <row r="170" spans="1:4" x14ac:dyDescent="0.2">
      <c r="A170" s="265" t="s">
        <v>187</v>
      </c>
      <c r="B170" s="265" t="s">
        <v>100</v>
      </c>
      <c r="C170" s="265" t="s">
        <v>101</v>
      </c>
      <c r="D170" s="1074" t="s">
        <v>95</v>
      </c>
    </row>
    <row r="171" spans="1:4" x14ac:dyDescent="0.2">
      <c r="A171" s="265" t="s">
        <v>187</v>
      </c>
      <c r="B171" s="265" t="s">
        <v>106</v>
      </c>
      <c r="C171" s="265" t="s">
        <v>107</v>
      </c>
      <c r="D171" s="1074" t="s">
        <v>104</v>
      </c>
    </row>
    <row r="172" spans="1:4" x14ac:dyDescent="0.2">
      <c r="A172" s="265" t="s">
        <v>188</v>
      </c>
      <c r="B172" s="265" t="s">
        <v>110</v>
      </c>
      <c r="C172" s="265" t="s">
        <v>111</v>
      </c>
      <c r="D172" s="1074" t="s">
        <v>91</v>
      </c>
    </row>
    <row r="173" spans="1:4" x14ac:dyDescent="0.2">
      <c r="A173" s="265" t="s">
        <v>188</v>
      </c>
      <c r="B173" s="265" t="s">
        <v>102</v>
      </c>
      <c r="C173" s="265" t="s">
        <v>103</v>
      </c>
      <c r="D173" s="1074" t="s">
        <v>104</v>
      </c>
    </row>
    <row r="174" spans="1:4" x14ac:dyDescent="0.2">
      <c r="A174" s="265" t="s">
        <v>187</v>
      </c>
      <c r="B174" s="265" t="s">
        <v>112</v>
      </c>
      <c r="C174" s="265" t="s">
        <v>113</v>
      </c>
      <c r="D174" s="1074" t="s">
        <v>95</v>
      </c>
    </row>
    <row r="175" spans="1:4" x14ac:dyDescent="0.2">
      <c r="A175" s="265" t="s">
        <v>187</v>
      </c>
      <c r="B175" s="265" t="s">
        <v>108</v>
      </c>
      <c r="C175" s="265" t="s">
        <v>109</v>
      </c>
      <c r="D175" s="1074" t="s">
        <v>95</v>
      </c>
    </row>
    <row r="176" spans="1:4" x14ac:dyDescent="0.2">
      <c r="A176" s="265" t="s">
        <v>189</v>
      </c>
    </row>
    <row r="177" spans="1:15" x14ac:dyDescent="0.2">
      <c r="A177" s="265" t="s">
        <v>190</v>
      </c>
      <c r="B177" s="265" t="s">
        <v>89</v>
      </c>
      <c r="C177" s="265" t="s">
        <v>90</v>
      </c>
      <c r="D177" s="1074" t="s">
        <v>91</v>
      </c>
    </row>
    <row r="178" spans="1:15" x14ac:dyDescent="0.2">
      <c r="A178" s="265" t="s">
        <v>190</v>
      </c>
      <c r="B178" s="265" t="s">
        <v>93</v>
      </c>
      <c r="C178" s="265" t="s">
        <v>94</v>
      </c>
      <c r="D178" s="1074" t="s">
        <v>95</v>
      </c>
    </row>
    <row r="179" spans="1:15" x14ac:dyDescent="0.2">
      <c r="A179" s="265" t="s">
        <v>190</v>
      </c>
      <c r="B179" s="265" t="s">
        <v>96</v>
      </c>
      <c r="C179" s="265" t="s">
        <v>97</v>
      </c>
      <c r="D179" s="1074" t="s">
        <v>95</v>
      </c>
    </row>
    <row r="180" spans="1:15" x14ac:dyDescent="0.2">
      <c r="A180" s="265" t="s">
        <v>190</v>
      </c>
      <c r="B180" s="265" t="s">
        <v>98</v>
      </c>
      <c r="C180" s="265" t="s">
        <v>99</v>
      </c>
      <c r="D180" s="1074" t="s">
        <v>95</v>
      </c>
    </row>
    <row r="181" spans="1:15" x14ac:dyDescent="0.2">
      <c r="A181" s="265" t="s">
        <v>189</v>
      </c>
      <c r="B181" s="265" t="s">
        <v>100</v>
      </c>
      <c r="C181" s="265" t="s">
        <v>101</v>
      </c>
      <c r="D181" s="1074" t="s">
        <v>95</v>
      </c>
    </row>
    <row r="182" spans="1:15" x14ac:dyDescent="0.2">
      <c r="A182" s="265" t="s">
        <v>189</v>
      </c>
      <c r="B182" s="265" t="s">
        <v>106</v>
      </c>
      <c r="C182" s="265" t="s">
        <v>107</v>
      </c>
      <c r="D182" s="1074" t="s">
        <v>104</v>
      </c>
    </row>
    <row r="183" spans="1:15" x14ac:dyDescent="0.2">
      <c r="A183" s="265" t="s">
        <v>190</v>
      </c>
      <c r="B183" s="265" t="s">
        <v>110</v>
      </c>
      <c r="C183" s="265" t="s">
        <v>111</v>
      </c>
      <c r="D183" s="1074" t="s">
        <v>91</v>
      </c>
    </row>
    <row r="184" spans="1:15" x14ac:dyDescent="0.2">
      <c r="A184" s="265" t="s">
        <v>190</v>
      </c>
      <c r="B184" s="265" t="s">
        <v>102</v>
      </c>
      <c r="C184" s="265" t="s">
        <v>103</v>
      </c>
      <c r="D184" s="1074" t="s">
        <v>104</v>
      </c>
    </row>
    <row r="185" spans="1:15" x14ac:dyDescent="0.2">
      <c r="A185" s="265" t="s">
        <v>189</v>
      </c>
      <c r="B185" s="265" t="s">
        <v>112</v>
      </c>
      <c r="C185" s="265" t="s">
        <v>113</v>
      </c>
      <c r="D185" s="1074" t="s">
        <v>95</v>
      </c>
    </row>
    <row r="186" spans="1:15" x14ac:dyDescent="0.2">
      <c r="A186" s="265" t="s">
        <v>189</v>
      </c>
      <c r="B186" s="265" t="s">
        <v>108</v>
      </c>
      <c r="C186" s="265" t="s">
        <v>109</v>
      </c>
      <c r="D186" s="1074" t="s">
        <v>95</v>
      </c>
    </row>
    <row r="190" spans="1:15" x14ac:dyDescent="0.2">
      <c r="E190" s="1125"/>
      <c r="F190" s="1125"/>
      <c r="G190" s="1125"/>
      <c r="H190" s="1125"/>
      <c r="I190" s="1125"/>
      <c r="J190" s="1125"/>
      <c r="K190" s="1125"/>
      <c r="L190" s="1125"/>
      <c r="M190" s="1125"/>
      <c r="N190" s="1125"/>
      <c r="O190" s="1125"/>
    </row>
    <row r="191" spans="1:15" x14ac:dyDescent="0.2">
      <c r="E191" s="1125"/>
      <c r="F191" s="1125"/>
      <c r="G191" s="1125"/>
      <c r="H191" s="1125"/>
      <c r="I191" s="1125"/>
      <c r="J191" s="1125"/>
      <c r="K191" s="1125"/>
      <c r="L191" s="1125"/>
      <c r="M191" s="1125"/>
      <c r="N191" s="1125"/>
      <c r="O191" s="1125"/>
    </row>
    <row r="192" spans="1:15" x14ac:dyDescent="0.2">
      <c r="E192" s="1125"/>
      <c r="F192" s="1125"/>
      <c r="G192" s="1125"/>
      <c r="H192" s="1125"/>
      <c r="I192" s="1125"/>
      <c r="J192" s="1125"/>
      <c r="K192" s="1125"/>
      <c r="L192" s="1125"/>
      <c r="M192" s="1125"/>
      <c r="N192" s="1125"/>
      <c r="O192" s="1125"/>
    </row>
    <row r="193" spans="5:15" x14ac:dyDescent="0.2">
      <c r="E193" s="1125"/>
      <c r="F193" s="1125"/>
      <c r="G193" s="1125"/>
      <c r="H193" s="1125"/>
      <c r="I193" s="1125"/>
      <c r="J193" s="1125"/>
      <c r="K193" s="1125"/>
      <c r="L193" s="1125"/>
      <c r="M193" s="1125"/>
      <c r="N193" s="1125"/>
      <c r="O193" s="1125"/>
    </row>
    <row r="194" spans="5:15" x14ac:dyDescent="0.2">
      <c r="E194" s="1125"/>
      <c r="F194" s="1125"/>
      <c r="G194" s="1125"/>
      <c r="H194" s="1125"/>
      <c r="I194" s="1125"/>
      <c r="J194" s="1125"/>
      <c r="K194" s="1125"/>
      <c r="L194" s="1125"/>
      <c r="M194" s="1125"/>
      <c r="N194" s="1125"/>
      <c r="O194" s="1125"/>
    </row>
    <row r="195" spans="5:15" x14ac:dyDescent="0.2">
      <c r="E195" s="1125"/>
      <c r="F195" s="1125"/>
      <c r="G195" s="1125"/>
      <c r="H195" s="1125"/>
      <c r="I195" s="1125"/>
      <c r="J195" s="1125"/>
      <c r="K195" s="1125"/>
      <c r="L195" s="1125"/>
      <c r="M195" s="1125"/>
      <c r="N195" s="1125"/>
      <c r="O195" s="1125"/>
    </row>
    <row r="196" spans="5:15" x14ac:dyDescent="0.2">
      <c r="E196" s="1125"/>
      <c r="F196" s="1125"/>
      <c r="G196" s="1125"/>
      <c r="H196" s="1125"/>
      <c r="I196" s="1125"/>
      <c r="J196" s="1125"/>
      <c r="K196" s="1125"/>
      <c r="L196" s="1125"/>
      <c r="M196" s="1125"/>
      <c r="N196" s="1125"/>
      <c r="O196" s="1125"/>
    </row>
    <row r="197" spans="5:15" x14ac:dyDescent="0.2">
      <c r="E197" s="1125"/>
      <c r="F197" s="1125"/>
      <c r="G197" s="1125"/>
      <c r="H197" s="1125"/>
      <c r="I197" s="1125"/>
      <c r="J197" s="1125"/>
      <c r="K197" s="1125"/>
      <c r="L197" s="1125"/>
      <c r="M197" s="1125"/>
      <c r="N197" s="1125"/>
      <c r="O197" s="1125"/>
    </row>
    <row r="198" spans="5:15" x14ac:dyDescent="0.2">
      <c r="E198" s="1125"/>
      <c r="F198" s="1125"/>
      <c r="G198" s="1125"/>
      <c r="H198" s="1125"/>
      <c r="I198" s="1125"/>
      <c r="J198" s="1125"/>
      <c r="K198" s="1125"/>
      <c r="L198" s="1125"/>
      <c r="M198" s="1125"/>
      <c r="N198" s="1125"/>
      <c r="O198" s="1125"/>
    </row>
    <row r="199" spans="5:15" x14ac:dyDescent="0.2">
      <c r="E199" s="1125"/>
      <c r="F199" s="1125"/>
      <c r="G199" s="1125"/>
      <c r="H199" s="1125"/>
      <c r="I199" s="1125"/>
      <c r="J199" s="1125"/>
      <c r="K199" s="1125"/>
      <c r="L199" s="1125"/>
      <c r="M199" s="1125"/>
      <c r="N199" s="1125"/>
      <c r="O199" s="1125"/>
    </row>
    <row r="200" spans="5:15" x14ac:dyDescent="0.2">
      <c r="E200" s="1125"/>
      <c r="F200" s="1125"/>
      <c r="G200" s="1125"/>
      <c r="H200" s="1125"/>
      <c r="I200" s="1125"/>
      <c r="J200" s="1125"/>
      <c r="K200" s="1125"/>
      <c r="L200" s="1125"/>
      <c r="M200" s="1125"/>
      <c r="N200" s="1125"/>
      <c r="O200" s="1125"/>
    </row>
    <row r="201" spans="5:15" x14ac:dyDescent="0.2">
      <c r="E201" s="1125"/>
      <c r="F201" s="1125"/>
      <c r="G201" s="1125"/>
      <c r="H201" s="1125"/>
      <c r="I201" s="1125"/>
      <c r="J201" s="1125"/>
      <c r="K201" s="1125"/>
      <c r="L201" s="1125"/>
      <c r="M201" s="1125"/>
      <c r="N201" s="1125"/>
      <c r="O201" s="1125"/>
    </row>
    <row r="202" spans="5:15" x14ac:dyDescent="0.2">
      <c r="E202" s="1125"/>
      <c r="F202" s="1125"/>
      <c r="G202" s="1125"/>
      <c r="H202" s="1125"/>
      <c r="I202" s="1125"/>
      <c r="J202" s="1125"/>
      <c r="K202" s="1125"/>
      <c r="L202" s="1125"/>
      <c r="M202" s="1125"/>
      <c r="N202" s="1125"/>
      <c r="O202" s="1125"/>
    </row>
    <row r="203" spans="5:15" x14ac:dyDescent="0.2">
      <c r="E203" s="1125"/>
      <c r="F203" s="1125"/>
      <c r="G203" s="1125"/>
      <c r="H203" s="1125"/>
      <c r="I203" s="1125"/>
      <c r="J203" s="1125"/>
      <c r="K203" s="1125"/>
      <c r="L203" s="1125"/>
      <c r="M203" s="1125"/>
      <c r="N203" s="1125"/>
      <c r="O203" s="1125"/>
    </row>
    <row r="204" spans="5:15" x14ac:dyDescent="0.2">
      <c r="E204" s="1125"/>
      <c r="F204" s="1125"/>
      <c r="G204" s="1125"/>
      <c r="H204" s="1125"/>
      <c r="I204" s="1125"/>
      <c r="J204" s="1125"/>
      <c r="K204" s="1125"/>
      <c r="L204" s="1125"/>
      <c r="M204" s="1125"/>
      <c r="N204" s="1125"/>
      <c r="O204" s="1125"/>
    </row>
    <row r="205" spans="5:15" x14ac:dyDescent="0.2">
      <c r="E205" s="1125"/>
      <c r="F205" s="1125"/>
      <c r="G205" s="1125"/>
      <c r="H205" s="1125"/>
      <c r="I205" s="1125"/>
      <c r="J205" s="1125"/>
      <c r="K205" s="1125"/>
      <c r="L205" s="1125"/>
      <c r="M205" s="1125"/>
      <c r="N205" s="1125"/>
      <c r="O205" s="1125"/>
    </row>
    <row r="206" spans="5:15" x14ac:dyDescent="0.2">
      <c r="E206" s="1125"/>
      <c r="F206" s="1125"/>
      <c r="G206" s="1125"/>
      <c r="H206" s="1125"/>
      <c r="I206" s="1125"/>
      <c r="J206" s="1125"/>
      <c r="K206" s="1125"/>
      <c r="L206" s="1125"/>
      <c r="M206" s="1125"/>
      <c r="N206" s="1125"/>
      <c r="O206" s="1125"/>
    </row>
    <row r="207" spans="5:15" x14ac:dyDescent="0.2">
      <c r="E207" s="1125"/>
      <c r="F207" s="1125"/>
      <c r="G207" s="1125"/>
      <c r="H207" s="1125"/>
      <c r="I207" s="1125"/>
      <c r="J207" s="1125"/>
      <c r="K207" s="1125"/>
      <c r="L207" s="1125"/>
      <c r="M207" s="1125"/>
      <c r="N207" s="1125"/>
      <c r="O207" s="1125"/>
    </row>
    <row r="208" spans="5:15" x14ac:dyDescent="0.2">
      <c r="E208" s="1125"/>
      <c r="F208" s="1125"/>
      <c r="G208" s="1125"/>
      <c r="H208" s="1125"/>
      <c r="I208" s="1125"/>
      <c r="J208" s="1125"/>
      <c r="K208" s="1125"/>
      <c r="L208" s="1125"/>
      <c r="M208" s="1125"/>
      <c r="N208" s="1125"/>
      <c r="O208" s="1125"/>
    </row>
    <row r="209" spans="5:15" x14ac:dyDescent="0.2">
      <c r="E209" s="1125"/>
      <c r="F209" s="1125"/>
      <c r="G209" s="1125"/>
      <c r="H209" s="1125"/>
      <c r="I209" s="1125"/>
      <c r="J209" s="1125"/>
      <c r="K209" s="1125"/>
      <c r="L209" s="1125"/>
      <c r="M209" s="1125"/>
      <c r="N209" s="1125"/>
      <c r="O209" s="1125"/>
    </row>
    <row r="210" spans="5:15" x14ac:dyDescent="0.2">
      <c r="E210" s="1125"/>
      <c r="F210" s="1125"/>
      <c r="G210" s="1125"/>
      <c r="H210" s="1125"/>
      <c r="I210" s="1125"/>
      <c r="J210" s="1125"/>
      <c r="K210" s="1125"/>
      <c r="L210" s="1125"/>
      <c r="M210" s="1125"/>
      <c r="N210" s="1125"/>
      <c r="O210" s="1125"/>
    </row>
    <row r="211" spans="5:15" x14ac:dyDescent="0.2">
      <c r="E211" s="1125"/>
      <c r="F211" s="1125"/>
      <c r="G211" s="1125"/>
      <c r="H211" s="1125"/>
      <c r="I211" s="1125"/>
      <c r="J211" s="1125"/>
      <c r="K211" s="1125"/>
      <c r="L211" s="1125"/>
      <c r="M211" s="1125"/>
      <c r="N211" s="1125"/>
      <c r="O211" s="1125"/>
    </row>
    <row r="212" spans="5:15" x14ac:dyDescent="0.2">
      <c r="E212" s="1125"/>
      <c r="F212" s="1125"/>
      <c r="G212" s="1125"/>
      <c r="H212" s="1125"/>
      <c r="I212" s="1125"/>
      <c r="J212" s="1125"/>
      <c r="K212" s="1125"/>
      <c r="L212" s="1125"/>
      <c r="M212" s="1125"/>
      <c r="N212" s="1125"/>
      <c r="O212" s="1125"/>
    </row>
    <row r="213" spans="5:15" x14ac:dyDescent="0.2">
      <c r="E213" s="1125"/>
      <c r="F213" s="1125"/>
      <c r="G213" s="1125"/>
      <c r="H213" s="1125"/>
      <c r="I213" s="1125"/>
      <c r="J213" s="1125"/>
      <c r="K213" s="1125"/>
      <c r="L213" s="1125"/>
      <c r="M213" s="1125"/>
      <c r="N213" s="1125"/>
      <c r="O213" s="1125"/>
    </row>
    <row r="214" spans="5:15" x14ac:dyDescent="0.2">
      <c r="E214" s="1125"/>
      <c r="F214" s="1125"/>
      <c r="G214" s="1125"/>
      <c r="H214" s="1125"/>
      <c r="I214" s="1125"/>
      <c r="J214" s="1125"/>
      <c r="K214" s="1125"/>
      <c r="L214" s="1125"/>
      <c r="M214" s="1125"/>
      <c r="N214" s="1125"/>
      <c r="O214" s="1125"/>
    </row>
    <row r="215" spans="5:15" x14ac:dyDescent="0.2">
      <c r="E215" s="1125"/>
      <c r="F215" s="1125"/>
      <c r="G215" s="1125"/>
      <c r="H215" s="1125"/>
      <c r="I215" s="1125"/>
      <c r="J215" s="1125"/>
      <c r="K215" s="1125"/>
      <c r="L215" s="1125"/>
      <c r="M215" s="1125"/>
      <c r="N215" s="1125"/>
      <c r="O215" s="1125"/>
    </row>
    <row r="216" spans="5:15" x14ac:dyDescent="0.2">
      <c r="E216" s="1125"/>
      <c r="F216" s="1125"/>
      <c r="G216" s="1125"/>
      <c r="H216" s="1125"/>
      <c r="I216" s="1125"/>
      <c r="J216" s="1125"/>
      <c r="K216" s="1125"/>
      <c r="L216" s="1125"/>
      <c r="M216" s="1125"/>
      <c r="N216" s="1125"/>
      <c r="O216" s="1125"/>
    </row>
    <row r="217" spans="5:15" x14ac:dyDescent="0.2">
      <c r="E217" s="1125"/>
      <c r="F217" s="1125"/>
      <c r="G217" s="1125"/>
      <c r="H217" s="1125"/>
      <c r="I217" s="1125"/>
      <c r="J217" s="1125"/>
      <c r="K217" s="1125"/>
      <c r="L217" s="1125"/>
      <c r="M217" s="1125"/>
      <c r="N217" s="1125"/>
      <c r="O217" s="1125"/>
    </row>
    <row r="218" spans="5:15" x14ac:dyDescent="0.2">
      <c r="E218" s="1125"/>
      <c r="F218" s="1125"/>
      <c r="G218" s="1125"/>
      <c r="H218" s="1125"/>
      <c r="I218" s="1125"/>
      <c r="J218" s="1125"/>
      <c r="K218" s="1125"/>
      <c r="L218" s="1125"/>
      <c r="M218" s="1125"/>
      <c r="N218" s="1125"/>
      <c r="O218" s="1125"/>
    </row>
    <row r="219" spans="5:15" x14ac:dyDescent="0.2">
      <c r="E219" s="1125"/>
      <c r="F219" s="1125"/>
      <c r="G219" s="1125"/>
      <c r="H219" s="1125"/>
      <c r="I219" s="1125"/>
      <c r="J219" s="1125"/>
      <c r="K219" s="1125"/>
      <c r="L219" s="1125"/>
      <c r="M219" s="1125"/>
      <c r="N219" s="1125"/>
      <c r="O219" s="1125"/>
    </row>
    <row r="220" spans="5:15" x14ac:dyDescent="0.2">
      <c r="E220" s="1125"/>
      <c r="F220" s="1125"/>
      <c r="G220" s="1125"/>
      <c r="H220" s="1125"/>
      <c r="I220" s="1125"/>
      <c r="J220" s="1125"/>
      <c r="K220" s="1125"/>
      <c r="L220" s="1125"/>
      <c r="M220" s="1125"/>
      <c r="N220" s="1125"/>
      <c r="O220" s="1125"/>
    </row>
    <row r="221" spans="5:15" x14ac:dyDescent="0.2">
      <c r="E221" s="1125"/>
      <c r="F221" s="1125"/>
      <c r="G221" s="1125"/>
      <c r="H221" s="1125"/>
      <c r="I221" s="1125"/>
      <c r="J221" s="1125"/>
      <c r="K221" s="1125"/>
      <c r="L221" s="1125"/>
      <c r="M221" s="1125"/>
      <c r="N221" s="1125"/>
      <c r="O221" s="1125"/>
    </row>
    <row r="222" spans="5:15" x14ac:dyDescent="0.2">
      <c r="E222" s="1125"/>
      <c r="F222" s="1125"/>
      <c r="G222" s="1125"/>
      <c r="H222" s="1125"/>
      <c r="I222" s="1125"/>
      <c r="J222" s="1125"/>
      <c r="K222" s="1125"/>
      <c r="L222" s="1125"/>
      <c r="M222" s="1125"/>
      <c r="N222" s="1125"/>
      <c r="O222" s="1125"/>
    </row>
    <row r="223" spans="5:15" x14ac:dyDescent="0.2">
      <c r="E223" s="1125"/>
      <c r="F223" s="1125"/>
      <c r="G223" s="1125"/>
      <c r="H223" s="1125"/>
      <c r="I223" s="1125"/>
      <c r="J223" s="1125"/>
      <c r="K223" s="1125"/>
      <c r="L223" s="1125"/>
      <c r="M223" s="1125"/>
      <c r="N223" s="1125"/>
      <c r="O223" s="1125"/>
    </row>
    <row r="224" spans="5:15" x14ac:dyDescent="0.2">
      <c r="E224" s="1125"/>
      <c r="F224" s="1125"/>
      <c r="G224" s="1125"/>
      <c r="H224" s="1125"/>
      <c r="I224" s="1125"/>
      <c r="J224" s="1125"/>
      <c r="K224" s="1125"/>
      <c r="L224" s="1125"/>
      <c r="M224" s="1125"/>
      <c r="N224" s="1125"/>
      <c r="O224" s="1125"/>
    </row>
    <row r="225" spans="5:15" x14ac:dyDescent="0.2">
      <c r="E225" s="1125"/>
      <c r="F225" s="1125"/>
      <c r="G225" s="1125"/>
      <c r="H225" s="1125"/>
      <c r="I225" s="1125"/>
      <c r="J225" s="1125"/>
      <c r="K225" s="1125"/>
      <c r="L225" s="1125"/>
      <c r="M225" s="1125"/>
      <c r="N225" s="1125"/>
      <c r="O225" s="1125"/>
    </row>
    <row r="226" spans="5:15" x14ac:dyDescent="0.2">
      <c r="E226" s="1125"/>
      <c r="F226" s="1125"/>
      <c r="G226" s="1125"/>
      <c r="H226" s="1125"/>
      <c r="I226" s="1125"/>
      <c r="J226" s="1125"/>
      <c r="K226" s="1125"/>
      <c r="L226" s="1125"/>
      <c r="M226" s="1125"/>
      <c r="N226" s="1125"/>
      <c r="O226" s="1125"/>
    </row>
    <row r="227" spans="5:15" x14ac:dyDescent="0.2">
      <c r="E227" s="1125"/>
      <c r="F227" s="1125"/>
      <c r="G227" s="1125"/>
      <c r="H227" s="1125"/>
      <c r="I227" s="1125"/>
      <c r="J227" s="1125"/>
      <c r="K227" s="1125"/>
      <c r="L227" s="1125"/>
      <c r="M227" s="1125"/>
      <c r="N227" s="1125"/>
      <c r="O227" s="1125"/>
    </row>
    <row r="228" spans="5:15" x14ac:dyDescent="0.2">
      <c r="E228" s="1125"/>
      <c r="F228" s="1125"/>
      <c r="G228" s="1125"/>
      <c r="H228" s="1125"/>
      <c r="I228" s="1125"/>
      <c r="J228" s="1125"/>
      <c r="K228" s="1125"/>
      <c r="L228" s="1125"/>
      <c r="M228" s="1125"/>
      <c r="N228" s="1125"/>
      <c r="O228" s="1125"/>
    </row>
    <row r="229" spans="5:15" x14ac:dyDescent="0.2">
      <c r="E229" s="1125"/>
      <c r="F229" s="1125"/>
      <c r="G229" s="1125"/>
      <c r="H229" s="1125"/>
      <c r="I229" s="1125"/>
      <c r="J229" s="1125"/>
      <c r="K229" s="1125"/>
      <c r="L229" s="1125"/>
      <c r="M229" s="1125"/>
      <c r="N229" s="1125"/>
      <c r="O229" s="1125"/>
    </row>
    <row r="230" spans="5:15" x14ac:dyDescent="0.2">
      <c r="E230" s="1125"/>
      <c r="F230" s="1125"/>
      <c r="G230" s="1125"/>
      <c r="H230" s="1125"/>
      <c r="I230" s="1125"/>
      <c r="J230" s="1125"/>
      <c r="K230" s="1125"/>
      <c r="L230" s="1125"/>
      <c r="M230" s="1125"/>
      <c r="N230" s="1125"/>
      <c r="O230" s="1125"/>
    </row>
    <row r="231" spans="5:15" x14ac:dyDescent="0.2">
      <c r="E231" s="1125"/>
      <c r="F231" s="1125"/>
      <c r="G231" s="1125"/>
      <c r="H231" s="1125"/>
      <c r="I231" s="1125"/>
      <c r="J231" s="1125"/>
      <c r="K231" s="1125"/>
      <c r="L231" s="1125"/>
      <c r="M231" s="1125"/>
      <c r="N231" s="1125"/>
      <c r="O231" s="1125"/>
    </row>
    <row r="232" spans="5:15" x14ac:dyDescent="0.2">
      <c r="E232" s="1125"/>
      <c r="F232" s="1125"/>
      <c r="G232" s="1125"/>
      <c r="H232" s="1125"/>
      <c r="I232" s="1125"/>
      <c r="J232" s="1125"/>
      <c r="K232" s="1125"/>
      <c r="L232" s="1125"/>
      <c r="M232" s="1125"/>
      <c r="N232" s="1125"/>
      <c r="O232" s="1125"/>
    </row>
    <row r="233" spans="5:15" x14ac:dyDescent="0.2">
      <c r="E233" s="1125"/>
      <c r="F233" s="1125"/>
      <c r="G233" s="1125"/>
      <c r="H233" s="1125"/>
      <c r="I233" s="1125"/>
      <c r="J233" s="1125"/>
      <c r="K233" s="1125"/>
      <c r="L233" s="1125"/>
      <c r="M233" s="1125"/>
      <c r="N233" s="1125"/>
      <c r="O233" s="1125"/>
    </row>
    <row r="234" spans="5:15" x14ac:dyDescent="0.2">
      <c r="E234" s="1125"/>
      <c r="F234" s="1125"/>
      <c r="G234" s="1125"/>
      <c r="H234" s="1125"/>
      <c r="I234" s="1125"/>
      <c r="J234" s="1125"/>
      <c r="K234" s="1125"/>
      <c r="L234" s="1125"/>
      <c r="M234" s="1125"/>
      <c r="N234" s="1125"/>
      <c r="O234" s="1125"/>
    </row>
    <row r="235" spans="5:15" x14ac:dyDescent="0.2">
      <c r="E235" s="1125"/>
      <c r="F235" s="1125"/>
      <c r="G235" s="1125"/>
      <c r="H235" s="1125"/>
      <c r="I235" s="1125"/>
      <c r="J235" s="1125"/>
      <c r="K235" s="1125"/>
      <c r="L235" s="1125"/>
      <c r="M235" s="1125"/>
      <c r="N235" s="1125"/>
      <c r="O235" s="1125"/>
    </row>
    <row r="236" spans="5:15" x14ac:dyDescent="0.2">
      <c r="E236" s="1125"/>
      <c r="F236" s="1125"/>
      <c r="G236" s="1125"/>
      <c r="H236" s="1125"/>
      <c r="I236" s="1125"/>
      <c r="J236" s="1125"/>
      <c r="K236" s="1125"/>
      <c r="L236" s="1125"/>
      <c r="M236" s="1125"/>
      <c r="N236" s="1125"/>
      <c r="O236" s="1125"/>
    </row>
    <row r="237" spans="5:15" x14ac:dyDescent="0.2">
      <c r="E237" s="1125"/>
      <c r="F237" s="1125"/>
      <c r="G237" s="1125"/>
      <c r="H237" s="1125"/>
      <c r="I237" s="1125"/>
      <c r="J237" s="1125"/>
      <c r="K237" s="1125"/>
      <c r="L237" s="1125"/>
      <c r="M237" s="1125"/>
      <c r="N237" s="1125"/>
      <c r="O237" s="1125"/>
    </row>
    <row r="238" spans="5:15" x14ac:dyDescent="0.2">
      <c r="E238" s="1125"/>
      <c r="F238" s="1125"/>
      <c r="G238" s="1125"/>
      <c r="H238" s="1125"/>
      <c r="I238" s="1125"/>
      <c r="J238" s="1125"/>
      <c r="K238" s="1125"/>
      <c r="L238" s="1125"/>
      <c r="M238" s="1125"/>
      <c r="N238" s="1125"/>
      <c r="O238" s="1125"/>
    </row>
    <row r="239" spans="5:15" x14ac:dyDescent="0.2">
      <c r="E239" s="1125"/>
      <c r="F239" s="1125"/>
      <c r="G239" s="1125"/>
      <c r="H239" s="1125"/>
      <c r="I239" s="1125"/>
      <c r="J239" s="1125"/>
      <c r="K239" s="1125"/>
      <c r="L239" s="1125"/>
      <c r="M239" s="1125"/>
      <c r="N239" s="1125"/>
      <c r="O239" s="1125"/>
    </row>
    <row r="240" spans="5:15" x14ac:dyDescent="0.2">
      <c r="E240" s="1125"/>
      <c r="F240" s="1125"/>
      <c r="G240" s="1125"/>
      <c r="H240" s="1125"/>
      <c r="I240" s="1125"/>
      <c r="J240" s="1125"/>
      <c r="K240" s="1125"/>
      <c r="L240" s="1125"/>
      <c r="M240" s="1125"/>
      <c r="N240" s="1125"/>
      <c r="O240" s="1125"/>
    </row>
    <row r="241" spans="5:15" x14ac:dyDescent="0.2">
      <c r="E241" s="1125"/>
      <c r="F241" s="1125"/>
      <c r="G241" s="1125"/>
      <c r="H241" s="1125"/>
      <c r="I241" s="1125"/>
      <c r="J241" s="1125"/>
      <c r="K241" s="1125"/>
      <c r="L241" s="1125"/>
      <c r="M241" s="1125"/>
      <c r="N241" s="1125"/>
      <c r="O241" s="1125"/>
    </row>
    <row r="242" spans="5:15" x14ac:dyDescent="0.2">
      <c r="E242" s="1125"/>
      <c r="F242" s="1125"/>
      <c r="G242" s="1125"/>
      <c r="H242" s="1125"/>
      <c r="I242" s="1125"/>
      <c r="J242" s="1125"/>
      <c r="K242" s="1125"/>
      <c r="L242" s="1125"/>
      <c r="M242" s="1125"/>
      <c r="N242" s="1125"/>
      <c r="O242" s="1125"/>
    </row>
    <row r="243" spans="5:15" x14ac:dyDescent="0.2">
      <c r="E243" s="1125"/>
      <c r="F243" s="1125"/>
      <c r="G243" s="1125"/>
      <c r="H243" s="1125"/>
      <c r="I243" s="1125"/>
      <c r="J243" s="1125"/>
      <c r="K243" s="1125"/>
      <c r="L243" s="1125"/>
      <c r="M243" s="1125"/>
      <c r="N243" s="1125"/>
      <c r="O243" s="1125"/>
    </row>
    <row r="244" spans="5:15" x14ac:dyDescent="0.2">
      <c r="E244" s="1125"/>
      <c r="F244" s="1125"/>
      <c r="G244" s="1125"/>
      <c r="H244" s="1125"/>
      <c r="I244" s="1125"/>
      <c r="J244" s="1125"/>
      <c r="K244" s="1125"/>
      <c r="L244" s="1125"/>
      <c r="M244" s="1125"/>
      <c r="N244" s="1125"/>
      <c r="O244" s="1125"/>
    </row>
    <row r="245" spans="5:15" x14ac:dyDescent="0.2">
      <c r="E245" s="1125"/>
      <c r="F245" s="1125"/>
      <c r="G245" s="1125"/>
      <c r="H245" s="1125"/>
      <c r="I245" s="1125"/>
      <c r="J245" s="1125"/>
      <c r="K245" s="1125"/>
      <c r="L245" s="1125"/>
      <c r="M245" s="1125"/>
      <c r="N245" s="1125"/>
      <c r="O245" s="1125"/>
    </row>
    <row r="246" spans="5:15" x14ac:dyDescent="0.2">
      <c r="E246" s="1125"/>
      <c r="F246" s="1125"/>
      <c r="G246" s="1125"/>
      <c r="H246" s="1125"/>
      <c r="I246" s="1125"/>
      <c r="J246" s="1125"/>
      <c r="K246" s="1125"/>
      <c r="L246" s="1125"/>
      <c r="M246" s="1125"/>
      <c r="N246" s="1125"/>
      <c r="O246" s="1125"/>
    </row>
    <row r="247" spans="5:15" x14ac:dyDescent="0.2">
      <c r="E247" s="1125"/>
      <c r="F247" s="1125"/>
      <c r="G247" s="1125"/>
      <c r="H247" s="1125"/>
      <c r="I247" s="1125"/>
      <c r="J247" s="1125"/>
      <c r="K247" s="1125"/>
      <c r="L247" s="1125"/>
      <c r="M247" s="1125"/>
      <c r="N247" s="1125"/>
      <c r="O247" s="1125"/>
    </row>
    <row r="248" spans="5:15" x14ac:dyDescent="0.2">
      <c r="E248" s="1125"/>
      <c r="F248" s="1125"/>
      <c r="G248" s="1125"/>
      <c r="H248" s="1125"/>
      <c r="I248" s="1125"/>
      <c r="J248" s="1125"/>
      <c r="K248" s="1125"/>
      <c r="L248" s="1125"/>
      <c r="M248" s="1125"/>
      <c r="N248" s="1125"/>
      <c r="O248" s="1125"/>
    </row>
    <row r="249" spans="5:15" x14ac:dyDescent="0.2">
      <c r="E249" s="1125"/>
      <c r="F249" s="1125"/>
      <c r="G249" s="1125"/>
      <c r="H249" s="1125"/>
      <c r="I249" s="1125"/>
      <c r="J249" s="1125"/>
      <c r="K249" s="1125"/>
      <c r="L249" s="1125"/>
      <c r="M249" s="1125"/>
      <c r="N249" s="1125"/>
      <c r="O249" s="1125"/>
    </row>
    <row r="250" spans="5:15" x14ac:dyDescent="0.2">
      <c r="E250" s="1125"/>
      <c r="F250" s="1125"/>
      <c r="G250" s="1125"/>
      <c r="H250" s="1125"/>
      <c r="I250" s="1125"/>
      <c r="J250" s="1125"/>
      <c r="K250" s="1125"/>
      <c r="L250" s="1125"/>
      <c r="M250" s="1125"/>
      <c r="N250" s="1125"/>
      <c r="O250" s="1125"/>
    </row>
    <row r="251" spans="5:15" x14ac:dyDescent="0.2">
      <c r="E251" s="1125"/>
      <c r="F251" s="1125"/>
      <c r="G251" s="1125"/>
      <c r="H251" s="1125"/>
      <c r="I251" s="1125"/>
      <c r="J251" s="1125"/>
      <c r="K251" s="1125"/>
      <c r="L251" s="1125"/>
      <c r="M251" s="1125"/>
      <c r="N251" s="1125"/>
      <c r="O251" s="1125"/>
    </row>
    <row r="252" spans="5:15" x14ac:dyDescent="0.2">
      <c r="E252" s="1125"/>
      <c r="F252" s="1125"/>
      <c r="G252" s="1125"/>
      <c r="H252" s="1125"/>
      <c r="I252" s="1125"/>
      <c r="J252" s="1125"/>
      <c r="K252" s="1125"/>
      <c r="L252" s="1125"/>
      <c r="M252" s="1125"/>
      <c r="N252" s="1125"/>
      <c r="O252" s="1125"/>
    </row>
    <row r="253" spans="5:15" x14ac:dyDescent="0.2">
      <c r="E253" s="1125"/>
      <c r="F253" s="1125"/>
      <c r="G253" s="1125"/>
      <c r="H253" s="1125"/>
      <c r="I253" s="1125"/>
      <c r="J253" s="1125"/>
      <c r="K253" s="1125"/>
      <c r="L253" s="1125"/>
      <c r="M253" s="1125"/>
      <c r="N253" s="1125"/>
      <c r="O253" s="1125"/>
    </row>
    <row r="254" spans="5:15" x14ac:dyDescent="0.2">
      <c r="E254" s="1125"/>
      <c r="F254" s="1125"/>
      <c r="G254" s="1125"/>
      <c r="H254" s="1125"/>
      <c r="I254" s="1125"/>
      <c r="J254" s="1125"/>
      <c r="K254" s="1125"/>
      <c r="L254" s="1125"/>
      <c r="M254" s="1125"/>
      <c r="N254" s="1125"/>
      <c r="O254" s="1125"/>
    </row>
    <row r="255" spans="5:15" x14ac:dyDescent="0.2">
      <c r="E255" s="1125"/>
      <c r="F255" s="1125"/>
      <c r="G255" s="1125"/>
      <c r="H255" s="1125"/>
      <c r="I255" s="1125"/>
      <c r="J255" s="1125"/>
      <c r="K255" s="1125"/>
      <c r="L255" s="1125"/>
      <c r="M255" s="1125"/>
      <c r="N255" s="1125"/>
      <c r="O255" s="1125"/>
    </row>
    <row r="256" spans="5:15" x14ac:dyDescent="0.2">
      <c r="E256" s="1125"/>
      <c r="F256" s="1125"/>
      <c r="G256" s="1125"/>
      <c r="H256" s="1125"/>
      <c r="I256" s="1125"/>
      <c r="J256" s="1125"/>
      <c r="K256" s="1125"/>
      <c r="L256" s="1125"/>
      <c r="M256" s="1125"/>
      <c r="N256" s="1125"/>
      <c r="O256" s="1125"/>
    </row>
    <row r="257" spans="5:15" x14ac:dyDescent="0.2">
      <c r="E257" s="1125"/>
      <c r="F257" s="1125"/>
      <c r="G257" s="1125"/>
      <c r="H257" s="1125"/>
      <c r="I257" s="1125"/>
      <c r="J257" s="1125"/>
      <c r="K257" s="1125"/>
      <c r="L257" s="1125"/>
      <c r="M257" s="1125"/>
      <c r="N257" s="1125"/>
      <c r="O257" s="1125"/>
    </row>
    <row r="258" spans="5:15" x14ac:dyDescent="0.2">
      <c r="E258" s="1125"/>
      <c r="F258" s="1125"/>
      <c r="G258" s="1125"/>
      <c r="H258" s="1125"/>
      <c r="I258" s="1125"/>
      <c r="J258" s="1125"/>
      <c r="K258" s="1125"/>
      <c r="L258" s="1125"/>
      <c r="M258" s="1125"/>
      <c r="N258" s="1125"/>
      <c r="O258" s="1125"/>
    </row>
    <row r="259" spans="5:15" x14ac:dyDescent="0.2">
      <c r="E259" s="1125"/>
      <c r="F259" s="1125"/>
      <c r="G259" s="1125"/>
      <c r="H259" s="1125"/>
      <c r="I259" s="1125"/>
      <c r="J259" s="1125"/>
      <c r="K259" s="1125"/>
      <c r="L259" s="1125"/>
      <c r="M259" s="1125"/>
      <c r="N259" s="1125"/>
      <c r="O259" s="1125"/>
    </row>
    <row r="260" spans="5:15" x14ac:dyDescent="0.2">
      <c r="E260" s="1125"/>
      <c r="F260" s="1125"/>
      <c r="G260" s="1125"/>
      <c r="H260" s="1125"/>
      <c r="I260" s="1125"/>
      <c r="J260" s="1125"/>
      <c r="K260" s="1125"/>
      <c r="L260" s="1125"/>
      <c r="M260" s="1125"/>
      <c r="N260" s="1125"/>
      <c r="O260" s="1125"/>
    </row>
    <row r="261" spans="5:15" x14ac:dyDescent="0.2">
      <c r="E261" s="1125"/>
      <c r="F261" s="1125"/>
      <c r="G261" s="1125"/>
      <c r="H261" s="1125"/>
      <c r="I261" s="1125"/>
      <c r="J261" s="1125"/>
      <c r="K261" s="1125"/>
      <c r="L261" s="1125"/>
      <c r="M261" s="1125"/>
      <c r="N261" s="1125"/>
      <c r="O261" s="1125"/>
    </row>
    <row r="262" spans="5:15" x14ac:dyDescent="0.2">
      <c r="E262" s="1125"/>
      <c r="F262" s="1125"/>
      <c r="G262" s="1125"/>
      <c r="H262" s="1125"/>
      <c r="I262" s="1125"/>
      <c r="J262" s="1125"/>
      <c r="K262" s="1125"/>
      <c r="L262" s="1125"/>
      <c r="M262" s="1125"/>
      <c r="N262" s="1125"/>
      <c r="O262" s="1125"/>
    </row>
    <row r="263" spans="5:15" x14ac:dyDescent="0.2">
      <c r="E263" s="1125"/>
      <c r="F263" s="1125"/>
      <c r="G263" s="1125"/>
      <c r="H263" s="1125"/>
      <c r="I263" s="1125"/>
      <c r="J263" s="1125"/>
      <c r="K263" s="1125"/>
      <c r="L263" s="1125"/>
      <c r="M263" s="1125"/>
      <c r="N263" s="1125"/>
      <c r="O263" s="1125"/>
    </row>
  </sheetData>
  <phoneticPr fontId="0" type="noConversion"/>
  <pageMargins left="0.75" right="0.75" top="1" bottom="1" header="0.5" footer="0.5"/>
  <pageSetup paperSize="9" orientation="landscape" horizontalDpi="1200"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C000"/>
  </sheetPr>
  <dimension ref="A1:BA542"/>
  <sheetViews>
    <sheetView showFormulas="1" zoomScale="70" zoomScaleNormal="70" workbookViewId="0">
      <pane xSplit="2" ySplit="6" topLeftCell="AH7" activePane="bottomRight" state="frozen"/>
      <selection pane="topRight" activeCell="C1" sqref="C1"/>
      <selection pane="bottomLeft" activeCell="A7" sqref="A7"/>
      <selection pane="bottomRight" activeCell="K24" sqref="K24"/>
    </sheetView>
  </sheetViews>
  <sheetFormatPr defaultColWidth="9.140625" defaultRowHeight="12" customHeight="1" x14ac:dyDescent="0.2"/>
  <cols>
    <col min="1" max="1" width="40.42578125" style="1084" bestFit="1" customWidth="1"/>
    <col min="2" max="2" width="18.140625" style="1084" bestFit="1" customWidth="1"/>
    <col min="3" max="3" width="50.5703125" style="1084" bestFit="1" customWidth="1"/>
    <col min="4" max="4" width="22" style="1085" bestFit="1" customWidth="1"/>
    <col min="5" max="5" width="10.5703125" style="1085" bestFit="1" customWidth="1"/>
    <col min="6" max="6" width="13" style="1085" bestFit="1" customWidth="1"/>
    <col min="7" max="10" width="17.42578125" style="1084" bestFit="1" customWidth="1"/>
    <col min="11" max="11" width="12.5703125" style="1084" bestFit="1" customWidth="1"/>
    <col min="12" max="13" width="11.5703125" style="1084" bestFit="1" customWidth="1"/>
    <col min="14" max="14" width="15.85546875" style="1084" bestFit="1" customWidth="1"/>
    <col min="15" max="21" width="12.140625" style="1084" bestFit="1" customWidth="1"/>
    <col min="22" max="23" width="21.5703125" style="1084" bestFit="1" customWidth="1"/>
    <col min="24" max="31" width="22.140625" style="1084" bestFit="1" customWidth="1"/>
    <col min="32" max="32" width="14.85546875" style="1084" bestFit="1" customWidth="1"/>
    <col min="33" max="38" width="25" style="1084" bestFit="1" customWidth="1"/>
    <col min="39" max="39" width="14.42578125" style="1084" bestFit="1" customWidth="1"/>
    <col min="40" max="40" width="9.140625" style="1084"/>
    <col min="41" max="42" width="20.5703125" style="1084" bestFit="1" customWidth="1"/>
    <col min="43" max="50" width="21" style="1084" bestFit="1" customWidth="1"/>
    <col min="51" max="52" width="9.140625" style="1084"/>
    <col min="53" max="53" width="15.85546875" style="1084" bestFit="1" customWidth="1"/>
    <col min="54" max="16384" width="9.140625" style="1084"/>
  </cols>
  <sheetData>
    <row r="1" spans="1:53" ht="12" customHeight="1" x14ac:dyDescent="0.2">
      <c r="A1" s="1083" t="s">
        <v>473</v>
      </c>
      <c r="B1" s="1084" t="s">
        <v>7</v>
      </c>
      <c r="AJ1" s="1083"/>
      <c r="AK1" s="1083"/>
      <c r="AL1" s="1083"/>
      <c r="AM1" s="1083"/>
      <c r="AO1" s="1083"/>
      <c r="AP1" s="1083"/>
    </row>
    <row r="4" spans="1:53" ht="19.5" customHeight="1" x14ac:dyDescent="0.2"/>
    <row r="5" spans="1:53" ht="12" customHeight="1" x14ac:dyDescent="0.2">
      <c r="F5" s="1080" t="s">
        <v>2320</v>
      </c>
    </row>
    <row r="6" spans="1:53" ht="12" customHeight="1" x14ac:dyDescent="0.2">
      <c r="A6" s="1090" t="s">
        <v>717</v>
      </c>
      <c r="B6" s="1090" t="s">
        <v>158</v>
      </c>
      <c r="C6" s="1090" t="s">
        <v>2104</v>
      </c>
      <c r="D6" s="1090" t="s">
        <v>2061</v>
      </c>
      <c r="E6" s="1090" t="s">
        <v>168</v>
      </c>
      <c r="F6" s="1090" t="s">
        <v>169</v>
      </c>
      <c r="G6" s="1090" t="s">
        <v>2102</v>
      </c>
      <c r="H6" s="1090" t="s">
        <v>2062</v>
      </c>
      <c r="I6" s="1090" t="s">
        <v>2063</v>
      </c>
      <c r="J6" s="1090" t="s">
        <v>2064</v>
      </c>
      <c r="K6" s="1090" t="s">
        <v>475</v>
      </c>
      <c r="L6" s="1090" t="s">
        <v>2065</v>
      </c>
      <c r="M6" s="1090" t="s">
        <v>2066</v>
      </c>
      <c r="N6" s="1090" t="s">
        <v>2067</v>
      </c>
      <c r="O6" s="1090" t="s">
        <v>2068</v>
      </c>
      <c r="P6" s="1090" t="s">
        <v>2069</v>
      </c>
      <c r="Q6" s="1090" t="s">
        <v>2070</v>
      </c>
      <c r="R6" s="1090" t="s">
        <v>2071</v>
      </c>
      <c r="S6" s="1090" t="s">
        <v>2072</v>
      </c>
      <c r="T6" s="1090" t="s">
        <v>2073</v>
      </c>
      <c r="U6" s="1090" t="s">
        <v>2074</v>
      </c>
      <c r="V6" s="1090" t="s">
        <v>2075</v>
      </c>
      <c r="W6" s="1090" t="s">
        <v>2076</v>
      </c>
      <c r="X6" s="1090" t="s">
        <v>2077</v>
      </c>
      <c r="Y6" s="1090" t="s">
        <v>2078</v>
      </c>
      <c r="Z6" s="1090" t="s">
        <v>2079</v>
      </c>
      <c r="AA6" s="1090" t="s">
        <v>2080</v>
      </c>
      <c r="AB6" s="1090" t="s">
        <v>2081</v>
      </c>
      <c r="AC6" s="1090" t="s">
        <v>2082</v>
      </c>
      <c r="AD6" s="1090" t="s">
        <v>2083</v>
      </c>
      <c r="AE6" s="1090" t="s">
        <v>2084</v>
      </c>
      <c r="AF6" s="1090" t="s">
        <v>2085</v>
      </c>
      <c r="AG6" s="1090" t="s">
        <v>2086</v>
      </c>
      <c r="AH6" s="1090" t="s">
        <v>2087</v>
      </c>
      <c r="AI6" s="1090" t="s">
        <v>2088</v>
      </c>
      <c r="AJ6" s="1090" t="s">
        <v>2089</v>
      </c>
      <c r="AK6" s="1090" t="s">
        <v>2090</v>
      </c>
      <c r="AL6" s="1090" t="s">
        <v>2323</v>
      </c>
      <c r="AM6" s="1090" t="s">
        <v>2329</v>
      </c>
      <c r="AO6" s="1090" t="s">
        <v>2092</v>
      </c>
      <c r="AP6" s="1090" t="s">
        <v>2093</v>
      </c>
      <c r="AQ6" s="1090" t="s">
        <v>2094</v>
      </c>
      <c r="AR6" s="1090" t="s">
        <v>2095</v>
      </c>
      <c r="AS6" s="1090" t="s">
        <v>2096</v>
      </c>
      <c r="AT6" s="1090" t="s">
        <v>2097</v>
      </c>
      <c r="AU6" s="1090" t="s">
        <v>2098</v>
      </c>
      <c r="AV6" s="1090" t="s">
        <v>2099</v>
      </c>
      <c r="AW6" s="1090" t="s">
        <v>2100</v>
      </c>
      <c r="AX6" s="1090" t="s">
        <v>2101</v>
      </c>
      <c r="BA6" s="1090" t="s">
        <v>2063</v>
      </c>
    </row>
    <row r="7" spans="1:53" ht="12" customHeight="1" x14ac:dyDescent="0.2">
      <c r="A7" s="1098" t="s">
        <v>2103</v>
      </c>
      <c r="B7" s="1073"/>
      <c r="C7" s="1073"/>
      <c r="D7" s="1073"/>
      <c r="E7" s="1073"/>
      <c r="F7" s="1073"/>
      <c r="G7" s="1099"/>
      <c r="H7" s="1100"/>
      <c r="I7" s="1100"/>
      <c r="J7" s="1100"/>
      <c r="K7" s="1100"/>
      <c r="L7" s="1100"/>
      <c r="M7" s="1100"/>
      <c r="N7" s="1100"/>
      <c r="O7" s="1100"/>
      <c r="P7" s="1100"/>
      <c r="Q7" s="1100"/>
      <c r="R7" s="1100"/>
      <c r="S7" s="1100"/>
      <c r="T7" s="1100"/>
      <c r="U7" s="1100"/>
      <c r="V7" s="1100"/>
      <c r="W7" s="1100"/>
      <c r="X7" s="1100"/>
      <c r="Y7" s="1100"/>
      <c r="Z7" s="1100"/>
      <c r="AA7" s="1100"/>
      <c r="AB7" s="1100"/>
      <c r="AC7" s="1100"/>
      <c r="AD7" s="1100"/>
      <c r="AE7" s="1100"/>
      <c r="AF7" s="1100"/>
      <c r="AG7" s="1100"/>
      <c r="AH7" s="1100"/>
      <c r="AI7" s="1100"/>
      <c r="AJ7" s="1100"/>
      <c r="AK7" s="1100"/>
      <c r="AL7" s="1100"/>
      <c r="AM7" s="1100"/>
      <c r="AO7" s="1101"/>
      <c r="AP7" s="1101"/>
      <c r="AQ7" s="1101"/>
      <c r="AR7" s="1101"/>
      <c r="AS7" s="1101"/>
      <c r="AT7" s="1101"/>
      <c r="AU7" s="1101"/>
      <c r="AV7" s="1101"/>
      <c r="AW7" s="1101"/>
      <c r="AX7" s="1101"/>
    </row>
    <row r="8" spans="1:53" ht="12" customHeight="1" x14ac:dyDescent="0.2">
      <c r="A8" s="1071" t="str">
        <f>Technologies!B47</f>
        <v>R2,R3,R4,R5,R6</v>
      </c>
      <c r="B8" s="1071" t="str">
        <f>Technologies!C47</f>
        <v>TAJE</v>
      </c>
      <c r="C8" s="1071" t="str">
        <f>Technologies!D47</f>
        <v>Air Jet, Passenger Existing</v>
      </c>
      <c r="D8" s="1071" t="s">
        <v>478</v>
      </c>
      <c r="E8" s="1071" t="str">
        <f>Commodities!$C$31</f>
        <v>TRNJTF1</v>
      </c>
      <c r="F8" s="1071" t="s">
        <v>89</v>
      </c>
      <c r="G8" s="1091">
        <v>1</v>
      </c>
      <c r="H8" s="1091">
        <v>2010</v>
      </c>
      <c r="I8" s="1091">
        <f>BA8+5</f>
        <v>17.5</v>
      </c>
      <c r="J8" s="1091"/>
      <c r="K8" s="1092">
        <f>'Air&amp;Marine'!J6</f>
        <v>0.4376230344297341</v>
      </c>
      <c r="L8" s="1092"/>
      <c r="M8" s="1092"/>
      <c r="N8" s="1092"/>
      <c r="O8" s="1092"/>
      <c r="P8" s="1092"/>
      <c r="Q8" s="1092"/>
      <c r="R8" s="1092"/>
      <c r="S8" s="1092"/>
      <c r="T8" s="1092"/>
      <c r="U8" s="1092"/>
      <c r="V8" s="1091"/>
      <c r="W8" s="1092"/>
      <c r="X8" s="1092"/>
      <c r="Y8" s="1092"/>
      <c r="Z8" s="1092"/>
      <c r="AA8" s="1092"/>
      <c r="AB8" s="1092"/>
      <c r="AC8" s="1092"/>
      <c r="AD8" s="1092"/>
      <c r="AE8" s="1092"/>
      <c r="AF8" s="1093">
        <f>'Air&amp;Marine'!I6</f>
        <v>7.4625760131172711</v>
      </c>
      <c r="AG8" s="1091"/>
      <c r="AH8" s="1091"/>
      <c r="AI8" s="1091"/>
      <c r="AJ8" s="1091"/>
      <c r="AK8" s="1091">
        <f>CommData!F70*1.1</f>
        <v>1.6341069776426929E-2</v>
      </c>
      <c r="AL8" s="1091">
        <f>AK8</f>
        <v>1.6341069776426929E-2</v>
      </c>
      <c r="AM8" s="1091">
        <v>1</v>
      </c>
      <c r="AO8" s="1094"/>
      <c r="AP8" s="1094"/>
      <c r="AQ8" s="1094">
        <v>0</v>
      </c>
      <c r="AR8" s="1094">
        <v>0</v>
      </c>
      <c r="AS8" s="1094">
        <v>0</v>
      </c>
      <c r="AT8" s="1094">
        <v>0</v>
      </c>
      <c r="AU8" s="1094">
        <v>0</v>
      </c>
      <c r="AV8" s="1094">
        <v>0</v>
      </c>
      <c r="AW8" s="1094">
        <v>0</v>
      </c>
      <c r="AX8" s="1094">
        <v>0</v>
      </c>
      <c r="BA8" s="1084">
        <f>'Air&amp;Marine'!G6</f>
        <v>12.5</v>
      </c>
    </row>
    <row r="9" spans="1:53" ht="12" customHeight="1" x14ac:dyDescent="0.2">
      <c r="A9" s="1071" t="s">
        <v>115</v>
      </c>
      <c r="B9" s="1071" t="str">
        <f>Technologies!C48</f>
        <v>TAPE</v>
      </c>
      <c r="C9" s="1071" t="str">
        <f>Technologies!D48</f>
        <v>Airplane, General Aviation, exisiting</v>
      </c>
      <c r="D9" s="1071" t="s">
        <v>478</v>
      </c>
      <c r="E9" s="1071" t="s">
        <v>55</v>
      </c>
      <c r="F9" s="1071" t="s">
        <v>89</v>
      </c>
      <c r="G9" s="1091">
        <v>1</v>
      </c>
      <c r="H9" s="1091">
        <v>2010</v>
      </c>
      <c r="I9" s="1091">
        <f>BA9+5</f>
        <v>25</v>
      </c>
      <c r="J9" s="1091"/>
      <c r="K9" s="1092"/>
      <c r="L9" s="1092"/>
      <c r="M9" s="1092"/>
      <c r="N9" s="1092"/>
      <c r="O9" s="1092"/>
      <c r="P9" s="1092"/>
      <c r="Q9" s="1092"/>
      <c r="R9" s="1092"/>
      <c r="S9" s="1092"/>
      <c r="T9" s="1092"/>
      <c r="U9" s="1092"/>
      <c r="V9" s="1093"/>
      <c r="W9" s="1093"/>
      <c r="X9" s="1093"/>
      <c r="Y9" s="1093"/>
      <c r="Z9" s="1093"/>
      <c r="AA9" s="1093"/>
      <c r="AB9" s="1093"/>
      <c r="AC9" s="1093"/>
      <c r="AD9" s="1093"/>
      <c r="AE9" s="1093"/>
      <c r="AF9" s="1093">
        <f>'Air&amp;Marine'!I17</f>
        <v>1.7511000000000001</v>
      </c>
      <c r="AG9" s="1091"/>
      <c r="AH9" s="1091"/>
      <c r="AI9" s="1091"/>
      <c r="AJ9" s="1091"/>
      <c r="AK9" s="1091"/>
      <c r="AL9" s="1091"/>
      <c r="AM9" s="1091">
        <v>1</v>
      </c>
      <c r="AO9" s="1094">
        <v>0</v>
      </c>
      <c r="AP9" s="1094">
        <v>0</v>
      </c>
      <c r="AQ9" s="1094">
        <v>0</v>
      </c>
      <c r="AR9" s="1094">
        <v>0</v>
      </c>
      <c r="AS9" s="1094">
        <v>0</v>
      </c>
      <c r="AT9" s="1094">
        <v>0</v>
      </c>
      <c r="AU9" s="1094">
        <v>0</v>
      </c>
      <c r="AV9" s="1094">
        <v>0</v>
      </c>
      <c r="AW9" s="1094">
        <v>0</v>
      </c>
      <c r="AX9" s="1094">
        <v>0</v>
      </c>
      <c r="BA9" s="1084">
        <v>20</v>
      </c>
    </row>
    <row r="10" spans="1:53" ht="12" customHeight="1" x14ac:dyDescent="0.2">
      <c r="A10" s="1098" t="s">
        <v>479</v>
      </c>
      <c r="B10" s="1073"/>
      <c r="C10" s="1073"/>
      <c r="D10" s="1073"/>
      <c r="E10" s="1073"/>
      <c r="F10" s="1073"/>
      <c r="G10" s="1099"/>
      <c r="H10" s="1100"/>
      <c r="I10" s="1100"/>
      <c r="J10" s="1100"/>
      <c r="K10" s="1100"/>
      <c r="L10" s="1100"/>
      <c r="M10" s="1100"/>
      <c r="N10" s="1100"/>
      <c r="O10" s="1100"/>
      <c r="P10" s="1100"/>
      <c r="Q10" s="1100"/>
      <c r="R10" s="1100"/>
      <c r="S10" s="1100"/>
      <c r="T10" s="1100"/>
      <c r="U10" s="1100"/>
      <c r="V10" s="1100"/>
      <c r="W10" s="1100"/>
      <c r="X10" s="1100"/>
      <c r="Y10" s="1100"/>
      <c r="Z10" s="1100"/>
      <c r="AA10" s="1100"/>
      <c r="AB10" s="1100"/>
      <c r="AC10" s="1100"/>
      <c r="AD10" s="1100"/>
      <c r="AE10" s="1100"/>
      <c r="AF10" s="1100"/>
      <c r="AG10" s="1100"/>
      <c r="AH10" s="1100"/>
      <c r="AI10" s="1100"/>
      <c r="AJ10" s="1100"/>
      <c r="AK10" s="1100"/>
      <c r="AL10" s="1100"/>
      <c r="AM10" s="1100"/>
      <c r="AO10" s="1101"/>
      <c r="AP10" s="1101"/>
      <c r="AQ10" s="1101"/>
      <c r="AR10" s="1101"/>
      <c r="AS10" s="1101"/>
      <c r="AT10" s="1101"/>
      <c r="AU10" s="1101"/>
      <c r="AV10" s="1101"/>
      <c r="AW10" s="1101"/>
      <c r="AX10" s="1101"/>
    </row>
    <row r="11" spans="1:53" ht="12" customHeight="1" x14ac:dyDescent="0.2">
      <c r="A11" s="1071" t="str">
        <f>Technologies!B57</f>
        <v>R2,R3,R4,R5,R6</v>
      </c>
      <c r="B11" s="1071" t="str">
        <f>Technologies!C57</f>
        <v>TBDSLE</v>
      </c>
      <c r="C11" s="1071" t="str">
        <f>'Rail&amp;Bus2'!B7</f>
        <v>Bus, Exisiting Diesel</v>
      </c>
      <c r="D11" s="1071" t="s">
        <v>480</v>
      </c>
      <c r="E11" s="1071" t="s">
        <v>39</v>
      </c>
      <c r="F11" s="1071" t="s">
        <v>93</v>
      </c>
      <c r="G11" s="1091">
        <v>1</v>
      </c>
      <c r="H11" s="1091">
        <v>2010</v>
      </c>
      <c r="I11" s="1091">
        <f>BA11+5</f>
        <v>17</v>
      </c>
      <c r="J11" s="1091"/>
      <c r="K11" s="1092">
        <f>'Rail&amp;Bus2'!I7</f>
        <v>3.497096288537007E-2</v>
      </c>
      <c r="L11" s="1092"/>
      <c r="M11" s="1092"/>
      <c r="N11" s="1092"/>
      <c r="O11" s="1092"/>
      <c r="P11" s="1092"/>
      <c r="Q11" s="1092"/>
      <c r="R11" s="1092"/>
      <c r="S11" s="1092"/>
      <c r="T11" s="1092"/>
      <c r="U11" s="1092"/>
      <c r="V11" s="1093"/>
      <c r="W11" s="1093"/>
      <c r="X11" s="1093"/>
      <c r="Y11" s="1093"/>
      <c r="Z11" s="1093"/>
      <c r="AA11" s="1093"/>
      <c r="AB11" s="1093"/>
      <c r="AC11" s="1093"/>
      <c r="AD11" s="1093"/>
      <c r="AE11" s="1093"/>
      <c r="AF11" s="1094">
        <f>'Rail&amp;Bus2'!H7</f>
        <v>555.05381199668852</v>
      </c>
      <c r="AG11" s="1091">
        <f>TB!B32</f>
        <v>9.8160717965620661E-2</v>
      </c>
      <c r="AH11" s="1091">
        <f>TB!B31</f>
        <v>5.3258102511182299E-2</v>
      </c>
      <c r="AI11" s="1091">
        <f>TB!B33</f>
        <v>6.0977618210071853E-2</v>
      </c>
      <c r="AJ11" s="1091">
        <f>TB!B35</f>
        <v>1.80229053547207E-2</v>
      </c>
      <c r="AK11" s="1091">
        <f>TB!B34</f>
        <v>8.6513713852179902E-2</v>
      </c>
      <c r="AL11" s="1091"/>
      <c r="AM11" s="1091">
        <v>1</v>
      </c>
      <c r="AO11" s="1094">
        <v>0</v>
      </c>
      <c r="AP11" s="1094">
        <v>0</v>
      </c>
      <c r="AQ11" s="1094">
        <v>0</v>
      </c>
      <c r="AR11" s="1094">
        <v>0</v>
      </c>
      <c r="AS11" s="1094">
        <v>0</v>
      </c>
      <c r="AT11" s="1094">
        <v>0</v>
      </c>
      <c r="AU11" s="1094">
        <v>0</v>
      </c>
      <c r="AV11" s="1094">
        <v>0</v>
      </c>
      <c r="AW11" s="1094">
        <v>0</v>
      </c>
      <c r="AX11" s="1094">
        <v>0</v>
      </c>
      <c r="BA11" s="1084">
        <f>'Rail&amp;Bus2'!F7</f>
        <v>12</v>
      </c>
    </row>
    <row r="12" spans="1:53" ht="9.75" customHeight="1" x14ac:dyDescent="0.2">
      <c r="A12" s="1071" t="s">
        <v>115</v>
      </c>
      <c r="B12" s="1071" t="str">
        <f>Technologies!C58</f>
        <v>TBGSLE</v>
      </c>
      <c r="C12" s="1071" t="str">
        <f>'Rail&amp;Bus2'!B8</f>
        <v>Bus, Exisiting Gasoline</v>
      </c>
      <c r="D12" s="1071" t="s">
        <v>480</v>
      </c>
      <c r="E12" s="1071" t="s">
        <v>31</v>
      </c>
      <c r="F12" s="1071" t="s">
        <v>93</v>
      </c>
      <c r="G12" s="1091">
        <v>1</v>
      </c>
      <c r="H12" s="1091">
        <v>2010</v>
      </c>
      <c r="I12" s="1091">
        <f>BA12+5</f>
        <v>17</v>
      </c>
      <c r="J12" s="1091">
        <v>0.18</v>
      </c>
      <c r="K12" s="1092">
        <f>'Rail&amp;Bus2'!I8</f>
        <v>3.7768639916199678E-2</v>
      </c>
      <c r="L12" s="1092"/>
      <c r="M12" s="1092"/>
      <c r="N12" s="1092"/>
      <c r="O12" s="1092"/>
      <c r="P12" s="1092"/>
      <c r="Q12" s="1092"/>
      <c r="R12" s="1092"/>
      <c r="S12" s="1092"/>
      <c r="T12" s="1092"/>
      <c r="U12" s="1092"/>
      <c r="V12" s="1094">
        <f>'Rail&amp;Bus2'!G8</f>
        <v>10426.65660557352</v>
      </c>
      <c r="W12" s="1094">
        <f t="shared" ref="W12:AE12" si="0">V12</f>
        <v>10426.65660557352</v>
      </c>
      <c r="X12" s="1094">
        <f t="shared" si="0"/>
        <v>10426.65660557352</v>
      </c>
      <c r="Y12" s="1094">
        <f t="shared" si="0"/>
        <v>10426.65660557352</v>
      </c>
      <c r="Z12" s="1094">
        <f t="shared" si="0"/>
        <v>10426.65660557352</v>
      </c>
      <c r="AA12" s="1094">
        <f t="shared" si="0"/>
        <v>10426.65660557352</v>
      </c>
      <c r="AB12" s="1094">
        <f t="shared" si="0"/>
        <v>10426.65660557352</v>
      </c>
      <c r="AC12" s="1094">
        <f t="shared" si="0"/>
        <v>10426.65660557352</v>
      </c>
      <c r="AD12" s="1094">
        <f t="shared" si="0"/>
        <v>10426.65660557352</v>
      </c>
      <c r="AE12" s="1094">
        <f t="shared" si="0"/>
        <v>10426.65660557352</v>
      </c>
      <c r="AF12" s="1094">
        <f>'Rail&amp;Bus2'!H8</f>
        <v>555.05381199668852</v>
      </c>
      <c r="AG12" s="1091"/>
      <c r="AH12" s="1091"/>
      <c r="AI12" s="1091"/>
      <c r="AJ12" s="1091"/>
      <c r="AK12" s="1091"/>
      <c r="AL12" s="1091"/>
      <c r="AM12" s="1091">
        <v>1</v>
      </c>
      <c r="AO12" s="1091"/>
      <c r="AP12" s="1091"/>
      <c r="AQ12" s="1091"/>
      <c r="AR12" s="1091"/>
      <c r="AS12" s="1091"/>
      <c r="AT12" s="1091"/>
      <c r="AU12" s="1091"/>
      <c r="AV12" s="1091"/>
      <c r="AW12" s="1091"/>
      <c r="AX12" s="1091"/>
      <c r="BA12" s="1084">
        <f>'Rail&amp;Bus2'!F8</f>
        <v>12</v>
      </c>
    </row>
    <row r="13" spans="1:53" ht="12" customHeight="1" x14ac:dyDescent="0.2">
      <c r="A13" s="1071" t="str">
        <f>Technologies!B59</f>
        <v>R2,R3,R4,R5,R6</v>
      </c>
      <c r="B13" s="1071" t="str">
        <f>Technologies!C59</f>
        <v>TBCNGE</v>
      </c>
      <c r="C13" s="1071" t="s">
        <v>481</v>
      </c>
      <c r="D13" s="1071" t="s">
        <v>480</v>
      </c>
      <c r="E13" s="1071" t="s">
        <v>66</v>
      </c>
      <c r="F13" s="1071" t="s">
        <v>93</v>
      </c>
      <c r="G13" s="1091">
        <v>1</v>
      </c>
      <c r="H13" s="1091">
        <v>2010</v>
      </c>
      <c r="I13" s="1091">
        <f>BA13+5</f>
        <v>17</v>
      </c>
      <c r="J13" s="1091"/>
      <c r="K13" s="1092">
        <f>'Rail&amp;Bus2'!I9</f>
        <v>2.9733765545048953E-2</v>
      </c>
      <c r="L13" s="1092"/>
      <c r="M13" s="1092"/>
      <c r="N13" s="1092"/>
      <c r="O13" s="1092"/>
      <c r="P13" s="1092"/>
      <c r="Q13" s="1092"/>
      <c r="R13" s="1092"/>
      <c r="S13" s="1092"/>
      <c r="T13" s="1092"/>
      <c r="U13" s="1092"/>
      <c r="V13" s="1094"/>
      <c r="W13" s="1094"/>
      <c r="X13" s="1094"/>
      <c r="Y13" s="1094"/>
      <c r="Z13" s="1094"/>
      <c r="AA13" s="1094"/>
      <c r="AB13" s="1094"/>
      <c r="AC13" s="1094"/>
      <c r="AD13" s="1094"/>
      <c r="AE13" s="1094"/>
      <c r="AF13" s="1094">
        <f>'Rail&amp;Bus2'!H9</f>
        <v>639.72303755550536</v>
      </c>
      <c r="AG13" s="1091">
        <f>TB!D32</f>
        <v>1.308611745476411E-2</v>
      </c>
      <c r="AH13" s="1091">
        <f>TB!D31</f>
        <v>7.1000070020198133E-3</v>
      </c>
      <c r="AI13" s="1091">
        <f>TB!D33</f>
        <v>8.1291201872447302E-3</v>
      </c>
      <c r="AJ13" s="1091">
        <f>TB!D35</f>
        <v>2.4026908241499938E-3</v>
      </c>
      <c r="AK13" s="1091">
        <f>TB!D34</f>
        <v>1.1533418299914944E-2</v>
      </c>
      <c r="AL13" s="1091"/>
      <c r="AM13" s="1091">
        <v>1</v>
      </c>
      <c r="AO13" s="1094"/>
      <c r="AP13" s="1094">
        <v>0</v>
      </c>
      <c r="AQ13" s="1094">
        <v>0</v>
      </c>
      <c r="AR13" s="1094">
        <v>0</v>
      </c>
      <c r="AS13" s="1094">
        <v>0</v>
      </c>
      <c r="AT13" s="1094">
        <v>0</v>
      </c>
      <c r="AU13" s="1094">
        <v>0</v>
      </c>
      <c r="AV13" s="1094">
        <v>0</v>
      </c>
      <c r="AW13" s="1094">
        <v>0</v>
      </c>
      <c r="AX13" s="1094">
        <v>0</v>
      </c>
      <c r="BA13" s="1084">
        <v>12</v>
      </c>
    </row>
    <row r="14" spans="1:53" ht="12" customHeight="1" x14ac:dyDescent="0.2">
      <c r="A14" s="1098" t="s">
        <v>482</v>
      </c>
      <c r="B14" s="1073"/>
      <c r="C14" s="1073"/>
      <c r="D14" s="1073"/>
      <c r="E14" s="1073"/>
      <c r="F14" s="1073"/>
      <c r="G14" s="1099"/>
      <c r="H14" s="1100"/>
      <c r="I14" s="1100"/>
      <c r="J14" s="1100"/>
      <c r="K14" s="1100"/>
      <c r="L14" s="1100"/>
      <c r="M14" s="1100"/>
      <c r="N14" s="1100"/>
      <c r="O14" s="1100"/>
      <c r="P14" s="1100"/>
      <c r="Q14" s="1100"/>
      <c r="R14" s="1100"/>
      <c r="S14" s="1100"/>
      <c r="T14" s="1100"/>
      <c r="U14" s="1100"/>
      <c r="V14" s="1100"/>
      <c r="W14" s="1100"/>
      <c r="X14" s="1100"/>
      <c r="Y14" s="1100"/>
      <c r="Z14" s="1100"/>
      <c r="AA14" s="1100"/>
      <c r="AB14" s="1100"/>
      <c r="AC14" s="1100"/>
      <c r="AD14" s="1100"/>
      <c r="AE14" s="1100"/>
      <c r="AF14" s="1100"/>
      <c r="AG14" s="1100"/>
      <c r="AH14" s="1100"/>
      <c r="AI14" s="1100"/>
      <c r="AJ14" s="1100"/>
      <c r="AK14" s="1100"/>
      <c r="AL14" s="1100"/>
      <c r="AM14" s="1100"/>
      <c r="AO14" s="1101">
        <v>0</v>
      </c>
      <c r="AP14" s="1101"/>
      <c r="AQ14" s="1101"/>
      <c r="AR14" s="1101"/>
      <c r="AS14" s="1101"/>
      <c r="AT14" s="1101"/>
      <c r="AU14" s="1101"/>
      <c r="AV14" s="1101"/>
      <c r="AW14" s="1101"/>
      <c r="AX14" s="1101"/>
      <c r="BA14" s="1088"/>
    </row>
    <row r="15" spans="1:53" ht="12" customHeight="1" x14ac:dyDescent="0.2">
      <c r="A15" s="1071" t="s">
        <v>115</v>
      </c>
      <c r="B15" s="1071" t="str">
        <f>Technologies!C79</f>
        <v>TCGSLE</v>
      </c>
      <c r="C15" s="1071" t="str">
        <f>Technologies!D79</f>
        <v>Truck, Commerical, Exisiting Gasoline</v>
      </c>
      <c r="D15" s="1071" t="s">
        <v>480</v>
      </c>
      <c r="E15" s="1071" t="s">
        <v>33</v>
      </c>
      <c r="F15" s="1071" t="str">
        <f>Commodities!C$18</f>
        <v>TC</v>
      </c>
      <c r="G15" s="1091">
        <v>1</v>
      </c>
      <c r="H15" s="1091">
        <v>2010</v>
      </c>
      <c r="I15" s="1091">
        <f>BA15+5</f>
        <v>20.5</v>
      </c>
      <c r="J15" s="1091"/>
      <c r="K15" s="1092">
        <f>Trucks!H66</f>
        <v>9.715370018975332E-2</v>
      </c>
      <c r="L15" s="1092"/>
      <c r="M15" s="1092"/>
      <c r="N15" s="1092"/>
      <c r="O15" s="1092"/>
      <c r="P15" s="1092"/>
      <c r="Q15" s="1092"/>
      <c r="R15" s="1092"/>
      <c r="S15" s="1092"/>
      <c r="T15" s="1092"/>
      <c r="U15" s="1092"/>
      <c r="V15" s="1093"/>
      <c r="W15" s="1093"/>
      <c r="X15" s="1093"/>
      <c r="Y15" s="1093"/>
      <c r="Z15" s="1093"/>
      <c r="AA15" s="1093"/>
      <c r="AB15" s="1093"/>
      <c r="AC15" s="1093"/>
      <c r="AD15" s="1093"/>
      <c r="AE15" s="1093"/>
      <c r="AF15" s="1094">
        <f>Trucks!G66</f>
        <v>55.312877943174676</v>
      </c>
      <c r="AG15" s="1093"/>
      <c r="AH15" s="1093"/>
      <c r="AI15" s="1093"/>
      <c r="AJ15" s="1093"/>
      <c r="AK15" s="1093"/>
      <c r="AL15" s="1093"/>
      <c r="AM15" s="1091">
        <v>1</v>
      </c>
      <c r="AO15" s="1094">
        <v>0</v>
      </c>
      <c r="AP15" s="1094">
        <v>0</v>
      </c>
      <c r="AQ15" s="1094">
        <v>0</v>
      </c>
      <c r="AR15" s="1094">
        <v>0</v>
      </c>
      <c r="AS15" s="1094">
        <v>0</v>
      </c>
      <c r="AT15" s="1094">
        <v>0</v>
      </c>
      <c r="AU15" s="1094">
        <v>0</v>
      </c>
      <c r="AV15" s="1094">
        <v>0</v>
      </c>
      <c r="AW15" s="1094">
        <v>0</v>
      </c>
      <c r="AX15" s="1094">
        <v>0</v>
      </c>
      <c r="BA15" s="1089">
        <f>Trucks!E66</f>
        <v>15.5</v>
      </c>
    </row>
    <row r="16" spans="1:53" ht="12" customHeight="1" x14ac:dyDescent="0.2">
      <c r="A16" s="1071" t="s">
        <v>115</v>
      </c>
      <c r="B16" s="1071" t="str">
        <f>Technologies!C80</f>
        <v>TCDSLE</v>
      </c>
      <c r="C16" s="1071" t="str">
        <f>Technologies!D80</f>
        <v>Truck, Commerical, Existing Diesel</v>
      </c>
      <c r="D16" s="1071" t="s">
        <v>480</v>
      </c>
      <c r="E16" s="1071" t="s">
        <v>37</v>
      </c>
      <c r="F16" s="1071" t="str">
        <f>Commodities!C$18</f>
        <v>TC</v>
      </c>
      <c r="G16" s="1091">
        <v>1</v>
      </c>
      <c r="H16" s="1091">
        <v>2010</v>
      </c>
      <c r="I16" s="1091">
        <f>BA16+5</f>
        <v>20.5</v>
      </c>
      <c r="J16" s="1091"/>
      <c r="K16" s="1092">
        <f>Trucks!H67</f>
        <v>0.11740133509890378</v>
      </c>
      <c r="L16" s="1092"/>
      <c r="M16" s="1092"/>
      <c r="N16" s="1092"/>
      <c r="O16" s="1092"/>
      <c r="P16" s="1092"/>
      <c r="Q16" s="1092"/>
      <c r="R16" s="1092"/>
      <c r="S16" s="1092"/>
      <c r="T16" s="1092"/>
      <c r="U16" s="1092"/>
      <c r="V16" s="1091"/>
      <c r="W16" s="1091"/>
      <c r="X16" s="1091"/>
      <c r="Y16" s="1091"/>
      <c r="Z16" s="1091"/>
      <c r="AA16" s="1091"/>
      <c r="AB16" s="1091"/>
      <c r="AC16" s="1091"/>
      <c r="AD16" s="1091"/>
      <c r="AE16" s="1091"/>
      <c r="AF16" s="1094">
        <f>Trucks!G67</f>
        <v>55.312877943174676</v>
      </c>
      <c r="AG16" s="1093"/>
      <c r="AH16" s="1093"/>
      <c r="AI16" s="1093"/>
      <c r="AJ16" s="1093"/>
      <c r="AK16" s="1093"/>
      <c r="AL16" s="1093"/>
      <c r="AM16" s="1091">
        <v>1</v>
      </c>
      <c r="AO16" s="1094">
        <v>0</v>
      </c>
      <c r="AP16" s="1094">
        <v>0</v>
      </c>
      <c r="AQ16" s="1094">
        <v>0</v>
      </c>
      <c r="AR16" s="1094">
        <v>0</v>
      </c>
      <c r="AS16" s="1094">
        <v>0</v>
      </c>
      <c r="AT16" s="1094">
        <v>0</v>
      </c>
      <c r="AU16" s="1094">
        <v>0</v>
      </c>
      <c r="AV16" s="1094">
        <v>0</v>
      </c>
      <c r="AW16" s="1094">
        <v>0</v>
      </c>
      <c r="AX16" s="1094">
        <v>0</v>
      </c>
      <c r="BA16" s="1089">
        <f>Trucks!E67</f>
        <v>15.5</v>
      </c>
    </row>
    <row r="17" spans="1:53" ht="12" customHeight="1" x14ac:dyDescent="0.2">
      <c r="A17" s="1098" t="s">
        <v>483</v>
      </c>
      <c r="B17" s="1073"/>
      <c r="C17" s="1073"/>
      <c r="D17" s="1073"/>
      <c r="E17" s="1073"/>
      <c r="F17" s="1073"/>
      <c r="G17" s="1099"/>
      <c r="H17" s="1100"/>
      <c r="I17" s="1100"/>
      <c r="J17" s="1100"/>
      <c r="K17" s="1100"/>
      <c r="L17" s="1100"/>
      <c r="M17" s="1100"/>
      <c r="N17" s="1100"/>
      <c r="O17" s="1100"/>
      <c r="P17" s="1100"/>
      <c r="Q17" s="1100"/>
      <c r="R17" s="1100"/>
      <c r="S17" s="1100"/>
      <c r="T17" s="1100"/>
      <c r="U17" s="1100"/>
      <c r="V17" s="1100"/>
      <c r="W17" s="1100"/>
      <c r="X17" s="1100"/>
      <c r="Y17" s="1100"/>
      <c r="Z17" s="1100"/>
      <c r="AA17" s="1100"/>
      <c r="AB17" s="1100"/>
      <c r="AC17" s="1100"/>
      <c r="AD17" s="1100"/>
      <c r="AE17" s="1100"/>
      <c r="AF17" s="1100"/>
      <c r="AG17" s="1100"/>
      <c r="AH17" s="1100"/>
      <c r="AI17" s="1100"/>
      <c r="AJ17" s="1100"/>
      <c r="AK17" s="1100"/>
      <c r="AL17" s="1100"/>
      <c r="AM17" s="1100"/>
      <c r="AO17" s="1101"/>
      <c r="AP17" s="1101"/>
      <c r="AQ17" s="1101"/>
      <c r="AR17" s="1101"/>
      <c r="AS17" s="1101"/>
      <c r="AT17" s="1101"/>
      <c r="AU17" s="1101"/>
      <c r="AV17" s="1101"/>
      <c r="AW17" s="1101"/>
      <c r="AX17" s="1101"/>
    </row>
    <row r="18" spans="1:53" ht="12" customHeight="1" x14ac:dyDescent="0.2">
      <c r="A18" s="1071" t="str">
        <f>Technologies!B110</f>
        <v>R2,R3,R4,R5,R6</v>
      </c>
      <c r="B18" s="1071" t="str">
        <f>Technologies!C110</f>
        <v>TMGSLE</v>
      </c>
      <c r="C18" s="1071" t="str">
        <f>Technologies!D110</f>
        <v>Medium Duty Truck, Existing Gasoline</v>
      </c>
      <c r="D18" s="1071" t="s">
        <v>480</v>
      </c>
      <c r="E18" s="1071" t="str">
        <f>Commodities!C39</f>
        <v>TMGSL</v>
      </c>
      <c r="F18" s="1071" t="str">
        <f>Commodities!C$11</f>
        <v>TM</v>
      </c>
      <c r="G18" s="1091">
        <v>1</v>
      </c>
      <c r="H18" s="1091">
        <v>2010</v>
      </c>
      <c r="I18" s="1091">
        <f>BA18+5</f>
        <v>24</v>
      </c>
      <c r="J18" s="1091"/>
      <c r="K18" s="1092">
        <f>Trucks!H119*TM!$L$7</f>
        <v>8.1247595996775002E-2</v>
      </c>
      <c r="L18" s="1092"/>
      <c r="M18" s="1092"/>
      <c r="N18" s="1092"/>
      <c r="O18" s="1092"/>
      <c r="P18" s="1092"/>
      <c r="Q18" s="1092"/>
      <c r="R18" s="1092"/>
      <c r="S18" s="1092"/>
      <c r="T18" s="1092"/>
      <c r="U18" s="1092"/>
      <c r="V18" s="1094"/>
      <c r="W18" s="1094"/>
      <c r="X18" s="1094"/>
      <c r="Y18" s="1094"/>
      <c r="Z18" s="1094"/>
      <c r="AA18" s="1094"/>
      <c r="AB18" s="1094"/>
      <c r="AC18" s="1094"/>
      <c r="AD18" s="1094"/>
      <c r="AE18" s="1094"/>
      <c r="AF18" s="1094">
        <f>Trucks!G119</f>
        <v>248.80470075014617</v>
      </c>
      <c r="AG18" s="1096">
        <f>TM!B48</f>
        <v>0.11532312884701169</v>
      </c>
      <c r="AH18" s="1096">
        <f>TM!B47</f>
        <v>6.2569744245305328E-2</v>
      </c>
      <c r="AI18" s="1096">
        <f>TM!B49</f>
        <v>7.1638939357461726E-2</v>
      </c>
      <c r="AJ18" s="1096">
        <f>TM!B51</f>
        <v>2.117402846572395E-2</v>
      </c>
      <c r="AK18" s="1096">
        <f>TM!B50</f>
        <v>0.10163976360791034</v>
      </c>
      <c r="AL18" s="1096"/>
      <c r="AM18" s="1094">
        <v>1</v>
      </c>
      <c r="AO18" s="1094">
        <v>0</v>
      </c>
      <c r="AP18" s="1094">
        <v>0</v>
      </c>
      <c r="AQ18" s="1094">
        <v>0</v>
      </c>
      <c r="AR18" s="1094">
        <v>0</v>
      </c>
      <c r="AS18" s="1094">
        <v>0</v>
      </c>
      <c r="AT18" s="1094">
        <v>0</v>
      </c>
      <c r="AU18" s="1094">
        <v>0</v>
      </c>
      <c r="AV18" s="1094">
        <v>0</v>
      </c>
      <c r="AW18" s="1094">
        <v>0</v>
      </c>
      <c r="AX18" s="1094">
        <v>0</v>
      </c>
      <c r="BA18" s="1088">
        <f>Trucks!E119</f>
        <v>19</v>
      </c>
    </row>
    <row r="19" spans="1:53" ht="12" customHeight="1" x14ac:dyDescent="0.2">
      <c r="A19" s="1071" t="str">
        <f>Technologies!B111</f>
        <v>R2,R3,R4,R5,R6</v>
      </c>
      <c r="B19" s="1071" t="str">
        <f>Technologies!C111</f>
        <v>TMDSLE</v>
      </c>
      <c r="C19" s="1071" t="str">
        <f>Technologies!D111</f>
        <v>Medium Duty Truck, Existing Diesel</v>
      </c>
      <c r="D19" s="1071" t="s">
        <v>480</v>
      </c>
      <c r="E19" s="1071" t="str">
        <f>Commodities!C42</f>
        <v>TMDSL</v>
      </c>
      <c r="F19" s="1071" t="str">
        <f>Commodities!C$11</f>
        <v>TM</v>
      </c>
      <c r="G19" s="1091">
        <v>1</v>
      </c>
      <c r="H19" s="1091">
        <v>2010</v>
      </c>
      <c r="I19" s="1091">
        <f>BA19+5</f>
        <v>24</v>
      </c>
      <c r="J19" s="1091"/>
      <c r="K19" s="1092">
        <f>Trucks!H120*TM!$L$7</f>
        <v>8.3040935672514624E-2</v>
      </c>
      <c r="L19" s="1092"/>
      <c r="M19" s="1092"/>
      <c r="N19" s="1092"/>
      <c r="O19" s="1092"/>
      <c r="P19" s="1092"/>
      <c r="Q19" s="1092"/>
      <c r="R19" s="1092"/>
      <c r="S19" s="1092"/>
      <c r="T19" s="1092"/>
      <c r="U19" s="1092"/>
      <c r="V19" s="1094"/>
      <c r="W19" s="1094"/>
      <c r="X19" s="1094"/>
      <c r="Y19" s="1094"/>
      <c r="Z19" s="1094"/>
      <c r="AA19" s="1094"/>
      <c r="AB19" s="1094"/>
      <c r="AC19" s="1094"/>
      <c r="AD19" s="1094"/>
      <c r="AE19" s="1094"/>
      <c r="AF19" s="1094">
        <f>Trucks!G120</f>
        <v>136.84258541258041</v>
      </c>
      <c r="AG19" s="1096">
        <f>TM!B41</f>
        <v>5.4115749602353748E-2</v>
      </c>
      <c r="AH19" s="1096">
        <f>TM!B40</f>
        <v>2.9361053989041135E-2</v>
      </c>
      <c r="AI19" s="1096">
        <f>TM!B42</f>
        <v>3.3616803002193787E-2</v>
      </c>
      <c r="AJ19" s="1096">
        <f>TM!B44</f>
        <v>9.9359810471697906E-3</v>
      </c>
      <c r="AK19" s="1096">
        <f>TM!B43</f>
        <v>4.7694786397487088E-2</v>
      </c>
      <c r="AL19" s="1096"/>
      <c r="AM19" s="1094">
        <v>1</v>
      </c>
      <c r="AO19" s="1094">
        <v>0</v>
      </c>
      <c r="AP19" s="1094">
        <v>0</v>
      </c>
      <c r="AQ19" s="1094">
        <v>0</v>
      </c>
      <c r="AR19" s="1094">
        <v>0</v>
      </c>
      <c r="AS19" s="1094">
        <v>0</v>
      </c>
      <c r="AT19" s="1094">
        <v>0</v>
      </c>
      <c r="AU19" s="1094">
        <v>0</v>
      </c>
      <c r="AV19" s="1094">
        <v>0</v>
      </c>
      <c r="AW19" s="1094">
        <v>0</v>
      </c>
      <c r="AX19" s="1094">
        <v>0</v>
      </c>
      <c r="BA19" s="1088">
        <f>Trucks!E120</f>
        <v>19</v>
      </c>
    </row>
    <row r="20" spans="1:53" ht="12" customHeight="1" x14ac:dyDescent="0.2">
      <c r="A20" s="1071" t="str">
        <f>Technologies!B112</f>
        <v>R2,R3,R4,R5,R6</v>
      </c>
      <c r="B20" s="1071" t="str">
        <f>Technologies!C112</f>
        <v>TMCNGE</v>
      </c>
      <c r="C20" s="1071" t="str">
        <f>Technologies!D112</f>
        <v>Medium Duty Truck, Existing CNG</v>
      </c>
      <c r="D20" s="1071" t="s">
        <v>480</v>
      </c>
      <c r="E20" s="1071" t="str">
        <f>Commodities!C57</f>
        <v>TMCNG</v>
      </c>
      <c r="F20" s="1071" t="str">
        <f>Commodities!C$11</f>
        <v>TM</v>
      </c>
      <c r="G20" s="1091">
        <v>1</v>
      </c>
      <c r="H20" s="1091">
        <v>2010</v>
      </c>
      <c r="I20" s="1091">
        <f>BA20+5</f>
        <v>24</v>
      </c>
      <c r="J20" s="1091"/>
      <c r="K20" s="1092">
        <f>Trucks!H122*TM!$L$7</f>
        <v>6.647053255679522E-2</v>
      </c>
      <c r="L20" s="1092"/>
      <c r="M20" s="1092"/>
      <c r="N20" s="1092"/>
      <c r="O20" s="1092"/>
      <c r="P20" s="1092"/>
      <c r="Q20" s="1092"/>
      <c r="R20" s="1092"/>
      <c r="S20" s="1092"/>
      <c r="T20" s="1092"/>
      <c r="U20" s="1092"/>
      <c r="V20" s="1094"/>
      <c r="W20" s="1094"/>
      <c r="X20" s="1094"/>
      <c r="Y20" s="1094"/>
      <c r="Z20" s="1094"/>
      <c r="AA20" s="1094"/>
      <c r="AB20" s="1094"/>
      <c r="AC20" s="1094"/>
      <c r="AD20" s="1094"/>
      <c r="AE20" s="1094"/>
      <c r="AF20" s="1094">
        <f>Trucks!G122</f>
        <v>248.80470075014617</v>
      </c>
      <c r="AG20" s="1096">
        <f>TM!B34</f>
        <v>2.7837838096037427E-4</v>
      </c>
      <c r="AH20" s="1096">
        <f>TM!B33</f>
        <v>1.510370406548689E-4</v>
      </c>
      <c r="AI20" s="1096">
        <f>TM!B35</f>
        <v>1.7292916131771599E-4</v>
      </c>
      <c r="AJ20" s="1096">
        <f>TM!B37</f>
        <v>5.1111965324116763E-5</v>
      </c>
      <c r="AK20" s="1096">
        <f>TM!B36</f>
        <v>2.4534811981992481E-4</v>
      </c>
      <c r="AL20" s="1096"/>
      <c r="AM20" s="1094">
        <v>1</v>
      </c>
      <c r="AO20" s="1094">
        <v>0</v>
      </c>
      <c r="AP20" s="1094">
        <v>0</v>
      </c>
      <c r="AQ20" s="1094">
        <v>0</v>
      </c>
      <c r="AR20" s="1094">
        <v>0</v>
      </c>
      <c r="AS20" s="1094">
        <v>0</v>
      </c>
      <c r="AT20" s="1094">
        <v>0</v>
      </c>
      <c r="AU20" s="1094">
        <v>0</v>
      </c>
      <c r="AV20" s="1094">
        <v>0</v>
      </c>
      <c r="AW20" s="1094">
        <v>0</v>
      </c>
      <c r="AX20" s="1094">
        <v>0</v>
      </c>
      <c r="BA20" s="1088">
        <f>Trucks!E122</f>
        <v>19</v>
      </c>
    </row>
    <row r="21" spans="1:53" ht="12" customHeight="1" x14ac:dyDescent="0.2">
      <c r="A21" s="1071" t="s">
        <v>115</v>
      </c>
      <c r="B21" s="1071" t="str">
        <f>Technologies!C113</f>
        <v>TMLPGE</v>
      </c>
      <c r="C21" s="1071" t="str">
        <f>Technologies!D113</f>
        <v>Medium Duty Truck, Existing LPG</v>
      </c>
      <c r="D21" s="1071" t="s">
        <v>480</v>
      </c>
      <c r="E21" s="1071" t="str">
        <f>Commodities!C29</f>
        <v>TRNLPG1</v>
      </c>
      <c r="F21" s="1071" t="str">
        <f>Commodities!C$11</f>
        <v>TM</v>
      </c>
      <c r="G21" s="1091">
        <v>1</v>
      </c>
      <c r="H21" s="1091">
        <v>2010</v>
      </c>
      <c r="I21" s="1091">
        <f>BA21+5</f>
        <v>24</v>
      </c>
      <c r="J21" s="1091"/>
      <c r="K21" s="1092">
        <f>Trucks!H121</f>
        <v>5.3551660595109893E-2</v>
      </c>
      <c r="L21" s="1092"/>
      <c r="M21" s="1092"/>
      <c r="N21" s="1092"/>
      <c r="O21" s="1092"/>
      <c r="P21" s="1092"/>
      <c r="Q21" s="1092"/>
      <c r="R21" s="1092"/>
      <c r="S21" s="1092"/>
      <c r="T21" s="1092"/>
      <c r="U21" s="1092"/>
      <c r="V21" s="1094"/>
      <c r="W21" s="1094"/>
      <c r="X21" s="1094"/>
      <c r="Y21" s="1094"/>
      <c r="Z21" s="1094"/>
      <c r="AA21" s="1094"/>
      <c r="AB21" s="1094"/>
      <c r="AC21" s="1094"/>
      <c r="AD21" s="1094"/>
      <c r="AE21" s="1094"/>
      <c r="AF21" s="1094">
        <f>Trucks!G121</f>
        <v>248.80470075014617</v>
      </c>
      <c r="AG21" s="1093"/>
      <c r="AH21" s="1093"/>
      <c r="AI21" s="1093"/>
      <c r="AJ21" s="1093"/>
      <c r="AK21" s="1093"/>
      <c r="AL21" s="1093"/>
      <c r="AM21" s="1094">
        <v>1</v>
      </c>
      <c r="AO21" s="1094">
        <v>0</v>
      </c>
      <c r="AP21" s="1094">
        <v>0</v>
      </c>
      <c r="AQ21" s="1094">
        <v>0</v>
      </c>
      <c r="AR21" s="1094">
        <v>0</v>
      </c>
      <c r="AS21" s="1094">
        <v>0</v>
      </c>
      <c r="AT21" s="1094">
        <v>0</v>
      </c>
      <c r="AU21" s="1094">
        <v>0</v>
      </c>
      <c r="AV21" s="1094">
        <v>0</v>
      </c>
      <c r="AW21" s="1094">
        <v>0</v>
      </c>
      <c r="AX21" s="1094">
        <v>0</v>
      </c>
      <c r="BA21" s="1088">
        <f>Trucks!E121</f>
        <v>19</v>
      </c>
    </row>
    <row r="22" spans="1:53" ht="12" customHeight="1" x14ac:dyDescent="0.2">
      <c r="A22" s="1098" t="s">
        <v>484</v>
      </c>
      <c r="B22" s="1073"/>
      <c r="C22" s="1073"/>
      <c r="D22" s="1073"/>
      <c r="E22" s="1073"/>
      <c r="F22" s="1073"/>
      <c r="G22" s="1099"/>
      <c r="H22" s="1100"/>
      <c r="I22" s="1100"/>
      <c r="J22" s="1100"/>
      <c r="K22" s="1100"/>
      <c r="L22" s="1100"/>
      <c r="M22" s="1100"/>
      <c r="N22" s="1100"/>
      <c r="O22" s="1100"/>
      <c r="P22" s="1100"/>
      <c r="Q22" s="1100"/>
      <c r="R22" s="1100"/>
      <c r="S22" s="1100"/>
      <c r="T22" s="1100"/>
      <c r="U22" s="1100"/>
      <c r="V22" s="1100"/>
      <c r="W22" s="1100"/>
      <c r="X22" s="1100"/>
      <c r="Y22" s="1100"/>
      <c r="Z22" s="1100"/>
      <c r="AA22" s="1100"/>
      <c r="AB22" s="1100"/>
      <c r="AC22" s="1100"/>
      <c r="AD22" s="1100"/>
      <c r="AE22" s="1100"/>
      <c r="AF22" s="1100"/>
      <c r="AG22" s="1100"/>
      <c r="AH22" s="1100"/>
      <c r="AI22" s="1100"/>
      <c r="AJ22" s="1100"/>
      <c r="AK22" s="1100"/>
      <c r="AL22" s="1100"/>
      <c r="AM22" s="1100"/>
      <c r="AO22" s="1101"/>
      <c r="AP22" s="1101"/>
      <c r="AQ22" s="1101"/>
      <c r="AR22" s="1101"/>
      <c r="AS22" s="1101"/>
      <c r="AT22" s="1101"/>
      <c r="AU22" s="1101"/>
      <c r="AV22" s="1101"/>
      <c r="AW22" s="1101"/>
      <c r="AX22" s="1101"/>
      <c r="BA22" s="1088"/>
    </row>
    <row r="23" spans="1:53" ht="12" customHeight="1" x14ac:dyDescent="0.2">
      <c r="A23" s="1071" t="str">
        <f>Technologies!B136</f>
        <v>R2,R3,R4,R5,R6</v>
      </c>
      <c r="B23" s="1071" t="str">
        <f>Technologies!C136</f>
        <v>THSGSLE</v>
      </c>
      <c r="C23" s="1071" t="str">
        <f>Technologies!D136</f>
        <v>Heavy Truck, Short Haul, Gasoline exisiting</v>
      </c>
      <c r="D23" s="1071" t="s">
        <v>480</v>
      </c>
      <c r="E23" s="1071" t="str">
        <f>Commodities!C47</f>
        <v>THGSL</v>
      </c>
      <c r="F23" s="1071" t="str">
        <f>Commodities!C$12</f>
        <v>THS</v>
      </c>
      <c r="G23" s="1091">
        <v>1</v>
      </c>
      <c r="H23" s="1094">
        <v>2010</v>
      </c>
      <c r="I23" s="1091">
        <f>BA23+5</f>
        <v>24</v>
      </c>
      <c r="J23" s="1091"/>
      <c r="K23" s="1092">
        <f>Trucks!H162</f>
        <v>2.9418718190266393E-2</v>
      </c>
      <c r="L23" s="1092"/>
      <c r="M23" s="1092"/>
      <c r="N23" s="1092"/>
      <c r="O23" s="1092"/>
      <c r="P23" s="1092"/>
      <c r="Q23" s="1092"/>
      <c r="R23" s="1092"/>
      <c r="S23" s="1092"/>
      <c r="T23" s="1092"/>
      <c r="U23" s="1092"/>
      <c r="V23" s="1091"/>
      <c r="W23" s="1094"/>
      <c r="X23" s="1094"/>
      <c r="Y23" s="1094"/>
      <c r="Z23" s="1094"/>
      <c r="AA23" s="1094"/>
      <c r="AB23" s="1094"/>
      <c r="AC23" s="1094"/>
      <c r="AD23" s="1094"/>
      <c r="AE23" s="1094"/>
      <c r="AF23" s="1094">
        <f>Trucks!G162</f>
        <v>301.42015264225682</v>
      </c>
      <c r="AG23" s="1127">
        <v>0</v>
      </c>
      <c r="AH23" s="1127">
        <v>0</v>
      </c>
      <c r="AI23" s="1127">
        <v>0</v>
      </c>
      <c r="AJ23" s="1127">
        <v>0</v>
      </c>
      <c r="AK23" s="1127">
        <v>0</v>
      </c>
      <c r="AL23" s="1093"/>
      <c r="AM23" s="1094">
        <v>1</v>
      </c>
      <c r="AO23" s="1094">
        <v>0</v>
      </c>
      <c r="AP23" s="1094">
        <v>0</v>
      </c>
      <c r="AQ23" s="1094">
        <v>0</v>
      </c>
      <c r="AR23" s="1094">
        <v>0</v>
      </c>
      <c r="AS23" s="1094">
        <v>0</v>
      </c>
      <c r="AT23" s="1094">
        <v>0</v>
      </c>
      <c r="AU23" s="1094">
        <v>0</v>
      </c>
      <c r="AV23" s="1094">
        <v>0</v>
      </c>
      <c r="AW23" s="1094">
        <v>0</v>
      </c>
      <c r="AX23" s="1094">
        <v>0</v>
      </c>
      <c r="BA23" s="1088">
        <f>Trucks!E162</f>
        <v>19</v>
      </c>
    </row>
    <row r="24" spans="1:53" ht="12" customHeight="1" x14ac:dyDescent="0.2">
      <c r="A24" s="1071" t="str">
        <f>Technologies!B137</f>
        <v>R2,R3,R4,R5,R6</v>
      </c>
      <c r="B24" s="1071" t="str">
        <f>Technologies!C137</f>
        <v>THSDSLE</v>
      </c>
      <c r="C24" s="1071" t="str">
        <f>Technologies!D137</f>
        <v>Heavy Truck, Short Haul, Diesel exisiting</v>
      </c>
      <c r="D24" s="1071" t="s">
        <v>480</v>
      </c>
      <c r="E24" s="1071" t="str">
        <f>Commodities!$C$44</f>
        <v>THDSL</v>
      </c>
      <c r="F24" s="1071" t="str">
        <f>Commodities!C$12</f>
        <v>THS</v>
      </c>
      <c r="G24" s="1091">
        <v>1</v>
      </c>
      <c r="H24" s="1094">
        <v>2010</v>
      </c>
      <c r="I24" s="1091">
        <f>BA24+5</f>
        <v>24</v>
      </c>
      <c r="J24" s="1091"/>
      <c r="K24" s="1092">
        <f>THS!G5</f>
        <v>3.038743284803256E-2</v>
      </c>
      <c r="L24" s="1092"/>
      <c r="M24" s="1092"/>
      <c r="N24" s="1092"/>
      <c r="O24" s="1092"/>
      <c r="P24" s="1092"/>
      <c r="Q24" s="1092"/>
      <c r="R24" s="1092"/>
      <c r="S24" s="1092"/>
      <c r="T24" s="1092"/>
      <c r="U24" s="1092"/>
      <c r="V24" s="1091"/>
      <c r="W24" s="1094"/>
      <c r="X24" s="1094"/>
      <c r="Y24" s="1094"/>
      <c r="Z24" s="1094"/>
      <c r="AA24" s="1094"/>
      <c r="AB24" s="1094"/>
      <c r="AC24" s="1094"/>
      <c r="AD24" s="1094"/>
      <c r="AE24" s="1094"/>
      <c r="AF24" s="1094">
        <f>Trucks!G163</f>
        <v>165.78108395324125</v>
      </c>
      <c r="AG24" s="1092">
        <f>THS!B23</f>
        <v>0.19945283536028208</v>
      </c>
      <c r="AH24" s="1092">
        <f>THS!B22</f>
        <v>0.1082151778421612</v>
      </c>
      <c r="AI24" s="1092">
        <f>THS!B24</f>
        <v>0.12390046749429048</v>
      </c>
      <c r="AJ24" s="1092">
        <f>THS!B26</f>
        <v>3.662075470646059E-2</v>
      </c>
      <c r="AK24" s="1092">
        <f>THS!B25</f>
        <v>0.17578727909680572</v>
      </c>
      <c r="AL24" s="1092"/>
      <c r="AM24" s="1094">
        <v>1</v>
      </c>
      <c r="AO24" s="1094"/>
      <c r="AP24" s="1094">
        <v>0</v>
      </c>
      <c r="AQ24" s="1094">
        <v>0</v>
      </c>
      <c r="AR24" s="1094">
        <v>0</v>
      </c>
      <c r="AS24" s="1094">
        <v>0</v>
      </c>
      <c r="AT24" s="1094">
        <v>0</v>
      </c>
      <c r="AU24" s="1094">
        <v>0</v>
      </c>
      <c r="AV24" s="1094">
        <v>0</v>
      </c>
      <c r="AW24" s="1094">
        <v>0</v>
      </c>
      <c r="AX24" s="1094">
        <v>0</v>
      </c>
      <c r="BA24" s="1088">
        <f>Trucks!E163</f>
        <v>19</v>
      </c>
    </row>
    <row r="25" spans="1:53" ht="12" customHeight="1" x14ac:dyDescent="0.2">
      <c r="A25" s="1071" t="s">
        <v>115</v>
      </c>
      <c r="B25" s="1071" t="str">
        <f>Technologies!C138</f>
        <v>THSDSLE2</v>
      </c>
      <c r="C25" s="1071" t="str">
        <f>Technologies!D138</f>
        <v>Heavy Truck, Short Haul, Diesel exisiting MSW</v>
      </c>
      <c r="D25" s="1071" t="s">
        <v>480</v>
      </c>
      <c r="E25" s="1071" t="str">
        <f>Commodities!$C$46</f>
        <v>TWDSL</v>
      </c>
      <c r="F25" s="1071" t="str">
        <f>Commodities!$C$16</f>
        <v>TSW</v>
      </c>
      <c r="G25" s="1091">
        <v>1</v>
      </c>
      <c r="H25" s="1094">
        <v>2010</v>
      </c>
      <c r="I25" s="1091">
        <v>24</v>
      </c>
      <c r="J25" s="1091"/>
      <c r="K25" s="1092">
        <v>3.9439301070208731E-2</v>
      </c>
      <c r="L25" s="1092"/>
      <c r="M25" s="1092"/>
      <c r="N25" s="1092"/>
      <c r="O25" s="1092"/>
      <c r="P25" s="1092"/>
      <c r="Q25" s="1092"/>
      <c r="R25" s="1092"/>
      <c r="S25" s="1092"/>
      <c r="T25" s="1092"/>
      <c r="U25" s="1092"/>
      <c r="V25" s="1091"/>
      <c r="W25" s="1094"/>
      <c r="X25" s="1094"/>
      <c r="Y25" s="1094"/>
      <c r="Z25" s="1094"/>
      <c r="AA25" s="1094"/>
      <c r="AB25" s="1094"/>
      <c r="AC25" s="1094"/>
      <c r="AD25" s="1094"/>
      <c r="AE25" s="1094"/>
      <c r="AF25" s="1094">
        <v>165.78108395324125</v>
      </c>
      <c r="AG25" s="1092">
        <f>TSW!C62</f>
        <v>1.3386394102397626E-2</v>
      </c>
      <c r="AH25" s="1092">
        <f>TSW!C61</f>
        <v>7.0042361553582519E-3</v>
      </c>
      <c r="AI25" s="1092">
        <f>TSW!C63</f>
        <v>8.6552156844737667E-3</v>
      </c>
      <c r="AJ25" s="1092">
        <f>TSW!C65</f>
        <v>2.2050744818645162E-3</v>
      </c>
      <c r="AK25" s="1092">
        <f>TSW!C64</f>
        <v>1.1355356522052331E-2</v>
      </c>
      <c r="AL25" s="1092"/>
      <c r="AM25" s="1094">
        <v>1</v>
      </c>
      <c r="AO25" s="1094"/>
      <c r="AP25" s="1094"/>
      <c r="AQ25" s="1094"/>
      <c r="AR25" s="1094"/>
      <c r="AS25" s="1094"/>
      <c r="AT25" s="1094"/>
      <c r="AU25" s="1094"/>
      <c r="AV25" s="1094"/>
      <c r="AW25" s="1094"/>
      <c r="AX25" s="1094"/>
      <c r="BA25" s="1088">
        <v>19</v>
      </c>
    </row>
    <row r="26" spans="1:53" ht="12" customHeight="1" x14ac:dyDescent="0.2">
      <c r="A26" s="1071" t="s">
        <v>115</v>
      </c>
      <c r="B26" s="1071" t="str">
        <f>Technologies!C140</f>
        <v>THSCNGE2</v>
      </c>
      <c r="C26" s="1071" t="str">
        <f>Technologies!D140</f>
        <v>Heavy Truck, Short Haul, CNG exisiting MSW</v>
      </c>
      <c r="D26" s="1071" t="s">
        <v>480</v>
      </c>
      <c r="E26" s="1071" t="str">
        <f>Commodities!$C$46</f>
        <v>TWDSL</v>
      </c>
      <c r="F26" s="1071" t="str">
        <f>Commodities!$C$16</f>
        <v>TSW</v>
      </c>
      <c r="G26" s="1091">
        <v>1</v>
      </c>
      <c r="H26" s="1094">
        <v>2010</v>
      </c>
      <c r="I26" s="1091">
        <v>24</v>
      </c>
      <c r="J26" s="1091"/>
      <c r="K26" s="1092">
        <v>3.9547347278937377E-2</v>
      </c>
      <c r="L26" s="1092"/>
      <c r="M26" s="1092"/>
      <c r="N26" s="1092"/>
      <c r="O26" s="1092"/>
      <c r="P26" s="1092"/>
      <c r="Q26" s="1092"/>
      <c r="R26" s="1092"/>
      <c r="S26" s="1092"/>
      <c r="T26" s="1092"/>
      <c r="U26" s="1092"/>
      <c r="V26" s="1091"/>
      <c r="W26" s="1094"/>
      <c r="X26" s="1094"/>
      <c r="Y26" s="1094"/>
      <c r="Z26" s="1094"/>
      <c r="AA26" s="1094"/>
      <c r="AB26" s="1094"/>
      <c r="AC26" s="1094"/>
      <c r="AD26" s="1094"/>
      <c r="AE26" s="1094"/>
      <c r="AF26" s="1094">
        <v>248.80470075014617</v>
      </c>
      <c r="AG26" s="1093"/>
      <c r="AH26" s="1093"/>
      <c r="AI26" s="1093"/>
      <c r="AJ26" s="1093"/>
      <c r="AK26" s="1093"/>
      <c r="AL26" s="1093"/>
      <c r="AM26" s="1094">
        <v>1</v>
      </c>
      <c r="AO26" s="1094">
        <v>0</v>
      </c>
      <c r="AP26" s="1094">
        <v>0</v>
      </c>
      <c r="AQ26" s="1094">
        <v>0</v>
      </c>
      <c r="AR26" s="1094">
        <v>0</v>
      </c>
      <c r="AS26" s="1094">
        <v>0</v>
      </c>
      <c r="AT26" s="1094">
        <v>0</v>
      </c>
      <c r="AU26" s="1094">
        <v>0</v>
      </c>
      <c r="AV26" s="1094">
        <v>0</v>
      </c>
      <c r="AW26" s="1094">
        <v>0</v>
      </c>
      <c r="AX26" s="1094">
        <v>0</v>
      </c>
      <c r="BA26" s="1088">
        <v>19</v>
      </c>
    </row>
    <row r="27" spans="1:53" ht="12" customHeight="1" x14ac:dyDescent="0.2">
      <c r="A27" s="1098" t="s">
        <v>485</v>
      </c>
      <c r="B27" s="1073"/>
      <c r="C27" s="1073"/>
      <c r="D27" s="1073"/>
      <c r="E27" s="1073"/>
      <c r="F27" s="1073"/>
      <c r="G27" s="1099"/>
      <c r="H27" s="1100"/>
      <c r="I27" s="1100"/>
      <c r="J27" s="1100"/>
      <c r="K27" s="1100"/>
      <c r="L27" s="1100"/>
      <c r="M27" s="1100"/>
      <c r="N27" s="1100"/>
      <c r="O27" s="1100"/>
      <c r="P27" s="1100"/>
      <c r="Q27" s="1100"/>
      <c r="R27" s="1100"/>
      <c r="S27" s="1100"/>
      <c r="T27" s="1100"/>
      <c r="U27" s="1100"/>
      <c r="V27" s="1100"/>
      <c r="W27" s="1100"/>
      <c r="X27" s="1100"/>
      <c r="Y27" s="1100"/>
      <c r="Z27" s="1100"/>
      <c r="AA27" s="1100"/>
      <c r="AB27" s="1100"/>
      <c r="AC27" s="1100"/>
      <c r="AD27" s="1100"/>
      <c r="AE27" s="1100"/>
      <c r="AF27" s="1100"/>
      <c r="AG27" s="1100"/>
      <c r="AH27" s="1100"/>
      <c r="AI27" s="1100"/>
      <c r="AJ27" s="1100"/>
      <c r="AK27" s="1100"/>
      <c r="AL27" s="1100"/>
      <c r="AM27" s="1100"/>
      <c r="AO27" s="1101"/>
      <c r="AP27" s="1101"/>
      <c r="AQ27" s="1101"/>
      <c r="AR27" s="1101"/>
      <c r="AS27" s="1101"/>
      <c r="AT27" s="1101"/>
      <c r="AU27" s="1101"/>
      <c r="AV27" s="1101"/>
      <c r="AW27" s="1101"/>
      <c r="AX27" s="1101"/>
    </row>
    <row r="28" spans="1:53" ht="12" customHeight="1" x14ac:dyDescent="0.2">
      <c r="A28" s="1071" t="str">
        <f>Technologies!B191</f>
        <v>R2,R3,R4,R5,R6</v>
      </c>
      <c r="B28" s="1071" t="str">
        <f>Technologies!C191</f>
        <v>TPDSLCR</v>
      </c>
      <c r="C28" s="1071" t="str">
        <f>Technologies!D191</f>
        <v>Commuter Rail, Diesel</v>
      </c>
      <c r="D28" s="1071" t="s">
        <v>478</v>
      </c>
      <c r="E28" s="1071" t="s">
        <v>13</v>
      </c>
      <c r="F28" s="1071" t="s">
        <v>110</v>
      </c>
      <c r="G28" s="1091">
        <v>1</v>
      </c>
      <c r="H28" s="1091">
        <v>2010</v>
      </c>
      <c r="I28" s="1091">
        <v>20</v>
      </c>
      <c r="J28" s="1091"/>
      <c r="K28" s="1091"/>
      <c r="L28" s="1096">
        <f>'Rail&amp;Bus2'!H61</f>
        <v>0.63495881767725038</v>
      </c>
      <c r="M28" s="1096">
        <f>L28</f>
        <v>0.63495881767725038</v>
      </c>
      <c r="N28" s="1096">
        <f>L28</f>
        <v>0.63495881767725038</v>
      </c>
      <c r="O28" s="1096">
        <f t="shared" ref="O28:U29" si="1">N28</f>
        <v>0.63495881767725038</v>
      </c>
      <c r="P28" s="1096">
        <f t="shared" si="1"/>
        <v>0.63495881767725038</v>
      </c>
      <c r="Q28" s="1096">
        <f t="shared" si="1"/>
        <v>0.63495881767725038</v>
      </c>
      <c r="R28" s="1096">
        <f t="shared" si="1"/>
        <v>0.63495881767725038</v>
      </c>
      <c r="S28" s="1096">
        <f t="shared" si="1"/>
        <v>0.63495881767725038</v>
      </c>
      <c r="T28" s="1096">
        <f t="shared" si="1"/>
        <v>0.63495881767725038</v>
      </c>
      <c r="U28" s="1096">
        <f t="shared" si="1"/>
        <v>0.63495881767725038</v>
      </c>
      <c r="V28" s="1091">
        <f>'Rail&amp;Bus2'!F61</f>
        <v>1284.7941201945534</v>
      </c>
      <c r="W28" s="1091">
        <f t="shared" ref="W28:AE28" si="2">V28</f>
        <v>1284.7941201945534</v>
      </c>
      <c r="X28" s="1091">
        <f t="shared" si="2"/>
        <v>1284.7941201945534</v>
      </c>
      <c r="Y28" s="1091">
        <f t="shared" si="2"/>
        <v>1284.7941201945534</v>
      </c>
      <c r="Z28" s="1091">
        <f t="shared" si="2"/>
        <v>1284.7941201945534</v>
      </c>
      <c r="AA28" s="1091">
        <f t="shared" si="2"/>
        <v>1284.7941201945534</v>
      </c>
      <c r="AB28" s="1091">
        <f t="shared" si="2"/>
        <v>1284.7941201945534</v>
      </c>
      <c r="AC28" s="1091">
        <f t="shared" si="2"/>
        <v>1284.7941201945534</v>
      </c>
      <c r="AD28" s="1091">
        <f t="shared" si="2"/>
        <v>1284.7941201945534</v>
      </c>
      <c r="AE28" s="1091">
        <f t="shared" si="2"/>
        <v>1284.7941201945534</v>
      </c>
      <c r="AF28" s="1091">
        <f>'Rail&amp;Bus2'!G61</f>
        <v>128.47941201945534</v>
      </c>
      <c r="AG28" s="1091">
        <f>TRP!C31</f>
        <v>3.8496365877428072E-2</v>
      </c>
      <c r="AH28" s="1091">
        <f>TRP!C30</f>
        <v>2.0886597436319813E-2</v>
      </c>
      <c r="AI28" s="1091">
        <f>TRP!C32</f>
        <v>2.3914013157189773E-2</v>
      </c>
      <c r="AJ28" s="1091">
        <f>TRP!C34</f>
        <v>7.0681671150019968E-3</v>
      </c>
      <c r="AK28" s="1091">
        <f>TRP!C33</f>
        <v>3.3928679933199757E-2</v>
      </c>
      <c r="AL28" s="1091"/>
      <c r="AM28" s="1091">
        <v>1</v>
      </c>
      <c r="AO28" s="1094">
        <v>0</v>
      </c>
      <c r="AP28" s="1094"/>
      <c r="AQ28" s="1094"/>
      <c r="AR28" s="1094"/>
      <c r="AS28" s="1094"/>
      <c r="AT28" s="1094"/>
      <c r="AU28" s="1094"/>
      <c r="AV28" s="1094"/>
      <c r="AW28" s="1094"/>
      <c r="AX28" s="1094"/>
      <c r="BA28" s="1084">
        <v>20</v>
      </c>
    </row>
    <row r="29" spans="1:53" ht="12" customHeight="1" x14ac:dyDescent="0.2">
      <c r="A29" s="1071" t="str">
        <f>Technologies!B193</f>
        <v>R2,R3,R4,R5,R6</v>
      </c>
      <c r="B29" s="1071" t="str">
        <f>Technologies!C193</f>
        <v>TPELCSUB</v>
      </c>
      <c r="C29" s="1071" t="str">
        <f>Technologies!D193</f>
        <v>Subways and Streetcars, Electricity</v>
      </c>
      <c r="D29" s="1071" t="s">
        <v>478</v>
      </c>
      <c r="E29" s="1071" t="s">
        <v>9</v>
      </c>
      <c r="F29" s="1071" t="s">
        <v>110</v>
      </c>
      <c r="G29" s="1091">
        <v>1</v>
      </c>
      <c r="H29" s="1091">
        <v>2010</v>
      </c>
      <c r="I29" s="1091">
        <v>20</v>
      </c>
      <c r="J29" s="1091"/>
      <c r="K29" s="1091"/>
      <c r="L29" s="1096">
        <f>'Rail&amp;Bus2'!H59</f>
        <v>1.147236643778262</v>
      </c>
      <c r="M29" s="1096">
        <f>L29</f>
        <v>1.147236643778262</v>
      </c>
      <c r="N29" s="1096">
        <f>M29</f>
        <v>1.147236643778262</v>
      </c>
      <c r="O29" s="1096">
        <f t="shared" si="1"/>
        <v>1.147236643778262</v>
      </c>
      <c r="P29" s="1096">
        <f t="shared" si="1"/>
        <v>1.147236643778262</v>
      </c>
      <c r="Q29" s="1096">
        <f t="shared" si="1"/>
        <v>1.147236643778262</v>
      </c>
      <c r="R29" s="1096">
        <f t="shared" si="1"/>
        <v>1.147236643778262</v>
      </c>
      <c r="S29" s="1096">
        <f t="shared" si="1"/>
        <v>1.147236643778262</v>
      </c>
      <c r="T29" s="1096">
        <f t="shared" si="1"/>
        <v>1.147236643778262</v>
      </c>
      <c r="U29" s="1096">
        <f t="shared" si="1"/>
        <v>1.147236643778262</v>
      </c>
      <c r="V29" s="1091">
        <f>'Rail&amp;Bus2'!F59</f>
        <v>216.10599999999999</v>
      </c>
      <c r="W29" s="1091">
        <f t="shared" ref="W29:AE29" si="3">V29</f>
        <v>216.10599999999999</v>
      </c>
      <c r="X29" s="1091">
        <f t="shared" si="3"/>
        <v>216.10599999999999</v>
      </c>
      <c r="Y29" s="1091">
        <f t="shared" si="3"/>
        <v>216.10599999999999</v>
      </c>
      <c r="Z29" s="1091">
        <f t="shared" si="3"/>
        <v>216.10599999999999</v>
      </c>
      <c r="AA29" s="1091">
        <f t="shared" si="3"/>
        <v>216.10599999999999</v>
      </c>
      <c r="AB29" s="1091">
        <f t="shared" si="3"/>
        <v>216.10599999999999</v>
      </c>
      <c r="AC29" s="1091">
        <f t="shared" si="3"/>
        <v>216.10599999999999</v>
      </c>
      <c r="AD29" s="1091">
        <f t="shared" si="3"/>
        <v>216.10599999999999</v>
      </c>
      <c r="AE29" s="1091">
        <f t="shared" si="3"/>
        <v>216.10599999999999</v>
      </c>
      <c r="AF29" s="1091">
        <f>'Rail&amp;Bus2'!G59</f>
        <v>10.805</v>
      </c>
      <c r="AG29" s="1091">
        <f>TRP!C39</f>
        <v>2.838331887562874</v>
      </c>
      <c r="AH29" s="1091">
        <f>TRP!C38</f>
        <v>1.5399660247139197</v>
      </c>
      <c r="AI29" s="1091">
        <f>TRP!C40</f>
        <v>1.7631769793482805</v>
      </c>
      <c r="AJ29" s="1091">
        <f>TRP!C42</f>
        <v>0.52113501240636517</v>
      </c>
      <c r="AK29" s="1091">
        <f>TRP!C41</f>
        <v>2.5015570161592948</v>
      </c>
      <c r="AL29" s="1091"/>
      <c r="AM29" s="1091">
        <v>1</v>
      </c>
      <c r="AO29" s="1094">
        <v>0</v>
      </c>
      <c r="AP29" s="1094"/>
      <c r="AQ29" s="1094"/>
      <c r="AR29" s="1094"/>
      <c r="AS29" s="1094"/>
      <c r="AT29" s="1094"/>
      <c r="AU29" s="1094"/>
      <c r="AV29" s="1094"/>
      <c r="AW29" s="1094"/>
      <c r="AX29" s="1094"/>
      <c r="BA29" s="1084">
        <v>20</v>
      </c>
    </row>
    <row r="30" spans="1:53" ht="12" customHeight="1" x14ac:dyDescent="0.2">
      <c r="A30" s="1098" t="s">
        <v>486</v>
      </c>
      <c r="B30" s="1073"/>
      <c r="C30" s="1073"/>
      <c r="D30" s="1073"/>
      <c r="E30" s="1073"/>
      <c r="F30" s="1073"/>
      <c r="G30" s="1099"/>
      <c r="H30" s="1100"/>
      <c r="I30" s="1100"/>
      <c r="J30" s="1100"/>
      <c r="K30" s="1100"/>
      <c r="L30" s="1100"/>
      <c r="M30" s="1100"/>
      <c r="N30" s="1100"/>
      <c r="O30" s="1100"/>
      <c r="P30" s="1100"/>
      <c r="Q30" s="1100"/>
      <c r="R30" s="1100"/>
      <c r="S30" s="1100"/>
      <c r="T30" s="1100"/>
      <c r="U30" s="1100"/>
      <c r="V30" s="1100"/>
      <c r="W30" s="1100"/>
      <c r="X30" s="1100"/>
      <c r="Y30" s="1100"/>
      <c r="Z30" s="1100"/>
      <c r="AA30" s="1100"/>
      <c r="AB30" s="1100"/>
      <c r="AC30" s="1100"/>
      <c r="AD30" s="1100"/>
      <c r="AE30" s="1100"/>
      <c r="AF30" s="1100"/>
      <c r="AG30" s="1100"/>
      <c r="AH30" s="1100"/>
      <c r="AI30" s="1100"/>
      <c r="AJ30" s="1100"/>
      <c r="AK30" s="1100"/>
      <c r="AL30" s="1100"/>
      <c r="AM30" s="1100"/>
      <c r="AO30" s="1101"/>
      <c r="AP30" s="1101"/>
      <c r="AQ30" s="1101"/>
      <c r="AR30" s="1101"/>
      <c r="AS30" s="1101"/>
      <c r="AT30" s="1101"/>
      <c r="AU30" s="1101"/>
      <c r="AV30" s="1101"/>
      <c r="AW30" s="1101"/>
      <c r="AX30" s="1101"/>
    </row>
    <row r="31" spans="1:53" ht="12" customHeight="1" x14ac:dyDescent="0.2">
      <c r="A31" s="1071" t="s">
        <v>115</v>
      </c>
      <c r="B31" s="1071" t="str">
        <f>Technologies!C195</f>
        <v>TRFDSLE</v>
      </c>
      <c r="C31" s="1071" t="str">
        <f>Technologies!D195</f>
        <v>Rail Freight, Diesel Existing</v>
      </c>
      <c r="D31" s="1071" t="s">
        <v>487</v>
      </c>
      <c r="E31" s="1071" t="s">
        <v>13</v>
      </c>
      <c r="F31" s="1071" t="s">
        <v>106</v>
      </c>
      <c r="G31" s="1091">
        <v>1</v>
      </c>
      <c r="H31" s="1091">
        <v>2010</v>
      </c>
      <c r="I31" s="1091">
        <v>30</v>
      </c>
      <c r="J31" s="1091"/>
      <c r="K31" s="1092">
        <f>Freight!H5</f>
        <v>2.7635668727577114</v>
      </c>
      <c r="L31" s="1091"/>
      <c r="M31" s="1091"/>
      <c r="N31" s="1091"/>
      <c r="O31" s="1091"/>
      <c r="P31" s="1091"/>
      <c r="Q31" s="1091"/>
      <c r="R31" s="1091"/>
      <c r="S31" s="1091"/>
      <c r="T31" s="1091"/>
      <c r="U31" s="1091"/>
      <c r="V31" s="1091"/>
      <c r="W31" s="1091"/>
      <c r="X31" s="1091"/>
      <c r="Y31" s="1091"/>
      <c r="Z31" s="1091"/>
      <c r="AA31" s="1091"/>
      <c r="AB31" s="1091"/>
      <c r="AC31" s="1091"/>
      <c r="AD31" s="1091"/>
      <c r="AE31" s="1091"/>
      <c r="AF31" s="1092">
        <f>Freight!G5</f>
        <v>1.43057919042252</v>
      </c>
      <c r="AG31" s="1091"/>
      <c r="AH31" s="1091"/>
      <c r="AI31" s="1091"/>
      <c r="AJ31" s="1091"/>
      <c r="AK31" s="1091"/>
      <c r="AL31" s="1091"/>
      <c r="AM31" s="1091">
        <v>1</v>
      </c>
      <c r="AO31" s="1094"/>
      <c r="AP31" s="1094"/>
      <c r="AQ31" s="1094"/>
      <c r="AR31" s="1094"/>
      <c r="AS31" s="1094"/>
      <c r="AT31" s="1094"/>
      <c r="AU31" s="1094"/>
      <c r="AV31" s="1094"/>
      <c r="AW31" s="1094"/>
      <c r="AX31" s="1094"/>
      <c r="BA31" s="1084">
        <f>Freight!E5</f>
        <v>30</v>
      </c>
    </row>
    <row r="32" spans="1:53" ht="12" customHeight="1" x14ac:dyDescent="0.2">
      <c r="A32" s="1071" t="s">
        <v>115</v>
      </c>
      <c r="B32" s="1071" t="str">
        <f>Technologies!C196</f>
        <v>TRFDSLE2</v>
      </c>
      <c r="C32" s="1071" t="str">
        <f>Technologies!D196</f>
        <v>Rail Freight, Diesel Existing-MSW</v>
      </c>
      <c r="D32" s="1071" t="s">
        <v>480</v>
      </c>
      <c r="E32" s="1071" t="str">
        <f>Commodities!$C$46</f>
        <v>TWDSL</v>
      </c>
      <c r="F32" s="1071" t="str">
        <f>Commodities!$C$16</f>
        <v>TSW</v>
      </c>
      <c r="G32" s="1071">
        <f>G31</f>
        <v>1</v>
      </c>
      <c r="H32" s="1071">
        <f>H31</f>
        <v>2010</v>
      </c>
      <c r="I32" s="1071">
        <f>I31</f>
        <v>30</v>
      </c>
      <c r="J32" s="1071"/>
      <c r="K32" s="1071">
        <f>K31</f>
        <v>2.7635668727577114</v>
      </c>
      <c r="L32" s="1071"/>
      <c r="M32" s="1071"/>
      <c r="N32" s="1071"/>
      <c r="O32" s="1071"/>
      <c r="P32" s="1071"/>
      <c r="Q32" s="1071"/>
      <c r="R32" s="1071"/>
      <c r="S32" s="1071"/>
      <c r="T32" s="1071"/>
      <c r="U32" s="1071"/>
      <c r="V32" s="1071"/>
      <c r="W32" s="1071"/>
      <c r="X32" s="1071"/>
      <c r="Y32" s="1071"/>
      <c r="Z32" s="1071"/>
      <c r="AA32" s="1071"/>
      <c r="AB32" s="1071"/>
      <c r="AC32" s="1071"/>
      <c r="AD32" s="1071"/>
      <c r="AE32" s="1071"/>
      <c r="AF32" s="1071">
        <f>AF31</f>
        <v>1.43057919042252</v>
      </c>
      <c r="AG32" s="1091">
        <f>TSW!C47</f>
        <v>0.19037655616585591</v>
      </c>
      <c r="AH32" s="1091">
        <f>TSW!C46</f>
        <v>9.9611766068552196E-2</v>
      </c>
      <c r="AI32" s="1091">
        <f>TSW!C48</f>
        <v>0.12309141224130628</v>
      </c>
      <c r="AJ32" s="1091">
        <f>TSW!C50</f>
        <v>3.1359788359389976E-2</v>
      </c>
      <c r="AK32" s="1091">
        <f>TSW!C49</f>
        <v>0.16149185898513302</v>
      </c>
      <c r="AL32" s="1091"/>
      <c r="AM32" s="1091">
        <v>1</v>
      </c>
      <c r="AO32" s="1094"/>
      <c r="AP32" s="1094"/>
      <c r="AQ32" s="1094"/>
      <c r="AR32" s="1094"/>
      <c r="AS32" s="1094"/>
      <c r="AT32" s="1094"/>
      <c r="AU32" s="1094"/>
      <c r="AV32" s="1094"/>
      <c r="AW32" s="1094"/>
      <c r="AX32" s="1094"/>
      <c r="BA32" s="1066">
        <f>BA31</f>
        <v>30</v>
      </c>
    </row>
    <row r="33" spans="1:53" ht="12" customHeight="1" x14ac:dyDescent="0.2">
      <c r="A33" s="1071" t="str">
        <f>Technologies!B210</f>
        <v>R2,R3,R4,R5,R6</v>
      </c>
      <c r="B33" s="1071" t="str">
        <f>Technologies!C210</f>
        <v>TSDSLE</v>
      </c>
      <c r="C33" s="1071" t="str">
        <f>Technologies!D210</f>
        <v>Water Shipping, Diesel exisiting</v>
      </c>
      <c r="D33" s="1071" t="s">
        <v>487</v>
      </c>
      <c r="E33" s="1071" t="str">
        <f>Commodities!C43</f>
        <v>TSDSL</v>
      </c>
      <c r="F33" s="1071" t="s">
        <v>102</v>
      </c>
      <c r="G33" s="1091">
        <v>1</v>
      </c>
      <c r="H33" s="1091">
        <v>2010</v>
      </c>
      <c r="I33" s="1091">
        <v>30</v>
      </c>
      <c r="J33" s="1091">
        <v>0.18</v>
      </c>
      <c r="K33" s="1092">
        <f>'Air&amp;Marine'!J32</f>
        <v>1.9172146697629859</v>
      </c>
      <c r="L33" s="1091"/>
      <c r="M33" s="1091"/>
      <c r="N33" s="1091"/>
      <c r="O33" s="1091"/>
      <c r="P33" s="1091"/>
      <c r="Q33" s="1091"/>
      <c r="R33" s="1091"/>
      <c r="S33" s="1091"/>
      <c r="T33" s="1091"/>
      <c r="U33" s="1091"/>
      <c r="V33" s="1093">
        <f>'Air&amp;Marine'!H32</f>
        <v>20.108902754128071</v>
      </c>
      <c r="W33" s="1093">
        <f t="shared" ref="W33:AE33" si="4">V33</f>
        <v>20.108902754128071</v>
      </c>
      <c r="X33" s="1093">
        <f t="shared" si="4"/>
        <v>20.108902754128071</v>
      </c>
      <c r="Y33" s="1093">
        <f t="shared" si="4"/>
        <v>20.108902754128071</v>
      </c>
      <c r="Z33" s="1093">
        <f t="shared" si="4"/>
        <v>20.108902754128071</v>
      </c>
      <c r="AA33" s="1093">
        <f t="shared" si="4"/>
        <v>20.108902754128071</v>
      </c>
      <c r="AB33" s="1093">
        <f t="shared" si="4"/>
        <v>20.108902754128071</v>
      </c>
      <c r="AC33" s="1093">
        <f t="shared" si="4"/>
        <v>20.108902754128071</v>
      </c>
      <c r="AD33" s="1093">
        <f t="shared" si="4"/>
        <v>20.108902754128071</v>
      </c>
      <c r="AE33" s="1093">
        <f t="shared" si="4"/>
        <v>20.108902754128071</v>
      </c>
      <c r="AF33" s="1093">
        <f>'Air&amp;Marine'!I32</f>
        <v>1.0054451377064035</v>
      </c>
      <c r="AG33" s="1091">
        <f>CommData!E13</f>
        <v>1.6792503530572207</v>
      </c>
      <c r="AH33" s="1091"/>
      <c r="AI33" s="1091"/>
      <c r="AJ33" s="1091"/>
      <c r="AK33" s="1091"/>
      <c r="AL33" s="1091"/>
      <c r="AM33" s="1091">
        <v>1</v>
      </c>
      <c r="AO33" s="1094"/>
      <c r="AP33" s="1094">
        <v>0</v>
      </c>
      <c r="AQ33" s="1094">
        <v>0</v>
      </c>
      <c r="AR33" s="1094">
        <v>0</v>
      </c>
      <c r="AS33" s="1094">
        <v>0</v>
      </c>
      <c r="AT33" s="1094">
        <v>0</v>
      </c>
      <c r="AU33" s="1094">
        <v>0</v>
      </c>
      <c r="AV33" s="1094">
        <v>0</v>
      </c>
      <c r="AW33" s="1094">
        <v>0</v>
      </c>
      <c r="AX33" s="1094">
        <v>0</v>
      </c>
      <c r="BA33" s="1084">
        <f>'Air&amp;Marine'!G32</f>
        <v>30</v>
      </c>
    </row>
    <row r="34" spans="1:53" ht="12" customHeight="1" x14ac:dyDescent="0.2">
      <c r="A34" s="1066"/>
      <c r="B34" s="1066"/>
      <c r="C34" s="1066"/>
      <c r="D34" s="1066"/>
      <c r="E34" s="1066"/>
      <c r="F34" s="1066"/>
      <c r="N34" s="1086"/>
      <c r="Y34" s="1087"/>
      <c r="Z34" s="1087"/>
      <c r="AA34" s="1087"/>
      <c r="AB34" s="1087"/>
      <c r="AC34" s="1087"/>
      <c r="AD34" s="1087"/>
      <c r="AE34" s="1087"/>
      <c r="AF34" s="1087"/>
      <c r="AG34" s="1087"/>
      <c r="AH34" s="1087"/>
      <c r="AI34" s="1087"/>
      <c r="AR34" s="1088"/>
      <c r="AS34" s="1088"/>
      <c r="AT34" s="1088"/>
      <c r="AU34" s="1088"/>
      <c r="AV34" s="1088"/>
      <c r="AW34" s="1088"/>
      <c r="AX34" s="1088"/>
    </row>
    <row r="35" spans="1:53" ht="12" customHeight="1" x14ac:dyDescent="0.2">
      <c r="A35" s="1066"/>
      <c r="B35" s="1066"/>
      <c r="C35" s="1066"/>
      <c r="D35" s="1066"/>
      <c r="E35" s="1066"/>
      <c r="F35" s="1066"/>
      <c r="N35" s="1086"/>
      <c r="Y35" s="1087"/>
      <c r="Z35" s="1087"/>
      <c r="AA35" s="1087"/>
      <c r="AB35" s="1087"/>
      <c r="AC35" s="1087"/>
      <c r="AD35" s="1087"/>
      <c r="AE35" s="1087"/>
      <c r="AF35" s="1087"/>
      <c r="AG35" s="1087"/>
      <c r="AH35" s="1087"/>
      <c r="AI35" s="1087"/>
      <c r="AR35" s="1088"/>
      <c r="AS35" s="1088"/>
      <c r="AT35" s="1088"/>
      <c r="AU35" s="1088"/>
      <c r="AV35" s="1088"/>
      <c r="AW35" s="1088"/>
      <c r="AX35" s="1088"/>
    </row>
    <row r="36" spans="1:53" ht="12" customHeight="1" x14ac:dyDescent="0.2">
      <c r="A36" s="1066"/>
      <c r="B36" s="1066"/>
      <c r="C36" s="1066"/>
      <c r="D36" s="1066"/>
      <c r="E36" s="1066"/>
      <c r="F36" s="1066"/>
      <c r="N36" s="1086"/>
      <c r="Y36" s="1087"/>
      <c r="Z36" s="1087"/>
      <c r="AA36" s="1087"/>
      <c r="AB36" s="1087"/>
      <c r="AC36" s="1087"/>
      <c r="AD36" s="1087"/>
      <c r="AE36" s="1087"/>
      <c r="AF36" s="1087"/>
      <c r="AG36" s="1087"/>
      <c r="AH36" s="1087"/>
      <c r="AI36" s="1087"/>
      <c r="AR36" s="1088"/>
      <c r="AS36" s="1088"/>
      <c r="AT36" s="1088"/>
      <c r="AU36" s="1088"/>
      <c r="AV36" s="1088"/>
      <c r="AW36" s="1088"/>
      <c r="AX36" s="1088"/>
    </row>
    <row r="37" spans="1:53" ht="12" customHeight="1" x14ac:dyDescent="0.2">
      <c r="A37" s="1066"/>
      <c r="B37" s="1066"/>
      <c r="C37" s="1066"/>
      <c r="D37" s="1066"/>
      <c r="E37" s="1066"/>
      <c r="F37" s="1066"/>
      <c r="N37" s="1086"/>
      <c r="Y37" s="1087"/>
      <c r="Z37" s="1087"/>
      <c r="AA37" s="1087"/>
      <c r="AB37" s="1087"/>
      <c r="AC37" s="1087"/>
      <c r="AD37" s="1087"/>
      <c r="AE37" s="1087"/>
      <c r="AF37" s="1087"/>
      <c r="AG37" s="1087"/>
      <c r="AH37" s="1087"/>
      <c r="AI37" s="1087"/>
      <c r="AR37" s="1088"/>
      <c r="AS37" s="1088"/>
      <c r="AT37" s="1088"/>
      <c r="AU37" s="1088"/>
      <c r="AV37" s="1088"/>
      <c r="AW37" s="1088"/>
      <c r="AX37" s="1088"/>
    </row>
    <row r="38" spans="1:53" ht="12" customHeight="1" x14ac:dyDescent="0.2">
      <c r="F38" s="1080" t="s">
        <v>2320</v>
      </c>
    </row>
    <row r="39" spans="1:53" ht="12" customHeight="1" x14ac:dyDescent="0.2">
      <c r="A39" s="1090" t="s">
        <v>717</v>
      </c>
      <c r="B39" s="1090" t="s">
        <v>158</v>
      </c>
      <c r="C39" s="1090" t="s">
        <v>159</v>
      </c>
      <c r="D39" s="1090" t="s">
        <v>165</v>
      </c>
      <c r="E39" s="1090" t="s">
        <v>168</v>
      </c>
      <c r="F39" s="1090" t="s">
        <v>169</v>
      </c>
      <c r="G39" s="1090" t="s">
        <v>2062</v>
      </c>
      <c r="H39" s="1090" t="s">
        <v>2063</v>
      </c>
      <c r="I39" s="1090" t="s">
        <v>2064</v>
      </c>
      <c r="J39" s="1090" t="s">
        <v>475</v>
      </c>
      <c r="N39" s="1090" t="s">
        <v>2063</v>
      </c>
    </row>
    <row r="40" spans="1:53" ht="12" customHeight="1" x14ac:dyDescent="0.2">
      <c r="A40" s="1098" t="s">
        <v>488</v>
      </c>
      <c r="B40" s="1073"/>
      <c r="C40" s="1073"/>
      <c r="D40" s="1073"/>
      <c r="E40" s="1073"/>
      <c r="F40" s="1073"/>
      <c r="G40" s="1101"/>
      <c r="H40" s="1100"/>
      <c r="I40" s="1100"/>
      <c r="J40" s="1100"/>
    </row>
    <row r="41" spans="1:53" ht="12" customHeight="1" x14ac:dyDescent="0.2">
      <c r="A41" s="1071" t="s">
        <v>115</v>
      </c>
      <c r="B41" s="1071" t="str">
        <f>Technologies!C216</f>
        <v>SETRB20</v>
      </c>
      <c r="C41" s="1071" t="str">
        <f>Technologies!D216</f>
        <v>Emissions: B20 Rail fuel to TRB20X</v>
      </c>
      <c r="D41" s="1071" t="s">
        <v>489</v>
      </c>
      <c r="E41" s="1071" t="s">
        <v>74</v>
      </c>
      <c r="F41" s="1071" t="str">
        <f>Commodities!C$64</f>
        <v>TRB20X</v>
      </c>
      <c r="G41" s="1091">
        <v>2010</v>
      </c>
      <c r="H41" s="1091">
        <v>50</v>
      </c>
      <c r="I41" s="1091"/>
      <c r="J41" s="1091">
        <v>1</v>
      </c>
      <c r="N41" s="1084">
        <v>50</v>
      </c>
    </row>
    <row r="42" spans="1:53" ht="12" customHeight="1" x14ac:dyDescent="0.2">
      <c r="A42" s="1071" t="str">
        <f>Technologies!B215</f>
        <v>R2,R3,R4,R5,R6</v>
      </c>
      <c r="B42" s="1071" t="str">
        <f>Technologies!C215</f>
        <v>SETRDSL</v>
      </c>
      <c r="C42" s="1071" t="str">
        <f>Technologies!D215</f>
        <v>Emissions: DSL Rail fuel to TRDSL</v>
      </c>
      <c r="D42" s="1071" t="s">
        <v>489</v>
      </c>
      <c r="E42" s="1071" t="s">
        <v>13</v>
      </c>
      <c r="F42" s="1071" t="s">
        <v>47</v>
      </c>
      <c r="G42" s="1094">
        <v>2010</v>
      </c>
      <c r="H42" s="1091">
        <v>50</v>
      </c>
      <c r="I42" s="1091"/>
      <c r="J42" s="1091">
        <v>1</v>
      </c>
      <c r="N42" s="1084">
        <v>50</v>
      </c>
    </row>
    <row r="43" spans="1:53" ht="12" customHeight="1" x14ac:dyDescent="0.2">
      <c r="A43" s="1066"/>
      <c r="B43" s="1066"/>
      <c r="C43" s="1066"/>
      <c r="D43" s="1066"/>
      <c r="E43" s="1066"/>
      <c r="F43" s="1066"/>
      <c r="K43" s="1088"/>
    </row>
    <row r="44" spans="1:53" ht="12" customHeight="1" x14ac:dyDescent="0.2">
      <c r="A44" s="1066"/>
      <c r="B44" s="1066"/>
      <c r="C44" s="1066"/>
      <c r="D44" s="1066"/>
      <c r="E44" s="1066"/>
      <c r="F44" s="1066"/>
      <c r="N44" s="1086"/>
      <c r="Y44" s="1087"/>
      <c r="Z44" s="1087"/>
      <c r="AA44" s="1087"/>
      <c r="AB44" s="1087"/>
      <c r="AC44" s="1087"/>
      <c r="AD44" s="1087"/>
      <c r="AE44" s="1087"/>
      <c r="AF44" s="1087"/>
      <c r="AG44" s="1087"/>
      <c r="AH44" s="1087"/>
      <c r="AI44" s="1087"/>
      <c r="AR44" s="1088"/>
      <c r="AS44" s="1088"/>
      <c r="AT44" s="1088"/>
      <c r="AU44" s="1088"/>
      <c r="AV44" s="1088"/>
      <c r="AW44" s="1088"/>
      <c r="AX44" s="1088"/>
    </row>
    <row r="45" spans="1:53" ht="12" customHeight="1" x14ac:dyDescent="0.2">
      <c r="F45" s="1080" t="s">
        <v>2296</v>
      </c>
    </row>
    <row r="46" spans="1:53" ht="12" customHeight="1" x14ac:dyDescent="0.2">
      <c r="A46" s="1090" t="s">
        <v>717</v>
      </c>
      <c r="B46" s="1090" t="s">
        <v>158</v>
      </c>
      <c r="C46" s="1090" t="s">
        <v>159</v>
      </c>
      <c r="D46" s="1090" t="s">
        <v>165</v>
      </c>
      <c r="E46" s="1090" t="s">
        <v>168</v>
      </c>
      <c r="F46" s="1090" t="s">
        <v>169</v>
      </c>
      <c r="G46" s="1090" t="s">
        <v>475</v>
      </c>
      <c r="H46" s="1090" t="s">
        <v>2085</v>
      </c>
    </row>
    <row r="47" spans="1:53" ht="12" customHeight="1" x14ac:dyDescent="0.2">
      <c r="A47" s="1102" t="s">
        <v>490</v>
      </c>
      <c r="B47" s="1071"/>
      <c r="C47" s="1071"/>
      <c r="D47" s="1071"/>
      <c r="E47" s="1071"/>
      <c r="F47" s="1071"/>
      <c r="G47" s="1091"/>
      <c r="H47" s="1091"/>
    </row>
    <row r="48" spans="1:53" ht="12" customHeight="1" x14ac:dyDescent="0.2">
      <c r="A48" s="1071" t="str">
        <f>Technologies!B218</f>
        <v>R2,R3,R4,R5,R6</v>
      </c>
      <c r="B48" s="1071" t="str">
        <f>Technologies!C218</f>
        <v>ZZTB</v>
      </c>
      <c r="C48" s="1071" t="str">
        <f>Technologies!D218</f>
        <v>Transportation Buses - ZZINFES backstop</v>
      </c>
      <c r="D48" s="1071" t="s">
        <v>480</v>
      </c>
      <c r="E48" s="1071" t="s">
        <v>491</v>
      </c>
      <c r="F48" s="1071" t="s">
        <v>93</v>
      </c>
      <c r="G48" s="1091">
        <v>1</v>
      </c>
      <c r="H48" s="1091">
        <v>9999</v>
      </c>
    </row>
    <row r="49" spans="1:11" ht="12" customHeight="1" x14ac:dyDescent="0.2">
      <c r="A49" s="1071" t="str">
        <f>Technologies!B219</f>
        <v>*R2,R3,R4,R5,R6</v>
      </c>
      <c r="B49" s="1071" t="str">
        <f>Technologies!C219</f>
        <v>ZZTC</v>
      </c>
      <c r="C49" s="1071" t="str">
        <f>Technologies!D219</f>
        <v>Transportation Commercial Trucks - ZZINFES backstop</v>
      </c>
      <c r="D49" s="1071" t="s">
        <v>480</v>
      </c>
      <c r="E49" s="1071" t="s">
        <v>491</v>
      </c>
      <c r="F49" s="1071" t="s">
        <v>112</v>
      </c>
      <c r="G49" s="1091">
        <v>1</v>
      </c>
      <c r="H49" s="1091">
        <v>9999</v>
      </c>
    </row>
    <row r="50" spans="1:11" ht="12" customHeight="1" x14ac:dyDescent="0.2">
      <c r="A50" s="1071" t="str">
        <f>Technologies!B220</f>
        <v>R2,R3,R4,R5,R6</v>
      </c>
      <c r="B50" s="1071" t="str">
        <f>Technologies!C220</f>
        <v>ZZTM</v>
      </c>
      <c r="C50" s="1071" t="str">
        <f>Technologies!D220</f>
        <v>Transportation Medium Trucks - ZZINFES backstop</v>
      </c>
      <c r="D50" s="1071" t="s">
        <v>480</v>
      </c>
      <c r="E50" s="1071" t="s">
        <v>491</v>
      </c>
      <c r="F50" s="1071" t="s">
        <v>96</v>
      </c>
      <c r="G50" s="1091">
        <v>1</v>
      </c>
      <c r="H50" s="1091">
        <v>9999</v>
      </c>
    </row>
    <row r="51" spans="1:11" ht="12" customHeight="1" x14ac:dyDescent="0.2">
      <c r="A51" s="1071" t="str">
        <f>Technologies!B221</f>
        <v>R2,R3,R4,R5,R6</v>
      </c>
      <c r="B51" s="1071" t="str">
        <f>Technologies!C221</f>
        <v>ZZTHS</v>
      </c>
      <c r="C51" s="1071" t="str">
        <f>Technologies!D221</f>
        <v>Transportation Heavy Short Haul - ZZINFES backstop</v>
      </c>
      <c r="D51" s="1071" t="s">
        <v>480</v>
      </c>
      <c r="E51" s="1071" t="s">
        <v>491</v>
      </c>
      <c r="F51" s="1071" t="s">
        <v>98</v>
      </c>
      <c r="G51" s="1091">
        <v>1</v>
      </c>
      <c r="H51" s="1091">
        <v>9999</v>
      </c>
    </row>
    <row r="52" spans="1:11" ht="12" customHeight="1" x14ac:dyDescent="0.2">
      <c r="A52" s="1071" t="str">
        <f>Technologies!B222</f>
        <v>R2,R3,R4,R5,R6</v>
      </c>
      <c r="B52" s="1071" t="str">
        <f>Technologies!C222</f>
        <v>ZZTRP</v>
      </c>
      <c r="C52" s="1071" t="str">
        <f>Technologies!D222</f>
        <v>Transportation Rail Passenger - ZZINFES backstop</v>
      </c>
      <c r="D52" s="1071" t="s">
        <v>480</v>
      </c>
      <c r="E52" s="1071" t="s">
        <v>491</v>
      </c>
      <c r="F52" s="1071" t="s">
        <v>110</v>
      </c>
      <c r="G52" s="1091">
        <v>1</v>
      </c>
      <c r="H52" s="1091">
        <v>9999</v>
      </c>
    </row>
    <row r="53" spans="1:11" ht="12" customHeight="1" x14ac:dyDescent="0.2">
      <c r="A53" s="1071" t="str">
        <f>Technologies!B223</f>
        <v>*R2,R3,R4,R5,R6</v>
      </c>
      <c r="B53" s="1071" t="str">
        <f>Technologies!C223</f>
        <v>ZZTHL</v>
      </c>
      <c r="C53" s="1071" t="str">
        <f>Technologies!D223</f>
        <v>Transportation Rail Freight - ZZINFES backstop</v>
      </c>
      <c r="D53" s="1071" t="s">
        <v>480</v>
      </c>
      <c r="E53" s="1071" t="s">
        <v>491</v>
      </c>
      <c r="F53" s="1071" t="s">
        <v>100</v>
      </c>
      <c r="G53" s="1091">
        <v>1</v>
      </c>
      <c r="H53" s="1091">
        <v>9999</v>
      </c>
    </row>
    <row r="54" spans="1:11" ht="12" customHeight="1" x14ac:dyDescent="0.2">
      <c r="A54" s="1071" t="str">
        <f>Technologies!B224</f>
        <v>R2,R3,R4,R5,R6</v>
      </c>
      <c r="B54" s="1071" t="str">
        <f>Technologies!C224</f>
        <v>ZZTS</v>
      </c>
      <c r="C54" s="1071" t="str">
        <f>Technologies!D224</f>
        <v>Transportation Water Shipping - ZZINFES backstop</v>
      </c>
      <c r="D54" s="1071" t="s">
        <v>487</v>
      </c>
      <c r="E54" s="1071" t="s">
        <v>491</v>
      </c>
      <c r="F54" s="1071" t="s">
        <v>102</v>
      </c>
      <c r="G54" s="1091">
        <v>1</v>
      </c>
      <c r="H54" s="1091">
        <v>9999</v>
      </c>
    </row>
    <row r="55" spans="1:11" ht="12" customHeight="1" x14ac:dyDescent="0.2">
      <c r="A55" s="1091" t="str">
        <f>Technologies!B225</f>
        <v>*R2,R3,R4,R5,R6</v>
      </c>
      <c r="B55" s="1091" t="str">
        <f>Technologies!C225</f>
        <v>ZZTSW</v>
      </c>
      <c r="C55" s="1091" t="str">
        <f>Technologies!D225</f>
        <v>Transportation MSW  - ZZINFES backstop</v>
      </c>
      <c r="D55" s="1071" t="s">
        <v>487</v>
      </c>
      <c r="E55" s="1071" t="s">
        <v>491</v>
      </c>
      <c r="F55" s="1071" t="str">
        <f>Commodities!$C$16</f>
        <v>TSW</v>
      </c>
      <c r="G55" s="1091">
        <v>1</v>
      </c>
      <c r="H55" s="1091"/>
    </row>
    <row r="56" spans="1:11" ht="12" customHeight="1" x14ac:dyDescent="0.2">
      <c r="K56" s="1088"/>
    </row>
    <row r="57" spans="1:11" ht="12" customHeight="1" x14ac:dyDescent="0.2">
      <c r="K57" s="1088"/>
    </row>
    <row r="58" spans="1:11" ht="12" customHeight="1" x14ac:dyDescent="0.2">
      <c r="K58" s="1088"/>
    </row>
    <row r="59" spans="1:11" ht="12" customHeight="1" x14ac:dyDescent="0.2">
      <c r="K59" s="1088"/>
    </row>
    <row r="60" spans="1:11" ht="12" customHeight="1" x14ac:dyDescent="0.2">
      <c r="K60" s="1088"/>
    </row>
    <row r="61" spans="1:11" ht="12" customHeight="1" x14ac:dyDescent="0.2">
      <c r="K61" s="1088"/>
    </row>
    <row r="62" spans="1:11" ht="12" customHeight="1" x14ac:dyDescent="0.2">
      <c r="K62" s="1088"/>
    </row>
    <row r="63" spans="1:11" ht="12" customHeight="1" x14ac:dyDescent="0.2">
      <c r="A63" s="1083"/>
      <c r="K63" s="1088"/>
    </row>
    <row r="64" spans="1:11" ht="12" customHeight="1" x14ac:dyDescent="0.2">
      <c r="K64" s="1088"/>
    </row>
    <row r="65" spans="1:42" ht="12" customHeight="1" x14ac:dyDescent="0.2">
      <c r="K65" s="1088"/>
    </row>
    <row r="66" spans="1:42" ht="12" customHeight="1" x14ac:dyDescent="0.2">
      <c r="K66" s="1088"/>
    </row>
    <row r="67" spans="1:42" ht="12" customHeight="1" x14ac:dyDescent="0.2">
      <c r="K67" s="1088"/>
    </row>
    <row r="68" spans="1:42" ht="12" customHeight="1" x14ac:dyDescent="0.2">
      <c r="K68" s="1088"/>
    </row>
    <row r="69" spans="1:42" ht="12" customHeight="1" x14ac:dyDescent="0.2">
      <c r="K69" s="1088"/>
    </row>
    <row r="70" spans="1:42" ht="12" customHeight="1" x14ac:dyDescent="0.2">
      <c r="K70" s="1088"/>
    </row>
    <row r="71" spans="1:42" ht="12" customHeight="1" x14ac:dyDescent="0.2">
      <c r="K71" s="1088"/>
      <c r="AJ71" s="1086"/>
      <c r="AK71" s="1086"/>
      <c r="AL71" s="1086"/>
      <c r="AM71" s="1086"/>
      <c r="AO71" s="1086"/>
      <c r="AP71" s="1086"/>
    </row>
    <row r="72" spans="1:42" ht="12" customHeight="1" x14ac:dyDescent="0.2">
      <c r="K72" s="1088"/>
    </row>
    <row r="73" spans="1:42" ht="12" customHeight="1" x14ac:dyDescent="0.2">
      <c r="K73" s="1088"/>
    </row>
    <row r="74" spans="1:42" ht="12" customHeight="1" x14ac:dyDescent="0.2">
      <c r="A74" s="1083"/>
      <c r="K74" s="1088"/>
    </row>
    <row r="75" spans="1:42" ht="12" customHeight="1" x14ac:dyDescent="0.2">
      <c r="K75" s="1088"/>
    </row>
    <row r="76" spans="1:42" ht="12" customHeight="1" x14ac:dyDescent="0.2">
      <c r="K76" s="1088"/>
    </row>
    <row r="77" spans="1:42" ht="12" customHeight="1" x14ac:dyDescent="0.2">
      <c r="K77" s="1088"/>
    </row>
    <row r="78" spans="1:42" ht="12" customHeight="1" x14ac:dyDescent="0.2">
      <c r="K78" s="1088"/>
    </row>
    <row r="79" spans="1:42" ht="12" customHeight="1" x14ac:dyDescent="0.2">
      <c r="K79" s="1088"/>
      <c r="AJ79" s="1086"/>
      <c r="AK79" s="1086"/>
      <c r="AL79" s="1086"/>
      <c r="AM79" s="1086"/>
      <c r="AO79" s="1086"/>
      <c r="AP79" s="1086"/>
    </row>
    <row r="80" spans="1:42" ht="12" customHeight="1" x14ac:dyDescent="0.2">
      <c r="K80" s="1088"/>
    </row>
    <row r="81" spans="1:42" ht="12" customHeight="1" x14ac:dyDescent="0.2">
      <c r="K81" s="1088"/>
    </row>
    <row r="82" spans="1:42" ht="12" customHeight="1" x14ac:dyDescent="0.2">
      <c r="K82" s="1088"/>
    </row>
    <row r="83" spans="1:42" ht="12" customHeight="1" x14ac:dyDescent="0.2">
      <c r="K83" s="1088"/>
    </row>
    <row r="84" spans="1:42" ht="12" customHeight="1" x14ac:dyDescent="0.2">
      <c r="A84" s="1083"/>
      <c r="K84" s="1088"/>
    </row>
    <row r="85" spans="1:42" ht="12" customHeight="1" x14ac:dyDescent="0.2">
      <c r="K85" s="1088"/>
    </row>
    <row r="86" spans="1:42" ht="12" customHeight="1" x14ac:dyDescent="0.2">
      <c r="K86" s="1088"/>
    </row>
    <row r="87" spans="1:42" ht="12" customHeight="1" x14ac:dyDescent="0.2">
      <c r="K87" s="1088"/>
    </row>
    <row r="88" spans="1:42" ht="12" customHeight="1" x14ac:dyDescent="0.2">
      <c r="K88" s="1088"/>
    </row>
    <row r="89" spans="1:42" ht="12" customHeight="1" x14ac:dyDescent="0.2">
      <c r="K89" s="1088"/>
    </row>
    <row r="90" spans="1:42" ht="12" customHeight="1" x14ac:dyDescent="0.2">
      <c r="K90" s="1088"/>
    </row>
    <row r="91" spans="1:42" ht="12" customHeight="1" x14ac:dyDescent="0.2">
      <c r="K91" s="1088"/>
    </row>
    <row r="92" spans="1:42" ht="12" customHeight="1" x14ac:dyDescent="0.2">
      <c r="K92" s="1088"/>
    </row>
    <row r="93" spans="1:42" ht="12" customHeight="1" x14ac:dyDescent="0.2">
      <c r="K93" s="1088"/>
    </row>
    <row r="94" spans="1:42" ht="12" customHeight="1" x14ac:dyDescent="0.2">
      <c r="A94" s="1083"/>
      <c r="K94" s="1088"/>
      <c r="AJ94" s="1086"/>
      <c r="AK94" s="1086"/>
      <c r="AL94" s="1086"/>
      <c r="AM94" s="1086"/>
      <c r="AO94" s="1086"/>
      <c r="AP94" s="1086"/>
    </row>
    <row r="95" spans="1:42" ht="12" customHeight="1" x14ac:dyDescent="0.2">
      <c r="A95" s="1083"/>
      <c r="K95" s="1088"/>
      <c r="AJ95" s="1086"/>
      <c r="AK95" s="1086"/>
      <c r="AL95" s="1086"/>
      <c r="AM95" s="1086"/>
      <c r="AO95" s="1086"/>
      <c r="AP95" s="1086"/>
    </row>
    <row r="96" spans="1:42" ht="12" customHeight="1" x14ac:dyDescent="0.2">
      <c r="A96" s="1083"/>
      <c r="K96" s="1088"/>
    </row>
    <row r="97" spans="1:42" ht="12" customHeight="1" x14ac:dyDescent="0.2">
      <c r="A97" s="1083"/>
      <c r="K97" s="1088"/>
    </row>
    <row r="98" spans="1:42" ht="12" customHeight="1" x14ac:dyDescent="0.2">
      <c r="K98" s="1088"/>
    </row>
    <row r="99" spans="1:42" ht="12" customHeight="1" x14ac:dyDescent="0.2">
      <c r="K99" s="1088"/>
    </row>
    <row r="100" spans="1:42" ht="12" customHeight="1" x14ac:dyDescent="0.2">
      <c r="K100" s="1088"/>
    </row>
    <row r="101" spans="1:42" ht="12" customHeight="1" x14ac:dyDescent="0.2">
      <c r="K101" s="1088"/>
    </row>
    <row r="102" spans="1:42" ht="12" customHeight="1" x14ac:dyDescent="0.2">
      <c r="A102" s="1083"/>
      <c r="K102" s="1088"/>
    </row>
    <row r="103" spans="1:42" ht="12" customHeight="1" x14ac:dyDescent="0.2">
      <c r="A103" s="1083"/>
      <c r="K103" s="1088"/>
    </row>
    <row r="104" spans="1:42" ht="12" customHeight="1" x14ac:dyDescent="0.2">
      <c r="K104" s="1088"/>
    </row>
    <row r="105" spans="1:42" ht="12" customHeight="1" x14ac:dyDescent="0.2">
      <c r="K105" s="1088"/>
    </row>
    <row r="106" spans="1:42" ht="12" customHeight="1" x14ac:dyDescent="0.2">
      <c r="K106" s="1088"/>
    </row>
    <row r="107" spans="1:42" ht="12" customHeight="1" x14ac:dyDescent="0.2">
      <c r="K107" s="1088"/>
    </row>
    <row r="108" spans="1:42" ht="12" customHeight="1" x14ac:dyDescent="0.2">
      <c r="K108" s="1088"/>
      <c r="AJ108" s="1086"/>
      <c r="AK108" s="1086"/>
      <c r="AL108" s="1086"/>
      <c r="AM108" s="1086"/>
      <c r="AO108" s="1086"/>
      <c r="AP108" s="1086"/>
    </row>
    <row r="109" spans="1:42" ht="12" customHeight="1" x14ac:dyDescent="0.2">
      <c r="K109" s="1088"/>
    </row>
    <row r="110" spans="1:42" ht="12" customHeight="1" x14ac:dyDescent="0.2">
      <c r="K110" s="1088"/>
    </row>
    <row r="111" spans="1:42" ht="12" customHeight="1" x14ac:dyDescent="0.2">
      <c r="K111" s="1088"/>
    </row>
    <row r="112" spans="1:42" ht="12" customHeight="1" x14ac:dyDescent="0.2">
      <c r="K112" s="1088"/>
    </row>
    <row r="113" spans="1:42" ht="12" customHeight="1" x14ac:dyDescent="0.2">
      <c r="K113" s="1088"/>
    </row>
    <row r="114" spans="1:42" ht="12" customHeight="1" x14ac:dyDescent="0.2">
      <c r="K114" s="1088"/>
    </row>
    <row r="115" spans="1:42" ht="12" customHeight="1" x14ac:dyDescent="0.2">
      <c r="K115" s="1088"/>
    </row>
    <row r="116" spans="1:42" ht="12" customHeight="1" x14ac:dyDescent="0.2">
      <c r="A116" s="1083"/>
      <c r="K116" s="1088"/>
    </row>
    <row r="117" spans="1:42" ht="12" customHeight="1" x14ac:dyDescent="0.2">
      <c r="K117" s="1088"/>
    </row>
    <row r="118" spans="1:42" ht="12" customHeight="1" x14ac:dyDescent="0.2">
      <c r="K118" s="1088"/>
    </row>
    <row r="119" spans="1:42" ht="12" customHeight="1" x14ac:dyDescent="0.2">
      <c r="K119" s="1088"/>
    </row>
    <row r="120" spans="1:42" ht="12" customHeight="1" x14ac:dyDescent="0.2">
      <c r="K120" s="1088"/>
      <c r="AJ120" s="1086"/>
      <c r="AK120" s="1086"/>
      <c r="AL120" s="1086"/>
      <c r="AM120" s="1086"/>
      <c r="AO120" s="1086"/>
      <c r="AP120" s="1086"/>
    </row>
    <row r="121" spans="1:42" ht="12" customHeight="1" x14ac:dyDescent="0.2">
      <c r="K121" s="1088"/>
    </row>
    <row r="122" spans="1:42" ht="12" customHeight="1" x14ac:dyDescent="0.2">
      <c r="K122" s="1088"/>
    </row>
    <row r="123" spans="1:42" ht="12" customHeight="1" x14ac:dyDescent="0.2">
      <c r="K123" s="1088"/>
    </row>
    <row r="124" spans="1:42" ht="12" customHeight="1" x14ac:dyDescent="0.2">
      <c r="K124" s="1088"/>
    </row>
    <row r="125" spans="1:42" ht="12" customHeight="1" x14ac:dyDescent="0.2">
      <c r="K125" s="1088"/>
    </row>
    <row r="126" spans="1:42" ht="12" customHeight="1" x14ac:dyDescent="0.2">
      <c r="K126" s="1088"/>
    </row>
    <row r="127" spans="1:42" ht="12" customHeight="1" x14ac:dyDescent="0.2">
      <c r="K127" s="1088"/>
    </row>
    <row r="128" spans="1:42" ht="12" customHeight="1" x14ac:dyDescent="0.2">
      <c r="K128" s="1088"/>
    </row>
    <row r="129" spans="1:42" ht="12" customHeight="1" x14ac:dyDescent="0.2">
      <c r="K129" s="1088"/>
    </row>
    <row r="130" spans="1:42" ht="12" customHeight="1" x14ac:dyDescent="0.2">
      <c r="K130" s="1088"/>
    </row>
    <row r="131" spans="1:42" ht="12" customHeight="1" x14ac:dyDescent="0.2">
      <c r="K131" s="1088"/>
      <c r="AJ131" s="1086"/>
      <c r="AK131" s="1086"/>
      <c r="AL131" s="1086"/>
      <c r="AM131" s="1086"/>
      <c r="AO131" s="1086"/>
      <c r="AP131" s="1086"/>
    </row>
    <row r="132" spans="1:42" ht="12" customHeight="1" x14ac:dyDescent="0.2">
      <c r="A132" s="1083"/>
      <c r="K132" s="1088"/>
    </row>
    <row r="133" spans="1:42" ht="12" customHeight="1" x14ac:dyDescent="0.2">
      <c r="K133" s="1088"/>
    </row>
    <row r="134" spans="1:42" ht="12" customHeight="1" x14ac:dyDescent="0.2">
      <c r="K134" s="1088"/>
    </row>
    <row r="135" spans="1:42" ht="12" customHeight="1" x14ac:dyDescent="0.2">
      <c r="K135" s="1088"/>
    </row>
    <row r="136" spans="1:42" ht="12" customHeight="1" x14ac:dyDescent="0.2">
      <c r="K136" s="1088"/>
    </row>
    <row r="137" spans="1:42" ht="12" customHeight="1" x14ac:dyDescent="0.2">
      <c r="K137" s="1088"/>
    </row>
    <row r="138" spans="1:42" ht="12" customHeight="1" x14ac:dyDescent="0.2">
      <c r="K138" s="1088"/>
    </row>
    <row r="139" spans="1:42" ht="12" customHeight="1" x14ac:dyDescent="0.2">
      <c r="K139" s="1088"/>
    </row>
    <row r="140" spans="1:42" ht="12" customHeight="1" x14ac:dyDescent="0.2">
      <c r="K140" s="1088"/>
    </row>
    <row r="141" spans="1:42" ht="12" customHeight="1" x14ac:dyDescent="0.2">
      <c r="K141" s="1088"/>
    </row>
    <row r="142" spans="1:42" ht="12" customHeight="1" x14ac:dyDescent="0.2">
      <c r="K142" s="1088"/>
    </row>
    <row r="143" spans="1:42" ht="12" customHeight="1" x14ac:dyDescent="0.2">
      <c r="K143" s="1088"/>
    </row>
    <row r="144" spans="1:42" ht="12" customHeight="1" x14ac:dyDescent="0.2">
      <c r="A144" s="1083"/>
      <c r="K144" s="1088"/>
      <c r="AJ144" s="1086"/>
      <c r="AK144" s="1086"/>
      <c r="AL144" s="1086"/>
      <c r="AM144" s="1086"/>
      <c r="AO144" s="1086"/>
      <c r="AP144" s="1086"/>
    </row>
    <row r="145" spans="1:11" ht="12" customHeight="1" x14ac:dyDescent="0.2">
      <c r="K145" s="1088"/>
    </row>
    <row r="146" spans="1:11" ht="12" customHeight="1" x14ac:dyDescent="0.2">
      <c r="K146" s="1088"/>
    </row>
    <row r="147" spans="1:11" ht="12" customHeight="1" x14ac:dyDescent="0.2">
      <c r="K147" s="1088"/>
    </row>
    <row r="148" spans="1:11" ht="12" customHeight="1" x14ac:dyDescent="0.2">
      <c r="A148" s="1083"/>
      <c r="K148" s="1088"/>
    </row>
    <row r="149" spans="1:11" ht="12" customHeight="1" x14ac:dyDescent="0.2">
      <c r="A149" s="1083"/>
      <c r="K149" s="1088"/>
    </row>
    <row r="150" spans="1:11" ht="12" customHeight="1" x14ac:dyDescent="0.2">
      <c r="K150" s="1088"/>
    </row>
    <row r="151" spans="1:11" ht="12" customHeight="1" x14ac:dyDescent="0.2">
      <c r="K151" s="1088"/>
    </row>
    <row r="152" spans="1:11" ht="12" customHeight="1" x14ac:dyDescent="0.2">
      <c r="K152" s="1088"/>
    </row>
    <row r="153" spans="1:11" ht="12" customHeight="1" x14ac:dyDescent="0.2">
      <c r="K153" s="1088"/>
    </row>
    <row r="154" spans="1:11" ht="12" customHeight="1" x14ac:dyDescent="0.2">
      <c r="K154" s="1088"/>
    </row>
    <row r="155" spans="1:11" ht="12" customHeight="1" x14ac:dyDescent="0.2">
      <c r="K155" s="1088"/>
    </row>
    <row r="156" spans="1:11" ht="12" customHeight="1" x14ac:dyDescent="0.2">
      <c r="K156" s="1088"/>
    </row>
    <row r="157" spans="1:11" ht="12" customHeight="1" x14ac:dyDescent="0.2">
      <c r="K157" s="1088"/>
    </row>
    <row r="158" spans="1:11" ht="12" customHeight="1" x14ac:dyDescent="0.2">
      <c r="K158" s="1088"/>
    </row>
    <row r="159" spans="1:11" ht="12" customHeight="1" x14ac:dyDescent="0.2">
      <c r="K159" s="1088"/>
    </row>
    <row r="160" spans="1:11" ht="12" customHeight="1" x14ac:dyDescent="0.2">
      <c r="A160" s="1083"/>
      <c r="K160" s="1088"/>
    </row>
    <row r="161" spans="1:42" ht="12" customHeight="1" x14ac:dyDescent="0.2">
      <c r="A161" s="1083"/>
      <c r="K161" s="1088"/>
    </row>
    <row r="162" spans="1:42" ht="12" customHeight="1" x14ac:dyDescent="0.2">
      <c r="K162" s="1088"/>
    </row>
    <row r="163" spans="1:42" ht="12" customHeight="1" x14ac:dyDescent="0.2">
      <c r="K163" s="1088"/>
    </row>
    <row r="164" spans="1:42" ht="12" customHeight="1" x14ac:dyDescent="0.2">
      <c r="K164" s="1088"/>
    </row>
    <row r="165" spans="1:42" ht="12" customHeight="1" x14ac:dyDescent="0.2">
      <c r="K165" s="1088"/>
    </row>
    <row r="166" spans="1:42" ht="12" customHeight="1" x14ac:dyDescent="0.2">
      <c r="K166" s="1088"/>
      <c r="AJ166" s="1086"/>
      <c r="AK166" s="1086"/>
      <c r="AL166" s="1086"/>
      <c r="AM166" s="1086"/>
      <c r="AO166" s="1086"/>
      <c r="AP166" s="1086"/>
    </row>
    <row r="167" spans="1:42" ht="12" customHeight="1" x14ac:dyDescent="0.2">
      <c r="A167" s="1083"/>
      <c r="K167" s="1088"/>
    </row>
    <row r="168" spans="1:42" ht="12" customHeight="1" x14ac:dyDescent="0.2">
      <c r="A168" s="1083"/>
      <c r="K168" s="1088"/>
    </row>
    <row r="169" spans="1:42" ht="12" customHeight="1" x14ac:dyDescent="0.2">
      <c r="K169" s="1088"/>
    </row>
    <row r="170" spans="1:42" ht="12" customHeight="1" x14ac:dyDescent="0.2">
      <c r="K170" s="1088"/>
      <c r="AJ170" s="1086"/>
      <c r="AK170" s="1086"/>
      <c r="AL170" s="1086"/>
      <c r="AM170" s="1086"/>
      <c r="AO170" s="1086"/>
      <c r="AP170" s="1086"/>
    </row>
    <row r="171" spans="1:42" ht="12" customHeight="1" x14ac:dyDescent="0.2">
      <c r="A171" s="1083"/>
      <c r="K171" s="1088"/>
    </row>
    <row r="172" spans="1:42" ht="12" customHeight="1" x14ac:dyDescent="0.2">
      <c r="K172" s="1088"/>
    </row>
    <row r="173" spans="1:42" ht="12" customHeight="1" x14ac:dyDescent="0.2">
      <c r="K173" s="1088"/>
    </row>
    <row r="174" spans="1:42" ht="12" customHeight="1" x14ac:dyDescent="0.2">
      <c r="K174" s="1088"/>
    </row>
    <row r="175" spans="1:42" ht="12" customHeight="1" x14ac:dyDescent="0.2">
      <c r="K175" s="1088"/>
    </row>
    <row r="176" spans="1:42" ht="12" customHeight="1" x14ac:dyDescent="0.2">
      <c r="A176" s="1083"/>
      <c r="K176" s="1088"/>
    </row>
    <row r="177" spans="1:42" ht="12" customHeight="1" x14ac:dyDescent="0.2">
      <c r="K177" s="1088"/>
    </row>
    <row r="178" spans="1:42" ht="12" customHeight="1" x14ac:dyDescent="0.2">
      <c r="K178" s="1088"/>
    </row>
    <row r="179" spans="1:42" ht="12" customHeight="1" x14ac:dyDescent="0.2">
      <c r="K179" s="1088"/>
    </row>
    <row r="180" spans="1:42" ht="12" customHeight="1" x14ac:dyDescent="0.2">
      <c r="A180" s="1083"/>
      <c r="K180" s="1088"/>
    </row>
    <row r="181" spans="1:42" ht="12" customHeight="1" x14ac:dyDescent="0.2">
      <c r="K181" s="1088"/>
    </row>
    <row r="182" spans="1:42" ht="12" customHeight="1" x14ac:dyDescent="0.2">
      <c r="K182" s="1088"/>
    </row>
    <row r="183" spans="1:42" ht="12" customHeight="1" x14ac:dyDescent="0.2">
      <c r="K183" s="1088"/>
    </row>
    <row r="184" spans="1:42" ht="12" customHeight="1" x14ac:dyDescent="0.2">
      <c r="K184" s="1088"/>
    </row>
    <row r="185" spans="1:42" ht="12" customHeight="1" x14ac:dyDescent="0.2">
      <c r="K185" s="1088"/>
    </row>
    <row r="186" spans="1:42" ht="12" customHeight="1" x14ac:dyDescent="0.2">
      <c r="K186" s="1088"/>
    </row>
    <row r="187" spans="1:42" ht="12" customHeight="1" x14ac:dyDescent="0.2">
      <c r="K187" s="1088"/>
    </row>
    <row r="188" spans="1:42" ht="12" customHeight="1" x14ac:dyDescent="0.2">
      <c r="A188" s="1083"/>
      <c r="K188" s="1088"/>
    </row>
    <row r="189" spans="1:42" ht="12" customHeight="1" x14ac:dyDescent="0.2">
      <c r="A189" s="1083"/>
      <c r="K189" s="1088"/>
    </row>
    <row r="190" spans="1:42" ht="12" customHeight="1" x14ac:dyDescent="0.2">
      <c r="K190" s="1088"/>
      <c r="AJ190" s="1086"/>
      <c r="AK190" s="1086"/>
      <c r="AL190" s="1086"/>
      <c r="AM190" s="1086"/>
      <c r="AO190" s="1086"/>
      <c r="AP190" s="1086"/>
    </row>
    <row r="191" spans="1:42" ht="12" customHeight="1" x14ac:dyDescent="0.2">
      <c r="K191" s="1088"/>
    </row>
    <row r="192" spans="1:42" ht="12" customHeight="1" x14ac:dyDescent="0.2">
      <c r="A192" s="1083"/>
      <c r="K192" s="1088"/>
    </row>
    <row r="193" spans="1:42" ht="12" customHeight="1" x14ac:dyDescent="0.2">
      <c r="K193" s="1088"/>
      <c r="AJ193" s="1086"/>
      <c r="AK193" s="1086"/>
      <c r="AL193" s="1086"/>
      <c r="AM193" s="1086"/>
      <c r="AO193" s="1086"/>
      <c r="AP193" s="1086"/>
    </row>
    <row r="194" spans="1:42" ht="12" customHeight="1" x14ac:dyDescent="0.2">
      <c r="K194" s="1088"/>
    </row>
    <row r="195" spans="1:42" ht="12" customHeight="1" x14ac:dyDescent="0.2">
      <c r="K195" s="1088"/>
    </row>
    <row r="196" spans="1:42" ht="12" customHeight="1" x14ac:dyDescent="0.2">
      <c r="K196" s="1088"/>
    </row>
    <row r="197" spans="1:42" ht="12" customHeight="1" x14ac:dyDescent="0.2">
      <c r="A197" s="1083"/>
      <c r="K197" s="1088"/>
    </row>
    <row r="198" spans="1:42" ht="12" customHeight="1" x14ac:dyDescent="0.2">
      <c r="A198" s="1083"/>
      <c r="K198" s="1088"/>
    </row>
    <row r="199" spans="1:42" ht="12" customHeight="1" x14ac:dyDescent="0.2">
      <c r="K199" s="1088"/>
    </row>
    <row r="200" spans="1:42" ht="12" customHeight="1" x14ac:dyDescent="0.2">
      <c r="K200" s="1088"/>
    </row>
    <row r="201" spans="1:42" ht="12" customHeight="1" x14ac:dyDescent="0.2">
      <c r="K201" s="1088"/>
    </row>
    <row r="202" spans="1:42" ht="12" customHeight="1" x14ac:dyDescent="0.2">
      <c r="K202" s="1088"/>
    </row>
    <row r="203" spans="1:42" ht="12" customHeight="1" x14ac:dyDescent="0.2">
      <c r="K203" s="1088"/>
    </row>
    <row r="204" spans="1:42" ht="12" customHeight="1" x14ac:dyDescent="0.2">
      <c r="K204" s="1088"/>
    </row>
    <row r="205" spans="1:42" ht="12" customHeight="1" x14ac:dyDescent="0.2">
      <c r="A205" s="1083"/>
      <c r="K205" s="1088"/>
    </row>
    <row r="206" spans="1:42" ht="12" customHeight="1" x14ac:dyDescent="0.2">
      <c r="A206" s="1083"/>
      <c r="K206" s="1088"/>
    </row>
    <row r="207" spans="1:42" ht="12" customHeight="1" x14ac:dyDescent="0.2">
      <c r="K207" s="1088"/>
      <c r="AJ207" s="1086"/>
      <c r="AK207" s="1086"/>
      <c r="AL207" s="1086"/>
      <c r="AM207" s="1086"/>
      <c r="AO207" s="1086"/>
      <c r="AP207" s="1086"/>
    </row>
    <row r="208" spans="1:42" ht="12" customHeight="1" x14ac:dyDescent="0.2">
      <c r="K208" s="1088"/>
      <c r="AJ208" s="1086"/>
      <c r="AK208" s="1086"/>
      <c r="AL208" s="1086"/>
      <c r="AM208" s="1086"/>
      <c r="AO208" s="1086"/>
      <c r="AP208" s="1086"/>
    </row>
    <row r="209" spans="1:42" ht="12" customHeight="1" x14ac:dyDescent="0.2">
      <c r="A209" s="1083"/>
      <c r="K209" s="1088"/>
    </row>
    <row r="210" spans="1:42" ht="12" customHeight="1" x14ac:dyDescent="0.2">
      <c r="K210" s="1088"/>
      <c r="AJ210" s="1086"/>
      <c r="AK210" s="1086"/>
      <c r="AL210" s="1086"/>
      <c r="AM210" s="1086"/>
      <c r="AO210" s="1086"/>
      <c r="AP210" s="1086"/>
    </row>
    <row r="211" spans="1:42" ht="12" customHeight="1" x14ac:dyDescent="0.2">
      <c r="A211" s="1083"/>
      <c r="K211" s="1088"/>
    </row>
    <row r="212" spans="1:42" ht="12" customHeight="1" x14ac:dyDescent="0.2">
      <c r="K212" s="1088"/>
      <c r="AJ212" s="1086"/>
      <c r="AK212" s="1086"/>
      <c r="AL212" s="1086"/>
      <c r="AM212" s="1086"/>
      <c r="AO212" s="1086"/>
      <c r="AP212" s="1086"/>
    </row>
    <row r="213" spans="1:42" ht="12" customHeight="1" x14ac:dyDescent="0.2">
      <c r="A213" s="1083"/>
      <c r="K213" s="1088"/>
    </row>
    <row r="214" spans="1:42" ht="12" customHeight="1" x14ac:dyDescent="0.2">
      <c r="K214" s="1088"/>
      <c r="AJ214" s="1086"/>
      <c r="AK214" s="1086"/>
      <c r="AL214" s="1086"/>
      <c r="AM214" s="1086"/>
      <c r="AO214" s="1086"/>
      <c r="AP214" s="1086"/>
    </row>
    <row r="215" spans="1:42" ht="12" customHeight="1" x14ac:dyDescent="0.2">
      <c r="K215" s="1088"/>
      <c r="AJ215" s="1086"/>
      <c r="AK215" s="1086"/>
      <c r="AL215" s="1086"/>
      <c r="AM215" s="1086"/>
      <c r="AO215" s="1086"/>
      <c r="AP215" s="1086"/>
    </row>
    <row r="216" spans="1:42" ht="12" customHeight="1" x14ac:dyDescent="0.2">
      <c r="K216" s="1088"/>
      <c r="AJ216" s="1086"/>
      <c r="AK216" s="1086"/>
      <c r="AL216" s="1086"/>
      <c r="AM216" s="1086"/>
      <c r="AO216" s="1086"/>
      <c r="AP216" s="1086"/>
    </row>
    <row r="217" spans="1:42" ht="12" customHeight="1" x14ac:dyDescent="0.2">
      <c r="K217" s="1088"/>
      <c r="AJ217" s="1086"/>
      <c r="AK217" s="1086"/>
      <c r="AL217" s="1086"/>
      <c r="AM217" s="1086"/>
      <c r="AO217" s="1086"/>
      <c r="AP217" s="1086"/>
    </row>
    <row r="218" spans="1:42" ht="12" customHeight="1" x14ac:dyDescent="0.2">
      <c r="A218" s="1083"/>
      <c r="K218" s="1088"/>
    </row>
    <row r="219" spans="1:42" ht="12" customHeight="1" x14ac:dyDescent="0.2">
      <c r="K219" s="1088"/>
      <c r="AJ219" s="1086"/>
      <c r="AK219" s="1086"/>
      <c r="AL219" s="1086"/>
      <c r="AM219" s="1086"/>
      <c r="AO219" s="1086"/>
      <c r="AP219" s="1086"/>
    </row>
    <row r="220" spans="1:42" ht="12" customHeight="1" x14ac:dyDescent="0.2">
      <c r="K220" s="1088"/>
      <c r="AJ220" s="1086"/>
      <c r="AK220" s="1086"/>
      <c r="AL220" s="1086"/>
      <c r="AM220" s="1086"/>
      <c r="AO220" s="1086"/>
      <c r="AP220" s="1086"/>
    </row>
    <row r="221" spans="1:42" ht="12" customHeight="1" x14ac:dyDescent="0.2">
      <c r="K221" s="1088"/>
      <c r="AJ221" s="1086"/>
      <c r="AK221" s="1086"/>
      <c r="AL221" s="1086"/>
      <c r="AM221" s="1086"/>
      <c r="AO221" s="1086"/>
      <c r="AP221" s="1086"/>
    </row>
    <row r="222" spans="1:42" ht="12" customHeight="1" x14ac:dyDescent="0.2">
      <c r="K222" s="1088"/>
      <c r="AJ222" s="1086"/>
      <c r="AK222" s="1086"/>
      <c r="AL222" s="1086"/>
      <c r="AM222" s="1086"/>
      <c r="AO222" s="1086"/>
      <c r="AP222" s="1086"/>
    </row>
    <row r="223" spans="1:42" ht="12" customHeight="1" x14ac:dyDescent="0.2">
      <c r="K223" s="1088"/>
      <c r="AJ223" s="1086"/>
      <c r="AK223" s="1086"/>
      <c r="AL223" s="1086"/>
      <c r="AM223" s="1086"/>
      <c r="AO223" s="1086"/>
      <c r="AP223" s="1086"/>
    </row>
    <row r="224" spans="1:42" ht="12" customHeight="1" x14ac:dyDescent="0.2">
      <c r="K224" s="1088"/>
      <c r="AJ224" s="1086"/>
      <c r="AK224" s="1086"/>
      <c r="AL224" s="1086"/>
      <c r="AM224" s="1086"/>
      <c r="AO224" s="1086"/>
      <c r="AP224" s="1086"/>
    </row>
    <row r="225" spans="1:42" ht="12" customHeight="1" x14ac:dyDescent="0.2">
      <c r="K225" s="1088"/>
      <c r="AJ225" s="1086"/>
      <c r="AK225" s="1086"/>
      <c r="AL225" s="1086"/>
      <c r="AM225" s="1086"/>
      <c r="AO225" s="1086"/>
      <c r="AP225" s="1086"/>
    </row>
    <row r="226" spans="1:42" ht="12" customHeight="1" x14ac:dyDescent="0.2">
      <c r="K226" s="1088"/>
    </row>
    <row r="227" spans="1:42" ht="12" customHeight="1" x14ac:dyDescent="0.2">
      <c r="K227" s="1088"/>
    </row>
    <row r="228" spans="1:42" ht="12" customHeight="1" x14ac:dyDescent="0.2">
      <c r="K228" s="1088"/>
    </row>
    <row r="229" spans="1:42" ht="12" customHeight="1" x14ac:dyDescent="0.2">
      <c r="K229" s="1088"/>
    </row>
    <row r="230" spans="1:42" ht="12" customHeight="1" x14ac:dyDescent="0.2">
      <c r="K230" s="1088"/>
    </row>
    <row r="231" spans="1:42" ht="12" customHeight="1" x14ac:dyDescent="0.2">
      <c r="K231" s="1088"/>
    </row>
    <row r="232" spans="1:42" ht="12" customHeight="1" x14ac:dyDescent="0.2">
      <c r="K232" s="1088"/>
    </row>
    <row r="233" spans="1:42" ht="12" customHeight="1" x14ac:dyDescent="0.2">
      <c r="K233" s="1088"/>
    </row>
    <row r="234" spans="1:42" ht="12" customHeight="1" x14ac:dyDescent="0.2">
      <c r="K234" s="1088"/>
    </row>
    <row r="235" spans="1:42" ht="12" customHeight="1" x14ac:dyDescent="0.2">
      <c r="A235" s="1083"/>
      <c r="K235" s="1088"/>
    </row>
    <row r="236" spans="1:42" ht="12" customHeight="1" x14ac:dyDescent="0.2">
      <c r="A236" s="1083"/>
      <c r="K236" s="1088"/>
    </row>
    <row r="237" spans="1:42" ht="12" customHeight="1" x14ac:dyDescent="0.2">
      <c r="K237" s="1088"/>
      <c r="AJ237" s="1086"/>
      <c r="AK237" s="1086"/>
      <c r="AL237" s="1086"/>
      <c r="AM237" s="1086"/>
      <c r="AO237" s="1086"/>
      <c r="AP237" s="1086"/>
    </row>
    <row r="238" spans="1:42" ht="12" customHeight="1" x14ac:dyDescent="0.2">
      <c r="K238" s="1088"/>
    </row>
    <row r="239" spans="1:42" ht="12" customHeight="1" x14ac:dyDescent="0.2">
      <c r="K239" s="1088"/>
    </row>
    <row r="240" spans="1:42" ht="12" customHeight="1" x14ac:dyDescent="0.2">
      <c r="K240" s="1088"/>
    </row>
    <row r="241" spans="1:42" ht="12" customHeight="1" x14ac:dyDescent="0.2">
      <c r="K241" s="1088"/>
    </row>
    <row r="242" spans="1:42" ht="12" customHeight="1" x14ac:dyDescent="0.2">
      <c r="A242" s="1083"/>
      <c r="K242" s="1088"/>
    </row>
    <row r="243" spans="1:42" ht="12" customHeight="1" x14ac:dyDescent="0.2">
      <c r="A243" s="1083"/>
      <c r="K243" s="1088"/>
    </row>
    <row r="244" spans="1:42" ht="12" customHeight="1" x14ac:dyDescent="0.2">
      <c r="K244" s="1088"/>
      <c r="AJ244" s="1086"/>
      <c r="AK244" s="1086"/>
      <c r="AL244" s="1086"/>
      <c r="AM244" s="1086"/>
      <c r="AO244" s="1086"/>
      <c r="AP244" s="1086"/>
    </row>
    <row r="245" spans="1:42" ht="12" customHeight="1" x14ac:dyDescent="0.2">
      <c r="K245" s="1088"/>
    </row>
    <row r="246" spans="1:42" ht="12" customHeight="1" x14ac:dyDescent="0.2">
      <c r="A246" s="1083"/>
      <c r="K246" s="1088"/>
    </row>
    <row r="247" spans="1:42" ht="12" customHeight="1" x14ac:dyDescent="0.2">
      <c r="K247" s="1088"/>
      <c r="AJ247" s="1086"/>
      <c r="AK247" s="1086"/>
      <c r="AL247" s="1086"/>
      <c r="AM247" s="1086"/>
      <c r="AO247" s="1086"/>
      <c r="AP247" s="1086"/>
    </row>
    <row r="248" spans="1:42" ht="12" customHeight="1" x14ac:dyDescent="0.2">
      <c r="K248" s="1088"/>
    </row>
    <row r="249" spans="1:42" ht="12" customHeight="1" x14ac:dyDescent="0.2">
      <c r="K249" s="1088"/>
    </row>
    <row r="250" spans="1:42" ht="12" customHeight="1" x14ac:dyDescent="0.2">
      <c r="K250" s="1088"/>
    </row>
    <row r="251" spans="1:42" ht="12" customHeight="1" x14ac:dyDescent="0.2">
      <c r="A251" s="1083"/>
      <c r="K251" s="1088"/>
    </row>
    <row r="252" spans="1:42" ht="12" customHeight="1" x14ac:dyDescent="0.2">
      <c r="K252" s="1088"/>
    </row>
    <row r="253" spans="1:42" ht="12" customHeight="1" x14ac:dyDescent="0.2">
      <c r="K253" s="1088"/>
    </row>
    <row r="254" spans="1:42" ht="12" customHeight="1" x14ac:dyDescent="0.2">
      <c r="K254" s="1088"/>
    </row>
    <row r="255" spans="1:42" ht="12" customHeight="1" x14ac:dyDescent="0.2">
      <c r="A255" s="1083"/>
      <c r="K255" s="1088"/>
    </row>
    <row r="256" spans="1:42" ht="12" customHeight="1" x14ac:dyDescent="0.2">
      <c r="K256" s="1088"/>
      <c r="AJ256" s="1086"/>
      <c r="AK256" s="1086"/>
      <c r="AL256" s="1086"/>
      <c r="AM256" s="1086"/>
      <c r="AO256" s="1086"/>
      <c r="AP256" s="1086"/>
    </row>
    <row r="257" spans="1:42" ht="12" customHeight="1" x14ac:dyDescent="0.2">
      <c r="A257" s="1083"/>
      <c r="K257" s="1088"/>
    </row>
    <row r="258" spans="1:42" ht="12" customHeight="1" x14ac:dyDescent="0.2">
      <c r="K258" s="1088"/>
      <c r="AJ258" s="1086"/>
      <c r="AK258" s="1086"/>
      <c r="AL258" s="1086"/>
      <c r="AM258" s="1086"/>
      <c r="AO258" s="1086"/>
      <c r="AP258" s="1086"/>
    </row>
    <row r="259" spans="1:42" ht="12" customHeight="1" x14ac:dyDescent="0.2">
      <c r="A259" s="1083"/>
      <c r="K259" s="1088"/>
    </row>
    <row r="260" spans="1:42" ht="12" customHeight="1" x14ac:dyDescent="0.2">
      <c r="K260" s="1088"/>
      <c r="AJ260" s="1086"/>
      <c r="AK260" s="1086"/>
      <c r="AL260" s="1086"/>
      <c r="AM260" s="1086"/>
      <c r="AO260" s="1086"/>
      <c r="AP260" s="1086"/>
    </row>
    <row r="261" spans="1:42" ht="12" customHeight="1" x14ac:dyDescent="0.2">
      <c r="A261" s="1083"/>
      <c r="K261" s="1088"/>
    </row>
    <row r="262" spans="1:42" ht="12" customHeight="1" x14ac:dyDescent="0.2">
      <c r="K262" s="1088"/>
      <c r="AJ262" s="1086"/>
      <c r="AK262" s="1086"/>
      <c r="AL262" s="1086"/>
      <c r="AM262" s="1086"/>
      <c r="AO262" s="1086"/>
      <c r="AP262" s="1086"/>
    </row>
    <row r="263" spans="1:42" ht="12" customHeight="1" x14ac:dyDescent="0.2">
      <c r="K263" s="1088"/>
      <c r="AJ263" s="1086"/>
      <c r="AK263" s="1086"/>
      <c r="AL263" s="1086"/>
      <c r="AM263" s="1086"/>
      <c r="AO263" s="1086"/>
      <c r="AP263" s="1086"/>
    </row>
    <row r="264" spans="1:42" ht="12" customHeight="1" x14ac:dyDescent="0.2">
      <c r="K264" s="1088"/>
      <c r="AJ264" s="1086"/>
      <c r="AK264" s="1086"/>
      <c r="AL264" s="1086"/>
      <c r="AM264" s="1086"/>
      <c r="AO264" s="1086"/>
      <c r="AP264" s="1086"/>
    </row>
    <row r="265" spans="1:42" ht="12" customHeight="1" x14ac:dyDescent="0.2">
      <c r="K265" s="1088"/>
      <c r="AJ265" s="1086"/>
      <c r="AK265" s="1086"/>
      <c r="AL265" s="1086"/>
      <c r="AM265" s="1086"/>
      <c r="AO265" s="1086"/>
      <c r="AP265" s="1086"/>
    </row>
    <row r="266" spans="1:42" ht="12" customHeight="1" x14ac:dyDescent="0.2">
      <c r="A266" s="1083"/>
      <c r="K266" s="1088"/>
    </row>
    <row r="267" spans="1:42" ht="12" customHeight="1" x14ac:dyDescent="0.2">
      <c r="K267" s="1088"/>
      <c r="AJ267" s="1086"/>
      <c r="AK267" s="1086"/>
      <c r="AL267" s="1086"/>
      <c r="AM267" s="1086"/>
      <c r="AO267" s="1086"/>
      <c r="AP267" s="1086"/>
    </row>
    <row r="268" spans="1:42" ht="12" customHeight="1" x14ac:dyDescent="0.2">
      <c r="K268" s="1088"/>
      <c r="AJ268" s="1086"/>
      <c r="AK268" s="1086"/>
      <c r="AL268" s="1086"/>
      <c r="AM268" s="1086"/>
      <c r="AO268" s="1086"/>
      <c r="AP268" s="1086"/>
    </row>
    <row r="269" spans="1:42" ht="12" customHeight="1" x14ac:dyDescent="0.2">
      <c r="K269" s="1088"/>
      <c r="AJ269" s="1086"/>
      <c r="AK269" s="1086"/>
      <c r="AL269" s="1086"/>
      <c r="AM269" s="1086"/>
      <c r="AO269" s="1086"/>
      <c r="AP269" s="1086"/>
    </row>
    <row r="270" spans="1:42" ht="12" customHeight="1" x14ac:dyDescent="0.2">
      <c r="K270" s="1088"/>
      <c r="AJ270" s="1086"/>
      <c r="AK270" s="1086"/>
      <c r="AL270" s="1086"/>
      <c r="AM270" s="1086"/>
      <c r="AO270" s="1086"/>
      <c r="AP270" s="1086"/>
    </row>
    <row r="271" spans="1:42" ht="12" customHeight="1" x14ac:dyDescent="0.2">
      <c r="K271" s="1088"/>
      <c r="AJ271" s="1086"/>
      <c r="AK271" s="1086"/>
      <c r="AL271" s="1086"/>
      <c r="AM271" s="1086"/>
      <c r="AO271" s="1086"/>
      <c r="AP271" s="1086"/>
    </row>
    <row r="272" spans="1:42" ht="12" customHeight="1" x14ac:dyDescent="0.2">
      <c r="K272" s="1088"/>
      <c r="AJ272" s="1086"/>
      <c r="AK272" s="1086"/>
      <c r="AL272" s="1086"/>
      <c r="AM272" s="1086"/>
      <c r="AO272" s="1086"/>
      <c r="AP272" s="1086"/>
    </row>
    <row r="273" spans="11:42" ht="12" customHeight="1" x14ac:dyDescent="0.2">
      <c r="K273" s="1088"/>
      <c r="AJ273" s="1086"/>
      <c r="AK273" s="1086"/>
      <c r="AL273" s="1086"/>
      <c r="AM273" s="1086"/>
      <c r="AO273" s="1086"/>
      <c r="AP273" s="1086"/>
    </row>
    <row r="274" spans="11:42" ht="12" customHeight="1" x14ac:dyDescent="0.2">
      <c r="K274" s="1088"/>
    </row>
    <row r="275" spans="11:42" ht="12" customHeight="1" x14ac:dyDescent="0.2">
      <c r="K275" s="1088"/>
    </row>
    <row r="276" spans="11:42" ht="12" customHeight="1" x14ac:dyDescent="0.2">
      <c r="K276" s="1088"/>
    </row>
    <row r="277" spans="11:42" ht="12" customHeight="1" x14ac:dyDescent="0.2">
      <c r="K277" s="1088"/>
    </row>
    <row r="278" spans="11:42" ht="12" customHeight="1" x14ac:dyDescent="0.2">
      <c r="K278" s="1088"/>
    </row>
    <row r="279" spans="11:42" ht="12" customHeight="1" x14ac:dyDescent="0.2">
      <c r="K279" s="1088"/>
    </row>
    <row r="280" spans="11:42" ht="12" customHeight="1" x14ac:dyDescent="0.2">
      <c r="K280" s="1088"/>
    </row>
    <row r="281" spans="11:42" ht="12" customHeight="1" x14ac:dyDescent="0.2">
      <c r="K281" s="1088"/>
    </row>
    <row r="282" spans="11:42" ht="12" customHeight="1" x14ac:dyDescent="0.2">
      <c r="K282" s="1088"/>
    </row>
    <row r="283" spans="11:42" ht="12" customHeight="1" x14ac:dyDescent="0.2">
      <c r="K283" s="1088"/>
    </row>
    <row r="284" spans="11:42" ht="12" customHeight="1" x14ac:dyDescent="0.2">
      <c r="K284" s="1088"/>
    </row>
    <row r="285" spans="11:42" ht="12" customHeight="1" x14ac:dyDescent="0.2">
      <c r="K285" s="1088"/>
    </row>
    <row r="286" spans="11:42" ht="12" customHeight="1" x14ac:dyDescent="0.2">
      <c r="K286" s="1088"/>
    </row>
    <row r="287" spans="11:42" ht="12" customHeight="1" x14ac:dyDescent="0.2">
      <c r="K287" s="1088"/>
    </row>
    <row r="288" spans="11:42" ht="12" customHeight="1" x14ac:dyDescent="0.2">
      <c r="K288" s="1088"/>
    </row>
    <row r="289" spans="11:11" ht="12" customHeight="1" x14ac:dyDescent="0.2">
      <c r="K289" s="1088"/>
    </row>
    <row r="290" spans="11:11" ht="12" customHeight="1" x14ac:dyDescent="0.2">
      <c r="K290" s="1088"/>
    </row>
    <row r="291" spans="11:11" ht="12" customHeight="1" x14ac:dyDescent="0.2">
      <c r="K291" s="1088"/>
    </row>
    <row r="292" spans="11:11" ht="12" customHeight="1" x14ac:dyDescent="0.2">
      <c r="K292" s="1088"/>
    </row>
    <row r="293" spans="11:11" ht="12" customHeight="1" x14ac:dyDescent="0.2">
      <c r="K293" s="1088"/>
    </row>
    <row r="294" spans="11:11" ht="12" customHeight="1" x14ac:dyDescent="0.2">
      <c r="K294" s="1088"/>
    </row>
    <row r="295" spans="11:11" ht="12" customHeight="1" x14ac:dyDescent="0.2">
      <c r="K295" s="1088"/>
    </row>
    <row r="296" spans="11:11" ht="12" customHeight="1" x14ac:dyDescent="0.2">
      <c r="K296" s="1088"/>
    </row>
    <row r="297" spans="11:11" ht="12" customHeight="1" x14ac:dyDescent="0.2">
      <c r="K297" s="1088"/>
    </row>
    <row r="298" spans="11:11" ht="12" customHeight="1" x14ac:dyDescent="0.2">
      <c r="K298" s="1088"/>
    </row>
    <row r="299" spans="11:11" ht="12" customHeight="1" x14ac:dyDescent="0.2">
      <c r="K299" s="1088"/>
    </row>
    <row r="300" spans="11:11" ht="12" customHeight="1" x14ac:dyDescent="0.2">
      <c r="K300" s="1088"/>
    </row>
    <row r="301" spans="11:11" ht="12" customHeight="1" x14ac:dyDescent="0.2">
      <c r="K301" s="1088"/>
    </row>
    <row r="302" spans="11:11" ht="12" customHeight="1" x14ac:dyDescent="0.2">
      <c r="K302" s="1088"/>
    </row>
    <row r="303" spans="11:11" ht="12" customHeight="1" x14ac:dyDescent="0.2">
      <c r="K303" s="1088"/>
    </row>
    <row r="304" spans="11:11" ht="12" customHeight="1" x14ac:dyDescent="0.2">
      <c r="K304" s="1088"/>
    </row>
    <row r="305" spans="11:11" ht="12" customHeight="1" x14ac:dyDescent="0.2">
      <c r="K305" s="1088"/>
    </row>
    <row r="306" spans="11:11" ht="12" customHeight="1" x14ac:dyDescent="0.2">
      <c r="K306" s="1088"/>
    </row>
    <row r="307" spans="11:11" ht="12" customHeight="1" x14ac:dyDescent="0.2">
      <c r="K307" s="1088"/>
    </row>
    <row r="308" spans="11:11" ht="12" customHeight="1" x14ac:dyDescent="0.2">
      <c r="K308" s="1088"/>
    </row>
    <row r="309" spans="11:11" ht="12" customHeight="1" x14ac:dyDescent="0.2">
      <c r="K309" s="1088"/>
    </row>
    <row r="310" spans="11:11" ht="12" customHeight="1" x14ac:dyDescent="0.2">
      <c r="K310" s="1088"/>
    </row>
    <row r="311" spans="11:11" ht="12" customHeight="1" x14ac:dyDescent="0.2">
      <c r="K311" s="1088"/>
    </row>
    <row r="312" spans="11:11" ht="12" customHeight="1" x14ac:dyDescent="0.2">
      <c r="K312" s="1088"/>
    </row>
    <row r="313" spans="11:11" ht="12" customHeight="1" x14ac:dyDescent="0.2">
      <c r="K313" s="1088"/>
    </row>
    <row r="314" spans="11:11" ht="12" customHeight="1" x14ac:dyDescent="0.2">
      <c r="K314" s="1088"/>
    </row>
    <row r="315" spans="11:11" ht="12" customHeight="1" x14ac:dyDescent="0.2">
      <c r="K315" s="1088"/>
    </row>
    <row r="316" spans="11:11" ht="12" customHeight="1" x14ac:dyDescent="0.2">
      <c r="K316" s="1088"/>
    </row>
    <row r="317" spans="11:11" ht="12" customHeight="1" x14ac:dyDescent="0.2">
      <c r="K317" s="1088"/>
    </row>
    <row r="318" spans="11:11" ht="12" customHeight="1" x14ac:dyDescent="0.2">
      <c r="K318" s="1088"/>
    </row>
    <row r="319" spans="11:11" ht="12" customHeight="1" x14ac:dyDescent="0.2">
      <c r="K319" s="1088"/>
    </row>
    <row r="320" spans="11:11" ht="12" customHeight="1" x14ac:dyDescent="0.2">
      <c r="K320" s="1088"/>
    </row>
    <row r="321" spans="11:11" ht="12" customHeight="1" x14ac:dyDescent="0.2">
      <c r="K321" s="1088"/>
    </row>
    <row r="322" spans="11:11" ht="12" customHeight="1" x14ac:dyDescent="0.2">
      <c r="K322" s="1088"/>
    </row>
    <row r="323" spans="11:11" ht="12" customHeight="1" x14ac:dyDescent="0.2">
      <c r="K323" s="1088"/>
    </row>
    <row r="324" spans="11:11" ht="12" customHeight="1" x14ac:dyDescent="0.2">
      <c r="K324" s="1088"/>
    </row>
    <row r="325" spans="11:11" ht="12" customHeight="1" x14ac:dyDescent="0.2">
      <c r="K325" s="1088"/>
    </row>
    <row r="326" spans="11:11" ht="12" customHeight="1" x14ac:dyDescent="0.2">
      <c r="K326" s="1088"/>
    </row>
    <row r="327" spans="11:11" ht="12" customHeight="1" x14ac:dyDescent="0.2">
      <c r="K327" s="1088"/>
    </row>
    <row r="328" spans="11:11" ht="12" customHeight="1" x14ac:dyDescent="0.2">
      <c r="K328" s="1088"/>
    </row>
    <row r="329" spans="11:11" ht="12" customHeight="1" x14ac:dyDescent="0.2">
      <c r="K329" s="1088"/>
    </row>
    <row r="330" spans="11:11" ht="12" customHeight="1" x14ac:dyDescent="0.2">
      <c r="K330" s="1088"/>
    </row>
    <row r="331" spans="11:11" ht="12" customHeight="1" x14ac:dyDescent="0.2">
      <c r="K331" s="1088"/>
    </row>
    <row r="332" spans="11:11" ht="12" customHeight="1" x14ac:dyDescent="0.2">
      <c r="K332" s="1088"/>
    </row>
    <row r="333" spans="11:11" ht="12" customHeight="1" x14ac:dyDescent="0.2">
      <c r="K333" s="1088"/>
    </row>
    <row r="334" spans="11:11" ht="12" customHeight="1" x14ac:dyDescent="0.2">
      <c r="K334" s="1088"/>
    </row>
    <row r="335" spans="11:11" ht="12" customHeight="1" x14ac:dyDescent="0.2">
      <c r="K335" s="1088"/>
    </row>
    <row r="336" spans="11:11" ht="12" customHeight="1" x14ac:dyDescent="0.2">
      <c r="K336" s="1088"/>
    </row>
    <row r="337" spans="11:11" ht="12" customHeight="1" x14ac:dyDescent="0.2">
      <c r="K337" s="1088"/>
    </row>
    <row r="338" spans="11:11" ht="12" customHeight="1" x14ac:dyDescent="0.2">
      <c r="K338" s="1088"/>
    </row>
    <row r="339" spans="11:11" ht="12" customHeight="1" x14ac:dyDescent="0.2">
      <c r="K339" s="1088"/>
    </row>
    <row r="340" spans="11:11" ht="12" customHeight="1" x14ac:dyDescent="0.2">
      <c r="K340" s="1088"/>
    </row>
    <row r="341" spans="11:11" ht="12" customHeight="1" x14ac:dyDescent="0.2">
      <c r="K341" s="1088"/>
    </row>
    <row r="342" spans="11:11" ht="12" customHeight="1" x14ac:dyDescent="0.2">
      <c r="K342" s="1088"/>
    </row>
    <row r="343" spans="11:11" ht="12" customHeight="1" x14ac:dyDescent="0.2">
      <c r="K343" s="1088"/>
    </row>
    <row r="344" spans="11:11" ht="12" customHeight="1" x14ac:dyDescent="0.2">
      <c r="K344" s="1088"/>
    </row>
    <row r="345" spans="11:11" ht="12" customHeight="1" x14ac:dyDescent="0.2">
      <c r="K345" s="1088"/>
    </row>
    <row r="346" spans="11:11" ht="12" customHeight="1" x14ac:dyDescent="0.2">
      <c r="K346" s="1088"/>
    </row>
    <row r="347" spans="11:11" ht="12" customHeight="1" x14ac:dyDescent="0.2">
      <c r="K347" s="1088"/>
    </row>
    <row r="348" spans="11:11" ht="12" customHeight="1" x14ac:dyDescent="0.2">
      <c r="K348" s="1088"/>
    </row>
    <row r="349" spans="11:11" ht="12" customHeight="1" x14ac:dyDescent="0.2">
      <c r="K349" s="1088"/>
    </row>
    <row r="350" spans="11:11" ht="12" customHeight="1" x14ac:dyDescent="0.2">
      <c r="K350" s="1088"/>
    </row>
    <row r="351" spans="11:11" ht="12" customHeight="1" x14ac:dyDescent="0.2">
      <c r="K351" s="1088"/>
    </row>
    <row r="352" spans="11:11" ht="12" customHeight="1" x14ac:dyDescent="0.2">
      <c r="K352" s="1088"/>
    </row>
    <row r="353" spans="11:11" ht="12" customHeight="1" x14ac:dyDescent="0.2">
      <c r="K353" s="1088"/>
    </row>
    <row r="354" spans="11:11" ht="12" customHeight="1" x14ac:dyDescent="0.2">
      <c r="K354" s="1088"/>
    </row>
    <row r="355" spans="11:11" ht="12" customHeight="1" x14ac:dyDescent="0.2">
      <c r="K355" s="1088"/>
    </row>
    <row r="356" spans="11:11" ht="12" customHeight="1" x14ac:dyDescent="0.2">
      <c r="K356" s="1088"/>
    </row>
    <row r="357" spans="11:11" ht="12" customHeight="1" x14ac:dyDescent="0.2">
      <c r="K357" s="1088"/>
    </row>
    <row r="358" spans="11:11" ht="12" customHeight="1" x14ac:dyDescent="0.2">
      <c r="K358" s="1088"/>
    </row>
    <row r="359" spans="11:11" ht="12" customHeight="1" x14ac:dyDescent="0.2">
      <c r="K359" s="1088"/>
    </row>
    <row r="360" spans="11:11" ht="12" customHeight="1" x14ac:dyDescent="0.2">
      <c r="K360" s="1088"/>
    </row>
    <row r="361" spans="11:11" ht="12" customHeight="1" x14ac:dyDescent="0.2">
      <c r="K361" s="1088"/>
    </row>
    <row r="362" spans="11:11" ht="12" customHeight="1" x14ac:dyDescent="0.2">
      <c r="K362" s="1088"/>
    </row>
    <row r="363" spans="11:11" ht="12" customHeight="1" x14ac:dyDescent="0.2">
      <c r="K363" s="1088"/>
    </row>
    <row r="364" spans="11:11" ht="12" customHeight="1" x14ac:dyDescent="0.2">
      <c r="K364" s="1088"/>
    </row>
    <row r="365" spans="11:11" ht="12" customHeight="1" x14ac:dyDescent="0.2">
      <c r="K365" s="1088"/>
    </row>
    <row r="366" spans="11:11" ht="12" customHeight="1" x14ac:dyDescent="0.2">
      <c r="K366" s="1088"/>
    </row>
    <row r="367" spans="11:11" ht="12" customHeight="1" x14ac:dyDescent="0.2">
      <c r="K367" s="1088"/>
    </row>
    <row r="368" spans="11:11" ht="12" customHeight="1" x14ac:dyDescent="0.2">
      <c r="K368" s="1088"/>
    </row>
    <row r="369" spans="11:11" ht="12" customHeight="1" x14ac:dyDescent="0.2">
      <c r="K369" s="1088"/>
    </row>
    <row r="370" spans="11:11" ht="12" customHeight="1" x14ac:dyDescent="0.2">
      <c r="K370" s="1088"/>
    </row>
    <row r="371" spans="11:11" ht="12" customHeight="1" x14ac:dyDescent="0.2">
      <c r="K371" s="1088"/>
    </row>
    <row r="372" spans="11:11" ht="12" customHeight="1" x14ac:dyDescent="0.2">
      <c r="K372" s="1088"/>
    </row>
    <row r="373" spans="11:11" ht="12" customHeight="1" x14ac:dyDescent="0.2">
      <c r="K373" s="1088"/>
    </row>
    <row r="374" spans="11:11" ht="12" customHeight="1" x14ac:dyDescent="0.2">
      <c r="K374" s="1088"/>
    </row>
    <row r="375" spans="11:11" ht="12" customHeight="1" x14ac:dyDescent="0.2">
      <c r="K375" s="1088"/>
    </row>
    <row r="376" spans="11:11" ht="12" customHeight="1" x14ac:dyDescent="0.2">
      <c r="K376" s="1088"/>
    </row>
    <row r="377" spans="11:11" ht="12" customHeight="1" x14ac:dyDescent="0.2">
      <c r="K377" s="1088"/>
    </row>
    <row r="378" spans="11:11" ht="12" customHeight="1" x14ac:dyDescent="0.2">
      <c r="K378" s="1088"/>
    </row>
    <row r="379" spans="11:11" ht="12" customHeight="1" x14ac:dyDescent="0.2">
      <c r="K379" s="1088"/>
    </row>
    <row r="380" spans="11:11" ht="12" customHeight="1" x14ac:dyDescent="0.2">
      <c r="K380" s="1088"/>
    </row>
    <row r="381" spans="11:11" ht="12" customHeight="1" x14ac:dyDescent="0.2">
      <c r="K381" s="1088"/>
    </row>
    <row r="382" spans="11:11" ht="12" customHeight="1" x14ac:dyDescent="0.2">
      <c r="K382" s="1088"/>
    </row>
    <row r="383" spans="11:11" ht="12" customHeight="1" x14ac:dyDescent="0.2">
      <c r="K383" s="1088"/>
    </row>
    <row r="384" spans="11:11" ht="12" customHeight="1" x14ac:dyDescent="0.2">
      <c r="K384" s="1088"/>
    </row>
    <row r="385" spans="11:11" ht="12" customHeight="1" x14ac:dyDescent="0.2">
      <c r="K385" s="1088"/>
    </row>
    <row r="386" spans="11:11" ht="12" customHeight="1" x14ac:dyDescent="0.2">
      <c r="K386" s="1088"/>
    </row>
    <row r="387" spans="11:11" ht="12" customHeight="1" x14ac:dyDescent="0.2">
      <c r="K387" s="1088"/>
    </row>
    <row r="388" spans="11:11" ht="12" customHeight="1" x14ac:dyDescent="0.2">
      <c r="K388" s="1088"/>
    </row>
    <row r="389" spans="11:11" ht="12" customHeight="1" x14ac:dyDescent="0.2">
      <c r="K389" s="1088"/>
    </row>
    <row r="390" spans="11:11" ht="12" customHeight="1" x14ac:dyDescent="0.2">
      <c r="K390" s="1088"/>
    </row>
    <row r="391" spans="11:11" ht="12" customHeight="1" x14ac:dyDescent="0.2">
      <c r="K391" s="1088"/>
    </row>
    <row r="392" spans="11:11" ht="12" customHeight="1" x14ac:dyDescent="0.2">
      <c r="K392" s="1088"/>
    </row>
    <row r="393" spans="11:11" ht="12" customHeight="1" x14ac:dyDescent="0.2">
      <c r="K393" s="1088"/>
    </row>
    <row r="394" spans="11:11" ht="12" customHeight="1" x14ac:dyDescent="0.2">
      <c r="K394" s="1088"/>
    </row>
    <row r="395" spans="11:11" ht="12" customHeight="1" x14ac:dyDescent="0.2">
      <c r="K395" s="1088"/>
    </row>
    <row r="396" spans="11:11" ht="12" customHeight="1" x14ac:dyDescent="0.2">
      <c r="K396" s="1088"/>
    </row>
    <row r="397" spans="11:11" ht="12" customHeight="1" x14ac:dyDescent="0.2">
      <c r="K397" s="1088"/>
    </row>
    <row r="398" spans="11:11" ht="12" customHeight="1" x14ac:dyDescent="0.2">
      <c r="K398" s="1088"/>
    </row>
    <row r="399" spans="11:11" ht="12" customHeight="1" x14ac:dyDescent="0.2">
      <c r="K399" s="1088"/>
    </row>
    <row r="400" spans="11:11" ht="12" customHeight="1" x14ac:dyDescent="0.2">
      <c r="K400" s="1088"/>
    </row>
    <row r="401" spans="11:11" ht="12" customHeight="1" x14ac:dyDescent="0.2">
      <c r="K401" s="1088"/>
    </row>
    <row r="402" spans="11:11" ht="12" customHeight="1" x14ac:dyDescent="0.2">
      <c r="K402" s="1088"/>
    </row>
    <row r="403" spans="11:11" ht="12" customHeight="1" x14ac:dyDescent="0.2">
      <c r="K403" s="1088"/>
    </row>
    <row r="404" spans="11:11" ht="12" customHeight="1" x14ac:dyDescent="0.2">
      <c r="K404" s="1088"/>
    </row>
    <row r="405" spans="11:11" ht="12" customHeight="1" x14ac:dyDescent="0.2">
      <c r="K405" s="1088"/>
    </row>
    <row r="406" spans="11:11" ht="12" customHeight="1" x14ac:dyDescent="0.2">
      <c r="K406" s="1088"/>
    </row>
    <row r="407" spans="11:11" ht="12" customHeight="1" x14ac:dyDescent="0.2">
      <c r="K407" s="1088"/>
    </row>
    <row r="408" spans="11:11" ht="12" customHeight="1" x14ac:dyDescent="0.2">
      <c r="K408" s="1088"/>
    </row>
    <row r="409" spans="11:11" ht="12" customHeight="1" x14ac:dyDescent="0.2">
      <c r="K409" s="1088"/>
    </row>
    <row r="410" spans="11:11" ht="12" customHeight="1" x14ac:dyDescent="0.2">
      <c r="K410" s="1088"/>
    </row>
    <row r="411" spans="11:11" ht="12" customHeight="1" x14ac:dyDescent="0.2">
      <c r="K411" s="1088"/>
    </row>
    <row r="412" spans="11:11" ht="12" customHeight="1" x14ac:dyDescent="0.2">
      <c r="K412" s="1088"/>
    </row>
    <row r="413" spans="11:11" ht="12" customHeight="1" x14ac:dyDescent="0.2">
      <c r="K413" s="1088"/>
    </row>
    <row r="414" spans="11:11" ht="12" customHeight="1" x14ac:dyDescent="0.2">
      <c r="K414" s="1088"/>
    </row>
    <row r="415" spans="11:11" ht="12" customHeight="1" x14ac:dyDescent="0.2">
      <c r="K415" s="1088"/>
    </row>
    <row r="416" spans="11:11" ht="12" customHeight="1" x14ac:dyDescent="0.2">
      <c r="K416" s="1088"/>
    </row>
    <row r="417" spans="11:11" ht="12" customHeight="1" x14ac:dyDescent="0.2">
      <c r="K417" s="1088"/>
    </row>
    <row r="418" spans="11:11" ht="12" customHeight="1" x14ac:dyDescent="0.2">
      <c r="K418" s="1088"/>
    </row>
    <row r="419" spans="11:11" ht="12" customHeight="1" x14ac:dyDescent="0.2">
      <c r="K419" s="1088"/>
    </row>
    <row r="420" spans="11:11" ht="12" customHeight="1" x14ac:dyDescent="0.2">
      <c r="K420" s="1088"/>
    </row>
    <row r="421" spans="11:11" ht="12" customHeight="1" x14ac:dyDescent="0.2">
      <c r="K421" s="1088"/>
    </row>
    <row r="422" spans="11:11" ht="12" customHeight="1" x14ac:dyDescent="0.2">
      <c r="K422" s="1088"/>
    </row>
    <row r="423" spans="11:11" ht="12" customHeight="1" x14ac:dyDescent="0.2">
      <c r="K423" s="1088"/>
    </row>
    <row r="424" spans="11:11" ht="12" customHeight="1" x14ac:dyDescent="0.2">
      <c r="K424" s="1088"/>
    </row>
    <row r="425" spans="11:11" ht="12" customHeight="1" x14ac:dyDescent="0.2">
      <c r="K425" s="1088"/>
    </row>
    <row r="426" spans="11:11" ht="12" customHeight="1" x14ac:dyDescent="0.2">
      <c r="K426" s="1088"/>
    </row>
    <row r="427" spans="11:11" ht="12" customHeight="1" x14ac:dyDescent="0.2">
      <c r="K427" s="1088"/>
    </row>
    <row r="428" spans="11:11" ht="12" customHeight="1" x14ac:dyDescent="0.2">
      <c r="K428" s="1088"/>
    </row>
    <row r="429" spans="11:11" ht="12" customHeight="1" x14ac:dyDescent="0.2">
      <c r="K429" s="1088"/>
    </row>
    <row r="430" spans="11:11" ht="12" customHeight="1" x14ac:dyDescent="0.2">
      <c r="K430" s="1088"/>
    </row>
    <row r="431" spans="11:11" ht="12" customHeight="1" x14ac:dyDescent="0.2">
      <c r="K431" s="1088"/>
    </row>
    <row r="432" spans="11:11" ht="12" customHeight="1" x14ac:dyDescent="0.2">
      <c r="K432" s="1088"/>
    </row>
    <row r="433" spans="11:11" ht="12" customHeight="1" x14ac:dyDescent="0.2">
      <c r="K433" s="1088"/>
    </row>
    <row r="434" spans="11:11" ht="12" customHeight="1" x14ac:dyDescent="0.2">
      <c r="K434" s="1088"/>
    </row>
    <row r="435" spans="11:11" ht="12" customHeight="1" x14ac:dyDescent="0.2">
      <c r="K435" s="1088"/>
    </row>
    <row r="436" spans="11:11" ht="12" customHeight="1" x14ac:dyDescent="0.2">
      <c r="K436" s="1088"/>
    </row>
    <row r="437" spans="11:11" ht="12" customHeight="1" x14ac:dyDescent="0.2">
      <c r="K437" s="1088"/>
    </row>
    <row r="438" spans="11:11" ht="12" customHeight="1" x14ac:dyDescent="0.2">
      <c r="K438" s="1088"/>
    </row>
    <row r="439" spans="11:11" ht="12" customHeight="1" x14ac:dyDescent="0.2">
      <c r="K439" s="1088"/>
    </row>
    <row r="440" spans="11:11" ht="12" customHeight="1" x14ac:dyDescent="0.2">
      <c r="K440" s="1088"/>
    </row>
    <row r="441" spans="11:11" ht="12" customHeight="1" x14ac:dyDescent="0.2">
      <c r="K441" s="1088"/>
    </row>
    <row r="442" spans="11:11" ht="12" customHeight="1" x14ac:dyDescent="0.2">
      <c r="K442" s="1088"/>
    </row>
    <row r="443" spans="11:11" ht="12" customHeight="1" x14ac:dyDescent="0.2">
      <c r="K443" s="1088"/>
    </row>
    <row r="444" spans="11:11" ht="12" customHeight="1" x14ac:dyDescent="0.2">
      <c r="K444" s="1088"/>
    </row>
    <row r="445" spans="11:11" ht="12" customHeight="1" x14ac:dyDescent="0.2">
      <c r="K445" s="1088"/>
    </row>
    <row r="446" spans="11:11" ht="12" customHeight="1" x14ac:dyDescent="0.2">
      <c r="K446" s="1088"/>
    </row>
    <row r="447" spans="11:11" ht="12" customHeight="1" x14ac:dyDescent="0.2">
      <c r="K447" s="1088"/>
    </row>
    <row r="448" spans="11:11" ht="12" customHeight="1" x14ac:dyDescent="0.2">
      <c r="K448" s="1088"/>
    </row>
    <row r="449" spans="11:11" ht="12" customHeight="1" x14ac:dyDescent="0.2">
      <c r="K449" s="1088"/>
    </row>
    <row r="450" spans="11:11" ht="12" customHeight="1" x14ac:dyDescent="0.2">
      <c r="K450" s="1088"/>
    </row>
    <row r="451" spans="11:11" ht="12" customHeight="1" x14ac:dyDescent="0.2">
      <c r="K451" s="1088"/>
    </row>
    <row r="452" spans="11:11" ht="12" customHeight="1" x14ac:dyDescent="0.2">
      <c r="K452" s="1088"/>
    </row>
    <row r="453" spans="11:11" ht="12" customHeight="1" x14ac:dyDescent="0.2">
      <c r="K453" s="1088"/>
    </row>
    <row r="454" spans="11:11" ht="12" customHeight="1" x14ac:dyDescent="0.2">
      <c r="K454" s="1088"/>
    </row>
    <row r="455" spans="11:11" ht="12" customHeight="1" x14ac:dyDescent="0.2">
      <c r="K455" s="1088"/>
    </row>
    <row r="456" spans="11:11" ht="12" customHeight="1" x14ac:dyDescent="0.2">
      <c r="K456" s="1088"/>
    </row>
    <row r="457" spans="11:11" ht="12" customHeight="1" x14ac:dyDescent="0.2">
      <c r="K457" s="1088"/>
    </row>
    <row r="458" spans="11:11" ht="12" customHeight="1" x14ac:dyDescent="0.2">
      <c r="K458" s="1088"/>
    </row>
    <row r="459" spans="11:11" ht="12" customHeight="1" x14ac:dyDescent="0.2">
      <c r="K459" s="1088"/>
    </row>
    <row r="460" spans="11:11" ht="12" customHeight="1" x14ac:dyDescent="0.2">
      <c r="K460" s="1088"/>
    </row>
    <row r="461" spans="11:11" ht="12" customHeight="1" x14ac:dyDescent="0.2">
      <c r="K461" s="1088"/>
    </row>
    <row r="462" spans="11:11" ht="12" customHeight="1" x14ac:dyDescent="0.2">
      <c r="K462" s="1088"/>
    </row>
    <row r="463" spans="11:11" ht="12" customHeight="1" x14ac:dyDescent="0.2">
      <c r="K463" s="1088"/>
    </row>
    <row r="464" spans="11:11" ht="12" customHeight="1" x14ac:dyDescent="0.2">
      <c r="K464" s="1088"/>
    </row>
    <row r="465" spans="11:11" ht="12" customHeight="1" x14ac:dyDescent="0.2">
      <c r="K465" s="1088"/>
    </row>
    <row r="466" spans="11:11" ht="12" customHeight="1" x14ac:dyDescent="0.2">
      <c r="K466" s="1088"/>
    </row>
    <row r="467" spans="11:11" ht="12" customHeight="1" x14ac:dyDescent="0.2">
      <c r="K467" s="1088"/>
    </row>
    <row r="468" spans="11:11" ht="12" customHeight="1" x14ac:dyDescent="0.2">
      <c r="K468" s="1088"/>
    </row>
    <row r="469" spans="11:11" ht="12" customHeight="1" x14ac:dyDescent="0.2">
      <c r="K469" s="1088"/>
    </row>
    <row r="470" spans="11:11" ht="12" customHeight="1" x14ac:dyDescent="0.2">
      <c r="K470" s="1088"/>
    </row>
    <row r="471" spans="11:11" ht="12" customHeight="1" x14ac:dyDescent="0.2">
      <c r="K471" s="1088"/>
    </row>
    <row r="472" spans="11:11" ht="12" customHeight="1" x14ac:dyDescent="0.2">
      <c r="K472" s="1088"/>
    </row>
    <row r="473" spans="11:11" ht="12" customHeight="1" x14ac:dyDescent="0.2">
      <c r="K473" s="1088"/>
    </row>
    <row r="474" spans="11:11" ht="12" customHeight="1" x14ac:dyDescent="0.2">
      <c r="K474" s="1088"/>
    </row>
    <row r="475" spans="11:11" ht="12" customHeight="1" x14ac:dyDescent="0.2">
      <c r="K475" s="1088"/>
    </row>
    <row r="476" spans="11:11" ht="12" customHeight="1" x14ac:dyDescent="0.2">
      <c r="K476" s="1088"/>
    </row>
    <row r="477" spans="11:11" ht="12" customHeight="1" x14ac:dyDescent="0.2">
      <c r="K477" s="1088"/>
    </row>
    <row r="478" spans="11:11" ht="12" customHeight="1" x14ac:dyDescent="0.2">
      <c r="K478" s="1088"/>
    </row>
    <row r="479" spans="11:11" ht="12" customHeight="1" x14ac:dyDescent="0.2">
      <c r="K479" s="1088"/>
    </row>
    <row r="480" spans="11:11" ht="12" customHeight="1" x14ac:dyDescent="0.2">
      <c r="K480" s="1088"/>
    </row>
    <row r="481" spans="11:11" ht="12" customHeight="1" x14ac:dyDescent="0.2">
      <c r="K481" s="1088"/>
    </row>
    <row r="482" spans="11:11" ht="12" customHeight="1" x14ac:dyDescent="0.2">
      <c r="K482" s="1088"/>
    </row>
    <row r="483" spans="11:11" ht="12" customHeight="1" x14ac:dyDescent="0.2">
      <c r="K483" s="1088"/>
    </row>
    <row r="484" spans="11:11" ht="12" customHeight="1" x14ac:dyDescent="0.2">
      <c r="K484" s="1088"/>
    </row>
    <row r="485" spans="11:11" ht="12" customHeight="1" x14ac:dyDescent="0.2">
      <c r="K485" s="1088"/>
    </row>
    <row r="486" spans="11:11" ht="12" customHeight="1" x14ac:dyDescent="0.2">
      <c r="K486" s="1088"/>
    </row>
    <row r="487" spans="11:11" ht="12" customHeight="1" x14ac:dyDescent="0.2">
      <c r="K487" s="1088"/>
    </row>
    <row r="488" spans="11:11" ht="12" customHeight="1" x14ac:dyDescent="0.2">
      <c r="K488" s="1088"/>
    </row>
    <row r="489" spans="11:11" ht="12" customHeight="1" x14ac:dyDescent="0.2">
      <c r="K489" s="1088"/>
    </row>
    <row r="490" spans="11:11" ht="12" customHeight="1" x14ac:dyDescent="0.2">
      <c r="K490" s="1088"/>
    </row>
    <row r="491" spans="11:11" ht="12" customHeight="1" x14ac:dyDescent="0.2">
      <c r="K491" s="1088"/>
    </row>
    <row r="492" spans="11:11" ht="12" customHeight="1" x14ac:dyDescent="0.2">
      <c r="K492" s="1088"/>
    </row>
    <row r="493" spans="11:11" ht="12" customHeight="1" x14ac:dyDescent="0.2">
      <c r="K493" s="1088"/>
    </row>
    <row r="494" spans="11:11" ht="12" customHeight="1" x14ac:dyDescent="0.2">
      <c r="K494" s="1088"/>
    </row>
    <row r="495" spans="11:11" ht="12" customHeight="1" x14ac:dyDescent="0.2">
      <c r="K495" s="1088"/>
    </row>
    <row r="496" spans="11:11" ht="12" customHeight="1" x14ac:dyDescent="0.2">
      <c r="K496" s="1088"/>
    </row>
    <row r="497" spans="11:11" ht="12" customHeight="1" x14ac:dyDescent="0.2">
      <c r="K497" s="1088"/>
    </row>
    <row r="498" spans="11:11" ht="12" customHeight="1" x14ac:dyDescent="0.2">
      <c r="K498" s="1088"/>
    </row>
    <row r="499" spans="11:11" ht="12" customHeight="1" x14ac:dyDescent="0.2">
      <c r="K499" s="1088"/>
    </row>
    <row r="500" spans="11:11" ht="12" customHeight="1" x14ac:dyDescent="0.2">
      <c r="K500" s="1088"/>
    </row>
    <row r="501" spans="11:11" ht="12" customHeight="1" x14ac:dyDescent="0.2">
      <c r="K501" s="1088"/>
    </row>
    <row r="502" spans="11:11" ht="12" customHeight="1" x14ac:dyDescent="0.2">
      <c r="K502" s="1088"/>
    </row>
    <row r="503" spans="11:11" ht="12" customHeight="1" x14ac:dyDescent="0.2">
      <c r="K503" s="1088"/>
    </row>
    <row r="504" spans="11:11" ht="12" customHeight="1" x14ac:dyDescent="0.2">
      <c r="K504" s="1088"/>
    </row>
    <row r="505" spans="11:11" ht="12" customHeight="1" x14ac:dyDescent="0.2">
      <c r="K505" s="1088"/>
    </row>
    <row r="506" spans="11:11" ht="12" customHeight="1" x14ac:dyDescent="0.2">
      <c r="K506" s="1088"/>
    </row>
    <row r="507" spans="11:11" ht="12" customHeight="1" x14ac:dyDescent="0.2">
      <c r="K507" s="1088"/>
    </row>
    <row r="508" spans="11:11" ht="12" customHeight="1" x14ac:dyDescent="0.2">
      <c r="K508" s="1088"/>
    </row>
    <row r="509" spans="11:11" ht="12" customHeight="1" x14ac:dyDescent="0.2">
      <c r="K509" s="1088"/>
    </row>
    <row r="510" spans="11:11" ht="12" customHeight="1" x14ac:dyDescent="0.2">
      <c r="K510" s="1088"/>
    </row>
    <row r="511" spans="11:11" ht="12" customHeight="1" x14ac:dyDescent="0.2">
      <c r="K511" s="1088"/>
    </row>
    <row r="512" spans="11:11" ht="12" customHeight="1" x14ac:dyDescent="0.2">
      <c r="K512" s="1088"/>
    </row>
    <row r="513" spans="11:11" ht="12" customHeight="1" x14ac:dyDescent="0.2">
      <c r="K513" s="1088"/>
    </row>
    <row r="514" spans="11:11" ht="12" customHeight="1" x14ac:dyDescent="0.2">
      <c r="K514" s="1088"/>
    </row>
    <row r="515" spans="11:11" ht="12" customHeight="1" x14ac:dyDescent="0.2">
      <c r="K515" s="1088"/>
    </row>
    <row r="516" spans="11:11" ht="12" customHeight="1" x14ac:dyDescent="0.2">
      <c r="K516" s="1088"/>
    </row>
    <row r="517" spans="11:11" ht="12" customHeight="1" x14ac:dyDescent="0.2">
      <c r="K517" s="1088"/>
    </row>
    <row r="518" spans="11:11" ht="12" customHeight="1" x14ac:dyDescent="0.2">
      <c r="K518" s="1088"/>
    </row>
    <row r="519" spans="11:11" ht="12" customHeight="1" x14ac:dyDescent="0.2">
      <c r="K519" s="1088"/>
    </row>
    <row r="520" spans="11:11" ht="12" customHeight="1" x14ac:dyDescent="0.2">
      <c r="K520" s="1088"/>
    </row>
    <row r="521" spans="11:11" ht="12" customHeight="1" x14ac:dyDescent="0.2">
      <c r="K521" s="1088"/>
    </row>
    <row r="522" spans="11:11" ht="12" customHeight="1" x14ac:dyDescent="0.2">
      <c r="K522" s="1088"/>
    </row>
    <row r="523" spans="11:11" ht="12" customHeight="1" x14ac:dyDescent="0.2">
      <c r="K523" s="1088"/>
    </row>
    <row r="524" spans="11:11" ht="12" customHeight="1" x14ac:dyDescent="0.2">
      <c r="K524" s="1088"/>
    </row>
    <row r="525" spans="11:11" ht="12" customHeight="1" x14ac:dyDescent="0.2">
      <c r="K525" s="1088"/>
    </row>
    <row r="526" spans="11:11" ht="12" customHeight="1" x14ac:dyDescent="0.2">
      <c r="K526" s="1088"/>
    </row>
    <row r="527" spans="11:11" ht="12" customHeight="1" x14ac:dyDescent="0.2">
      <c r="K527" s="1088"/>
    </row>
    <row r="528" spans="11:11" ht="12" customHeight="1" x14ac:dyDescent="0.2">
      <c r="K528" s="1088"/>
    </row>
    <row r="529" spans="11:11" ht="12" customHeight="1" x14ac:dyDescent="0.2">
      <c r="K529" s="1088"/>
    </row>
    <row r="530" spans="11:11" ht="12" customHeight="1" x14ac:dyDescent="0.2">
      <c r="K530" s="1088"/>
    </row>
    <row r="531" spans="11:11" ht="12" customHeight="1" x14ac:dyDescent="0.2">
      <c r="K531" s="1088"/>
    </row>
    <row r="532" spans="11:11" ht="12" customHeight="1" x14ac:dyDescent="0.2">
      <c r="K532" s="1088"/>
    </row>
    <row r="533" spans="11:11" ht="12" customHeight="1" x14ac:dyDescent="0.2">
      <c r="K533" s="1088"/>
    </row>
    <row r="534" spans="11:11" ht="12" customHeight="1" x14ac:dyDescent="0.2">
      <c r="K534" s="1088"/>
    </row>
    <row r="535" spans="11:11" ht="12" customHeight="1" x14ac:dyDescent="0.2">
      <c r="K535" s="1088"/>
    </row>
    <row r="536" spans="11:11" ht="12" customHeight="1" x14ac:dyDescent="0.2">
      <c r="K536" s="1088"/>
    </row>
    <row r="537" spans="11:11" ht="12" customHeight="1" x14ac:dyDescent="0.2">
      <c r="K537" s="1088"/>
    </row>
    <row r="538" spans="11:11" ht="12" customHeight="1" x14ac:dyDescent="0.2">
      <c r="K538" s="1088"/>
    </row>
    <row r="539" spans="11:11" ht="12" customHeight="1" x14ac:dyDescent="0.2">
      <c r="K539" s="1088"/>
    </row>
    <row r="540" spans="11:11" ht="12" customHeight="1" x14ac:dyDescent="0.2">
      <c r="K540" s="1088"/>
    </row>
    <row r="541" spans="11:11" ht="12" customHeight="1" x14ac:dyDescent="0.2">
      <c r="K541" s="1088"/>
    </row>
    <row r="542" spans="11:11" ht="12" customHeight="1" x14ac:dyDescent="0.2">
      <c r="K542" s="1088"/>
    </row>
  </sheetData>
  <phoneticPr fontId="0" type="noConversion"/>
  <pageMargins left="0.75" right="0.75" top="1" bottom="1" header="0.5" footer="0.5"/>
  <pageSetup paperSize="9" orientation="landscape" horizont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6736-6783-4E89-82E6-64AD29052253}">
  <sheetPr>
    <tabColor rgb="FFFFC000"/>
  </sheetPr>
  <dimension ref="A1:AZ162"/>
  <sheetViews>
    <sheetView topLeftCell="AO153" workbookViewId="0">
      <selection activeCell="W26" sqref="W26"/>
    </sheetView>
  </sheetViews>
  <sheetFormatPr defaultRowHeight="12.75" x14ac:dyDescent="0.2"/>
  <cols>
    <col min="1" max="1" width="20.42578125" bestFit="1" customWidth="1"/>
    <col min="2" max="2" width="17.85546875" bestFit="1" customWidth="1"/>
    <col min="3" max="3" width="44.5703125" bestFit="1" customWidth="1"/>
    <col min="5" max="5" width="9.42578125" bestFit="1" customWidth="1"/>
    <col min="22" max="22" width="17.5703125" bestFit="1" customWidth="1"/>
    <col min="31" max="31" width="17.5703125" bestFit="1" customWidth="1"/>
    <col min="39" max="44" width="16.42578125" bestFit="1" customWidth="1"/>
  </cols>
  <sheetData>
    <row r="1" spans="1:52" s="1084" customFormat="1" ht="12" customHeight="1" x14ac:dyDescent="0.2">
      <c r="A1" s="1083" t="s">
        <v>473</v>
      </c>
      <c r="B1" s="1084" t="s">
        <v>7</v>
      </c>
      <c r="D1" s="1085"/>
      <c r="E1" s="1085"/>
      <c r="F1" s="1085"/>
      <c r="AJ1" s="1083"/>
      <c r="AK1" s="1083"/>
      <c r="AL1" s="1083"/>
      <c r="AM1" s="1083"/>
      <c r="AN1" s="1083"/>
    </row>
    <row r="2" spans="1:52" s="1084" customFormat="1" ht="12" customHeight="1" x14ac:dyDescent="0.2">
      <c r="D2" s="1085"/>
      <c r="E2" s="1085"/>
      <c r="F2" s="1085"/>
    </row>
    <row r="3" spans="1:52" s="1084" customFormat="1" ht="12" customHeight="1" x14ac:dyDescent="0.2">
      <c r="D3" s="1085"/>
      <c r="E3" s="1085"/>
      <c r="F3" s="1085"/>
    </row>
    <row r="4" spans="1:52" s="1084" customFormat="1" ht="19.5" customHeight="1" x14ac:dyDescent="0.2">
      <c r="D4" s="1085"/>
      <c r="E4" s="1085"/>
      <c r="F4" s="1085"/>
    </row>
    <row r="5" spans="1:52" s="1084" customFormat="1" ht="12" customHeight="1" x14ac:dyDescent="0.2">
      <c r="D5" s="1085"/>
      <c r="E5" s="1085"/>
      <c r="F5" s="1080"/>
    </row>
    <row r="6" spans="1:52" s="1084" customFormat="1" ht="12" customHeight="1" x14ac:dyDescent="0.2">
      <c r="A6" s="1090" t="s">
        <v>717</v>
      </c>
      <c r="B6" s="1090" t="s">
        <v>158</v>
      </c>
      <c r="C6" s="1090" t="s">
        <v>2104</v>
      </c>
      <c r="D6" s="1090" t="s">
        <v>2061</v>
      </c>
      <c r="E6" s="1090" t="s">
        <v>168</v>
      </c>
      <c r="F6" s="1090" t="s">
        <v>169</v>
      </c>
      <c r="G6" s="1090" t="s">
        <v>2102</v>
      </c>
      <c r="H6" s="1090" t="s">
        <v>2062</v>
      </c>
      <c r="I6" s="1090" t="s">
        <v>2063</v>
      </c>
      <c r="J6" s="1090" t="s">
        <v>2064</v>
      </c>
      <c r="K6" s="1090" t="s">
        <v>475</v>
      </c>
      <c r="L6" s="1090" t="s">
        <v>2065</v>
      </c>
      <c r="M6" s="1090" t="s">
        <v>2066</v>
      </c>
      <c r="N6" s="1090" t="s">
        <v>2067</v>
      </c>
      <c r="O6" s="1090" t="s">
        <v>2068</v>
      </c>
      <c r="P6" s="1090" t="s">
        <v>2069</v>
      </c>
      <c r="Q6" s="1090" t="s">
        <v>2070</v>
      </c>
      <c r="R6" s="1090" t="s">
        <v>2071</v>
      </c>
      <c r="S6" s="1090" t="s">
        <v>2072</v>
      </c>
      <c r="T6" s="1090" t="s">
        <v>2073</v>
      </c>
      <c r="U6" s="1090" t="s">
        <v>2074</v>
      </c>
      <c r="V6" s="1090" t="s">
        <v>2075</v>
      </c>
      <c r="W6" s="1090" t="s">
        <v>2076</v>
      </c>
      <c r="X6" s="1090" t="s">
        <v>2077</v>
      </c>
      <c r="Y6" s="1090" t="s">
        <v>2078</v>
      </c>
      <c r="Z6" s="1090" t="s">
        <v>2079</v>
      </c>
      <c r="AA6" s="1090" t="s">
        <v>2080</v>
      </c>
      <c r="AB6" s="1090" t="s">
        <v>2081</v>
      </c>
      <c r="AC6" s="1090" t="s">
        <v>2082</v>
      </c>
      <c r="AD6" s="1090" t="s">
        <v>2083</v>
      </c>
      <c r="AE6" s="1090" t="s">
        <v>2084</v>
      </c>
      <c r="AF6" s="1090" t="s">
        <v>2085</v>
      </c>
      <c r="AG6" s="1090" t="s">
        <v>2086</v>
      </c>
      <c r="AH6" s="1090" t="s">
        <v>2087</v>
      </c>
      <c r="AI6" s="1090" t="s">
        <v>2088</v>
      </c>
      <c r="AJ6" s="1090" t="s">
        <v>2089</v>
      </c>
      <c r="AK6" s="1090" t="s">
        <v>2090</v>
      </c>
      <c r="AL6" s="1090" t="s">
        <v>2091</v>
      </c>
      <c r="AM6" s="1090" t="s">
        <v>2092</v>
      </c>
      <c r="AN6" s="1090" t="s">
        <v>2093</v>
      </c>
      <c r="AO6" s="1090" t="s">
        <v>2094</v>
      </c>
      <c r="AP6" s="1090" t="s">
        <v>2095</v>
      </c>
      <c r="AQ6" s="1090" t="s">
        <v>2096</v>
      </c>
      <c r="AR6" s="1090" t="s">
        <v>2097</v>
      </c>
      <c r="AS6" s="1090" t="s">
        <v>2098</v>
      </c>
      <c r="AT6" s="1090" t="s">
        <v>2099</v>
      </c>
      <c r="AU6" s="1090" t="s">
        <v>2100</v>
      </c>
      <c r="AV6" s="1090" t="s">
        <v>2101</v>
      </c>
      <c r="AZ6" s="1090" t="s">
        <v>2063</v>
      </c>
    </row>
    <row r="7" spans="1:52" s="1084" customFormat="1" ht="12" customHeight="1" x14ac:dyDescent="0.2">
      <c r="A7" s="1098" t="s">
        <v>2103</v>
      </c>
      <c r="B7" s="1073"/>
      <c r="C7" s="1073"/>
      <c r="D7" s="1073"/>
      <c r="E7" s="1073"/>
      <c r="F7" s="1073"/>
      <c r="G7" s="1099"/>
      <c r="H7" s="1100"/>
      <c r="I7" s="1100"/>
      <c r="J7" s="1100"/>
      <c r="K7" s="1100"/>
      <c r="L7" s="1100"/>
      <c r="M7" s="1100"/>
      <c r="N7" s="1100"/>
      <c r="O7" s="1100"/>
      <c r="P7" s="1100"/>
      <c r="Q7" s="1100"/>
      <c r="R7" s="1100"/>
      <c r="S7" s="1100"/>
      <c r="T7" s="1100"/>
      <c r="U7" s="1100"/>
      <c r="V7" s="1100"/>
      <c r="W7" s="1100"/>
      <c r="X7" s="1100"/>
      <c r="Y7" s="1100"/>
      <c r="Z7" s="1100"/>
      <c r="AA7" s="1100"/>
      <c r="AB7" s="1100"/>
      <c r="AC7" s="1100"/>
      <c r="AD7" s="1100"/>
      <c r="AE7" s="1100"/>
      <c r="AF7" s="1100"/>
      <c r="AG7" s="1100"/>
      <c r="AH7" s="1100"/>
      <c r="AI7" s="1100"/>
      <c r="AJ7" s="1100"/>
      <c r="AK7" s="1100"/>
      <c r="AL7" s="1100"/>
      <c r="AM7" s="1101"/>
      <c r="AN7" s="1101"/>
      <c r="AO7" s="1101"/>
      <c r="AP7" s="1101"/>
      <c r="AQ7" s="1101"/>
      <c r="AR7" s="1101"/>
      <c r="AS7" s="1101"/>
      <c r="AT7" s="1101"/>
      <c r="AU7" s="1101"/>
      <c r="AV7" s="1101"/>
    </row>
    <row r="8" spans="1:52" s="1084" customFormat="1" ht="12" customHeight="1" x14ac:dyDescent="0.2">
      <c r="A8" s="1071" t="str">
        <f>Technologies!B49</f>
        <v>R2,R3,R4,R5,R6</v>
      </c>
      <c r="B8" s="1071" t="str">
        <f>Technologies!C49</f>
        <v>TAJ10</v>
      </c>
      <c r="C8" s="1071" t="str">
        <f>Technologies!D49</f>
        <v>Air Jet, Passenger 2010</v>
      </c>
      <c r="D8" s="1071" t="s">
        <v>478</v>
      </c>
      <c r="E8" s="1071" t="str">
        <f>Commodities!C31</f>
        <v>TRNJTF1</v>
      </c>
      <c r="F8" s="1071" t="s">
        <v>89</v>
      </c>
      <c r="G8" s="1091">
        <v>1</v>
      </c>
      <c r="H8" s="1094">
        <f>'Air&amp;Marine'!F7</f>
        <v>2010</v>
      </c>
      <c r="I8" s="1091">
        <f t="shared" ref="I8:I15" si="0">AZ8+5</f>
        <v>30</v>
      </c>
      <c r="J8" s="1091">
        <v>0.18</v>
      </c>
      <c r="K8" s="1092">
        <f>'Air&amp;Marine'!J7</f>
        <v>0.451476368560703</v>
      </c>
      <c r="L8" s="1092"/>
      <c r="M8" s="1092"/>
      <c r="N8" s="1092"/>
      <c r="O8" s="1092"/>
      <c r="P8" s="1092"/>
      <c r="Q8" s="1092"/>
      <c r="R8" s="1092"/>
      <c r="S8" s="1092"/>
      <c r="T8" s="1092"/>
      <c r="U8" s="1092"/>
      <c r="V8" s="1093">
        <f>'Air&amp;Marine'!H7</f>
        <v>814.53238577880768</v>
      </c>
      <c r="W8" s="1093">
        <f t="shared" ref="W8:AE8" si="1">V8</f>
        <v>814.53238577880768</v>
      </c>
      <c r="X8" s="1093">
        <f t="shared" si="1"/>
        <v>814.53238577880768</v>
      </c>
      <c r="Y8" s="1093">
        <f t="shared" si="1"/>
        <v>814.53238577880768</v>
      </c>
      <c r="Z8" s="1093">
        <f t="shared" si="1"/>
        <v>814.53238577880768</v>
      </c>
      <c r="AA8" s="1093">
        <f t="shared" si="1"/>
        <v>814.53238577880768</v>
      </c>
      <c r="AB8" s="1093">
        <f t="shared" si="1"/>
        <v>814.53238577880768</v>
      </c>
      <c r="AC8" s="1093">
        <f t="shared" si="1"/>
        <v>814.53238577880768</v>
      </c>
      <c r="AD8" s="1093">
        <f t="shared" si="1"/>
        <v>814.53238577880768</v>
      </c>
      <c r="AE8" s="1093">
        <f t="shared" si="1"/>
        <v>814.53238577880768</v>
      </c>
      <c r="AF8" s="1093">
        <f>'Air&amp;Marine'!I7</f>
        <v>7.4625760131172711</v>
      </c>
      <c r="AG8" s="1091"/>
      <c r="AH8" s="1091"/>
      <c r="AI8" s="1091"/>
      <c r="AJ8" s="1091"/>
      <c r="AK8" s="1091"/>
      <c r="AL8" s="1091">
        <v>1</v>
      </c>
      <c r="AM8" s="1094">
        <v>0</v>
      </c>
      <c r="AN8" s="1094">
        <v>0</v>
      </c>
      <c r="AO8" s="1094"/>
      <c r="AP8" s="1094"/>
      <c r="AQ8" s="1094"/>
      <c r="AR8" s="1094"/>
      <c r="AS8" s="1094"/>
      <c r="AT8" s="1094"/>
      <c r="AU8" s="1094"/>
      <c r="AV8" s="1094"/>
      <c r="AZ8" s="1088">
        <f>'Air&amp;Marine'!G7</f>
        <v>25</v>
      </c>
    </row>
    <row r="9" spans="1:52" s="1084" customFormat="1" ht="12" customHeight="1" x14ac:dyDescent="0.2">
      <c r="A9" s="1071" t="str">
        <f>Technologies!B50</f>
        <v>R2,R3,R4,R5,R6</v>
      </c>
      <c r="B9" s="1071" t="str">
        <f>Technologies!C50</f>
        <v>TAJSYN10</v>
      </c>
      <c r="C9" s="1071" t="str">
        <f>Technologies!D50</f>
        <v>Air Jet, Passenger, Syn fuel, 2010</v>
      </c>
      <c r="D9" s="1071" t="s">
        <v>478</v>
      </c>
      <c r="E9" s="1071" t="str">
        <f>Commodities!C31</f>
        <v>TRNJTF1</v>
      </c>
      <c r="F9" s="1071" t="s">
        <v>89</v>
      </c>
      <c r="G9" s="1091">
        <v>1</v>
      </c>
      <c r="H9" s="1094">
        <f>'Air&amp;Marine'!F8</f>
        <v>2010</v>
      </c>
      <c r="I9" s="1091">
        <f t="shared" si="0"/>
        <v>30</v>
      </c>
      <c r="J9" s="1091"/>
      <c r="K9" s="1092">
        <f>'Air&amp;Marine'!J8</f>
        <v>0.42712996079536708</v>
      </c>
      <c r="L9" s="1092"/>
      <c r="M9" s="1092"/>
      <c r="N9" s="1092"/>
      <c r="O9" s="1092"/>
      <c r="P9" s="1092"/>
      <c r="Q9" s="1092"/>
      <c r="R9" s="1092"/>
      <c r="S9" s="1092"/>
      <c r="T9" s="1092"/>
      <c r="U9" s="1092"/>
      <c r="V9" s="1093">
        <f>'Air&amp;Marine'!H8</f>
        <v>814.53238577880768</v>
      </c>
      <c r="W9" s="1093">
        <f t="shared" ref="W9:AE9" si="2">V9</f>
        <v>814.53238577880768</v>
      </c>
      <c r="X9" s="1093">
        <f t="shared" si="2"/>
        <v>814.53238577880768</v>
      </c>
      <c r="Y9" s="1093">
        <f t="shared" si="2"/>
        <v>814.53238577880768</v>
      </c>
      <c r="Z9" s="1093">
        <f t="shared" si="2"/>
        <v>814.53238577880768</v>
      </c>
      <c r="AA9" s="1093">
        <f t="shared" si="2"/>
        <v>814.53238577880768</v>
      </c>
      <c r="AB9" s="1093">
        <f t="shared" si="2"/>
        <v>814.53238577880768</v>
      </c>
      <c r="AC9" s="1093">
        <f t="shared" si="2"/>
        <v>814.53238577880768</v>
      </c>
      <c r="AD9" s="1093">
        <f t="shared" si="2"/>
        <v>814.53238577880768</v>
      </c>
      <c r="AE9" s="1093">
        <f t="shared" si="2"/>
        <v>814.53238577880768</v>
      </c>
      <c r="AF9" s="1093">
        <f>'Air&amp;Marine'!I8</f>
        <v>7.4625760131172711</v>
      </c>
      <c r="AG9" s="1091"/>
      <c r="AH9" s="1091"/>
      <c r="AI9" s="1091"/>
      <c r="AJ9" s="1091"/>
      <c r="AK9" s="1091"/>
      <c r="AL9" s="1091">
        <v>1</v>
      </c>
      <c r="AM9" s="1094">
        <v>0</v>
      </c>
      <c r="AN9" s="1094">
        <v>0</v>
      </c>
      <c r="AO9" s="1094"/>
      <c r="AP9" s="1094"/>
      <c r="AQ9" s="1094"/>
      <c r="AR9" s="1094"/>
      <c r="AS9" s="1094"/>
      <c r="AT9" s="1094"/>
      <c r="AU9" s="1094"/>
      <c r="AV9" s="1094"/>
      <c r="AZ9" s="1088">
        <f>'Air&amp;Marine'!G8</f>
        <v>25</v>
      </c>
    </row>
    <row r="10" spans="1:52" s="1084" customFormat="1" ht="12" customHeight="1" x14ac:dyDescent="0.2">
      <c r="A10" s="1071" t="str">
        <f>Technologies!B51</f>
        <v>R2,R3,R4,R5,R6</v>
      </c>
      <c r="B10" s="1071" t="str">
        <f>Technologies!C51</f>
        <v>TAJWT10</v>
      </c>
      <c r="C10" s="1071" t="str">
        <f>Technologies!D51</f>
        <v>Air Jet, Passenger (Wing tips),2010</v>
      </c>
      <c r="D10" s="1071" t="s">
        <v>478</v>
      </c>
      <c r="E10" s="1071" t="str">
        <f>Commodities!C$31</f>
        <v>TRNJTF1</v>
      </c>
      <c r="F10" s="1071" t="s">
        <v>89</v>
      </c>
      <c r="G10" s="1091">
        <v>1</v>
      </c>
      <c r="H10" s="1094">
        <f>'Air&amp;Marine'!F9</f>
        <v>2010</v>
      </c>
      <c r="I10" s="1091">
        <f t="shared" si="0"/>
        <v>30</v>
      </c>
      <c r="J10" s="1091">
        <v>0.2</v>
      </c>
      <c r="K10" s="1092">
        <f>'Air&amp;Marine'!J9</f>
        <v>0.47275012414733303</v>
      </c>
      <c r="L10" s="1092"/>
      <c r="M10" s="1092"/>
      <c r="N10" s="1092"/>
      <c r="O10" s="1092"/>
      <c r="P10" s="1092"/>
      <c r="Q10" s="1092"/>
      <c r="R10" s="1092"/>
      <c r="S10" s="1092"/>
      <c r="T10" s="1092"/>
      <c r="U10" s="1092"/>
      <c r="V10" s="1093">
        <f>'Air&amp;Marine'!H9</f>
        <v>820.68444307320954</v>
      </c>
      <c r="W10" s="1093">
        <f t="shared" ref="W10:AE10" si="3">V10</f>
        <v>820.68444307320954</v>
      </c>
      <c r="X10" s="1093">
        <f t="shared" si="3"/>
        <v>820.68444307320954</v>
      </c>
      <c r="Y10" s="1093">
        <f t="shared" si="3"/>
        <v>820.68444307320954</v>
      </c>
      <c r="Z10" s="1093">
        <f t="shared" si="3"/>
        <v>820.68444307320954</v>
      </c>
      <c r="AA10" s="1093">
        <f t="shared" si="3"/>
        <v>820.68444307320954</v>
      </c>
      <c r="AB10" s="1093">
        <f t="shared" si="3"/>
        <v>820.68444307320954</v>
      </c>
      <c r="AC10" s="1093">
        <f t="shared" si="3"/>
        <v>820.68444307320954</v>
      </c>
      <c r="AD10" s="1093">
        <f t="shared" si="3"/>
        <v>820.68444307320954</v>
      </c>
      <c r="AE10" s="1093">
        <f t="shared" si="3"/>
        <v>820.68444307320954</v>
      </c>
      <c r="AF10" s="1093">
        <f>'Air&amp;Marine'!I9</f>
        <v>7.4625760131172711</v>
      </c>
      <c r="AG10" s="1091"/>
      <c r="AH10" s="1091"/>
      <c r="AI10" s="1091"/>
      <c r="AJ10" s="1091"/>
      <c r="AK10" s="1091"/>
      <c r="AL10" s="1091">
        <v>1</v>
      </c>
      <c r="AM10" s="1094">
        <v>0</v>
      </c>
      <c r="AN10" s="1094">
        <v>0</v>
      </c>
      <c r="AO10" s="1094"/>
      <c r="AP10" s="1094"/>
      <c r="AQ10" s="1094"/>
      <c r="AR10" s="1094"/>
      <c r="AS10" s="1094"/>
      <c r="AT10" s="1094"/>
      <c r="AU10" s="1094"/>
      <c r="AV10" s="1094"/>
      <c r="AZ10" s="1088">
        <f>'Air&amp;Marine'!G9</f>
        <v>25</v>
      </c>
    </row>
    <row r="11" spans="1:52" s="1084" customFormat="1" ht="12" customHeight="1" x14ac:dyDescent="0.2">
      <c r="A11" s="1071" t="str">
        <f>Technologies!B52</f>
        <v>R2,R3,R4,R5,R6</v>
      </c>
      <c r="B11" s="1071" t="str">
        <f>Technologies!C52</f>
        <v>TAJAPU15</v>
      </c>
      <c r="C11" s="1071" t="str">
        <f>Technologies!D52</f>
        <v>Air Jet Passeneger (APU) 2015</v>
      </c>
      <c r="D11" s="1071" t="s">
        <v>478</v>
      </c>
      <c r="E11" s="1071" t="str">
        <f>Commodities!C$31</f>
        <v>TRNJTF1</v>
      </c>
      <c r="F11" s="1071" t="s">
        <v>89</v>
      </c>
      <c r="G11" s="1091">
        <v>1</v>
      </c>
      <c r="H11" s="1094">
        <f>'Air&amp;Marine'!F11</f>
        <v>2015</v>
      </c>
      <c r="I11" s="1091">
        <f t="shared" si="0"/>
        <v>30</v>
      </c>
      <c r="J11" s="1091">
        <v>0.2</v>
      </c>
      <c r="K11" s="1092">
        <f>'Air&amp;Marine'!J11</f>
        <v>0.45358554132787771</v>
      </c>
      <c r="L11" s="1092"/>
      <c r="M11" s="1092"/>
      <c r="N11" s="1092"/>
      <c r="O11" s="1092"/>
      <c r="P11" s="1092"/>
      <c r="Q11" s="1092"/>
      <c r="R11" s="1092"/>
      <c r="S11" s="1092"/>
      <c r="T11" s="1092"/>
      <c r="U11" s="1092"/>
      <c r="V11" s="1093">
        <f>'Air&amp;Marine'!H11</f>
        <v>815.46191019484638</v>
      </c>
      <c r="W11" s="1093">
        <f t="shared" ref="W11:AE11" si="4">V11</f>
        <v>815.46191019484638</v>
      </c>
      <c r="X11" s="1093">
        <f t="shared" si="4"/>
        <v>815.46191019484638</v>
      </c>
      <c r="Y11" s="1093">
        <f t="shared" si="4"/>
        <v>815.46191019484638</v>
      </c>
      <c r="Z11" s="1093">
        <f t="shared" si="4"/>
        <v>815.46191019484638</v>
      </c>
      <c r="AA11" s="1093">
        <f t="shared" si="4"/>
        <v>815.46191019484638</v>
      </c>
      <c r="AB11" s="1093">
        <f t="shared" si="4"/>
        <v>815.46191019484638</v>
      </c>
      <c r="AC11" s="1093">
        <f t="shared" si="4"/>
        <v>815.46191019484638</v>
      </c>
      <c r="AD11" s="1093">
        <f t="shared" si="4"/>
        <v>815.46191019484638</v>
      </c>
      <c r="AE11" s="1093">
        <f t="shared" si="4"/>
        <v>815.46191019484638</v>
      </c>
      <c r="AF11" s="1093">
        <f>'Air&amp;Marine'!I11</f>
        <v>7.5083155288151495</v>
      </c>
      <c r="AG11" s="1091"/>
      <c r="AH11" s="1091"/>
      <c r="AI11" s="1091"/>
      <c r="AJ11" s="1091"/>
      <c r="AK11" s="1091"/>
      <c r="AL11" s="1091">
        <v>1</v>
      </c>
      <c r="AM11" s="1094">
        <v>0</v>
      </c>
      <c r="AN11" s="1094">
        <v>0</v>
      </c>
      <c r="AO11" s="1094"/>
      <c r="AP11" s="1094"/>
      <c r="AQ11" s="1094"/>
      <c r="AR11" s="1094"/>
      <c r="AS11" s="1094"/>
      <c r="AT11" s="1094"/>
      <c r="AU11" s="1094"/>
      <c r="AV11" s="1094"/>
      <c r="AZ11" s="1088">
        <f>'Air&amp;Marine'!G10</f>
        <v>25</v>
      </c>
    </row>
    <row r="12" spans="1:52" s="1084" customFormat="1" ht="12" customHeight="1" x14ac:dyDescent="0.2">
      <c r="A12" s="1071" t="str">
        <f>Technologies!B53</f>
        <v>R2,R3,R4,R5,R6</v>
      </c>
      <c r="B12" s="1071" t="str">
        <f>Technologies!C53</f>
        <v>TAJBW30</v>
      </c>
      <c r="C12" s="1071" t="str">
        <f>Technologies!D53</f>
        <v>Air Jet, Passenger(blended wing), 2030</v>
      </c>
      <c r="D12" s="1071" t="s">
        <v>478</v>
      </c>
      <c r="E12" s="1071" t="str">
        <f>Commodities!C$31</f>
        <v>TRNJTF1</v>
      </c>
      <c r="F12" s="1071" t="s">
        <v>89</v>
      </c>
      <c r="G12" s="1091">
        <v>1</v>
      </c>
      <c r="H12" s="1094">
        <f>'Air&amp;Marine'!F12</f>
        <v>2030</v>
      </c>
      <c r="I12" s="1091">
        <f t="shared" si="0"/>
        <v>30</v>
      </c>
      <c r="J12" s="1091">
        <v>0.24</v>
      </c>
      <c r="K12" s="1092">
        <f>'Air&amp;Marine'!J12</f>
        <v>0.6449662408010044</v>
      </c>
      <c r="L12" s="1092"/>
      <c r="M12" s="1092"/>
      <c r="N12" s="1092"/>
      <c r="O12" s="1092"/>
      <c r="P12" s="1092"/>
      <c r="Q12" s="1092"/>
      <c r="R12" s="1092"/>
      <c r="S12" s="1092"/>
      <c r="T12" s="1092"/>
      <c r="U12" s="1092"/>
      <c r="V12" s="1093">
        <f>'Air&amp;Marine'!H12</f>
        <v>1127.6930582784942</v>
      </c>
      <c r="W12" s="1093">
        <f t="shared" ref="W12:AE12" si="5">V12</f>
        <v>1127.6930582784942</v>
      </c>
      <c r="X12" s="1093">
        <f t="shared" si="5"/>
        <v>1127.6930582784942</v>
      </c>
      <c r="Y12" s="1093">
        <f t="shared" si="5"/>
        <v>1127.6930582784942</v>
      </c>
      <c r="Z12" s="1093">
        <f t="shared" si="5"/>
        <v>1127.6930582784942</v>
      </c>
      <c r="AA12" s="1093">
        <f t="shared" si="5"/>
        <v>1127.6930582784942</v>
      </c>
      <c r="AB12" s="1093">
        <f t="shared" si="5"/>
        <v>1127.6930582784942</v>
      </c>
      <c r="AC12" s="1093">
        <f t="shared" si="5"/>
        <v>1127.6930582784942</v>
      </c>
      <c r="AD12" s="1093">
        <f t="shared" si="5"/>
        <v>1127.6930582784942</v>
      </c>
      <c r="AE12" s="1093">
        <f t="shared" si="5"/>
        <v>1127.6930582784942</v>
      </c>
      <c r="AF12" s="1093">
        <f>'Air&amp;Marine'!I12</f>
        <v>7.4625760131172711</v>
      </c>
      <c r="AG12" s="1091"/>
      <c r="AH12" s="1091"/>
      <c r="AI12" s="1091"/>
      <c r="AJ12" s="1091"/>
      <c r="AK12" s="1091"/>
      <c r="AL12" s="1091">
        <v>1</v>
      </c>
      <c r="AM12" s="1094">
        <v>0</v>
      </c>
      <c r="AN12" s="1094">
        <v>0</v>
      </c>
      <c r="AO12" s="1094"/>
      <c r="AP12" s="1094"/>
      <c r="AQ12" s="1094"/>
      <c r="AR12" s="1094"/>
      <c r="AS12" s="1094"/>
      <c r="AT12" s="1094"/>
      <c r="AU12" s="1094"/>
      <c r="AV12" s="1094"/>
      <c r="AZ12" s="1088">
        <f>'Air&amp;Marine'!G12</f>
        <v>25</v>
      </c>
    </row>
    <row r="13" spans="1:52" s="1084" customFormat="1" ht="12" customHeight="1" x14ac:dyDescent="0.2">
      <c r="A13" s="1071" t="str">
        <f>Technologies!B54</f>
        <v>R2,R3,R4,R5,R6</v>
      </c>
      <c r="B13" s="1071" t="str">
        <f>Technologies!C54</f>
        <v>TAJAE30</v>
      </c>
      <c r="C13" s="1071" t="str">
        <f>Technologies!D54</f>
        <v>Air Jet, Passenger (improved aero), 2030</v>
      </c>
      <c r="D13" s="1071" t="s">
        <v>478</v>
      </c>
      <c r="E13" s="1071" t="str">
        <f>Commodities!C$31</f>
        <v>TRNJTF1</v>
      </c>
      <c r="F13" s="1071" t="s">
        <v>89</v>
      </c>
      <c r="G13" s="1091">
        <v>1</v>
      </c>
      <c r="H13" s="1094">
        <f>'Air&amp;Marine'!F13</f>
        <v>2030</v>
      </c>
      <c r="I13" s="1091">
        <f t="shared" si="0"/>
        <v>30</v>
      </c>
      <c r="J13" s="1091">
        <v>0.24</v>
      </c>
      <c r="K13" s="1092">
        <f>'Air&amp;Marine'!J13</f>
        <v>0.50164040951189226</v>
      </c>
      <c r="L13" s="1092"/>
      <c r="M13" s="1092"/>
      <c r="N13" s="1092"/>
      <c r="O13" s="1092"/>
      <c r="P13" s="1092"/>
      <c r="Q13" s="1092"/>
      <c r="R13" s="1092"/>
      <c r="S13" s="1092"/>
      <c r="T13" s="1092"/>
      <c r="U13" s="1092"/>
      <c r="V13" s="1093">
        <f>'Air&amp;Marine'!H13</f>
        <v>895.98562435668828</v>
      </c>
      <c r="W13" s="1093">
        <f t="shared" ref="W13:AE13" si="6">V13</f>
        <v>895.98562435668828</v>
      </c>
      <c r="X13" s="1093">
        <f t="shared" si="6"/>
        <v>895.98562435668828</v>
      </c>
      <c r="Y13" s="1093">
        <f t="shared" si="6"/>
        <v>895.98562435668828</v>
      </c>
      <c r="Z13" s="1093">
        <f t="shared" si="6"/>
        <v>895.98562435668828</v>
      </c>
      <c r="AA13" s="1093">
        <f t="shared" si="6"/>
        <v>895.98562435668828</v>
      </c>
      <c r="AB13" s="1093">
        <f t="shared" si="6"/>
        <v>895.98562435668828</v>
      </c>
      <c r="AC13" s="1093">
        <f t="shared" si="6"/>
        <v>895.98562435668828</v>
      </c>
      <c r="AD13" s="1093">
        <f t="shared" si="6"/>
        <v>895.98562435668828</v>
      </c>
      <c r="AE13" s="1093">
        <f t="shared" si="6"/>
        <v>895.98562435668828</v>
      </c>
      <c r="AF13" s="1093">
        <f>'Air&amp;Marine'!I13</f>
        <v>7.4625760131172711</v>
      </c>
      <c r="AG13" s="1091"/>
      <c r="AH13" s="1091"/>
      <c r="AI13" s="1091"/>
      <c r="AJ13" s="1091"/>
      <c r="AK13" s="1091"/>
      <c r="AL13" s="1091">
        <v>1</v>
      </c>
      <c r="AM13" s="1094">
        <v>0</v>
      </c>
      <c r="AN13" s="1094">
        <v>0</v>
      </c>
      <c r="AO13" s="1094"/>
      <c r="AP13" s="1094"/>
      <c r="AQ13" s="1094"/>
      <c r="AR13" s="1094"/>
      <c r="AS13" s="1094"/>
      <c r="AT13" s="1094"/>
      <c r="AU13" s="1094"/>
      <c r="AV13" s="1094"/>
      <c r="AZ13" s="1088">
        <f>'Air&amp;Marine'!G13</f>
        <v>25</v>
      </c>
    </row>
    <row r="14" spans="1:52" s="1084" customFormat="1" ht="12" customHeight="1" x14ac:dyDescent="0.2">
      <c r="A14" s="1071" t="str">
        <f>Technologies!B55</f>
        <v>R2,R3,R4,R5,R6</v>
      </c>
      <c r="B14" s="1071" t="str">
        <f>Technologies!C55</f>
        <v>TAJGE15</v>
      </c>
      <c r="C14" s="1071" t="str">
        <f>Technologies!D55</f>
        <v>Air Jet Passenger, (geared engine), 2015</v>
      </c>
      <c r="D14" s="1071" t="s">
        <v>478</v>
      </c>
      <c r="E14" s="1071" t="str">
        <f>Commodities!C$31</f>
        <v>TRNJTF1</v>
      </c>
      <c r="F14" s="1071" t="s">
        <v>89</v>
      </c>
      <c r="G14" s="1091">
        <v>1</v>
      </c>
      <c r="H14" s="1094">
        <f>'Air&amp;Marine'!F15</f>
        <v>2015</v>
      </c>
      <c r="I14" s="1091">
        <f t="shared" si="0"/>
        <v>30</v>
      </c>
      <c r="J14" s="1091">
        <v>0.2</v>
      </c>
      <c r="K14" s="1092">
        <f>'Air&amp;Marine'!J15</f>
        <v>0.51597299264080343</v>
      </c>
      <c r="L14" s="1092"/>
      <c r="M14" s="1092"/>
      <c r="N14" s="1092"/>
      <c r="O14" s="1092"/>
      <c r="P14" s="1092"/>
      <c r="Q14" s="1092"/>
      <c r="R14" s="1092"/>
      <c r="S14" s="1092"/>
      <c r="T14" s="1092"/>
      <c r="U14" s="1092"/>
      <c r="V14" s="1093">
        <f>'Air&amp;Marine'!H15</f>
        <v>929.61720101077276</v>
      </c>
      <c r="W14" s="1093">
        <f t="shared" ref="W14:AE14" si="7">V14</f>
        <v>929.61720101077276</v>
      </c>
      <c r="X14" s="1093">
        <f t="shared" si="7"/>
        <v>929.61720101077276</v>
      </c>
      <c r="Y14" s="1093">
        <f t="shared" si="7"/>
        <v>929.61720101077276</v>
      </c>
      <c r="Z14" s="1093">
        <f t="shared" si="7"/>
        <v>929.61720101077276</v>
      </c>
      <c r="AA14" s="1093">
        <f t="shared" si="7"/>
        <v>929.61720101077276</v>
      </c>
      <c r="AB14" s="1093">
        <f t="shared" si="7"/>
        <v>929.61720101077276</v>
      </c>
      <c r="AC14" s="1093">
        <f t="shared" si="7"/>
        <v>929.61720101077276</v>
      </c>
      <c r="AD14" s="1093">
        <f t="shared" si="7"/>
        <v>929.61720101077276</v>
      </c>
      <c r="AE14" s="1093">
        <f t="shared" si="7"/>
        <v>929.61720101077276</v>
      </c>
      <c r="AF14" s="1093">
        <f>'Air&amp;Marine'!I15</f>
        <v>8.516959112695238</v>
      </c>
      <c r="AG14" s="1091"/>
      <c r="AH14" s="1091"/>
      <c r="AI14" s="1091"/>
      <c r="AJ14" s="1091"/>
      <c r="AK14" s="1091"/>
      <c r="AL14" s="1091">
        <v>1</v>
      </c>
      <c r="AM14" s="1094">
        <v>0</v>
      </c>
      <c r="AN14" s="1094">
        <v>0</v>
      </c>
      <c r="AO14" s="1094"/>
      <c r="AP14" s="1094"/>
      <c r="AQ14" s="1094"/>
      <c r="AR14" s="1094"/>
      <c r="AS14" s="1094"/>
      <c r="AT14" s="1094"/>
      <c r="AU14" s="1094"/>
      <c r="AV14" s="1094"/>
      <c r="AZ14" s="1088">
        <f>'Air&amp;Marine'!G15</f>
        <v>25</v>
      </c>
    </row>
    <row r="15" spans="1:52" s="1084" customFormat="1" ht="12" customHeight="1" x14ac:dyDescent="0.2">
      <c r="A15" s="1071" t="s">
        <v>115</v>
      </c>
      <c r="B15" s="1071" t="str">
        <f>Technologies!C56</f>
        <v>TAP10</v>
      </c>
      <c r="C15" s="1071" t="str">
        <f>Technologies!D56</f>
        <v>Airplane, General Aviation - 2010</v>
      </c>
      <c r="D15" s="1071" t="s">
        <v>478</v>
      </c>
      <c r="E15" s="1071" t="s">
        <v>55</v>
      </c>
      <c r="F15" s="1071" t="s">
        <v>89</v>
      </c>
      <c r="G15" s="1091">
        <v>1</v>
      </c>
      <c r="H15" s="1091">
        <v>2010</v>
      </c>
      <c r="I15" s="1091">
        <f t="shared" si="0"/>
        <v>25</v>
      </c>
      <c r="J15" s="1091">
        <v>0.18</v>
      </c>
      <c r="K15" s="1092"/>
      <c r="L15" s="1092"/>
      <c r="M15" s="1092"/>
      <c r="N15" s="1092"/>
      <c r="O15" s="1092"/>
      <c r="P15" s="1092"/>
      <c r="Q15" s="1092"/>
      <c r="R15" s="1092"/>
      <c r="S15" s="1092"/>
      <c r="T15" s="1092"/>
      <c r="U15" s="1092"/>
      <c r="V15" s="1092">
        <f>'Air&amp;Marine'!H18</f>
        <v>17.510999999999999</v>
      </c>
      <c r="W15" s="1093">
        <f t="shared" ref="W15:AE15" si="8">V15</f>
        <v>17.510999999999999</v>
      </c>
      <c r="X15" s="1093">
        <f t="shared" si="8"/>
        <v>17.510999999999999</v>
      </c>
      <c r="Y15" s="1093">
        <f t="shared" si="8"/>
        <v>17.510999999999999</v>
      </c>
      <c r="Z15" s="1093">
        <f t="shared" si="8"/>
        <v>17.510999999999999</v>
      </c>
      <c r="AA15" s="1093">
        <f t="shared" si="8"/>
        <v>17.510999999999999</v>
      </c>
      <c r="AB15" s="1093">
        <f t="shared" si="8"/>
        <v>17.510999999999999</v>
      </c>
      <c r="AC15" s="1093">
        <f t="shared" si="8"/>
        <v>17.510999999999999</v>
      </c>
      <c r="AD15" s="1093">
        <f t="shared" si="8"/>
        <v>17.510999999999999</v>
      </c>
      <c r="AE15" s="1093">
        <f t="shared" si="8"/>
        <v>17.510999999999999</v>
      </c>
      <c r="AF15" s="1093">
        <f>'Air&amp;Marine'!I18</f>
        <v>1.7511000000000001</v>
      </c>
      <c r="AG15" s="1091"/>
      <c r="AH15" s="1091"/>
      <c r="AI15" s="1091"/>
      <c r="AJ15" s="1091"/>
      <c r="AK15" s="1091"/>
      <c r="AL15" s="1091">
        <v>1</v>
      </c>
      <c r="AM15" s="1094"/>
      <c r="AN15" s="1094"/>
      <c r="AO15" s="1094"/>
      <c r="AP15" s="1094"/>
      <c r="AQ15" s="1094"/>
      <c r="AR15" s="1094"/>
      <c r="AS15" s="1094"/>
      <c r="AT15" s="1094"/>
      <c r="AU15" s="1094"/>
      <c r="AV15" s="1094"/>
      <c r="AZ15" s="1084">
        <v>20</v>
      </c>
    </row>
    <row r="16" spans="1:52" s="1084" customFormat="1" ht="12" customHeight="1" x14ac:dyDescent="0.2">
      <c r="A16" s="1098" t="s">
        <v>479</v>
      </c>
      <c r="B16" s="1073"/>
      <c r="C16" s="1073"/>
      <c r="D16" s="1073"/>
      <c r="E16" s="1073"/>
      <c r="F16" s="1073"/>
      <c r="G16" s="1099"/>
      <c r="H16" s="1100"/>
      <c r="I16" s="1100"/>
      <c r="J16" s="1100"/>
      <c r="K16" s="1100"/>
      <c r="L16" s="1100"/>
      <c r="M16" s="1100"/>
      <c r="N16" s="1100"/>
      <c r="O16" s="1100"/>
      <c r="P16" s="1100"/>
      <c r="Q16" s="1100"/>
      <c r="R16" s="1100"/>
      <c r="S16" s="1100"/>
      <c r="T16" s="1100"/>
      <c r="U16" s="1100"/>
      <c r="V16" s="1100"/>
      <c r="W16" s="1100"/>
      <c r="X16" s="1100"/>
      <c r="Y16" s="1100"/>
      <c r="Z16" s="1100"/>
      <c r="AA16" s="1100"/>
      <c r="AB16" s="1100"/>
      <c r="AC16" s="1100"/>
      <c r="AD16" s="1100"/>
      <c r="AE16" s="1100"/>
      <c r="AF16" s="1100"/>
      <c r="AG16" s="1100"/>
      <c r="AH16" s="1100"/>
      <c r="AI16" s="1100"/>
      <c r="AJ16" s="1100"/>
      <c r="AK16" s="1100"/>
      <c r="AL16" s="1100"/>
      <c r="AM16" s="1101"/>
      <c r="AN16" s="1101"/>
      <c r="AO16" s="1101"/>
      <c r="AP16" s="1101"/>
      <c r="AQ16" s="1101"/>
      <c r="AR16" s="1101"/>
      <c r="AS16" s="1101"/>
      <c r="AT16" s="1101"/>
      <c r="AU16" s="1101"/>
      <c r="AV16" s="1101"/>
    </row>
    <row r="17" spans="1:52" s="1084" customFormat="1" ht="12" customHeight="1" x14ac:dyDescent="0.2">
      <c r="A17" s="1071" t="str">
        <f>Technologies!B60</f>
        <v>R2,R3,R4,R5,R6</v>
      </c>
      <c r="B17" s="1071" t="str">
        <f>Technologies!C60</f>
        <v>TBDSLC10</v>
      </c>
      <c r="C17" s="1071" t="str">
        <f>Technologies!D60</f>
        <v>Bus, Conventional Diesel, 2010</v>
      </c>
      <c r="D17" s="1071" t="s">
        <v>480</v>
      </c>
      <c r="E17" s="1071" t="str">
        <f>Commodities!C$41</f>
        <v>TBDSL</v>
      </c>
      <c r="F17" s="1071" t="s">
        <v>93</v>
      </c>
      <c r="G17" s="1091">
        <v>1</v>
      </c>
      <c r="H17" s="1091">
        <v>2010</v>
      </c>
      <c r="I17" s="1091">
        <f t="shared" ref="I17:I33" si="9">AZ17+5</f>
        <v>17</v>
      </c>
      <c r="J17" s="1091">
        <v>0.18</v>
      </c>
      <c r="K17" s="1092">
        <f>'Rail&amp;Bus2'!$L7</f>
        <v>3.1791784441245516E-2</v>
      </c>
      <c r="L17" s="1092"/>
      <c r="M17" s="1092"/>
      <c r="N17" s="1092"/>
      <c r="O17" s="1092"/>
      <c r="P17" s="1092"/>
      <c r="Q17" s="1092"/>
      <c r="R17" s="1092"/>
      <c r="S17" s="1092"/>
      <c r="T17" s="1092"/>
      <c r="U17" s="1092"/>
      <c r="V17" s="1094">
        <f>'Rail&amp;Bus2'!T7</f>
        <v>10426.65660557352</v>
      </c>
      <c r="W17" s="1094"/>
      <c r="X17" s="1094"/>
      <c r="Y17" s="1094"/>
      <c r="Z17" s="1094"/>
      <c r="AA17" s="1094"/>
      <c r="AB17" s="1094"/>
      <c r="AC17" s="1094"/>
      <c r="AD17" s="1094"/>
      <c r="AE17" s="1094"/>
      <c r="AF17" s="1094">
        <f>'Rail&amp;Bus2'!H11</f>
        <v>555.05381199668852</v>
      </c>
      <c r="AG17" s="1091"/>
      <c r="AH17" s="1091"/>
      <c r="AI17" s="1091"/>
      <c r="AJ17" s="1091"/>
      <c r="AK17" s="1091"/>
      <c r="AL17" s="1091">
        <v>1</v>
      </c>
      <c r="AM17" s="1094">
        <v>0</v>
      </c>
      <c r="AN17" s="1094">
        <v>0</v>
      </c>
      <c r="AO17" s="1094">
        <v>0</v>
      </c>
      <c r="AP17" s="1094">
        <v>0</v>
      </c>
      <c r="AQ17" s="1094">
        <v>0</v>
      </c>
      <c r="AR17" s="1094">
        <v>0</v>
      </c>
      <c r="AS17" s="1094">
        <v>0</v>
      </c>
      <c r="AT17" s="1094">
        <v>0</v>
      </c>
      <c r="AU17" s="1094">
        <v>0</v>
      </c>
      <c r="AV17" s="1094">
        <v>0</v>
      </c>
      <c r="AZ17" s="1084">
        <v>12</v>
      </c>
    </row>
    <row r="18" spans="1:52" s="1084" customFormat="1" ht="12" customHeight="1" x14ac:dyDescent="0.2">
      <c r="A18" s="1071" t="str">
        <f>Technologies!B61</f>
        <v>R2,R3,R4,R5,R6</v>
      </c>
      <c r="B18" s="1071" t="str">
        <f>Technologies!C61</f>
        <v>TBDSLC</v>
      </c>
      <c r="C18" s="1071" t="str">
        <f>'Rail&amp;Bus2'!B11</f>
        <v>Bus, Conventional Diesel</v>
      </c>
      <c r="D18" s="1071" t="s">
        <v>480</v>
      </c>
      <c r="E18" s="1071" t="str">
        <f>Commodities!C$41</f>
        <v>TBDSL</v>
      </c>
      <c r="F18" s="1071" t="s">
        <v>93</v>
      </c>
      <c r="G18" s="1091">
        <v>1</v>
      </c>
      <c r="H18" s="1094">
        <v>2015</v>
      </c>
      <c r="I18" s="1091">
        <f t="shared" si="9"/>
        <v>17</v>
      </c>
      <c r="J18" s="1091">
        <v>0.18</v>
      </c>
      <c r="K18" s="1091"/>
      <c r="L18" s="1091"/>
      <c r="M18" s="1092">
        <f>'Rail&amp;Bus2'!$I11</f>
        <v>3.348888211310911E-2</v>
      </c>
      <c r="N18" s="1092">
        <f>'Rail&amp;Bus2'!$I12</f>
        <v>3.4986321235341691E-2</v>
      </c>
      <c r="O18" s="1092">
        <f t="shared" ref="O18:U18" si="10">N18</f>
        <v>3.4986321235341691E-2</v>
      </c>
      <c r="P18" s="1092">
        <f t="shared" si="10"/>
        <v>3.4986321235341691E-2</v>
      </c>
      <c r="Q18" s="1092">
        <f t="shared" si="10"/>
        <v>3.4986321235341691E-2</v>
      </c>
      <c r="R18" s="1092">
        <f t="shared" si="10"/>
        <v>3.4986321235341691E-2</v>
      </c>
      <c r="S18" s="1092">
        <f t="shared" si="10"/>
        <v>3.4986321235341691E-2</v>
      </c>
      <c r="T18" s="1092">
        <f t="shared" si="10"/>
        <v>3.4986321235341691E-2</v>
      </c>
      <c r="U18" s="1092">
        <f t="shared" si="10"/>
        <v>3.4986321235341691E-2</v>
      </c>
      <c r="V18" s="1091"/>
      <c r="W18" s="1094">
        <f>'Rail&amp;Bus2'!G11</f>
        <v>10488.438715335413</v>
      </c>
      <c r="X18" s="1094">
        <f>'Rail&amp;Bus2'!G12</f>
        <v>10598.809880170465</v>
      </c>
      <c r="Y18" s="1094">
        <f t="shared" ref="Y18:AE18" si="11">X18</f>
        <v>10598.809880170465</v>
      </c>
      <c r="Z18" s="1094">
        <f t="shared" si="11"/>
        <v>10598.809880170465</v>
      </c>
      <c r="AA18" s="1094">
        <f t="shared" si="11"/>
        <v>10598.809880170465</v>
      </c>
      <c r="AB18" s="1094">
        <f t="shared" si="11"/>
        <v>10598.809880170465</v>
      </c>
      <c r="AC18" s="1094">
        <f t="shared" si="11"/>
        <v>10598.809880170465</v>
      </c>
      <c r="AD18" s="1094">
        <f t="shared" si="11"/>
        <v>10598.809880170465</v>
      </c>
      <c r="AE18" s="1094">
        <f t="shared" si="11"/>
        <v>10598.809880170465</v>
      </c>
      <c r="AF18" s="1095">
        <f>'Rail&amp;Bus2'!H11</f>
        <v>555.05381199668852</v>
      </c>
      <c r="AG18" s="1093"/>
      <c r="AH18" s="1093"/>
      <c r="AI18" s="1093"/>
      <c r="AJ18" s="1093"/>
      <c r="AK18" s="1093"/>
      <c r="AL18" s="1091">
        <v>1</v>
      </c>
      <c r="AM18" s="1094">
        <v>0</v>
      </c>
      <c r="AN18" s="1094"/>
      <c r="AO18" s="1094"/>
      <c r="AP18" s="1094"/>
      <c r="AQ18" s="1094"/>
      <c r="AR18" s="1094"/>
      <c r="AS18" s="1094"/>
      <c r="AT18" s="1094"/>
      <c r="AU18" s="1094"/>
      <c r="AV18" s="1094"/>
      <c r="AZ18" s="1084">
        <f>'Rail&amp;Bus2'!F11</f>
        <v>12</v>
      </c>
    </row>
    <row r="19" spans="1:52" s="1084" customFormat="1" ht="12" customHeight="1" x14ac:dyDescent="0.2">
      <c r="A19" s="1071" t="str">
        <f>Technologies!B62</f>
        <v>R2,R3,R4,R5,R6</v>
      </c>
      <c r="B19" s="1071" t="str">
        <f>Technologies!C62</f>
        <v>TBDSLIM</v>
      </c>
      <c r="C19" s="1071" t="str">
        <f>Technologies!D62</f>
        <v>Bus, Improved Diesel</v>
      </c>
      <c r="D19" s="1071" t="s">
        <v>480</v>
      </c>
      <c r="E19" s="1071" t="str">
        <f>Commodities!C$41</f>
        <v>TBDSL</v>
      </c>
      <c r="F19" s="1071" t="s">
        <v>93</v>
      </c>
      <c r="G19" s="1091">
        <v>1</v>
      </c>
      <c r="H19" s="1091">
        <v>2025</v>
      </c>
      <c r="I19" s="1091">
        <f t="shared" si="9"/>
        <v>17</v>
      </c>
      <c r="J19" s="1091">
        <v>0.24</v>
      </c>
      <c r="K19" s="1092">
        <f>'Rail&amp;Bus2'!I13</f>
        <v>3.9094679852749017E-2</v>
      </c>
      <c r="L19" s="1092"/>
      <c r="M19" s="1092"/>
      <c r="N19" s="1092"/>
      <c r="O19" s="1092"/>
      <c r="P19" s="1092"/>
      <c r="Q19" s="1092"/>
      <c r="R19" s="1092"/>
      <c r="S19" s="1092"/>
      <c r="T19" s="1092"/>
      <c r="U19" s="1092"/>
      <c r="V19" s="1094"/>
      <c r="W19" s="1094">
        <f>X19</f>
        <v>10598.809880170465</v>
      </c>
      <c r="X19" s="1094">
        <f>Y19</f>
        <v>10598.809880170465</v>
      </c>
      <c r="Y19" s="1094">
        <f>'Rail&amp;Bus2'!V7</f>
        <v>10598.809880170465</v>
      </c>
      <c r="Z19" s="1094">
        <f t="shared" ref="Z19:AE19" si="12">Y19</f>
        <v>10598.809880170465</v>
      </c>
      <c r="AA19" s="1094">
        <f t="shared" si="12"/>
        <v>10598.809880170465</v>
      </c>
      <c r="AB19" s="1094">
        <f t="shared" si="12"/>
        <v>10598.809880170465</v>
      </c>
      <c r="AC19" s="1094">
        <f t="shared" si="12"/>
        <v>10598.809880170465</v>
      </c>
      <c r="AD19" s="1094">
        <f t="shared" si="12"/>
        <v>10598.809880170465</v>
      </c>
      <c r="AE19" s="1094">
        <f t="shared" si="12"/>
        <v>10598.809880170465</v>
      </c>
      <c r="AF19" s="1095">
        <f>'Rail&amp;Bus2'!H12</f>
        <v>555.05381199668852</v>
      </c>
      <c r="AG19" s="1093"/>
      <c r="AH19" s="1093"/>
      <c r="AI19" s="1093"/>
      <c r="AJ19" s="1093"/>
      <c r="AK19" s="1093"/>
      <c r="AL19" s="1091">
        <v>1</v>
      </c>
      <c r="AM19" s="1094">
        <v>0</v>
      </c>
      <c r="AN19" s="1094"/>
      <c r="AO19" s="1094"/>
      <c r="AP19" s="1094"/>
      <c r="AQ19" s="1094"/>
      <c r="AR19" s="1094"/>
      <c r="AS19" s="1094"/>
      <c r="AT19" s="1094"/>
      <c r="AU19" s="1094"/>
      <c r="AV19" s="1094"/>
      <c r="AZ19" s="1084">
        <v>12</v>
      </c>
    </row>
    <row r="20" spans="1:52" s="1084" customFormat="1" ht="12" customHeight="1" x14ac:dyDescent="0.2">
      <c r="A20" s="1071" t="str">
        <f>Technologies!B63</f>
        <v>R2,R3,R4,R5,R6</v>
      </c>
      <c r="B20" s="1071" t="str">
        <f>Technologies!C63</f>
        <v>TBDSLADV</v>
      </c>
      <c r="C20" s="1071" t="str">
        <f>'Rail&amp;Bus2'!B14</f>
        <v>Bus, Advanced Tech Diesel</v>
      </c>
      <c r="D20" s="1071" t="s">
        <v>480</v>
      </c>
      <c r="E20" s="1071" t="str">
        <f>Commodities!C$41</f>
        <v>TBDSL</v>
      </c>
      <c r="F20" s="1071" t="s">
        <v>93</v>
      </c>
      <c r="G20" s="1091">
        <v>1</v>
      </c>
      <c r="H20" s="1094">
        <f>'Rail&amp;Bus2'!E14</f>
        <v>2015</v>
      </c>
      <c r="I20" s="1091">
        <f t="shared" si="9"/>
        <v>17</v>
      </c>
      <c r="J20" s="1091">
        <v>0.28000000000000003</v>
      </c>
      <c r="K20" s="1092"/>
      <c r="L20" s="1092"/>
      <c r="M20" s="1092">
        <f>'Rail&amp;Bus2'!I14</f>
        <v>3.7727786705275178E-2</v>
      </c>
      <c r="N20" s="1092">
        <f>M20</f>
        <v>3.7727786705275178E-2</v>
      </c>
      <c r="O20" s="1092">
        <f>'Rail&amp;Bus2'!$I15</f>
        <v>3.9094679852749017E-2</v>
      </c>
      <c r="P20" s="1092">
        <f>O20</f>
        <v>3.9094679852749017E-2</v>
      </c>
      <c r="Q20" s="1092">
        <f>P20</f>
        <v>3.9094679852749017E-2</v>
      </c>
      <c r="R20" s="1092">
        <f>'Rail&amp;Bus2'!I16</f>
        <v>3.9355771802266494E-2</v>
      </c>
      <c r="S20" s="1092">
        <f t="shared" ref="S20:U21" si="13">R20</f>
        <v>3.9355771802266494E-2</v>
      </c>
      <c r="T20" s="1092">
        <f t="shared" si="13"/>
        <v>3.9355771802266494E-2</v>
      </c>
      <c r="U20" s="1092">
        <f t="shared" si="13"/>
        <v>3.9355771802266494E-2</v>
      </c>
      <c r="V20" s="1094"/>
      <c r="W20" s="1094">
        <f>'Rail&amp;Bus2'!G14</f>
        <v>10807.968064260209</v>
      </c>
      <c r="X20" s="1094">
        <f>W20</f>
        <v>10807.968064260209</v>
      </c>
      <c r="Y20" s="1094">
        <f>'Rail&amp;Bus2'!G15</f>
        <v>10912.547156305081</v>
      </c>
      <c r="Z20" s="1094">
        <f>Y20</f>
        <v>10912.547156305081</v>
      </c>
      <c r="AA20" s="1094">
        <f>Z20</f>
        <v>10912.547156305081</v>
      </c>
      <c r="AB20" s="1094">
        <f>'Rail&amp;Bus2'!G16</f>
        <v>11236.002243454332</v>
      </c>
      <c r="AC20" s="1094">
        <f t="shared" ref="AC20:AE21" si="14">AB20</f>
        <v>11236.002243454332</v>
      </c>
      <c r="AD20" s="1094">
        <f t="shared" si="14"/>
        <v>11236.002243454332</v>
      </c>
      <c r="AE20" s="1094">
        <f t="shared" si="14"/>
        <v>11236.002243454332</v>
      </c>
      <c r="AF20" s="1094">
        <f>'Rail&amp;Bus2'!H14</f>
        <v>555.05381199668852</v>
      </c>
      <c r="AG20" s="1093"/>
      <c r="AH20" s="1093"/>
      <c r="AI20" s="1093"/>
      <c r="AJ20" s="1093"/>
      <c r="AK20" s="1093"/>
      <c r="AL20" s="1091">
        <v>1</v>
      </c>
      <c r="AM20" s="1094">
        <v>0</v>
      </c>
      <c r="AN20" s="1094"/>
      <c r="AO20" s="1094"/>
      <c r="AP20" s="1094"/>
      <c r="AQ20" s="1094"/>
      <c r="AR20" s="1094"/>
      <c r="AS20" s="1094"/>
      <c r="AT20" s="1094"/>
      <c r="AU20" s="1094"/>
      <c r="AV20" s="1094"/>
      <c r="AZ20" s="1088">
        <f>'Rail&amp;Bus2'!F14</f>
        <v>12</v>
      </c>
    </row>
    <row r="21" spans="1:52" s="1084" customFormat="1" ht="12" customHeight="1" x14ac:dyDescent="0.2">
      <c r="A21" s="1071" t="str">
        <f>Technologies!B64</f>
        <v>R2,R3,R4,R5,R6</v>
      </c>
      <c r="B21" s="1071" t="str">
        <f>Technologies!C64</f>
        <v>TBDSLAH</v>
      </c>
      <c r="C21" s="1071" t="str">
        <f>'Rail&amp;Bus2'!B17</f>
        <v>Bus, Advanced Hybrid Diesel</v>
      </c>
      <c r="D21" s="1071" t="s">
        <v>480</v>
      </c>
      <c r="E21" s="1071" t="str">
        <f>Commodities!C$41</f>
        <v>TBDSL</v>
      </c>
      <c r="F21" s="1071" t="s">
        <v>93</v>
      </c>
      <c r="G21" s="1091">
        <v>1</v>
      </c>
      <c r="H21" s="1094">
        <f>'Rail&amp;Bus2'!$E$17</f>
        <v>2015</v>
      </c>
      <c r="I21" s="1091">
        <f t="shared" si="9"/>
        <v>17</v>
      </c>
      <c r="J21" s="1091">
        <v>0.28000000000000003</v>
      </c>
      <c r="K21" s="1092"/>
      <c r="L21" s="1092"/>
      <c r="M21" s="1092">
        <f>'Rail&amp;Bus2'!I17</f>
        <v>5.3892450050401219E-2</v>
      </c>
      <c r="N21" s="1092">
        <f>M21</f>
        <v>5.3892450050401219E-2</v>
      </c>
      <c r="O21" s="1092">
        <f>'Rail&amp;Bus2'!$I18</f>
        <v>5.5850639671782283E-2</v>
      </c>
      <c r="P21" s="1092">
        <f>O21</f>
        <v>5.5850639671782283E-2</v>
      </c>
      <c r="Q21" s="1092">
        <f>P21</f>
        <v>5.5850639671782283E-2</v>
      </c>
      <c r="R21" s="1092">
        <f>'Rail&amp;Bus2'!I19</f>
        <v>5.6557123770476642E-2</v>
      </c>
      <c r="S21" s="1092">
        <f t="shared" si="13"/>
        <v>5.6557123770476642E-2</v>
      </c>
      <c r="T21" s="1092">
        <f t="shared" si="13"/>
        <v>5.6557123770476642E-2</v>
      </c>
      <c r="U21" s="1092">
        <f t="shared" si="13"/>
        <v>5.6557123770476642E-2</v>
      </c>
      <c r="V21" s="1094"/>
      <c r="W21" s="1094">
        <f>'Rail&amp;Bus2'!G17</f>
        <v>17887.168141143909</v>
      </c>
      <c r="X21" s="1094">
        <f>W21</f>
        <v>17887.168141143909</v>
      </c>
      <c r="Y21" s="1094">
        <f>'Rail&amp;Bus2'!G18</f>
        <v>15563.581606817675</v>
      </c>
      <c r="Z21" s="1094">
        <f>Y21</f>
        <v>15563.581606817675</v>
      </c>
      <c r="AA21" s="1094">
        <f>Z21</f>
        <v>15563.581606817675</v>
      </c>
      <c r="AB21" s="1094">
        <f>'Rail&amp;Bus2'!G19</f>
        <v>15887.036693966924</v>
      </c>
      <c r="AC21" s="1094">
        <f t="shared" si="14"/>
        <v>15887.036693966924</v>
      </c>
      <c r="AD21" s="1094">
        <f t="shared" si="14"/>
        <v>15887.036693966924</v>
      </c>
      <c r="AE21" s="1094">
        <f t="shared" si="14"/>
        <v>15887.036693966924</v>
      </c>
      <c r="AF21" s="1094">
        <f>'Rail&amp;Bus2'!H17</f>
        <v>564.46150372544582</v>
      </c>
      <c r="AG21" s="1093"/>
      <c r="AH21" s="1093"/>
      <c r="AI21" s="1093"/>
      <c r="AJ21" s="1093"/>
      <c r="AK21" s="1093"/>
      <c r="AL21" s="1091">
        <v>1</v>
      </c>
      <c r="AM21" s="1094">
        <v>0</v>
      </c>
      <c r="AN21" s="1094"/>
      <c r="AO21" s="1094"/>
      <c r="AP21" s="1094"/>
      <c r="AQ21" s="1094"/>
      <c r="AR21" s="1094"/>
      <c r="AS21" s="1094"/>
      <c r="AT21" s="1094"/>
      <c r="AU21" s="1094"/>
      <c r="AV21" s="1094"/>
      <c r="AZ21" s="1088">
        <f>'Rail&amp;Bus2'!F17</f>
        <v>12</v>
      </c>
    </row>
    <row r="22" spans="1:52" s="1084" customFormat="1" ht="12" customHeight="1" x14ac:dyDescent="0.2">
      <c r="A22" s="1071" t="s">
        <v>115</v>
      </c>
      <c r="B22" s="1071" t="str">
        <f>Technologies!C65</f>
        <v>TBB20C10</v>
      </c>
      <c r="C22" s="1071" t="str">
        <f>Technologies!D65</f>
        <v>Bus, Conventional Biodiesel, 2010</v>
      </c>
      <c r="D22" s="1071" t="s">
        <v>480</v>
      </c>
      <c r="E22" s="1071" t="s">
        <v>76</v>
      </c>
      <c r="F22" s="1071" t="s">
        <v>93</v>
      </c>
      <c r="G22" s="1091">
        <v>1</v>
      </c>
      <c r="H22" s="1094">
        <v>2010</v>
      </c>
      <c r="I22" s="1091">
        <f t="shared" si="9"/>
        <v>17</v>
      </c>
      <c r="J22" s="1091">
        <v>0.18</v>
      </c>
      <c r="K22" s="1092">
        <f>'Rail&amp;Bus2'!$L9</f>
        <v>3.1770686560191462E-2</v>
      </c>
      <c r="L22" s="1092"/>
      <c r="M22" s="1092"/>
      <c r="N22" s="1092"/>
      <c r="O22" s="1092"/>
      <c r="P22" s="1092"/>
      <c r="Q22" s="1092"/>
      <c r="R22" s="1092"/>
      <c r="S22" s="1092"/>
      <c r="T22" s="1092"/>
      <c r="U22" s="1092"/>
      <c r="V22" s="1094">
        <f>'Rail&amp;Bus2'!T9</f>
        <v>10426.65660557352</v>
      </c>
      <c r="W22" s="1094"/>
      <c r="X22" s="1094"/>
      <c r="Y22" s="1094"/>
      <c r="Z22" s="1094"/>
      <c r="AA22" s="1094"/>
      <c r="AB22" s="1094"/>
      <c r="AC22" s="1094"/>
      <c r="AD22" s="1094"/>
      <c r="AE22" s="1094"/>
      <c r="AF22" s="1094">
        <f>'Rail&amp;Bus2'!H20</f>
        <v>524.22213355219355</v>
      </c>
      <c r="AG22" s="1093"/>
      <c r="AH22" s="1093"/>
      <c r="AI22" s="1093"/>
      <c r="AJ22" s="1093"/>
      <c r="AK22" s="1093"/>
      <c r="AL22" s="1091">
        <v>1</v>
      </c>
      <c r="AM22" s="1094"/>
      <c r="AN22" s="1094">
        <v>0</v>
      </c>
      <c r="AO22" s="1094">
        <v>0</v>
      </c>
      <c r="AP22" s="1094">
        <v>0</v>
      </c>
      <c r="AQ22" s="1094">
        <v>0</v>
      </c>
      <c r="AR22" s="1094">
        <v>0</v>
      </c>
      <c r="AS22" s="1094">
        <v>0</v>
      </c>
      <c r="AT22" s="1094">
        <v>0</v>
      </c>
      <c r="AU22" s="1094">
        <v>0</v>
      </c>
      <c r="AV22" s="1094">
        <v>0</v>
      </c>
      <c r="AZ22" s="1088">
        <v>12</v>
      </c>
    </row>
    <row r="23" spans="1:52" s="1084" customFormat="1" ht="12" customHeight="1" x14ac:dyDescent="0.2">
      <c r="A23" s="1071" t="s">
        <v>115</v>
      </c>
      <c r="B23" s="1071" t="str">
        <f>Technologies!C66</f>
        <v>TBB20C</v>
      </c>
      <c r="C23" s="1071" t="str">
        <f>'Rail&amp;Bus2'!B21</f>
        <v>Bus, Conventional B20</v>
      </c>
      <c r="D23" s="1071" t="s">
        <v>480</v>
      </c>
      <c r="E23" s="1071" t="s">
        <v>76</v>
      </c>
      <c r="F23" s="1071" t="s">
        <v>93</v>
      </c>
      <c r="G23" s="1091">
        <v>1</v>
      </c>
      <c r="H23" s="1094">
        <v>2015</v>
      </c>
      <c r="I23" s="1091">
        <f t="shared" si="9"/>
        <v>17</v>
      </c>
      <c r="J23" s="1091">
        <v>0.18</v>
      </c>
      <c r="K23" s="1091"/>
      <c r="L23" s="1091"/>
      <c r="M23" s="1092">
        <f>'Rail&amp;Bus2'!I11</f>
        <v>3.348888211310911E-2</v>
      </c>
      <c r="N23" s="1092">
        <f>'Rail&amp;Bus2'!$I22</f>
        <v>3.496310337396915E-2</v>
      </c>
      <c r="O23" s="1092">
        <f t="shared" ref="O23:U23" si="15">N23</f>
        <v>3.496310337396915E-2</v>
      </c>
      <c r="P23" s="1092">
        <f t="shared" si="15"/>
        <v>3.496310337396915E-2</v>
      </c>
      <c r="Q23" s="1092">
        <f t="shared" si="15"/>
        <v>3.496310337396915E-2</v>
      </c>
      <c r="R23" s="1092">
        <f t="shared" si="15"/>
        <v>3.496310337396915E-2</v>
      </c>
      <c r="S23" s="1092">
        <f t="shared" si="15"/>
        <v>3.496310337396915E-2</v>
      </c>
      <c r="T23" s="1092">
        <f t="shared" si="15"/>
        <v>3.496310337396915E-2</v>
      </c>
      <c r="U23" s="1092">
        <f t="shared" si="15"/>
        <v>3.496310337396915E-2</v>
      </c>
      <c r="V23" s="1091"/>
      <c r="W23" s="1094">
        <f>'Rail&amp;Bus2'!G21</f>
        <v>10488.438715335413</v>
      </c>
      <c r="X23" s="1094">
        <f>'Rail&amp;Bus2'!G22</f>
        <v>10749.403772715079</v>
      </c>
      <c r="Y23" s="1094">
        <f t="shared" ref="Y23:AE23" si="16">X23</f>
        <v>10749.403772715079</v>
      </c>
      <c r="Z23" s="1094">
        <f t="shared" si="16"/>
        <v>10749.403772715079</v>
      </c>
      <c r="AA23" s="1094">
        <f t="shared" si="16"/>
        <v>10749.403772715079</v>
      </c>
      <c r="AB23" s="1094">
        <f t="shared" si="16"/>
        <v>10749.403772715079</v>
      </c>
      <c r="AC23" s="1094">
        <f t="shared" si="16"/>
        <v>10749.403772715079</v>
      </c>
      <c r="AD23" s="1094">
        <f t="shared" si="16"/>
        <v>10749.403772715079</v>
      </c>
      <c r="AE23" s="1094">
        <f t="shared" si="16"/>
        <v>10749.403772715079</v>
      </c>
      <c r="AF23" s="1094">
        <f>'Rail&amp;Bus2'!H21</f>
        <v>524.22213355219355</v>
      </c>
      <c r="AG23" s="1093"/>
      <c r="AH23" s="1093"/>
      <c r="AI23" s="1093"/>
      <c r="AJ23" s="1093"/>
      <c r="AK23" s="1093"/>
      <c r="AL23" s="1091">
        <v>1</v>
      </c>
      <c r="AM23" s="1094"/>
      <c r="AN23" s="1094"/>
      <c r="AO23" s="1094"/>
      <c r="AP23" s="1094"/>
      <c r="AQ23" s="1094"/>
      <c r="AR23" s="1094"/>
      <c r="AS23" s="1094"/>
      <c r="AT23" s="1094"/>
      <c r="AU23" s="1094"/>
      <c r="AV23" s="1094"/>
      <c r="AZ23" s="1088">
        <f>'Rail&amp;Bus2'!F21</f>
        <v>12</v>
      </c>
    </row>
    <row r="24" spans="1:52" s="1084" customFormat="1" ht="12" customHeight="1" x14ac:dyDescent="0.2">
      <c r="A24" s="1071" t="s">
        <v>115</v>
      </c>
      <c r="B24" s="1071" t="str">
        <f>Technologies!C67</f>
        <v>TBB20IM</v>
      </c>
      <c r="C24" s="1071" t="str">
        <f>Technologies!D67</f>
        <v>Bus, B20, Improved Biodiesel</v>
      </c>
      <c r="D24" s="1071" t="s">
        <v>480</v>
      </c>
      <c r="E24" s="1071" t="s">
        <v>76</v>
      </c>
      <c r="F24" s="1071" t="s">
        <v>93</v>
      </c>
      <c r="G24" s="1091">
        <v>1</v>
      </c>
      <c r="H24" s="1094">
        <v>2025</v>
      </c>
      <c r="I24" s="1091">
        <f t="shared" si="9"/>
        <v>17</v>
      </c>
      <c r="J24" s="1091">
        <v>0.24</v>
      </c>
      <c r="K24" s="1092">
        <f>'Rail&amp;Bus2'!I23</f>
        <v>3.906873557438037E-2</v>
      </c>
      <c r="L24" s="1091"/>
      <c r="M24" s="1092"/>
      <c r="N24" s="1092"/>
      <c r="O24" s="1092"/>
      <c r="P24" s="1092"/>
      <c r="Q24" s="1092"/>
      <c r="R24" s="1092"/>
      <c r="S24" s="1092"/>
      <c r="T24" s="1092"/>
      <c r="U24" s="1092"/>
      <c r="V24" s="1094"/>
      <c r="W24" s="1094"/>
      <c r="X24" s="1094"/>
      <c r="Y24" s="1094">
        <f>'Rail&amp;Bus2'!G23</f>
        <v>11404.873343470175</v>
      </c>
      <c r="Z24" s="1094">
        <f t="shared" ref="Z24:AE24" si="17">Y24</f>
        <v>11404.873343470175</v>
      </c>
      <c r="AA24" s="1094">
        <f t="shared" si="17"/>
        <v>11404.873343470175</v>
      </c>
      <c r="AB24" s="1094">
        <f t="shared" si="17"/>
        <v>11404.873343470175</v>
      </c>
      <c r="AC24" s="1094">
        <f t="shared" si="17"/>
        <v>11404.873343470175</v>
      </c>
      <c r="AD24" s="1094">
        <f t="shared" si="17"/>
        <v>11404.873343470175</v>
      </c>
      <c r="AE24" s="1094">
        <f t="shared" si="17"/>
        <v>11404.873343470175</v>
      </c>
      <c r="AF24" s="1094">
        <f>'Rail&amp;Bus2'!H22</f>
        <v>524.22213355219355</v>
      </c>
      <c r="AG24" s="1093"/>
      <c r="AH24" s="1093"/>
      <c r="AI24" s="1093"/>
      <c r="AJ24" s="1093"/>
      <c r="AK24" s="1093"/>
      <c r="AL24" s="1091">
        <v>1</v>
      </c>
      <c r="AM24" s="1094"/>
      <c r="AN24" s="1094"/>
      <c r="AO24" s="1094"/>
      <c r="AP24" s="1094"/>
      <c r="AQ24" s="1094"/>
      <c r="AR24" s="1094"/>
      <c r="AS24" s="1094"/>
      <c r="AT24" s="1094"/>
      <c r="AU24" s="1094"/>
      <c r="AV24" s="1094"/>
      <c r="AZ24" s="1088">
        <v>12</v>
      </c>
    </row>
    <row r="25" spans="1:52" s="1084" customFormat="1" ht="12" customHeight="1" x14ac:dyDescent="0.2">
      <c r="A25" s="1071" t="s">
        <v>115</v>
      </c>
      <c r="B25" s="1071" t="str">
        <f>Technologies!C68</f>
        <v>TBB20ADV</v>
      </c>
      <c r="C25" s="1071" t="str">
        <f>'Rail&amp;Bus2'!B24</f>
        <v>Bus, Advanced Tech B20</v>
      </c>
      <c r="D25" s="1071" t="s">
        <v>480</v>
      </c>
      <c r="E25" s="1071" t="s">
        <v>76</v>
      </c>
      <c r="F25" s="1071" t="s">
        <v>93</v>
      </c>
      <c r="G25" s="1091">
        <v>1</v>
      </c>
      <c r="H25" s="1094">
        <v>2015</v>
      </c>
      <c r="I25" s="1091">
        <f t="shared" si="9"/>
        <v>17</v>
      </c>
      <c r="J25" s="1091">
        <v>0.28000000000000003</v>
      </c>
      <c r="K25" s="1092"/>
      <c r="L25" s="1091"/>
      <c r="M25" s="1092">
        <f>'Rail&amp;Bus2'!I24</f>
        <v>3.7700577129058895E-2</v>
      </c>
      <c r="N25" s="1092">
        <f>M25</f>
        <v>3.7700577129058895E-2</v>
      </c>
      <c r="O25" s="1092">
        <f>'Rail&amp;Bus2'!I25</f>
        <v>3.9067955574154302E-2</v>
      </c>
      <c r="P25" s="1092">
        <f>O25</f>
        <v>3.9067955574154302E-2</v>
      </c>
      <c r="Q25" s="1092">
        <f>P25</f>
        <v>3.9067955574154302E-2</v>
      </c>
      <c r="R25" s="1092">
        <f>'Rail&amp;Bus2'!I26</f>
        <v>3.956248665737145E-2</v>
      </c>
      <c r="S25" s="1092">
        <f t="shared" ref="S25:U26" si="18">R25</f>
        <v>3.956248665737145E-2</v>
      </c>
      <c r="T25" s="1092">
        <f t="shared" si="18"/>
        <v>3.956248665737145E-2</v>
      </c>
      <c r="U25" s="1092">
        <f t="shared" si="18"/>
        <v>3.956248665737145E-2</v>
      </c>
      <c r="V25" s="1094"/>
      <c r="W25" s="1094">
        <f>'Rail&amp;Bus2'!G24</f>
        <v>10807.968064260209</v>
      </c>
      <c r="X25" s="1094">
        <f>W25</f>
        <v>10807.968064260209</v>
      </c>
      <c r="Y25" s="1094">
        <f>'Rail&amp;Bus2'!G25</f>
        <v>10912.547156305081</v>
      </c>
      <c r="Z25" s="1094">
        <f>Y25</f>
        <v>10912.547156305081</v>
      </c>
      <c r="AA25" s="1094">
        <f>Z25</f>
        <v>10912.547156305081</v>
      </c>
      <c r="AB25" s="1094">
        <f>'Rail&amp;Bus2'!G26</f>
        <v>11236.005461272549</v>
      </c>
      <c r="AC25" s="1094">
        <f t="shared" ref="AC25:AE26" si="19">AB25</f>
        <v>11236.005461272549</v>
      </c>
      <c r="AD25" s="1094">
        <f t="shared" si="19"/>
        <v>11236.005461272549</v>
      </c>
      <c r="AE25" s="1094">
        <f t="shared" si="19"/>
        <v>11236.005461272549</v>
      </c>
      <c r="AF25" s="1094">
        <f>'Rail&amp;Bus2'!H23</f>
        <v>524.22213355219355</v>
      </c>
      <c r="AG25" s="1093"/>
      <c r="AH25" s="1093"/>
      <c r="AI25" s="1093"/>
      <c r="AJ25" s="1093"/>
      <c r="AK25" s="1093"/>
      <c r="AL25" s="1091">
        <v>1</v>
      </c>
      <c r="AM25" s="1094"/>
      <c r="AN25" s="1094"/>
      <c r="AO25" s="1094"/>
      <c r="AP25" s="1094"/>
      <c r="AQ25" s="1094"/>
      <c r="AR25" s="1094"/>
      <c r="AS25" s="1094"/>
      <c r="AT25" s="1094"/>
      <c r="AU25" s="1094"/>
      <c r="AV25" s="1094"/>
      <c r="AZ25" s="1088">
        <v>12</v>
      </c>
    </row>
    <row r="26" spans="1:52" s="1084" customFormat="1" ht="12" customHeight="1" x14ac:dyDescent="0.2">
      <c r="A26" s="1071" t="s">
        <v>115</v>
      </c>
      <c r="B26" s="1071" t="str">
        <f>Technologies!C69</f>
        <v>TBB20AH</v>
      </c>
      <c r="C26" s="1071" t="str">
        <f>'Rail&amp;Bus2'!B27</f>
        <v>Bus, Advanced Hybrid B20</v>
      </c>
      <c r="D26" s="1071" t="s">
        <v>480</v>
      </c>
      <c r="E26" s="1071" t="s">
        <v>76</v>
      </c>
      <c r="F26" s="1071" t="s">
        <v>93</v>
      </c>
      <c r="G26" s="1091">
        <v>1</v>
      </c>
      <c r="H26" s="1094">
        <v>2015</v>
      </c>
      <c r="I26" s="1091">
        <f t="shared" si="9"/>
        <v>17</v>
      </c>
      <c r="J26" s="1091">
        <v>0.28000000000000003</v>
      </c>
      <c r="K26" s="1092"/>
      <c r="L26" s="1091"/>
      <c r="M26" s="1092">
        <f>'Rail&amp;Bus2'!I27</f>
        <v>5.3857967327227002E-2</v>
      </c>
      <c r="N26" s="1092">
        <f>M26</f>
        <v>5.3857967327227002E-2</v>
      </c>
      <c r="O26" s="1092">
        <f>'Rail&amp;Bus2'!I28</f>
        <v>5.5811365105934721E-2</v>
      </c>
      <c r="P26" s="1092">
        <f>O26</f>
        <v>5.5811365105934721E-2</v>
      </c>
      <c r="Q26" s="1092">
        <f>P26</f>
        <v>5.5811365105934721E-2</v>
      </c>
      <c r="R26" s="1092">
        <f>'Rail&amp;Bus2'!I29</f>
        <v>5.6517838081959204E-2</v>
      </c>
      <c r="S26" s="1092">
        <f t="shared" si="18"/>
        <v>5.6517838081959204E-2</v>
      </c>
      <c r="T26" s="1092">
        <f t="shared" si="18"/>
        <v>5.6517838081959204E-2</v>
      </c>
      <c r="U26" s="1092">
        <f t="shared" si="18"/>
        <v>5.6517838081959204E-2</v>
      </c>
      <c r="V26" s="1094"/>
      <c r="W26" s="1094">
        <f>'Rail&amp;Bus2'!G27</f>
        <v>17887.168141143909</v>
      </c>
      <c r="X26" s="1094">
        <f>W26</f>
        <v>17887.168141143909</v>
      </c>
      <c r="Y26" s="1094">
        <f>'Rail&amp;Bus2'!G28</f>
        <v>15563.581606817675</v>
      </c>
      <c r="Z26" s="1094">
        <f>Y26</f>
        <v>15563.581606817675</v>
      </c>
      <c r="AA26" s="1094">
        <f>Z26</f>
        <v>15563.581606817675</v>
      </c>
      <c r="AB26" s="1094">
        <f>'Rail&amp;Bus2'!G29</f>
        <v>15887.039911785143</v>
      </c>
      <c r="AC26" s="1094">
        <f t="shared" si="19"/>
        <v>15887.039911785143</v>
      </c>
      <c r="AD26" s="1094">
        <f t="shared" si="19"/>
        <v>15887.039911785143</v>
      </c>
      <c r="AE26" s="1094">
        <f t="shared" si="19"/>
        <v>15887.039911785143</v>
      </c>
      <c r="AF26" s="1094">
        <f>'Rail&amp;Bus2'!H27</f>
        <v>564.46150372544582</v>
      </c>
      <c r="AG26" s="1093"/>
      <c r="AH26" s="1093"/>
      <c r="AI26" s="1093"/>
      <c r="AJ26" s="1093"/>
      <c r="AK26" s="1093"/>
      <c r="AL26" s="1091">
        <v>1</v>
      </c>
      <c r="AM26" s="1094"/>
      <c r="AN26" s="1094"/>
      <c r="AO26" s="1094"/>
      <c r="AP26" s="1094"/>
      <c r="AQ26" s="1094"/>
      <c r="AR26" s="1094"/>
      <c r="AS26" s="1094"/>
      <c r="AT26" s="1094"/>
      <c r="AU26" s="1094"/>
      <c r="AV26" s="1094"/>
      <c r="AZ26" s="1088">
        <v>12</v>
      </c>
    </row>
    <row r="27" spans="1:52" s="1084" customFormat="1" ht="12" customHeight="1" x14ac:dyDescent="0.2">
      <c r="A27" s="1071" t="str">
        <f>Technologies!B70</f>
        <v>R2,R3,R4,R5,R6</v>
      </c>
      <c r="B27" s="1071" t="str">
        <f>Technologies!C70</f>
        <v>TBCNGC10</v>
      </c>
      <c r="C27" s="1071" t="str">
        <f>Technologies!D70</f>
        <v>Bus, Conventional CNG, 2010</v>
      </c>
      <c r="D27" s="1071" t="s">
        <v>480</v>
      </c>
      <c r="E27" s="1071" t="str">
        <f>Commodities!C$55</f>
        <v>TBCNG</v>
      </c>
      <c r="F27" s="1071" t="s">
        <v>93</v>
      </c>
      <c r="G27" s="1091">
        <v>1</v>
      </c>
      <c r="H27" s="1094">
        <v>2010</v>
      </c>
      <c r="I27" s="1091">
        <f t="shared" si="9"/>
        <v>17</v>
      </c>
      <c r="J27" s="1091">
        <v>0.18</v>
      </c>
      <c r="K27" s="1092">
        <f>'Rail&amp;Bus2'!$L10</f>
        <v>2.7030695950044502E-2</v>
      </c>
      <c r="L27" s="1091"/>
      <c r="M27" s="1092"/>
      <c r="N27" s="1092"/>
      <c r="O27" s="1092"/>
      <c r="P27" s="1092"/>
      <c r="Q27" s="1092"/>
      <c r="R27" s="1092"/>
      <c r="S27" s="1092"/>
      <c r="T27" s="1092"/>
      <c r="U27" s="1092"/>
      <c r="V27" s="1094">
        <f>'Rail&amp;Bus2'!T10</f>
        <v>12020.946606425739</v>
      </c>
      <c r="W27" s="1094"/>
      <c r="X27" s="1094"/>
      <c r="Y27" s="1094"/>
      <c r="Z27" s="1094"/>
      <c r="AA27" s="1094"/>
      <c r="AB27" s="1094"/>
      <c r="AC27" s="1094"/>
      <c r="AD27" s="1094"/>
      <c r="AE27" s="1094"/>
      <c r="AF27" s="1094">
        <f>'Rail&amp;Bus2'!H30</f>
        <v>639.72303755550536</v>
      </c>
      <c r="AG27" s="1093"/>
      <c r="AH27" s="1093"/>
      <c r="AI27" s="1093"/>
      <c r="AJ27" s="1093"/>
      <c r="AK27" s="1093"/>
      <c r="AL27" s="1091">
        <v>1</v>
      </c>
      <c r="AM27" s="1094">
        <v>0</v>
      </c>
      <c r="AN27" s="1094">
        <v>0</v>
      </c>
      <c r="AO27" s="1094">
        <v>0</v>
      </c>
      <c r="AP27" s="1094">
        <v>0</v>
      </c>
      <c r="AQ27" s="1094">
        <v>0</v>
      </c>
      <c r="AR27" s="1094">
        <v>0</v>
      </c>
      <c r="AS27" s="1094">
        <v>0</v>
      </c>
      <c r="AT27" s="1094">
        <v>0</v>
      </c>
      <c r="AU27" s="1094">
        <v>0</v>
      </c>
      <c r="AV27" s="1094">
        <v>0</v>
      </c>
      <c r="AZ27" s="1088">
        <v>12</v>
      </c>
    </row>
    <row r="28" spans="1:52" s="1084" customFormat="1" ht="12" customHeight="1" x14ac:dyDescent="0.2">
      <c r="A28" s="1071" t="str">
        <f>Technologies!B71</f>
        <v>R2,R3,R4,R5,R6</v>
      </c>
      <c r="B28" s="1071" t="str">
        <f>Technologies!C71</f>
        <v>TBCNGC</v>
      </c>
      <c r="C28" s="1071" t="str">
        <f>'Rail&amp;Bus2'!B31</f>
        <v>Bus, Conventional CNG</v>
      </c>
      <c r="D28" s="1071" t="s">
        <v>480</v>
      </c>
      <c r="E28" s="1071" t="str">
        <f>Commodities!C$55</f>
        <v>TBCNG</v>
      </c>
      <c r="F28" s="1071" t="s">
        <v>93</v>
      </c>
      <c r="G28" s="1091">
        <v>1</v>
      </c>
      <c r="H28" s="1094">
        <v>2015</v>
      </c>
      <c r="I28" s="1091">
        <f t="shared" si="9"/>
        <v>17</v>
      </c>
      <c r="J28" s="1091">
        <v>0.18</v>
      </c>
      <c r="K28" s="1091"/>
      <c r="L28" s="1091"/>
      <c r="M28" s="1096">
        <f>'Rail&amp;Bus2'!$I31</f>
        <v>2.8412947447489963E-2</v>
      </c>
      <c r="N28" s="1096">
        <f>'Rail&amp;Bus2'!$I32</f>
        <v>2.9718407195077338E-2</v>
      </c>
      <c r="O28" s="1096">
        <f t="shared" ref="O28:U28" si="20">N28</f>
        <v>2.9718407195077338E-2</v>
      </c>
      <c r="P28" s="1096">
        <f t="shared" si="20"/>
        <v>2.9718407195077338E-2</v>
      </c>
      <c r="Q28" s="1096">
        <f t="shared" si="20"/>
        <v>2.9718407195077338E-2</v>
      </c>
      <c r="R28" s="1096">
        <f t="shared" si="20"/>
        <v>2.9718407195077338E-2</v>
      </c>
      <c r="S28" s="1096">
        <f t="shared" si="20"/>
        <v>2.9718407195077338E-2</v>
      </c>
      <c r="T28" s="1096">
        <f t="shared" si="20"/>
        <v>2.9718407195077338E-2</v>
      </c>
      <c r="U28" s="1096">
        <f t="shared" si="20"/>
        <v>2.9718407195077338E-2</v>
      </c>
      <c r="V28" s="1091"/>
      <c r="W28" s="1094">
        <f>'Rail&amp;Bus2'!G31</f>
        <v>12033.045602920778</v>
      </c>
      <c r="X28" s="1094">
        <f>'Rail&amp;Bus2'!G32</f>
        <v>12046.850043070701</v>
      </c>
      <c r="Y28" s="1094">
        <f t="shared" ref="Y28:AE28" si="21">X28</f>
        <v>12046.850043070701</v>
      </c>
      <c r="Z28" s="1094">
        <f t="shared" si="21"/>
        <v>12046.850043070701</v>
      </c>
      <c r="AA28" s="1094">
        <f t="shared" si="21"/>
        <v>12046.850043070701</v>
      </c>
      <c r="AB28" s="1094">
        <f t="shared" si="21"/>
        <v>12046.850043070701</v>
      </c>
      <c r="AC28" s="1094">
        <f t="shared" si="21"/>
        <v>12046.850043070701</v>
      </c>
      <c r="AD28" s="1094">
        <f t="shared" si="21"/>
        <v>12046.850043070701</v>
      </c>
      <c r="AE28" s="1094">
        <f t="shared" si="21"/>
        <v>12046.850043070701</v>
      </c>
      <c r="AF28" s="1094">
        <f>'Rail&amp;Bus2'!H31</f>
        <v>639.72303755550536</v>
      </c>
      <c r="AG28" s="1093"/>
      <c r="AH28" s="1093"/>
      <c r="AI28" s="1093"/>
      <c r="AJ28" s="1093"/>
      <c r="AK28" s="1093"/>
      <c r="AL28" s="1091">
        <v>1</v>
      </c>
      <c r="AM28" s="1094">
        <v>0</v>
      </c>
      <c r="AN28" s="1094"/>
      <c r="AO28" s="1094"/>
      <c r="AP28" s="1094"/>
      <c r="AQ28" s="1094"/>
      <c r="AR28" s="1094"/>
      <c r="AS28" s="1094"/>
      <c r="AT28" s="1094"/>
      <c r="AU28" s="1094"/>
      <c r="AV28" s="1094"/>
      <c r="AZ28" s="1088">
        <f>'Rail&amp;Bus2'!F31</f>
        <v>12</v>
      </c>
    </row>
    <row r="29" spans="1:52" s="1084" customFormat="1" ht="12" customHeight="1" x14ac:dyDescent="0.2">
      <c r="A29" s="1071" t="str">
        <f>Technologies!B72</f>
        <v>R2,R3,R4,R5,R6</v>
      </c>
      <c r="B29" s="1071" t="str">
        <f>Technologies!C72</f>
        <v>TBCNGIM</v>
      </c>
      <c r="C29" s="1071" t="str">
        <f>Technologies!D72</f>
        <v>Bus, Improved CNG</v>
      </c>
      <c r="D29" s="1071" t="s">
        <v>480</v>
      </c>
      <c r="E29" s="1071" t="str">
        <f>Commodities!C$55</f>
        <v>TBCNG</v>
      </c>
      <c r="F29" s="1071" t="s">
        <v>93</v>
      </c>
      <c r="G29" s="1091">
        <v>1</v>
      </c>
      <c r="H29" s="1094">
        <v>2025</v>
      </c>
      <c r="I29" s="1091">
        <f t="shared" si="9"/>
        <v>17</v>
      </c>
      <c r="J29" s="1091">
        <v>0.24</v>
      </c>
      <c r="K29" s="1092">
        <f>'Rail&amp;Bus2'!I33</f>
        <v>3.1231204667281531E-2</v>
      </c>
      <c r="L29" s="1092"/>
      <c r="M29" s="1096"/>
      <c r="N29" s="1096"/>
      <c r="O29" s="1092"/>
      <c r="P29" s="1092"/>
      <c r="Q29" s="1092"/>
      <c r="R29" s="1092"/>
      <c r="S29" s="1092"/>
      <c r="T29" s="1092"/>
      <c r="U29" s="1092"/>
      <c r="V29" s="1094"/>
      <c r="W29" s="1094"/>
      <c r="X29" s="1094"/>
      <c r="Y29" s="1094">
        <f>'Rail&amp;Bus2'!G33</f>
        <v>12573.413816062179</v>
      </c>
      <c r="Z29" s="1094">
        <f t="shared" ref="Z29:AE29" si="22">Y29</f>
        <v>12573.413816062179</v>
      </c>
      <c r="AA29" s="1094">
        <f t="shared" si="22"/>
        <v>12573.413816062179</v>
      </c>
      <c r="AB29" s="1094">
        <f t="shared" si="22"/>
        <v>12573.413816062179</v>
      </c>
      <c r="AC29" s="1094">
        <f t="shared" si="22"/>
        <v>12573.413816062179</v>
      </c>
      <c r="AD29" s="1094">
        <f t="shared" si="22"/>
        <v>12573.413816062179</v>
      </c>
      <c r="AE29" s="1094">
        <f t="shared" si="22"/>
        <v>12573.413816062179</v>
      </c>
      <c r="AF29" s="1094">
        <f>'Rail&amp;Bus2'!H32</f>
        <v>639.72303755550536</v>
      </c>
      <c r="AG29" s="1093"/>
      <c r="AH29" s="1093"/>
      <c r="AI29" s="1093"/>
      <c r="AJ29" s="1093"/>
      <c r="AK29" s="1093"/>
      <c r="AL29" s="1091">
        <v>1</v>
      </c>
      <c r="AM29" s="1094">
        <v>0</v>
      </c>
      <c r="AN29" s="1094"/>
      <c r="AO29" s="1094"/>
      <c r="AP29" s="1094"/>
      <c r="AQ29" s="1094"/>
      <c r="AR29" s="1094"/>
      <c r="AS29" s="1094"/>
      <c r="AT29" s="1094"/>
      <c r="AU29" s="1094"/>
      <c r="AV29" s="1094"/>
      <c r="AZ29" s="1088">
        <v>12</v>
      </c>
    </row>
    <row r="30" spans="1:52" s="1084" customFormat="1" ht="12" customHeight="1" x14ac:dyDescent="0.2">
      <c r="A30" s="1071" t="str">
        <f>Technologies!B73</f>
        <v>R2,R3,R4,R5,R6</v>
      </c>
      <c r="B30" s="1071" t="str">
        <f>Technologies!C73</f>
        <v>TBCNGADV</v>
      </c>
      <c r="C30" s="1071" t="str">
        <f>'Rail&amp;Bus2'!B34</f>
        <v>Bus, Advanced Tech CNG</v>
      </c>
      <c r="D30" s="1071" t="s">
        <v>480</v>
      </c>
      <c r="E30" s="1071" t="str">
        <f>Commodities!C$55</f>
        <v>TBCNG</v>
      </c>
      <c r="F30" s="1071" t="s">
        <v>93</v>
      </c>
      <c r="G30" s="1091">
        <v>1</v>
      </c>
      <c r="H30" s="1094">
        <f>'Rail&amp;Bus2'!E34</f>
        <v>2015</v>
      </c>
      <c r="I30" s="1091">
        <f t="shared" si="9"/>
        <v>17</v>
      </c>
      <c r="J30" s="1091">
        <v>0.28000000000000003</v>
      </c>
      <c r="K30" s="1092"/>
      <c r="L30" s="1092"/>
      <c r="M30" s="1092">
        <f>'Rail&amp;Bus2'!I34</f>
        <v>3.022523274414067E-2</v>
      </c>
      <c r="N30" s="1092">
        <f>M30</f>
        <v>3.022523274414067E-2</v>
      </c>
      <c r="O30" s="1092">
        <f>'Rail&amp;Bus2'!$I35</f>
        <v>3.0839566743005316E-2</v>
      </c>
      <c r="P30" s="1092">
        <f>O30</f>
        <v>3.0839566743005316E-2</v>
      </c>
      <c r="Q30" s="1092">
        <f>P30</f>
        <v>3.0839566743005316E-2</v>
      </c>
      <c r="R30" s="1092">
        <f>'Rail&amp;Bus2'!$I36</f>
        <v>3.1231204667281531E-2</v>
      </c>
      <c r="S30" s="1092">
        <f t="shared" ref="S30:U31" si="23">R30</f>
        <v>3.1231204667281531E-2</v>
      </c>
      <c r="T30" s="1092">
        <f t="shared" si="23"/>
        <v>3.1231204667281531E-2</v>
      </c>
      <c r="U30" s="1092">
        <f t="shared" si="23"/>
        <v>3.1231204667281531E-2</v>
      </c>
      <c r="V30" s="1094"/>
      <c r="W30" s="1094">
        <f>'Rail&amp;Bus2'!G34</f>
        <v>12097.884639988599</v>
      </c>
      <c r="X30" s="1094">
        <f>W30</f>
        <v>12097.884639988599</v>
      </c>
      <c r="Y30" s="1094">
        <f>'Rail&amp;Bus2'!G35</f>
        <v>12081.087628897085</v>
      </c>
      <c r="Z30" s="1094">
        <f t="shared" ref="Z30:AA33" si="24">Y30</f>
        <v>12081.087628897085</v>
      </c>
      <c r="AA30" s="1094">
        <f t="shared" si="24"/>
        <v>12081.087628897085</v>
      </c>
      <c r="AB30" s="1094">
        <f>'Rail&amp;Bus2'!G36</f>
        <v>12404.542716046335</v>
      </c>
      <c r="AC30" s="1094">
        <f t="shared" ref="AC30:AE33" si="25">AB30</f>
        <v>12404.542716046335</v>
      </c>
      <c r="AD30" s="1094">
        <f t="shared" si="25"/>
        <v>12404.542716046335</v>
      </c>
      <c r="AE30" s="1094">
        <f t="shared" si="25"/>
        <v>12404.542716046335</v>
      </c>
      <c r="AF30" s="1094">
        <f>'Rail&amp;Bus2'!H34</f>
        <v>639.72303755550536</v>
      </c>
      <c r="AG30" s="1093"/>
      <c r="AH30" s="1093"/>
      <c r="AI30" s="1093"/>
      <c r="AJ30" s="1093"/>
      <c r="AK30" s="1093"/>
      <c r="AL30" s="1091">
        <v>1</v>
      </c>
      <c r="AM30" s="1094">
        <v>0</v>
      </c>
      <c r="AN30" s="1094"/>
      <c r="AO30" s="1094"/>
      <c r="AP30" s="1094"/>
      <c r="AQ30" s="1094"/>
      <c r="AR30" s="1094"/>
      <c r="AS30" s="1094"/>
      <c r="AT30" s="1094"/>
      <c r="AU30" s="1094"/>
      <c r="AV30" s="1094"/>
      <c r="AZ30" s="1088">
        <f>'Rail&amp;Bus2'!F34</f>
        <v>12</v>
      </c>
    </row>
    <row r="31" spans="1:52" s="1084" customFormat="1" ht="12" customHeight="1" x14ac:dyDescent="0.2">
      <c r="A31" s="1071" t="str">
        <f>Technologies!B74</f>
        <v>R2,R3,R4,R5,R6</v>
      </c>
      <c r="B31" s="1071" t="str">
        <f>Technologies!C74</f>
        <v>TBCNGAH</v>
      </c>
      <c r="C31" s="1071" t="str">
        <f>'Rail&amp;Bus2'!B37</f>
        <v>Bus, Advanced Hybird CNG</v>
      </c>
      <c r="D31" s="1071" t="s">
        <v>480</v>
      </c>
      <c r="E31" s="1071" t="str">
        <f>Commodities!C$55</f>
        <v>TBCNG</v>
      </c>
      <c r="F31" s="1071" t="s">
        <v>93</v>
      </c>
      <c r="G31" s="1091">
        <v>1</v>
      </c>
      <c r="H31" s="1094">
        <v>2015</v>
      </c>
      <c r="I31" s="1091">
        <f t="shared" si="9"/>
        <v>17</v>
      </c>
      <c r="J31" s="1091">
        <v>0.28000000000000003</v>
      </c>
      <c r="K31" s="1092"/>
      <c r="L31" s="1092"/>
      <c r="M31" s="1092">
        <f>'Rail&amp;Bus2'!I37</f>
        <v>4.0300310325520894E-2</v>
      </c>
      <c r="N31" s="1092">
        <f>M31</f>
        <v>4.0300310325520894E-2</v>
      </c>
      <c r="O31" s="1092">
        <f>'Rail&amp;Bus2'!$I38</f>
        <v>4.1121982049002359E-2</v>
      </c>
      <c r="P31" s="1092">
        <f>O31</f>
        <v>4.1121982049002359E-2</v>
      </c>
      <c r="Q31" s="1092">
        <f>P31</f>
        <v>4.1121982049002359E-2</v>
      </c>
      <c r="R31" s="1092">
        <f>'Rail&amp;Bus2'!$I39</f>
        <v>4.1644165948037312E-2</v>
      </c>
      <c r="S31" s="1092">
        <f t="shared" si="23"/>
        <v>4.1644165948037312E-2</v>
      </c>
      <c r="T31" s="1092">
        <f t="shared" si="23"/>
        <v>4.1644165948037312E-2</v>
      </c>
      <c r="U31" s="1092">
        <f t="shared" si="23"/>
        <v>4.1644165948037312E-2</v>
      </c>
      <c r="V31" s="1094"/>
      <c r="W31" s="1094">
        <f>'Rail&amp;Bus2'!G37</f>
        <v>18533.521073519238</v>
      </c>
      <c r="X31" s="1094">
        <f>W31</f>
        <v>18533.521073519238</v>
      </c>
      <c r="Y31" s="1094">
        <f>'Rail&amp;Bus2'!G38</f>
        <v>16309.300765726714</v>
      </c>
      <c r="Z31" s="1094">
        <f t="shared" si="24"/>
        <v>16309.300765726714</v>
      </c>
      <c r="AA31" s="1094">
        <f t="shared" si="24"/>
        <v>16309.300765726714</v>
      </c>
      <c r="AB31" s="1094">
        <f>'Rail&amp;Bus2'!G39</f>
        <v>16632.755852875962</v>
      </c>
      <c r="AC31" s="1094">
        <f t="shared" si="25"/>
        <v>16632.755852875962</v>
      </c>
      <c r="AD31" s="1094">
        <f t="shared" si="25"/>
        <v>16632.755852875962</v>
      </c>
      <c r="AE31" s="1094">
        <f t="shared" si="25"/>
        <v>16632.755852875962</v>
      </c>
      <c r="AF31" s="1094">
        <f>'Rail&amp;Bus2'!H37</f>
        <v>649.13072928426288</v>
      </c>
      <c r="AG31" s="1093"/>
      <c r="AH31" s="1093"/>
      <c r="AI31" s="1093"/>
      <c r="AJ31" s="1093"/>
      <c r="AK31" s="1093"/>
      <c r="AL31" s="1091">
        <v>1</v>
      </c>
      <c r="AM31" s="1094">
        <v>0</v>
      </c>
      <c r="AN31" s="1094"/>
      <c r="AO31" s="1094"/>
      <c r="AP31" s="1094"/>
      <c r="AQ31" s="1094"/>
      <c r="AR31" s="1094"/>
      <c r="AS31" s="1094"/>
      <c r="AT31" s="1094"/>
      <c r="AU31" s="1094"/>
      <c r="AV31" s="1094"/>
      <c r="AZ31" s="1088">
        <f>'Rail&amp;Bus2'!F35</f>
        <v>12</v>
      </c>
    </row>
    <row r="32" spans="1:52" s="1084" customFormat="1" ht="12" customHeight="1" x14ac:dyDescent="0.2">
      <c r="A32" s="1071" t="str">
        <f>Technologies!B75</f>
        <v>R2,R3,R4,R5,R6</v>
      </c>
      <c r="B32" s="1071" t="str">
        <f>Technologies!C75</f>
        <v>TBH2FC</v>
      </c>
      <c r="C32" s="1071" t="str">
        <f>'Rail&amp;Bus2'!B40</f>
        <v>Bus, Hydrogen Fuel Cell</v>
      </c>
      <c r="D32" s="1071" t="s">
        <v>480</v>
      </c>
      <c r="E32" s="1071" t="str">
        <f>Commodities!C$53</f>
        <v>TRNH2</v>
      </c>
      <c r="F32" s="1071" t="s">
        <v>93</v>
      </c>
      <c r="G32" s="1091">
        <v>1</v>
      </c>
      <c r="H32" s="1094">
        <f>'Rail&amp;Bus2'!E40</f>
        <v>2010</v>
      </c>
      <c r="I32" s="1091">
        <f t="shared" si="9"/>
        <v>17</v>
      </c>
      <c r="J32" s="1091">
        <v>0.24</v>
      </c>
      <c r="K32" s="1092">
        <f>'Rail&amp;Bus2'!I40</f>
        <v>2.7477593548993765E-2</v>
      </c>
      <c r="L32" s="1092"/>
      <c r="M32" s="1092"/>
      <c r="N32" s="1092"/>
      <c r="O32" s="1092"/>
      <c r="P32" s="1092"/>
      <c r="Q32" s="1092"/>
      <c r="R32" s="1092"/>
      <c r="S32" s="1092"/>
      <c r="T32" s="1092"/>
      <c r="U32" s="1092"/>
      <c r="V32" s="1094">
        <f>'Rail&amp;Bus2'!T12</f>
        <v>63771.600034088806</v>
      </c>
      <c r="W32" s="1094">
        <f>'Rail&amp;Bus2'!U12</f>
        <v>51017.280027271045</v>
      </c>
      <c r="X32" s="1094">
        <f>W32</f>
        <v>51017.280027271045</v>
      </c>
      <c r="Y32" s="1094">
        <f>'Rail&amp;Bus2'!V12</f>
        <v>31885.800017044403</v>
      </c>
      <c r="Z32" s="1094">
        <f t="shared" si="24"/>
        <v>31885.800017044403</v>
      </c>
      <c r="AA32" s="1094">
        <f t="shared" si="24"/>
        <v>31885.800017044403</v>
      </c>
      <c r="AB32" s="1094">
        <f>'Rail&amp;Bus2'!W12</f>
        <v>19131.480010226642</v>
      </c>
      <c r="AC32" s="1094">
        <f t="shared" si="25"/>
        <v>19131.480010226642</v>
      </c>
      <c r="AD32" s="1094">
        <f t="shared" si="25"/>
        <v>19131.480010226642</v>
      </c>
      <c r="AE32" s="1094">
        <f t="shared" si="25"/>
        <v>19131.480010226642</v>
      </c>
      <c r="AF32" s="1094">
        <f>'Rail&amp;Bus2'!H43</f>
        <v>1317.0768420260404</v>
      </c>
      <c r="AG32" s="1093"/>
      <c r="AH32" s="1093"/>
      <c r="AI32" s="1093"/>
      <c r="AJ32" s="1093"/>
      <c r="AK32" s="1093"/>
      <c r="AL32" s="1091">
        <v>1</v>
      </c>
      <c r="AM32" s="1094">
        <v>0</v>
      </c>
      <c r="AN32" s="1094"/>
      <c r="AO32" s="1094"/>
      <c r="AP32" s="1094"/>
      <c r="AQ32" s="1094"/>
      <c r="AR32" s="1094"/>
      <c r="AS32" s="1094"/>
      <c r="AT32" s="1094"/>
      <c r="AU32" s="1094"/>
      <c r="AV32" s="1094"/>
      <c r="AZ32" s="1088">
        <f>'Rail&amp;Bus2'!F40</f>
        <v>12</v>
      </c>
    </row>
    <row r="33" spans="1:52" s="1084" customFormat="1" ht="12" customHeight="1" x14ac:dyDescent="0.2">
      <c r="A33" s="1071" t="str">
        <f>Technologies!B76</f>
        <v>R2,R3,R4,R5,R6</v>
      </c>
      <c r="B33" s="1071" t="str">
        <f>Technologies!C76</f>
        <v>TBH2HYB</v>
      </c>
      <c r="C33" s="1071" t="str">
        <f>'Rail&amp;Bus2'!B44</f>
        <v>Bus, Hydrogen Fuel Cell Hybrid</v>
      </c>
      <c r="D33" s="1071" t="s">
        <v>480</v>
      </c>
      <c r="E33" s="1071" t="str">
        <f>Commodities!C$53</f>
        <v>TRNH2</v>
      </c>
      <c r="F33" s="1071" t="s">
        <v>93</v>
      </c>
      <c r="G33" s="1091">
        <v>1</v>
      </c>
      <c r="H33" s="1094">
        <f>'Rail&amp;Bus2'!E44</f>
        <v>2010</v>
      </c>
      <c r="I33" s="1091">
        <f t="shared" si="9"/>
        <v>17</v>
      </c>
      <c r="J33" s="1091">
        <v>0.24</v>
      </c>
      <c r="K33" s="1092">
        <f>'Rail&amp;Bus2'!I44</f>
        <v>4.9930712849028683E-2</v>
      </c>
      <c r="L33" s="1092"/>
      <c r="M33" s="1092"/>
      <c r="N33" s="1092"/>
      <c r="O33" s="1092"/>
      <c r="P33" s="1092"/>
      <c r="Q33" s="1092"/>
      <c r="R33" s="1092"/>
      <c r="S33" s="1092"/>
      <c r="T33" s="1092"/>
      <c r="U33" s="1092"/>
      <c r="V33" s="1094">
        <f>V32</f>
        <v>63771.600034088806</v>
      </c>
      <c r="W33" s="1094">
        <f>'Rail&amp;Bus2'!U13</f>
        <v>51017.280027271045</v>
      </c>
      <c r="X33" s="1094">
        <f>W33</f>
        <v>51017.280027271045</v>
      </c>
      <c r="Y33" s="1094">
        <f>'Rail&amp;Bus2'!V13</f>
        <v>31885.800017044403</v>
      </c>
      <c r="Z33" s="1094">
        <f t="shared" si="24"/>
        <v>31885.800017044403</v>
      </c>
      <c r="AA33" s="1094">
        <f t="shared" si="24"/>
        <v>31885.800017044403</v>
      </c>
      <c r="AB33" s="1094">
        <f>'Rail&amp;Bus2'!W13</f>
        <v>19131.480010226642</v>
      </c>
      <c r="AC33" s="1094">
        <f t="shared" si="25"/>
        <v>19131.480010226642</v>
      </c>
      <c r="AD33" s="1094">
        <f t="shared" si="25"/>
        <v>19131.480010226642</v>
      </c>
      <c r="AE33" s="1094">
        <f t="shared" si="25"/>
        <v>19131.480010226642</v>
      </c>
      <c r="AF33" s="1094">
        <f>'Rail&amp;Bus2'!H44</f>
        <v>1317.0768420260404</v>
      </c>
      <c r="AG33" s="1093"/>
      <c r="AH33" s="1093"/>
      <c r="AI33" s="1093"/>
      <c r="AJ33" s="1093"/>
      <c r="AK33" s="1093"/>
      <c r="AL33" s="1091">
        <v>1</v>
      </c>
      <c r="AM33" s="1094"/>
      <c r="AN33" s="1094"/>
      <c r="AO33" s="1094"/>
      <c r="AP33" s="1094"/>
      <c r="AQ33" s="1094"/>
      <c r="AR33" s="1094"/>
      <c r="AS33" s="1094"/>
      <c r="AT33" s="1094"/>
      <c r="AU33" s="1094"/>
      <c r="AV33" s="1094"/>
      <c r="AZ33" s="1088">
        <f>'Rail&amp;Bus2'!F44</f>
        <v>12</v>
      </c>
    </row>
    <row r="34" spans="1:52" s="1084" customFormat="1" ht="12" customHeight="1" x14ac:dyDescent="0.2">
      <c r="A34" s="1071" t="str">
        <f>Technologies!B77</f>
        <v>R2,R3,R4,R5,R6</v>
      </c>
      <c r="B34" s="1071" t="str">
        <f>Technologies!C77</f>
        <v>TBELC</v>
      </c>
      <c r="C34" s="1071" t="str">
        <f>Technologies!D77</f>
        <v>Bus, Conventional ELC</v>
      </c>
      <c r="D34" s="1071" t="s">
        <v>480</v>
      </c>
      <c r="E34" s="1071" t="s">
        <v>9</v>
      </c>
      <c r="F34" s="1071" t="s">
        <v>93</v>
      </c>
      <c r="G34" s="1091">
        <v>1</v>
      </c>
      <c r="H34" s="1094">
        <v>2020</v>
      </c>
      <c r="I34" s="1091">
        <v>17</v>
      </c>
      <c r="J34" s="1091">
        <v>0.28000000000000003</v>
      </c>
      <c r="K34" s="1092">
        <v>8.1100000000000005E-2</v>
      </c>
      <c r="L34" s="1092"/>
      <c r="M34" s="1092"/>
      <c r="N34" s="1092"/>
      <c r="O34" s="1092"/>
      <c r="P34" s="1092"/>
      <c r="Q34" s="1092"/>
      <c r="R34" s="1092"/>
      <c r="S34" s="1092"/>
      <c r="T34" s="1092"/>
      <c r="U34" s="1092"/>
      <c r="V34" s="1094"/>
      <c r="W34" s="1094">
        <v>16379.9789</v>
      </c>
      <c r="X34" s="1094">
        <v>16379.9789</v>
      </c>
      <c r="Y34" s="1094">
        <v>16379.9789</v>
      </c>
      <c r="Z34" s="1094">
        <v>16379.9789</v>
      </c>
      <c r="AA34" s="1094">
        <v>16379.9789</v>
      </c>
      <c r="AB34" s="1094">
        <v>16379.9789</v>
      </c>
      <c r="AC34" s="1094">
        <v>16379.9789</v>
      </c>
      <c r="AD34" s="1094">
        <v>16379.9789</v>
      </c>
      <c r="AE34" s="1094">
        <v>16379.9789</v>
      </c>
      <c r="AF34" s="1094">
        <v>333.03230000000002</v>
      </c>
      <c r="AG34" s="1093"/>
      <c r="AH34" s="1093"/>
      <c r="AI34" s="1093"/>
      <c r="AJ34" s="1093"/>
      <c r="AK34" s="1093"/>
      <c r="AL34" s="1091">
        <v>1</v>
      </c>
      <c r="AM34" s="1094"/>
      <c r="AN34" s="1094"/>
      <c r="AO34" s="1094"/>
      <c r="AP34" s="1094"/>
      <c r="AQ34" s="1094"/>
      <c r="AR34" s="1094"/>
      <c r="AS34" s="1094"/>
      <c r="AT34" s="1094"/>
      <c r="AU34" s="1094"/>
      <c r="AV34" s="1094"/>
      <c r="AZ34" s="1088">
        <v>12</v>
      </c>
    </row>
    <row r="35" spans="1:52" s="1084" customFormat="1" ht="12" customHeight="1" x14ac:dyDescent="0.2">
      <c r="A35" s="1071" t="str">
        <f>Technologies!B78</f>
        <v>R2,R3,R4,R5,R6</v>
      </c>
      <c r="B35" s="1071" t="str">
        <f>Technologies!C78</f>
        <v>TBELCIM</v>
      </c>
      <c r="C35" s="1071" t="str">
        <f>Technologies!D78</f>
        <v>Bus, Improved ELC</v>
      </c>
      <c r="D35" s="1071" t="s">
        <v>480</v>
      </c>
      <c r="E35" s="1071" t="s">
        <v>9</v>
      </c>
      <c r="F35" s="1071" t="s">
        <v>93</v>
      </c>
      <c r="G35" s="1091">
        <v>1</v>
      </c>
      <c r="H35" s="1094">
        <v>2025</v>
      </c>
      <c r="I35" s="1091">
        <v>17</v>
      </c>
      <c r="J35" s="1091">
        <v>0.28000000000000003</v>
      </c>
      <c r="K35" s="1092"/>
      <c r="L35" s="1092">
        <v>8.9200000000000002E-2</v>
      </c>
      <c r="M35" s="1092">
        <v>8.9200000000000002E-2</v>
      </c>
      <c r="N35" s="1092">
        <v>8.9200000000000002E-2</v>
      </c>
      <c r="O35" s="1092">
        <v>8.9200000000000002E-2</v>
      </c>
      <c r="P35" s="1092">
        <v>8.9200000000000002E-2</v>
      </c>
      <c r="Q35" s="1092">
        <v>8.9200000000000002E-2</v>
      </c>
      <c r="R35" s="1092">
        <v>8.9200000000000002E-2</v>
      </c>
      <c r="S35" s="1092">
        <v>9.3700000000000006E-2</v>
      </c>
      <c r="T35" s="1092">
        <v>9.3700000000000006E-2</v>
      </c>
      <c r="U35" s="1092">
        <v>9.8400000000000001E-2</v>
      </c>
      <c r="V35" s="1094"/>
      <c r="W35" s="1094">
        <v>16379.9789</v>
      </c>
      <c r="X35" s="1094">
        <v>16379.9789</v>
      </c>
      <c r="Y35" s="1094">
        <v>16379.9789</v>
      </c>
      <c r="Z35" s="1094">
        <v>16379.9789</v>
      </c>
      <c r="AA35" s="1094">
        <v>16379.9789</v>
      </c>
      <c r="AB35" s="1094">
        <v>16379.9789</v>
      </c>
      <c r="AC35" s="1094">
        <v>16379.9789</v>
      </c>
      <c r="AD35" s="1094">
        <v>16379.9789</v>
      </c>
      <c r="AE35" s="1094">
        <v>16379.9789</v>
      </c>
      <c r="AF35" s="1094">
        <v>333.03230000000002</v>
      </c>
      <c r="AG35" s="1093"/>
      <c r="AH35" s="1093"/>
      <c r="AI35" s="1093"/>
      <c r="AJ35" s="1093"/>
      <c r="AK35" s="1093"/>
      <c r="AL35" s="1091">
        <v>1</v>
      </c>
      <c r="AM35" s="1094"/>
      <c r="AN35" s="1094"/>
      <c r="AO35" s="1094"/>
      <c r="AP35" s="1094"/>
      <c r="AQ35" s="1094"/>
      <c r="AR35" s="1094"/>
      <c r="AS35" s="1094"/>
      <c r="AT35" s="1094"/>
      <c r="AU35" s="1094"/>
      <c r="AV35" s="1094"/>
      <c r="AZ35" s="1088">
        <v>12</v>
      </c>
    </row>
    <row r="36" spans="1:52" s="1084" customFormat="1" ht="12" customHeight="1" x14ac:dyDescent="0.2">
      <c r="A36" s="1098" t="s">
        <v>482</v>
      </c>
      <c r="B36" s="1073"/>
      <c r="C36" s="1073"/>
      <c r="D36" s="1073"/>
      <c r="E36" s="1073"/>
      <c r="F36" s="1073"/>
      <c r="G36" s="1099"/>
      <c r="H36" s="1100"/>
      <c r="I36" s="1100"/>
      <c r="J36" s="1100"/>
      <c r="K36" s="1100"/>
      <c r="L36" s="1100"/>
      <c r="M36" s="1100"/>
      <c r="N36" s="1100"/>
      <c r="O36" s="1100"/>
      <c r="P36" s="1100"/>
      <c r="Q36" s="1100"/>
      <c r="R36" s="1100"/>
      <c r="S36" s="1100"/>
      <c r="T36" s="1100"/>
      <c r="U36" s="1100"/>
      <c r="V36" s="1100"/>
      <c r="W36" s="1100"/>
      <c r="X36" s="1100"/>
      <c r="Y36" s="1100"/>
      <c r="Z36" s="1100"/>
      <c r="AA36" s="1100"/>
      <c r="AB36" s="1100"/>
      <c r="AC36" s="1100"/>
      <c r="AD36" s="1100"/>
      <c r="AE36" s="1100"/>
      <c r="AF36" s="1100"/>
      <c r="AG36" s="1100"/>
      <c r="AH36" s="1100"/>
      <c r="AI36" s="1100"/>
      <c r="AJ36" s="1100"/>
      <c r="AK36" s="1100"/>
      <c r="AL36" s="1100"/>
      <c r="AM36" s="1101">
        <v>0</v>
      </c>
      <c r="AN36" s="1101"/>
      <c r="AO36" s="1101"/>
      <c r="AP36" s="1101"/>
      <c r="AQ36" s="1101"/>
      <c r="AR36" s="1101"/>
      <c r="AS36" s="1101"/>
      <c r="AT36" s="1101"/>
      <c r="AU36" s="1101"/>
      <c r="AV36" s="1101"/>
      <c r="AZ36" s="1088"/>
    </row>
    <row r="37" spans="1:52" s="1084" customFormat="1" ht="12" customHeight="1" x14ac:dyDescent="0.2">
      <c r="A37" s="1071" t="s">
        <v>115</v>
      </c>
      <c r="B37" s="1071" t="str">
        <f>Technologies!C81</f>
        <v>TCGSLC10</v>
      </c>
      <c r="C37" s="1071" t="str">
        <f>Technologies!D81</f>
        <v>Commercial Truck, Gasoline 2010</v>
      </c>
      <c r="D37" s="1071" t="s">
        <v>480</v>
      </c>
      <c r="E37" s="1071" t="s">
        <v>33</v>
      </c>
      <c r="F37" s="1071" t="str">
        <f>Commodities!C$18</f>
        <v>TC</v>
      </c>
      <c r="G37" s="1091">
        <v>1</v>
      </c>
      <c r="H37" s="1091">
        <v>2010</v>
      </c>
      <c r="I37" s="1091">
        <f t="shared" ref="I37:I65" si="26">AZ37+5</f>
        <v>20.5</v>
      </c>
      <c r="J37" s="1091">
        <v>0.18</v>
      </c>
      <c r="K37" s="1092">
        <f>Trucks!H7</f>
        <v>0.11893076184220376</v>
      </c>
      <c r="L37" s="1092"/>
      <c r="M37" s="1092"/>
      <c r="N37" s="1092"/>
      <c r="O37" s="1092"/>
      <c r="P37" s="1092"/>
      <c r="Q37" s="1092"/>
      <c r="R37" s="1092"/>
      <c r="S37" s="1092"/>
      <c r="T37" s="1092"/>
      <c r="U37" s="1092"/>
      <c r="V37" s="1093">
        <f>Trucks!F7</f>
        <v>1113.4942710231383</v>
      </c>
      <c r="W37" s="1093">
        <f>V37</f>
        <v>1113.4942710231383</v>
      </c>
      <c r="X37" s="1091"/>
      <c r="Y37" s="1091"/>
      <c r="Z37" s="1091"/>
      <c r="AA37" s="1091"/>
      <c r="AB37" s="1091"/>
      <c r="AC37" s="1091"/>
      <c r="AD37" s="1091"/>
      <c r="AE37" s="1091"/>
      <c r="AF37" s="1094">
        <f>Trucks!G8</f>
        <v>56.323060573857596</v>
      </c>
      <c r="AG37" s="1093"/>
      <c r="AH37" s="1093"/>
      <c r="AI37" s="1093"/>
      <c r="AJ37" s="1093"/>
      <c r="AK37" s="1093"/>
      <c r="AL37" s="1091">
        <v>1</v>
      </c>
      <c r="AM37" s="1094"/>
      <c r="AN37" s="1094">
        <v>0</v>
      </c>
      <c r="AO37" s="1094">
        <v>0</v>
      </c>
      <c r="AP37" s="1094">
        <v>0</v>
      </c>
      <c r="AQ37" s="1094">
        <v>0</v>
      </c>
      <c r="AR37" s="1094">
        <v>0</v>
      </c>
      <c r="AS37" s="1094">
        <v>0</v>
      </c>
      <c r="AT37" s="1094">
        <v>0</v>
      </c>
      <c r="AU37" s="1094">
        <v>0</v>
      </c>
      <c r="AV37" s="1094">
        <v>0</v>
      </c>
      <c r="AZ37" s="1089">
        <f>Trucks!E67</f>
        <v>15.5</v>
      </c>
    </row>
    <row r="38" spans="1:52" s="1084" customFormat="1" ht="12" customHeight="1" x14ac:dyDescent="0.2">
      <c r="A38" s="1071" t="s">
        <v>115</v>
      </c>
      <c r="B38" s="1071" t="str">
        <f>Technologies!C82</f>
        <v>TCGSLC</v>
      </c>
      <c r="C38" s="1071" t="str">
        <f>Technologies!D82</f>
        <v>Commercial Truck, Conventional Gasoline</v>
      </c>
      <c r="D38" s="1071" t="s">
        <v>480</v>
      </c>
      <c r="E38" s="1071" t="s">
        <v>33</v>
      </c>
      <c r="F38" s="1071" t="str">
        <f>Commodities!C$18</f>
        <v>TC</v>
      </c>
      <c r="G38" s="1091">
        <v>1</v>
      </c>
      <c r="H38" s="1094">
        <v>2015</v>
      </c>
      <c r="I38" s="1091">
        <f t="shared" si="26"/>
        <v>20.5</v>
      </c>
      <c r="J38" s="1091">
        <v>0.18</v>
      </c>
      <c r="K38" s="1091"/>
      <c r="L38" s="1091"/>
      <c r="M38" s="1092">
        <f>Trucks!H8</f>
        <v>0.12946583429191386</v>
      </c>
      <c r="N38" s="1092">
        <f>Trucks!H9</f>
        <v>0.13360732394187996</v>
      </c>
      <c r="O38" s="1092">
        <f t="shared" ref="O38:U38" si="27">N38</f>
        <v>0.13360732394187996</v>
      </c>
      <c r="P38" s="1092">
        <f t="shared" si="27"/>
        <v>0.13360732394187996</v>
      </c>
      <c r="Q38" s="1092">
        <f t="shared" si="27"/>
        <v>0.13360732394187996</v>
      </c>
      <c r="R38" s="1092">
        <f t="shared" si="27"/>
        <v>0.13360732394187996</v>
      </c>
      <c r="S38" s="1092">
        <f t="shared" si="27"/>
        <v>0.13360732394187996</v>
      </c>
      <c r="T38" s="1092">
        <f t="shared" si="27"/>
        <v>0.13360732394187996</v>
      </c>
      <c r="U38" s="1092">
        <f t="shared" si="27"/>
        <v>0.13360732394187996</v>
      </c>
      <c r="V38" s="1091"/>
      <c r="W38" s="1093">
        <f>Trucks!F8</f>
        <v>1122.3649389096922</v>
      </c>
      <c r="X38" s="1093">
        <f>Trucks!F9</f>
        <v>1130.9319679636928</v>
      </c>
      <c r="Y38" s="1093">
        <f t="shared" ref="Y38:AE38" si="28">X38</f>
        <v>1130.9319679636928</v>
      </c>
      <c r="Z38" s="1093">
        <f t="shared" si="28"/>
        <v>1130.9319679636928</v>
      </c>
      <c r="AA38" s="1093">
        <f t="shared" si="28"/>
        <v>1130.9319679636928</v>
      </c>
      <c r="AB38" s="1093">
        <f t="shared" si="28"/>
        <v>1130.9319679636928</v>
      </c>
      <c r="AC38" s="1093">
        <f t="shared" si="28"/>
        <v>1130.9319679636928</v>
      </c>
      <c r="AD38" s="1093">
        <f t="shared" si="28"/>
        <v>1130.9319679636928</v>
      </c>
      <c r="AE38" s="1093">
        <f t="shared" si="28"/>
        <v>1130.9319679636928</v>
      </c>
      <c r="AF38" s="1094">
        <f>Trucks!G8</f>
        <v>56.323060573857596</v>
      </c>
      <c r="AG38" s="1093"/>
      <c r="AH38" s="1093"/>
      <c r="AI38" s="1093"/>
      <c r="AJ38" s="1093"/>
      <c r="AK38" s="1093"/>
      <c r="AL38" s="1091">
        <v>1</v>
      </c>
      <c r="AM38" s="1094"/>
      <c r="AN38" s="1094"/>
      <c r="AO38" s="1094"/>
      <c r="AP38" s="1094"/>
      <c r="AQ38" s="1094"/>
      <c r="AR38" s="1094"/>
      <c r="AS38" s="1094"/>
      <c r="AT38" s="1094"/>
      <c r="AU38" s="1094"/>
      <c r="AV38" s="1094"/>
      <c r="AZ38" s="1089">
        <f>Trucks!E8</f>
        <v>15.5</v>
      </c>
    </row>
    <row r="39" spans="1:52" s="1084" customFormat="1" ht="12" customHeight="1" x14ac:dyDescent="0.2">
      <c r="A39" s="1071" t="s">
        <v>115</v>
      </c>
      <c r="B39" s="1071" t="str">
        <f>Technologies!C83</f>
        <v>TCGSLIM</v>
      </c>
      <c r="C39" s="1071" t="str">
        <f>Technologies!D83</f>
        <v>Commercial Truck, Improved Gasoline</v>
      </c>
      <c r="D39" s="1071" t="s">
        <v>480</v>
      </c>
      <c r="E39" s="1071" t="s">
        <v>33</v>
      </c>
      <c r="F39" s="1071" t="str">
        <f>Commodities!C$18</f>
        <v>TC</v>
      </c>
      <c r="G39" s="1091">
        <v>1</v>
      </c>
      <c r="H39" s="1094">
        <v>2025</v>
      </c>
      <c r="I39" s="1091">
        <f t="shared" si="26"/>
        <v>20.5</v>
      </c>
      <c r="J39" s="1091">
        <v>0.24</v>
      </c>
      <c r="K39" s="1091"/>
      <c r="L39" s="1092"/>
      <c r="M39" s="1092"/>
      <c r="N39" s="1092"/>
      <c r="O39" s="1092">
        <f>Trucks!H10</f>
        <v>0.1437290909071739</v>
      </c>
      <c r="P39" s="1092">
        <f t="shared" ref="P39:Q41" si="29">O39</f>
        <v>0.1437290909071739</v>
      </c>
      <c r="Q39" s="1092">
        <f t="shared" si="29"/>
        <v>0.1437290909071739</v>
      </c>
      <c r="R39" s="1092">
        <f>Trucks!H11</f>
        <v>0.15823695689076192</v>
      </c>
      <c r="S39" s="1092">
        <f t="shared" ref="S39:U41" si="30">R39</f>
        <v>0.15823695689076192</v>
      </c>
      <c r="T39" s="1092">
        <f t="shared" si="30"/>
        <v>0.15823695689076192</v>
      </c>
      <c r="U39" s="1092">
        <f t="shared" si="30"/>
        <v>0.15823695689076192</v>
      </c>
      <c r="V39" s="1093"/>
      <c r="W39" s="1093"/>
      <c r="X39" s="1093"/>
      <c r="Y39" s="1093">
        <f>Trucks!F10</f>
        <v>1170.8328130291713</v>
      </c>
      <c r="Z39" s="1093">
        <f t="shared" ref="Z39:AA41" si="31">Y39</f>
        <v>1170.8328130291713</v>
      </c>
      <c r="AA39" s="1093">
        <f t="shared" si="31"/>
        <v>1170.8328130291713</v>
      </c>
      <c r="AB39" s="1093">
        <f>Trucks!F11</f>
        <v>1207.5097080019957</v>
      </c>
      <c r="AC39" s="1093">
        <f t="shared" ref="AC39:AE41" si="32">AB39</f>
        <v>1207.5097080019957</v>
      </c>
      <c r="AD39" s="1093">
        <f t="shared" si="32"/>
        <v>1207.5097080019957</v>
      </c>
      <c r="AE39" s="1093">
        <f t="shared" si="32"/>
        <v>1207.5097080019957</v>
      </c>
      <c r="AF39" s="1094">
        <f>AF38</f>
        <v>56.323060573857596</v>
      </c>
      <c r="AG39" s="1093"/>
      <c r="AH39" s="1093"/>
      <c r="AI39" s="1093"/>
      <c r="AJ39" s="1093"/>
      <c r="AK39" s="1093"/>
      <c r="AL39" s="1091">
        <v>1</v>
      </c>
      <c r="AM39" s="1094"/>
      <c r="AN39" s="1094"/>
      <c r="AO39" s="1094"/>
      <c r="AP39" s="1094"/>
      <c r="AQ39" s="1094"/>
      <c r="AR39" s="1094"/>
      <c r="AS39" s="1094"/>
      <c r="AT39" s="1094"/>
      <c r="AU39" s="1094"/>
      <c r="AV39" s="1094"/>
      <c r="AZ39" s="1089">
        <v>15.5</v>
      </c>
    </row>
    <row r="40" spans="1:52" s="1084" customFormat="1" ht="12" customHeight="1" x14ac:dyDescent="0.2">
      <c r="A40" s="1071" t="s">
        <v>115</v>
      </c>
      <c r="B40" s="1071" t="str">
        <f>Technologies!C84</f>
        <v>TCGSLADV</v>
      </c>
      <c r="C40" s="1071" t="str">
        <f>Technologies!D84</f>
        <v>Commercial Truck, Advanced Tech Gasoline</v>
      </c>
      <c r="D40" s="1071" t="s">
        <v>480</v>
      </c>
      <c r="E40" s="1071" t="s">
        <v>33</v>
      </c>
      <c r="F40" s="1071" t="str">
        <f>Commodities!C$18</f>
        <v>TC</v>
      </c>
      <c r="G40" s="1091">
        <v>1</v>
      </c>
      <c r="H40" s="1094">
        <f>Trucks!D12</f>
        <v>2015</v>
      </c>
      <c r="I40" s="1091">
        <f t="shared" si="26"/>
        <v>20.5</v>
      </c>
      <c r="J40" s="1091">
        <v>0.28000000000000003</v>
      </c>
      <c r="K40" s="1091"/>
      <c r="L40" s="1092"/>
      <c r="M40" s="1092">
        <f>Trucks!H12</f>
        <v>0.18885530196077607</v>
      </c>
      <c r="N40" s="1092">
        <f>M40</f>
        <v>0.18885530196077607</v>
      </c>
      <c r="O40" s="1092">
        <f>Trucks!H13</f>
        <v>0.23592151834939284</v>
      </c>
      <c r="P40" s="1092">
        <f t="shared" si="29"/>
        <v>0.23592151834939284</v>
      </c>
      <c r="Q40" s="1092">
        <f t="shared" si="29"/>
        <v>0.23592151834939284</v>
      </c>
      <c r="R40" s="1092">
        <f>Q40</f>
        <v>0.23592151834939284</v>
      </c>
      <c r="S40" s="1092">
        <f t="shared" si="30"/>
        <v>0.23592151834939284</v>
      </c>
      <c r="T40" s="1092">
        <f t="shared" si="30"/>
        <v>0.23592151834939284</v>
      </c>
      <c r="U40" s="1092">
        <f t="shared" si="30"/>
        <v>0.23592151834939284</v>
      </c>
      <c r="V40" s="1093"/>
      <c r="W40" s="1093">
        <f>Trucks!F12</f>
        <v>1215.2079015640816</v>
      </c>
      <c r="X40" s="1093">
        <f>W40</f>
        <v>1215.2079015640816</v>
      </c>
      <c r="Y40" s="1093">
        <f>Trucks!F13</f>
        <v>1256.5737052392271</v>
      </c>
      <c r="Z40" s="1093">
        <f t="shared" si="31"/>
        <v>1256.5737052392271</v>
      </c>
      <c r="AA40" s="1093">
        <f t="shared" si="31"/>
        <v>1256.5737052392271</v>
      </c>
      <c r="AB40" s="1093">
        <f>AA40</f>
        <v>1256.5737052392271</v>
      </c>
      <c r="AC40" s="1093">
        <f t="shared" si="32"/>
        <v>1256.5737052392271</v>
      </c>
      <c r="AD40" s="1093">
        <f t="shared" si="32"/>
        <v>1256.5737052392271</v>
      </c>
      <c r="AE40" s="1093">
        <f t="shared" si="32"/>
        <v>1256.5737052392271</v>
      </c>
      <c r="AF40" s="1094">
        <f>Trucks!G12</f>
        <v>56.323060573857596</v>
      </c>
      <c r="AG40" s="1093"/>
      <c r="AH40" s="1093"/>
      <c r="AI40" s="1093"/>
      <c r="AJ40" s="1093"/>
      <c r="AK40" s="1093"/>
      <c r="AL40" s="1091">
        <v>1</v>
      </c>
      <c r="AM40" s="1094"/>
      <c r="AN40" s="1094"/>
      <c r="AO40" s="1094"/>
      <c r="AP40" s="1094"/>
      <c r="AQ40" s="1094"/>
      <c r="AR40" s="1094"/>
      <c r="AS40" s="1094"/>
      <c r="AT40" s="1094"/>
      <c r="AU40" s="1094"/>
      <c r="AV40" s="1094"/>
      <c r="AZ40" s="1089">
        <f>Trucks!E12</f>
        <v>15.5</v>
      </c>
    </row>
    <row r="41" spans="1:52" s="1084" customFormat="1" ht="12" customHeight="1" x14ac:dyDescent="0.2">
      <c r="A41" s="1071" t="s">
        <v>115</v>
      </c>
      <c r="B41" s="1071" t="str">
        <f>Technologies!C85</f>
        <v>TCGSLAH</v>
      </c>
      <c r="C41" s="1071" t="str">
        <f>Technologies!D85</f>
        <v>Commercial Truck, Advanced Hybrid Tech Gasoline</v>
      </c>
      <c r="D41" s="1071" t="s">
        <v>480</v>
      </c>
      <c r="E41" s="1071" t="s">
        <v>33</v>
      </c>
      <c r="F41" s="1071" t="str">
        <f>Commodities!C$18</f>
        <v>TC</v>
      </c>
      <c r="G41" s="1091">
        <v>1</v>
      </c>
      <c r="H41" s="1094">
        <f>Trucks!D14</f>
        <v>2015</v>
      </c>
      <c r="I41" s="1091">
        <f t="shared" si="26"/>
        <v>20.5</v>
      </c>
      <c r="J41" s="1091">
        <v>0.28000000000000003</v>
      </c>
      <c r="K41" s="1091"/>
      <c r="L41" s="1092"/>
      <c r="M41" s="1092">
        <f>Trucks!H14</f>
        <v>0.23111367904087821</v>
      </c>
      <c r="N41" s="1092">
        <f>M41</f>
        <v>0.23111367904087821</v>
      </c>
      <c r="O41" s="1092">
        <f>Trucks!H15</f>
        <v>0.28872340268500951</v>
      </c>
      <c r="P41" s="1092">
        <f t="shared" si="29"/>
        <v>0.28872340268500951</v>
      </c>
      <c r="Q41" s="1092">
        <f t="shared" si="29"/>
        <v>0.28872340268500951</v>
      </c>
      <c r="R41" s="1092">
        <f>Trucks!H16</f>
        <v>0.29184428083264186</v>
      </c>
      <c r="S41" s="1092">
        <f t="shared" si="30"/>
        <v>0.29184428083264186</v>
      </c>
      <c r="T41" s="1092">
        <f t="shared" si="30"/>
        <v>0.29184428083264186</v>
      </c>
      <c r="U41" s="1092">
        <f t="shared" si="30"/>
        <v>0.29184428083264186</v>
      </c>
      <c r="V41" s="1091"/>
      <c r="W41" s="1093">
        <f>Trucks!F14</f>
        <v>1476.4571278768453</v>
      </c>
      <c r="X41" s="1093">
        <f>W41</f>
        <v>1476.4571278768453</v>
      </c>
      <c r="Y41" s="1093">
        <f>Trucks!F15</f>
        <v>1517.8298517208536</v>
      </c>
      <c r="Z41" s="1093">
        <f t="shared" si="31"/>
        <v>1517.8298517208536</v>
      </c>
      <c r="AA41" s="1093">
        <f t="shared" si="31"/>
        <v>1517.8298517208536</v>
      </c>
      <c r="AB41" s="1093">
        <f>Trucks!F16</f>
        <v>1524.4040121405108</v>
      </c>
      <c r="AC41" s="1093">
        <f t="shared" si="32"/>
        <v>1524.4040121405108</v>
      </c>
      <c r="AD41" s="1093">
        <f t="shared" si="32"/>
        <v>1524.4040121405108</v>
      </c>
      <c r="AE41" s="1093">
        <f t="shared" si="32"/>
        <v>1524.4040121405108</v>
      </c>
      <c r="AF41" s="1094">
        <f>Trucks!G14</f>
        <v>56.323060573857596</v>
      </c>
      <c r="AG41" s="1093"/>
      <c r="AH41" s="1093"/>
      <c r="AI41" s="1093"/>
      <c r="AJ41" s="1093"/>
      <c r="AK41" s="1093"/>
      <c r="AL41" s="1091">
        <v>1</v>
      </c>
      <c r="AM41" s="1094"/>
      <c r="AN41" s="1094"/>
      <c r="AO41" s="1094"/>
      <c r="AP41" s="1094"/>
      <c r="AQ41" s="1094"/>
      <c r="AR41" s="1094"/>
      <c r="AS41" s="1094"/>
      <c r="AT41" s="1094"/>
      <c r="AU41" s="1094"/>
      <c r="AV41" s="1094"/>
      <c r="AZ41" s="1089">
        <f>Trucks!E14</f>
        <v>15.5</v>
      </c>
    </row>
    <row r="42" spans="1:52" s="1084" customFormat="1" ht="12" customHeight="1" x14ac:dyDescent="0.2">
      <c r="A42" s="1071" t="s">
        <v>115</v>
      </c>
      <c r="B42" s="1071" t="str">
        <f>Technologies!C86</f>
        <v>TCDSLC10</v>
      </c>
      <c r="C42" s="1071" t="str">
        <f>Technologies!D86</f>
        <v>Commercial Truck, Diesel 2010</v>
      </c>
      <c r="D42" s="1071" t="s">
        <v>480</v>
      </c>
      <c r="E42" s="1071" t="s">
        <v>37</v>
      </c>
      <c r="F42" s="1071" t="str">
        <f>Commodities!C$18</f>
        <v>TC</v>
      </c>
      <c r="G42" s="1091">
        <v>1</v>
      </c>
      <c r="H42" s="1094">
        <v>2010</v>
      </c>
      <c r="I42" s="1091">
        <f t="shared" si="26"/>
        <v>20.5</v>
      </c>
      <c r="J42" s="1091">
        <v>0.18</v>
      </c>
      <c r="K42" s="1092">
        <f>Trucks!H17</f>
        <v>0.13584460549894523</v>
      </c>
      <c r="L42" s="1091"/>
      <c r="M42" s="1092"/>
      <c r="N42" s="1092"/>
      <c r="O42" s="1092"/>
      <c r="P42" s="1092"/>
      <c r="Q42" s="1092"/>
      <c r="R42" s="1092"/>
      <c r="S42" s="1092"/>
      <c r="T42" s="1092"/>
      <c r="U42" s="1092"/>
      <c r="V42" s="1093">
        <f>Trucks!F17</f>
        <v>1393.1309012934623</v>
      </c>
      <c r="W42" s="1093"/>
      <c r="X42" s="1093"/>
      <c r="Y42" s="1093"/>
      <c r="Z42" s="1093"/>
      <c r="AA42" s="1093"/>
      <c r="AB42" s="1093"/>
      <c r="AC42" s="1093"/>
      <c r="AD42" s="1093"/>
      <c r="AE42" s="1093"/>
      <c r="AF42" s="1094">
        <f>Trucks!G17</f>
        <v>30.977683315621682</v>
      </c>
      <c r="AG42" s="1093"/>
      <c r="AH42" s="1093"/>
      <c r="AI42" s="1093"/>
      <c r="AJ42" s="1093"/>
      <c r="AK42" s="1093"/>
      <c r="AL42" s="1091">
        <v>1</v>
      </c>
      <c r="AM42" s="1094"/>
      <c r="AN42" s="1094">
        <v>0</v>
      </c>
      <c r="AO42" s="1094">
        <v>0</v>
      </c>
      <c r="AP42" s="1094">
        <v>0</v>
      </c>
      <c r="AQ42" s="1094">
        <v>0</v>
      </c>
      <c r="AR42" s="1094">
        <v>0</v>
      </c>
      <c r="AS42" s="1094">
        <v>0</v>
      </c>
      <c r="AT42" s="1094">
        <v>0</v>
      </c>
      <c r="AU42" s="1094">
        <v>0</v>
      </c>
      <c r="AV42" s="1094">
        <v>0</v>
      </c>
      <c r="AZ42" s="1089">
        <v>15.5</v>
      </c>
    </row>
    <row r="43" spans="1:52" s="1084" customFormat="1" ht="12" customHeight="1" x14ac:dyDescent="0.2">
      <c r="A43" s="1071" t="s">
        <v>115</v>
      </c>
      <c r="B43" s="1071" t="str">
        <f>Technologies!C87</f>
        <v>TCDSLC</v>
      </c>
      <c r="C43" s="1071" t="str">
        <f>Technologies!D87</f>
        <v>Commercial Truck, Conventional Diesel</v>
      </c>
      <c r="D43" s="1071" t="s">
        <v>480</v>
      </c>
      <c r="E43" s="1071" t="s">
        <v>37</v>
      </c>
      <c r="F43" s="1071" t="str">
        <f>Commodities!C$18</f>
        <v>TC</v>
      </c>
      <c r="G43" s="1091">
        <v>1</v>
      </c>
      <c r="H43" s="1094">
        <v>2015</v>
      </c>
      <c r="I43" s="1091">
        <f t="shared" si="26"/>
        <v>20.5</v>
      </c>
      <c r="J43" s="1091">
        <v>0.18</v>
      </c>
      <c r="K43" s="1091"/>
      <c r="L43" s="1091"/>
      <c r="M43" s="1092">
        <f>Trucks!H18</f>
        <v>0.14846916917561373</v>
      </c>
      <c r="N43" s="1092">
        <f>Trucks!H19</f>
        <v>0.15596404396176247</v>
      </c>
      <c r="O43" s="1092">
        <f t="shared" ref="O43:U43" si="33">N43</f>
        <v>0.15596404396176247</v>
      </c>
      <c r="P43" s="1092">
        <f t="shared" si="33"/>
        <v>0.15596404396176247</v>
      </c>
      <c r="Q43" s="1092">
        <f t="shared" si="33"/>
        <v>0.15596404396176247</v>
      </c>
      <c r="R43" s="1092">
        <f t="shared" si="33"/>
        <v>0.15596404396176247</v>
      </c>
      <c r="S43" s="1092">
        <f t="shared" si="33"/>
        <v>0.15596404396176247</v>
      </c>
      <c r="T43" s="1092">
        <f t="shared" si="33"/>
        <v>0.15596404396176247</v>
      </c>
      <c r="U43" s="1092">
        <f t="shared" si="33"/>
        <v>0.15596404396176247</v>
      </c>
      <c r="V43" s="1091"/>
      <c r="W43" s="1093">
        <f>Trucks!F18</f>
        <v>1403.6762500448133</v>
      </c>
      <c r="X43" s="1093">
        <f>Trucks!F19</f>
        <v>1413.3892013415248</v>
      </c>
      <c r="Y43" s="1093">
        <f t="shared" ref="Y43:AE43" si="34">X43</f>
        <v>1413.3892013415248</v>
      </c>
      <c r="Z43" s="1093">
        <f t="shared" si="34"/>
        <v>1413.3892013415248</v>
      </c>
      <c r="AA43" s="1093">
        <f t="shared" si="34"/>
        <v>1413.3892013415248</v>
      </c>
      <c r="AB43" s="1093">
        <f t="shared" si="34"/>
        <v>1413.3892013415248</v>
      </c>
      <c r="AC43" s="1093">
        <f t="shared" si="34"/>
        <v>1413.3892013415248</v>
      </c>
      <c r="AD43" s="1093">
        <f t="shared" si="34"/>
        <v>1413.3892013415248</v>
      </c>
      <c r="AE43" s="1093">
        <f t="shared" si="34"/>
        <v>1413.3892013415248</v>
      </c>
      <c r="AF43" s="1094">
        <f>Trucks!G18</f>
        <v>30.977683315621682</v>
      </c>
      <c r="AG43" s="1093"/>
      <c r="AH43" s="1093"/>
      <c r="AI43" s="1093"/>
      <c r="AJ43" s="1093"/>
      <c r="AK43" s="1093"/>
      <c r="AL43" s="1091">
        <v>1</v>
      </c>
      <c r="AM43" s="1094"/>
      <c r="AN43" s="1094"/>
      <c r="AO43" s="1094"/>
      <c r="AP43" s="1094"/>
      <c r="AQ43" s="1094"/>
      <c r="AR43" s="1094"/>
      <c r="AS43" s="1094"/>
      <c r="AT43" s="1094"/>
      <c r="AU43" s="1094"/>
      <c r="AV43" s="1094"/>
      <c r="AZ43" s="1089">
        <f>Trucks!E18</f>
        <v>15.5</v>
      </c>
    </row>
    <row r="44" spans="1:52" s="1084" customFormat="1" ht="12" customHeight="1" x14ac:dyDescent="0.2">
      <c r="A44" s="1071" t="s">
        <v>115</v>
      </c>
      <c r="B44" s="1071" t="str">
        <f>Technologies!C88</f>
        <v>TCDSLIM</v>
      </c>
      <c r="C44" s="1071" t="str">
        <f>Technologies!D88</f>
        <v>Commercial Truck, Improved Diesel</v>
      </c>
      <c r="D44" s="1071" t="s">
        <v>480</v>
      </c>
      <c r="E44" s="1071" t="s">
        <v>37</v>
      </c>
      <c r="F44" s="1071" t="str">
        <f>Commodities!C$18</f>
        <v>TC</v>
      </c>
      <c r="G44" s="1091">
        <v>1</v>
      </c>
      <c r="H44" s="1094">
        <v>2025</v>
      </c>
      <c r="I44" s="1091">
        <f t="shared" si="26"/>
        <v>20.5</v>
      </c>
      <c r="J44" s="1091">
        <v>0.24</v>
      </c>
      <c r="K44" s="1092">
        <f>Trucks!H20</f>
        <v>0.17744269639706767</v>
      </c>
      <c r="L44" s="1092"/>
      <c r="M44" s="1092"/>
      <c r="N44" s="1092"/>
      <c r="O44" s="1091"/>
      <c r="P44" s="1092"/>
      <c r="Q44" s="1092"/>
      <c r="R44" s="1092"/>
      <c r="S44" s="1092"/>
      <c r="T44" s="1092"/>
      <c r="U44" s="1092"/>
      <c r="V44" s="1093"/>
      <c r="W44" s="1093"/>
      <c r="X44" s="1093"/>
      <c r="Y44" s="1093">
        <f>Trucks!F20</f>
        <v>1460.5130798082935</v>
      </c>
      <c r="Z44" s="1093">
        <f t="shared" ref="Z44:AE44" si="35">Y44</f>
        <v>1460.5130798082935</v>
      </c>
      <c r="AA44" s="1093">
        <f t="shared" si="35"/>
        <v>1460.5130798082935</v>
      </c>
      <c r="AB44" s="1093">
        <f t="shared" si="35"/>
        <v>1460.5130798082935</v>
      </c>
      <c r="AC44" s="1093">
        <f t="shared" si="35"/>
        <v>1460.5130798082935</v>
      </c>
      <c r="AD44" s="1093">
        <f t="shared" si="35"/>
        <v>1460.5130798082935</v>
      </c>
      <c r="AE44" s="1093">
        <f t="shared" si="35"/>
        <v>1460.5130798082935</v>
      </c>
      <c r="AF44" s="1094">
        <f>AF43</f>
        <v>30.977683315621682</v>
      </c>
      <c r="AG44" s="1093"/>
      <c r="AH44" s="1093"/>
      <c r="AI44" s="1093"/>
      <c r="AJ44" s="1093"/>
      <c r="AK44" s="1093"/>
      <c r="AL44" s="1091">
        <v>1</v>
      </c>
      <c r="AM44" s="1094"/>
      <c r="AN44" s="1094"/>
      <c r="AO44" s="1094"/>
      <c r="AP44" s="1094"/>
      <c r="AQ44" s="1094"/>
      <c r="AR44" s="1094"/>
      <c r="AS44" s="1094"/>
      <c r="AT44" s="1094"/>
      <c r="AU44" s="1094"/>
      <c r="AV44" s="1094"/>
      <c r="AZ44" s="1089">
        <v>15.5</v>
      </c>
    </row>
    <row r="45" spans="1:52" s="1084" customFormat="1" ht="12" customHeight="1" x14ac:dyDescent="0.2">
      <c r="A45" s="1071" t="s">
        <v>115</v>
      </c>
      <c r="B45" s="1071" t="str">
        <f>Technologies!C89</f>
        <v>TCDSLAH</v>
      </c>
      <c r="C45" s="1071" t="str">
        <f>Technologies!D89</f>
        <v>Commercial Truck, Advanced Hybrid Diesel</v>
      </c>
      <c r="D45" s="1071" t="s">
        <v>480</v>
      </c>
      <c r="E45" s="1071" t="s">
        <v>37</v>
      </c>
      <c r="F45" s="1071" t="str">
        <f>Commodities!C$18</f>
        <v>TC</v>
      </c>
      <c r="G45" s="1091">
        <v>1</v>
      </c>
      <c r="H45" s="1094">
        <f>Trucks!D21</f>
        <v>2015</v>
      </c>
      <c r="I45" s="1091">
        <f t="shared" si="26"/>
        <v>20.5</v>
      </c>
      <c r="J45" s="1091">
        <v>0.28000000000000003</v>
      </c>
      <c r="K45" s="1091"/>
      <c r="L45" s="1092"/>
      <c r="M45" s="1092">
        <f>Trucks!H21</f>
        <v>0.21639147192508634</v>
      </c>
      <c r="N45" s="1092">
        <f>M45</f>
        <v>0.21639147192508634</v>
      </c>
      <c r="O45" s="1092">
        <f>Trucks!H22</f>
        <v>0.25348956628152525</v>
      </c>
      <c r="P45" s="1092">
        <f>O45</f>
        <v>0.25348956628152525</v>
      </c>
      <c r="Q45" s="1092">
        <f>P45</f>
        <v>0.25348956628152525</v>
      </c>
      <c r="R45" s="1092">
        <f>Trucks!H23</f>
        <v>0.25348956628152525</v>
      </c>
      <c r="S45" s="1092">
        <f>R45</f>
        <v>0.25348956628152525</v>
      </c>
      <c r="T45" s="1092">
        <f>S45</f>
        <v>0.25348956628152525</v>
      </c>
      <c r="U45" s="1092">
        <f>T45</f>
        <v>0.25348956628152525</v>
      </c>
      <c r="V45" s="1093"/>
      <c r="W45" s="1093">
        <f>Trucks!F21</f>
        <v>1905.381078130963</v>
      </c>
      <c r="X45" s="1093">
        <f>W45</f>
        <v>1905.381078130963</v>
      </c>
      <c r="Y45" s="1093">
        <f>Trucks!F22</f>
        <v>1905.381078130963</v>
      </c>
      <c r="Z45" s="1093">
        <f>Y45</f>
        <v>1905.381078130963</v>
      </c>
      <c r="AA45" s="1093">
        <f>Z45</f>
        <v>1905.381078130963</v>
      </c>
      <c r="AB45" s="1093">
        <f>Trucks!F23</f>
        <v>1905.381078130963</v>
      </c>
      <c r="AC45" s="1093">
        <f>AB45</f>
        <v>1905.381078130963</v>
      </c>
      <c r="AD45" s="1093">
        <f>AC45</f>
        <v>1905.381078130963</v>
      </c>
      <c r="AE45" s="1093">
        <f>AD45</f>
        <v>1905.381078130963</v>
      </c>
      <c r="AF45" s="1094">
        <f>Trucks!G21</f>
        <v>30.977683315621682</v>
      </c>
      <c r="AG45" s="1093"/>
      <c r="AH45" s="1093"/>
      <c r="AI45" s="1093"/>
      <c r="AJ45" s="1093"/>
      <c r="AK45" s="1093"/>
      <c r="AL45" s="1091">
        <v>1</v>
      </c>
      <c r="AM45" s="1094"/>
      <c r="AN45" s="1094"/>
      <c r="AO45" s="1094"/>
      <c r="AP45" s="1094"/>
      <c r="AQ45" s="1094"/>
      <c r="AR45" s="1094"/>
      <c r="AS45" s="1094"/>
      <c r="AT45" s="1094"/>
      <c r="AU45" s="1094"/>
      <c r="AV45" s="1094"/>
      <c r="AZ45" s="1089">
        <f>Trucks!E21</f>
        <v>15.5</v>
      </c>
    </row>
    <row r="46" spans="1:52" s="1084" customFormat="1" ht="12" customHeight="1" x14ac:dyDescent="0.2">
      <c r="A46" s="1071" t="s">
        <v>115</v>
      </c>
      <c r="B46" s="1071" t="str">
        <f>Technologies!C90</f>
        <v>TCB20C10</v>
      </c>
      <c r="C46" s="1071" t="str">
        <f>Technologies!D90</f>
        <v>Commercial Truck, B20 2010</v>
      </c>
      <c r="D46" s="1071" t="s">
        <v>480</v>
      </c>
      <c r="E46" s="1071" t="s">
        <v>78</v>
      </c>
      <c r="F46" s="1071" t="str">
        <f>Commodities!C$18</f>
        <v>TC</v>
      </c>
      <c r="G46" s="1091">
        <v>1</v>
      </c>
      <c r="H46" s="1094">
        <v>2010</v>
      </c>
      <c r="I46" s="1091">
        <f t="shared" si="26"/>
        <v>20.5</v>
      </c>
      <c r="J46" s="1091">
        <v>0.18</v>
      </c>
      <c r="K46" s="1092">
        <f>Trucks!H24</f>
        <v>0.13574870146367959</v>
      </c>
      <c r="L46" s="1091"/>
      <c r="M46" s="1092"/>
      <c r="N46" s="1092"/>
      <c r="O46" s="1092"/>
      <c r="P46" s="1092"/>
      <c r="Q46" s="1092"/>
      <c r="R46" s="1092"/>
      <c r="S46" s="1092"/>
      <c r="T46" s="1092"/>
      <c r="U46" s="1092"/>
      <c r="V46" s="1093">
        <f>Trucks!F24</f>
        <v>1393.1309012934623</v>
      </c>
      <c r="W46" s="1093"/>
      <c r="X46" s="1093"/>
      <c r="Y46" s="1093"/>
      <c r="Z46" s="1093"/>
      <c r="AA46" s="1093"/>
      <c r="AB46" s="1093"/>
      <c r="AC46" s="1093"/>
      <c r="AD46" s="1093"/>
      <c r="AE46" s="1093"/>
      <c r="AF46" s="1094">
        <f>Trucks!G24</f>
        <v>30.977683315621682</v>
      </c>
      <c r="AG46" s="1093"/>
      <c r="AH46" s="1093"/>
      <c r="AI46" s="1093"/>
      <c r="AJ46" s="1093"/>
      <c r="AK46" s="1093"/>
      <c r="AL46" s="1091">
        <v>1</v>
      </c>
      <c r="AM46" s="1094"/>
      <c r="AN46" s="1094">
        <v>0</v>
      </c>
      <c r="AO46" s="1094">
        <v>0</v>
      </c>
      <c r="AP46" s="1094">
        <v>0</v>
      </c>
      <c r="AQ46" s="1094">
        <v>0</v>
      </c>
      <c r="AR46" s="1094">
        <v>0</v>
      </c>
      <c r="AS46" s="1094">
        <v>0</v>
      </c>
      <c r="AT46" s="1094">
        <v>0</v>
      </c>
      <c r="AU46" s="1094">
        <v>0</v>
      </c>
      <c r="AV46" s="1094">
        <v>0</v>
      </c>
      <c r="AZ46" s="1089">
        <v>15.5</v>
      </c>
    </row>
    <row r="47" spans="1:52" s="1084" customFormat="1" ht="12" customHeight="1" x14ac:dyDescent="0.2">
      <c r="A47" s="1071" t="s">
        <v>115</v>
      </c>
      <c r="B47" s="1071" t="str">
        <f>Technologies!C91</f>
        <v>TCB20C</v>
      </c>
      <c r="C47" s="1071" t="str">
        <f>Technologies!D91</f>
        <v>Commercial Truck, Conventional B20</v>
      </c>
      <c r="D47" s="1071" t="s">
        <v>480</v>
      </c>
      <c r="E47" s="1071" t="s">
        <v>78</v>
      </c>
      <c r="F47" s="1071" t="str">
        <f>Commodities!C$18</f>
        <v>TC</v>
      </c>
      <c r="G47" s="1091">
        <v>1</v>
      </c>
      <c r="H47" s="1094">
        <v>2015</v>
      </c>
      <c r="I47" s="1091">
        <f t="shared" si="26"/>
        <v>20.5</v>
      </c>
      <c r="J47" s="1091">
        <v>0.18</v>
      </c>
      <c r="K47" s="1092"/>
      <c r="L47" s="1091"/>
      <c r="M47" s="1092">
        <f>Trucks!H25</f>
        <v>0.14836435240807125</v>
      </c>
      <c r="N47" s="1092">
        <f>Trucks!H26</f>
        <v>0.15585393593710184</v>
      </c>
      <c r="O47" s="1092">
        <f t="shared" ref="O47:U47" si="36">N47</f>
        <v>0.15585393593710184</v>
      </c>
      <c r="P47" s="1092">
        <f t="shared" si="36"/>
        <v>0.15585393593710184</v>
      </c>
      <c r="Q47" s="1092">
        <f t="shared" si="36"/>
        <v>0.15585393593710184</v>
      </c>
      <c r="R47" s="1092">
        <f t="shared" si="36"/>
        <v>0.15585393593710184</v>
      </c>
      <c r="S47" s="1092">
        <f t="shared" si="36"/>
        <v>0.15585393593710184</v>
      </c>
      <c r="T47" s="1092">
        <f t="shared" si="36"/>
        <v>0.15585393593710184</v>
      </c>
      <c r="U47" s="1092">
        <f t="shared" si="36"/>
        <v>0.15585393593710184</v>
      </c>
      <c r="V47" s="1091"/>
      <c r="W47" s="1093">
        <f>Trucks!F25</f>
        <v>1403.6762500448133</v>
      </c>
      <c r="X47" s="1093">
        <f>Trucks!F26</f>
        <v>1413.3892013415248</v>
      </c>
      <c r="Y47" s="1093">
        <f t="shared" ref="Y47:AE47" si="37">X47</f>
        <v>1413.3892013415248</v>
      </c>
      <c r="Z47" s="1093">
        <f t="shared" si="37"/>
        <v>1413.3892013415248</v>
      </c>
      <c r="AA47" s="1093">
        <f t="shared" si="37"/>
        <v>1413.3892013415248</v>
      </c>
      <c r="AB47" s="1093">
        <f t="shared" si="37"/>
        <v>1413.3892013415248</v>
      </c>
      <c r="AC47" s="1093">
        <f t="shared" si="37"/>
        <v>1413.3892013415248</v>
      </c>
      <c r="AD47" s="1093">
        <f t="shared" si="37"/>
        <v>1413.3892013415248</v>
      </c>
      <c r="AE47" s="1093">
        <f t="shared" si="37"/>
        <v>1413.3892013415248</v>
      </c>
      <c r="AF47" s="1094">
        <f>Trucks!G25</f>
        <v>30.977683315621682</v>
      </c>
      <c r="AG47" s="1093"/>
      <c r="AH47" s="1093"/>
      <c r="AI47" s="1093"/>
      <c r="AJ47" s="1093"/>
      <c r="AK47" s="1093"/>
      <c r="AL47" s="1091">
        <v>1</v>
      </c>
      <c r="AM47" s="1094"/>
      <c r="AN47" s="1094"/>
      <c r="AO47" s="1094"/>
      <c r="AP47" s="1094"/>
      <c r="AQ47" s="1094"/>
      <c r="AR47" s="1094"/>
      <c r="AS47" s="1094"/>
      <c r="AT47" s="1094"/>
      <c r="AU47" s="1094"/>
      <c r="AV47" s="1094"/>
      <c r="AZ47" s="1089">
        <f>Trucks!E25</f>
        <v>15.5</v>
      </c>
    </row>
    <row r="48" spans="1:52" s="1084" customFormat="1" ht="12" customHeight="1" x14ac:dyDescent="0.2">
      <c r="A48" s="1071" t="s">
        <v>115</v>
      </c>
      <c r="B48" s="1071" t="str">
        <f>Technologies!C92</f>
        <v>TCB20IM</v>
      </c>
      <c r="C48" s="1071" t="str">
        <f>Technologies!D92</f>
        <v>Commercial Truck, Improved B20</v>
      </c>
      <c r="D48" s="1071" t="s">
        <v>480</v>
      </c>
      <c r="E48" s="1071" t="s">
        <v>78</v>
      </c>
      <c r="F48" s="1071" t="str">
        <f>Commodities!C$18</f>
        <v>TC</v>
      </c>
      <c r="G48" s="1091">
        <v>1</v>
      </c>
      <c r="H48" s="1094">
        <v>2025</v>
      </c>
      <c r="I48" s="1091">
        <f t="shared" si="26"/>
        <v>20.5</v>
      </c>
      <c r="J48" s="1091">
        <v>0.24</v>
      </c>
      <c r="K48" s="1092">
        <f>Trucks!H27</f>
        <v>0.1774483830167711</v>
      </c>
      <c r="L48" s="1092"/>
      <c r="M48" s="1092"/>
      <c r="N48" s="1092"/>
      <c r="O48" s="1091"/>
      <c r="P48" s="1092"/>
      <c r="Q48" s="1092"/>
      <c r="R48" s="1092"/>
      <c r="S48" s="1092"/>
      <c r="T48" s="1092"/>
      <c r="U48" s="1092"/>
      <c r="V48" s="1093"/>
      <c r="W48" s="1093"/>
      <c r="X48" s="1093"/>
      <c r="Y48" s="1093">
        <f>Trucks!F27</f>
        <v>1460.5130798082935</v>
      </c>
      <c r="Z48" s="1093">
        <f t="shared" ref="Z48:AE48" si="38">Y48</f>
        <v>1460.5130798082935</v>
      </c>
      <c r="AA48" s="1093">
        <f t="shared" si="38"/>
        <v>1460.5130798082935</v>
      </c>
      <c r="AB48" s="1093">
        <f t="shared" si="38"/>
        <v>1460.5130798082935</v>
      </c>
      <c r="AC48" s="1093">
        <f t="shared" si="38"/>
        <v>1460.5130798082935</v>
      </c>
      <c r="AD48" s="1093">
        <f t="shared" si="38"/>
        <v>1460.5130798082935</v>
      </c>
      <c r="AE48" s="1093">
        <f t="shared" si="38"/>
        <v>1460.5130798082935</v>
      </c>
      <c r="AF48" s="1094">
        <f>Trucks!G27</f>
        <v>30.977683315621682</v>
      </c>
      <c r="AG48" s="1093"/>
      <c r="AH48" s="1093"/>
      <c r="AI48" s="1093"/>
      <c r="AJ48" s="1093"/>
      <c r="AK48" s="1093"/>
      <c r="AL48" s="1091">
        <v>1</v>
      </c>
      <c r="AM48" s="1094"/>
      <c r="AN48" s="1094"/>
      <c r="AO48" s="1094"/>
      <c r="AP48" s="1094"/>
      <c r="AQ48" s="1094"/>
      <c r="AR48" s="1094"/>
      <c r="AS48" s="1094"/>
      <c r="AT48" s="1094"/>
      <c r="AU48" s="1094"/>
      <c r="AV48" s="1094"/>
      <c r="AZ48" s="1089">
        <v>15.5</v>
      </c>
    </row>
    <row r="49" spans="1:52" s="1084" customFormat="1" ht="12" customHeight="1" x14ac:dyDescent="0.2">
      <c r="A49" s="1071" t="s">
        <v>115</v>
      </c>
      <c r="B49" s="1071" t="str">
        <f>Technologies!C93</f>
        <v>TCB20AH</v>
      </c>
      <c r="C49" s="1071" t="str">
        <f>Technologies!D93</f>
        <v>Commerical Truck, Advanced Hybrid B20</v>
      </c>
      <c r="D49" s="1071" t="s">
        <v>480</v>
      </c>
      <c r="E49" s="1071" t="s">
        <v>78</v>
      </c>
      <c r="F49" s="1071" t="str">
        <f>Commodities!C$18</f>
        <v>TC</v>
      </c>
      <c r="G49" s="1091">
        <v>1</v>
      </c>
      <c r="H49" s="1094">
        <v>2015</v>
      </c>
      <c r="I49" s="1091">
        <f t="shared" si="26"/>
        <v>20.5</v>
      </c>
      <c r="J49" s="1091">
        <v>0.28000000000000003</v>
      </c>
      <c r="K49" s="1092"/>
      <c r="L49" s="1092"/>
      <c r="M49" s="1092">
        <f>Trucks!H28</f>
        <v>0.21639840676113697</v>
      </c>
      <c r="N49" s="1092">
        <f>M49</f>
        <v>0.21639840676113697</v>
      </c>
      <c r="O49" s="1092">
        <f>Trucks!H29</f>
        <v>0.25349769002395872</v>
      </c>
      <c r="P49" s="1092">
        <f>O49</f>
        <v>0.25349769002395872</v>
      </c>
      <c r="Q49" s="1092">
        <f>P49</f>
        <v>0.25349769002395872</v>
      </c>
      <c r="R49" s="1092">
        <f>Trucks!H30</f>
        <v>0.25349769002395872</v>
      </c>
      <c r="S49" s="1092">
        <f>R49</f>
        <v>0.25349769002395872</v>
      </c>
      <c r="T49" s="1092">
        <f>S49</f>
        <v>0.25349769002395872</v>
      </c>
      <c r="U49" s="1092">
        <f>T49</f>
        <v>0.25349769002395872</v>
      </c>
      <c r="V49" s="1093"/>
      <c r="W49" s="1093">
        <f>Trucks!F28</f>
        <v>1905.381078130963</v>
      </c>
      <c r="X49" s="1093">
        <f>W49</f>
        <v>1905.381078130963</v>
      </c>
      <c r="Y49" s="1097">
        <f>Trucks!F29</f>
        <v>1905.381078130963</v>
      </c>
      <c r="Z49" s="1097">
        <f>Y49</f>
        <v>1905.381078130963</v>
      </c>
      <c r="AA49" s="1097">
        <f>Z49</f>
        <v>1905.381078130963</v>
      </c>
      <c r="AB49" s="1093">
        <f>Trucks!F30</f>
        <v>1905.381078130963</v>
      </c>
      <c r="AC49" s="1093">
        <f>AB49</f>
        <v>1905.381078130963</v>
      </c>
      <c r="AD49" s="1093">
        <f>AC49</f>
        <v>1905.381078130963</v>
      </c>
      <c r="AE49" s="1093">
        <f>AD49</f>
        <v>1905.381078130963</v>
      </c>
      <c r="AF49" s="1094">
        <f>Trucks!G28</f>
        <v>30.977683315621682</v>
      </c>
      <c r="AG49" s="1093"/>
      <c r="AH49" s="1093"/>
      <c r="AI49" s="1093"/>
      <c r="AJ49" s="1093"/>
      <c r="AK49" s="1093"/>
      <c r="AL49" s="1091">
        <v>1</v>
      </c>
      <c r="AM49" s="1094"/>
      <c r="AN49" s="1094"/>
      <c r="AO49" s="1094"/>
      <c r="AP49" s="1094"/>
      <c r="AQ49" s="1094"/>
      <c r="AR49" s="1094"/>
      <c r="AS49" s="1094"/>
      <c r="AT49" s="1094"/>
      <c r="AU49" s="1094"/>
      <c r="AV49" s="1094"/>
      <c r="AZ49" s="1089">
        <v>15.5</v>
      </c>
    </row>
    <row r="50" spans="1:52" s="1084" customFormat="1" ht="12" customHeight="1" x14ac:dyDescent="0.2">
      <c r="A50" s="1071" t="s">
        <v>115</v>
      </c>
      <c r="B50" s="1071" t="str">
        <f>Technologies!C94</f>
        <v>TCCNGC10</v>
      </c>
      <c r="C50" s="1071" t="str">
        <f>Technologies!D94</f>
        <v>Commercial Truck, CNG 2010</v>
      </c>
      <c r="D50" s="1071" t="s">
        <v>480</v>
      </c>
      <c r="E50" s="1071" t="str">
        <f>Commodities!C$56</f>
        <v>TCCNG</v>
      </c>
      <c r="F50" s="1071" t="str">
        <f>Commodities!C$18</f>
        <v>TC</v>
      </c>
      <c r="G50" s="1091">
        <v>1</v>
      </c>
      <c r="H50" s="1094">
        <v>2010</v>
      </c>
      <c r="I50" s="1091">
        <f t="shared" si="26"/>
        <v>20.5</v>
      </c>
      <c r="J50" s="1091">
        <v>0.18</v>
      </c>
      <c r="K50" s="1092">
        <f>Trucks!H31</f>
        <v>0.12808843050405344</v>
      </c>
      <c r="L50" s="1091"/>
      <c r="M50" s="1092"/>
      <c r="N50" s="1092"/>
      <c r="O50" s="1092"/>
      <c r="P50" s="1092"/>
      <c r="Q50" s="1092"/>
      <c r="R50" s="1092"/>
      <c r="S50" s="1092"/>
      <c r="T50" s="1092"/>
      <c r="U50" s="1092"/>
      <c r="V50" s="1093">
        <f>Trucks!F31</f>
        <v>1441.6321043366597</v>
      </c>
      <c r="W50" s="1093"/>
      <c r="X50" s="1093"/>
      <c r="Y50" s="1097"/>
      <c r="Z50" s="1097"/>
      <c r="AA50" s="1097"/>
      <c r="AB50" s="1093"/>
      <c r="AC50" s="1093"/>
      <c r="AD50" s="1093"/>
      <c r="AE50" s="1093"/>
      <c r="AF50" s="1094">
        <f>Trucks!G31</f>
        <v>56.323060573857596</v>
      </c>
      <c r="AG50" s="1093"/>
      <c r="AH50" s="1093"/>
      <c r="AI50" s="1093"/>
      <c r="AJ50" s="1093"/>
      <c r="AK50" s="1093"/>
      <c r="AL50" s="1091">
        <v>1</v>
      </c>
      <c r="AM50" s="1094"/>
      <c r="AN50" s="1094">
        <v>0</v>
      </c>
      <c r="AO50" s="1094">
        <v>0</v>
      </c>
      <c r="AP50" s="1094">
        <v>0</v>
      </c>
      <c r="AQ50" s="1094">
        <v>0</v>
      </c>
      <c r="AR50" s="1094">
        <v>0</v>
      </c>
      <c r="AS50" s="1094">
        <v>0</v>
      </c>
      <c r="AT50" s="1094">
        <v>0</v>
      </c>
      <c r="AU50" s="1094">
        <v>0</v>
      </c>
      <c r="AV50" s="1094">
        <v>0</v>
      </c>
      <c r="AZ50" s="1089">
        <v>15.5</v>
      </c>
    </row>
    <row r="51" spans="1:52" s="1084" customFormat="1" ht="12" customHeight="1" x14ac:dyDescent="0.2">
      <c r="A51" s="1071" t="s">
        <v>115</v>
      </c>
      <c r="B51" s="1071" t="str">
        <f>Technologies!C95</f>
        <v>TCCNGC</v>
      </c>
      <c r="C51" s="1071" t="str">
        <f>Technologies!D95</f>
        <v>Commercial Truck, Conventional CNG</v>
      </c>
      <c r="D51" s="1071" t="s">
        <v>480</v>
      </c>
      <c r="E51" s="1071" t="str">
        <f>Commodities!C$56</f>
        <v>TCCNG</v>
      </c>
      <c r="F51" s="1071" t="str">
        <f>Commodities!C$18</f>
        <v>TC</v>
      </c>
      <c r="G51" s="1091">
        <v>1</v>
      </c>
      <c r="H51" s="1094">
        <v>2015</v>
      </c>
      <c r="I51" s="1091">
        <f t="shared" si="26"/>
        <v>20.5</v>
      </c>
      <c r="J51" s="1091">
        <v>0.18</v>
      </c>
      <c r="K51" s="1092"/>
      <c r="L51" s="1091"/>
      <c r="M51" s="1092">
        <f>Trucks!H32</f>
        <v>0.13943470353239121</v>
      </c>
      <c r="N51" s="1092">
        <f>Trucks!H33</f>
        <v>0.14271413072472905</v>
      </c>
      <c r="O51" s="1092">
        <f t="shared" ref="O51:U51" si="39">N51</f>
        <v>0.14271413072472905</v>
      </c>
      <c r="P51" s="1092">
        <f t="shared" si="39"/>
        <v>0.14271413072472905</v>
      </c>
      <c r="Q51" s="1092">
        <f t="shared" si="39"/>
        <v>0.14271413072472905</v>
      </c>
      <c r="R51" s="1092">
        <f t="shared" si="39"/>
        <v>0.14271413072472905</v>
      </c>
      <c r="S51" s="1092">
        <f t="shared" si="39"/>
        <v>0.14271413072472905</v>
      </c>
      <c r="T51" s="1092">
        <f t="shared" si="39"/>
        <v>0.14271413072472905</v>
      </c>
      <c r="U51" s="1092">
        <f t="shared" si="39"/>
        <v>0.14271413072472905</v>
      </c>
      <c r="V51" s="1091"/>
      <c r="W51" s="1093">
        <f>Trucks!F32</f>
        <v>1453.1168869214987</v>
      </c>
      <c r="X51" s="1093">
        <f>Trucks!F33</f>
        <v>1464.2085507445051</v>
      </c>
      <c r="Y51" s="1093">
        <f t="shared" ref="Y51:AE51" si="40">X51</f>
        <v>1464.2085507445051</v>
      </c>
      <c r="Z51" s="1093">
        <f t="shared" si="40"/>
        <v>1464.2085507445051</v>
      </c>
      <c r="AA51" s="1093">
        <f t="shared" si="40"/>
        <v>1464.2085507445051</v>
      </c>
      <c r="AB51" s="1093">
        <f t="shared" si="40"/>
        <v>1464.2085507445051</v>
      </c>
      <c r="AC51" s="1093">
        <f t="shared" si="40"/>
        <v>1464.2085507445051</v>
      </c>
      <c r="AD51" s="1093">
        <f t="shared" si="40"/>
        <v>1464.2085507445051</v>
      </c>
      <c r="AE51" s="1093">
        <f t="shared" si="40"/>
        <v>1464.2085507445051</v>
      </c>
      <c r="AF51" s="1094">
        <f>Trucks!G32</f>
        <v>56.323060573857596</v>
      </c>
      <c r="AG51" s="1093"/>
      <c r="AH51" s="1093"/>
      <c r="AI51" s="1093"/>
      <c r="AJ51" s="1093"/>
      <c r="AK51" s="1093"/>
      <c r="AL51" s="1091">
        <v>1</v>
      </c>
      <c r="AM51" s="1094"/>
      <c r="AN51" s="1094"/>
      <c r="AO51" s="1094"/>
      <c r="AP51" s="1094"/>
      <c r="AQ51" s="1094"/>
      <c r="AR51" s="1094"/>
      <c r="AS51" s="1094"/>
      <c r="AT51" s="1094"/>
      <c r="AU51" s="1094"/>
      <c r="AV51" s="1094"/>
      <c r="AZ51" s="1089">
        <f>Trucks!E32</f>
        <v>15.5</v>
      </c>
    </row>
    <row r="52" spans="1:52" s="1084" customFormat="1" ht="12" customHeight="1" x14ac:dyDescent="0.2">
      <c r="A52" s="1071" t="s">
        <v>115</v>
      </c>
      <c r="B52" s="1071" t="str">
        <f>Technologies!C96</f>
        <v>TCCNGIM</v>
      </c>
      <c r="C52" s="1071" t="str">
        <f>Technologies!D96</f>
        <v>Commercial Truck, Improved CNG</v>
      </c>
      <c r="D52" s="1071" t="s">
        <v>480</v>
      </c>
      <c r="E52" s="1071" t="str">
        <f>Commodities!C$56</f>
        <v>TCCNG</v>
      </c>
      <c r="F52" s="1071" t="str">
        <f>Commodities!C$18</f>
        <v>TC</v>
      </c>
      <c r="G52" s="1091">
        <v>1</v>
      </c>
      <c r="H52" s="1094">
        <v>2025</v>
      </c>
      <c r="I52" s="1091">
        <f t="shared" si="26"/>
        <v>20.5</v>
      </c>
      <c r="J52" s="1091">
        <v>0.24</v>
      </c>
      <c r="K52" s="1091"/>
      <c r="L52" s="1092"/>
      <c r="M52" s="1092"/>
      <c r="N52" s="1092"/>
      <c r="O52" s="1092">
        <f>Trucks!H34</f>
        <v>0.18738156425582345</v>
      </c>
      <c r="P52" s="1092">
        <f t="shared" ref="P52:Q54" si="41">O52</f>
        <v>0.18738156425582345</v>
      </c>
      <c r="Q52" s="1092">
        <f t="shared" si="41"/>
        <v>0.18738156425582345</v>
      </c>
      <c r="R52" s="1092">
        <f>Trucks!H35</f>
        <v>0.2132990317897287</v>
      </c>
      <c r="S52" s="1092">
        <f t="shared" ref="S52:U54" si="42">R52</f>
        <v>0.2132990317897287</v>
      </c>
      <c r="T52" s="1092">
        <f t="shared" si="42"/>
        <v>0.2132990317897287</v>
      </c>
      <c r="U52" s="1092">
        <f t="shared" si="42"/>
        <v>0.2132990317897287</v>
      </c>
      <c r="V52" s="1093"/>
      <c r="W52" s="1093"/>
      <c r="X52" s="1093"/>
      <c r="Y52" s="1093">
        <f>Trucks!F34</f>
        <v>1503.8621421472997</v>
      </c>
      <c r="Z52" s="1093">
        <f t="shared" ref="Z52:AA54" si="43">Y52</f>
        <v>1503.8621421472997</v>
      </c>
      <c r="AA52" s="1093">
        <f t="shared" si="43"/>
        <v>1503.8621421472997</v>
      </c>
      <c r="AB52" s="1093">
        <f>Trucks!F35</f>
        <v>1581.2055548338762</v>
      </c>
      <c r="AC52" s="1093">
        <f t="shared" ref="AC52:AE54" si="44">AB52</f>
        <v>1581.2055548338762</v>
      </c>
      <c r="AD52" s="1093">
        <f t="shared" si="44"/>
        <v>1581.2055548338762</v>
      </c>
      <c r="AE52" s="1093">
        <f t="shared" si="44"/>
        <v>1581.2055548338762</v>
      </c>
      <c r="AF52" s="1094">
        <f>AF51</f>
        <v>56.323060573857596</v>
      </c>
      <c r="AG52" s="1093"/>
      <c r="AH52" s="1093"/>
      <c r="AI52" s="1093"/>
      <c r="AJ52" s="1093"/>
      <c r="AK52" s="1093"/>
      <c r="AL52" s="1091">
        <v>1</v>
      </c>
      <c r="AM52" s="1094"/>
      <c r="AN52" s="1094"/>
      <c r="AO52" s="1094"/>
      <c r="AP52" s="1094"/>
      <c r="AQ52" s="1094"/>
      <c r="AR52" s="1094"/>
      <c r="AS52" s="1094"/>
      <c r="AT52" s="1094"/>
      <c r="AU52" s="1094"/>
      <c r="AV52" s="1094"/>
      <c r="AZ52" s="1089">
        <v>15.5</v>
      </c>
    </row>
    <row r="53" spans="1:52" s="1084" customFormat="1" ht="12" customHeight="1" x14ac:dyDescent="0.2">
      <c r="A53" s="1071" t="s">
        <v>115</v>
      </c>
      <c r="B53" s="1071" t="str">
        <f>Technologies!C97</f>
        <v>TCCNGADV</v>
      </c>
      <c r="C53" s="1071" t="str">
        <f>Technologies!D97</f>
        <v>Commerical Truck, Advanced CNG</v>
      </c>
      <c r="D53" s="1071" t="s">
        <v>480</v>
      </c>
      <c r="E53" s="1071" t="str">
        <f>Commodities!C$56</f>
        <v>TCCNG</v>
      </c>
      <c r="F53" s="1071" t="str">
        <f>Commodities!C$18</f>
        <v>TC</v>
      </c>
      <c r="G53" s="1091">
        <v>1</v>
      </c>
      <c r="H53" s="1094">
        <v>2015</v>
      </c>
      <c r="I53" s="1091">
        <f t="shared" si="26"/>
        <v>20.5</v>
      </c>
      <c r="J53" s="1091">
        <v>0.28000000000000003</v>
      </c>
      <c r="K53" s="1092"/>
      <c r="L53" s="1092"/>
      <c r="M53" s="1092">
        <f>Trucks!H36</f>
        <v>0.22501753094629065</v>
      </c>
      <c r="N53" s="1092">
        <f>M53</f>
        <v>0.22501753094629065</v>
      </c>
      <c r="O53" s="1092">
        <f>Trucks!H37</f>
        <v>0.28110086598032419</v>
      </c>
      <c r="P53" s="1092">
        <f t="shared" si="41"/>
        <v>0.28110086598032419</v>
      </c>
      <c r="Q53" s="1092">
        <f t="shared" si="41"/>
        <v>0.28110086598032419</v>
      </c>
      <c r="R53" s="1092">
        <f>Trucks!H38</f>
        <v>0.28415430914129758</v>
      </c>
      <c r="S53" s="1092">
        <f t="shared" si="42"/>
        <v>0.28415430914129758</v>
      </c>
      <c r="T53" s="1092">
        <f t="shared" si="42"/>
        <v>0.28415430914129758</v>
      </c>
      <c r="U53" s="1092">
        <f t="shared" si="42"/>
        <v>0.28415430914129758</v>
      </c>
      <c r="V53" s="1093"/>
      <c r="W53" s="1093">
        <f>Trucks!F36</f>
        <v>1508.0082519534519</v>
      </c>
      <c r="X53" s="1093">
        <f>W53</f>
        <v>1508.0082519534519</v>
      </c>
      <c r="Y53" s="1093">
        <f>Trucks!F37</f>
        <v>1549.3742860803538</v>
      </c>
      <c r="Z53" s="1093">
        <f t="shared" si="43"/>
        <v>1549.3742860803538</v>
      </c>
      <c r="AA53" s="1093">
        <f t="shared" si="43"/>
        <v>1549.3742860803538</v>
      </c>
      <c r="AB53" s="1093">
        <f>Trucks!F38</f>
        <v>1555.9665294317299</v>
      </c>
      <c r="AC53" s="1093">
        <f t="shared" si="44"/>
        <v>1555.9665294317299</v>
      </c>
      <c r="AD53" s="1093">
        <f t="shared" si="44"/>
        <v>1555.9665294317299</v>
      </c>
      <c r="AE53" s="1093">
        <f t="shared" si="44"/>
        <v>1555.9665294317299</v>
      </c>
      <c r="AF53" s="1094">
        <f>Trucks!G36</f>
        <v>56.323060573857596</v>
      </c>
      <c r="AG53" s="1093"/>
      <c r="AH53" s="1093"/>
      <c r="AI53" s="1093"/>
      <c r="AJ53" s="1093"/>
      <c r="AK53" s="1093"/>
      <c r="AL53" s="1091">
        <v>1</v>
      </c>
      <c r="AM53" s="1094"/>
      <c r="AN53" s="1094"/>
      <c r="AO53" s="1094"/>
      <c r="AP53" s="1094"/>
      <c r="AQ53" s="1094"/>
      <c r="AR53" s="1094"/>
      <c r="AS53" s="1094"/>
      <c r="AT53" s="1094"/>
      <c r="AU53" s="1094"/>
      <c r="AV53" s="1094"/>
      <c r="AZ53" s="1089">
        <v>15.5</v>
      </c>
    </row>
    <row r="54" spans="1:52" s="1084" customFormat="1" ht="12" customHeight="1" x14ac:dyDescent="0.2">
      <c r="A54" s="1071" t="s">
        <v>115</v>
      </c>
      <c r="B54" s="1071" t="str">
        <f>Technologies!C98</f>
        <v>TCCNGAH</v>
      </c>
      <c r="C54" s="1071" t="str">
        <f>Technologies!D98</f>
        <v>Commerical Truck, Advanced Hybrid CNG</v>
      </c>
      <c r="D54" s="1071" t="s">
        <v>480</v>
      </c>
      <c r="E54" s="1071" t="str">
        <f>Commodities!C$56</f>
        <v>TCCNG</v>
      </c>
      <c r="F54" s="1071" t="str">
        <f>Commodities!C$18</f>
        <v>TC</v>
      </c>
      <c r="G54" s="1091">
        <v>1</v>
      </c>
      <c r="H54" s="1094">
        <v>2015</v>
      </c>
      <c r="I54" s="1091">
        <f t="shared" si="26"/>
        <v>20.5</v>
      </c>
      <c r="J54" s="1091">
        <v>0.28000000000000003</v>
      </c>
      <c r="K54" s="1092"/>
      <c r="L54" s="1092"/>
      <c r="M54" s="1092">
        <f>Trucks!H39</f>
        <v>0.31614963097953835</v>
      </c>
      <c r="N54" s="1092">
        <f>M54</f>
        <v>0.31614963097953835</v>
      </c>
      <c r="O54" s="1092">
        <f>Trucks!H40</f>
        <v>0.39494671670235554</v>
      </c>
      <c r="P54" s="1092">
        <f t="shared" si="41"/>
        <v>0.39494671670235554</v>
      </c>
      <c r="Q54" s="1092">
        <f t="shared" si="41"/>
        <v>0.39494671670235554</v>
      </c>
      <c r="R54" s="1092">
        <f>Trucks!H41</f>
        <v>0.39923680434352293</v>
      </c>
      <c r="S54" s="1092">
        <f t="shared" si="42"/>
        <v>0.39923680434352293</v>
      </c>
      <c r="T54" s="1092">
        <f t="shared" si="42"/>
        <v>0.39923680434352293</v>
      </c>
      <c r="U54" s="1092">
        <f t="shared" si="42"/>
        <v>0.39923680434352293</v>
      </c>
      <c r="V54" s="1093"/>
      <c r="W54" s="1093">
        <f>Trucks!F39</f>
        <v>1804.5869175018988</v>
      </c>
      <c r="X54" s="1093">
        <f>W54</f>
        <v>1804.5869175018988</v>
      </c>
      <c r="Y54" s="1093">
        <f>Trucks!F40</f>
        <v>1845.9529516287998</v>
      </c>
      <c r="Z54" s="1093">
        <f t="shared" si="43"/>
        <v>1845.9529516287998</v>
      </c>
      <c r="AA54" s="1093">
        <f t="shared" si="43"/>
        <v>1845.9529516287998</v>
      </c>
      <c r="AB54" s="1093">
        <f>Trucks!F41</f>
        <v>1852.5451949801766</v>
      </c>
      <c r="AC54" s="1093">
        <f t="shared" si="44"/>
        <v>1852.5451949801766</v>
      </c>
      <c r="AD54" s="1093">
        <f t="shared" si="44"/>
        <v>1852.5451949801766</v>
      </c>
      <c r="AE54" s="1093">
        <f t="shared" si="44"/>
        <v>1852.5451949801766</v>
      </c>
      <c r="AF54" s="1094">
        <f>Trucks!G39</f>
        <v>56.323060573857596</v>
      </c>
      <c r="AG54" s="1093"/>
      <c r="AH54" s="1093"/>
      <c r="AI54" s="1093"/>
      <c r="AJ54" s="1093"/>
      <c r="AK54" s="1093"/>
      <c r="AL54" s="1091">
        <v>1</v>
      </c>
      <c r="AM54" s="1094"/>
      <c r="AN54" s="1094"/>
      <c r="AO54" s="1094"/>
      <c r="AP54" s="1094"/>
      <c r="AQ54" s="1094"/>
      <c r="AR54" s="1094"/>
      <c r="AS54" s="1094"/>
      <c r="AT54" s="1094"/>
      <c r="AU54" s="1094"/>
      <c r="AV54" s="1094"/>
      <c r="AZ54" s="1089">
        <v>15.5</v>
      </c>
    </row>
    <row r="55" spans="1:52" s="1084" customFormat="1" ht="12" customHeight="1" x14ac:dyDescent="0.2">
      <c r="A55" s="1071" t="s">
        <v>115</v>
      </c>
      <c r="B55" s="1071" t="str">
        <f>Technologies!C99</f>
        <v>TCE85C10</v>
      </c>
      <c r="C55" s="1071" t="str">
        <f>Technologies!D99</f>
        <v>Commercial Truck, E85 2010</v>
      </c>
      <c r="D55" s="1071" t="s">
        <v>480</v>
      </c>
      <c r="E55" s="1071" t="s">
        <v>60</v>
      </c>
      <c r="F55" s="1071" t="str">
        <f>Commodities!C$18</f>
        <v>TC</v>
      </c>
      <c r="G55" s="1091">
        <v>1</v>
      </c>
      <c r="H55" s="1094">
        <v>2010</v>
      </c>
      <c r="I55" s="1091">
        <f t="shared" si="26"/>
        <v>20.5</v>
      </c>
      <c r="J55" s="1091">
        <v>0.18</v>
      </c>
      <c r="K55" s="1092">
        <f>Trucks!H42</f>
        <v>0.10181147998156995</v>
      </c>
      <c r="L55" s="1091"/>
      <c r="M55" s="1092"/>
      <c r="N55" s="1092"/>
      <c r="O55" s="1092"/>
      <c r="P55" s="1092"/>
      <c r="Q55" s="1092"/>
      <c r="R55" s="1092"/>
      <c r="S55" s="1092"/>
      <c r="T55" s="1092"/>
      <c r="U55" s="1092"/>
      <c r="V55" s="1093">
        <f>Trucks!F42</f>
        <v>1154.5363837997265</v>
      </c>
      <c r="W55" s="1093"/>
      <c r="X55" s="1093"/>
      <c r="Y55" s="1093"/>
      <c r="Z55" s="1093"/>
      <c r="AA55" s="1093"/>
      <c r="AB55" s="1093"/>
      <c r="AC55" s="1093"/>
      <c r="AD55" s="1093"/>
      <c r="AE55" s="1093"/>
      <c r="AF55" s="1094">
        <f>Trucks!G42</f>
        <v>56.323060573857596</v>
      </c>
      <c r="AG55" s="1093"/>
      <c r="AH55" s="1093"/>
      <c r="AI55" s="1093"/>
      <c r="AJ55" s="1093"/>
      <c r="AK55" s="1093"/>
      <c r="AL55" s="1091">
        <v>1</v>
      </c>
      <c r="AM55" s="1094"/>
      <c r="AN55" s="1094">
        <v>0</v>
      </c>
      <c r="AO55" s="1094">
        <v>0</v>
      </c>
      <c r="AP55" s="1094">
        <v>0</v>
      </c>
      <c r="AQ55" s="1094">
        <v>0</v>
      </c>
      <c r="AR55" s="1094">
        <v>0</v>
      </c>
      <c r="AS55" s="1094">
        <v>0</v>
      </c>
      <c r="AT55" s="1094">
        <v>0</v>
      </c>
      <c r="AU55" s="1094">
        <v>0</v>
      </c>
      <c r="AV55" s="1094">
        <v>0</v>
      </c>
      <c r="AZ55" s="1089">
        <v>15.5</v>
      </c>
    </row>
    <row r="56" spans="1:52" s="1084" customFormat="1" ht="12" customHeight="1" x14ac:dyDescent="0.2">
      <c r="A56" s="1071" t="s">
        <v>115</v>
      </c>
      <c r="B56" s="1071" t="str">
        <f>Technologies!C100</f>
        <v>TCE85C</v>
      </c>
      <c r="C56" s="1071" t="str">
        <f>Technologies!D100</f>
        <v>Commercial Truck, Conventional E85</v>
      </c>
      <c r="D56" s="1071" t="s">
        <v>480</v>
      </c>
      <c r="E56" s="1071" t="s">
        <v>60</v>
      </c>
      <c r="F56" s="1071" t="str">
        <f>Commodities!C$18</f>
        <v>TC</v>
      </c>
      <c r="G56" s="1091">
        <v>1</v>
      </c>
      <c r="H56" s="1094">
        <v>2015</v>
      </c>
      <c r="I56" s="1091">
        <f t="shared" si="26"/>
        <v>20.5</v>
      </c>
      <c r="J56" s="1091">
        <v>0.18</v>
      </c>
      <c r="K56" s="1092"/>
      <c r="L56" s="1091"/>
      <c r="M56" s="1092">
        <f>Trucks!H43</f>
        <v>0.11083009973312889</v>
      </c>
      <c r="N56" s="1092">
        <f>Trucks!H44</f>
        <v>0.11437544985163602</v>
      </c>
      <c r="O56" s="1092">
        <f t="shared" ref="O56:U56" si="45">N56</f>
        <v>0.11437544985163602</v>
      </c>
      <c r="P56" s="1092">
        <f t="shared" si="45"/>
        <v>0.11437544985163602</v>
      </c>
      <c r="Q56" s="1092">
        <f t="shared" si="45"/>
        <v>0.11437544985163602</v>
      </c>
      <c r="R56" s="1092">
        <f t="shared" si="45"/>
        <v>0.11437544985163602</v>
      </c>
      <c r="S56" s="1092">
        <f t="shared" si="45"/>
        <v>0.11437544985163602</v>
      </c>
      <c r="T56" s="1092">
        <f t="shared" si="45"/>
        <v>0.11437544985163602</v>
      </c>
      <c r="U56" s="1092">
        <f t="shared" si="45"/>
        <v>0.11437544985163602</v>
      </c>
      <c r="V56" s="1091"/>
      <c r="W56" s="1093">
        <f>Trucks!F43</f>
        <v>1163.4070516862803</v>
      </c>
      <c r="X56" s="1093">
        <f>Trucks!F44</f>
        <v>1136.2852870215088</v>
      </c>
      <c r="Y56" s="1093">
        <f t="shared" ref="Y56:AE56" si="46">X56</f>
        <v>1136.2852870215088</v>
      </c>
      <c r="Z56" s="1093">
        <f t="shared" si="46"/>
        <v>1136.2852870215088</v>
      </c>
      <c r="AA56" s="1093">
        <f t="shared" si="46"/>
        <v>1136.2852870215088</v>
      </c>
      <c r="AB56" s="1093">
        <f t="shared" si="46"/>
        <v>1136.2852870215088</v>
      </c>
      <c r="AC56" s="1093">
        <f t="shared" si="46"/>
        <v>1136.2852870215088</v>
      </c>
      <c r="AD56" s="1093">
        <f t="shared" si="46"/>
        <v>1136.2852870215088</v>
      </c>
      <c r="AE56" s="1093">
        <f t="shared" si="46"/>
        <v>1136.2852870215088</v>
      </c>
      <c r="AF56" s="1094">
        <f>Trucks!G43</f>
        <v>56.323060573857596</v>
      </c>
      <c r="AG56" s="1093"/>
      <c r="AH56" s="1093"/>
      <c r="AI56" s="1093"/>
      <c r="AJ56" s="1093"/>
      <c r="AK56" s="1093"/>
      <c r="AL56" s="1091">
        <v>1</v>
      </c>
      <c r="AM56" s="1094"/>
      <c r="AN56" s="1094"/>
      <c r="AO56" s="1094"/>
      <c r="AP56" s="1094"/>
      <c r="AQ56" s="1094"/>
      <c r="AR56" s="1094"/>
      <c r="AS56" s="1094"/>
      <c r="AT56" s="1094"/>
      <c r="AU56" s="1094"/>
      <c r="AV56" s="1094"/>
      <c r="AZ56" s="1089">
        <f>Trucks!E43</f>
        <v>15.5</v>
      </c>
    </row>
    <row r="57" spans="1:52" s="1084" customFormat="1" ht="12" customHeight="1" x14ac:dyDescent="0.2">
      <c r="A57" s="1071" t="s">
        <v>115</v>
      </c>
      <c r="B57" s="1071" t="str">
        <f>Technologies!C101</f>
        <v>TCE85IM</v>
      </c>
      <c r="C57" s="1071" t="str">
        <f>Technologies!D101</f>
        <v>Commercial Truck, Improved E85</v>
      </c>
      <c r="D57" s="1071" t="s">
        <v>480</v>
      </c>
      <c r="E57" s="1071" t="s">
        <v>60</v>
      </c>
      <c r="F57" s="1071" t="str">
        <f>Commodities!C$18</f>
        <v>TC</v>
      </c>
      <c r="G57" s="1091">
        <v>1</v>
      </c>
      <c r="H57" s="1094">
        <v>2025</v>
      </c>
      <c r="I57" s="1091">
        <f t="shared" si="26"/>
        <v>20.5</v>
      </c>
      <c r="J57" s="1091">
        <v>0.24</v>
      </c>
      <c r="K57" s="1091"/>
      <c r="L57" s="1092"/>
      <c r="M57" s="1092"/>
      <c r="N57" s="1092"/>
      <c r="O57" s="1092">
        <f>Trucks!H45</f>
        <v>0.12304025665857815</v>
      </c>
      <c r="P57" s="1092">
        <f t="shared" ref="P57:Q59" si="47">O57</f>
        <v>0.12304025665857815</v>
      </c>
      <c r="Q57" s="1092">
        <f t="shared" si="47"/>
        <v>0.12304025665857815</v>
      </c>
      <c r="R57" s="1092">
        <f>Trucks!H46</f>
        <v>0.13545981308186189</v>
      </c>
      <c r="S57" s="1092">
        <f t="shared" ref="S57:U59" si="48">R57</f>
        <v>0.13545981308186189</v>
      </c>
      <c r="T57" s="1092">
        <f t="shared" si="48"/>
        <v>0.13545981308186189</v>
      </c>
      <c r="U57" s="1092">
        <f t="shared" si="48"/>
        <v>0.13545981308186189</v>
      </c>
      <c r="V57" s="1093"/>
      <c r="W57" s="1093"/>
      <c r="X57" s="1093"/>
      <c r="Y57" s="1093">
        <f>Trucks!F45</f>
        <v>1176.1861320869871</v>
      </c>
      <c r="Z57" s="1093">
        <f t="shared" ref="Z57:AA59" si="49">Y57</f>
        <v>1176.1861320869871</v>
      </c>
      <c r="AA57" s="1093">
        <f t="shared" si="49"/>
        <v>1176.1861320869871</v>
      </c>
      <c r="AB57" s="1093">
        <f>Trucks!F46</f>
        <v>1212.8630270598117</v>
      </c>
      <c r="AC57" s="1093">
        <f t="shared" ref="AC57:AE59" si="50">AB57</f>
        <v>1212.8630270598117</v>
      </c>
      <c r="AD57" s="1093">
        <f t="shared" si="50"/>
        <v>1212.8630270598117</v>
      </c>
      <c r="AE57" s="1093">
        <f t="shared" si="50"/>
        <v>1212.8630270598117</v>
      </c>
      <c r="AF57" s="1094">
        <f>AF56</f>
        <v>56.323060573857596</v>
      </c>
      <c r="AG57" s="1093"/>
      <c r="AH57" s="1093"/>
      <c r="AI57" s="1093"/>
      <c r="AJ57" s="1093"/>
      <c r="AK57" s="1093"/>
      <c r="AL57" s="1091">
        <v>1</v>
      </c>
      <c r="AM57" s="1094"/>
      <c r="AN57" s="1094"/>
      <c r="AO57" s="1094"/>
      <c r="AP57" s="1094"/>
      <c r="AQ57" s="1094"/>
      <c r="AR57" s="1094"/>
      <c r="AS57" s="1094"/>
      <c r="AT57" s="1094"/>
      <c r="AU57" s="1094"/>
      <c r="AV57" s="1094"/>
      <c r="AZ57" s="1089">
        <v>15.5</v>
      </c>
    </row>
    <row r="58" spans="1:52" s="1084" customFormat="1" ht="12" customHeight="1" x14ac:dyDescent="0.2">
      <c r="A58" s="1071" t="s">
        <v>115</v>
      </c>
      <c r="B58" s="1071" t="str">
        <f>Technologies!C102</f>
        <v>TCE85ADV</v>
      </c>
      <c r="C58" s="1071" t="str">
        <f>Technologies!D102</f>
        <v>Commercial Truck, Advanced E85</v>
      </c>
      <c r="D58" s="1071" t="s">
        <v>480</v>
      </c>
      <c r="E58" s="1071" t="s">
        <v>60</v>
      </c>
      <c r="F58" s="1071" t="str">
        <f>Commodities!C$18</f>
        <v>TC</v>
      </c>
      <c r="G58" s="1091">
        <v>1</v>
      </c>
      <c r="H58" s="1094">
        <v>2015</v>
      </c>
      <c r="I58" s="1091">
        <f t="shared" si="26"/>
        <v>20.5</v>
      </c>
      <c r="J58" s="1091">
        <v>0.28000000000000003</v>
      </c>
      <c r="K58" s="1092"/>
      <c r="L58" s="1092"/>
      <c r="M58" s="1092">
        <f>Trucks!H47</f>
        <v>0.17885587134831493</v>
      </c>
      <c r="N58" s="1092">
        <f>M58</f>
        <v>0.17885587134831493</v>
      </c>
      <c r="O58" s="1092">
        <f>Trucks!H48</f>
        <v>0.22343388139690007</v>
      </c>
      <c r="P58" s="1092">
        <f t="shared" si="47"/>
        <v>0.22343388139690007</v>
      </c>
      <c r="Q58" s="1092">
        <f t="shared" si="47"/>
        <v>0.22343388139690007</v>
      </c>
      <c r="R58" s="1092">
        <f>Trucks!H49</f>
        <v>0.22586092001416583</v>
      </c>
      <c r="S58" s="1092">
        <f t="shared" si="48"/>
        <v>0.22586092001416583</v>
      </c>
      <c r="T58" s="1092">
        <f t="shared" si="48"/>
        <v>0.22586092001416583</v>
      </c>
      <c r="U58" s="1092">
        <f t="shared" si="48"/>
        <v>0.22586092001416583</v>
      </c>
      <c r="V58" s="1093"/>
      <c r="W58" s="1093">
        <f>Trucks!F47</f>
        <v>1184.7541654426634</v>
      </c>
      <c r="X58" s="1093">
        <f>W58</f>
        <v>1184.7541654426634</v>
      </c>
      <c r="Y58" s="1093">
        <f>Trucks!F48</f>
        <v>1226.1201995695651</v>
      </c>
      <c r="Z58" s="1093">
        <f t="shared" si="49"/>
        <v>1226.1201995695651</v>
      </c>
      <c r="AA58" s="1093">
        <f t="shared" si="49"/>
        <v>1226.1201995695651</v>
      </c>
      <c r="AB58" s="1093">
        <f>Trucks!F49</f>
        <v>1232.7124429209412</v>
      </c>
      <c r="AC58" s="1093">
        <f t="shared" si="50"/>
        <v>1232.7124429209412</v>
      </c>
      <c r="AD58" s="1093">
        <f t="shared" si="50"/>
        <v>1232.7124429209412</v>
      </c>
      <c r="AE58" s="1093">
        <f t="shared" si="50"/>
        <v>1232.7124429209412</v>
      </c>
      <c r="AF58" s="1094">
        <f>AF57</f>
        <v>56.323060573857596</v>
      </c>
      <c r="AG58" s="1093"/>
      <c r="AH58" s="1093"/>
      <c r="AI58" s="1093"/>
      <c r="AJ58" s="1093"/>
      <c r="AK58" s="1093"/>
      <c r="AL58" s="1091">
        <v>1</v>
      </c>
      <c r="AM58" s="1094"/>
      <c r="AN58" s="1094"/>
      <c r="AO58" s="1094"/>
      <c r="AP58" s="1094"/>
      <c r="AQ58" s="1094"/>
      <c r="AR58" s="1094"/>
      <c r="AS58" s="1094"/>
      <c r="AT58" s="1094"/>
      <c r="AU58" s="1094"/>
      <c r="AV58" s="1094"/>
      <c r="AZ58" s="1089">
        <v>15.5</v>
      </c>
    </row>
    <row r="59" spans="1:52" s="1084" customFormat="1" ht="12" customHeight="1" x14ac:dyDescent="0.2">
      <c r="A59" s="1071" t="s">
        <v>115</v>
      </c>
      <c r="B59" s="1071" t="str">
        <f>Technologies!C103</f>
        <v>TCE85AH</v>
      </c>
      <c r="C59" s="1071" t="str">
        <f>Technologies!D103</f>
        <v>Commerical Truck, Hybrid E85</v>
      </c>
      <c r="D59" s="1071" t="s">
        <v>480</v>
      </c>
      <c r="E59" s="1071" t="s">
        <v>60</v>
      </c>
      <c r="F59" s="1071" t="str">
        <f>Commodities!C$18</f>
        <v>TC</v>
      </c>
      <c r="G59" s="1091">
        <v>1</v>
      </c>
      <c r="H59" s="1094">
        <v>2015</v>
      </c>
      <c r="I59" s="1091">
        <f t="shared" si="26"/>
        <v>20.5</v>
      </c>
      <c r="J59" s="1091">
        <v>0.28000000000000003</v>
      </c>
      <c r="K59" s="1092"/>
      <c r="L59" s="1092"/>
      <c r="M59" s="1092">
        <f>Trucks!H50</f>
        <v>0.25129249924438246</v>
      </c>
      <c r="N59" s="1092">
        <f>M59</f>
        <v>0.25129249924438246</v>
      </c>
      <c r="O59" s="1092">
        <f>Trucks!H51</f>
        <v>0.31392460336264466</v>
      </c>
      <c r="P59" s="1092">
        <f t="shared" si="47"/>
        <v>0.31392460336264466</v>
      </c>
      <c r="Q59" s="1092">
        <f t="shared" si="47"/>
        <v>0.31392460336264466</v>
      </c>
      <c r="R59" s="1092">
        <f>Trucks!H52</f>
        <v>0.31733459261990316</v>
      </c>
      <c r="S59" s="1092">
        <f t="shared" si="48"/>
        <v>0.31733459261990316</v>
      </c>
      <c r="T59" s="1092">
        <f t="shared" si="48"/>
        <v>0.31733459261990316</v>
      </c>
      <c r="U59" s="1092">
        <f t="shared" si="48"/>
        <v>0.31733459261990316</v>
      </c>
      <c r="V59" s="1093"/>
      <c r="W59" s="1093">
        <f>Trucks!F50</f>
        <v>1481.3328309911099</v>
      </c>
      <c r="X59" s="1093">
        <f>W59</f>
        <v>1481.3328309911099</v>
      </c>
      <c r="Y59" s="1093">
        <f>Trucks!F51</f>
        <v>1522.6988651180116</v>
      </c>
      <c r="Z59" s="1093">
        <f t="shared" si="49"/>
        <v>1522.6988651180116</v>
      </c>
      <c r="AA59" s="1093">
        <f t="shared" si="49"/>
        <v>1522.6988651180116</v>
      </c>
      <c r="AB59" s="1093">
        <f>Trucks!F52</f>
        <v>1529.2911084693878</v>
      </c>
      <c r="AC59" s="1093">
        <f t="shared" si="50"/>
        <v>1529.2911084693878</v>
      </c>
      <c r="AD59" s="1093">
        <f t="shared" si="50"/>
        <v>1529.2911084693878</v>
      </c>
      <c r="AE59" s="1093">
        <f t="shared" si="50"/>
        <v>1529.2911084693878</v>
      </c>
      <c r="AF59" s="1094">
        <f>AF58</f>
        <v>56.323060573857596</v>
      </c>
      <c r="AG59" s="1093"/>
      <c r="AH59" s="1093"/>
      <c r="AI59" s="1093"/>
      <c r="AJ59" s="1093"/>
      <c r="AK59" s="1093"/>
      <c r="AL59" s="1091">
        <v>1</v>
      </c>
      <c r="AM59" s="1094"/>
      <c r="AN59" s="1094"/>
      <c r="AO59" s="1094"/>
      <c r="AP59" s="1094"/>
      <c r="AQ59" s="1094"/>
      <c r="AR59" s="1094"/>
      <c r="AS59" s="1094"/>
      <c r="AT59" s="1094"/>
      <c r="AU59" s="1094"/>
      <c r="AV59" s="1094"/>
      <c r="AZ59" s="1089">
        <v>15.5</v>
      </c>
    </row>
    <row r="60" spans="1:52" s="1084" customFormat="1" ht="12" customHeight="1" x14ac:dyDescent="0.2">
      <c r="A60" s="1071" t="s">
        <v>115</v>
      </c>
      <c r="B60" s="1071" t="str">
        <f>Technologies!C104</f>
        <v>TCLPGC10</v>
      </c>
      <c r="C60" s="1071" t="str">
        <f>Technologies!D104</f>
        <v>Commercial Truck, LPG 2010</v>
      </c>
      <c r="D60" s="1071" t="s">
        <v>480</v>
      </c>
      <c r="E60" s="1071" t="str">
        <f>Commodities!C29</f>
        <v>TRNLPG1</v>
      </c>
      <c r="F60" s="1071" t="str">
        <f>Commodities!C$18</f>
        <v>TC</v>
      </c>
      <c r="G60" s="1091">
        <v>1</v>
      </c>
      <c r="H60" s="1094">
        <v>2010</v>
      </c>
      <c r="I60" s="1091">
        <f t="shared" si="26"/>
        <v>20.5</v>
      </c>
      <c r="J60" s="1091">
        <v>0.18</v>
      </c>
      <c r="K60" s="1092">
        <f>Trucks!H53</f>
        <v>0.11401158309707092</v>
      </c>
      <c r="L60" s="1091"/>
      <c r="M60" s="1092"/>
      <c r="N60" s="1092"/>
      <c r="O60" s="1092"/>
      <c r="P60" s="1092"/>
      <c r="Q60" s="1092"/>
      <c r="R60" s="1092"/>
      <c r="S60" s="1092"/>
      <c r="T60" s="1092"/>
      <c r="U60" s="1092"/>
      <c r="V60" s="1093">
        <f>Trucks!F53</f>
        <v>1397.7832628029082</v>
      </c>
      <c r="W60" s="1093"/>
      <c r="X60" s="1093"/>
      <c r="Y60" s="1093"/>
      <c r="Z60" s="1093"/>
      <c r="AA60" s="1093"/>
      <c r="AB60" s="1093"/>
      <c r="AC60" s="1093"/>
      <c r="AD60" s="1093"/>
      <c r="AE60" s="1093"/>
      <c r="AF60" s="1094">
        <f>Trucks!G53</f>
        <v>56.323060573857596</v>
      </c>
      <c r="AG60" s="1093"/>
      <c r="AH60" s="1093"/>
      <c r="AI60" s="1093"/>
      <c r="AJ60" s="1093"/>
      <c r="AK60" s="1093"/>
      <c r="AL60" s="1091">
        <v>1</v>
      </c>
      <c r="AM60" s="1094"/>
      <c r="AN60" s="1094">
        <v>0</v>
      </c>
      <c r="AO60" s="1094">
        <v>0</v>
      </c>
      <c r="AP60" s="1094">
        <v>0</v>
      </c>
      <c r="AQ60" s="1094">
        <v>0</v>
      </c>
      <c r="AR60" s="1094">
        <v>0</v>
      </c>
      <c r="AS60" s="1094">
        <v>0</v>
      </c>
      <c r="AT60" s="1094">
        <v>0</v>
      </c>
      <c r="AU60" s="1094">
        <v>0</v>
      </c>
      <c r="AV60" s="1094">
        <v>0</v>
      </c>
      <c r="AZ60" s="1089">
        <v>15.5</v>
      </c>
    </row>
    <row r="61" spans="1:52" s="1084" customFormat="1" ht="12" customHeight="1" x14ac:dyDescent="0.2">
      <c r="A61" s="1071" t="s">
        <v>115</v>
      </c>
      <c r="B61" s="1071" t="str">
        <f>Technologies!C105</f>
        <v>TCLPGC</v>
      </c>
      <c r="C61" s="1071" t="str">
        <f>Technologies!D105</f>
        <v>Commercial Truck, Conventional LPG</v>
      </c>
      <c r="D61" s="1071" t="s">
        <v>480</v>
      </c>
      <c r="E61" s="1071" t="str">
        <f>Commodities!C29</f>
        <v>TRNLPG1</v>
      </c>
      <c r="F61" s="1071" t="str">
        <f>Commodities!C$18</f>
        <v>TC</v>
      </c>
      <c r="G61" s="1091">
        <v>1</v>
      </c>
      <c r="H61" s="1094">
        <v>2015</v>
      </c>
      <c r="I61" s="1091">
        <f t="shared" si="26"/>
        <v>20.5</v>
      </c>
      <c r="J61" s="1091">
        <v>0.18</v>
      </c>
      <c r="K61" s="1092"/>
      <c r="L61" s="1091"/>
      <c r="M61" s="1092">
        <f>Trucks!H54</f>
        <v>0.1241109070182228</v>
      </c>
      <c r="N61" s="1092">
        <f>Trucks!H55</f>
        <v>0.12808109760692224</v>
      </c>
      <c r="O61" s="1092">
        <f t="shared" ref="O61:U61" si="51">N61</f>
        <v>0.12808109760692224</v>
      </c>
      <c r="P61" s="1092">
        <f t="shared" si="51"/>
        <v>0.12808109760692224</v>
      </c>
      <c r="Q61" s="1092">
        <f t="shared" si="51"/>
        <v>0.12808109760692224</v>
      </c>
      <c r="R61" s="1092">
        <f t="shared" si="51"/>
        <v>0.12808109760692224</v>
      </c>
      <c r="S61" s="1092">
        <f t="shared" si="51"/>
        <v>0.12808109760692224</v>
      </c>
      <c r="T61" s="1092">
        <f t="shared" si="51"/>
        <v>0.12808109760692224</v>
      </c>
      <c r="U61" s="1092">
        <f t="shared" si="51"/>
        <v>0.12808109760692224</v>
      </c>
      <c r="V61" s="1091"/>
      <c r="W61" s="1093">
        <f>Trucks!F54</f>
        <v>1408.9187229704</v>
      </c>
      <c r="X61" s="1093">
        <f>Trucks!F55</f>
        <v>1419.6730215197992</v>
      </c>
      <c r="Y61" s="1093">
        <f t="shared" ref="Y61:AE61" si="52">X61</f>
        <v>1419.6730215197992</v>
      </c>
      <c r="Z61" s="1093">
        <f t="shared" si="52"/>
        <v>1419.6730215197992</v>
      </c>
      <c r="AA61" s="1093">
        <f t="shared" si="52"/>
        <v>1419.6730215197992</v>
      </c>
      <c r="AB61" s="1093">
        <f t="shared" si="52"/>
        <v>1419.6730215197992</v>
      </c>
      <c r="AC61" s="1093">
        <f t="shared" si="52"/>
        <v>1419.6730215197992</v>
      </c>
      <c r="AD61" s="1093">
        <f t="shared" si="52"/>
        <v>1419.6730215197992</v>
      </c>
      <c r="AE61" s="1093">
        <f t="shared" si="52"/>
        <v>1419.6730215197992</v>
      </c>
      <c r="AF61" s="1094">
        <f>Trucks!G54</f>
        <v>56.323060573857596</v>
      </c>
      <c r="AG61" s="1093"/>
      <c r="AH61" s="1093"/>
      <c r="AI61" s="1093"/>
      <c r="AJ61" s="1093"/>
      <c r="AK61" s="1093"/>
      <c r="AL61" s="1091">
        <v>1</v>
      </c>
      <c r="AM61" s="1094"/>
      <c r="AN61" s="1094"/>
      <c r="AO61" s="1094"/>
      <c r="AP61" s="1094"/>
      <c r="AQ61" s="1094"/>
      <c r="AR61" s="1094"/>
      <c r="AS61" s="1094"/>
      <c r="AT61" s="1094"/>
      <c r="AU61" s="1094"/>
      <c r="AV61" s="1094"/>
      <c r="AZ61" s="1089">
        <f>Trucks!E54</f>
        <v>15.5</v>
      </c>
    </row>
    <row r="62" spans="1:52" s="1084" customFormat="1" ht="12" customHeight="1" x14ac:dyDescent="0.2">
      <c r="A62" s="1071" t="s">
        <v>115</v>
      </c>
      <c r="B62" s="1071" t="str">
        <f>Technologies!C106</f>
        <v>TCLPGIM</v>
      </c>
      <c r="C62" s="1071" t="str">
        <f>Technologies!D106</f>
        <v>Commercial Truck, Improved LPG</v>
      </c>
      <c r="D62" s="1071" t="s">
        <v>480</v>
      </c>
      <c r="E62" s="1071" t="str">
        <f>Commodities!C29</f>
        <v>TRNLPG1</v>
      </c>
      <c r="F62" s="1071" t="str">
        <f>Commodities!C$18</f>
        <v>TC</v>
      </c>
      <c r="G62" s="1091">
        <v>1</v>
      </c>
      <c r="H62" s="1094">
        <v>2025</v>
      </c>
      <c r="I62" s="1091">
        <f t="shared" si="26"/>
        <v>20.5</v>
      </c>
      <c r="J62" s="1091">
        <v>0.24</v>
      </c>
      <c r="K62" s="1092"/>
      <c r="L62" s="1092"/>
      <c r="M62" s="1092"/>
      <c r="N62" s="1092"/>
      <c r="O62" s="1092">
        <f>Trucks!H56</f>
        <v>0.16678843436477175</v>
      </c>
      <c r="P62" s="1092">
        <f t="shared" ref="P62:Q65" si="53">O62</f>
        <v>0.16678843436477175</v>
      </c>
      <c r="Q62" s="1092">
        <f t="shared" si="53"/>
        <v>0.16678843436477175</v>
      </c>
      <c r="R62" s="1092">
        <f>Trucks!H57</f>
        <v>0.18985758660420035</v>
      </c>
      <c r="S62" s="1092">
        <f t="shared" ref="S62:U65" si="54">R62</f>
        <v>0.18985758660420035</v>
      </c>
      <c r="T62" s="1092">
        <f t="shared" si="54"/>
        <v>0.18985758660420035</v>
      </c>
      <c r="U62" s="1092">
        <f t="shared" si="54"/>
        <v>0.18985758660420035</v>
      </c>
      <c r="V62" s="1093"/>
      <c r="W62" s="1093"/>
      <c r="X62" s="1093"/>
      <c r="Y62" s="1093">
        <f>Trucks!F56</f>
        <v>1458.1205049006962</v>
      </c>
      <c r="Z62" s="1093">
        <f t="shared" ref="Z62:AA65" si="55">Y62</f>
        <v>1458.1205049006962</v>
      </c>
      <c r="AA62" s="1093">
        <f t="shared" si="55"/>
        <v>1458.1205049006962</v>
      </c>
      <c r="AB62" s="1093">
        <f>Trucks!F57</f>
        <v>1533.111431792616</v>
      </c>
      <c r="AC62" s="1093">
        <f t="shared" ref="AC62:AE65" si="56">AB62</f>
        <v>1533.111431792616</v>
      </c>
      <c r="AD62" s="1093">
        <f t="shared" si="56"/>
        <v>1533.111431792616</v>
      </c>
      <c r="AE62" s="1093">
        <f t="shared" si="56"/>
        <v>1533.111431792616</v>
      </c>
      <c r="AF62" s="1094">
        <f>AF61</f>
        <v>56.323060573857596</v>
      </c>
      <c r="AG62" s="1093"/>
      <c r="AH62" s="1093"/>
      <c r="AI62" s="1093"/>
      <c r="AJ62" s="1093"/>
      <c r="AK62" s="1093"/>
      <c r="AL62" s="1091">
        <v>1</v>
      </c>
      <c r="AM62" s="1094"/>
      <c r="AN62" s="1094"/>
      <c r="AO62" s="1094"/>
      <c r="AP62" s="1094"/>
      <c r="AQ62" s="1094"/>
      <c r="AR62" s="1094"/>
      <c r="AS62" s="1094"/>
      <c r="AT62" s="1094"/>
      <c r="AU62" s="1094"/>
      <c r="AV62" s="1094"/>
      <c r="AZ62" s="1089">
        <v>15.5</v>
      </c>
    </row>
    <row r="63" spans="1:52" s="1084" customFormat="1" ht="12" customHeight="1" x14ac:dyDescent="0.2">
      <c r="A63" s="1071" t="s">
        <v>115</v>
      </c>
      <c r="B63" s="1071" t="str">
        <f>Technologies!C107</f>
        <v>TCLPGADV</v>
      </c>
      <c r="C63" s="1071" t="str">
        <f>Technologies!D107</f>
        <v>Commercial Truck, Advanced LPG</v>
      </c>
      <c r="D63" s="1071" t="s">
        <v>480</v>
      </c>
      <c r="E63" s="1071" t="str">
        <f>Commodities!C29</f>
        <v>TRNLPG1</v>
      </c>
      <c r="F63" s="1071" t="str">
        <f>Commodities!C$18</f>
        <v>TC</v>
      </c>
      <c r="G63" s="1091">
        <v>1</v>
      </c>
      <c r="H63" s="1094">
        <v>2015</v>
      </c>
      <c r="I63" s="1091">
        <f t="shared" si="26"/>
        <v>20.5</v>
      </c>
      <c r="J63" s="1091">
        <v>0.28000000000000003</v>
      </c>
      <c r="K63" s="1092"/>
      <c r="L63" s="1092"/>
      <c r="M63" s="1092">
        <f>Trucks!H58</f>
        <v>0.20028822920871756</v>
      </c>
      <c r="N63" s="1092">
        <f>M63</f>
        <v>0.20028822920871756</v>
      </c>
      <c r="O63" s="1092">
        <f>Trucks!H59</f>
        <v>0.25020803685591358</v>
      </c>
      <c r="P63" s="1092">
        <f t="shared" si="53"/>
        <v>0.25020803685591358</v>
      </c>
      <c r="Q63" s="1092">
        <f t="shared" si="53"/>
        <v>0.25020803685591358</v>
      </c>
      <c r="R63" s="1092">
        <f>Trucks!H60</f>
        <v>0.25292590830854622</v>
      </c>
      <c r="S63" s="1092">
        <f t="shared" si="54"/>
        <v>0.25292590830854622</v>
      </c>
      <c r="T63" s="1092">
        <f t="shared" si="54"/>
        <v>0.25292590830854622</v>
      </c>
      <c r="U63" s="1092">
        <f t="shared" si="54"/>
        <v>0.25292590830854622</v>
      </c>
      <c r="V63" s="1093"/>
      <c r="W63" s="1093">
        <f>Trucks!F58</f>
        <v>1464.1594104197002</v>
      </c>
      <c r="X63" s="1093">
        <f>W63</f>
        <v>1464.1594104197002</v>
      </c>
      <c r="Y63" s="1093">
        <f>Trucks!F60</f>
        <v>1512.1176878979782</v>
      </c>
      <c r="Z63" s="1093">
        <f t="shared" si="55"/>
        <v>1512.1176878979782</v>
      </c>
      <c r="AA63" s="1093">
        <f t="shared" si="55"/>
        <v>1512.1176878979782</v>
      </c>
      <c r="AB63" s="1093">
        <f>Trucks!F60</f>
        <v>1512.1176878979782</v>
      </c>
      <c r="AC63" s="1093">
        <f t="shared" si="56"/>
        <v>1512.1176878979782</v>
      </c>
      <c r="AD63" s="1093">
        <f t="shared" si="56"/>
        <v>1512.1176878979782</v>
      </c>
      <c r="AE63" s="1093">
        <f t="shared" si="56"/>
        <v>1512.1176878979782</v>
      </c>
      <c r="AF63" s="1094">
        <f>AF62</f>
        <v>56.323060573857596</v>
      </c>
      <c r="AG63" s="1093"/>
      <c r="AH63" s="1093"/>
      <c r="AI63" s="1093"/>
      <c r="AJ63" s="1093"/>
      <c r="AK63" s="1093"/>
      <c r="AL63" s="1091">
        <v>1</v>
      </c>
      <c r="AM63" s="1094"/>
      <c r="AN63" s="1094"/>
      <c r="AO63" s="1094"/>
      <c r="AP63" s="1094"/>
      <c r="AQ63" s="1094"/>
      <c r="AR63" s="1094"/>
      <c r="AS63" s="1094"/>
      <c r="AT63" s="1094"/>
      <c r="AU63" s="1094"/>
      <c r="AV63" s="1094"/>
      <c r="AZ63" s="1089">
        <v>15.5</v>
      </c>
    </row>
    <row r="64" spans="1:52" s="1084" customFormat="1" ht="12" customHeight="1" x14ac:dyDescent="0.2">
      <c r="A64" s="1071" t="s">
        <v>115</v>
      </c>
      <c r="B64" s="1071" t="str">
        <f>Technologies!C108</f>
        <v>TCLPGAH</v>
      </c>
      <c r="C64" s="1071" t="str">
        <f>Technologies!D108</f>
        <v>Commercial Truck, Hybrid LPG</v>
      </c>
      <c r="D64" s="1071" t="s">
        <v>480</v>
      </c>
      <c r="E64" s="1071" t="str">
        <f>Commodities!C29</f>
        <v>TRNLPG1</v>
      </c>
      <c r="F64" s="1071" t="str">
        <f>Commodities!C$18</f>
        <v>TC</v>
      </c>
      <c r="G64" s="1091">
        <v>1</v>
      </c>
      <c r="H64" s="1094">
        <v>2015</v>
      </c>
      <c r="I64" s="1091">
        <f t="shared" si="26"/>
        <v>20.5</v>
      </c>
      <c r="J64" s="1091">
        <v>0.28000000000000003</v>
      </c>
      <c r="K64" s="1092"/>
      <c r="L64" s="1092"/>
      <c r="M64" s="1092">
        <f>Trucks!H61</f>
        <v>0.28140496203824811</v>
      </c>
      <c r="N64" s="1092">
        <f>M64</f>
        <v>0.28140496203824811</v>
      </c>
      <c r="O64" s="1092">
        <f>Trucks!H62</f>
        <v>0.35154229178255858</v>
      </c>
      <c r="P64" s="1092">
        <f t="shared" si="53"/>
        <v>0.35154229178255858</v>
      </c>
      <c r="Q64" s="1092">
        <f t="shared" si="53"/>
        <v>0.35154229178255858</v>
      </c>
      <c r="R64" s="1092">
        <f>Trucks!H63</f>
        <v>0.35536090117350749</v>
      </c>
      <c r="S64" s="1092">
        <f t="shared" si="54"/>
        <v>0.35536090117350749</v>
      </c>
      <c r="T64" s="1092">
        <f t="shared" si="54"/>
        <v>0.35536090117350749</v>
      </c>
      <c r="U64" s="1092">
        <f t="shared" si="54"/>
        <v>0.35536090117350749</v>
      </c>
      <c r="V64" s="1093"/>
      <c r="W64" s="1093">
        <f>Trucks!F61</f>
        <v>1760.7380759681469</v>
      </c>
      <c r="X64" s="1093">
        <f>W64</f>
        <v>1760.7380759681469</v>
      </c>
      <c r="Y64" s="1093">
        <f>Trucks!F62</f>
        <v>1802.1041100950483</v>
      </c>
      <c r="Z64" s="1093">
        <f t="shared" si="55"/>
        <v>1802.1041100950483</v>
      </c>
      <c r="AA64" s="1093">
        <f t="shared" si="55"/>
        <v>1802.1041100950483</v>
      </c>
      <c r="AB64" s="1093">
        <f>Trucks!F63</f>
        <v>1808.6963534464248</v>
      </c>
      <c r="AC64" s="1093">
        <f t="shared" si="56"/>
        <v>1808.6963534464248</v>
      </c>
      <c r="AD64" s="1093">
        <f t="shared" si="56"/>
        <v>1808.6963534464248</v>
      </c>
      <c r="AE64" s="1093">
        <f t="shared" si="56"/>
        <v>1808.6963534464248</v>
      </c>
      <c r="AF64" s="1094">
        <f>AF63</f>
        <v>56.323060573857596</v>
      </c>
      <c r="AG64" s="1093"/>
      <c r="AH64" s="1093"/>
      <c r="AI64" s="1093"/>
      <c r="AJ64" s="1093"/>
      <c r="AK64" s="1093"/>
      <c r="AL64" s="1091">
        <v>1</v>
      </c>
      <c r="AM64" s="1094"/>
      <c r="AN64" s="1094"/>
      <c r="AO64" s="1094"/>
      <c r="AP64" s="1094"/>
      <c r="AQ64" s="1094"/>
      <c r="AR64" s="1094"/>
      <c r="AS64" s="1094"/>
      <c r="AT64" s="1094"/>
      <c r="AU64" s="1094"/>
      <c r="AV64" s="1094"/>
      <c r="AZ64" s="1089">
        <v>15.5</v>
      </c>
    </row>
    <row r="65" spans="1:52" s="1084" customFormat="1" ht="12" customHeight="1" x14ac:dyDescent="0.2">
      <c r="A65" s="1071" t="s">
        <v>115</v>
      </c>
      <c r="B65" s="1071" t="str">
        <f>Technologies!C109</f>
        <v>TCH2FC</v>
      </c>
      <c r="C65" s="1071" t="str">
        <f>Technologies!D109</f>
        <v>Commercial Truck, Hydrogen Fuel Cell</v>
      </c>
      <c r="D65" s="1071" t="s">
        <v>480</v>
      </c>
      <c r="E65" s="1071" t="str">
        <f>Commodities!C53</f>
        <v>TRNH2</v>
      </c>
      <c r="F65" s="1071" t="str">
        <f>Commodities!C$18</f>
        <v>TC</v>
      </c>
      <c r="G65" s="1091">
        <v>1</v>
      </c>
      <c r="H65" s="1094">
        <f>Trucks!D64</f>
        <v>2025</v>
      </c>
      <c r="I65" s="1091">
        <f t="shared" si="26"/>
        <v>20.5</v>
      </c>
      <c r="J65" s="1091">
        <v>0.24</v>
      </c>
      <c r="K65" s="1092"/>
      <c r="L65" s="1092"/>
      <c r="M65" s="1092"/>
      <c r="N65" s="1092"/>
      <c r="O65" s="1092">
        <f>Trucks!H64</f>
        <v>0.34109858000744459</v>
      </c>
      <c r="P65" s="1092">
        <f t="shared" si="53"/>
        <v>0.34109858000744459</v>
      </c>
      <c r="Q65" s="1092">
        <f t="shared" si="53"/>
        <v>0.34109858000744459</v>
      </c>
      <c r="R65" s="1092">
        <f>Trucks!H65</f>
        <v>0.34109858000744459</v>
      </c>
      <c r="S65" s="1092">
        <f t="shared" si="54"/>
        <v>0.34109858000744459</v>
      </c>
      <c r="T65" s="1092">
        <f t="shared" si="54"/>
        <v>0.34109858000744459</v>
      </c>
      <c r="U65" s="1092">
        <f t="shared" si="54"/>
        <v>0.34109858000744459</v>
      </c>
      <c r="V65" s="1093"/>
      <c r="W65" s="1093"/>
      <c r="X65" s="1093"/>
      <c r="Y65" s="1093">
        <f>Trucks!F64</f>
        <v>2696.3939005076909</v>
      </c>
      <c r="Z65" s="1093">
        <f t="shared" si="55"/>
        <v>2696.3939005076909</v>
      </c>
      <c r="AA65" s="1093">
        <f t="shared" si="55"/>
        <v>2696.3939005076909</v>
      </c>
      <c r="AB65" s="1093">
        <f>Trucks!F65</f>
        <v>2696.3939005076909</v>
      </c>
      <c r="AC65" s="1093">
        <f t="shared" si="56"/>
        <v>2696.3939005076909</v>
      </c>
      <c r="AD65" s="1093">
        <f t="shared" si="56"/>
        <v>2696.3939005076909</v>
      </c>
      <c r="AE65" s="1093">
        <f t="shared" si="56"/>
        <v>2696.3939005076909</v>
      </c>
      <c r="AF65" s="1094">
        <f>Trucks!G64</f>
        <v>15.488841657810841</v>
      </c>
      <c r="AG65" s="1093"/>
      <c r="AH65" s="1093"/>
      <c r="AI65" s="1093"/>
      <c r="AJ65" s="1093"/>
      <c r="AK65" s="1093"/>
      <c r="AL65" s="1091">
        <v>1</v>
      </c>
      <c r="AM65" s="1094"/>
      <c r="AN65" s="1094"/>
      <c r="AO65" s="1094"/>
      <c r="AP65" s="1094"/>
      <c r="AQ65" s="1094"/>
      <c r="AR65" s="1094"/>
      <c r="AS65" s="1094"/>
      <c r="AT65" s="1094"/>
      <c r="AU65" s="1094"/>
      <c r="AV65" s="1094"/>
      <c r="AZ65" s="1089">
        <f>Trucks!E64</f>
        <v>15.5</v>
      </c>
    </row>
    <row r="66" spans="1:52" s="1084" customFormat="1" ht="12" customHeight="1" x14ac:dyDescent="0.2">
      <c r="A66" s="1098" t="s">
        <v>483</v>
      </c>
      <c r="B66" s="1073"/>
      <c r="C66" s="1073"/>
      <c r="D66" s="1073"/>
      <c r="E66" s="1073"/>
      <c r="F66" s="1073"/>
      <c r="G66" s="1099"/>
      <c r="H66" s="1100"/>
      <c r="I66" s="1100"/>
      <c r="J66" s="1100"/>
      <c r="K66" s="1100"/>
      <c r="L66" s="1100"/>
      <c r="M66" s="1100"/>
      <c r="N66" s="1100"/>
      <c r="O66" s="1100"/>
      <c r="P66" s="1100"/>
      <c r="Q66" s="1100"/>
      <c r="R66" s="1100"/>
      <c r="S66" s="1100"/>
      <c r="T66" s="1100"/>
      <c r="U66" s="1100"/>
      <c r="V66" s="1100"/>
      <c r="W66" s="1100"/>
      <c r="X66" s="1100"/>
      <c r="Y66" s="1100"/>
      <c r="Z66" s="1100"/>
      <c r="AA66" s="1100"/>
      <c r="AB66" s="1100"/>
      <c r="AC66" s="1100"/>
      <c r="AD66" s="1100"/>
      <c r="AE66" s="1100"/>
      <c r="AF66" s="1100"/>
      <c r="AG66" s="1100"/>
      <c r="AH66" s="1100"/>
      <c r="AI66" s="1100"/>
      <c r="AJ66" s="1100"/>
      <c r="AK66" s="1100"/>
      <c r="AL66" s="1100"/>
      <c r="AM66" s="1101"/>
      <c r="AN66" s="1101"/>
      <c r="AO66" s="1101"/>
      <c r="AP66" s="1101"/>
      <c r="AQ66" s="1101"/>
      <c r="AR66" s="1101"/>
      <c r="AS66" s="1101"/>
      <c r="AT66" s="1101"/>
      <c r="AU66" s="1101"/>
      <c r="AV66" s="1101"/>
    </row>
    <row r="67" spans="1:52" s="1084" customFormat="1" ht="12" customHeight="1" x14ac:dyDescent="0.2">
      <c r="A67" s="1071" t="str">
        <f>Technologies!B114</f>
        <v>R2,R3,R4,R5,R6</v>
      </c>
      <c r="B67" s="1071" t="str">
        <f>Technologies!C114</f>
        <v>TMGSLC10</v>
      </c>
      <c r="C67" s="1071" t="str">
        <f>Technologies!D114</f>
        <v>Medium Duty Truck, Gasoline, 2010</v>
      </c>
      <c r="D67" s="1071" t="s">
        <v>480</v>
      </c>
      <c r="E67" s="1071" t="str">
        <f>Commodities!C$39</f>
        <v>TMGSL</v>
      </c>
      <c r="F67" s="1071" t="str">
        <f>Commodities!C$11</f>
        <v>TM</v>
      </c>
      <c r="G67" s="1091">
        <v>1</v>
      </c>
      <c r="H67" s="1094">
        <v>2010</v>
      </c>
      <c r="I67" s="1091">
        <f t="shared" ref="I67:I88" si="57">AZ67+5</f>
        <v>24</v>
      </c>
      <c r="J67" s="1091">
        <v>0.18</v>
      </c>
      <c r="K67" s="1092">
        <f>Trucks!H88</f>
        <v>6.2417562952645951E-2</v>
      </c>
      <c r="L67" s="1092"/>
      <c r="M67" s="1092"/>
      <c r="N67" s="1092"/>
      <c r="O67" s="1092"/>
      <c r="P67" s="1092"/>
      <c r="Q67" s="1092"/>
      <c r="R67" s="1092"/>
      <c r="S67" s="1092"/>
      <c r="T67" s="1092"/>
      <c r="U67" s="1092"/>
      <c r="V67" s="1094">
        <f>Trucks!F88</f>
        <v>5812.2033972904501</v>
      </c>
      <c r="W67" s="1094"/>
      <c r="X67" s="1094"/>
      <c r="Y67" s="1094"/>
      <c r="Z67" s="1094"/>
      <c r="AA67" s="1094"/>
      <c r="AB67" s="1094"/>
      <c r="AC67" s="1094"/>
      <c r="AD67" s="1094"/>
      <c r="AE67" s="1094"/>
      <c r="AF67" s="1094">
        <f>Trucks!G88</f>
        <v>248.80470075014617</v>
      </c>
      <c r="AG67" s="1093"/>
      <c r="AH67" s="1093"/>
      <c r="AI67" s="1093"/>
      <c r="AJ67" s="1093"/>
      <c r="AK67" s="1093"/>
      <c r="AL67" s="1094">
        <v>1</v>
      </c>
      <c r="AM67" s="1094">
        <v>0</v>
      </c>
      <c r="AN67" s="1094">
        <v>0</v>
      </c>
      <c r="AO67" s="1094">
        <v>0</v>
      </c>
      <c r="AP67" s="1094">
        <v>0</v>
      </c>
      <c r="AQ67" s="1094">
        <v>0</v>
      </c>
      <c r="AR67" s="1094">
        <v>0</v>
      </c>
      <c r="AS67" s="1094">
        <v>0</v>
      </c>
      <c r="AT67" s="1094">
        <v>0</v>
      </c>
      <c r="AU67" s="1094">
        <v>0</v>
      </c>
      <c r="AV67" s="1094">
        <v>0</v>
      </c>
      <c r="AZ67" s="1088">
        <v>19</v>
      </c>
    </row>
    <row r="68" spans="1:52" s="1084" customFormat="1" ht="12" customHeight="1" x14ac:dyDescent="0.2">
      <c r="A68" s="1071" t="str">
        <f>Technologies!B115</f>
        <v>R2,R3,R4,R5,R6</v>
      </c>
      <c r="B68" s="1071" t="str">
        <f>Technologies!C115</f>
        <v>TMGSLC</v>
      </c>
      <c r="C68" s="1071" t="str">
        <f>Technologies!D115</f>
        <v>Medium Duty Truck, Conventional Gasoline</v>
      </c>
      <c r="D68" s="1071" t="s">
        <v>480</v>
      </c>
      <c r="E68" s="1071" t="str">
        <f>Commodities!C$39</f>
        <v>TMGSL</v>
      </c>
      <c r="F68" s="1071" t="str">
        <f>Commodities!C$11</f>
        <v>TM</v>
      </c>
      <c r="G68" s="1091">
        <v>1</v>
      </c>
      <c r="H68" s="1094">
        <v>2015</v>
      </c>
      <c r="I68" s="1091">
        <f t="shared" si="57"/>
        <v>24</v>
      </c>
      <c r="J68" s="1091">
        <v>0.18</v>
      </c>
      <c r="K68" s="1092"/>
      <c r="L68" s="1091"/>
      <c r="M68" s="1092">
        <f>Trucks!H89</f>
        <v>6.4948004693969427E-2</v>
      </c>
      <c r="N68" s="1092">
        <f>Trucks!H90</f>
        <v>6.9730539585070805E-2</v>
      </c>
      <c r="O68" s="1092">
        <f t="shared" ref="O68:U68" si="58">N68</f>
        <v>6.9730539585070805E-2</v>
      </c>
      <c r="P68" s="1092">
        <f t="shared" si="58"/>
        <v>6.9730539585070805E-2</v>
      </c>
      <c r="Q68" s="1092">
        <f t="shared" si="58"/>
        <v>6.9730539585070805E-2</v>
      </c>
      <c r="R68" s="1092">
        <f t="shared" si="58"/>
        <v>6.9730539585070805E-2</v>
      </c>
      <c r="S68" s="1092">
        <f t="shared" si="58"/>
        <v>6.9730539585070805E-2</v>
      </c>
      <c r="T68" s="1092">
        <f t="shared" si="58"/>
        <v>6.9730539585070805E-2</v>
      </c>
      <c r="U68" s="1092">
        <f t="shared" si="58"/>
        <v>6.9730539585070805E-2</v>
      </c>
      <c r="V68" s="1091"/>
      <c r="W68" s="1094">
        <f>Trucks!F89</f>
        <v>5834.9327443156681</v>
      </c>
      <c r="X68" s="1094">
        <f>Trucks!F90</f>
        <v>5908.666433634593</v>
      </c>
      <c r="Y68" s="1095">
        <f>Trucks!F90</f>
        <v>5908.666433634593</v>
      </c>
      <c r="Z68" s="1095">
        <f t="shared" ref="Z68:AE69" si="59">Y68</f>
        <v>5908.666433634593</v>
      </c>
      <c r="AA68" s="1095">
        <f t="shared" si="59"/>
        <v>5908.666433634593</v>
      </c>
      <c r="AB68" s="1095">
        <f t="shared" si="59"/>
        <v>5908.666433634593</v>
      </c>
      <c r="AC68" s="1095">
        <f t="shared" si="59"/>
        <v>5908.666433634593</v>
      </c>
      <c r="AD68" s="1095">
        <f t="shared" si="59"/>
        <v>5908.666433634593</v>
      </c>
      <c r="AE68" s="1095">
        <f t="shared" si="59"/>
        <v>5908.666433634593</v>
      </c>
      <c r="AF68" s="1094">
        <f>Trucks!G88</f>
        <v>248.80470075014617</v>
      </c>
      <c r="AG68" s="1093">
        <v>0</v>
      </c>
      <c r="AH68" s="1093">
        <v>0</v>
      </c>
      <c r="AI68" s="1093">
        <v>0</v>
      </c>
      <c r="AJ68" s="1093">
        <v>0</v>
      </c>
      <c r="AK68" s="1093">
        <v>0</v>
      </c>
      <c r="AL68" s="1094">
        <v>1</v>
      </c>
      <c r="AM68" s="1094">
        <v>0</v>
      </c>
      <c r="AN68" s="1094"/>
      <c r="AO68" s="1094">
        <v>0</v>
      </c>
      <c r="AP68" s="1094">
        <v>0</v>
      </c>
      <c r="AQ68" s="1094">
        <v>0</v>
      </c>
      <c r="AR68" s="1094">
        <v>0</v>
      </c>
      <c r="AS68" s="1094">
        <v>0</v>
      </c>
      <c r="AT68" s="1094">
        <v>0</v>
      </c>
      <c r="AU68" s="1094">
        <v>0</v>
      </c>
      <c r="AV68" s="1094">
        <v>0</v>
      </c>
      <c r="AZ68" s="1088">
        <v>19</v>
      </c>
    </row>
    <row r="69" spans="1:52" s="1084" customFormat="1" ht="12" customHeight="1" x14ac:dyDescent="0.2">
      <c r="A69" s="1071" t="str">
        <f>Technologies!B116</f>
        <v>R2,R3,R4,R5,R6</v>
      </c>
      <c r="B69" s="1071" t="str">
        <f>Technologies!C116</f>
        <v>TMGSLIM</v>
      </c>
      <c r="C69" s="1071" t="str">
        <f>Technologies!D116</f>
        <v>Medium Duty Truck, Improved Gasoline</v>
      </c>
      <c r="D69" s="1071" t="s">
        <v>480</v>
      </c>
      <c r="E69" s="1071" t="str">
        <f>Commodities!C$39</f>
        <v>TMGSL</v>
      </c>
      <c r="F69" s="1071" t="str">
        <f>Commodities!C$11</f>
        <v>TM</v>
      </c>
      <c r="G69" s="1091">
        <v>1</v>
      </c>
      <c r="H69" s="1094">
        <v>2025</v>
      </c>
      <c r="I69" s="1091">
        <f t="shared" si="57"/>
        <v>24</v>
      </c>
      <c r="J69" s="1091">
        <v>0.24</v>
      </c>
      <c r="K69" s="1092">
        <f>Trucks!H91</f>
        <v>7.5246902581156003E-2</v>
      </c>
      <c r="L69" s="1092"/>
      <c r="M69" s="1092"/>
      <c r="N69" s="1092"/>
      <c r="O69" s="1091"/>
      <c r="P69" s="1092"/>
      <c r="Q69" s="1092"/>
      <c r="R69" s="1092"/>
      <c r="S69" s="1092"/>
      <c r="T69" s="1092"/>
      <c r="U69" s="1092"/>
      <c r="V69" s="1094"/>
      <c r="W69" s="1094"/>
      <c r="X69" s="1094"/>
      <c r="Y69" s="1094">
        <f>Trucks!F91</f>
        <v>6443.5418634659982</v>
      </c>
      <c r="Z69" s="1095">
        <f t="shared" si="59"/>
        <v>6443.5418634659982</v>
      </c>
      <c r="AA69" s="1095">
        <f t="shared" si="59"/>
        <v>6443.5418634659982</v>
      </c>
      <c r="AB69" s="1095">
        <f t="shared" si="59"/>
        <v>6443.5418634659982</v>
      </c>
      <c r="AC69" s="1095">
        <f t="shared" si="59"/>
        <v>6443.5418634659982</v>
      </c>
      <c r="AD69" s="1094">
        <f t="shared" si="59"/>
        <v>6443.5418634659982</v>
      </c>
      <c r="AE69" s="1094">
        <f t="shared" si="59"/>
        <v>6443.5418634659982</v>
      </c>
      <c r="AF69" s="1094">
        <f>Trucks!G89</f>
        <v>248.80470075014617</v>
      </c>
      <c r="AG69" s="1093">
        <v>0</v>
      </c>
      <c r="AH69" s="1093">
        <v>0</v>
      </c>
      <c r="AI69" s="1093">
        <v>0</v>
      </c>
      <c r="AJ69" s="1093">
        <v>0</v>
      </c>
      <c r="AK69" s="1093">
        <v>0</v>
      </c>
      <c r="AL69" s="1094">
        <v>1</v>
      </c>
      <c r="AM69" s="1094">
        <v>0</v>
      </c>
      <c r="AN69" s="1094">
        <v>0</v>
      </c>
      <c r="AO69" s="1094"/>
      <c r="AP69" s="1094"/>
      <c r="AQ69" s="1094"/>
      <c r="AR69" s="1094"/>
      <c r="AS69" s="1094"/>
      <c r="AT69" s="1094"/>
      <c r="AU69" s="1094"/>
      <c r="AV69" s="1094"/>
      <c r="AZ69" s="1088">
        <v>19</v>
      </c>
    </row>
    <row r="70" spans="1:52" s="1084" customFormat="1" ht="12" customHeight="1" x14ac:dyDescent="0.2">
      <c r="A70" s="1071" t="str">
        <f>Technologies!B117</f>
        <v>R2,R3,R4,R5,R6</v>
      </c>
      <c r="B70" s="1071" t="str">
        <f>Technologies!C117</f>
        <v>TMGSLAH</v>
      </c>
      <c r="C70" s="1071" t="str">
        <f>Technologies!D117</f>
        <v>Medium Duty Truck, Advanced Hybrid Gasoline</v>
      </c>
      <c r="D70" s="1071" t="s">
        <v>480</v>
      </c>
      <c r="E70" s="1071" t="str">
        <f>Commodities!C$39</f>
        <v>TMGSL</v>
      </c>
      <c r="F70" s="1071" t="str">
        <f>Commodities!C$11</f>
        <v>TM</v>
      </c>
      <c r="G70" s="1091">
        <v>1</v>
      </c>
      <c r="H70" s="1094">
        <f>Trucks!D92</f>
        <v>2015</v>
      </c>
      <c r="I70" s="1091">
        <f t="shared" si="57"/>
        <v>24</v>
      </c>
      <c r="J70" s="1091">
        <v>0.28000000000000003</v>
      </c>
      <c r="K70" s="1092"/>
      <c r="L70" s="1092"/>
      <c r="M70" s="1092">
        <f>Trucks!H92</f>
        <v>7.8865434271248591E-2</v>
      </c>
      <c r="N70" s="1092">
        <f>M70</f>
        <v>7.8865434271248591E-2</v>
      </c>
      <c r="O70" s="1092">
        <f>Trucks!H93</f>
        <v>9.961505655010118E-2</v>
      </c>
      <c r="P70" s="1092">
        <f>O70</f>
        <v>9.961505655010118E-2</v>
      </c>
      <c r="Q70" s="1092">
        <f>P70</f>
        <v>9.961505655010118E-2</v>
      </c>
      <c r="R70" s="1092">
        <f>Trucks!H94</f>
        <v>0.10749316517142161</v>
      </c>
      <c r="S70" s="1092">
        <f>R70</f>
        <v>0.10749316517142161</v>
      </c>
      <c r="T70" s="1092">
        <f>S70</f>
        <v>0.10749316517142161</v>
      </c>
      <c r="U70" s="1092">
        <f>T70</f>
        <v>0.10749316517142161</v>
      </c>
      <c r="V70" s="1094"/>
      <c r="W70" s="1094">
        <f>Trucks!F92</f>
        <v>6616.0099616771531</v>
      </c>
      <c r="X70" s="1094">
        <f>W70</f>
        <v>6616.0099616771531</v>
      </c>
      <c r="Y70" s="1094">
        <f>Trucks!F93</f>
        <v>6935.0018972475837</v>
      </c>
      <c r="Z70" s="1094">
        <f>Y70</f>
        <v>6935.0018972475837</v>
      </c>
      <c r="AA70" s="1094">
        <f>Z70</f>
        <v>6935.0018972475837</v>
      </c>
      <c r="AB70" s="1094">
        <f>Trucks!F94</f>
        <v>7469.8773270789898</v>
      </c>
      <c r="AC70" s="1094">
        <f>AB70</f>
        <v>7469.8773270789898</v>
      </c>
      <c r="AD70" s="1094">
        <f>AC70</f>
        <v>7469.8773270789898</v>
      </c>
      <c r="AE70" s="1094">
        <f>AD70</f>
        <v>7469.8773270789898</v>
      </c>
      <c r="AF70" s="1094">
        <f>Trucks!G92</f>
        <v>237.85729391713974</v>
      </c>
      <c r="AG70" s="1093">
        <v>0</v>
      </c>
      <c r="AH70" s="1093">
        <v>0</v>
      </c>
      <c r="AI70" s="1093">
        <v>0</v>
      </c>
      <c r="AJ70" s="1093">
        <v>0</v>
      </c>
      <c r="AK70" s="1093">
        <v>0</v>
      </c>
      <c r="AL70" s="1094">
        <v>1</v>
      </c>
      <c r="AM70" s="1094">
        <v>0</v>
      </c>
      <c r="AN70" s="1094">
        <v>0</v>
      </c>
      <c r="AO70" s="1094"/>
      <c r="AP70" s="1094"/>
      <c r="AQ70" s="1094"/>
      <c r="AR70" s="1094"/>
      <c r="AS70" s="1094"/>
      <c r="AT70" s="1094"/>
      <c r="AU70" s="1094"/>
      <c r="AV70" s="1094"/>
      <c r="AZ70" s="1088">
        <f>Trucks!E92</f>
        <v>19</v>
      </c>
    </row>
    <row r="71" spans="1:52" s="1084" customFormat="1" ht="12" customHeight="1" x14ac:dyDescent="0.2">
      <c r="A71" s="1071" t="str">
        <f>Technologies!B118</f>
        <v>R2,R3,R4,R5,R6</v>
      </c>
      <c r="B71" s="1071" t="str">
        <f>Technologies!C118</f>
        <v>TMDSLC10</v>
      </c>
      <c r="C71" s="1071" t="str">
        <f>Technologies!D118</f>
        <v>Medium Duty Truck, Diesel, 2010</v>
      </c>
      <c r="D71" s="1071" t="s">
        <v>480</v>
      </c>
      <c r="E71" s="1071" t="str">
        <f>Commodities!C$42</f>
        <v>TMDSL</v>
      </c>
      <c r="F71" s="1071" t="str">
        <f>Commodities!C$11</f>
        <v>TM</v>
      </c>
      <c r="G71" s="1091">
        <v>1</v>
      </c>
      <c r="H71" s="1094">
        <v>2010</v>
      </c>
      <c r="I71" s="1091">
        <f t="shared" si="57"/>
        <v>24</v>
      </c>
      <c r="J71" s="1091">
        <v>0.18</v>
      </c>
      <c r="K71" s="1092">
        <f>TechData!K19</f>
        <v>8.3040935672514624E-2</v>
      </c>
      <c r="L71" s="1092"/>
      <c r="M71" s="1092"/>
      <c r="N71" s="1092"/>
      <c r="O71" s="1092"/>
      <c r="P71" s="1092"/>
      <c r="Q71" s="1092"/>
      <c r="R71" s="1092"/>
      <c r="S71" s="1092"/>
      <c r="T71" s="1092"/>
      <c r="U71" s="1092"/>
      <c r="V71" s="1094">
        <f>Trucks!F78</f>
        <v>6276.5914442142484</v>
      </c>
      <c r="W71" s="1094"/>
      <c r="X71" s="1094"/>
      <c r="Y71" s="1094"/>
      <c r="Z71" s="1094"/>
      <c r="AA71" s="1094"/>
      <c r="AB71" s="1094"/>
      <c r="AC71" s="1094"/>
      <c r="AD71" s="1094"/>
      <c r="AE71" s="1094"/>
      <c r="AF71" s="1094">
        <f>Trucks!G78</f>
        <v>136.84258541258041</v>
      </c>
      <c r="AG71" s="1093">
        <v>0</v>
      </c>
      <c r="AH71" s="1093">
        <v>0</v>
      </c>
      <c r="AI71" s="1093">
        <v>0</v>
      </c>
      <c r="AJ71" s="1093">
        <v>0</v>
      </c>
      <c r="AK71" s="1093">
        <v>0</v>
      </c>
      <c r="AL71" s="1094">
        <v>1</v>
      </c>
      <c r="AM71" s="1094">
        <v>0</v>
      </c>
      <c r="AN71" s="1094">
        <v>0</v>
      </c>
      <c r="AO71" s="1094">
        <v>0</v>
      </c>
      <c r="AP71" s="1094">
        <v>0</v>
      </c>
      <c r="AQ71" s="1094">
        <v>0</v>
      </c>
      <c r="AR71" s="1094">
        <v>0</v>
      </c>
      <c r="AS71" s="1094">
        <v>0</v>
      </c>
      <c r="AT71" s="1094">
        <v>0</v>
      </c>
      <c r="AU71" s="1094">
        <v>0</v>
      </c>
      <c r="AV71" s="1094">
        <v>0</v>
      </c>
      <c r="AZ71" s="1088">
        <v>19</v>
      </c>
    </row>
    <row r="72" spans="1:52" s="1084" customFormat="1" ht="12" customHeight="1" x14ac:dyDescent="0.2">
      <c r="A72" s="1071" t="str">
        <f>Technologies!B119</f>
        <v>R2,R3,R4,R5,R6</v>
      </c>
      <c r="B72" s="1071" t="str">
        <f>Technologies!C119</f>
        <v>TMDSLC</v>
      </c>
      <c r="C72" s="1071" t="str">
        <f>Technologies!D119</f>
        <v>Medium Duty Truck, Conventional Diesel</v>
      </c>
      <c r="D72" s="1071" t="s">
        <v>480</v>
      </c>
      <c r="E72" s="1071" t="str">
        <f>Commodities!C$42</f>
        <v>TMDSL</v>
      </c>
      <c r="F72" s="1071" t="str">
        <f>Commodities!C$11</f>
        <v>TM</v>
      </c>
      <c r="G72" s="1091">
        <v>1</v>
      </c>
      <c r="H72" s="1094">
        <v>2015</v>
      </c>
      <c r="I72" s="1091">
        <f t="shared" si="57"/>
        <v>24</v>
      </c>
      <c r="J72" s="1091">
        <v>0.18</v>
      </c>
      <c r="K72" s="1092"/>
      <c r="L72" s="1091"/>
      <c r="M72" s="1092">
        <f>Trucks!H79</f>
        <v>7.5263594035905171E-2</v>
      </c>
      <c r="N72" s="1092">
        <f>Trucks!H80</f>
        <v>8.2850618921883556E-2</v>
      </c>
      <c r="O72" s="1092">
        <f t="shared" ref="O72:U72" si="60">N72</f>
        <v>8.2850618921883556E-2</v>
      </c>
      <c r="P72" s="1092">
        <f t="shared" si="60"/>
        <v>8.2850618921883556E-2</v>
      </c>
      <c r="Q72" s="1092">
        <f t="shared" si="60"/>
        <v>8.2850618921883556E-2</v>
      </c>
      <c r="R72" s="1092">
        <f t="shared" si="60"/>
        <v>8.2850618921883556E-2</v>
      </c>
      <c r="S72" s="1092">
        <f t="shared" si="60"/>
        <v>8.2850618921883556E-2</v>
      </c>
      <c r="T72" s="1092">
        <f t="shared" si="60"/>
        <v>8.2850618921883556E-2</v>
      </c>
      <c r="U72" s="1092">
        <f t="shared" si="60"/>
        <v>8.2850618921883556E-2</v>
      </c>
      <c r="V72" s="1091"/>
      <c r="W72" s="1094">
        <f>Trucks!F79</f>
        <v>6295.5716205961326</v>
      </c>
      <c r="X72" s="1094">
        <f>Trucks!F80</f>
        <v>6469.2831937373276</v>
      </c>
      <c r="Y72" s="1094">
        <f t="shared" ref="Y72:AE72" si="61">X72</f>
        <v>6469.2831937373276</v>
      </c>
      <c r="Z72" s="1094">
        <f t="shared" si="61"/>
        <v>6469.2831937373276</v>
      </c>
      <c r="AA72" s="1094">
        <f t="shared" si="61"/>
        <v>6469.2831937373276</v>
      </c>
      <c r="AB72" s="1094">
        <f t="shared" si="61"/>
        <v>6469.2831937373276</v>
      </c>
      <c r="AC72" s="1094">
        <f t="shared" si="61"/>
        <v>6469.2831937373276</v>
      </c>
      <c r="AD72" s="1094">
        <f t="shared" si="61"/>
        <v>6469.2831937373276</v>
      </c>
      <c r="AE72" s="1094">
        <f t="shared" si="61"/>
        <v>6469.2831937373276</v>
      </c>
      <c r="AF72" s="1094">
        <f>Trucks!G78</f>
        <v>136.84258541258041</v>
      </c>
      <c r="AG72" s="1093">
        <v>0</v>
      </c>
      <c r="AH72" s="1093">
        <v>0</v>
      </c>
      <c r="AI72" s="1093">
        <v>0</v>
      </c>
      <c r="AJ72" s="1093">
        <v>0</v>
      </c>
      <c r="AK72" s="1093">
        <v>0</v>
      </c>
      <c r="AL72" s="1094">
        <v>1</v>
      </c>
      <c r="AM72" s="1094">
        <v>0</v>
      </c>
      <c r="AN72" s="1094"/>
      <c r="AO72" s="1094"/>
      <c r="AP72" s="1094"/>
      <c r="AQ72" s="1094"/>
      <c r="AR72" s="1094"/>
      <c r="AS72" s="1094"/>
      <c r="AT72" s="1094"/>
      <c r="AU72" s="1094"/>
      <c r="AV72" s="1094"/>
      <c r="AZ72" s="1088">
        <v>19</v>
      </c>
    </row>
    <row r="73" spans="1:52" s="1084" customFormat="1" ht="12" customHeight="1" x14ac:dyDescent="0.2">
      <c r="A73" s="1071" t="str">
        <f>Technologies!B120</f>
        <v>R2,R3,R4,R5,R6</v>
      </c>
      <c r="B73" s="1071" t="str">
        <f>Technologies!C120</f>
        <v>TMDSLIM</v>
      </c>
      <c r="C73" s="1071" t="str">
        <f>Technologies!D120</f>
        <v>Medium Duty Truck, Improved Diesel</v>
      </c>
      <c r="D73" s="1071" t="s">
        <v>480</v>
      </c>
      <c r="E73" s="1071" t="str">
        <f>Commodities!C$42</f>
        <v>TMDSL</v>
      </c>
      <c r="F73" s="1071" t="str">
        <f>Commodities!C$11</f>
        <v>TM</v>
      </c>
      <c r="G73" s="1091">
        <v>1</v>
      </c>
      <c r="H73" s="1094">
        <v>2025</v>
      </c>
      <c r="I73" s="1091">
        <f t="shared" si="57"/>
        <v>24</v>
      </c>
      <c r="J73" s="1091">
        <v>0.24</v>
      </c>
      <c r="K73" s="1092">
        <f>Trucks!H81</f>
        <v>8.4286624644229674E-2</v>
      </c>
      <c r="L73" s="1092"/>
      <c r="M73" s="1092"/>
      <c r="N73" s="1092"/>
      <c r="O73" s="1091"/>
      <c r="P73" s="1092"/>
      <c r="Q73" s="1092"/>
      <c r="R73" s="1092"/>
      <c r="S73" s="1092"/>
      <c r="T73" s="1092"/>
      <c r="U73" s="1092"/>
      <c r="V73" s="1094"/>
      <c r="W73" s="1094"/>
      <c r="X73" s="1094"/>
      <c r="Y73" s="1094">
        <f>Trucks!F81</f>
        <v>6691.9683084070857</v>
      </c>
      <c r="Z73" s="1094">
        <f t="shared" ref="Z73:AE73" si="62">Y73</f>
        <v>6691.9683084070857</v>
      </c>
      <c r="AA73" s="1094">
        <f t="shared" si="62"/>
        <v>6691.9683084070857</v>
      </c>
      <c r="AB73" s="1094">
        <f t="shared" si="62"/>
        <v>6691.9683084070857</v>
      </c>
      <c r="AC73" s="1094">
        <f t="shared" si="62"/>
        <v>6691.9683084070857</v>
      </c>
      <c r="AD73" s="1094">
        <f t="shared" si="62"/>
        <v>6691.9683084070857</v>
      </c>
      <c r="AE73" s="1094">
        <f t="shared" si="62"/>
        <v>6691.9683084070857</v>
      </c>
      <c r="AF73" s="1094">
        <f>AF72</f>
        <v>136.84258541258041</v>
      </c>
      <c r="AG73" s="1093">
        <v>0</v>
      </c>
      <c r="AH73" s="1093">
        <v>0</v>
      </c>
      <c r="AI73" s="1093">
        <v>0</v>
      </c>
      <c r="AJ73" s="1093">
        <v>0</v>
      </c>
      <c r="AK73" s="1093">
        <v>0</v>
      </c>
      <c r="AL73" s="1094">
        <v>1</v>
      </c>
      <c r="AM73" s="1094">
        <v>0</v>
      </c>
      <c r="AN73" s="1094">
        <v>0</v>
      </c>
      <c r="AO73" s="1094"/>
      <c r="AP73" s="1094"/>
      <c r="AQ73" s="1094"/>
      <c r="AR73" s="1094"/>
      <c r="AS73" s="1094"/>
      <c r="AT73" s="1094"/>
      <c r="AU73" s="1094"/>
      <c r="AV73" s="1094"/>
      <c r="AZ73" s="1088">
        <v>19</v>
      </c>
    </row>
    <row r="74" spans="1:52" s="1084" customFormat="1" ht="12" customHeight="1" x14ac:dyDescent="0.2">
      <c r="A74" s="1071" t="str">
        <f>Technologies!B121</f>
        <v>R2,R3,R4,R5,R6</v>
      </c>
      <c r="B74" s="1071" t="str">
        <f>Technologies!C121</f>
        <v>TMDSLADV</v>
      </c>
      <c r="C74" s="1071" t="str">
        <f>Technologies!D121</f>
        <v>Medium Duty Truck, Advanced Diesel</v>
      </c>
      <c r="D74" s="1071" t="s">
        <v>480</v>
      </c>
      <c r="E74" s="1071" t="str">
        <f>Commodities!C$42</f>
        <v>TMDSL</v>
      </c>
      <c r="F74" s="1071" t="str">
        <f>Commodities!C$11</f>
        <v>TM</v>
      </c>
      <c r="G74" s="1091">
        <v>1</v>
      </c>
      <c r="H74" s="1094">
        <v>2015</v>
      </c>
      <c r="I74" s="1091">
        <f t="shared" si="57"/>
        <v>24</v>
      </c>
      <c r="J74" s="1091">
        <v>0.28000000000000003</v>
      </c>
      <c r="K74" s="1092"/>
      <c r="L74" s="1092"/>
      <c r="M74" s="1092">
        <f>Trucks!H82</f>
        <v>8.4286624644229674E-2</v>
      </c>
      <c r="N74" s="1092">
        <f>M74</f>
        <v>8.4286624644229674E-2</v>
      </c>
      <c r="O74" s="1092">
        <f>Trucks!H83</f>
        <v>8.707416516407801E-2</v>
      </c>
      <c r="P74" s="1092">
        <f>O74</f>
        <v>8.707416516407801E-2</v>
      </c>
      <c r="Q74" s="1092">
        <f>P74</f>
        <v>8.707416516407801E-2</v>
      </c>
      <c r="R74" s="1092">
        <f>Trucks!H84</f>
        <v>8.707416516407801E-2</v>
      </c>
      <c r="S74" s="1092">
        <f t="shared" ref="S74:U75" si="63">R74</f>
        <v>8.707416516407801E-2</v>
      </c>
      <c r="T74" s="1092">
        <f t="shared" si="63"/>
        <v>8.707416516407801E-2</v>
      </c>
      <c r="U74" s="1092">
        <f t="shared" si="63"/>
        <v>8.707416516407801E-2</v>
      </c>
      <c r="V74" s="1094"/>
      <c r="W74" s="1094">
        <f>Trucks!F82</f>
        <v>6767.5657068244345</v>
      </c>
      <c r="X74" s="1094">
        <f>W74</f>
        <v>6767.5657068244345</v>
      </c>
      <c r="Y74" s="1094">
        <f>Trucks!F83</f>
        <v>6936.7579083281753</v>
      </c>
      <c r="Z74" s="1094">
        <f>Y74</f>
        <v>6936.7579083281753</v>
      </c>
      <c r="AA74" s="1094">
        <f>Z74</f>
        <v>6936.7579083281753</v>
      </c>
      <c r="AB74" s="1094">
        <f>Trucks!F84</f>
        <v>6936.7579083281753</v>
      </c>
      <c r="AC74" s="1094">
        <f t="shared" ref="AC74:AE75" si="64">AB74</f>
        <v>6936.7579083281753</v>
      </c>
      <c r="AD74" s="1094">
        <f t="shared" si="64"/>
        <v>6936.7579083281753</v>
      </c>
      <c r="AE74" s="1094">
        <f t="shared" si="64"/>
        <v>6936.7579083281753</v>
      </c>
      <c r="AF74" s="1094">
        <f>AF73</f>
        <v>136.84258541258041</v>
      </c>
      <c r="AG74" s="1093">
        <v>0</v>
      </c>
      <c r="AH74" s="1093">
        <v>0</v>
      </c>
      <c r="AI74" s="1093">
        <v>0</v>
      </c>
      <c r="AJ74" s="1093">
        <v>0</v>
      </c>
      <c r="AK74" s="1093">
        <v>0</v>
      </c>
      <c r="AL74" s="1094">
        <v>1</v>
      </c>
      <c r="AM74" s="1094">
        <v>0</v>
      </c>
      <c r="AN74" s="1094">
        <v>0</v>
      </c>
      <c r="AO74" s="1094"/>
      <c r="AP74" s="1094"/>
      <c r="AQ74" s="1094"/>
      <c r="AR74" s="1094"/>
      <c r="AS74" s="1094"/>
      <c r="AT74" s="1094"/>
      <c r="AU74" s="1094"/>
      <c r="AV74" s="1094"/>
      <c r="AZ74" s="1088">
        <v>19</v>
      </c>
    </row>
    <row r="75" spans="1:52" s="1084" customFormat="1" ht="12" customHeight="1" x14ac:dyDescent="0.2">
      <c r="A75" s="1071" t="str">
        <f>Technologies!B122</f>
        <v>R2,R3,R4,R5,R6</v>
      </c>
      <c r="B75" s="1071" t="str">
        <f>Technologies!C122</f>
        <v>TMDSLAH</v>
      </c>
      <c r="C75" s="1071" t="str">
        <f>Technologies!D122</f>
        <v>Medium Duty Truck, Advanced Hybrid Diesel</v>
      </c>
      <c r="D75" s="1071" t="s">
        <v>480</v>
      </c>
      <c r="E75" s="1071" t="str">
        <f>Commodities!C$42</f>
        <v>TMDSL</v>
      </c>
      <c r="F75" s="1071" t="str">
        <f>Commodities!C$11</f>
        <v>TM</v>
      </c>
      <c r="G75" s="1091">
        <v>1</v>
      </c>
      <c r="H75" s="1094">
        <f>Trucks!D85</f>
        <v>2015</v>
      </c>
      <c r="I75" s="1091">
        <f t="shared" si="57"/>
        <v>24</v>
      </c>
      <c r="J75" s="1091">
        <v>0.28000000000000003</v>
      </c>
      <c r="K75" s="1092"/>
      <c r="L75" s="1092"/>
      <c r="M75" s="1092">
        <f>Trucks!H85</f>
        <v>0.12040946377747096</v>
      </c>
      <c r="N75" s="1092">
        <f>M75</f>
        <v>0.12040946377747096</v>
      </c>
      <c r="O75" s="1092">
        <f>Trucks!H86</f>
        <v>0.12438727642011957</v>
      </c>
      <c r="P75" s="1092">
        <f>O75</f>
        <v>0.12438727642011957</v>
      </c>
      <c r="Q75" s="1092">
        <f>P75</f>
        <v>0.12438727642011957</v>
      </c>
      <c r="R75" s="1092">
        <f>Trucks!H87</f>
        <v>0.12438727642011957</v>
      </c>
      <c r="S75" s="1092">
        <f t="shared" si="63"/>
        <v>0.12438727642011957</v>
      </c>
      <c r="T75" s="1092">
        <f t="shared" si="63"/>
        <v>0.12438727642011957</v>
      </c>
      <c r="U75" s="1092">
        <f t="shared" si="63"/>
        <v>0.12438727642011957</v>
      </c>
      <c r="V75" s="1094"/>
      <c r="W75" s="1094">
        <f>Trucks!F85</f>
        <v>8334.222211770475</v>
      </c>
      <c r="X75" s="1094">
        <f>W75</f>
        <v>8334.222211770475</v>
      </c>
      <c r="Y75" s="1094">
        <f>Trucks!F86</f>
        <v>7963.0152642194289</v>
      </c>
      <c r="Z75" s="1094">
        <f>Y75</f>
        <v>7963.0152642194289</v>
      </c>
      <c r="AA75" s="1094">
        <f>Z75</f>
        <v>7963.0152642194289</v>
      </c>
      <c r="AB75" s="1094">
        <f>Trucks!F87</f>
        <v>7963.0152642194289</v>
      </c>
      <c r="AC75" s="1094">
        <f t="shared" si="64"/>
        <v>7963.0152642194289</v>
      </c>
      <c r="AD75" s="1094">
        <f t="shared" si="64"/>
        <v>7963.0152642194289</v>
      </c>
      <c r="AE75" s="1094">
        <f t="shared" si="64"/>
        <v>7963.0152642194289</v>
      </c>
      <c r="AF75" s="1094">
        <f>Trucks!G85</f>
        <v>125.89517857957398</v>
      </c>
      <c r="AG75" s="1093">
        <v>0</v>
      </c>
      <c r="AH75" s="1093">
        <v>0</v>
      </c>
      <c r="AI75" s="1093">
        <v>0</v>
      </c>
      <c r="AJ75" s="1093">
        <v>0</v>
      </c>
      <c r="AK75" s="1093">
        <v>0</v>
      </c>
      <c r="AL75" s="1094">
        <v>1</v>
      </c>
      <c r="AM75" s="1094">
        <v>0</v>
      </c>
      <c r="AN75" s="1094">
        <v>0</v>
      </c>
      <c r="AO75" s="1094"/>
      <c r="AP75" s="1094"/>
      <c r="AQ75" s="1094"/>
      <c r="AR75" s="1094"/>
      <c r="AS75" s="1094"/>
      <c r="AT75" s="1094"/>
      <c r="AU75" s="1094"/>
      <c r="AV75" s="1094"/>
      <c r="AZ75" s="1088">
        <f>Trucks!E85</f>
        <v>19</v>
      </c>
    </row>
    <row r="76" spans="1:52" s="1084" customFormat="1" ht="12" customHeight="1" x14ac:dyDescent="0.2">
      <c r="A76" s="1071" t="s">
        <v>115</v>
      </c>
      <c r="B76" s="1071" t="str">
        <f>Technologies!C123</f>
        <v>TMB20C10</v>
      </c>
      <c r="C76" s="1071" t="str">
        <f>Technologies!D123</f>
        <v>Medium Duty Truck, B20, 2010</v>
      </c>
      <c r="D76" s="1071" t="s">
        <v>480</v>
      </c>
      <c r="E76" s="1071" t="str">
        <f>Commodities!C$63</f>
        <v>TMB20X</v>
      </c>
      <c r="F76" s="1071" t="str">
        <f>Commodities!C$11</f>
        <v>TM</v>
      </c>
      <c r="G76" s="1091">
        <v>1</v>
      </c>
      <c r="H76" s="1094">
        <v>2010</v>
      </c>
      <c r="I76" s="1091">
        <f t="shared" si="57"/>
        <v>24</v>
      </c>
      <c r="J76" s="1091">
        <v>0.18</v>
      </c>
      <c r="K76" s="1092">
        <f>Trucks!H95</f>
        <v>7.1504036192117926E-2</v>
      </c>
      <c r="L76" s="1092"/>
      <c r="M76" s="1092"/>
      <c r="N76" s="1092"/>
      <c r="O76" s="1092"/>
      <c r="P76" s="1092"/>
      <c r="Q76" s="1092"/>
      <c r="R76" s="1092"/>
      <c r="S76" s="1092"/>
      <c r="T76" s="1092"/>
      <c r="U76" s="1092"/>
      <c r="V76" s="1094">
        <f>Trucks!F95</f>
        <v>6276.5914442142484</v>
      </c>
      <c r="W76" s="1094"/>
      <c r="X76" s="1094"/>
      <c r="Y76" s="1094"/>
      <c r="Z76" s="1094"/>
      <c r="AA76" s="1094"/>
      <c r="AB76" s="1094"/>
      <c r="AC76" s="1094"/>
      <c r="AD76" s="1094"/>
      <c r="AE76" s="1094"/>
      <c r="AF76" s="1094">
        <f>Trucks!G95</f>
        <v>136.84258541258041</v>
      </c>
      <c r="AG76" s="1093"/>
      <c r="AH76" s="1093"/>
      <c r="AI76" s="1093"/>
      <c r="AJ76" s="1093"/>
      <c r="AK76" s="1093"/>
      <c r="AL76" s="1094">
        <v>1</v>
      </c>
      <c r="AM76" s="1094"/>
      <c r="AN76" s="1094">
        <v>0</v>
      </c>
      <c r="AO76" s="1094">
        <v>0</v>
      </c>
      <c r="AP76" s="1094">
        <v>0</v>
      </c>
      <c r="AQ76" s="1094">
        <v>0</v>
      </c>
      <c r="AR76" s="1094">
        <v>0</v>
      </c>
      <c r="AS76" s="1094">
        <v>0</v>
      </c>
      <c r="AT76" s="1094">
        <v>0</v>
      </c>
      <c r="AU76" s="1094">
        <v>0</v>
      </c>
      <c r="AV76" s="1094">
        <v>0</v>
      </c>
      <c r="AZ76" s="1088">
        <v>19</v>
      </c>
    </row>
    <row r="77" spans="1:52" s="1084" customFormat="1" ht="12" customHeight="1" x14ac:dyDescent="0.2">
      <c r="A77" s="1071" t="s">
        <v>115</v>
      </c>
      <c r="B77" s="1071" t="str">
        <f>Technologies!C124</f>
        <v>TMB20C</v>
      </c>
      <c r="C77" s="1071" t="str">
        <f>Technologies!D124</f>
        <v>Medium Duty Truck, Conventional B20</v>
      </c>
      <c r="D77" s="1071" t="s">
        <v>480</v>
      </c>
      <c r="E77" s="1071" t="str">
        <f>Commodities!C$63</f>
        <v>TMB20X</v>
      </c>
      <c r="F77" s="1071" t="str">
        <f>Commodities!C$11</f>
        <v>TM</v>
      </c>
      <c r="G77" s="1091">
        <v>1</v>
      </c>
      <c r="H77" s="1094">
        <v>2015</v>
      </c>
      <c r="I77" s="1091">
        <f t="shared" si="57"/>
        <v>24</v>
      </c>
      <c r="J77" s="1091">
        <v>0.18</v>
      </c>
      <c r="K77" s="1092"/>
      <c r="L77" s="1091"/>
      <c r="M77" s="1092">
        <f>Trucks!H96</f>
        <v>7.5210459188554166E-2</v>
      </c>
      <c r="N77" s="1092">
        <f>Trucks!H97</f>
        <v>7.7965336736629975E-2</v>
      </c>
      <c r="O77" s="1092">
        <f t="shared" ref="O77:U77" si="65">N77</f>
        <v>7.7965336736629975E-2</v>
      </c>
      <c r="P77" s="1092">
        <f t="shared" si="65"/>
        <v>7.7965336736629975E-2</v>
      </c>
      <c r="Q77" s="1092">
        <f t="shared" si="65"/>
        <v>7.7965336736629975E-2</v>
      </c>
      <c r="R77" s="1092">
        <f t="shared" si="65"/>
        <v>7.7965336736629975E-2</v>
      </c>
      <c r="S77" s="1092">
        <f t="shared" si="65"/>
        <v>7.7965336736629975E-2</v>
      </c>
      <c r="T77" s="1092">
        <f t="shared" si="65"/>
        <v>7.7965336736629975E-2</v>
      </c>
      <c r="U77" s="1092">
        <f t="shared" si="65"/>
        <v>7.7965336736629975E-2</v>
      </c>
      <c r="V77" s="1091"/>
      <c r="W77" s="1094">
        <f>Trucks!F96</f>
        <v>6295.5716205961326</v>
      </c>
      <c r="X77" s="1094">
        <f>Trucks!F97</f>
        <v>6347.8256864376162</v>
      </c>
      <c r="Y77" s="1094">
        <f t="shared" ref="Y77:AE77" si="66">X77</f>
        <v>6347.8256864376162</v>
      </c>
      <c r="Z77" s="1094">
        <f t="shared" si="66"/>
        <v>6347.8256864376162</v>
      </c>
      <c r="AA77" s="1094">
        <f t="shared" si="66"/>
        <v>6347.8256864376162</v>
      </c>
      <c r="AB77" s="1094">
        <f t="shared" si="66"/>
        <v>6347.8256864376162</v>
      </c>
      <c r="AC77" s="1094">
        <f t="shared" si="66"/>
        <v>6347.8256864376162</v>
      </c>
      <c r="AD77" s="1094">
        <f t="shared" si="66"/>
        <v>6347.8256864376162</v>
      </c>
      <c r="AE77" s="1094">
        <f t="shared" si="66"/>
        <v>6347.8256864376162</v>
      </c>
      <c r="AF77" s="1094">
        <f>Trucks!G96</f>
        <v>136.84258541258041</v>
      </c>
      <c r="AG77" s="1093"/>
      <c r="AH77" s="1093"/>
      <c r="AI77" s="1093"/>
      <c r="AJ77" s="1093"/>
      <c r="AK77" s="1093"/>
      <c r="AL77" s="1094">
        <v>1</v>
      </c>
      <c r="AM77" s="1094"/>
      <c r="AN77" s="1094"/>
      <c r="AO77" s="1094"/>
      <c r="AP77" s="1094"/>
      <c r="AQ77" s="1094"/>
      <c r="AR77" s="1094"/>
      <c r="AS77" s="1094"/>
      <c r="AT77" s="1094"/>
      <c r="AU77" s="1094"/>
      <c r="AV77" s="1094"/>
      <c r="AZ77" s="1088">
        <v>19</v>
      </c>
    </row>
    <row r="78" spans="1:52" s="1084" customFormat="1" ht="12" customHeight="1" x14ac:dyDescent="0.2">
      <c r="A78" s="1071" t="s">
        <v>115</v>
      </c>
      <c r="B78" s="1071" t="str">
        <f>Technologies!C125</f>
        <v>TMB20IM</v>
      </c>
      <c r="C78" s="1071" t="str">
        <f>Technologies!D125</f>
        <v>Medium Duty Truck, Improved B20</v>
      </c>
      <c r="D78" s="1071" t="s">
        <v>480</v>
      </c>
      <c r="E78" s="1071" t="str">
        <f>Commodities!C$63</f>
        <v>TMB20X</v>
      </c>
      <c r="F78" s="1071" t="str">
        <f>Commodities!C$11</f>
        <v>TM</v>
      </c>
      <c r="G78" s="1091">
        <v>1</v>
      </c>
      <c r="H78" s="1094">
        <v>2025</v>
      </c>
      <c r="I78" s="1091">
        <f t="shared" si="57"/>
        <v>24</v>
      </c>
      <c r="J78" s="1091">
        <v>0.24</v>
      </c>
      <c r="K78" s="1092">
        <f>Trucks!H98</f>
        <v>8.3060709137527847E-2</v>
      </c>
      <c r="L78" s="1091"/>
      <c r="M78" s="1092"/>
      <c r="N78" s="1092"/>
      <c r="O78" s="1091"/>
      <c r="P78" s="1092"/>
      <c r="Q78" s="1092"/>
      <c r="R78" s="1092"/>
      <c r="S78" s="1092"/>
      <c r="T78" s="1092"/>
      <c r="U78" s="1092"/>
      <c r="V78" s="1094"/>
      <c r="W78" s="1094"/>
      <c r="X78" s="1094"/>
      <c r="Y78" s="1094">
        <f>Trucks!F98</f>
        <v>6469.2831937373276</v>
      </c>
      <c r="Z78" s="1094">
        <f t="shared" ref="Z78:AE78" si="67">Y78</f>
        <v>6469.2831937373276</v>
      </c>
      <c r="AA78" s="1094">
        <f t="shared" si="67"/>
        <v>6469.2831937373276</v>
      </c>
      <c r="AB78" s="1094">
        <f t="shared" si="67"/>
        <v>6469.2831937373276</v>
      </c>
      <c r="AC78" s="1094">
        <f t="shared" si="67"/>
        <v>6469.2831937373276</v>
      </c>
      <c r="AD78" s="1094">
        <f t="shared" si="67"/>
        <v>6469.2831937373276</v>
      </c>
      <c r="AE78" s="1094">
        <f t="shared" si="67"/>
        <v>6469.2831937373276</v>
      </c>
      <c r="AF78" s="1094">
        <f>AF77</f>
        <v>136.84258541258041</v>
      </c>
      <c r="AG78" s="1093"/>
      <c r="AH78" s="1093"/>
      <c r="AI78" s="1093"/>
      <c r="AJ78" s="1093"/>
      <c r="AK78" s="1093"/>
      <c r="AL78" s="1094">
        <v>1</v>
      </c>
      <c r="AM78" s="1094"/>
      <c r="AN78" s="1094"/>
      <c r="AO78" s="1094"/>
      <c r="AP78" s="1094"/>
      <c r="AQ78" s="1094"/>
      <c r="AR78" s="1094"/>
      <c r="AS78" s="1094"/>
      <c r="AT78" s="1094"/>
      <c r="AU78" s="1094"/>
      <c r="AV78" s="1094"/>
      <c r="AZ78" s="1088">
        <v>19</v>
      </c>
    </row>
    <row r="79" spans="1:52" s="1084" customFormat="1" ht="12" customHeight="1" x14ac:dyDescent="0.2">
      <c r="A79" s="1071" t="s">
        <v>115</v>
      </c>
      <c r="B79" s="1071" t="str">
        <f>Technologies!C126</f>
        <v>TMB20ADV</v>
      </c>
      <c r="C79" s="1071" t="str">
        <f>Technologies!D126</f>
        <v>Medium Duty Truck, Advanced Tech B20</v>
      </c>
      <c r="D79" s="1071" t="s">
        <v>480</v>
      </c>
      <c r="E79" s="1071" t="str">
        <f>Commodities!C$63</f>
        <v>TMB20X</v>
      </c>
      <c r="F79" s="1071" t="str">
        <f>Commodities!C$11</f>
        <v>TM</v>
      </c>
      <c r="G79" s="1091">
        <v>1</v>
      </c>
      <c r="H79" s="1094">
        <f>Trucks!D99</f>
        <v>2015</v>
      </c>
      <c r="I79" s="1091">
        <f t="shared" si="57"/>
        <v>24</v>
      </c>
      <c r="J79" s="1091">
        <v>0.28000000000000003</v>
      </c>
      <c r="K79" s="1092"/>
      <c r="L79" s="1091"/>
      <c r="M79" s="1092">
        <f>Trucks!H99</f>
        <v>8.4287693955702889E-2</v>
      </c>
      <c r="N79" s="1092">
        <f>M79</f>
        <v>8.4287693955702889E-2</v>
      </c>
      <c r="O79" s="1092">
        <f>Trucks!H100</f>
        <v>8.7074064003825294E-2</v>
      </c>
      <c r="P79" s="1092">
        <f>O79</f>
        <v>8.7074064003825294E-2</v>
      </c>
      <c r="Q79" s="1092">
        <f>P79</f>
        <v>8.7074064003825294E-2</v>
      </c>
      <c r="R79" s="1092">
        <f>Trucks!H101</f>
        <v>8.7074064003825294E-2</v>
      </c>
      <c r="S79" s="1092">
        <f t="shared" ref="S79:U80" si="68">R79</f>
        <v>8.7074064003825294E-2</v>
      </c>
      <c r="T79" s="1092">
        <f t="shared" si="68"/>
        <v>8.7074064003825294E-2</v>
      </c>
      <c r="U79" s="1092">
        <f t="shared" si="68"/>
        <v>8.7074064003825294E-2</v>
      </c>
      <c r="V79" s="1094"/>
      <c r="W79" s="1094">
        <f>Trucks!F99</f>
        <v>6772.0677770475058</v>
      </c>
      <c r="X79" s="1094">
        <f>W79</f>
        <v>6772.0677770475058</v>
      </c>
      <c r="Y79" s="1094">
        <f>Trucks!F100</f>
        <v>6936.7571272509576</v>
      </c>
      <c r="Z79" s="1094">
        <f>Y79</f>
        <v>6936.7571272509576</v>
      </c>
      <c r="AA79" s="1094">
        <f>Z79</f>
        <v>6936.7571272509576</v>
      </c>
      <c r="AB79" s="1094">
        <f>Trucks!F101</f>
        <v>6936.7571272509576</v>
      </c>
      <c r="AC79" s="1094">
        <f t="shared" ref="AC79:AE80" si="69">AB79</f>
        <v>6936.7571272509576</v>
      </c>
      <c r="AD79" s="1094">
        <f t="shared" si="69"/>
        <v>6936.7571272509576</v>
      </c>
      <c r="AE79" s="1094">
        <f t="shared" si="69"/>
        <v>6936.7571272509576</v>
      </c>
      <c r="AF79" s="1094">
        <f>AF78</f>
        <v>136.84258541258041</v>
      </c>
      <c r="AG79" s="1093"/>
      <c r="AH79" s="1093"/>
      <c r="AI79" s="1093"/>
      <c r="AJ79" s="1093"/>
      <c r="AK79" s="1093"/>
      <c r="AL79" s="1094">
        <v>1</v>
      </c>
      <c r="AM79" s="1094"/>
      <c r="AN79" s="1094"/>
      <c r="AO79" s="1094"/>
      <c r="AP79" s="1094"/>
      <c r="AQ79" s="1094"/>
      <c r="AR79" s="1094"/>
      <c r="AS79" s="1094"/>
      <c r="AT79" s="1094"/>
      <c r="AU79" s="1094"/>
      <c r="AV79" s="1094"/>
      <c r="AZ79" s="1088">
        <v>19</v>
      </c>
    </row>
    <row r="80" spans="1:52" s="1084" customFormat="1" ht="12" customHeight="1" x14ac:dyDescent="0.2">
      <c r="A80" s="1071" t="s">
        <v>115</v>
      </c>
      <c r="B80" s="1071" t="str">
        <f>Technologies!C127</f>
        <v>TMB20AH</v>
      </c>
      <c r="C80" s="1071" t="str">
        <f>Technologies!D127</f>
        <v>Medium Duty Truck, Advanced Hybrid B20</v>
      </c>
      <c r="D80" s="1071" t="s">
        <v>480</v>
      </c>
      <c r="E80" s="1071" t="str">
        <f>Commodities!C$63</f>
        <v>TMB20X</v>
      </c>
      <c r="F80" s="1071" t="str">
        <f>Commodities!C$11</f>
        <v>TM</v>
      </c>
      <c r="G80" s="1091">
        <v>1</v>
      </c>
      <c r="H80" s="1094">
        <f>Trucks!D102</f>
        <v>2015</v>
      </c>
      <c r="I80" s="1091">
        <f t="shared" si="57"/>
        <v>24</v>
      </c>
      <c r="J80" s="1091">
        <v>0.28000000000000003</v>
      </c>
      <c r="K80" s="1092"/>
      <c r="L80" s="1091"/>
      <c r="M80" s="1092">
        <f>Trucks!H102</f>
        <v>0.12041099136528984</v>
      </c>
      <c r="N80" s="1092">
        <f>M80</f>
        <v>0.12041099136528984</v>
      </c>
      <c r="O80" s="1092">
        <f>Trucks!H103</f>
        <v>0.1243915200054647</v>
      </c>
      <c r="P80" s="1092">
        <f>O80</f>
        <v>0.1243915200054647</v>
      </c>
      <c r="Q80" s="1092">
        <f>P80</f>
        <v>0.1243915200054647</v>
      </c>
      <c r="R80" s="1092">
        <f>Trucks!H104</f>
        <v>0.1243915200054647</v>
      </c>
      <c r="S80" s="1092">
        <f t="shared" si="68"/>
        <v>0.1243915200054647</v>
      </c>
      <c r="T80" s="1092">
        <f t="shared" si="68"/>
        <v>0.1243915200054647</v>
      </c>
      <c r="U80" s="1092">
        <f t="shared" si="68"/>
        <v>0.1243915200054647</v>
      </c>
      <c r="V80" s="1094"/>
      <c r="W80" s="1094">
        <f>Trucks!F102</f>
        <v>8334.222211770475</v>
      </c>
      <c r="X80" s="1094">
        <f>W80</f>
        <v>8334.222211770475</v>
      </c>
      <c r="Y80" s="1094">
        <f>Trucks!F103</f>
        <v>7963.0925908639483</v>
      </c>
      <c r="Z80" s="1094">
        <f>Y80</f>
        <v>7963.0925908639483</v>
      </c>
      <c r="AA80" s="1094">
        <f>Z80</f>
        <v>7963.0925908639483</v>
      </c>
      <c r="AB80" s="1094">
        <f>Trucks!F104</f>
        <v>7963.0925908639483</v>
      </c>
      <c r="AC80" s="1094">
        <f t="shared" si="69"/>
        <v>7963.0925908639483</v>
      </c>
      <c r="AD80" s="1094">
        <f t="shared" si="69"/>
        <v>7963.0925908639483</v>
      </c>
      <c r="AE80" s="1094">
        <f t="shared" si="69"/>
        <v>7963.0925908639483</v>
      </c>
      <c r="AF80" s="1094">
        <f>Trucks!G102</f>
        <v>125.89517857957398</v>
      </c>
      <c r="AG80" s="1093"/>
      <c r="AH80" s="1093"/>
      <c r="AI80" s="1093"/>
      <c r="AJ80" s="1093"/>
      <c r="AK80" s="1093"/>
      <c r="AL80" s="1094">
        <v>1</v>
      </c>
      <c r="AM80" s="1094"/>
      <c r="AN80" s="1094"/>
      <c r="AO80" s="1094"/>
      <c r="AP80" s="1094"/>
      <c r="AQ80" s="1094"/>
      <c r="AR80" s="1094"/>
      <c r="AS80" s="1094"/>
      <c r="AT80" s="1094"/>
      <c r="AU80" s="1094"/>
      <c r="AV80" s="1094"/>
      <c r="AZ80" s="1088">
        <v>19</v>
      </c>
    </row>
    <row r="81" spans="1:52" s="1084" customFormat="1" ht="12" customHeight="1" x14ac:dyDescent="0.2">
      <c r="A81" s="1071" t="str">
        <f>Technologies!B128</f>
        <v>R2,R3,R4,R5,R6</v>
      </c>
      <c r="B81" s="1071" t="str">
        <f>Technologies!C128</f>
        <v>TMCNGC10</v>
      </c>
      <c r="C81" s="1071" t="str">
        <f>Technologies!D128</f>
        <v>Medium Duty Truck, CNG, 2010</v>
      </c>
      <c r="D81" s="1071" t="s">
        <v>480</v>
      </c>
      <c r="E81" s="1071" t="str">
        <f>Commodities!C$57</f>
        <v>TMCNG</v>
      </c>
      <c r="F81" s="1071" t="str">
        <f>Commodities!C$11</f>
        <v>TM</v>
      </c>
      <c r="G81" s="1091">
        <v>1</v>
      </c>
      <c r="H81" s="1094">
        <v>2010</v>
      </c>
      <c r="I81" s="1091">
        <f t="shared" si="57"/>
        <v>24</v>
      </c>
      <c r="J81" s="1091">
        <v>0.18</v>
      </c>
      <c r="K81" s="1092">
        <f>Trucks!H105</f>
        <v>5.2445274618984843E-2</v>
      </c>
      <c r="L81" s="1091"/>
      <c r="M81" s="1092"/>
      <c r="N81" s="1092"/>
      <c r="O81" s="1092"/>
      <c r="P81" s="1092"/>
      <c r="Q81" s="1092"/>
      <c r="R81" s="1092"/>
      <c r="S81" s="1092"/>
      <c r="T81" s="1092"/>
      <c r="U81" s="1092"/>
      <c r="V81" s="1094">
        <f>Trucks!F105</f>
        <v>6575.7618337437334</v>
      </c>
      <c r="W81" s="1094"/>
      <c r="X81" s="1094"/>
      <c r="Y81" s="1094"/>
      <c r="Z81" s="1094"/>
      <c r="AA81" s="1094"/>
      <c r="AB81" s="1094"/>
      <c r="AC81" s="1094"/>
      <c r="AD81" s="1094"/>
      <c r="AE81" s="1094"/>
      <c r="AF81" s="1094">
        <f>Trucks!G105</f>
        <v>248.80470075014617</v>
      </c>
      <c r="AG81" s="1093">
        <v>0</v>
      </c>
      <c r="AH81" s="1093">
        <v>0</v>
      </c>
      <c r="AI81" s="1093">
        <v>0</v>
      </c>
      <c r="AJ81" s="1093">
        <v>0</v>
      </c>
      <c r="AK81" s="1093">
        <v>0</v>
      </c>
      <c r="AL81" s="1094">
        <v>1</v>
      </c>
      <c r="AM81" s="1094">
        <v>0</v>
      </c>
      <c r="AN81" s="1094"/>
      <c r="AO81" s="1094">
        <v>0</v>
      </c>
      <c r="AP81" s="1094">
        <v>0</v>
      </c>
      <c r="AQ81" s="1094">
        <v>0</v>
      </c>
      <c r="AR81" s="1094">
        <v>0</v>
      </c>
      <c r="AS81" s="1094">
        <v>0</v>
      </c>
      <c r="AT81" s="1094">
        <v>0</v>
      </c>
      <c r="AU81" s="1094">
        <v>0</v>
      </c>
      <c r="AV81" s="1094">
        <v>0</v>
      </c>
      <c r="AZ81" s="1088">
        <v>19</v>
      </c>
    </row>
    <row r="82" spans="1:52" s="1084" customFormat="1" ht="12" customHeight="1" x14ac:dyDescent="0.2">
      <c r="A82" s="1071" t="str">
        <f>Technologies!B129</f>
        <v>R2,R3,R4,R5,R6</v>
      </c>
      <c r="B82" s="1071" t="str">
        <f>Technologies!C129</f>
        <v>TMCNGC</v>
      </c>
      <c r="C82" s="1071" t="str">
        <f>Technologies!D129</f>
        <v>Medium Duty Truck, Conventional CNG</v>
      </c>
      <c r="D82" s="1071" t="s">
        <v>480</v>
      </c>
      <c r="E82" s="1071" t="str">
        <f>Commodities!C$57</f>
        <v>TMCNG</v>
      </c>
      <c r="F82" s="1071" t="str">
        <f>Commodities!C$11</f>
        <v>TM</v>
      </c>
      <c r="G82" s="1091">
        <v>1</v>
      </c>
      <c r="H82" s="1094">
        <v>2015</v>
      </c>
      <c r="I82" s="1091">
        <f t="shared" si="57"/>
        <v>24</v>
      </c>
      <c r="J82" s="1091">
        <v>0.18</v>
      </c>
      <c r="K82" s="1092"/>
      <c r="L82" s="1091"/>
      <c r="M82" s="1092">
        <f>Trucks!H106</f>
        <v>5.5163783702583222E-2</v>
      </c>
      <c r="N82" s="1092">
        <f>Trucks!H107</f>
        <v>6.0921619711943757E-2</v>
      </c>
      <c r="O82" s="1092">
        <f t="shared" ref="O82:U82" si="70">N82</f>
        <v>6.0921619711943757E-2</v>
      </c>
      <c r="P82" s="1092">
        <f t="shared" si="70"/>
        <v>6.0921619711943757E-2</v>
      </c>
      <c r="Q82" s="1092">
        <f t="shared" si="70"/>
        <v>6.0921619711943757E-2</v>
      </c>
      <c r="R82" s="1092">
        <f t="shared" si="70"/>
        <v>6.0921619711943757E-2</v>
      </c>
      <c r="S82" s="1092">
        <f t="shared" si="70"/>
        <v>6.0921619711943757E-2</v>
      </c>
      <c r="T82" s="1092">
        <f t="shared" si="70"/>
        <v>6.0921619711943757E-2</v>
      </c>
      <c r="U82" s="1092">
        <f t="shared" si="70"/>
        <v>6.0921619711943757E-2</v>
      </c>
      <c r="V82" s="1091"/>
      <c r="W82" s="1094">
        <f>Trucks!F106</f>
        <v>6601.4771713632026</v>
      </c>
      <c r="X82" s="1094">
        <f>Trucks!F107</f>
        <v>6684.8973731253309</v>
      </c>
      <c r="Y82" s="1094">
        <f t="shared" ref="Y82:AE82" si="71">X82</f>
        <v>6684.8973731253309</v>
      </c>
      <c r="Z82" s="1094">
        <f t="shared" si="71"/>
        <v>6684.8973731253309</v>
      </c>
      <c r="AA82" s="1094">
        <f t="shared" si="71"/>
        <v>6684.8973731253309</v>
      </c>
      <c r="AB82" s="1094">
        <f t="shared" si="71"/>
        <v>6684.8973731253309</v>
      </c>
      <c r="AC82" s="1094">
        <f t="shared" si="71"/>
        <v>6684.8973731253309</v>
      </c>
      <c r="AD82" s="1094">
        <f t="shared" si="71"/>
        <v>6684.8973731253309</v>
      </c>
      <c r="AE82" s="1094">
        <f t="shared" si="71"/>
        <v>6684.8973731253309</v>
      </c>
      <c r="AF82" s="1094">
        <f>Trucks!G106</f>
        <v>248.80470075014617</v>
      </c>
      <c r="AG82" s="1093">
        <v>0</v>
      </c>
      <c r="AH82" s="1093">
        <v>0</v>
      </c>
      <c r="AI82" s="1093">
        <v>0</v>
      </c>
      <c r="AJ82" s="1093">
        <v>0</v>
      </c>
      <c r="AK82" s="1093">
        <v>0</v>
      </c>
      <c r="AL82" s="1094">
        <v>1</v>
      </c>
      <c r="AM82" s="1094">
        <v>0</v>
      </c>
      <c r="AN82" s="1094">
        <v>0</v>
      </c>
      <c r="AO82" s="1094"/>
      <c r="AP82" s="1094"/>
      <c r="AQ82" s="1094"/>
      <c r="AR82" s="1094"/>
      <c r="AS82" s="1094"/>
      <c r="AT82" s="1094"/>
      <c r="AU82" s="1094"/>
      <c r="AV82" s="1094"/>
      <c r="AZ82" s="1088">
        <v>19</v>
      </c>
    </row>
    <row r="83" spans="1:52" s="1084" customFormat="1" ht="12" customHeight="1" x14ac:dyDescent="0.2">
      <c r="A83" s="1071" t="str">
        <f>Technologies!B130</f>
        <v>R2,R3,R4,R5,R6</v>
      </c>
      <c r="B83" s="1071" t="str">
        <f>Technologies!C130</f>
        <v>TMCNGIM</v>
      </c>
      <c r="C83" s="1071" t="str">
        <f>Technologies!D130</f>
        <v>Medium Duty Truck, Improved CNG</v>
      </c>
      <c r="D83" s="1071" t="s">
        <v>480</v>
      </c>
      <c r="E83" s="1071" t="str">
        <f>Commodities!C$57</f>
        <v>TMCNG</v>
      </c>
      <c r="F83" s="1071" t="str">
        <f>Commodities!C$11</f>
        <v>TM</v>
      </c>
      <c r="G83" s="1091">
        <v>1</v>
      </c>
      <c r="H83" s="1094">
        <v>2025</v>
      </c>
      <c r="I83" s="1091">
        <f t="shared" si="57"/>
        <v>24</v>
      </c>
      <c r="J83" s="1091">
        <v>0.24</v>
      </c>
      <c r="K83" s="1092">
        <f>Trucks!H108</f>
        <v>6.3820237057809537E-2</v>
      </c>
      <c r="L83" s="1092"/>
      <c r="M83" s="1092"/>
      <c r="N83" s="1092"/>
      <c r="O83" s="1091"/>
      <c r="P83" s="1092"/>
      <c r="Q83" s="1092"/>
      <c r="R83" s="1092"/>
      <c r="S83" s="1092"/>
      <c r="T83" s="1092"/>
      <c r="U83" s="1092"/>
      <c r="V83" s="1094"/>
      <c r="W83" s="1094"/>
      <c r="X83" s="1094"/>
      <c r="Y83" s="1094">
        <f>Trucks!F108</f>
        <v>7290.0402418233361</v>
      </c>
      <c r="Z83" s="1094">
        <f t="shared" ref="Z83:AE83" si="72">Y83</f>
        <v>7290.0402418233361</v>
      </c>
      <c r="AA83" s="1094">
        <f t="shared" si="72"/>
        <v>7290.0402418233361</v>
      </c>
      <c r="AB83" s="1094">
        <f t="shared" si="72"/>
        <v>7290.0402418233361</v>
      </c>
      <c r="AC83" s="1094">
        <f t="shared" si="72"/>
        <v>7290.0402418233361</v>
      </c>
      <c r="AD83" s="1094">
        <f t="shared" si="72"/>
        <v>7290.0402418233361</v>
      </c>
      <c r="AE83" s="1094">
        <f t="shared" si="72"/>
        <v>7290.0402418233361</v>
      </c>
      <c r="AF83" s="1094">
        <f>AF82</f>
        <v>248.80470075014617</v>
      </c>
      <c r="AG83" s="1093">
        <v>0</v>
      </c>
      <c r="AH83" s="1093">
        <v>0</v>
      </c>
      <c r="AI83" s="1093">
        <v>0</v>
      </c>
      <c r="AJ83" s="1093">
        <v>0</v>
      </c>
      <c r="AK83" s="1093">
        <v>0</v>
      </c>
      <c r="AL83" s="1094">
        <v>1</v>
      </c>
      <c r="AM83" s="1094">
        <v>0</v>
      </c>
      <c r="AN83" s="1094">
        <v>0</v>
      </c>
      <c r="AO83" s="1094"/>
      <c r="AP83" s="1094"/>
      <c r="AQ83" s="1094"/>
      <c r="AR83" s="1094"/>
      <c r="AS83" s="1094"/>
      <c r="AT83" s="1094"/>
      <c r="AU83" s="1094"/>
      <c r="AV83" s="1094"/>
      <c r="AZ83" s="1088">
        <v>19</v>
      </c>
    </row>
    <row r="84" spans="1:52" s="1084" customFormat="1" ht="12" customHeight="1" x14ac:dyDescent="0.2">
      <c r="A84" s="1071" t="str">
        <f>Technologies!B131</f>
        <v>R2,R3,R4,R5,R6</v>
      </c>
      <c r="B84" s="1071" t="str">
        <f>Technologies!C131</f>
        <v>TMCNGAH</v>
      </c>
      <c r="C84" s="1071" t="str">
        <f>Technologies!D131</f>
        <v>Medium Duty Truck, Advanced Hybrid CNG</v>
      </c>
      <c r="D84" s="1071" t="s">
        <v>480</v>
      </c>
      <c r="E84" s="1071" t="str">
        <f>Commodities!C$57</f>
        <v>TMCNG</v>
      </c>
      <c r="F84" s="1071" t="str">
        <f>Commodities!C$11</f>
        <v>TM</v>
      </c>
      <c r="G84" s="1091">
        <v>1</v>
      </c>
      <c r="H84" s="1094">
        <f>Trucks!D109</f>
        <v>2015</v>
      </c>
      <c r="I84" s="1091">
        <f t="shared" si="57"/>
        <v>24</v>
      </c>
      <c r="J84" s="1091">
        <v>0.28000000000000003</v>
      </c>
      <c r="K84" s="1092"/>
      <c r="L84" s="1092"/>
      <c r="M84" s="1092">
        <f>Trucks!H109</f>
        <v>6.644759114877466E-2</v>
      </c>
      <c r="N84" s="1092">
        <f>M84</f>
        <v>6.644759114877466E-2</v>
      </c>
      <c r="O84" s="1092">
        <f>Trucks!H110</f>
        <v>8.3923482870590704E-2</v>
      </c>
      <c r="P84" s="1092">
        <f>O84</f>
        <v>8.3923482870590704E-2</v>
      </c>
      <c r="Q84" s="1092">
        <f>P84</f>
        <v>8.3923482870590704E-2</v>
      </c>
      <c r="R84" s="1092">
        <f>Trucks!H111</f>
        <v>9.0561009715803234E-2</v>
      </c>
      <c r="S84" s="1092">
        <f>R84</f>
        <v>9.0561009715803234E-2</v>
      </c>
      <c r="T84" s="1092">
        <f>S84</f>
        <v>9.0561009715803234E-2</v>
      </c>
      <c r="U84" s="1092">
        <f>T84</f>
        <v>9.0561009715803234E-2</v>
      </c>
      <c r="V84" s="1094"/>
      <c r="W84" s="1094">
        <f>Trucks!F109</f>
        <v>7843.9564450542357</v>
      </c>
      <c r="X84" s="1094">
        <f>W84</f>
        <v>7843.9564450542357</v>
      </c>
      <c r="Y84" s="1094">
        <f>Trucks!F110</f>
        <v>8162.9154191660937</v>
      </c>
      <c r="Z84" s="1094">
        <f>Y84</f>
        <v>8162.9154191660937</v>
      </c>
      <c r="AA84" s="1094">
        <f>Z84</f>
        <v>8162.9154191660937</v>
      </c>
      <c r="AB84" s="1094">
        <f>Trucks!F111</f>
        <v>8697.8236542406285</v>
      </c>
      <c r="AC84" s="1094">
        <f>AB84</f>
        <v>8697.8236542406285</v>
      </c>
      <c r="AD84" s="1094">
        <f>AC84</f>
        <v>8697.8236542406285</v>
      </c>
      <c r="AE84" s="1094">
        <f>AD84</f>
        <v>8697.8236542406285</v>
      </c>
      <c r="AF84" s="1094">
        <f>Trucks!G109</f>
        <v>237.85729391713974</v>
      </c>
      <c r="AG84" s="1093">
        <v>0</v>
      </c>
      <c r="AH84" s="1093">
        <v>0</v>
      </c>
      <c r="AI84" s="1093">
        <v>0</v>
      </c>
      <c r="AJ84" s="1093">
        <v>0</v>
      </c>
      <c r="AK84" s="1093">
        <v>0</v>
      </c>
      <c r="AL84" s="1094">
        <v>1</v>
      </c>
      <c r="AM84" s="1094">
        <v>0</v>
      </c>
      <c r="AN84" s="1094">
        <v>0</v>
      </c>
      <c r="AO84" s="1094"/>
      <c r="AP84" s="1094"/>
      <c r="AQ84" s="1094"/>
      <c r="AR84" s="1094"/>
      <c r="AS84" s="1094"/>
      <c r="AT84" s="1094"/>
      <c r="AU84" s="1094"/>
      <c r="AV84" s="1094"/>
      <c r="AZ84" s="1088">
        <v>19</v>
      </c>
    </row>
    <row r="85" spans="1:52" s="1084" customFormat="1" ht="12" customHeight="1" x14ac:dyDescent="0.2">
      <c r="A85" s="1071" t="s">
        <v>115</v>
      </c>
      <c r="B85" s="1071" t="str">
        <f>Technologies!C132</f>
        <v>TMLPGC10</v>
      </c>
      <c r="C85" s="1071" t="str">
        <f>Technologies!D132</f>
        <v>Medium Duty Truck, LPG, 2010</v>
      </c>
      <c r="D85" s="1071" t="s">
        <v>480</v>
      </c>
      <c r="E85" s="1071" t="str">
        <f>Commodities!C29</f>
        <v>TRNLPG1</v>
      </c>
      <c r="F85" s="1071" t="str">
        <f>Commodities!C$11</f>
        <v>TM</v>
      </c>
      <c r="G85" s="1091">
        <v>1</v>
      </c>
      <c r="H85" s="1094">
        <v>2010</v>
      </c>
      <c r="I85" s="1091">
        <f t="shared" si="57"/>
        <v>24</v>
      </c>
      <c r="J85" s="1091">
        <v>0.18</v>
      </c>
      <c r="K85" s="1092">
        <f>Trucks!H112</f>
        <v>6.7978151294823944E-2</v>
      </c>
      <c r="L85" s="1092"/>
      <c r="M85" s="1092"/>
      <c r="N85" s="1092"/>
      <c r="O85" s="1092"/>
      <c r="P85" s="1092"/>
      <c r="Q85" s="1092"/>
      <c r="R85" s="1092"/>
      <c r="S85" s="1092"/>
      <c r="T85" s="1092"/>
      <c r="U85" s="1092"/>
      <c r="V85" s="1094">
        <f>Trucks!F112</f>
        <v>6193.9826155170922</v>
      </c>
      <c r="W85" s="1094"/>
      <c r="X85" s="1094"/>
      <c r="Y85" s="1094"/>
      <c r="Z85" s="1094"/>
      <c r="AA85" s="1094"/>
      <c r="AB85" s="1094"/>
      <c r="AC85" s="1094"/>
      <c r="AD85" s="1094"/>
      <c r="AE85" s="1094"/>
      <c r="AF85" s="1094">
        <f>Trucks!G112</f>
        <v>248.80470075014617</v>
      </c>
      <c r="AG85" s="1093"/>
      <c r="AH85" s="1093"/>
      <c r="AI85" s="1093"/>
      <c r="AJ85" s="1093"/>
      <c r="AK85" s="1093"/>
      <c r="AL85" s="1094">
        <v>1</v>
      </c>
      <c r="AM85" s="1094"/>
      <c r="AN85" s="1094">
        <v>0</v>
      </c>
      <c r="AO85" s="1094">
        <v>0</v>
      </c>
      <c r="AP85" s="1094">
        <v>0</v>
      </c>
      <c r="AQ85" s="1094">
        <v>0</v>
      </c>
      <c r="AR85" s="1094">
        <v>0</v>
      </c>
      <c r="AS85" s="1094">
        <v>0</v>
      </c>
      <c r="AT85" s="1094">
        <v>0</v>
      </c>
      <c r="AU85" s="1094">
        <v>0</v>
      </c>
      <c r="AV85" s="1094">
        <v>0</v>
      </c>
      <c r="AZ85" s="1088">
        <v>19</v>
      </c>
    </row>
    <row r="86" spans="1:52" s="1084" customFormat="1" ht="12" customHeight="1" x14ac:dyDescent="0.2">
      <c r="A86" s="1071" t="s">
        <v>115</v>
      </c>
      <c r="B86" s="1071" t="str">
        <f>Technologies!C133</f>
        <v>TMLPGC</v>
      </c>
      <c r="C86" s="1071" t="str">
        <f>Technologies!D133</f>
        <v>Medium Duty Truck, Conventional LPG</v>
      </c>
      <c r="D86" s="1071" t="s">
        <v>480</v>
      </c>
      <c r="E86" s="1071" t="str">
        <f>Commodities!C29</f>
        <v>TRNLPG1</v>
      </c>
      <c r="F86" s="1071" t="str">
        <f>Commodities!C$11</f>
        <v>TM</v>
      </c>
      <c r="G86" s="1091">
        <v>1</v>
      </c>
      <c r="H86" s="1094">
        <v>2015</v>
      </c>
      <c r="I86" s="1091">
        <f t="shared" si="57"/>
        <v>24</v>
      </c>
      <c r="J86" s="1091">
        <v>0.18</v>
      </c>
      <c r="K86" s="1092"/>
      <c r="L86" s="1091"/>
      <c r="M86" s="1092">
        <f>Trucks!H113</f>
        <v>7.1501809491368279E-2</v>
      </c>
      <c r="N86" s="1092">
        <f>Trucks!H114</f>
        <v>7.8964961323800653E-2</v>
      </c>
      <c r="O86" s="1092">
        <f t="shared" ref="O86:U86" si="73">N86</f>
        <v>7.8964961323800653E-2</v>
      </c>
      <c r="P86" s="1092">
        <f t="shared" si="73"/>
        <v>7.8964961323800653E-2</v>
      </c>
      <c r="Q86" s="1092">
        <f t="shared" si="73"/>
        <v>7.8964961323800653E-2</v>
      </c>
      <c r="R86" s="1092">
        <f t="shared" si="73"/>
        <v>7.8964961323800653E-2</v>
      </c>
      <c r="S86" s="1092">
        <f t="shared" si="73"/>
        <v>7.8964961323800653E-2</v>
      </c>
      <c r="T86" s="1092">
        <f t="shared" si="73"/>
        <v>7.8964961323800653E-2</v>
      </c>
      <c r="U86" s="1092">
        <f t="shared" si="73"/>
        <v>7.8964961323800653E-2</v>
      </c>
      <c r="V86" s="1091"/>
      <c r="W86" s="1094">
        <f>Trucks!F113</f>
        <v>6218.2049578394353</v>
      </c>
      <c r="X86" s="1094">
        <f>Trucks!F114</f>
        <v>6296.7819033799624</v>
      </c>
      <c r="Y86" s="1094">
        <f t="shared" ref="Y86:AE86" si="74">X86</f>
        <v>6296.7819033799624</v>
      </c>
      <c r="Z86" s="1094">
        <f t="shared" si="74"/>
        <v>6296.7819033799624</v>
      </c>
      <c r="AA86" s="1094">
        <f t="shared" si="74"/>
        <v>6296.7819033799624</v>
      </c>
      <c r="AB86" s="1094">
        <f t="shared" si="74"/>
        <v>6296.7819033799624</v>
      </c>
      <c r="AC86" s="1094">
        <f t="shared" si="74"/>
        <v>6296.7819033799624</v>
      </c>
      <c r="AD86" s="1094">
        <f t="shared" si="74"/>
        <v>6296.7819033799624</v>
      </c>
      <c r="AE86" s="1094">
        <f t="shared" si="74"/>
        <v>6296.7819033799624</v>
      </c>
      <c r="AF86" s="1094">
        <f>Trucks!G113</f>
        <v>248.80470075014617</v>
      </c>
      <c r="AG86" s="1093"/>
      <c r="AH86" s="1093"/>
      <c r="AI86" s="1093"/>
      <c r="AJ86" s="1093"/>
      <c r="AK86" s="1093"/>
      <c r="AL86" s="1094">
        <v>1</v>
      </c>
      <c r="AM86" s="1094"/>
      <c r="AN86" s="1094"/>
      <c r="AO86" s="1094"/>
      <c r="AP86" s="1094"/>
      <c r="AQ86" s="1094"/>
      <c r="AR86" s="1094"/>
      <c r="AS86" s="1094"/>
      <c r="AT86" s="1094"/>
      <c r="AU86" s="1094"/>
      <c r="AV86" s="1094"/>
      <c r="AZ86" s="1088">
        <v>19</v>
      </c>
    </row>
    <row r="87" spans="1:52" s="1084" customFormat="1" ht="12" customHeight="1" x14ac:dyDescent="0.2">
      <c r="A87" s="1071" t="s">
        <v>115</v>
      </c>
      <c r="B87" s="1071" t="str">
        <f>Technologies!C134</f>
        <v>TMLPGIM</v>
      </c>
      <c r="C87" s="1071" t="str">
        <f>Technologies!D134</f>
        <v>Medium Duty Truck, Improved LPG</v>
      </c>
      <c r="D87" s="1071" t="s">
        <v>480</v>
      </c>
      <c r="E87" s="1071" t="str">
        <f>Commodities!C29</f>
        <v>TRNLPG1</v>
      </c>
      <c r="F87" s="1071" t="str">
        <f>Commodities!C$11</f>
        <v>TM</v>
      </c>
      <c r="G87" s="1091">
        <v>1</v>
      </c>
      <c r="H87" s="1094">
        <v>2025</v>
      </c>
      <c r="I87" s="1091">
        <f t="shared" si="57"/>
        <v>24</v>
      </c>
      <c r="J87" s="1091">
        <v>0.24</v>
      </c>
      <c r="K87" s="1092">
        <f>Trucks!H115</f>
        <v>8.2722070995064262E-2</v>
      </c>
      <c r="L87" s="1092"/>
      <c r="M87" s="1092"/>
      <c r="N87" s="1092"/>
      <c r="O87" s="1091"/>
      <c r="P87" s="1092"/>
      <c r="Q87" s="1092"/>
      <c r="R87" s="1092"/>
      <c r="S87" s="1092"/>
      <c r="T87" s="1092"/>
      <c r="U87" s="1092"/>
      <c r="V87" s="1091"/>
      <c r="W87" s="1094"/>
      <c r="X87" s="1094"/>
      <c r="Y87" s="1094">
        <f>Trucks!F115</f>
        <v>6866.7910526446676</v>
      </c>
      <c r="Z87" s="1094">
        <f t="shared" ref="Z87:AE87" si="75">Y87</f>
        <v>6866.7910526446676</v>
      </c>
      <c r="AA87" s="1094">
        <f t="shared" si="75"/>
        <v>6866.7910526446676</v>
      </c>
      <c r="AB87" s="1094">
        <f t="shared" si="75"/>
        <v>6866.7910526446676</v>
      </c>
      <c r="AC87" s="1094">
        <f t="shared" si="75"/>
        <v>6866.7910526446676</v>
      </c>
      <c r="AD87" s="1094">
        <f t="shared" si="75"/>
        <v>6866.7910526446676</v>
      </c>
      <c r="AE87" s="1094">
        <f t="shared" si="75"/>
        <v>6866.7910526446676</v>
      </c>
      <c r="AF87" s="1094">
        <f>AF86</f>
        <v>248.80470075014617</v>
      </c>
      <c r="AG87" s="1093"/>
      <c r="AH87" s="1093"/>
      <c r="AI87" s="1093"/>
      <c r="AJ87" s="1093"/>
      <c r="AK87" s="1093"/>
      <c r="AL87" s="1094">
        <v>1</v>
      </c>
      <c r="AM87" s="1094"/>
      <c r="AN87" s="1094"/>
      <c r="AO87" s="1094"/>
      <c r="AP87" s="1094"/>
      <c r="AQ87" s="1094"/>
      <c r="AR87" s="1094"/>
      <c r="AS87" s="1094"/>
      <c r="AT87" s="1094"/>
      <c r="AU87" s="1094"/>
      <c r="AV87" s="1094"/>
      <c r="AZ87" s="1088">
        <v>19</v>
      </c>
    </row>
    <row r="88" spans="1:52" s="1084" customFormat="1" ht="12" customHeight="1" x14ac:dyDescent="0.2">
      <c r="A88" s="1071" t="s">
        <v>115</v>
      </c>
      <c r="B88" s="1071" t="str">
        <f>Technologies!C135</f>
        <v>TMLPGAH</v>
      </c>
      <c r="C88" s="1071" t="str">
        <f>Technologies!D135</f>
        <v>Medium Duty Truck, Advanced Hybrid LPG</v>
      </c>
      <c r="D88" s="1071" t="s">
        <v>480</v>
      </c>
      <c r="E88" s="1071" t="str">
        <f>Commodities!C29</f>
        <v>TRNLPG1</v>
      </c>
      <c r="F88" s="1071" t="str">
        <f>Commodities!C$11</f>
        <v>TM</v>
      </c>
      <c r="G88" s="1091">
        <v>1</v>
      </c>
      <c r="H88" s="1094">
        <f>Trucks!D116</f>
        <v>2015</v>
      </c>
      <c r="I88" s="1091">
        <f t="shared" si="57"/>
        <v>24</v>
      </c>
      <c r="J88" s="1091">
        <v>0.28000000000000003</v>
      </c>
      <c r="K88" s="1092"/>
      <c r="L88" s="1092"/>
      <c r="M88" s="1092">
        <f>Trucks!H116</f>
        <v>8.6127576547247009E-2</v>
      </c>
      <c r="N88" s="1092">
        <f>M88</f>
        <v>8.6127576547247009E-2</v>
      </c>
      <c r="O88" s="1092">
        <f>Trucks!H117</f>
        <v>0.10877935633309516</v>
      </c>
      <c r="P88" s="1092">
        <f>O88</f>
        <v>0.10877935633309516</v>
      </c>
      <c r="Q88" s="1092">
        <f>P88</f>
        <v>0.10877935633309516</v>
      </c>
      <c r="R88" s="1092">
        <f>Trucks!H118</f>
        <v>0.1173827397148265</v>
      </c>
      <c r="S88" s="1092">
        <f>R88</f>
        <v>0.1173827397148265</v>
      </c>
      <c r="T88" s="1092">
        <f>S88</f>
        <v>0.1173827397148265</v>
      </c>
      <c r="U88" s="1092">
        <f>T88</f>
        <v>0.1173827397148265</v>
      </c>
      <c r="V88" s="1091"/>
      <c r="W88" s="1094">
        <f>Trucks!F116</f>
        <v>6997.7891799037952</v>
      </c>
      <c r="X88" s="1094">
        <f>W88</f>
        <v>6997.7891799037952</v>
      </c>
      <c r="Y88" s="1094">
        <f>Trucks!F117</f>
        <v>7316.7481540156523</v>
      </c>
      <c r="Z88" s="1094">
        <f>Y88</f>
        <v>7316.7481540156523</v>
      </c>
      <c r="AA88" s="1094">
        <f>Z88</f>
        <v>7316.7481540156523</v>
      </c>
      <c r="AB88" s="1094">
        <f>Trucks!F118</f>
        <v>7851.6563890901871</v>
      </c>
      <c r="AC88" s="1094">
        <f>AB88</f>
        <v>7851.6563890901871</v>
      </c>
      <c r="AD88" s="1094">
        <f>AC88</f>
        <v>7851.6563890901871</v>
      </c>
      <c r="AE88" s="1094">
        <f>AD88</f>
        <v>7851.6563890901871</v>
      </c>
      <c r="AF88" s="1094">
        <f>Trucks!G116</f>
        <v>237.85729391713974</v>
      </c>
      <c r="AG88" s="1093"/>
      <c r="AH88" s="1093"/>
      <c r="AI88" s="1093"/>
      <c r="AJ88" s="1093"/>
      <c r="AK88" s="1093"/>
      <c r="AL88" s="1094">
        <v>1</v>
      </c>
      <c r="AM88" s="1094"/>
      <c r="AN88" s="1094"/>
      <c r="AO88" s="1094"/>
      <c r="AP88" s="1094"/>
      <c r="AQ88" s="1094"/>
      <c r="AR88" s="1094"/>
      <c r="AS88" s="1094"/>
      <c r="AT88" s="1094"/>
      <c r="AU88" s="1094"/>
      <c r="AV88" s="1094"/>
      <c r="AZ88" s="1088">
        <v>19</v>
      </c>
    </row>
    <row r="89" spans="1:52" s="1084" customFormat="1" ht="12" customHeight="1" x14ac:dyDescent="0.2">
      <c r="A89" s="1098" t="s">
        <v>484</v>
      </c>
      <c r="B89" s="1073"/>
      <c r="C89" s="1073"/>
      <c r="D89" s="1073"/>
      <c r="E89" s="1073"/>
      <c r="F89" s="1073"/>
      <c r="G89" s="1099"/>
      <c r="H89" s="1100"/>
      <c r="I89" s="1100"/>
      <c r="J89" s="1100"/>
      <c r="K89" s="1100"/>
      <c r="L89" s="1100"/>
      <c r="M89" s="1100"/>
      <c r="N89" s="1100"/>
      <c r="O89" s="1100"/>
      <c r="P89" s="1100"/>
      <c r="Q89" s="1100"/>
      <c r="R89" s="1100"/>
      <c r="S89" s="1100"/>
      <c r="T89" s="1100"/>
      <c r="U89" s="1100"/>
      <c r="V89" s="1100"/>
      <c r="W89" s="1100"/>
      <c r="X89" s="1100"/>
      <c r="Y89" s="1100"/>
      <c r="Z89" s="1100"/>
      <c r="AA89" s="1100"/>
      <c r="AB89" s="1100"/>
      <c r="AC89" s="1100"/>
      <c r="AD89" s="1100"/>
      <c r="AE89" s="1100"/>
      <c r="AF89" s="1100"/>
      <c r="AG89" s="1100"/>
      <c r="AH89" s="1100"/>
      <c r="AI89" s="1100"/>
      <c r="AJ89" s="1100"/>
      <c r="AK89" s="1100"/>
      <c r="AL89" s="1100"/>
      <c r="AM89" s="1101"/>
      <c r="AN89" s="1101"/>
      <c r="AO89" s="1101"/>
      <c r="AP89" s="1101"/>
      <c r="AQ89" s="1101"/>
      <c r="AR89" s="1101"/>
      <c r="AS89" s="1101"/>
      <c r="AT89" s="1101"/>
      <c r="AU89" s="1101"/>
      <c r="AV89" s="1101"/>
      <c r="AZ89" s="1088"/>
    </row>
    <row r="90" spans="1:52" s="1084" customFormat="1" ht="12" customHeight="1" x14ac:dyDescent="0.2">
      <c r="A90" s="1071" t="s">
        <v>115</v>
      </c>
      <c r="B90" s="1071" t="str">
        <f>Technologies!C150</f>
        <v>THSGSL102</v>
      </c>
      <c r="C90" s="1071" t="str">
        <f>Technologies!D150</f>
        <v>Heavy Truck, Short Haul, Gasoline, 2010</v>
      </c>
      <c r="D90" s="1071" t="s">
        <v>480</v>
      </c>
      <c r="E90" s="1071" t="str">
        <f>Commodities!$C$46</f>
        <v>TWDSL</v>
      </c>
      <c r="F90" s="1071" t="str">
        <f>Commodities!$C$16</f>
        <v>TSW</v>
      </c>
      <c r="G90" s="1091">
        <v>1</v>
      </c>
      <c r="H90" s="1094">
        <v>2010</v>
      </c>
      <c r="I90" s="1091">
        <v>24</v>
      </c>
      <c r="J90" s="1091">
        <v>0.18</v>
      </c>
      <c r="K90" s="1092">
        <v>3.8084190611818572E-2</v>
      </c>
      <c r="L90" s="1092"/>
      <c r="M90" s="1092"/>
      <c r="N90" s="1092"/>
      <c r="O90" s="1092"/>
      <c r="P90" s="1092"/>
      <c r="Q90" s="1092"/>
      <c r="R90" s="1092"/>
      <c r="S90" s="1092"/>
      <c r="T90" s="1092"/>
      <c r="U90" s="1092"/>
      <c r="V90" s="1091">
        <v>4265.2942523255333</v>
      </c>
      <c r="W90" s="1094">
        <v>4265.2942523255333</v>
      </c>
      <c r="X90" s="1094">
        <v>4265.2942523255333</v>
      </c>
      <c r="Y90" s="1094">
        <v>4265.2942523255333</v>
      </c>
      <c r="Z90" s="1094">
        <v>4265.2942523255333</v>
      </c>
      <c r="AA90" s="1094">
        <v>4265.2942523255333</v>
      </c>
      <c r="AB90" s="1094">
        <v>4265.2942523255333</v>
      </c>
      <c r="AC90" s="1094">
        <v>4265.2942523255333</v>
      </c>
      <c r="AD90" s="1094">
        <v>4265.2942523255333</v>
      </c>
      <c r="AE90" s="1094">
        <v>4265.2942523255333</v>
      </c>
      <c r="AF90" s="1094">
        <v>301.42015264225682</v>
      </c>
      <c r="AG90" s="1093"/>
      <c r="AH90" s="1093"/>
      <c r="AI90" s="1093"/>
      <c r="AJ90" s="1093"/>
      <c r="AK90" s="1093"/>
      <c r="AL90" s="1094">
        <v>1</v>
      </c>
      <c r="AM90" s="1094">
        <v>0</v>
      </c>
      <c r="AN90" s="1094">
        <v>0</v>
      </c>
      <c r="AO90" s="1094"/>
      <c r="AP90" s="1094"/>
      <c r="AQ90" s="1094"/>
      <c r="AR90" s="1094"/>
      <c r="AS90" s="1094"/>
      <c r="AT90" s="1094"/>
      <c r="AU90" s="1094"/>
      <c r="AV90" s="1094"/>
      <c r="AZ90" s="1088">
        <v>19</v>
      </c>
    </row>
    <row r="91" spans="1:52" s="1084" customFormat="1" ht="12" customHeight="1" x14ac:dyDescent="0.2">
      <c r="A91" s="1071" t="s">
        <v>115</v>
      </c>
      <c r="B91" s="1071" t="str">
        <f>Technologies!C151</f>
        <v>THSDSLC102</v>
      </c>
      <c r="C91" s="1071" t="str">
        <f>Technologies!D151</f>
        <v>Heavy Truck, Short Haul, Conventional Diesel 2010</v>
      </c>
      <c r="D91" s="1071" t="s">
        <v>480</v>
      </c>
      <c r="E91" s="1071" t="str">
        <f>Commodities!$C$46</f>
        <v>TWDSL</v>
      </c>
      <c r="F91" s="1071" t="str">
        <f>Commodities!$C$16</f>
        <v>TSW</v>
      </c>
      <c r="G91" s="1091">
        <v>1</v>
      </c>
      <c r="H91" s="1094">
        <v>2010</v>
      </c>
      <c r="I91" s="1091">
        <v>24</v>
      </c>
      <c r="J91" s="1091">
        <v>0.18</v>
      </c>
      <c r="K91" s="1092">
        <v>4.0092266116805372E-2</v>
      </c>
      <c r="L91" s="1092"/>
      <c r="M91" s="1092"/>
      <c r="N91" s="1092"/>
      <c r="O91" s="1092"/>
      <c r="P91" s="1092"/>
      <c r="Q91" s="1092"/>
      <c r="R91" s="1092"/>
      <c r="S91" s="1092"/>
      <c r="T91" s="1092"/>
      <c r="U91" s="1092"/>
      <c r="V91" s="1091">
        <v>4606.0861228089634</v>
      </c>
      <c r="W91" s="1094"/>
      <c r="X91" s="1094"/>
      <c r="Y91" s="1094"/>
      <c r="Z91" s="1094"/>
      <c r="AA91" s="1094"/>
      <c r="AB91" s="1094"/>
      <c r="AC91" s="1094"/>
      <c r="AD91" s="1094"/>
      <c r="AE91" s="1094"/>
      <c r="AF91" s="1094">
        <v>165.78108395324125</v>
      </c>
      <c r="AG91" s="1093"/>
      <c r="AH91" s="1093"/>
      <c r="AI91" s="1093"/>
      <c r="AJ91" s="1093"/>
      <c r="AK91" s="1093"/>
      <c r="AL91" s="1094">
        <v>1</v>
      </c>
      <c r="AM91" s="1094">
        <v>0</v>
      </c>
      <c r="AN91" s="1094">
        <v>0</v>
      </c>
      <c r="AO91" s="1094"/>
      <c r="AP91" s="1094"/>
      <c r="AQ91" s="1094"/>
      <c r="AR91" s="1094"/>
      <c r="AS91" s="1094">
        <v>0</v>
      </c>
      <c r="AT91" s="1094">
        <v>0</v>
      </c>
      <c r="AU91" s="1094">
        <v>0</v>
      </c>
      <c r="AV91" s="1094">
        <v>0</v>
      </c>
      <c r="AZ91" s="1088">
        <v>19</v>
      </c>
    </row>
    <row r="92" spans="1:52" s="1084" customFormat="1" ht="12" customHeight="1" x14ac:dyDescent="0.2">
      <c r="A92" s="1071" t="s">
        <v>115</v>
      </c>
      <c r="B92" s="1071" t="str">
        <f>Technologies!C152</f>
        <v>THSDSLC2</v>
      </c>
      <c r="C92" s="1071" t="str">
        <f>Technologies!D152</f>
        <v>Heavy Truck, Short Haul, Conv. Diesel</v>
      </c>
      <c r="D92" s="1071" t="s">
        <v>480</v>
      </c>
      <c r="E92" s="1071" t="str">
        <f>Commodities!$C$46</f>
        <v>TWDSL</v>
      </c>
      <c r="F92" s="1071" t="str">
        <f>Commodities!$C$16</f>
        <v>TSW</v>
      </c>
      <c r="G92" s="1091">
        <v>1</v>
      </c>
      <c r="H92" s="1094">
        <v>2015</v>
      </c>
      <c r="I92" s="1091">
        <v>24</v>
      </c>
      <c r="J92" s="1091">
        <v>0.18</v>
      </c>
      <c r="K92" s="1092"/>
      <c r="L92" s="1092"/>
      <c r="M92" s="1092">
        <v>4.3863447518935846E-2</v>
      </c>
      <c r="N92" s="1092">
        <v>4.3863447518935846E-2</v>
      </c>
      <c r="O92" s="1092">
        <v>4.3863447518935846E-2</v>
      </c>
      <c r="P92" s="1092">
        <v>4.3863447518935846E-2</v>
      </c>
      <c r="Q92" s="1092">
        <v>4.3863447518935846E-2</v>
      </c>
      <c r="R92" s="1092">
        <v>4.3863447518935846E-2</v>
      </c>
      <c r="S92" s="1092">
        <v>4.3863447518935846E-2</v>
      </c>
      <c r="T92" s="1092">
        <v>4.3863447518935846E-2</v>
      </c>
      <c r="U92" s="1092">
        <v>4.3863447518935846E-2</v>
      </c>
      <c r="V92" s="1091"/>
      <c r="W92" s="1094">
        <v>4701.3380799369525</v>
      </c>
      <c r="X92" s="1094">
        <v>4701.3380799369525</v>
      </c>
      <c r="Y92" s="1094">
        <v>4701.3380799369525</v>
      </c>
      <c r="Z92" s="1094">
        <v>4701.3380799369525</v>
      </c>
      <c r="AA92" s="1094">
        <v>4701.3380799369525</v>
      </c>
      <c r="AB92" s="1094">
        <v>4701.3380799369525</v>
      </c>
      <c r="AC92" s="1094">
        <v>4701.3380799369525</v>
      </c>
      <c r="AD92" s="1094">
        <v>4701.3380799369525</v>
      </c>
      <c r="AE92" s="1094">
        <v>4701.3380799369525</v>
      </c>
      <c r="AF92" s="1094">
        <v>165.78108395324125</v>
      </c>
      <c r="AG92" s="1093"/>
      <c r="AH92" s="1093"/>
      <c r="AI92" s="1093"/>
      <c r="AJ92" s="1093"/>
      <c r="AK92" s="1093"/>
      <c r="AL92" s="1094">
        <v>1</v>
      </c>
      <c r="AM92" s="1094">
        <v>0</v>
      </c>
      <c r="AN92" s="1094">
        <v>0</v>
      </c>
      <c r="AO92" s="1094"/>
      <c r="AP92" s="1094"/>
      <c r="AQ92" s="1094"/>
      <c r="AR92" s="1094"/>
      <c r="AS92" s="1094"/>
      <c r="AT92" s="1094"/>
      <c r="AU92" s="1094"/>
      <c r="AV92" s="1094"/>
      <c r="AZ92" s="1088">
        <v>19</v>
      </c>
    </row>
    <row r="93" spans="1:52" s="1084" customFormat="1" ht="12" customHeight="1" x14ac:dyDescent="0.2">
      <c r="A93" s="1071" t="s">
        <v>115</v>
      </c>
      <c r="B93" s="1071" t="str">
        <f>Technologies!C153</f>
        <v>THSDSLIM2</v>
      </c>
      <c r="C93" s="1071" t="str">
        <f>Technologies!D153</f>
        <v>Heavy Truck, Short Haul, Improved Diesel</v>
      </c>
      <c r="D93" s="1071" t="s">
        <v>480</v>
      </c>
      <c r="E93" s="1071" t="str">
        <f>Commodities!$C$46</f>
        <v>TWDSL</v>
      </c>
      <c r="F93" s="1071" t="str">
        <f>Commodities!$C$16</f>
        <v>TSW</v>
      </c>
      <c r="G93" s="1091">
        <v>1</v>
      </c>
      <c r="H93" s="1094">
        <v>2025</v>
      </c>
      <c r="I93" s="1091">
        <v>24</v>
      </c>
      <c r="J93" s="1091">
        <v>0.24</v>
      </c>
      <c r="K93" s="1092"/>
      <c r="L93" s="1092"/>
      <c r="M93" s="1092"/>
      <c r="N93" s="1092"/>
      <c r="O93" s="1092">
        <v>4.5383924166125855E-2</v>
      </c>
      <c r="P93" s="1092">
        <v>4.5383924166125855E-2</v>
      </c>
      <c r="Q93" s="1092">
        <v>4.5383924166125855E-2</v>
      </c>
      <c r="R93" s="1092">
        <v>4.6305425164422827E-2</v>
      </c>
      <c r="S93" s="1092">
        <v>4.6305425164422827E-2</v>
      </c>
      <c r="T93" s="1092">
        <v>4.6305425164422827E-2</v>
      </c>
      <c r="U93" s="1092">
        <v>4.6305425164422827E-2</v>
      </c>
      <c r="V93" s="1091"/>
      <c r="W93" s="1094"/>
      <c r="X93" s="1094"/>
      <c r="Y93" s="1094">
        <v>4729.3691781178795</v>
      </c>
      <c r="Z93" s="1094">
        <v>4729.3691781178795</v>
      </c>
      <c r="AA93" s="1094">
        <v>4729.3691781178795</v>
      </c>
      <c r="AB93" s="1094">
        <v>4767.6178468587577</v>
      </c>
      <c r="AC93" s="1094">
        <v>4767.6178468587577</v>
      </c>
      <c r="AD93" s="1094">
        <v>4767.6178468587577</v>
      </c>
      <c r="AE93" s="1094">
        <v>4767.6178468587577</v>
      </c>
      <c r="AF93" s="1094">
        <v>166</v>
      </c>
      <c r="AG93" s="1093"/>
      <c r="AH93" s="1093"/>
      <c r="AI93" s="1093"/>
      <c r="AJ93" s="1093"/>
      <c r="AK93" s="1093"/>
      <c r="AL93" s="1094">
        <v>1</v>
      </c>
      <c r="AM93" s="1094">
        <v>0</v>
      </c>
      <c r="AN93" s="1094">
        <v>0</v>
      </c>
      <c r="AO93" s="1094"/>
      <c r="AP93" s="1094"/>
      <c r="AQ93" s="1094"/>
      <c r="AR93" s="1094"/>
      <c r="AS93" s="1094"/>
      <c r="AT93" s="1094"/>
      <c r="AU93" s="1094"/>
      <c r="AV93" s="1094"/>
      <c r="AZ93" s="1088">
        <v>19</v>
      </c>
    </row>
    <row r="94" spans="1:52" s="1084" customFormat="1" ht="12" customHeight="1" x14ac:dyDescent="0.2">
      <c r="A94" s="1071" t="s">
        <v>115</v>
      </c>
      <c r="B94" s="1071" t="str">
        <f>Technologies!C154</f>
        <v>THSDSLADV2</v>
      </c>
      <c r="C94" s="1071" t="str">
        <f>Technologies!D154</f>
        <v>Heavy Truck, Short Haul, Advanced Diesel</v>
      </c>
      <c r="D94" s="1071" t="s">
        <v>480</v>
      </c>
      <c r="E94" s="1071" t="str">
        <f>Commodities!$C$46</f>
        <v>TWDSL</v>
      </c>
      <c r="F94" s="1071" t="str">
        <f>Commodities!$C$16</f>
        <v>TSW</v>
      </c>
      <c r="G94" s="1091">
        <v>1</v>
      </c>
      <c r="H94" s="1094">
        <v>2015</v>
      </c>
      <c r="I94" s="1091">
        <v>24</v>
      </c>
      <c r="J94" s="1091">
        <v>0.28000000000000003</v>
      </c>
      <c r="K94" s="1092"/>
      <c r="L94" s="1092"/>
      <c r="M94" s="1092">
        <v>4.5998258164990508E-2</v>
      </c>
      <c r="N94" s="1092">
        <v>4.5998258164990508E-2</v>
      </c>
      <c r="O94" s="1092">
        <v>4.6689383913713231E-2</v>
      </c>
      <c r="P94" s="1092">
        <v>4.6689383913713231E-2</v>
      </c>
      <c r="Q94" s="1092">
        <v>4.6689383913713231E-2</v>
      </c>
      <c r="R94" s="1092">
        <v>4.6689383913713231E-2</v>
      </c>
      <c r="S94" s="1092">
        <v>4.6689383913713231E-2</v>
      </c>
      <c r="T94" s="1092">
        <v>4.6689383913713231E-2</v>
      </c>
      <c r="U94" s="1092">
        <v>4.6689383913713231E-2</v>
      </c>
      <c r="V94" s="1091"/>
      <c r="W94" s="1094">
        <v>4831.9482088710984</v>
      </c>
      <c r="X94" s="1094">
        <v>4831.9482088710984</v>
      </c>
      <c r="Y94" s="1094">
        <v>5078.3126569120868</v>
      </c>
      <c r="Z94" s="1094">
        <v>5078.3126569120868</v>
      </c>
      <c r="AA94" s="1094">
        <v>5078.3126569120868</v>
      </c>
      <c r="AB94" s="1094">
        <v>5078.3126569120868</v>
      </c>
      <c r="AC94" s="1094">
        <v>5078.3126569120868</v>
      </c>
      <c r="AD94" s="1094">
        <v>5078.3126569120868</v>
      </c>
      <c r="AE94" s="1094">
        <v>5078.3126569120868</v>
      </c>
      <c r="AF94" s="1094">
        <v>165.78108395324125</v>
      </c>
      <c r="AG94" s="1093"/>
      <c r="AH94" s="1093"/>
      <c r="AI94" s="1093"/>
      <c r="AJ94" s="1093"/>
      <c r="AK94" s="1093"/>
      <c r="AL94" s="1094">
        <v>1</v>
      </c>
      <c r="AM94" s="1094">
        <v>0</v>
      </c>
      <c r="AN94" s="1094">
        <v>0</v>
      </c>
      <c r="AO94" s="1094"/>
      <c r="AP94" s="1094"/>
      <c r="AQ94" s="1094"/>
      <c r="AR94" s="1094"/>
      <c r="AS94" s="1094"/>
      <c r="AT94" s="1094"/>
      <c r="AU94" s="1094"/>
      <c r="AV94" s="1094"/>
      <c r="AZ94" s="1088">
        <v>19</v>
      </c>
    </row>
    <row r="95" spans="1:52" s="1084" customFormat="1" ht="12" customHeight="1" x14ac:dyDescent="0.2">
      <c r="A95" s="1071" t="s">
        <v>115</v>
      </c>
      <c r="B95" s="1071" t="str">
        <f>Technologies!C155</f>
        <v>THSDSLAH2</v>
      </c>
      <c r="C95" s="1071" t="str">
        <f>Technologies!D155</f>
        <v>Heavy Truck, Short Haul, Hybrid Diesel</v>
      </c>
      <c r="D95" s="1071" t="s">
        <v>480</v>
      </c>
      <c r="E95" s="1071" t="str">
        <f>Commodities!$C$46</f>
        <v>TWDSL</v>
      </c>
      <c r="F95" s="1071" t="str">
        <f>Commodities!$C$16</f>
        <v>TSW</v>
      </c>
      <c r="G95" s="1091">
        <v>1</v>
      </c>
      <c r="H95" s="1094">
        <v>2025</v>
      </c>
      <c r="I95" s="1091">
        <v>24</v>
      </c>
      <c r="J95" s="1091">
        <v>0.28000000000000003</v>
      </c>
      <c r="K95" s="1092"/>
      <c r="L95" s="1092"/>
      <c r="M95" s="1092">
        <v>6.1126232887032457E-2</v>
      </c>
      <c r="N95" s="1092">
        <v>6.1126232887032457E-2</v>
      </c>
      <c r="O95" s="1092">
        <v>6.1126232887032457E-2</v>
      </c>
      <c r="P95" s="1092">
        <v>6.1126232887032457E-2</v>
      </c>
      <c r="Q95" s="1092">
        <v>6.1126232887032457E-2</v>
      </c>
      <c r="R95" s="1092">
        <v>6.2047733885329429E-2</v>
      </c>
      <c r="S95" s="1092">
        <v>6.2047733885329429E-2</v>
      </c>
      <c r="T95" s="1092">
        <v>6.2047733885329429E-2</v>
      </c>
      <c r="U95" s="1092">
        <v>6.2047733885329429E-2</v>
      </c>
      <c r="V95" s="1091"/>
      <c r="W95" s="1094">
        <v>5813.3727494982322</v>
      </c>
      <c r="X95" s="1094">
        <v>5813.3727494982322</v>
      </c>
      <c r="Y95" s="1094">
        <v>5399.9644669737891</v>
      </c>
      <c r="Z95" s="1094">
        <v>5399.9644669737891</v>
      </c>
      <c r="AA95" s="1094">
        <v>5399.9644669737891</v>
      </c>
      <c r="AB95" s="1094">
        <v>5723.2631880796935</v>
      </c>
      <c r="AC95" s="1094">
        <v>5723.2631880796935</v>
      </c>
      <c r="AD95" s="1094">
        <v>5723.2631880796935</v>
      </c>
      <c r="AE95" s="1094">
        <v>5723.2631880796935</v>
      </c>
      <c r="AF95" s="1094">
        <v>165.78108395324125</v>
      </c>
      <c r="AG95" s="1093"/>
      <c r="AH95" s="1093"/>
      <c r="AI95" s="1093"/>
      <c r="AJ95" s="1093"/>
      <c r="AK95" s="1093"/>
      <c r="AL95" s="1094">
        <v>1</v>
      </c>
      <c r="AM95" s="1094">
        <v>0</v>
      </c>
      <c r="AN95" s="1094">
        <v>0</v>
      </c>
      <c r="AO95" s="1094"/>
      <c r="AP95" s="1094"/>
      <c r="AQ95" s="1094"/>
      <c r="AR95" s="1094"/>
      <c r="AS95" s="1094"/>
      <c r="AT95" s="1094"/>
      <c r="AU95" s="1094"/>
      <c r="AV95" s="1094"/>
      <c r="AZ95" s="1088">
        <v>19</v>
      </c>
    </row>
    <row r="96" spans="1:52" s="1084" customFormat="1" ht="12" customHeight="1" x14ac:dyDescent="0.2">
      <c r="A96" s="1071" t="str">
        <f>Technologies!B139</f>
        <v>R2,R3,R4,R5,R6</v>
      </c>
      <c r="B96" s="1071" t="str">
        <f>Technologies!C139</f>
        <v>THSCNGE</v>
      </c>
      <c r="C96" s="1071" t="str">
        <f>Technologies!D139</f>
        <v>Heavy Truck, Short Haul, CNG exisiting</v>
      </c>
      <c r="D96" s="1071" t="s">
        <v>480</v>
      </c>
      <c r="E96" s="1071" t="str">
        <f>Commodities!C58</f>
        <v>THCNG</v>
      </c>
      <c r="F96" s="1071" t="str">
        <f>Commodities!C$12</f>
        <v>THS</v>
      </c>
      <c r="G96" s="1091">
        <v>1</v>
      </c>
      <c r="H96" s="1094">
        <v>2010</v>
      </c>
      <c r="I96" s="1091">
        <f t="shared" ref="I96:I116" si="76">AZ96+5</f>
        <v>24</v>
      </c>
      <c r="J96" s="1091"/>
      <c r="K96" s="1092">
        <f>Trucks!H164</f>
        <v>2.9974418414148992E-2</v>
      </c>
      <c r="L96" s="1092"/>
      <c r="M96" s="1092"/>
      <c r="N96" s="1092"/>
      <c r="O96" s="1092"/>
      <c r="P96" s="1092"/>
      <c r="Q96" s="1092"/>
      <c r="R96" s="1092"/>
      <c r="S96" s="1092"/>
      <c r="T96" s="1092"/>
      <c r="U96" s="1092"/>
      <c r="V96" s="1091"/>
      <c r="W96" s="1094"/>
      <c r="X96" s="1094"/>
      <c r="Y96" s="1094"/>
      <c r="Z96" s="1094"/>
      <c r="AA96" s="1094"/>
      <c r="AB96" s="1094"/>
      <c r="AC96" s="1094"/>
      <c r="AD96" s="1094"/>
      <c r="AE96" s="1094"/>
      <c r="AF96" s="1094">
        <f>Trucks!G164</f>
        <v>248.80470075014617</v>
      </c>
      <c r="AG96" s="1093"/>
      <c r="AH96" s="1093"/>
      <c r="AI96" s="1093"/>
      <c r="AJ96" s="1093"/>
      <c r="AK96" s="1093"/>
      <c r="AL96" s="1094">
        <v>1</v>
      </c>
      <c r="AM96" s="1094">
        <v>0</v>
      </c>
      <c r="AN96" s="1094">
        <v>0</v>
      </c>
      <c r="AO96" s="1094">
        <v>0</v>
      </c>
      <c r="AP96" s="1094">
        <v>0</v>
      </c>
      <c r="AQ96" s="1094">
        <v>0</v>
      </c>
      <c r="AR96" s="1094">
        <v>0</v>
      </c>
      <c r="AS96" s="1094">
        <v>0</v>
      </c>
      <c r="AT96" s="1094">
        <v>0</v>
      </c>
      <c r="AU96" s="1094">
        <v>0</v>
      </c>
      <c r="AV96" s="1094">
        <v>0</v>
      </c>
      <c r="AZ96" s="1088">
        <f>Trucks!E164</f>
        <v>19</v>
      </c>
    </row>
    <row r="97" spans="1:52" s="1084" customFormat="1" ht="12" customHeight="1" x14ac:dyDescent="0.2">
      <c r="A97" s="1071" t="s">
        <v>115</v>
      </c>
      <c r="B97" s="1071" t="str">
        <f>Technologies!C141</f>
        <v>THSLPGE</v>
      </c>
      <c r="C97" s="1071" t="str">
        <f>Technologies!D141</f>
        <v>Heavy Truck, Short Haul, LPG exisiting</v>
      </c>
      <c r="D97" s="1071" t="s">
        <v>480</v>
      </c>
      <c r="E97" s="1071" t="str">
        <f>Commodities!C29</f>
        <v>TRNLPG1</v>
      </c>
      <c r="F97" s="1071" t="str">
        <f>Commodities!C$12</f>
        <v>THS</v>
      </c>
      <c r="G97" s="1091">
        <v>1</v>
      </c>
      <c r="H97" s="1094">
        <v>2010</v>
      </c>
      <c r="I97" s="1091">
        <f t="shared" si="76"/>
        <v>24</v>
      </c>
      <c r="J97" s="1091">
        <v>0.18</v>
      </c>
      <c r="K97" s="1092">
        <f>Trucks!H165</f>
        <v>2.8246818403753399E-2</v>
      </c>
      <c r="L97" s="1092"/>
      <c r="M97" s="1092"/>
      <c r="N97" s="1092"/>
      <c r="O97" s="1092"/>
      <c r="P97" s="1092"/>
      <c r="Q97" s="1092"/>
      <c r="R97" s="1092"/>
      <c r="S97" s="1092"/>
      <c r="T97" s="1092"/>
      <c r="U97" s="1092"/>
      <c r="V97" s="1091"/>
      <c r="W97" s="1094"/>
      <c r="X97" s="1094"/>
      <c r="Y97" s="1094"/>
      <c r="Z97" s="1094"/>
      <c r="AA97" s="1094"/>
      <c r="AB97" s="1094"/>
      <c r="AC97" s="1094"/>
      <c r="AD97" s="1094"/>
      <c r="AE97" s="1094"/>
      <c r="AF97" s="1094">
        <f>Trucks!G165</f>
        <v>248.80470075014617</v>
      </c>
      <c r="AG97" s="1093"/>
      <c r="AH97" s="1093"/>
      <c r="AI97" s="1093"/>
      <c r="AJ97" s="1093"/>
      <c r="AK97" s="1093"/>
      <c r="AL97" s="1094">
        <v>1</v>
      </c>
      <c r="AM97" s="1094">
        <v>0</v>
      </c>
      <c r="AN97" s="1094">
        <v>0</v>
      </c>
      <c r="AO97" s="1094">
        <v>0</v>
      </c>
      <c r="AP97" s="1094">
        <v>0</v>
      </c>
      <c r="AQ97" s="1094">
        <v>0</v>
      </c>
      <c r="AR97" s="1094">
        <v>0</v>
      </c>
      <c r="AS97" s="1094">
        <v>0</v>
      </c>
      <c r="AT97" s="1094">
        <v>0</v>
      </c>
      <c r="AU97" s="1094">
        <v>0</v>
      </c>
      <c r="AV97" s="1094">
        <v>0</v>
      </c>
      <c r="AZ97" s="1088">
        <f>Trucks!E165</f>
        <v>19</v>
      </c>
    </row>
    <row r="98" spans="1:52" s="1084" customFormat="1" ht="12" customHeight="1" x14ac:dyDescent="0.2">
      <c r="A98" s="1071" t="s">
        <v>115</v>
      </c>
      <c r="B98" s="1071" t="str">
        <f>Technologies!C142</f>
        <v>THSB20E</v>
      </c>
      <c r="C98" s="1071" t="str">
        <f>Technologies!D142</f>
        <v>Heavy Truck, Short Haul, B20exisiting</v>
      </c>
      <c r="D98" s="1071" t="s">
        <v>480</v>
      </c>
      <c r="E98" s="1071" t="str">
        <f>Commodities!C62</f>
        <v>THB20X</v>
      </c>
      <c r="F98" s="1071" t="str">
        <f>Commodities!C$12</f>
        <v>THS</v>
      </c>
      <c r="G98" s="1091">
        <v>1</v>
      </c>
      <c r="H98" s="1094">
        <v>2010</v>
      </c>
      <c r="I98" s="1091">
        <f t="shared" si="76"/>
        <v>24</v>
      </c>
      <c r="J98" s="1091"/>
      <c r="K98" s="1092">
        <f>TechData!K24</f>
        <v>3.038743284803256E-2</v>
      </c>
      <c r="L98" s="1092"/>
      <c r="M98" s="1092"/>
      <c r="N98" s="1092"/>
      <c r="O98" s="1092"/>
      <c r="P98" s="1092"/>
      <c r="Q98" s="1092"/>
      <c r="R98" s="1092"/>
      <c r="S98" s="1092"/>
      <c r="T98" s="1092"/>
      <c r="U98" s="1092"/>
      <c r="V98" s="1091"/>
      <c r="W98" s="1094"/>
      <c r="X98" s="1094"/>
      <c r="Y98" s="1094"/>
      <c r="Z98" s="1094"/>
      <c r="AA98" s="1094"/>
      <c r="AB98" s="1094"/>
      <c r="AC98" s="1094"/>
      <c r="AD98" s="1094"/>
      <c r="AE98" s="1094"/>
      <c r="AF98" s="1094">
        <f>TechData!AF24</f>
        <v>165.78108395324125</v>
      </c>
      <c r="AG98" s="1093"/>
      <c r="AH98" s="1093"/>
      <c r="AI98" s="1093"/>
      <c r="AJ98" s="1093"/>
      <c r="AK98" s="1093"/>
      <c r="AL98" s="1094">
        <v>1</v>
      </c>
      <c r="AM98" s="1094">
        <v>0</v>
      </c>
      <c r="AN98" s="1094">
        <v>0</v>
      </c>
      <c r="AO98" s="1094">
        <v>0</v>
      </c>
      <c r="AP98" s="1094">
        <v>0</v>
      </c>
      <c r="AQ98" s="1094">
        <v>0</v>
      </c>
      <c r="AR98" s="1094">
        <v>0</v>
      </c>
      <c r="AS98" s="1094">
        <v>0</v>
      </c>
      <c r="AT98" s="1094">
        <v>0</v>
      </c>
      <c r="AU98" s="1094">
        <v>0</v>
      </c>
      <c r="AV98" s="1094">
        <v>0</v>
      </c>
      <c r="AZ98" s="1088">
        <v>19</v>
      </c>
    </row>
    <row r="99" spans="1:52" s="1084" customFormat="1" ht="12" customHeight="1" x14ac:dyDescent="0.2">
      <c r="A99" s="1071" t="str">
        <f>Technologies!B143</f>
        <v>R2,R3,R4,R5,R6</v>
      </c>
      <c r="B99" s="1071" t="str">
        <f>Technologies!C143</f>
        <v>THSGSL10</v>
      </c>
      <c r="C99" s="1071" t="str">
        <f>Technologies!D143</f>
        <v>Heavy Truck, Short Haul, Gasoline, 2010</v>
      </c>
      <c r="D99" s="1071" t="s">
        <v>480</v>
      </c>
      <c r="E99" s="1071" t="str">
        <f>Commodities!C47</f>
        <v>THGSL</v>
      </c>
      <c r="F99" s="1071" t="str">
        <f>Commodities!C$12</f>
        <v>THS</v>
      </c>
      <c r="G99" s="1091">
        <v>1</v>
      </c>
      <c r="H99" s="1094">
        <f>Trucks!D166</f>
        <v>2010</v>
      </c>
      <c r="I99" s="1091">
        <f t="shared" si="76"/>
        <v>24</v>
      </c>
      <c r="J99" s="1091">
        <v>0.18</v>
      </c>
      <c r="K99" s="1092">
        <f>Trucks!H166</f>
        <v>2.1878197859652251E-2</v>
      </c>
      <c r="L99" s="1091"/>
      <c r="M99" s="1092"/>
      <c r="N99" s="1092"/>
      <c r="O99" s="1092"/>
      <c r="P99" s="1092"/>
      <c r="Q99" s="1092"/>
      <c r="R99" s="1092"/>
      <c r="S99" s="1092"/>
      <c r="T99" s="1092"/>
      <c r="U99" s="1092"/>
      <c r="V99" s="1094">
        <f>Trucks!F166</f>
        <v>4265.2942523255333</v>
      </c>
      <c r="W99" s="1094">
        <f t="shared" ref="W99:AE99" si="77">V99</f>
        <v>4265.2942523255333</v>
      </c>
      <c r="X99" s="1094">
        <f t="shared" si="77"/>
        <v>4265.2942523255333</v>
      </c>
      <c r="Y99" s="1094">
        <f t="shared" si="77"/>
        <v>4265.2942523255333</v>
      </c>
      <c r="Z99" s="1094">
        <f t="shared" si="77"/>
        <v>4265.2942523255333</v>
      </c>
      <c r="AA99" s="1094">
        <f t="shared" si="77"/>
        <v>4265.2942523255333</v>
      </c>
      <c r="AB99" s="1094">
        <f t="shared" si="77"/>
        <v>4265.2942523255333</v>
      </c>
      <c r="AC99" s="1094">
        <f t="shared" si="77"/>
        <v>4265.2942523255333</v>
      </c>
      <c r="AD99" s="1094">
        <f t="shared" si="77"/>
        <v>4265.2942523255333</v>
      </c>
      <c r="AE99" s="1094">
        <f t="shared" si="77"/>
        <v>4265.2942523255333</v>
      </c>
      <c r="AF99" s="1094">
        <f>Trucks!G166</f>
        <v>301.42015264225682</v>
      </c>
      <c r="AG99" s="1093"/>
      <c r="AH99" s="1093"/>
      <c r="AI99" s="1093"/>
      <c r="AJ99" s="1093"/>
      <c r="AK99" s="1093"/>
      <c r="AL99" s="1094">
        <v>1</v>
      </c>
      <c r="AM99" s="1094">
        <v>0</v>
      </c>
      <c r="AN99" s="1094">
        <v>0</v>
      </c>
      <c r="AO99" s="1094"/>
      <c r="AP99" s="1094"/>
      <c r="AQ99" s="1094"/>
      <c r="AR99" s="1094"/>
      <c r="AS99" s="1094"/>
      <c r="AT99" s="1094"/>
      <c r="AU99" s="1094"/>
      <c r="AV99" s="1094"/>
      <c r="AZ99" s="1088">
        <f>Trucks!E166</f>
        <v>19</v>
      </c>
    </row>
    <row r="100" spans="1:52" s="1084" customFormat="1" ht="12" customHeight="1" x14ac:dyDescent="0.2">
      <c r="A100" s="1071" t="s">
        <v>115</v>
      </c>
      <c r="B100" s="1071" t="str">
        <f>Technologies!C144</f>
        <v>THSGSL102</v>
      </c>
      <c r="C100" s="1071" t="str">
        <f>Technologies!D144</f>
        <v>Heavy Truck, Short Haul, Gasoline, 2010</v>
      </c>
      <c r="D100" s="1071" t="s">
        <v>480</v>
      </c>
      <c r="E100" s="1071" t="str">
        <f>Commodities!$C$48</f>
        <v>TWGSL</v>
      </c>
      <c r="F100" s="1071" t="str">
        <f>Commodities!$C$16</f>
        <v>TSW</v>
      </c>
      <c r="G100" s="1091">
        <v>1</v>
      </c>
      <c r="H100" s="1094">
        <f>H99</f>
        <v>2010</v>
      </c>
      <c r="I100" s="1091">
        <f t="shared" si="76"/>
        <v>24</v>
      </c>
      <c r="J100" s="1091">
        <v>0.18</v>
      </c>
      <c r="K100" s="1092">
        <f>K99</f>
        <v>2.1878197859652251E-2</v>
      </c>
      <c r="L100" s="1091"/>
      <c r="M100" s="1092"/>
      <c r="N100" s="1092"/>
      <c r="O100" s="1092"/>
      <c r="P100" s="1092"/>
      <c r="Q100" s="1092"/>
      <c r="R100" s="1092"/>
      <c r="S100" s="1092"/>
      <c r="T100" s="1092"/>
      <c r="U100" s="1092"/>
      <c r="V100" s="1094">
        <f t="shared" ref="V100:AF100" si="78">V99</f>
        <v>4265.2942523255333</v>
      </c>
      <c r="W100" s="1094">
        <f t="shared" si="78"/>
        <v>4265.2942523255333</v>
      </c>
      <c r="X100" s="1094">
        <f t="shared" si="78"/>
        <v>4265.2942523255333</v>
      </c>
      <c r="Y100" s="1094">
        <f t="shared" si="78"/>
        <v>4265.2942523255333</v>
      </c>
      <c r="Z100" s="1094">
        <f t="shared" si="78"/>
        <v>4265.2942523255333</v>
      </c>
      <c r="AA100" s="1094">
        <f t="shared" si="78"/>
        <v>4265.2942523255333</v>
      </c>
      <c r="AB100" s="1094">
        <f t="shared" si="78"/>
        <v>4265.2942523255333</v>
      </c>
      <c r="AC100" s="1094">
        <f t="shared" si="78"/>
        <v>4265.2942523255333</v>
      </c>
      <c r="AD100" s="1094">
        <f t="shared" si="78"/>
        <v>4265.2942523255333</v>
      </c>
      <c r="AE100" s="1094">
        <f t="shared" si="78"/>
        <v>4265.2942523255333</v>
      </c>
      <c r="AF100" s="1094">
        <f t="shared" si="78"/>
        <v>301.42015264225682</v>
      </c>
      <c r="AG100" s="1093"/>
      <c r="AH100" s="1093"/>
      <c r="AI100" s="1093"/>
      <c r="AJ100" s="1093"/>
      <c r="AK100" s="1093"/>
      <c r="AL100" s="1094">
        <v>1</v>
      </c>
      <c r="AM100" s="1094">
        <v>0</v>
      </c>
      <c r="AN100" s="1094"/>
      <c r="AO100" s="1094"/>
      <c r="AP100" s="1094"/>
      <c r="AQ100" s="1094"/>
      <c r="AR100" s="1094"/>
      <c r="AS100" s="1094"/>
      <c r="AT100" s="1094"/>
      <c r="AU100" s="1094"/>
      <c r="AV100" s="1094"/>
      <c r="AZ100" s="1088">
        <f>AZ99</f>
        <v>19</v>
      </c>
    </row>
    <row r="101" spans="1:52" s="1084" customFormat="1" ht="12" customHeight="1" x14ac:dyDescent="0.2">
      <c r="A101" s="1071" t="str">
        <f>Technologies!B145</f>
        <v>R2,R3,R4,R5,R6</v>
      </c>
      <c r="B101" s="1071" t="str">
        <f>Technologies!C145</f>
        <v>THSDSLC10</v>
      </c>
      <c r="C101" s="1071" t="str">
        <f>Technologies!D145</f>
        <v>Heavy Truck, Short Haul, Conventional Diesel 2010</v>
      </c>
      <c r="D101" s="1071" t="s">
        <v>480</v>
      </c>
      <c r="E101" s="1071" t="str">
        <f>Commodities!C44</f>
        <v>THDSL</v>
      </c>
      <c r="F101" s="1071" t="str">
        <f>Commodities!C$12</f>
        <v>THS</v>
      </c>
      <c r="G101" s="1091">
        <v>1</v>
      </c>
      <c r="H101" s="1094">
        <v>2010</v>
      </c>
      <c r="I101" s="1091">
        <f t="shared" si="76"/>
        <v>24</v>
      </c>
      <c r="J101" s="1091">
        <v>0.18</v>
      </c>
      <c r="K101" s="1092">
        <f>Trucks!H131</f>
        <v>3.038743284803256E-2</v>
      </c>
      <c r="L101" s="1091"/>
      <c r="M101" s="1092"/>
      <c r="N101" s="1092"/>
      <c r="O101" s="1092"/>
      <c r="P101" s="1092"/>
      <c r="Q101" s="1092"/>
      <c r="R101" s="1092"/>
      <c r="S101" s="1092"/>
      <c r="T101" s="1092"/>
      <c r="U101" s="1092"/>
      <c r="V101" s="1094">
        <f>Trucks!F131</f>
        <v>4606.0861228089634</v>
      </c>
      <c r="W101" s="1094"/>
      <c r="X101" s="1094"/>
      <c r="Y101" s="1094"/>
      <c r="Z101" s="1094"/>
      <c r="AA101" s="1094"/>
      <c r="AB101" s="1094"/>
      <c r="AC101" s="1094"/>
      <c r="AD101" s="1094"/>
      <c r="AE101" s="1094"/>
      <c r="AF101" s="1094">
        <f>Trucks!G131</f>
        <v>165.78108395324125</v>
      </c>
      <c r="AG101" s="1093"/>
      <c r="AH101" s="1093"/>
      <c r="AI101" s="1093"/>
      <c r="AJ101" s="1093"/>
      <c r="AK101" s="1093"/>
      <c r="AL101" s="1094">
        <v>1</v>
      </c>
      <c r="AM101" s="1094">
        <v>0</v>
      </c>
      <c r="AN101" s="1094"/>
      <c r="AO101" s="1094">
        <v>0</v>
      </c>
      <c r="AP101" s="1094">
        <v>0</v>
      </c>
      <c r="AQ101" s="1094">
        <v>0</v>
      </c>
      <c r="AR101" s="1094">
        <v>0</v>
      </c>
      <c r="AS101" s="1094">
        <v>0</v>
      </c>
      <c r="AT101" s="1094">
        <v>0</v>
      </c>
      <c r="AU101" s="1094">
        <v>0</v>
      </c>
      <c r="AV101" s="1094">
        <v>0</v>
      </c>
      <c r="AZ101" s="1088">
        <v>19</v>
      </c>
    </row>
    <row r="102" spans="1:52" s="1084" customFormat="1" ht="12" customHeight="1" x14ac:dyDescent="0.2">
      <c r="A102" s="1071" t="str">
        <f>Technologies!B146</f>
        <v>R2,R3,R4,R5,R6</v>
      </c>
      <c r="B102" s="1071" t="str">
        <f>Technologies!C146</f>
        <v>THSDSLC</v>
      </c>
      <c r="C102" s="1071" t="str">
        <f>Technologies!D146</f>
        <v>Heavy Truck, Short Haul, Conv. Diesel</v>
      </c>
      <c r="D102" s="1071" t="s">
        <v>480</v>
      </c>
      <c r="E102" s="1071" t="str">
        <f>Commodities!C44</f>
        <v>THDSL</v>
      </c>
      <c r="F102" s="1071" t="str">
        <f>Commodities!C$12</f>
        <v>THS</v>
      </c>
      <c r="G102" s="1091">
        <v>1</v>
      </c>
      <c r="H102" s="1094">
        <v>2015</v>
      </c>
      <c r="I102" s="1091">
        <f t="shared" si="76"/>
        <v>24</v>
      </c>
      <c r="J102" s="1091">
        <v>0.18</v>
      </c>
      <c r="K102" s="1091"/>
      <c r="L102" s="1091"/>
      <c r="M102" s="1092">
        <f>Trucks!H132</f>
        <v>3.32457527364899E-2</v>
      </c>
      <c r="N102" s="1092">
        <f t="shared" ref="N102:U102" si="79">M102</f>
        <v>3.32457527364899E-2</v>
      </c>
      <c r="O102" s="1092">
        <f t="shared" si="79"/>
        <v>3.32457527364899E-2</v>
      </c>
      <c r="P102" s="1092">
        <f t="shared" si="79"/>
        <v>3.32457527364899E-2</v>
      </c>
      <c r="Q102" s="1092">
        <f t="shared" si="79"/>
        <v>3.32457527364899E-2</v>
      </c>
      <c r="R102" s="1092">
        <f t="shared" si="79"/>
        <v>3.32457527364899E-2</v>
      </c>
      <c r="S102" s="1092">
        <f t="shared" si="79"/>
        <v>3.32457527364899E-2</v>
      </c>
      <c r="T102" s="1092">
        <f t="shared" si="79"/>
        <v>3.32457527364899E-2</v>
      </c>
      <c r="U102" s="1092">
        <f t="shared" si="79"/>
        <v>3.32457527364899E-2</v>
      </c>
      <c r="V102" s="1091"/>
      <c r="W102" s="1094">
        <f>Trucks!F132</f>
        <v>4701.3380799369525</v>
      </c>
      <c r="X102" s="1094">
        <f t="shared" ref="X102:AE102" si="80">W102</f>
        <v>4701.3380799369525</v>
      </c>
      <c r="Y102" s="1094">
        <f t="shared" si="80"/>
        <v>4701.3380799369525</v>
      </c>
      <c r="Z102" s="1094">
        <f t="shared" si="80"/>
        <v>4701.3380799369525</v>
      </c>
      <c r="AA102" s="1094">
        <f t="shared" si="80"/>
        <v>4701.3380799369525</v>
      </c>
      <c r="AB102" s="1094">
        <f t="shared" si="80"/>
        <v>4701.3380799369525</v>
      </c>
      <c r="AC102" s="1094">
        <f t="shared" si="80"/>
        <v>4701.3380799369525</v>
      </c>
      <c r="AD102" s="1094">
        <f t="shared" si="80"/>
        <v>4701.3380799369525</v>
      </c>
      <c r="AE102" s="1094">
        <f t="shared" si="80"/>
        <v>4701.3380799369525</v>
      </c>
      <c r="AF102" s="1094">
        <f>Trucks!G132</f>
        <v>165.78108395324125</v>
      </c>
      <c r="AG102" s="1093"/>
      <c r="AH102" s="1093"/>
      <c r="AI102" s="1093"/>
      <c r="AJ102" s="1093"/>
      <c r="AK102" s="1093"/>
      <c r="AL102" s="1094">
        <v>1</v>
      </c>
      <c r="AM102" s="1094">
        <v>0</v>
      </c>
      <c r="AN102" s="1094">
        <v>0</v>
      </c>
      <c r="AO102" s="1094"/>
      <c r="AP102" s="1094"/>
      <c r="AQ102" s="1094"/>
      <c r="AR102" s="1094"/>
      <c r="AS102" s="1094"/>
      <c r="AT102" s="1094"/>
      <c r="AU102" s="1094"/>
      <c r="AV102" s="1094"/>
      <c r="AZ102" s="1088">
        <f>Trucks!E132</f>
        <v>19</v>
      </c>
    </row>
    <row r="103" spans="1:52" s="1084" customFormat="1" ht="12" customHeight="1" x14ac:dyDescent="0.2">
      <c r="A103" s="1071" t="str">
        <f>Technologies!B147</f>
        <v>R2,R3,R4,R5,R6</v>
      </c>
      <c r="B103" s="1071" t="str">
        <f>Technologies!C147</f>
        <v>THSDSLIM</v>
      </c>
      <c r="C103" s="1071" t="str">
        <f>Technologies!D147</f>
        <v>Heavy Truck, Short Haul, Improved Diesel</v>
      </c>
      <c r="D103" s="1071" t="s">
        <v>480</v>
      </c>
      <c r="E103" s="1071" t="str">
        <f>Commodities!C44</f>
        <v>THDSL</v>
      </c>
      <c r="F103" s="1071" t="str">
        <f>Commodities!C$12</f>
        <v>THS</v>
      </c>
      <c r="G103" s="1091">
        <v>1</v>
      </c>
      <c r="H103" s="1094">
        <v>2025</v>
      </c>
      <c r="I103" s="1091">
        <f t="shared" si="76"/>
        <v>24</v>
      </c>
      <c r="J103" s="1091">
        <v>0.24</v>
      </c>
      <c r="K103" s="1091"/>
      <c r="L103" s="1092"/>
      <c r="M103" s="1092"/>
      <c r="N103" s="1092"/>
      <c r="O103" s="1092">
        <f>Trucks!H134</f>
        <v>3.4398179039330415E-2</v>
      </c>
      <c r="P103" s="1092">
        <f t="shared" ref="P103:Q105" si="81">O103</f>
        <v>3.4398179039330415E-2</v>
      </c>
      <c r="Q103" s="1092">
        <f t="shared" si="81"/>
        <v>3.4398179039330415E-2</v>
      </c>
      <c r="R103" s="1092">
        <f>Trucks!H135</f>
        <v>3.5096619222870114E-2</v>
      </c>
      <c r="S103" s="1092">
        <f t="shared" ref="S103:U105" si="82">R103</f>
        <v>3.5096619222870114E-2</v>
      </c>
      <c r="T103" s="1092">
        <f t="shared" si="82"/>
        <v>3.5096619222870114E-2</v>
      </c>
      <c r="U103" s="1092">
        <f t="shared" si="82"/>
        <v>3.5096619222870114E-2</v>
      </c>
      <c r="V103" s="1091"/>
      <c r="W103" s="1094"/>
      <c r="X103" s="1094"/>
      <c r="Y103" s="1094">
        <f>Trucks!F134</f>
        <v>4729.3691781178795</v>
      </c>
      <c r="Z103" s="1094">
        <f t="shared" ref="Z103:AA105" si="83">Y103</f>
        <v>4729.3691781178795</v>
      </c>
      <c r="AA103" s="1094">
        <f t="shared" si="83"/>
        <v>4729.3691781178795</v>
      </c>
      <c r="AB103" s="1094">
        <f>Trucks!F135</f>
        <v>4767.6178468587577</v>
      </c>
      <c r="AC103" s="1094">
        <f t="shared" ref="AC103:AE105" si="84">AB103</f>
        <v>4767.6178468587577</v>
      </c>
      <c r="AD103" s="1094">
        <f t="shared" si="84"/>
        <v>4767.6178468587577</v>
      </c>
      <c r="AE103" s="1094">
        <f t="shared" si="84"/>
        <v>4767.6178468587577</v>
      </c>
      <c r="AF103" s="1094">
        <v>166</v>
      </c>
      <c r="AG103" s="1093"/>
      <c r="AH103" s="1093"/>
      <c r="AI103" s="1093"/>
      <c r="AJ103" s="1093"/>
      <c r="AK103" s="1093"/>
      <c r="AL103" s="1094">
        <v>1</v>
      </c>
      <c r="AM103" s="1094">
        <v>0</v>
      </c>
      <c r="AN103" s="1094">
        <v>0</v>
      </c>
      <c r="AO103" s="1094"/>
      <c r="AP103" s="1094"/>
      <c r="AQ103" s="1094"/>
      <c r="AR103" s="1094"/>
      <c r="AS103" s="1094"/>
      <c r="AT103" s="1094"/>
      <c r="AU103" s="1094"/>
      <c r="AV103" s="1094"/>
      <c r="AZ103" s="1088">
        <v>19</v>
      </c>
    </row>
    <row r="104" spans="1:52" s="1084" customFormat="1" ht="12" customHeight="1" x14ac:dyDescent="0.2">
      <c r="A104" s="1071" t="str">
        <f>Technologies!B148</f>
        <v>R2,R3,R4,R5,R6</v>
      </c>
      <c r="B104" s="1071" t="str">
        <f>Technologies!C148</f>
        <v>THSDSLADV</v>
      </c>
      <c r="C104" s="1071" t="str">
        <f>Technologies!D148</f>
        <v>Heavy Truck, Short Haul, Advanced Diesel</v>
      </c>
      <c r="D104" s="1071" t="s">
        <v>480</v>
      </c>
      <c r="E104" s="1071" t="str">
        <f>Commodities!C44</f>
        <v>THDSL</v>
      </c>
      <c r="F104" s="1071" t="str">
        <f>Commodities!C$12</f>
        <v>THS</v>
      </c>
      <c r="G104" s="1091">
        <v>1</v>
      </c>
      <c r="H104" s="1094">
        <f>Trucks!D136</f>
        <v>2015</v>
      </c>
      <c r="I104" s="1091">
        <f t="shared" si="76"/>
        <v>24</v>
      </c>
      <c r="J104" s="1091">
        <v>0.28000000000000003</v>
      </c>
      <c r="K104" s="1091"/>
      <c r="L104" s="1092"/>
      <c r="M104" s="1092">
        <f>Trucks!H136</f>
        <v>3.4863805828356888E-2</v>
      </c>
      <c r="N104" s="1092">
        <f>M104</f>
        <v>3.4863805828356888E-2</v>
      </c>
      <c r="O104" s="1092">
        <f>Trucks!H137</f>
        <v>3.538763596601166E-2</v>
      </c>
      <c r="P104" s="1092">
        <f t="shared" si="81"/>
        <v>3.538763596601166E-2</v>
      </c>
      <c r="Q104" s="1092">
        <f t="shared" si="81"/>
        <v>3.538763596601166E-2</v>
      </c>
      <c r="R104" s="1092">
        <f>Q104</f>
        <v>3.538763596601166E-2</v>
      </c>
      <c r="S104" s="1092">
        <f t="shared" si="82"/>
        <v>3.538763596601166E-2</v>
      </c>
      <c r="T104" s="1092">
        <f t="shared" si="82"/>
        <v>3.538763596601166E-2</v>
      </c>
      <c r="U104" s="1092">
        <f t="shared" si="82"/>
        <v>3.538763596601166E-2</v>
      </c>
      <c r="V104" s="1091"/>
      <c r="W104" s="1094">
        <f>Trucks!F136</f>
        <v>4831.9482088710984</v>
      </c>
      <c r="X104" s="1094">
        <f>W104</f>
        <v>4831.9482088710984</v>
      </c>
      <c r="Y104" s="1094">
        <f>Trucks!F137</f>
        <v>5078.3126569120868</v>
      </c>
      <c r="Z104" s="1094">
        <f t="shared" si="83"/>
        <v>5078.3126569120868</v>
      </c>
      <c r="AA104" s="1094">
        <f t="shared" si="83"/>
        <v>5078.3126569120868</v>
      </c>
      <c r="AB104" s="1094">
        <f>AA104</f>
        <v>5078.3126569120868</v>
      </c>
      <c r="AC104" s="1094">
        <f t="shared" si="84"/>
        <v>5078.3126569120868</v>
      </c>
      <c r="AD104" s="1094">
        <f t="shared" si="84"/>
        <v>5078.3126569120868</v>
      </c>
      <c r="AE104" s="1094">
        <f t="shared" si="84"/>
        <v>5078.3126569120868</v>
      </c>
      <c r="AF104" s="1094">
        <f>Trucks!G136</f>
        <v>165.78108395324125</v>
      </c>
      <c r="AG104" s="1093"/>
      <c r="AH104" s="1093"/>
      <c r="AI104" s="1093"/>
      <c r="AJ104" s="1093"/>
      <c r="AK104" s="1093"/>
      <c r="AL104" s="1094">
        <v>1</v>
      </c>
      <c r="AM104" s="1094">
        <v>0</v>
      </c>
      <c r="AN104" s="1094">
        <v>0</v>
      </c>
      <c r="AO104" s="1094"/>
      <c r="AP104" s="1094"/>
      <c r="AQ104" s="1094"/>
      <c r="AR104" s="1094"/>
      <c r="AS104" s="1094"/>
      <c r="AT104" s="1094"/>
      <c r="AU104" s="1094"/>
      <c r="AV104" s="1094"/>
      <c r="AZ104" s="1088">
        <f>Trucks!E136</f>
        <v>19</v>
      </c>
    </row>
    <row r="105" spans="1:52" s="1084" customFormat="1" ht="12" customHeight="1" x14ac:dyDescent="0.2">
      <c r="A105" s="1071" t="str">
        <f>Technologies!B149</f>
        <v>R2,R3,R4,R5,R6</v>
      </c>
      <c r="B105" s="1071" t="str">
        <f>Technologies!C149</f>
        <v>THSDSLAH</v>
      </c>
      <c r="C105" s="1071" t="str">
        <f>Technologies!D149</f>
        <v>Heavy Truck, Short Haul, Hybrid Diesel</v>
      </c>
      <c r="D105" s="1071" t="s">
        <v>480</v>
      </c>
      <c r="E105" s="1071" t="str">
        <f>Commodities!C44</f>
        <v>THDSL</v>
      </c>
      <c r="F105" s="1071" t="str">
        <f>Commodities!C$12</f>
        <v>THS</v>
      </c>
      <c r="G105" s="1091">
        <v>1</v>
      </c>
      <c r="H105" s="1094">
        <f>Trucks!D137</f>
        <v>2025</v>
      </c>
      <c r="I105" s="1091">
        <f t="shared" si="76"/>
        <v>24</v>
      </c>
      <c r="J105" s="1091">
        <v>0.28000000000000003</v>
      </c>
      <c r="K105" s="1091"/>
      <c r="L105" s="1092"/>
      <c r="M105" s="1092">
        <f>Trucks!H138</f>
        <v>6.1126232887032457E-2</v>
      </c>
      <c r="N105" s="1092">
        <f>M105</f>
        <v>6.1126232887032457E-2</v>
      </c>
      <c r="O105" s="1092">
        <f>Trucks!H139</f>
        <v>6.1126232887032457E-2</v>
      </c>
      <c r="P105" s="1092">
        <f t="shared" si="81"/>
        <v>6.1126232887032457E-2</v>
      </c>
      <c r="Q105" s="1092">
        <f t="shared" si="81"/>
        <v>6.1126232887032457E-2</v>
      </c>
      <c r="R105" s="1092">
        <f>Trucks!H140</f>
        <v>6.2047733885329429E-2</v>
      </c>
      <c r="S105" s="1092">
        <f t="shared" si="82"/>
        <v>6.2047733885329429E-2</v>
      </c>
      <c r="T105" s="1092">
        <f t="shared" si="82"/>
        <v>6.2047733885329429E-2</v>
      </c>
      <c r="U105" s="1092">
        <f t="shared" si="82"/>
        <v>6.2047733885329429E-2</v>
      </c>
      <c r="V105" s="1091"/>
      <c r="W105" s="1094">
        <f>Trucks!F138</f>
        <v>5813.3727494982322</v>
      </c>
      <c r="X105" s="1094">
        <f>W105</f>
        <v>5813.3727494982322</v>
      </c>
      <c r="Y105" s="1094">
        <f>Trucks!F139</f>
        <v>5399.9644669737891</v>
      </c>
      <c r="Z105" s="1094">
        <f t="shared" si="83"/>
        <v>5399.9644669737891</v>
      </c>
      <c r="AA105" s="1094">
        <f t="shared" si="83"/>
        <v>5399.9644669737891</v>
      </c>
      <c r="AB105" s="1094">
        <f>Trucks!F140</f>
        <v>5723.2631880796935</v>
      </c>
      <c r="AC105" s="1094">
        <f t="shared" si="84"/>
        <v>5723.2631880796935</v>
      </c>
      <c r="AD105" s="1094">
        <f t="shared" si="84"/>
        <v>5723.2631880796935</v>
      </c>
      <c r="AE105" s="1094">
        <f t="shared" si="84"/>
        <v>5723.2631880796935</v>
      </c>
      <c r="AF105" s="1094">
        <f>Trucks!G137</f>
        <v>165.78108395324125</v>
      </c>
      <c r="AG105" s="1093"/>
      <c r="AH105" s="1093"/>
      <c r="AI105" s="1093"/>
      <c r="AJ105" s="1093"/>
      <c r="AK105" s="1093"/>
      <c r="AL105" s="1094">
        <v>1</v>
      </c>
      <c r="AM105" s="1094">
        <v>0</v>
      </c>
      <c r="AN105" s="1094">
        <v>0</v>
      </c>
      <c r="AO105" s="1094"/>
      <c r="AP105" s="1094"/>
      <c r="AQ105" s="1094"/>
      <c r="AR105" s="1094"/>
      <c r="AS105" s="1094"/>
      <c r="AT105" s="1094"/>
      <c r="AU105" s="1094"/>
      <c r="AV105" s="1094"/>
      <c r="AZ105" s="1088">
        <f>Trucks!E137</f>
        <v>19</v>
      </c>
    </row>
    <row r="106" spans="1:52" s="1084" customFormat="1" ht="12" customHeight="1" x14ac:dyDescent="0.2">
      <c r="A106" s="1071" t="s">
        <v>115</v>
      </c>
      <c r="B106" s="1071" t="str">
        <f>Technologies!C156</f>
        <v>THSB20C10</v>
      </c>
      <c r="C106" s="1071" t="str">
        <f>Technologies!D156</f>
        <v>Heavy Truck, Short Haul, Conventional B20 2010</v>
      </c>
      <c r="D106" s="1071" t="s">
        <v>480</v>
      </c>
      <c r="E106" s="1071" t="str">
        <f>Commodities!C62</f>
        <v>THB20X</v>
      </c>
      <c r="F106" s="1071" t="str">
        <f>Commodities!C$12</f>
        <v>THS</v>
      </c>
      <c r="G106" s="1091">
        <v>1</v>
      </c>
      <c r="H106" s="1094">
        <v>2010</v>
      </c>
      <c r="I106" s="1091">
        <f t="shared" si="76"/>
        <v>24</v>
      </c>
      <c r="J106" s="1091">
        <v>0.18</v>
      </c>
      <c r="K106" s="1092">
        <f>Trucks!H141</f>
        <v>4.0063961642811542E-2</v>
      </c>
      <c r="L106" s="1092"/>
      <c r="M106" s="1092"/>
      <c r="N106" s="1092"/>
      <c r="O106" s="1092"/>
      <c r="P106" s="1092"/>
      <c r="Q106" s="1092"/>
      <c r="R106" s="1092"/>
      <c r="S106" s="1092"/>
      <c r="T106" s="1092"/>
      <c r="U106" s="1092"/>
      <c r="V106" s="1094">
        <f>Trucks!F141</f>
        <v>4606.0861228089634</v>
      </c>
      <c r="W106" s="1094"/>
      <c r="X106" s="1094"/>
      <c r="Y106" s="1094"/>
      <c r="Z106" s="1094"/>
      <c r="AA106" s="1094"/>
      <c r="AB106" s="1094"/>
      <c r="AC106" s="1094"/>
      <c r="AD106" s="1094"/>
      <c r="AE106" s="1094"/>
      <c r="AF106" s="1094">
        <f>Trucks!G141</f>
        <v>165.78108395324125</v>
      </c>
      <c r="AG106" s="1093"/>
      <c r="AH106" s="1093"/>
      <c r="AI106" s="1093"/>
      <c r="AJ106" s="1093"/>
      <c r="AK106" s="1093"/>
      <c r="AL106" s="1094">
        <v>1</v>
      </c>
      <c r="AM106" s="1094">
        <v>0</v>
      </c>
      <c r="AN106" s="1094">
        <v>0</v>
      </c>
      <c r="AO106" s="1094">
        <v>0</v>
      </c>
      <c r="AP106" s="1094">
        <v>0</v>
      </c>
      <c r="AQ106" s="1094">
        <v>0</v>
      </c>
      <c r="AR106" s="1094">
        <v>0</v>
      </c>
      <c r="AS106" s="1094">
        <v>0</v>
      </c>
      <c r="AT106" s="1094">
        <v>0</v>
      </c>
      <c r="AU106" s="1094">
        <v>0</v>
      </c>
      <c r="AV106" s="1094">
        <v>0</v>
      </c>
      <c r="AZ106" s="1088">
        <v>19</v>
      </c>
    </row>
    <row r="107" spans="1:52" s="1084" customFormat="1" ht="12" customHeight="1" x14ac:dyDescent="0.2">
      <c r="A107" s="1071" t="s">
        <v>115</v>
      </c>
      <c r="B107" s="1071" t="str">
        <f>Technologies!C157</f>
        <v>THSB20C</v>
      </c>
      <c r="C107" s="1071" t="str">
        <f>Technologies!D157</f>
        <v>Heavy Truck, Short Haul, Conventional B20</v>
      </c>
      <c r="D107" s="1071" t="s">
        <v>480</v>
      </c>
      <c r="E107" s="1071" t="str">
        <f>Commodities!C62</f>
        <v>THB20X</v>
      </c>
      <c r="F107" s="1071" t="str">
        <f>Commodities!C$12</f>
        <v>THS</v>
      </c>
      <c r="G107" s="1091">
        <v>1</v>
      </c>
      <c r="H107" s="1094">
        <v>2015</v>
      </c>
      <c r="I107" s="1091">
        <f t="shared" si="76"/>
        <v>24</v>
      </c>
      <c r="J107" s="1091">
        <v>0.18</v>
      </c>
      <c r="K107" s="1092"/>
      <c r="L107" s="1091"/>
      <c r="M107" s="1092">
        <f>Trucks!H142</f>
        <v>4.3832480653506929E-2</v>
      </c>
      <c r="N107" s="1092">
        <f t="shared" ref="N107:U107" si="85">M107</f>
        <v>4.3832480653506929E-2</v>
      </c>
      <c r="O107" s="1092">
        <f t="shared" si="85"/>
        <v>4.3832480653506929E-2</v>
      </c>
      <c r="P107" s="1092">
        <f t="shared" si="85"/>
        <v>4.3832480653506929E-2</v>
      </c>
      <c r="Q107" s="1092">
        <f t="shared" si="85"/>
        <v>4.3832480653506929E-2</v>
      </c>
      <c r="R107" s="1092">
        <f t="shared" si="85"/>
        <v>4.3832480653506929E-2</v>
      </c>
      <c r="S107" s="1092">
        <f t="shared" si="85"/>
        <v>4.3832480653506929E-2</v>
      </c>
      <c r="T107" s="1092">
        <f t="shared" si="85"/>
        <v>4.3832480653506929E-2</v>
      </c>
      <c r="U107" s="1092">
        <f t="shared" si="85"/>
        <v>4.3832480653506929E-2</v>
      </c>
      <c r="V107" s="1091"/>
      <c r="W107" s="1094">
        <f>Trucks!F142</f>
        <v>4701.3380799369525</v>
      </c>
      <c r="X107" s="1094">
        <f t="shared" ref="X107:AE107" si="86">W107</f>
        <v>4701.3380799369525</v>
      </c>
      <c r="Y107" s="1094">
        <f t="shared" si="86"/>
        <v>4701.3380799369525</v>
      </c>
      <c r="Z107" s="1094">
        <f t="shared" si="86"/>
        <v>4701.3380799369525</v>
      </c>
      <c r="AA107" s="1094">
        <f t="shared" si="86"/>
        <v>4701.3380799369525</v>
      </c>
      <c r="AB107" s="1094">
        <f t="shared" si="86"/>
        <v>4701.3380799369525</v>
      </c>
      <c r="AC107" s="1094">
        <f t="shared" si="86"/>
        <v>4701.3380799369525</v>
      </c>
      <c r="AD107" s="1094">
        <f t="shared" si="86"/>
        <v>4701.3380799369525</v>
      </c>
      <c r="AE107" s="1094">
        <f t="shared" si="86"/>
        <v>4701.3380799369525</v>
      </c>
      <c r="AF107" s="1094">
        <f>Trucks!G142</f>
        <v>165.78108395324125</v>
      </c>
      <c r="AG107" s="1093"/>
      <c r="AH107" s="1093"/>
      <c r="AI107" s="1093"/>
      <c r="AJ107" s="1093"/>
      <c r="AK107" s="1093"/>
      <c r="AL107" s="1094">
        <v>1</v>
      </c>
      <c r="AM107" s="1094">
        <v>0</v>
      </c>
      <c r="AN107" s="1094"/>
      <c r="AO107" s="1094"/>
      <c r="AP107" s="1094"/>
      <c r="AQ107" s="1094"/>
      <c r="AR107" s="1094"/>
      <c r="AS107" s="1094"/>
      <c r="AT107" s="1094"/>
      <c r="AU107" s="1094"/>
      <c r="AV107" s="1094"/>
      <c r="AZ107" s="1088">
        <f>Trucks!E142</f>
        <v>19</v>
      </c>
    </row>
    <row r="108" spans="1:52" s="1084" customFormat="1" ht="12" customHeight="1" x14ac:dyDescent="0.2">
      <c r="A108" s="1071" t="s">
        <v>115</v>
      </c>
      <c r="B108" s="1071" t="str">
        <f>Technologies!C158</f>
        <v>THSB20IM</v>
      </c>
      <c r="C108" s="1071" t="str">
        <f>Technologies!D158</f>
        <v>Heavy Truck, Short Haul, Improved B20</v>
      </c>
      <c r="D108" s="1071" t="s">
        <v>480</v>
      </c>
      <c r="E108" s="1071" t="str">
        <f>Commodities!C62</f>
        <v>THB20X</v>
      </c>
      <c r="F108" s="1071" t="str">
        <f>Commodities!C$12</f>
        <v>THS</v>
      </c>
      <c r="G108" s="1091">
        <v>1</v>
      </c>
      <c r="H108" s="1094">
        <v>2025</v>
      </c>
      <c r="I108" s="1091">
        <f t="shared" si="76"/>
        <v>24</v>
      </c>
      <c r="J108" s="1091">
        <v>0.24</v>
      </c>
      <c r="K108" s="1092"/>
      <c r="L108" s="1091"/>
      <c r="M108" s="1092"/>
      <c r="N108" s="1092"/>
      <c r="O108" s="1092">
        <f>Trucks!H144</f>
        <v>4.5385378613801756E-2</v>
      </c>
      <c r="P108" s="1092">
        <f t="shared" ref="P108:Q110" si="87">O108</f>
        <v>4.5385378613801756E-2</v>
      </c>
      <c r="Q108" s="1092">
        <f t="shared" si="87"/>
        <v>4.5385378613801756E-2</v>
      </c>
      <c r="R108" s="1092">
        <f>Trucks!H145</f>
        <v>4.6306909144031239E-2</v>
      </c>
      <c r="S108" s="1092">
        <f t="shared" ref="S108:U110" si="88">R108</f>
        <v>4.6306909144031239E-2</v>
      </c>
      <c r="T108" s="1092">
        <f t="shared" si="88"/>
        <v>4.6306909144031239E-2</v>
      </c>
      <c r="U108" s="1092">
        <f t="shared" si="88"/>
        <v>4.6306909144031239E-2</v>
      </c>
      <c r="V108" s="1091"/>
      <c r="W108" s="1094"/>
      <c r="X108" s="1094"/>
      <c r="Y108" s="1094">
        <f>Trucks!F144</f>
        <v>4729.3691781178795</v>
      </c>
      <c r="Z108" s="1094">
        <f t="shared" ref="Z108:AA110" si="89">Y108</f>
        <v>4729.3691781178795</v>
      </c>
      <c r="AA108" s="1094">
        <f t="shared" si="89"/>
        <v>4729.3691781178795</v>
      </c>
      <c r="AB108" s="1094">
        <f>Trucks!F145</f>
        <v>4767.6178468587577</v>
      </c>
      <c r="AC108" s="1094">
        <f t="shared" ref="AC108:AE110" si="90">AB108</f>
        <v>4767.6178468587577</v>
      </c>
      <c r="AD108" s="1094">
        <f t="shared" si="90"/>
        <v>4767.6178468587577</v>
      </c>
      <c r="AE108" s="1094">
        <f t="shared" si="90"/>
        <v>4767.6178468587577</v>
      </c>
      <c r="AF108" s="1094">
        <v>166</v>
      </c>
      <c r="AG108" s="1093"/>
      <c r="AH108" s="1093"/>
      <c r="AI108" s="1093"/>
      <c r="AJ108" s="1093"/>
      <c r="AK108" s="1093"/>
      <c r="AL108" s="1094">
        <v>1</v>
      </c>
      <c r="AM108" s="1094">
        <v>0</v>
      </c>
      <c r="AN108" s="1094"/>
      <c r="AO108" s="1094"/>
      <c r="AP108" s="1094"/>
      <c r="AQ108" s="1094"/>
      <c r="AR108" s="1094"/>
      <c r="AS108" s="1094"/>
      <c r="AT108" s="1094"/>
      <c r="AU108" s="1094"/>
      <c r="AV108" s="1094"/>
      <c r="AZ108" s="1088">
        <v>19</v>
      </c>
    </row>
    <row r="109" spans="1:52" s="1084" customFormat="1" ht="12" customHeight="1" x14ac:dyDescent="0.2">
      <c r="A109" s="1071" t="s">
        <v>115</v>
      </c>
      <c r="B109" s="1071" t="str">
        <f>Technologies!C159</f>
        <v>THSB20ADV</v>
      </c>
      <c r="C109" s="1071" t="str">
        <f>Technologies!D159</f>
        <v>Heavy Truck, Short Haul, Advanced B20</v>
      </c>
      <c r="D109" s="1071" t="s">
        <v>480</v>
      </c>
      <c r="E109" s="1071" t="str">
        <f>E108</f>
        <v>THB20X</v>
      </c>
      <c r="F109" s="1071" t="str">
        <f>Commodities!C$12</f>
        <v>THS</v>
      </c>
      <c r="G109" s="1091">
        <v>1</v>
      </c>
      <c r="H109" s="1094">
        <v>2015</v>
      </c>
      <c r="I109" s="1091">
        <f t="shared" si="76"/>
        <v>24</v>
      </c>
      <c r="J109" s="1091">
        <v>0.28000000000000003</v>
      </c>
      <c r="K109" s="1092"/>
      <c r="L109" s="1091"/>
      <c r="M109" s="1092">
        <f>Trucks!H146</f>
        <v>4.603052755709499E-2</v>
      </c>
      <c r="N109" s="1092">
        <f>M109</f>
        <v>4.603052755709499E-2</v>
      </c>
      <c r="O109" s="1092">
        <f>Trucks!H147</f>
        <v>4.6706368712362882E-2</v>
      </c>
      <c r="P109" s="1092">
        <f t="shared" si="87"/>
        <v>4.6706368712362882E-2</v>
      </c>
      <c r="Q109" s="1092">
        <f t="shared" si="87"/>
        <v>4.6706368712362882E-2</v>
      </c>
      <c r="R109" s="1092">
        <f>Q109</f>
        <v>4.6706368712362882E-2</v>
      </c>
      <c r="S109" s="1092">
        <f t="shared" si="88"/>
        <v>4.6706368712362882E-2</v>
      </c>
      <c r="T109" s="1092">
        <f t="shared" si="88"/>
        <v>4.6706368712362882E-2</v>
      </c>
      <c r="U109" s="1092">
        <f t="shared" si="88"/>
        <v>4.6706368712362882E-2</v>
      </c>
      <c r="V109" s="1091"/>
      <c r="W109" s="1094">
        <f>Trucks!F146</f>
        <v>4831.9482088710984</v>
      </c>
      <c r="X109" s="1094">
        <f>W109</f>
        <v>4831.9482088710984</v>
      </c>
      <c r="Y109" s="1094">
        <f>Trucks!F147</f>
        <v>5078.3160179550359</v>
      </c>
      <c r="Z109" s="1094">
        <f t="shared" si="89"/>
        <v>5078.3160179550359</v>
      </c>
      <c r="AA109" s="1094">
        <f t="shared" si="89"/>
        <v>5078.3160179550359</v>
      </c>
      <c r="AB109" s="1094">
        <f>AA109</f>
        <v>5078.3160179550359</v>
      </c>
      <c r="AC109" s="1094">
        <f t="shared" si="90"/>
        <v>5078.3160179550359</v>
      </c>
      <c r="AD109" s="1094">
        <f t="shared" si="90"/>
        <v>5078.3160179550359</v>
      </c>
      <c r="AE109" s="1094">
        <f t="shared" si="90"/>
        <v>5078.3160179550359</v>
      </c>
      <c r="AF109" s="1094">
        <v>166</v>
      </c>
      <c r="AG109" s="1093"/>
      <c r="AH109" s="1093"/>
      <c r="AI109" s="1093"/>
      <c r="AJ109" s="1093"/>
      <c r="AK109" s="1093"/>
      <c r="AL109" s="1094">
        <v>1</v>
      </c>
      <c r="AM109" s="1094">
        <v>0</v>
      </c>
      <c r="AN109" s="1094"/>
      <c r="AO109" s="1094"/>
      <c r="AP109" s="1094"/>
      <c r="AQ109" s="1094"/>
      <c r="AR109" s="1094"/>
      <c r="AS109" s="1094"/>
      <c r="AT109" s="1094"/>
      <c r="AU109" s="1094"/>
      <c r="AV109" s="1094"/>
      <c r="AZ109" s="1088">
        <v>19</v>
      </c>
    </row>
    <row r="110" spans="1:52" s="1084" customFormat="1" ht="12" customHeight="1" x14ac:dyDescent="0.2">
      <c r="A110" s="1071" t="s">
        <v>115</v>
      </c>
      <c r="B110" s="1071" t="str">
        <f>Technologies!C160</f>
        <v>THSB20AH</v>
      </c>
      <c r="C110" s="1071" t="str">
        <f>Technologies!D160</f>
        <v>Heavy Truck, Short Haul, Hybrid B20</v>
      </c>
      <c r="D110" s="1071" t="s">
        <v>480</v>
      </c>
      <c r="E110" s="1071" t="str">
        <f>E109</f>
        <v>THB20X</v>
      </c>
      <c r="F110" s="1071" t="str">
        <f>Commodities!C$12</f>
        <v>THS</v>
      </c>
      <c r="G110" s="1091">
        <v>1</v>
      </c>
      <c r="H110" s="1094">
        <v>2015</v>
      </c>
      <c r="I110" s="1091">
        <f t="shared" si="76"/>
        <v>24</v>
      </c>
      <c r="J110" s="1091">
        <v>0.28000000000000003</v>
      </c>
      <c r="K110" s="1092"/>
      <c r="L110" s="1091"/>
      <c r="M110" s="1092">
        <f>Trucks!H148</f>
        <v>6.1154843754426196E-2</v>
      </c>
      <c r="N110" s="1092">
        <f>M110</f>
        <v>6.1154843754426196E-2</v>
      </c>
      <c r="O110" s="1092">
        <f>Trucks!H149</f>
        <v>6.1154843754426196E-2</v>
      </c>
      <c r="P110" s="1092">
        <f t="shared" si="87"/>
        <v>6.1154843754426196E-2</v>
      </c>
      <c r="Q110" s="1092">
        <f t="shared" si="87"/>
        <v>6.1154843754426196E-2</v>
      </c>
      <c r="R110" s="1092">
        <f>Trucks!H150</f>
        <v>6.2052747003567818E-2</v>
      </c>
      <c r="S110" s="1092">
        <f t="shared" si="88"/>
        <v>6.2052747003567818E-2</v>
      </c>
      <c r="T110" s="1092">
        <f t="shared" si="88"/>
        <v>6.2052747003567818E-2</v>
      </c>
      <c r="U110" s="1092">
        <f t="shared" si="88"/>
        <v>6.2052747003567818E-2</v>
      </c>
      <c r="V110" s="1091"/>
      <c r="W110" s="1094">
        <f>Trucks!F148</f>
        <v>5813.3727494982331</v>
      </c>
      <c r="X110" s="1094">
        <f>W110</f>
        <v>5813.3727494982331</v>
      </c>
      <c r="Y110" s="1094">
        <f>Trucks!F149</f>
        <v>5399.9644669737891</v>
      </c>
      <c r="Z110" s="1094">
        <f t="shared" si="89"/>
        <v>5399.9644669737891</v>
      </c>
      <c r="AA110" s="1094">
        <f t="shared" si="89"/>
        <v>5399.9644669737891</v>
      </c>
      <c r="AB110" s="1094">
        <f>Trucks!F150</f>
        <v>5723.279993294429</v>
      </c>
      <c r="AC110" s="1094">
        <f t="shared" si="90"/>
        <v>5723.279993294429</v>
      </c>
      <c r="AD110" s="1094">
        <f t="shared" si="90"/>
        <v>5723.279993294429</v>
      </c>
      <c r="AE110" s="1094">
        <f t="shared" si="90"/>
        <v>5723.279993294429</v>
      </c>
      <c r="AF110" s="1094">
        <v>166</v>
      </c>
      <c r="AG110" s="1093"/>
      <c r="AH110" s="1093"/>
      <c r="AI110" s="1093"/>
      <c r="AJ110" s="1093"/>
      <c r="AK110" s="1093"/>
      <c r="AL110" s="1094">
        <v>1</v>
      </c>
      <c r="AM110" s="1094">
        <v>0</v>
      </c>
      <c r="AN110" s="1094"/>
      <c r="AO110" s="1094"/>
      <c r="AP110" s="1094"/>
      <c r="AQ110" s="1094"/>
      <c r="AR110" s="1094"/>
      <c r="AS110" s="1094"/>
      <c r="AT110" s="1094"/>
      <c r="AU110" s="1094"/>
      <c r="AV110" s="1094"/>
      <c r="AZ110" s="1088">
        <v>19</v>
      </c>
    </row>
    <row r="111" spans="1:52" s="1084" customFormat="1" ht="12" customHeight="1" x14ac:dyDescent="0.2">
      <c r="A111" s="1071" t="str">
        <f>Technologies!B161</f>
        <v>R2,R3,R4,R5,R6</v>
      </c>
      <c r="B111" s="1071" t="str">
        <f>Technologies!C161</f>
        <v>THSCNGC10</v>
      </c>
      <c r="C111" s="1071" t="str">
        <f>Technologies!D161</f>
        <v>Heavy Truck, Short Haul, Conventional CNG 2010</v>
      </c>
      <c r="D111" s="1071" t="s">
        <v>480</v>
      </c>
      <c r="E111" s="1071" t="str">
        <f>Commodities!C$58</f>
        <v>THCNG</v>
      </c>
      <c r="F111" s="1071" t="str">
        <f>Commodities!C$12</f>
        <v>THS</v>
      </c>
      <c r="G111" s="1091">
        <v>1</v>
      </c>
      <c r="H111" s="1094">
        <v>2010</v>
      </c>
      <c r="I111" s="1091">
        <f t="shared" si="76"/>
        <v>24</v>
      </c>
      <c r="J111" s="1091">
        <v>0.22</v>
      </c>
      <c r="K111" s="1092">
        <f>Trucks!H151</f>
        <v>3.0116116483317988E-2</v>
      </c>
      <c r="L111" s="1091"/>
      <c r="M111" s="1092"/>
      <c r="N111" s="1092"/>
      <c r="O111" s="1092"/>
      <c r="P111" s="1092"/>
      <c r="Q111" s="1092"/>
      <c r="R111" s="1092"/>
      <c r="S111" s="1092"/>
      <c r="T111" s="1092"/>
      <c r="U111" s="1092"/>
      <c r="V111" s="1094">
        <f>Trucks!F151</f>
        <v>4952.9055905125924</v>
      </c>
      <c r="W111" s="1094"/>
      <c r="X111" s="1094"/>
      <c r="Y111" s="1094"/>
      <c r="Z111" s="1094"/>
      <c r="AA111" s="1094"/>
      <c r="AB111" s="1094"/>
      <c r="AC111" s="1094"/>
      <c r="AD111" s="1094"/>
      <c r="AE111" s="1094"/>
      <c r="AF111" s="1094">
        <f>Trucks!G151</f>
        <v>248.80470075014617</v>
      </c>
      <c r="AG111" s="1093"/>
      <c r="AH111" s="1093"/>
      <c r="AI111" s="1093"/>
      <c r="AJ111" s="1093"/>
      <c r="AK111" s="1093"/>
      <c r="AL111" s="1094">
        <v>1</v>
      </c>
      <c r="AM111" s="1094">
        <v>0</v>
      </c>
      <c r="AN111" s="1094">
        <v>0</v>
      </c>
      <c r="AO111" s="1094">
        <v>0</v>
      </c>
      <c r="AP111" s="1094">
        <v>0</v>
      </c>
      <c r="AQ111" s="1094">
        <v>0</v>
      </c>
      <c r="AR111" s="1094">
        <v>0</v>
      </c>
      <c r="AS111" s="1094">
        <v>0</v>
      </c>
      <c r="AT111" s="1094">
        <v>0</v>
      </c>
      <c r="AU111" s="1094">
        <v>0</v>
      </c>
      <c r="AV111" s="1094">
        <v>0</v>
      </c>
      <c r="AZ111" s="1088">
        <v>19</v>
      </c>
    </row>
    <row r="112" spans="1:52" s="1084" customFormat="1" ht="12" customHeight="1" x14ac:dyDescent="0.2">
      <c r="A112" s="1071" t="str">
        <f>Technologies!B162</f>
        <v>R2,R3,R4,R5,R6</v>
      </c>
      <c r="B112" s="1071" t="str">
        <f>Technologies!C162</f>
        <v>THSCNGC</v>
      </c>
      <c r="C112" s="1071" t="str">
        <f>Technologies!D162</f>
        <v>Heavy Truck, Short Haul, Conventional CNG</v>
      </c>
      <c r="D112" s="1071" t="s">
        <v>480</v>
      </c>
      <c r="E112" s="1071" t="str">
        <f>Commodities!C$58</f>
        <v>THCNG</v>
      </c>
      <c r="F112" s="1071" t="str">
        <f>Commodities!C$12</f>
        <v>THS</v>
      </c>
      <c r="G112" s="1091">
        <v>1</v>
      </c>
      <c r="H112" s="1094">
        <v>2015</v>
      </c>
      <c r="I112" s="1091">
        <f t="shared" si="76"/>
        <v>24</v>
      </c>
      <c r="J112" s="1091">
        <v>0.22</v>
      </c>
      <c r="K112" s="1091"/>
      <c r="L112" s="1091"/>
      <c r="M112" s="1092">
        <f>Trucks!H152</f>
        <v>3.2948915658485532E-2</v>
      </c>
      <c r="N112" s="1092">
        <f t="shared" ref="N112:U112" si="91">M112</f>
        <v>3.2948915658485532E-2</v>
      </c>
      <c r="O112" s="1092">
        <f t="shared" si="91"/>
        <v>3.2948915658485532E-2</v>
      </c>
      <c r="P112" s="1092">
        <f t="shared" si="91"/>
        <v>3.2948915658485532E-2</v>
      </c>
      <c r="Q112" s="1092">
        <f t="shared" si="91"/>
        <v>3.2948915658485532E-2</v>
      </c>
      <c r="R112" s="1092">
        <f t="shared" si="91"/>
        <v>3.2948915658485532E-2</v>
      </c>
      <c r="S112" s="1092">
        <f t="shared" si="91"/>
        <v>3.2948915658485532E-2</v>
      </c>
      <c r="T112" s="1092">
        <f t="shared" si="91"/>
        <v>3.2948915658485532E-2</v>
      </c>
      <c r="U112" s="1092">
        <f t="shared" si="91"/>
        <v>3.2948915658485532E-2</v>
      </c>
      <c r="V112" s="1091"/>
      <c r="W112" s="1094">
        <f>Trucks!F152</f>
        <v>5048.1575476405824</v>
      </c>
      <c r="X112" s="1094">
        <f t="shared" ref="X112:AE112" si="92">W112</f>
        <v>5048.1575476405824</v>
      </c>
      <c r="Y112" s="1094">
        <f t="shared" si="92"/>
        <v>5048.1575476405824</v>
      </c>
      <c r="Z112" s="1094">
        <f t="shared" si="92"/>
        <v>5048.1575476405824</v>
      </c>
      <c r="AA112" s="1094">
        <f t="shared" si="92"/>
        <v>5048.1575476405824</v>
      </c>
      <c r="AB112" s="1094">
        <f t="shared" si="92"/>
        <v>5048.1575476405824</v>
      </c>
      <c r="AC112" s="1094">
        <f t="shared" si="92"/>
        <v>5048.1575476405824</v>
      </c>
      <c r="AD112" s="1094">
        <f t="shared" si="92"/>
        <v>5048.1575476405824</v>
      </c>
      <c r="AE112" s="1094">
        <f t="shared" si="92"/>
        <v>5048.1575476405824</v>
      </c>
      <c r="AF112" s="1094">
        <f>Trucks!G152</f>
        <v>248.80470075014617</v>
      </c>
      <c r="AG112" s="1093"/>
      <c r="AH112" s="1093"/>
      <c r="AI112" s="1093"/>
      <c r="AJ112" s="1093"/>
      <c r="AK112" s="1093"/>
      <c r="AL112" s="1094">
        <v>1</v>
      </c>
      <c r="AM112" s="1094">
        <v>0</v>
      </c>
      <c r="AN112" s="1094">
        <v>0</v>
      </c>
      <c r="AO112" s="1094"/>
      <c r="AP112" s="1094"/>
      <c r="AQ112" s="1094"/>
      <c r="AR112" s="1094"/>
      <c r="AS112" s="1094"/>
      <c r="AT112" s="1094"/>
      <c r="AU112" s="1094"/>
      <c r="AV112" s="1094"/>
      <c r="AZ112" s="1088">
        <f>Trucks!E152</f>
        <v>19</v>
      </c>
    </row>
    <row r="113" spans="1:52" s="1084" customFormat="1" ht="12" customHeight="1" x14ac:dyDescent="0.2">
      <c r="A113" s="1071" t="s">
        <v>115</v>
      </c>
      <c r="B113" s="1071" t="str">
        <f>Technologies!C163</f>
        <v>THSCNGC2</v>
      </c>
      <c r="C113" s="1071" t="str">
        <f>Technologies!D163</f>
        <v>Heavy Truck, Short Haul, Conventional CNG</v>
      </c>
      <c r="D113" s="1071" t="s">
        <v>480</v>
      </c>
      <c r="E113" s="1071" t="str">
        <f>Commodities!C$58</f>
        <v>THCNG</v>
      </c>
      <c r="F113" s="1071" t="str">
        <f>Commodities!C$12</f>
        <v>THS</v>
      </c>
      <c r="G113" s="1091">
        <v>1</v>
      </c>
      <c r="H113" s="1094">
        <v>2015</v>
      </c>
      <c r="I113" s="1091">
        <f t="shared" si="76"/>
        <v>24</v>
      </c>
      <c r="J113" s="1091">
        <f>J112</f>
        <v>0.22</v>
      </c>
      <c r="K113" s="1091"/>
      <c r="L113" s="1091"/>
      <c r="M113" s="1092">
        <f t="shared" ref="M113:U113" si="93">M112</f>
        <v>3.2948915658485532E-2</v>
      </c>
      <c r="N113" s="1092">
        <f t="shared" si="93"/>
        <v>3.2948915658485532E-2</v>
      </c>
      <c r="O113" s="1092">
        <f t="shared" si="93"/>
        <v>3.2948915658485532E-2</v>
      </c>
      <c r="P113" s="1092">
        <f t="shared" si="93"/>
        <v>3.2948915658485532E-2</v>
      </c>
      <c r="Q113" s="1092">
        <f t="shared" si="93"/>
        <v>3.2948915658485532E-2</v>
      </c>
      <c r="R113" s="1092">
        <f t="shared" si="93"/>
        <v>3.2948915658485532E-2</v>
      </c>
      <c r="S113" s="1092">
        <f t="shared" si="93"/>
        <v>3.2948915658485532E-2</v>
      </c>
      <c r="T113" s="1092">
        <f t="shared" si="93"/>
        <v>3.2948915658485532E-2</v>
      </c>
      <c r="U113" s="1092">
        <f t="shared" si="93"/>
        <v>3.2948915658485532E-2</v>
      </c>
      <c r="V113" s="1091"/>
      <c r="W113" s="1094">
        <f t="shared" ref="W113:AF113" si="94">W112</f>
        <v>5048.1575476405824</v>
      </c>
      <c r="X113" s="1094">
        <f t="shared" si="94"/>
        <v>5048.1575476405824</v>
      </c>
      <c r="Y113" s="1094">
        <f t="shared" si="94"/>
        <v>5048.1575476405824</v>
      </c>
      <c r="Z113" s="1094">
        <f t="shared" si="94"/>
        <v>5048.1575476405824</v>
      </c>
      <c r="AA113" s="1094">
        <f t="shared" si="94"/>
        <v>5048.1575476405824</v>
      </c>
      <c r="AB113" s="1094">
        <f t="shared" si="94"/>
        <v>5048.1575476405824</v>
      </c>
      <c r="AC113" s="1094">
        <f t="shared" si="94"/>
        <v>5048.1575476405824</v>
      </c>
      <c r="AD113" s="1094">
        <f t="shared" si="94"/>
        <v>5048.1575476405824</v>
      </c>
      <c r="AE113" s="1094">
        <f t="shared" si="94"/>
        <v>5048.1575476405824</v>
      </c>
      <c r="AF113" s="1094">
        <f t="shared" si="94"/>
        <v>248.80470075014617</v>
      </c>
      <c r="AG113" s="1093"/>
      <c r="AH113" s="1093"/>
      <c r="AI113" s="1093"/>
      <c r="AJ113" s="1093"/>
      <c r="AK113" s="1093"/>
      <c r="AL113" s="1094">
        <v>1</v>
      </c>
      <c r="AM113" s="1094">
        <v>0</v>
      </c>
      <c r="AN113" s="1094">
        <v>0</v>
      </c>
      <c r="AO113" s="1094"/>
      <c r="AP113" s="1094"/>
      <c r="AQ113" s="1094"/>
      <c r="AR113" s="1094"/>
      <c r="AS113" s="1094"/>
      <c r="AT113" s="1094"/>
      <c r="AU113" s="1094"/>
      <c r="AV113" s="1094"/>
      <c r="AZ113" s="1088">
        <f>AZ112</f>
        <v>19</v>
      </c>
    </row>
    <row r="114" spans="1:52" s="1084" customFormat="1" ht="12" customHeight="1" x14ac:dyDescent="0.2">
      <c r="A114" s="1071" t="str">
        <f>Technologies!B164</f>
        <v>R2,R3,R4,R5,R6</v>
      </c>
      <c r="B114" s="1071" t="str">
        <f>Technologies!C164</f>
        <v>THSCNGIM</v>
      </c>
      <c r="C114" s="1071" t="str">
        <f>Technologies!D164</f>
        <v>Heavy Truck, Short Haul, Improved CNG</v>
      </c>
      <c r="D114" s="1071" t="s">
        <v>480</v>
      </c>
      <c r="E114" s="1071" t="str">
        <f>Commodities!C$58</f>
        <v>THCNG</v>
      </c>
      <c r="F114" s="1071" t="str">
        <f>Commodities!C$12</f>
        <v>THS</v>
      </c>
      <c r="G114" s="1091">
        <v>1</v>
      </c>
      <c r="H114" s="1094">
        <v>2025</v>
      </c>
      <c r="I114" s="1091">
        <f t="shared" si="76"/>
        <v>24</v>
      </c>
      <c r="J114" s="1091">
        <v>0.24</v>
      </c>
      <c r="K114" s="1091"/>
      <c r="L114" s="1092"/>
      <c r="M114" s="1092"/>
      <c r="N114" s="1092"/>
      <c r="O114" s="1092">
        <f>Trucks!H154</f>
        <v>3.4091052440764963E-2</v>
      </c>
      <c r="P114" s="1092">
        <f>O114</f>
        <v>3.4091052440764963E-2</v>
      </c>
      <c r="Q114" s="1092">
        <f>P114</f>
        <v>3.4091052440764963E-2</v>
      </c>
      <c r="R114" s="1092">
        <f>Trucks!H155</f>
        <v>3.4783256551237353E-2</v>
      </c>
      <c r="S114" s="1092">
        <f>R114</f>
        <v>3.4783256551237353E-2</v>
      </c>
      <c r="T114" s="1092">
        <f>S114</f>
        <v>3.4783256551237353E-2</v>
      </c>
      <c r="U114" s="1092">
        <f>T114</f>
        <v>3.4783256551237353E-2</v>
      </c>
      <c r="V114" s="1091"/>
      <c r="W114" s="1094"/>
      <c r="X114" s="1094"/>
      <c r="Y114" s="1094">
        <f>Trucks!F154</f>
        <v>5076.1886458215085</v>
      </c>
      <c r="Z114" s="1094">
        <f>Y114</f>
        <v>5076.1886458215085</v>
      </c>
      <c r="AA114" s="1094">
        <f>Z114</f>
        <v>5076.1886458215085</v>
      </c>
      <c r="AB114" s="1094">
        <f>Trucks!F155</f>
        <v>5114.4373145623867</v>
      </c>
      <c r="AC114" s="1094">
        <f>AB114</f>
        <v>5114.4373145623867</v>
      </c>
      <c r="AD114" s="1094">
        <f>AC114</f>
        <v>5114.4373145623867</v>
      </c>
      <c r="AE114" s="1094">
        <f>AD114</f>
        <v>5114.4373145623867</v>
      </c>
      <c r="AF114" s="1094">
        <v>249</v>
      </c>
      <c r="AG114" s="1093"/>
      <c r="AH114" s="1093"/>
      <c r="AI114" s="1093"/>
      <c r="AJ114" s="1093"/>
      <c r="AK114" s="1093"/>
      <c r="AL114" s="1094">
        <v>1</v>
      </c>
      <c r="AM114" s="1094">
        <v>0</v>
      </c>
      <c r="AN114" s="1094">
        <v>0</v>
      </c>
      <c r="AO114" s="1094"/>
      <c r="AP114" s="1094"/>
      <c r="AQ114" s="1094"/>
      <c r="AR114" s="1094"/>
      <c r="AS114" s="1094"/>
      <c r="AT114" s="1094"/>
      <c r="AU114" s="1094"/>
      <c r="AV114" s="1094"/>
      <c r="AZ114" s="1088">
        <v>19</v>
      </c>
    </row>
    <row r="115" spans="1:52" s="1084" customFormat="1" ht="12" customHeight="1" x14ac:dyDescent="0.2">
      <c r="A115" s="1071" t="str">
        <f>Technologies!B165</f>
        <v>R2,R3,R4,R5,R6</v>
      </c>
      <c r="B115" s="1071" t="str">
        <f>Technologies!C165</f>
        <v>THSCNGIM2</v>
      </c>
      <c r="C115" s="1071" t="str">
        <f>Technologies!D165</f>
        <v>Heavy Truck, Short Haul, Improved CNG</v>
      </c>
      <c r="D115" s="1071" t="s">
        <v>480</v>
      </c>
      <c r="E115" s="1071" t="str">
        <f>Commodities!C$58</f>
        <v>THCNG</v>
      </c>
      <c r="F115" s="1071" t="str">
        <f>Commodities!C$12</f>
        <v>THS</v>
      </c>
      <c r="G115" s="1091">
        <v>1</v>
      </c>
      <c r="H115" s="1094">
        <v>2025</v>
      </c>
      <c r="I115" s="1091">
        <f t="shared" si="76"/>
        <v>24</v>
      </c>
      <c r="J115" s="1091">
        <f>J114</f>
        <v>0.24</v>
      </c>
      <c r="K115" s="1091"/>
      <c r="L115" s="1092"/>
      <c r="M115" s="1092"/>
      <c r="N115" s="1092"/>
      <c r="O115" s="1092">
        <f t="shared" ref="O115:U115" si="95">O114</f>
        <v>3.4091052440764963E-2</v>
      </c>
      <c r="P115" s="1092">
        <f t="shared" si="95"/>
        <v>3.4091052440764963E-2</v>
      </c>
      <c r="Q115" s="1092">
        <f t="shared" si="95"/>
        <v>3.4091052440764963E-2</v>
      </c>
      <c r="R115" s="1092">
        <f t="shared" si="95"/>
        <v>3.4783256551237353E-2</v>
      </c>
      <c r="S115" s="1092">
        <f t="shared" si="95"/>
        <v>3.4783256551237353E-2</v>
      </c>
      <c r="T115" s="1092">
        <f t="shared" si="95"/>
        <v>3.4783256551237353E-2</v>
      </c>
      <c r="U115" s="1092">
        <f t="shared" si="95"/>
        <v>3.4783256551237353E-2</v>
      </c>
      <c r="V115" s="1091"/>
      <c r="W115" s="1094"/>
      <c r="X115" s="1094"/>
      <c r="Y115" s="1094">
        <f t="shared" ref="Y115:AF115" si="96">Y114</f>
        <v>5076.1886458215085</v>
      </c>
      <c r="Z115" s="1094">
        <f t="shared" si="96"/>
        <v>5076.1886458215085</v>
      </c>
      <c r="AA115" s="1094">
        <f t="shared" si="96"/>
        <v>5076.1886458215085</v>
      </c>
      <c r="AB115" s="1094">
        <f t="shared" si="96"/>
        <v>5114.4373145623867</v>
      </c>
      <c r="AC115" s="1094">
        <f t="shared" si="96"/>
        <v>5114.4373145623867</v>
      </c>
      <c r="AD115" s="1094">
        <f t="shared" si="96"/>
        <v>5114.4373145623867</v>
      </c>
      <c r="AE115" s="1094">
        <f t="shared" si="96"/>
        <v>5114.4373145623867</v>
      </c>
      <c r="AF115" s="1094">
        <f t="shared" si="96"/>
        <v>249</v>
      </c>
      <c r="AG115" s="1093"/>
      <c r="AH115" s="1093"/>
      <c r="AI115" s="1093"/>
      <c r="AJ115" s="1093"/>
      <c r="AK115" s="1093"/>
      <c r="AL115" s="1094">
        <v>1</v>
      </c>
      <c r="AM115" s="1094">
        <v>0</v>
      </c>
      <c r="AN115" s="1094">
        <v>0</v>
      </c>
      <c r="AO115" s="1094"/>
      <c r="AP115" s="1094"/>
      <c r="AQ115" s="1094"/>
      <c r="AR115" s="1094"/>
      <c r="AS115" s="1094"/>
      <c r="AT115" s="1094"/>
      <c r="AU115" s="1094"/>
      <c r="AV115" s="1094"/>
      <c r="AZ115" s="1088">
        <f>AZ114</f>
        <v>19</v>
      </c>
    </row>
    <row r="116" spans="1:52" s="1084" customFormat="1" ht="12" customHeight="1" x14ac:dyDescent="0.2">
      <c r="A116" s="1071" t="str">
        <f>Technologies!B166</f>
        <v>R2,R3,R4,R5,R6</v>
      </c>
      <c r="B116" s="1071" t="str">
        <f>Technologies!C166</f>
        <v>THSCNGADV</v>
      </c>
      <c r="C116" s="1071" t="str">
        <f>Technologies!D166</f>
        <v>Heavy Truck, Short Haul, Advanced CNG</v>
      </c>
      <c r="D116" s="1071" t="s">
        <v>480</v>
      </c>
      <c r="E116" s="1071" t="str">
        <f>Commodities!C$58</f>
        <v>THCNG</v>
      </c>
      <c r="F116" s="1071" t="str">
        <f>Commodities!C$12</f>
        <v>THS</v>
      </c>
      <c r="G116" s="1091">
        <v>1</v>
      </c>
      <c r="H116" s="1094">
        <v>2015</v>
      </c>
      <c r="I116" s="1091">
        <f t="shared" si="76"/>
        <v>24</v>
      </c>
      <c r="J116" s="1091">
        <v>0.28000000000000003</v>
      </c>
      <c r="K116" s="1091"/>
      <c r="L116" s="1092"/>
      <c r="M116" s="1092">
        <f>Trucks!H156</f>
        <v>3.5324559443131398E-2</v>
      </c>
      <c r="N116" s="1092">
        <f>M116</f>
        <v>3.5324559443131398E-2</v>
      </c>
      <c r="O116" s="1092">
        <f>Trucks!H157</f>
        <v>3.6124895326253972E-2</v>
      </c>
      <c r="P116" s="1092">
        <f t="shared" ref="P116:U116" si="97">O116</f>
        <v>3.6124895326253972E-2</v>
      </c>
      <c r="Q116" s="1092">
        <f t="shared" si="97"/>
        <v>3.6124895326253972E-2</v>
      </c>
      <c r="R116" s="1092">
        <f t="shared" si="97"/>
        <v>3.6124895326253972E-2</v>
      </c>
      <c r="S116" s="1092">
        <f t="shared" si="97"/>
        <v>3.6124895326253972E-2</v>
      </c>
      <c r="T116" s="1092">
        <f t="shared" si="97"/>
        <v>3.6124895326253972E-2</v>
      </c>
      <c r="U116" s="1092">
        <f t="shared" si="97"/>
        <v>3.6124895326253972E-2</v>
      </c>
      <c r="V116" s="1091"/>
      <c r="W116" s="1094">
        <f>Trucks!F156</f>
        <v>5203.9040663373789</v>
      </c>
      <c r="X116" s="1094">
        <f>W116</f>
        <v>5203.9040663373789</v>
      </c>
      <c r="Y116" s="1094">
        <f>Trucks!F157</f>
        <v>5568.5301715239375</v>
      </c>
      <c r="Z116" s="1094">
        <f>Y116</f>
        <v>5568.5301715239375</v>
      </c>
      <c r="AA116" s="1094">
        <f>Z116</f>
        <v>5568.5301715239375</v>
      </c>
      <c r="AB116" s="1094">
        <f>Trucks!F158</f>
        <v>5412.8970778467474</v>
      </c>
      <c r="AC116" s="1094">
        <f>AB116</f>
        <v>5412.8970778467474</v>
      </c>
      <c r="AD116" s="1094">
        <f>AC116</f>
        <v>5412.8970778467474</v>
      </c>
      <c r="AE116" s="1094">
        <f>AD116</f>
        <v>5412.8970778467474</v>
      </c>
      <c r="AF116" s="1094">
        <f>Trucks!G156</f>
        <v>248.80470075014617</v>
      </c>
      <c r="AG116" s="1093"/>
      <c r="AH116" s="1093"/>
      <c r="AI116" s="1093"/>
      <c r="AJ116" s="1093"/>
      <c r="AK116" s="1093"/>
      <c r="AL116" s="1094">
        <v>1</v>
      </c>
      <c r="AM116" s="1094">
        <v>0</v>
      </c>
      <c r="AN116" s="1094">
        <v>0</v>
      </c>
      <c r="AO116" s="1094"/>
      <c r="AP116" s="1094"/>
      <c r="AQ116" s="1094"/>
      <c r="AR116" s="1094"/>
      <c r="AS116" s="1094"/>
      <c r="AT116" s="1094"/>
      <c r="AU116" s="1094"/>
      <c r="AV116" s="1094"/>
      <c r="AZ116" s="1088">
        <v>19</v>
      </c>
    </row>
    <row r="117" spans="1:52" s="1084" customFormat="1" ht="12" customHeight="1" x14ac:dyDescent="0.2">
      <c r="A117" s="1071" t="s">
        <v>115</v>
      </c>
      <c r="B117" s="1071" t="str">
        <f>Technologies!C167</f>
        <v>THSCNGADV2</v>
      </c>
      <c r="C117" s="1071" t="str">
        <f>Technologies!D167</f>
        <v>Heavy Truck, Short Haul, Advanced CNG</v>
      </c>
      <c r="D117" s="1071" t="s">
        <v>480</v>
      </c>
      <c r="E117" s="1071" t="str">
        <f>Commodities!C$58</f>
        <v>THCNG</v>
      </c>
      <c r="F117" s="1071" t="str">
        <f>Commodities!C$12</f>
        <v>THS</v>
      </c>
      <c r="G117" s="1091">
        <v>1</v>
      </c>
      <c r="H117" s="1094">
        <f>H116</f>
        <v>2015</v>
      </c>
      <c r="I117" s="1094">
        <f>I116</f>
        <v>24</v>
      </c>
      <c r="J117" s="1093">
        <f>J116</f>
        <v>0.28000000000000003</v>
      </c>
      <c r="K117" s="1091"/>
      <c r="L117" s="1092"/>
      <c r="M117" s="1092">
        <f t="shared" ref="M117:U117" si="98">M116</f>
        <v>3.5324559443131398E-2</v>
      </c>
      <c r="N117" s="1092">
        <f t="shared" si="98"/>
        <v>3.5324559443131398E-2</v>
      </c>
      <c r="O117" s="1092">
        <f t="shared" si="98"/>
        <v>3.6124895326253972E-2</v>
      </c>
      <c r="P117" s="1092">
        <f t="shared" si="98"/>
        <v>3.6124895326253972E-2</v>
      </c>
      <c r="Q117" s="1092">
        <f t="shared" si="98"/>
        <v>3.6124895326253972E-2</v>
      </c>
      <c r="R117" s="1092">
        <f t="shared" si="98"/>
        <v>3.6124895326253972E-2</v>
      </c>
      <c r="S117" s="1092">
        <f t="shared" si="98"/>
        <v>3.6124895326253972E-2</v>
      </c>
      <c r="T117" s="1092">
        <f t="shared" si="98"/>
        <v>3.6124895326253972E-2</v>
      </c>
      <c r="U117" s="1092">
        <f t="shared" si="98"/>
        <v>3.6124895326253972E-2</v>
      </c>
      <c r="V117" s="1091"/>
      <c r="W117" s="1094">
        <f t="shared" ref="W117:AF117" si="99">W116</f>
        <v>5203.9040663373789</v>
      </c>
      <c r="X117" s="1094">
        <f t="shared" si="99"/>
        <v>5203.9040663373789</v>
      </c>
      <c r="Y117" s="1094">
        <f t="shared" si="99"/>
        <v>5568.5301715239375</v>
      </c>
      <c r="Z117" s="1094">
        <f t="shared" si="99"/>
        <v>5568.5301715239375</v>
      </c>
      <c r="AA117" s="1094">
        <f t="shared" si="99"/>
        <v>5568.5301715239375</v>
      </c>
      <c r="AB117" s="1094">
        <f t="shared" si="99"/>
        <v>5412.8970778467474</v>
      </c>
      <c r="AC117" s="1094">
        <f t="shared" si="99"/>
        <v>5412.8970778467474</v>
      </c>
      <c r="AD117" s="1094">
        <f t="shared" si="99"/>
        <v>5412.8970778467474</v>
      </c>
      <c r="AE117" s="1094">
        <f t="shared" si="99"/>
        <v>5412.8970778467474</v>
      </c>
      <c r="AF117" s="1094">
        <f t="shared" si="99"/>
        <v>248.80470075014617</v>
      </c>
      <c r="AG117" s="1093"/>
      <c r="AH117" s="1093"/>
      <c r="AI117" s="1093"/>
      <c r="AJ117" s="1093"/>
      <c r="AK117" s="1093"/>
      <c r="AL117" s="1094">
        <v>1</v>
      </c>
      <c r="AM117" s="1094">
        <v>0</v>
      </c>
      <c r="AN117" s="1094">
        <v>0</v>
      </c>
      <c r="AO117" s="1094"/>
      <c r="AP117" s="1094"/>
      <c r="AQ117" s="1094"/>
      <c r="AR117" s="1094"/>
      <c r="AS117" s="1094"/>
      <c r="AT117" s="1094"/>
      <c r="AU117" s="1094"/>
      <c r="AV117" s="1094"/>
      <c r="AZ117" s="1088">
        <f>AZ116</f>
        <v>19</v>
      </c>
    </row>
    <row r="118" spans="1:52" s="1084" customFormat="1" ht="12" customHeight="1" x14ac:dyDescent="0.2">
      <c r="A118" s="1071" t="s">
        <v>115</v>
      </c>
      <c r="B118" s="1071" t="str">
        <f>Technologies!C168</f>
        <v>THSCNGAH</v>
      </c>
      <c r="C118" s="1071" t="str">
        <f>Technologies!D168</f>
        <v>Heavy Truck, Short Haul, Hybrid CNG</v>
      </c>
      <c r="D118" s="1071" t="s">
        <v>480</v>
      </c>
      <c r="E118" s="1071" t="str">
        <f>Commodities!C$58</f>
        <v>THCNG</v>
      </c>
      <c r="F118" s="1071" t="str">
        <f>Commodities!C$12</f>
        <v>THS</v>
      </c>
      <c r="G118" s="1091">
        <v>1</v>
      </c>
      <c r="H118" s="1094">
        <v>2015</v>
      </c>
      <c r="I118" s="1091">
        <f t="shared" ref="I118:I140" si="100">AZ118+5</f>
        <v>24</v>
      </c>
      <c r="J118" s="1091">
        <v>0.28000000000000003</v>
      </c>
      <c r="K118" s="1091"/>
      <c r="L118" s="1092"/>
      <c r="M118" s="1092">
        <f>Trucks!H159</f>
        <v>4.6931200403017417E-2</v>
      </c>
      <c r="N118" s="1092">
        <f>M118</f>
        <v>4.6931200403017417E-2</v>
      </c>
      <c r="O118" s="1092">
        <f>Trucks!H160</f>
        <v>4.7994503790594556E-2</v>
      </c>
      <c r="P118" s="1092">
        <f>O118</f>
        <v>4.7994503790594556E-2</v>
      </c>
      <c r="Q118" s="1092">
        <f>P118</f>
        <v>4.7994503790594556E-2</v>
      </c>
      <c r="R118" s="1092">
        <f>Trucks!H161</f>
        <v>4.7994503790594556E-2</v>
      </c>
      <c r="S118" s="1092">
        <f>R118</f>
        <v>4.7994503790594556E-2</v>
      </c>
      <c r="T118" s="1092">
        <f>S118</f>
        <v>4.7994503790594556E-2</v>
      </c>
      <c r="U118" s="1092">
        <f>T118</f>
        <v>4.7994503790594556E-2</v>
      </c>
      <c r="V118" s="1091"/>
      <c r="W118" s="1094">
        <f>Trucks!F159</f>
        <v>6185.328606964511</v>
      </c>
      <c r="X118" s="1094">
        <f>W118</f>
        <v>6185.328606964511</v>
      </c>
      <c r="Y118" s="1094">
        <f>Trucks!F160</f>
        <v>6213.4941468633324</v>
      </c>
      <c r="Z118" s="1094">
        <f>Y118</f>
        <v>6213.4941468633324</v>
      </c>
      <c r="AA118" s="1094">
        <f>Z118</f>
        <v>6213.4941468633324</v>
      </c>
      <c r="AB118" s="1094">
        <f>Trucks!F161</f>
        <v>6057.8610531861414</v>
      </c>
      <c r="AC118" s="1094">
        <f>AB118</f>
        <v>6057.8610531861414</v>
      </c>
      <c r="AD118" s="1094">
        <f>AC118</f>
        <v>6057.8610531861414</v>
      </c>
      <c r="AE118" s="1094">
        <f>AD118</f>
        <v>6057.8610531861414</v>
      </c>
      <c r="AF118" s="1094">
        <f>Trucks!G159</f>
        <v>237.85729391713974</v>
      </c>
      <c r="AG118" s="1093"/>
      <c r="AH118" s="1093"/>
      <c r="AI118" s="1093"/>
      <c r="AJ118" s="1093"/>
      <c r="AK118" s="1093"/>
      <c r="AL118" s="1094">
        <v>1</v>
      </c>
      <c r="AM118" s="1094">
        <v>0</v>
      </c>
      <c r="AN118" s="1094"/>
      <c r="AO118" s="1094"/>
      <c r="AP118" s="1094"/>
      <c r="AQ118" s="1094"/>
      <c r="AR118" s="1094"/>
      <c r="AS118" s="1094"/>
      <c r="AT118" s="1094"/>
      <c r="AU118" s="1094"/>
      <c r="AV118" s="1094"/>
      <c r="AZ118" s="1088">
        <v>19</v>
      </c>
    </row>
    <row r="119" spans="1:52" s="1084" customFormat="1" ht="12" customHeight="1" x14ac:dyDescent="0.2">
      <c r="A119" s="1071" t="s">
        <v>115</v>
      </c>
      <c r="B119" s="1071" t="str">
        <f>Technologies!C169</f>
        <v>THLDSLE</v>
      </c>
      <c r="C119" s="1071" t="str">
        <f>Technologies!D169</f>
        <v>Heavy Truck, Long Haul, Diesel exisiting</v>
      </c>
      <c r="D119" s="1071" t="s">
        <v>480</v>
      </c>
      <c r="E119" s="1071" t="str">
        <f>Commodities!C44</f>
        <v>THDSL</v>
      </c>
      <c r="F119" s="1071" t="str">
        <f>Commodities!C$13</f>
        <v>THL</v>
      </c>
      <c r="G119" s="1091">
        <v>1</v>
      </c>
      <c r="H119" s="1091">
        <v>2010</v>
      </c>
      <c r="I119" s="1091">
        <f t="shared" si="100"/>
        <v>17</v>
      </c>
      <c r="J119" s="1091"/>
      <c r="K119" s="1092">
        <f>Trucks!H206</f>
        <v>4.2022307542363531E-2</v>
      </c>
      <c r="L119" s="1091"/>
      <c r="M119" s="1092"/>
      <c r="N119" s="1092"/>
      <c r="O119" s="1092"/>
      <c r="P119" s="1092"/>
      <c r="Q119" s="1092"/>
      <c r="R119" s="1092"/>
      <c r="S119" s="1092"/>
      <c r="T119" s="1092"/>
      <c r="U119" s="1092"/>
      <c r="V119" s="1094"/>
      <c r="W119" s="1094"/>
      <c r="X119" s="1094"/>
      <c r="Y119" s="1094"/>
      <c r="Z119" s="1094"/>
      <c r="AA119" s="1094"/>
      <c r="AB119" s="1094"/>
      <c r="AC119" s="1094"/>
      <c r="AD119" s="1094"/>
      <c r="AE119" s="1094"/>
      <c r="AF119" s="1094">
        <f>Trucks!G206</f>
        <v>148.77789585547293</v>
      </c>
      <c r="AG119" s="1093"/>
      <c r="AH119" s="1093"/>
      <c r="AI119" s="1093"/>
      <c r="AJ119" s="1093"/>
      <c r="AK119" s="1093"/>
      <c r="AL119" s="1094">
        <v>1</v>
      </c>
      <c r="AM119" s="1094">
        <v>0</v>
      </c>
      <c r="AN119" s="1094">
        <v>0</v>
      </c>
      <c r="AO119" s="1094">
        <v>0</v>
      </c>
      <c r="AP119" s="1094">
        <v>0</v>
      </c>
      <c r="AQ119" s="1094">
        <v>0</v>
      </c>
      <c r="AR119" s="1094">
        <v>0</v>
      </c>
      <c r="AS119" s="1094">
        <v>0</v>
      </c>
      <c r="AT119" s="1094">
        <v>0</v>
      </c>
      <c r="AU119" s="1094">
        <v>0</v>
      </c>
      <c r="AV119" s="1094">
        <v>0</v>
      </c>
      <c r="AZ119" s="1088">
        <f>Trucks!E206</f>
        <v>12</v>
      </c>
    </row>
    <row r="120" spans="1:52" s="1084" customFormat="1" ht="12" customHeight="1" x14ac:dyDescent="0.2">
      <c r="A120" s="1071" t="s">
        <v>115</v>
      </c>
      <c r="B120" s="1071" t="str">
        <f>Technologies!C170</f>
        <v>THLLPGE</v>
      </c>
      <c r="C120" s="1071" t="str">
        <f>Technologies!D170</f>
        <v>Heavy Truck, Long Haul, LPG exisiting</v>
      </c>
      <c r="D120" s="1071" t="s">
        <v>480</v>
      </c>
      <c r="E120" s="1071" t="str">
        <f>Commodities!C29</f>
        <v>TRNLPG1</v>
      </c>
      <c r="F120" s="1071" t="str">
        <f>Commodities!C$13</f>
        <v>THL</v>
      </c>
      <c r="G120" s="1091">
        <v>1</v>
      </c>
      <c r="H120" s="1091">
        <v>2010</v>
      </c>
      <c r="I120" s="1091">
        <f t="shared" si="100"/>
        <v>17</v>
      </c>
      <c r="J120" s="1091"/>
      <c r="K120" s="1092">
        <f>Trucks!H207</f>
        <v>3.9708827872133132E-2</v>
      </c>
      <c r="L120" s="1091"/>
      <c r="M120" s="1092"/>
      <c r="N120" s="1092"/>
      <c r="O120" s="1092"/>
      <c r="P120" s="1092"/>
      <c r="Q120" s="1092"/>
      <c r="R120" s="1092"/>
      <c r="S120" s="1092"/>
      <c r="T120" s="1092"/>
      <c r="U120" s="1092"/>
      <c r="V120" s="1094"/>
      <c r="W120" s="1094"/>
      <c r="X120" s="1094"/>
      <c r="Y120" s="1094"/>
      <c r="Z120" s="1094"/>
      <c r="AA120" s="1094"/>
      <c r="AB120" s="1094"/>
      <c r="AC120" s="1094"/>
      <c r="AD120" s="1094"/>
      <c r="AE120" s="1094"/>
      <c r="AF120" s="1094">
        <f>Trucks!G207</f>
        <v>289.82706984832384</v>
      </c>
      <c r="AG120" s="1093"/>
      <c r="AH120" s="1093"/>
      <c r="AI120" s="1093"/>
      <c r="AJ120" s="1093"/>
      <c r="AK120" s="1093"/>
      <c r="AL120" s="1094">
        <v>1</v>
      </c>
      <c r="AM120" s="1094">
        <v>0</v>
      </c>
      <c r="AN120" s="1094">
        <v>0</v>
      </c>
      <c r="AO120" s="1094">
        <v>0</v>
      </c>
      <c r="AP120" s="1094">
        <v>0</v>
      </c>
      <c r="AQ120" s="1094">
        <v>0</v>
      </c>
      <c r="AR120" s="1094">
        <v>0</v>
      </c>
      <c r="AS120" s="1094">
        <v>0</v>
      </c>
      <c r="AT120" s="1094">
        <v>0</v>
      </c>
      <c r="AU120" s="1094">
        <v>0</v>
      </c>
      <c r="AV120" s="1094">
        <v>0</v>
      </c>
      <c r="AZ120" s="1088">
        <f>Trucks!E207</f>
        <v>12</v>
      </c>
    </row>
    <row r="121" spans="1:52" s="1084" customFormat="1" ht="12" customHeight="1" x14ac:dyDescent="0.2">
      <c r="A121" s="1071" t="s">
        <v>115</v>
      </c>
      <c r="B121" s="1071" t="str">
        <f>Technologies!C171</f>
        <v>THLDSLC10</v>
      </c>
      <c r="C121" s="1071" t="str">
        <f>Technologies!D171</f>
        <v>Heavy Truck, Long Haul, Diesel Conventional 2010</v>
      </c>
      <c r="D121" s="1071" t="s">
        <v>480</v>
      </c>
      <c r="E121" s="1071" t="str">
        <f>Commodities!C44</f>
        <v>THDSL</v>
      </c>
      <c r="F121" s="1071" t="str">
        <f>Commodities!C$13</f>
        <v>THL</v>
      </c>
      <c r="G121" s="1091">
        <v>1</v>
      </c>
      <c r="H121" s="1094">
        <v>2010</v>
      </c>
      <c r="I121" s="1091">
        <f t="shared" si="100"/>
        <v>17</v>
      </c>
      <c r="J121" s="1091">
        <v>0.18</v>
      </c>
      <c r="K121" s="1092">
        <f>Trucks!H172</f>
        <v>4.2741355933938345E-2</v>
      </c>
      <c r="L121" s="1091"/>
      <c r="M121" s="1092"/>
      <c r="N121" s="1092"/>
      <c r="O121" s="1092"/>
      <c r="P121" s="1092"/>
      <c r="Q121" s="1092"/>
      <c r="R121" s="1092"/>
      <c r="S121" s="1092"/>
      <c r="T121" s="1092"/>
      <c r="U121" s="1092"/>
      <c r="V121" s="1094">
        <f>Trucks!F172</f>
        <v>1586.6830558675817</v>
      </c>
      <c r="W121" s="1094"/>
      <c r="X121" s="1094"/>
      <c r="Y121" s="1094"/>
      <c r="Z121" s="1094"/>
      <c r="AA121" s="1094"/>
      <c r="AB121" s="1094"/>
      <c r="AC121" s="1094"/>
      <c r="AD121" s="1094"/>
      <c r="AE121" s="1094"/>
      <c r="AF121" s="1094">
        <f>Trucks!G172</f>
        <v>148.77789585547293</v>
      </c>
      <c r="AG121" s="1093"/>
      <c r="AH121" s="1093"/>
      <c r="AI121" s="1093"/>
      <c r="AJ121" s="1093"/>
      <c r="AK121" s="1093"/>
      <c r="AL121" s="1094">
        <v>1</v>
      </c>
      <c r="AM121" s="1094"/>
      <c r="AN121" s="1094">
        <v>0</v>
      </c>
      <c r="AO121" s="1094">
        <v>0</v>
      </c>
      <c r="AP121" s="1094">
        <v>0</v>
      </c>
      <c r="AQ121" s="1094">
        <v>0</v>
      </c>
      <c r="AR121" s="1094">
        <v>0</v>
      </c>
      <c r="AS121" s="1094">
        <v>0</v>
      </c>
      <c r="AT121" s="1094">
        <v>0</v>
      </c>
      <c r="AU121" s="1094">
        <v>0</v>
      </c>
      <c r="AV121" s="1094">
        <v>0</v>
      </c>
      <c r="AZ121" s="1088">
        <f>Trucks!E173</f>
        <v>12</v>
      </c>
    </row>
    <row r="122" spans="1:52" s="1084" customFormat="1" ht="12" customHeight="1" x14ac:dyDescent="0.2">
      <c r="A122" s="1071" t="s">
        <v>115</v>
      </c>
      <c r="B122" s="1071" t="str">
        <f>Technologies!C172</f>
        <v>THLDSLC</v>
      </c>
      <c r="C122" s="1071" t="str">
        <f>Technologies!D172</f>
        <v>Heavy Truck, Long Haul, Conv. Diesel</v>
      </c>
      <c r="D122" s="1071" t="s">
        <v>480</v>
      </c>
      <c r="E122" s="1071" t="str">
        <f>Commodities!C44</f>
        <v>THDSL</v>
      </c>
      <c r="F122" s="1071" t="str">
        <f>Commodities!C$13</f>
        <v>THL</v>
      </c>
      <c r="G122" s="1091">
        <v>1</v>
      </c>
      <c r="H122" s="1094">
        <v>2015</v>
      </c>
      <c r="I122" s="1091">
        <f t="shared" si="100"/>
        <v>17</v>
      </c>
      <c r="J122" s="1091">
        <v>0.18</v>
      </c>
      <c r="K122" s="1092"/>
      <c r="L122" s="1091"/>
      <c r="M122" s="1092">
        <f>Trucks!H173</f>
        <v>4.6675189351799498E-2</v>
      </c>
      <c r="N122" s="1092">
        <f>Trucks!H174</f>
        <v>5.0853666573053249E-2</v>
      </c>
      <c r="O122" s="1092">
        <f t="shared" ref="O122:U122" si="101">N122</f>
        <v>5.0853666573053249E-2</v>
      </c>
      <c r="P122" s="1092">
        <f t="shared" si="101"/>
        <v>5.0853666573053249E-2</v>
      </c>
      <c r="Q122" s="1092">
        <f t="shared" si="101"/>
        <v>5.0853666573053249E-2</v>
      </c>
      <c r="R122" s="1092">
        <f t="shared" si="101"/>
        <v>5.0853666573053249E-2</v>
      </c>
      <c r="S122" s="1092">
        <f t="shared" si="101"/>
        <v>5.0853666573053249E-2</v>
      </c>
      <c r="T122" s="1092">
        <f t="shared" si="101"/>
        <v>5.0853666573053249E-2</v>
      </c>
      <c r="U122" s="1092">
        <f t="shared" si="101"/>
        <v>5.0853666573053249E-2</v>
      </c>
      <c r="V122" s="1091"/>
      <c r="W122" s="1094">
        <f>Trucks!F173</f>
        <v>1633.7672732304202</v>
      </c>
      <c r="X122" s="1094">
        <f>Trucks!F174</f>
        <v>1705.7129669639387</v>
      </c>
      <c r="Y122" s="1094">
        <f t="shared" ref="Y122:AE122" si="102">X122</f>
        <v>1705.7129669639387</v>
      </c>
      <c r="Z122" s="1094">
        <f t="shared" si="102"/>
        <v>1705.7129669639387</v>
      </c>
      <c r="AA122" s="1094">
        <f t="shared" si="102"/>
        <v>1705.7129669639387</v>
      </c>
      <c r="AB122" s="1094">
        <f t="shared" si="102"/>
        <v>1705.7129669639387</v>
      </c>
      <c r="AC122" s="1094">
        <f t="shared" si="102"/>
        <v>1705.7129669639387</v>
      </c>
      <c r="AD122" s="1094">
        <f t="shared" si="102"/>
        <v>1705.7129669639387</v>
      </c>
      <c r="AE122" s="1094">
        <f t="shared" si="102"/>
        <v>1705.7129669639387</v>
      </c>
      <c r="AF122" s="1094">
        <f>Trucks!G173</f>
        <v>148.77789585547293</v>
      </c>
      <c r="AG122" s="1093"/>
      <c r="AH122" s="1093"/>
      <c r="AI122" s="1093"/>
      <c r="AJ122" s="1093"/>
      <c r="AK122" s="1093"/>
      <c r="AL122" s="1094">
        <v>1</v>
      </c>
      <c r="AM122" s="1094"/>
      <c r="AN122" s="1094"/>
      <c r="AO122" s="1094"/>
      <c r="AP122" s="1094"/>
      <c r="AQ122" s="1094"/>
      <c r="AR122" s="1094"/>
      <c r="AS122" s="1094"/>
      <c r="AT122" s="1094"/>
      <c r="AU122" s="1094"/>
      <c r="AV122" s="1094"/>
      <c r="AZ122" s="1088">
        <f>Trucks!E173</f>
        <v>12</v>
      </c>
    </row>
    <row r="123" spans="1:52" s="1084" customFormat="1" ht="12" customHeight="1" x14ac:dyDescent="0.2">
      <c r="A123" s="1071" t="s">
        <v>115</v>
      </c>
      <c r="B123" s="1071" t="str">
        <f>Technologies!C173</f>
        <v>THLDSLIM</v>
      </c>
      <c r="C123" s="1071" t="str">
        <f>Technologies!D173</f>
        <v>Heavy Truck, Long Haul, Improved Diesel</v>
      </c>
      <c r="D123" s="1071" t="s">
        <v>480</v>
      </c>
      <c r="E123" s="1071" t="str">
        <f>Commodities!C44</f>
        <v>THDSL</v>
      </c>
      <c r="F123" s="1071" t="str">
        <f>Commodities!C$13</f>
        <v>THL</v>
      </c>
      <c r="G123" s="1091">
        <v>1</v>
      </c>
      <c r="H123" s="1094">
        <v>2025</v>
      </c>
      <c r="I123" s="1091">
        <f t="shared" si="100"/>
        <v>17</v>
      </c>
      <c r="J123" s="1091">
        <v>0.24</v>
      </c>
      <c r="K123" s="1092"/>
      <c r="L123" s="1091"/>
      <c r="M123" s="1092"/>
      <c r="N123" s="1092"/>
      <c r="O123" s="1092">
        <f>Trucks!H175</f>
        <v>5.3053883474229534E-2</v>
      </c>
      <c r="P123" s="1092">
        <f t="shared" ref="P123:Q127" si="103">O123</f>
        <v>5.3053883474229534E-2</v>
      </c>
      <c r="Q123" s="1092">
        <f t="shared" si="103"/>
        <v>5.3053883474229534E-2</v>
      </c>
      <c r="R123" s="1092">
        <f>Trucks!H176</f>
        <v>5.3053883474229534E-2</v>
      </c>
      <c r="S123" s="1092">
        <f t="shared" ref="S123:U127" si="104">R123</f>
        <v>5.3053883474229534E-2</v>
      </c>
      <c r="T123" s="1092">
        <f t="shared" si="104"/>
        <v>5.3053883474229534E-2</v>
      </c>
      <c r="U123" s="1092">
        <f t="shared" si="104"/>
        <v>5.3053883474229534E-2</v>
      </c>
      <c r="V123" s="1091"/>
      <c r="W123" s="1094"/>
      <c r="X123" s="1094"/>
      <c r="Y123" s="1094">
        <f>Trucks!F175</f>
        <v>1912.8032140228204</v>
      </c>
      <c r="Z123" s="1094">
        <f t="shared" ref="Z123:AA127" si="105">Y123</f>
        <v>1912.8032140228204</v>
      </c>
      <c r="AA123" s="1094">
        <f t="shared" si="105"/>
        <v>1912.8032140228204</v>
      </c>
      <c r="AB123" s="1094">
        <f>Trucks!F176</f>
        <v>1859.6785871956706</v>
      </c>
      <c r="AC123" s="1094">
        <f t="shared" ref="AC123:AE127" si="106">AB123</f>
        <v>1859.6785871956706</v>
      </c>
      <c r="AD123" s="1094">
        <f t="shared" si="106"/>
        <v>1859.6785871956706</v>
      </c>
      <c r="AE123" s="1094">
        <f t="shared" si="106"/>
        <v>1859.6785871956706</v>
      </c>
      <c r="AF123" s="1094">
        <v>149</v>
      </c>
      <c r="AG123" s="1093"/>
      <c r="AH123" s="1093"/>
      <c r="AI123" s="1093"/>
      <c r="AJ123" s="1093"/>
      <c r="AK123" s="1093"/>
      <c r="AL123" s="1094">
        <v>1</v>
      </c>
      <c r="AM123" s="1094"/>
      <c r="AN123" s="1094"/>
      <c r="AO123" s="1094"/>
      <c r="AP123" s="1094"/>
      <c r="AQ123" s="1094"/>
      <c r="AR123" s="1094"/>
      <c r="AS123" s="1094"/>
      <c r="AT123" s="1094"/>
      <c r="AU123" s="1094"/>
      <c r="AV123" s="1094"/>
      <c r="AZ123" s="1088">
        <f>Trucks!E175</f>
        <v>12</v>
      </c>
    </row>
    <row r="124" spans="1:52" s="1084" customFormat="1" ht="12" customHeight="1" x14ac:dyDescent="0.2">
      <c r="A124" s="1071" t="s">
        <v>115</v>
      </c>
      <c r="B124" s="1071" t="str">
        <f>Technologies!C174</f>
        <v>THLDSLADV</v>
      </c>
      <c r="C124" s="1071" t="str">
        <f>Technologies!D174</f>
        <v>Heavy Truck, Long Haul, Advanced Diesel</v>
      </c>
      <c r="D124" s="1071" t="s">
        <v>480</v>
      </c>
      <c r="E124" s="1071" t="str">
        <f>Commodities!C$44</f>
        <v>THDSL</v>
      </c>
      <c r="F124" s="1071" t="str">
        <f>Commodities!C$13</f>
        <v>THL</v>
      </c>
      <c r="G124" s="1091">
        <v>1</v>
      </c>
      <c r="H124" s="1094">
        <f>Trucks!D177</f>
        <v>2015</v>
      </c>
      <c r="I124" s="1091">
        <f t="shared" si="100"/>
        <v>17</v>
      </c>
      <c r="J124" s="1091">
        <v>0.28000000000000003</v>
      </c>
      <c r="K124" s="1092"/>
      <c r="L124" s="1091"/>
      <c r="M124" s="1092">
        <f>Trucks!H177</f>
        <v>4.9764823566427481E-2</v>
      </c>
      <c r="N124" s="1092">
        <f>M124</f>
        <v>4.9764823566427481E-2</v>
      </c>
      <c r="O124" s="1092">
        <f>Trucks!H178</f>
        <v>5.2921248765543959E-2</v>
      </c>
      <c r="P124" s="1092">
        <f t="shared" si="103"/>
        <v>5.2921248765543959E-2</v>
      </c>
      <c r="Q124" s="1092">
        <f t="shared" si="103"/>
        <v>5.2921248765543959E-2</v>
      </c>
      <c r="R124" s="1092">
        <f>Trucks!H179</f>
        <v>5.5937246706524606E-2</v>
      </c>
      <c r="S124" s="1092">
        <f t="shared" si="104"/>
        <v>5.5937246706524606E-2</v>
      </c>
      <c r="T124" s="1092">
        <f t="shared" si="104"/>
        <v>5.5937246706524606E-2</v>
      </c>
      <c r="U124" s="1092">
        <f t="shared" si="104"/>
        <v>5.5937246706524606E-2</v>
      </c>
      <c r="V124" s="1091"/>
      <c r="W124" s="1094">
        <f>Trucks!F177</f>
        <v>2423.7119575234788</v>
      </c>
      <c r="X124" s="1094">
        <f>W124</f>
        <v>2423.7119575234788</v>
      </c>
      <c r="Y124" s="1094">
        <f>Trucks!F178</f>
        <v>2626.905224333922</v>
      </c>
      <c r="Z124" s="1094">
        <f t="shared" si="105"/>
        <v>2626.905224333922</v>
      </c>
      <c r="AA124" s="1094">
        <f t="shared" si="105"/>
        <v>2626.905224333922</v>
      </c>
      <c r="AB124" s="1094">
        <f>Trucks!F179</f>
        <v>2398.4662071941243</v>
      </c>
      <c r="AC124" s="1094">
        <f t="shared" si="106"/>
        <v>2398.4662071941243</v>
      </c>
      <c r="AD124" s="1094">
        <f t="shared" si="106"/>
        <v>2398.4662071941243</v>
      </c>
      <c r="AE124" s="1094">
        <f t="shared" si="106"/>
        <v>2398.4662071941243</v>
      </c>
      <c r="AF124" s="1094">
        <f>Trucks!G177</f>
        <v>162.59298618490971</v>
      </c>
      <c r="AG124" s="1093"/>
      <c r="AH124" s="1093"/>
      <c r="AI124" s="1093"/>
      <c r="AJ124" s="1093"/>
      <c r="AK124" s="1093"/>
      <c r="AL124" s="1094">
        <v>1</v>
      </c>
      <c r="AM124" s="1094"/>
      <c r="AN124" s="1094"/>
      <c r="AO124" s="1094"/>
      <c r="AP124" s="1094"/>
      <c r="AQ124" s="1094"/>
      <c r="AR124" s="1094"/>
      <c r="AS124" s="1094"/>
      <c r="AT124" s="1094"/>
      <c r="AU124" s="1094"/>
      <c r="AV124" s="1094"/>
      <c r="AZ124" s="1088">
        <f>Trucks!E177</f>
        <v>12</v>
      </c>
    </row>
    <row r="125" spans="1:52" s="1084" customFormat="1" ht="12" customHeight="1" x14ac:dyDescent="0.2">
      <c r="A125" s="1071" t="s">
        <v>115</v>
      </c>
      <c r="B125" s="1071" t="str">
        <f>Technologies!C175</f>
        <v>THLDSLAH</v>
      </c>
      <c r="C125" s="1071" t="str">
        <f>Technologies!D175</f>
        <v>Heavy Truck, Long Haul, Advanced Diesel Hybrid</v>
      </c>
      <c r="D125" s="1071" t="s">
        <v>480</v>
      </c>
      <c r="E125" s="1071" t="str">
        <f>Commodities!C$44</f>
        <v>THDSL</v>
      </c>
      <c r="F125" s="1071" t="str">
        <f>Commodities!C$13</f>
        <v>THL</v>
      </c>
      <c r="G125" s="1091">
        <v>1</v>
      </c>
      <c r="H125" s="1094">
        <v>2015</v>
      </c>
      <c r="I125" s="1091">
        <f t="shared" si="100"/>
        <v>17</v>
      </c>
      <c r="J125" s="1091">
        <v>0.24</v>
      </c>
      <c r="K125" s="1092"/>
      <c r="L125" s="1091"/>
      <c r="M125" s="1092">
        <f>Trucks!H180</f>
        <v>5.2231352343541843E-2</v>
      </c>
      <c r="N125" s="1092">
        <f>M125</f>
        <v>5.2231352343541843E-2</v>
      </c>
      <c r="O125" s="1092">
        <f>Trucks!H181</f>
        <v>5.2231352343541843E-2</v>
      </c>
      <c r="P125" s="1092">
        <f t="shared" si="103"/>
        <v>5.2231352343541843E-2</v>
      </c>
      <c r="Q125" s="1092">
        <f t="shared" si="103"/>
        <v>5.2231352343541843E-2</v>
      </c>
      <c r="R125" s="1092">
        <f>Trucks!H182</f>
        <v>5.7801821596742096E-2</v>
      </c>
      <c r="S125" s="1092">
        <f t="shared" si="104"/>
        <v>5.7801821596742096E-2</v>
      </c>
      <c r="T125" s="1092">
        <f t="shared" si="104"/>
        <v>5.7801821596742096E-2</v>
      </c>
      <c r="U125" s="1092">
        <f t="shared" si="104"/>
        <v>5.7801821596742096E-2</v>
      </c>
      <c r="V125" s="1091"/>
      <c r="W125" s="1094">
        <f>Trucks!F180</f>
        <v>2158.2292448190078</v>
      </c>
      <c r="X125" s="1094">
        <f>W125</f>
        <v>2158.2292448190078</v>
      </c>
      <c r="Y125" s="1094">
        <f>Trucks!F181</f>
        <v>1931.3011519708778</v>
      </c>
      <c r="Z125" s="1094">
        <f t="shared" si="105"/>
        <v>1931.3011519708778</v>
      </c>
      <c r="AA125" s="1094">
        <f t="shared" si="105"/>
        <v>1931.3011519708778</v>
      </c>
      <c r="AB125" s="1094">
        <f>Trucks!F182</f>
        <v>2228.501696836443</v>
      </c>
      <c r="AC125" s="1094">
        <f t="shared" si="106"/>
        <v>2228.501696836443</v>
      </c>
      <c r="AD125" s="1094">
        <f t="shared" si="106"/>
        <v>2228.501696836443</v>
      </c>
      <c r="AE125" s="1094">
        <f t="shared" si="106"/>
        <v>2228.501696836443</v>
      </c>
      <c r="AF125" s="1094">
        <f>Trucks!G180</f>
        <v>173.21997874601493</v>
      </c>
      <c r="AG125" s="1093"/>
      <c r="AH125" s="1093"/>
      <c r="AI125" s="1093"/>
      <c r="AJ125" s="1093"/>
      <c r="AK125" s="1093"/>
      <c r="AL125" s="1094">
        <v>1</v>
      </c>
      <c r="AM125" s="1094"/>
      <c r="AN125" s="1094"/>
      <c r="AO125" s="1094"/>
      <c r="AP125" s="1094"/>
      <c r="AQ125" s="1094"/>
      <c r="AR125" s="1094"/>
      <c r="AS125" s="1094"/>
      <c r="AT125" s="1094"/>
      <c r="AU125" s="1094"/>
      <c r="AV125" s="1094"/>
      <c r="AZ125" s="1088">
        <f>Trucks!E180</f>
        <v>12</v>
      </c>
    </row>
    <row r="126" spans="1:52" s="1084" customFormat="1" ht="12" customHeight="1" x14ac:dyDescent="0.2">
      <c r="A126" s="1071" t="s">
        <v>115</v>
      </c>
      <c r="B126" s="1071" t="str">
        <f>Technologies!C176</f>
        <v>THLDSLSW</v>
      </c>
      <c r="C126" s="1071" t="str">
        <f>Technologies!D176</f>
        <v>Heavy Truck, Long Haul, Diesel Smartway</v>
      </c>
      <c r="D126" s="1071" t="s">
        <v>480</v>
      </c>
      <c r="E126" s="1071" t="str">
        <f>Commodities!C$44</f>
        <v>THDSL</v>
      </c>
      <c r="F126" s="1071" t="str">
        <f>Commodities!C$13</f>
        <v>THL</v>
      </c>
      <c r="G126" s="1091">
        <v>1</v>
      </c>
      <c r="H126" s="1094">
        <f>Trucks!D183</f>
        <v>2015</v>
      </c>
      <c r="I126" s="1091">
        <f t="shared" si="100"/>
        <v>17</v>
      </c>
      <c r="J126" s="1091">
        <v>0.28000000000000003</v>
      </c>
      <c r="K126" s="1092"/>
      <c r="L126" s="1091"/>
      <c r="M126" s="1092">
        <f>Trucks!H183</f>
        <v>6.0541147891030989E-2</v>
      </c>
      <c r="N126" s="1092">
        <f>M126</f>
        <v>6.0541147891030989E-2</v>
      </c>
      <c r="O126" s="1092">
        <f>Trucks!H184</f>
        <v>6.6951288293251948E-2</v>
      </c>
      <c r="P126" s="1092">
        <f t="shared" si="103"/>
        <v>6.6951288293251948E-2</v>
      </c>
      <c r="Q126" s="1092">
        <f t="shared" si="103"/>
        <v>6.6951288293251948E-2</v>
      </c>
      <c r="R126" s="1092">
        <f>Trucks!H185</f>
        <v>7.2955528269861528E-2</v>
      </c>
      <c r="S126" s="1092">
        <f t="shared" si="104"/>
        <v>7.2955528269861528E-2</v>
      </c>
      <c r="T126" s="1092">
        <f t="shared" si="104"/>
        <v>7.2955528269861528E-2</v>
      </c>
      <c r="U126" s="1092">
        <f t="shared" si="104"/>
        <v>7.2955528269861528E-2</v>
      </c>
      <c r="V126" s="1091"/>
      <c r="W126" s="1094">
        <f>Trucks!F183</f>
        <v>1995.3272924530286</v>
      </c>
      <c r="X126" s="1094">
        <f>W126</f>
        <v>1995.3272924530286</v>
      </c>
      <c r="Y126" s="1094">
        <f>Trucks!F184</f>
        <v>2403.5732470795997</v>
      </c>
      <c r="Z126" s="1094">
        <f t="shared" si="105"/>
        <v>2403.5732470795997</v>
      </c>
      <c r="AA126" s="1094">
        <f t="shared" si="105"/>
        <v>2403.5732470795997</v>
      </c>
      <c r="AB126" s="1094">
        <f>Trucks!F185</f>
        <v>2428.6916398058247</v>
      </c>
      <c r="AC126" s="1094">
        <f t="shared" si="106"/>
        <v>2428.6916398058247</v>
      </c>
      <c r="AD126" s="1094">
        <f t="shared" si="106"/>
        <v>2428.6916398058247</v>
      </c>
      <c r="AE126" s="1094">
        <f t="shared" si="106"/>
        <v>2428.6916398058247</v>
      </c>
      <c r="AF126" s="1094">
        <f>Trucks!G183</f>
        <v>166.84378320935178</v>
      </c>
      <c r="AG126" s="1093"/>
      <c r="AH126" s="1093"/>
      <c r="AI126" s="1093"/>
      <c r="AJ126" s="1093"/>
      <c r="AK126" s="1093"/>
      <c r="AL126" s="1094">
        <v>1</v>
      </c>
      <c r="AM126" s="1094"/>
      <c r="AN126" s="1094"/>
      <c r="AO126" s="1094"/>
      <c r="AP126" s="1094"/>
      <c r="AQ126" s="1094"/>
      <c r="AR126" s="1094"/>
      <c r="AS126" s="1094"/>
      <c r="AT126" s="1094"/>
      <c r="AU126" s="1094"/>
      <c r="AV126" s="1094"/>
      <c r="AZ126" s="1088">
        <f>Trucks!E183</f>
        <v>12</v>
      </c>
    </row>
    <row r="127" spans="1:52" s="1084" customFormat="1" ht="12" customHeight="1" x14ac:dyDescent="0.2">
      <c r="A127" s="1071" t="s">
        <v>115</v>
      </c>
      <c r="B127" s="1071" t="str">
        <f>Technologies!C177</f>
        <v>THLDSLSWH</v>
      </c>
      <c r="C127" s="1071" t="str">
        <f>Technologies!D177</f>
        <v>Heavy Truck, Long Haul, Diesel Smartway Hybird</v>
      </c>
      <c r="D127" s="1071" t="s">
        <v>480</v>
      </c>
      <c r="E127" s="1071" t="str">
        <f>Commodities!C$44</f>
        <v>THDSL</v>
      </c>
      <c r="F127" s="1071" t="str">
        <f>Commodities!C$13</f>
        <v>THL</v>
      </c>
      <c r="G127" s="1091">
        <v>1</v>
      </c>
      <c r="H127" s="1094">
        <v>2015</v>
      </c>
      <c r="I127" s="1091">
        <f t="shared" si="100"/>
        <v>17</v>
      </c>
      <c r="J127" s="1091">
        <v>0.28000000000000003</v>
      </c>
      <c r="K127" s="1092"/>
      <c r="L127" s="1091"/>
      <c r="M127" s="1092">
        <f>Trucks!H186</f>
        <v>6.3541791172192025E-2</v>
      </c>
      <c r="N127" s="1092">
        <f>M127</f>
        <v>6.3541791172192025E-2</v>
      </c>
      <c r="O127" s="1092">
        <f>Trucks!H187</f>
        <v>7.2442929741389522E-2</v>
      </c>
      <c r="P127" s="1092">
        <f t="shared" si="103"/>
        <v>7.2442929741389522E-2</v>
      </c>
      <c r="Q127" s="1092">
        <f t="shared" si="103"/>
        <v>7.2442929741389522E-2</v>
      </c>
      <c r="R127" s="1092">
        <f>Trucks!H188</f>
        <v>7.5387379212190256E-2</v>
      </c>
      <c r="S127" s="1092">
        <f t="shared" si="104"/>
        <v>7.5387379212190256E-2</v>
      </c>
      <c r="T127" s="1092">
        <f t="shared" si="104"/>
        <v>7.5387379212190256E-2</v>
      </c>
      <c r="U127" s="1092">
        <f t="shared" si="104"/>
        <v>7.5387379212190256E-2</v>
      </c>
      <c r="V127" s="1091"/>
      <c r="W127" s="1094">
        <f>Trucks!F186</f>
        <v>2423.7119575234788</v>
      </c>
      <c r="X127" s="1094">
        <f>W127</f>
        <v>2423.7119575234788</v>
      </c>
      <c r="Y127" s="1094">
        <f>Trucks!F187</f>
        <v>2701.5830916232303</v>
      </c>
      <c r="Z127" s="1094">
        <f t="shared" si="105"/>
        <v>2701.5830916232303</v>
      </c>
      <c r="AA127" s="1094">
        <f t="shared" si="105"/>
        <v>2701.5830916232303</v>
      </c>
      <c r="AB127" s="1094">
        <f>Trucks!F188</f>
        <v>2650.8658206680652</v>
      </c>
      <c r="AC127" s="1094">
        <f t="shared" si="106"/>
        <v>2650.8658206680652</v>
      </c>
      <c r="AD127" s="1094">
        <f t="shared" si="106"/>
        <v>2650.8658206680652</v>
      </c>
      <c r="AE127" s="1094">
        <f t="shared" si="106"/>
        <v>2650.8658206680652</v>
      </c>
      <c r="AF127" s="1094">
        <f>Trucks!G186</f>
        <v>180.65887353878855</v>
      </c>
      <c r="AG127" s="1093"/>
      <c r="AH127" s="1093"/>
      <c r="AI127" s="1093"/>
      <c r="AJ127" s="1093"/>
      <c r="AK127" s="1093"/>
      <c r="AL127" s="1094">
        <v>1</v>
      </c>
      <c r="AM127" s="1094"/>
      <c r="AN127" s="1094"/>
      <c r="AO127" s="1094"/>
      <c r="AP127" s="1094"/>
      <c r="AQ127" s="1094"/>
      <c r="AR127" s="1094"/>
      <c r="AS127" s="1094"/>
      <c r="AT127" s="1094"/>
      <c r="AU127" s="1094"/>
      <c r="AV127" s="1094"/>
      <c r="AZ127" s="1088">
        <f>Trucks!E186</f>
        <v>12</v>
      </c>
    </row>
    <row r="128" spans="1:52" s="1084" customFormat="1" ht="12" customHeight="1" x14ac:dyDescent="0.2">
      <c r="A128" s="1071" t="s">
        <v>115</v>
      </c>
      <c r="B128" s="1071" t="str">
        <f>Technologies!C178</f>
        <v>THLB20C10</v>
      </c>
      <c r="C128" s="1071" t="str">
        <f>Technologies!D178</f>
        <v>Heavy Truck, Long Haul, B20 Conventional 2010</v>
      </c>
      <c r="D128" s="1071" t="s">
        <v>480</v>
      </c>
      <c r="E128" s="1071" t="str">
        <f>Commodities!C62</f>
        <v>THB20X</v>
      </c>
      <c r="F128" s="1071" t="str">
        <f>Commodities!C$13</f>
        <v>THL</v>
      </c>
      <c r="G128" s="1091">
        <v>1</v>
      </c>
      <c r="H128" s="1094">
        <v>2010</v>
      </c>
      <c r="I128" s="1091">
        <f t="shared" si="100"/>
        <v>17</v>
      </c>
      <c r="J128" s="1091">
        <v>0.18</v>
      </c>
      <c r="K128" s="1092">
        <f>Trucks!H189</f>
        <v>4.271211262559866E-2</v>
      </c>
      <c r="L128" s="1091"/>
      <c r="M128" s="1092"/>
      <c r="N128" s="1092"/>
      <c r="O128" s="1092"/>
      <c r="P128" s="1092"/>
      <c r="Q128" s="1092"/>
      <c r="R128" s="1092"/>
      <c r="S128" s="1092"/>
      <c r="T128" s="1092"/>
      <c r="U128" s="1092"/>
      <c r="V128" s="1094">
        <f>Trucks!F189</f>
        <v>1586.6830558675817</v>
      </c>
      <c r="W128" s="1091"/>
      <c r="X128" s="1094"/>
      <c r="Y128" s="1094"/>
      <c r="Z128" s="1094"/>
      <c r="AA128" s="1094"/>
      <c r="AB128" s="1094"/>
      <c r="AC128" s="1094"/>
      <c r="AD128" s="1094"/>
      <c r="AE128" s="1094"/>
      <c r="AF128" s="1094">
        <f>Trucks!G189</f>
        <v>148.77789585547293</v>
      </c>
      <c r="AG128" s="1093"/>
      <c r="AH128" s="1093"/>
      <c r="AI128" s="1093"/>
      <c r="AJ128" s="1093"/>
      <c r="AK128" s="1093"/>
      <c r="AL128" s="1094">
        <v>1</v>
      </c>
      <c r="AM128" s="1094"/>
      <c r="AN128" s="1094">
        <v>0</v>
      </c>
      <c r="AO128" s="1094">
        <v>0</v>
      </c>
      <c r="AP128" s="1094">
        <v>0</v>
      </c>
      <c r="AQ128" s="1094">
        <v>0</v>
      </c>
      <c r="AR128" s="1094">
        <v>0</v>
      </c>
      <c r="AS128" s="1094">
        <v>0</v>
      </c>
      <c r="AT128" s="1094">
        <v>0</v>
      </c>
      <c r="AU128" s="1094">
        <v>0</v>
      </c>
      <c r="AV128" s="1094">
        <v>0</v>
      </c>
      <c r="AZ128" s="1088">
        <f>Trucks!E189</f>
        <v>12</v>
      </c>
    </row>
    <row r="129" spans="1:52" s="1084" customFormat="1" ht="12" customHeight="1" x14ac:dyDescent="0.2">
      <c r="A129" s="1071" t="s">
        <v>115</v>
      </c>
      <c r="B129" s="1071" t="str">
        <f>Technologies!C179</f>
        <v>THLB20C</v>
      </c>
      <c r="C129" s="1071" t="str">
        <f>Technologies!D179</f>
        <v>Heavy Truck, Long Haul, Conventional B20</v>
      </c>
      <c r="D129" s="1071" t="s">
        <v>480</v>
      </c>
      <c r="E129" s="1071" t="str">
        <f>Commodities!C62</f>
        <v>THB20X</v>
      </c>
      <c r="F129" s="1071" t="str">
        <f>Commodities!C$13</f>
        <v>THL</v>
      </c>
      <c r="G129" s="1091">
        <v>1</v>
      </c>
      <c r="H129" s="1094">
        <v>2015</v>
      </c>
      <c r="I129" s="1091">
        <f t="shared" si="100"/>
        <v>17</v>
      </c>
      <c r="J129" s="1091">
        <v>0.18</v>
      </c>
      <c r="K129" s="1091"/>
      <c r="L129" s="1091"/>
      <c r="M129" s="1092">
        <f>Trucks!H190</f>
        <v>4.6641074476893418E-2</v>
      </c>
      <c r="N129" s="1092">
        <f>Trucks!H191</f>
        <v>5.0853666573053249E-2</v>
      </c>
      <c r="O129" s="1092">
        <f t="shared" ref="O129:U129" si="107">N129</f>
        <v>5.0853666573053249E-2</v>
      </c>
      <c r="P129" s="1092">
        <f t="shared" si="107"/>
        <v>5.0853666573053249E-2</v>
      </c>
      <c r="Q129" s="1092">
        <f t="shared" si="107"/>
        <v>5.0853666573053249E-2</v>
      </c>
      <c r="R129" s="1092">
        <f t="shared" si="107"/>
        <v>5.0853666573053249E-2</v>
      </c>
      <c r="S129" s="1092">
        <f t="shared" si="107"/>
        <v>5.0853666573053249E-2</v>
      </c>
      <c r="T129" s="1092">
        <f t="shared" si="107"/>
        <v>5.0853666573053249E-2</v>
      </c>
      <c r="U129" s="1092">
        <f t="shared" si="107"/>
        <v>5.0853666573053249E-2</v>
      </c>
      <c r="V129" s="1091"/>
      <c r="W129" s="1094">
        <f>Trucks!F190</f>
        <v>1634.199019798639</v>
      </c>
      <c r="X129" s="1094">
        <f>Trucks!F191</f>
        <v>1681.2832371614779</v>
      </c>
      <c r="Y129" s="1094">
        <f t="shared" ref="Y129:AE129" si="108">X129</f>
        <v>1681.2832371614779</v>
      </c>
      <c r="Z129" s="1094">
        <f t="shared" si="108"/>
        <v>1681.2832371614779</v>
      </c>
      <c r="AA129" s="1094">
        <f t="shared" si="108"/>
        <v>1681.2832371614779</v>
      </c>
      <c r="AB129" s="1094">
        <f t="shared" si="108"/>
        <v>1681.2832371614779</v>
      </c>
      <c r="AC129" s="1094">
        <f t="shared" si="108"/>
        <v>1681.2832371614779</v>
      </c>
      <c r="AD129" s="1094">
        <f t="shared" si="108"/>
        <v>1681.2832371614779</v>
      </c>
      <c r="AE129" s="1094">
        <f t="shared" si="108"/>
        <v>1681.2832371614779</v>
      </c>
      <c r="AF129" s="1094">
        <f>Trucks!G190</f>
        <v>148.77789585547293</v>
      </c>
      <c r="AG129" s="1093"/>
      <c r="AH129" s="1093"/>
      <c r="AI129" s="1093"/>
      <c r="AJ129" s="1093"/>
      <c r="AK129" s="1093"/>
      <c r="AL129" s="1094">
        <v>1</v>
      </c>
      <c r="AM129" s="1094"/>
      <c r="AN129" s="1094"/>
      <c r="AO129" s="1094"/>
      <c r="AP129" s="1094"/>
      <c r="AQ129" s="1094"/>
      <c r="AR129" s="1094"/>
      <c r="AS129" s="1094"/>
      <c r="AT129" s="1094"/>
      <c r="AU129" s="1094"/>
      <c r="AV129" s="1094"/>
      <c r="AZ129" s="1088">
        <f>Trucks!E190</f>
        <v>12</v>
      </c>
    </row>
    <row r="130" spans="1:52" s="1084" customFormat="1" ht="12" customHeight="1" x14ac:dyDescent="0.2">
      <c r="A130" s="1071" t="s">
        <v>115</v>
      </c>
      <c r="B130" s="1071" t="str">
        <f>Technologies!C180</f>
        <v>THLB20IM</v>
      </c>
      <c r="C130" s="1071" t="str">
        <f>Technologies!D180</f>
        <v>Heavy Truck, Long Haul, Improved B20</v>
      </c>
      <c r="D130" s="1071" t="s">
        <v>480</v>
      </c>
      <c r="E130" s="1071" t="str">
        <f>Commodities!C$62</f>
        <v>THB20X</v>
      </c>
      <c r="F130" s="1071" t="str">
        <f>Commodities!C$13</f>
        <v>THL</v>
      </c>
      <c r="G130" s="1091">
        <v>1</v>
      </c>
      <c r="H130" s="1094">
        <v>2025</v>
      </c>
      <c r="I130" s="1091">
        <f t="shared" si="100"/>
        <v>17</v>
      </c>
      <c r="J130" s="1091">
        <v>0.24</v>
      </c>
      <c r="K130" s="1091"/>
      <c r="L130" s="1092"/>
      <c r="M130" s="1092"/>
      <c r="N130" s="1092"/>
      <c r="O130" s="1092">
        <f>Trucks!H192</f>
        <v>5.3055583726002262E-2</v>
      </c>
      <c r="P130" s="1092">
        <f t="shared" ref="P130:Q134" si="109">O130</f>
        <v>5.3055583726002262E-2</v>
      </c>
      <c r="Q130" s="1092">
        <f t="shared" si="109"/>
        <v>5.3055583726002262E-2</v>
      </c>
      <c r="R130" s="1092">
        <f>Trucks!H193</f>
        <v>5.3055583726002262E-2</v>
      </c>
      <c r="S130" s="1092">
        <f t="shared" ref="S130:U134" si="110">R130</f>
        <v>5.3055583726002262E-2</v>
      </c>
      <c r="T130" s="1092">
        <f t="shared" si="110"/>
        <v>5.3055583726002262E-2</v>
      </c>
      <c r="U130" s="1092">
        <f t="shared" si="110"/>
        <v>5.3055583726002262E-2</v>
      </c>
      <c r="V130" s="1091"/>
      <c r="W130" s="1094"/>
      <c r="X130" s="1094"/>
      <c r="Y130" s="1094">
        <f>Trucks!F192</f>
        <v>1912.8032140228204</v>
      </c>
      <c r="Z130" s="1094">
        <f t="shared" ref="Z130:AA134" si="111">Y130</f>
        <v>1912.8032140228204</v>
      </c>
      <c r="AA130" s="1094">
        <f t="shared" si="111"/>
        <v>1912.8032140228204</v>
      </c>
      <c r="AB130" s="1094">
        <f>Trucks!F193</f>
        <v>1859.6785871956706</v>
      </c>
      <c r="AC130" s="1094">
        <f t="shared" ref="AC130:AE134" si="112">AB130</f>
        <v>1859.6785871956706</v>
      </c>
      <c r="AD130" s="1094">
        <f t="shared" si="112"/>
        <v>1859.6785871956706</v>
      </c>
      <c r="AE130" s="1094">
        <f t="shared" si="112"/>
        <v>1859.6785871956706</v>
      </c>
      <c r="AF130" s="1094">
        <v>149</v>
      </c>
      <c r="AG130" s="1093"/>
      <c r="AH130" s="1093"/>
      <c r="AI130" s="1093"/>
      <c r="AJ130" s="1093"/>
      <c r="AK130" s="1093"/>
      <c r="AL130" s="1094">
        <v>1</v>
      </c>
      <c r="AM130" s="1094"/>
      <c r="AN130" s="1094"/>
      <c r="AO130" s="1094"/>
      <c r="AP130" s="1094"/>
      <c r="AQ130" s="1094"/>
      <c r="AR130" s="1094"/>
      <c r="AS130" s="1094"/>
      <c r="AT130" s="1094"/>
      <c r="AU130" s="1094"/>
      <c r="AV130" s="1094"/>
      <c r="AZ130" s="1088">
        <f>Trucks!E192</f>
        <v>12</v>
      </c>
    </row>
    <row r="131" spans="1:52" s="1084" customFormat="1" ht="12" customHeight="1" x14ac:dyDescent="0.2">
      <c r="A131" s="1071" t="s">
        <v>115</v>
      </c>
      <c r="B131" s="1071" t="str">
        <f>Technologies!C181</f>
        <v>THLB20ADV</v>
      </c>
      <c r="C131" s="1071" t="str">
        <f>Technologies!D181</f>
        <v>Heavy Truck, Long Haul, Advanced B20</v>
      </c>
      <c r="D131" s="1071" t="s">
        <v>480</v>
      </c>
      <c r="E131" s="1071" t="str">
        <f>Commodities!C$62</f>
        <v>THB20X</v>
      </c>
      <c r="F131" s="1071" t="str">
        <f>Commodities!C$13</f>
        <v>THL</v>
      </c>
      <c r="G131" s="1091">
        <v>1</v>
      </c>
      <c r="H131" s="1094">
        <v>2015</v>
      </c>
      <c r="I131" s="1091">
        <f t="shared" si="100"/>
        <v>17</v>
      </c>
      <c r="J131" s="1091">
        <v>0.24</v>
      </c>
      <c r="K131" s="1091"/>
      <c r="L131" s="1092"/>
      <c r="M131" s="1092">
        <f>Trucks!H194</f>
        <v>4.9683212194648947E-2</v>
      </c>
      <c r="N131" s="1092">
        <f>M131</f>
        <v>4.9683212194648947E-2</v>
      </c>
      <c r="O131" s="1092">
        <f>Trucks!H195</f>
        <v>5.2834461042842111E-2</v>
      </c>
      <c r="P131" s="1092">
        <f t="shared" si="109"/>
        <v>5.2834461042842111E-2</v>
      </c>
      <c r="Q131" s="1092">
        <f t="shared" si="109"/>
        <v>5.2834461042842111E-2</v>
      </c>
      <c r="R131" s="1092">
        <f>Trucks!H196</f>
        <v>5.5845512925309829E-2</v>
      </c>
      <c r="S131" s="1092">
        <f t="shared" si="110"/>
        <v>5.5845512925309829E-2</v>
      </c>
      <c r="T131" s="1092">
        <f t="shared" si="110"/>
        <v>5.5845512925309829E-2</v>
      </c>
      <c r="U131" s="1092">
        <f t="shared" si="110"/>
        <v>5.5845512925309829E-2</v>
      </c>
      <c r="V131" s="1091"/>
      <c r="W131" s="1094">
        <f>Trucks!F194</f>
        <v>1729.8445797485574</v>
      </c>
      <c r="X131" s="1094">
        <f>W131</f>
        <v>1729.8445797485574</v>
      </c>
      <c r="Y131" s="1094">
        <f>Trucks!F195</f>
        <v>1759.4911141642169</v>
      </c>
      <c r="Z131" s="1094">
        <f t="shared" si="111"/>
        <v>1759.4911141642169</v>
      </c>
      <c r="AA131" s="1094">
        <f t="shared" si="111"/>
        <v>1759.4911141642169</v>
      </c>
      <c r="AB131" s="1094">
        <f>Trucks!F196</f>
        <v>2006.3275159742025</v>
      </c>
      <c r="AC131" s="1094">
        <f t="shared" si="112"/>
        <v>2006.3275159742025</v>
      </c>
      <c r="AD131" s="1094">
        <f t="shared" si="112"/>
        <v>2006.3275159742025</v>
      </c>
      <c r="AE131" s="1094">
        <f t="shared" si="112"/>
        <v>2006.3275159742025</v>
      </c>
      <c r="AF131" s="1094">
        <f>Trucks!G194</f>
        <v>162.59298618490971</v>
      </c>
      <c r="AG131" s="1093"/>
      <c r="AH131" s="1093"/>
      <c r="AI131" s="1093"/>
      <c r="AJ131" s="1093"/>
      <c r="AK131" s="1093"/>
      <c r="AL131" s="1094">
        <v>1</v>
      </c>
      <c r="AM131" s="1094"/>
      <c r="AN131" s="1094"/>
      <c r="AO131" s="1094"/>
      <c r="AP131" s="1094"/>
      <c r="AQ131" s="1094"/>
      <c r="AR131" s="1094"/>
      <c r="AS131" s="1094"/>
      <c r="AT131" s="1094"/>
      <c r="AU131" s="1094"/>
      <c r="AV131" s="1094"/>
      <c r="AZ131" s="1088">
        <f>Trucks!E194</f>
        <v>12</v>
      </c>
    </row>
    <row r="132" spans="1:52" s="1084" customFormat="1" ht="12" customHeight="1" x14ac:dyDescent="0.2">
      <c r="A132" s="1071" t="s">
        <v>115</v>
      </c>
      <c r="B132" s="1071" t="str">
        <f>Technologies!C182</f>
        <v>THLB20AH</v>
      </c>
      <c r="C132" s="1071" t="str">
        <f>Technologies!D182</f>
        <v>Heavy Truck, Long Haul, Advanced B20 Hybrid</v>
      </c>
      <c r="D132" s="1071" t="s">
        <v>480</v>
      </c>
      <c r="E132" s="1071" t="str">
        <f>Commodities!C$62</f>
        <v>THB20X</v>
      </c>
      <c r="F132" s="1071" t="str">
        <f>Commodities!C$13</f>
        <v>THL</v>
      </c>
      <c r="G132" s="1091">
        <v>1</v>
      </c>
      <c r="H132" s="1094">
        <v>2015</v>
      </c>
      <c r="I132" s="1091">
        <f t="shared" si="100"/>
        <v>17</v>
      </c>
      <c r="J132" s="1091">
        <v>0.24</v>
      </c>
      <c r="K132" s="1091"/>
      <c r="L132" s="1092"/>
      <c r="M132" s="1092">
        <f>Trucks!H197</f>
        <v>5.2145696010230121E-2</v>
      </c>
      <c r="N132" s="1092">
        <f>M132</f>
        <v>5.2145696010230121E-2</v>
      </c>
      <c r="O132" s="1092">
        <f>Trucks!H198</f>
        <v>5.2145696010230121E-2</v>
      </c>
      <c r="P132" s="1092">
        <f t="shared" si="109"/>
        <v>5.2145696010230121E-2</v>
      </c>
      <c r="Q132" s="1092">
        <f t="shared" si="109"/>
        <v>5.2145696010230121E-2</v>
      </c>
      <c r="R132" s="1092">
        <f>Trucks!H199</f>
        <v>5.7707030022820162E-2</v>
      </c>
      <c r="S132" s="1092">
        <f t="shared" si="110"/>
        <v>5.7707030022820162E-2</v>
      </c>
      <c r="T132" s="1092">
        <f t="shared" si="110"/>
        <v>5.7707030022820162E-2</v>
      </c>
      <c r="U132" s="1092">
        <f t="shared" si="110"/>
        <v>5.7707030022820162E-2</v>
      </c>
      <c r="V132" s="1091"/>
      <c r="W132" s="1094">
        <f>Trucks!F197</f>
        <v>2158.2292448190078</v>
      </c>
      <c r="X132" s="1094">
        <f>W132</f>
        <v>2158.2292448190078</v>
      </c>
      <c r="Y132" s="1094">
        <f>Trucks!F198</f>
        <v>1931.3011519708778</v>
      </c>
      <c r="Z132" s="1094">
        <f t="shared" si="111"/>
        <v>1931.3011519708778</v>
      </c>
      <c r="AA132" s="1094">
        <f t="shared" si="111"/>
        <v>1931.3011519708778</v>
      </c>
      <c r="AB132" s="1094">
        <f>Trucks!F199</f>
        <v>2228.501696836443</v>
      </c>
      <c r="AC132" s="1094">
        <f t="shared" si="112"/>
        <v>2228.501696836443</v>
      </c>
      <c r="AD132" s="1094">
        <f t="shared" si="112"/>
        <v>2228.501696836443</v>
      </c>
      <c r="AE132" s="1094">
        <f t="shared" si="112"/>
        <v>2228.501696836443</v>
      </c>
      <c r="AF132" s="1094">
        <f>Trucks!G197</f>
        <v>173.21997874601493</v>
      </c>
      <c r="AG132" s="1093"/>
      <c r="AH132" s="1093"/>
      <c r="AI132" s="1093"/>
      <c r="AJ132" s="1093"/>
      <c r="AK132" s="1093"/>
      <c r="AL132" s="1094">
        <v>1</v>
      </c>
      <c r="AM132" s="1094"/>
      <c r="AN132" s="1094"/>
      <c r="AO132" s="1094"/>
      <c r="AP132" s="1094"/>
      <c r="AQ132" s="1094"/>
      <c r="AR132" s="1094"/>
      <c r="AS132" s="1094"/>
      <c r="AT132" s="1094"/>
      <c r="AU132" s="1094"/>
      <c r="AV132" s="1094"/>
      <c r="AZ132" s="1088">
        <f t="shared" ref="AZ132:AZ140" si="113">AZ131</f>
        <v>12</v>
      </c>
    </row>
    <row r="133" spans="1:52" s="1084" customFormat="1" ht="12" customHeight="1" x14ac:dyDescent="0.2">
      <c r="A133" s="1071" t="s">
        <v>115</v>
      </c>
      <c r="B133" s="1071" t="str">
        <f>Technologies!C183</f>
        <v>THLB20SW</v>
      </c>
      <c r="C133" s="1071" t="str">
        <f>Technologies!D183</f>
        <v>Heavy Truck, Long Haul, B20 Smartway</v>
      </c>
      <c r="D133" s="1071" t="s">
        <v>480</v>
      </c>
      <c r="E133" s="1071" t="str">
        <f>Commodities!C$62</f>
        <v>THB20X</v>
      </c>
      <c r="F133" s="1071" t="str">
        <f>Commodities!C$13</f>
        <v>THL</v>
      </c>
      <c r="G133" s="1091">
        <v>1</v>
      </c>
      <c r="H133" s="1094">
        <v>2015</v>
      </c>
      <c r="I133" s="1091">
        <f t="shared" si="100"/>
        <v>17</v>
      </c>
      <c r="J133" s="1091">
        <v>0.28000000000000003</v>
      </c>
      <c r="K133" s="1091"/>
      <c r="L133" s="1092"/>
      <c r="M133" s="1092">
        <f>Trucks!H200</f>
        <v>6.0441863983757831E-2</v>
      </c>
      <c r="N133" s="1092">
        <f>M133</f>
        <v>6.0441863983757831E-2</v>
      </c>
      <c r="O133" s="1092">
        <f>Trucks!H201</f>
        <v>6.684149213427111E-2</v>
      </c>
      <c r="P133" s="1092">
        <f t="shared" si="109"/>
        <v>6.684149213427111E-2</v>
      </c>
      <c r="Q133" s="1092">
        <f t="shared" si="109"/>
        <v>6.684149213427111E-2</v>
      </c>
      <c r="R133" s="1092">
        <f>Trucks!H202</f>
        <v>7.2835885511900511E-2</v>
      </c>
      <c r="S133" s="1092">
        <f t="shared" si="110"/>
        <v>7.2835885511900511E-2</v>
      </c>
      <c r="T133" s="1092">
        <f t="shared" si="110"/>
        <v>7.2835885511900511E-2</v>
      </c>
      <c r="U133" s="1092">
        <f t="shared" si="110"/>
        <v>7.2835885511900511E-2</v>
      </c>
      <c r="V133" s="1091"/>
      <c r="W133" s="1094">
        <f>Trucks!F200</f>
        <v>1995.3272924530286</v>
      </c>
      <c r="X133" s="1094">
        <f>W133</f>
        <v>1995.3272924530286</v>
      </c>
      <c r="Y133" s="1094">
        <f>Trucks!F201</f>
        <v>2403.5732470795997</v>
      </c>
      <c r="Z133" s="1094">
        <f t="shared" si="111"/>
        <v>2403.5732470795997</v>
      </c>
      <c r="AA133" s="1094">
        <f t="shared" si="111"/>
        <v>2403.5732470795997</v>
      </c>
      <c r="AB133" s="1094">
        <f>Trucks!F202</f>
        <v>2428.6916398058247</v>
      </c>
      <c r="AC133" s="1094">
        <f t="shared" si="112"/>
        <v>2428.6916398058247</v>
      </c>
      <c r="AD133" s="1094">
        <f t="shared" si="112"/>
        <v>2428.6916398058247</v>
      </c>
      <c r="AE133" s="1094">
        <f t="shared" si="112"/>
        <v>2428.6916398058247</v>
      </c>
      <c r="AF133" s="1094">
        <f>Trucks!G200</f>
        <v>166.84378320935178</v>
      </c>
      <c r="AG133" s="1093"/>
      <c r="AH133" s="1093"/>
      <c r="AI133" s="1093"/>
      <c r="AJ133" s="1093"/>
      <c r="AK133" s="1093"/>
      <c r="AL133" s="1094">
        <v>1</v>
      </c>
      <c r="AM133" s="1094"/>
      <c r="AN133" s="1094"/>
      <c r="AO133" s="1094"/>
      <c r="AP133" s="1094"/>
      <c r="AQ133" s="1094"/>
      <c r="AR133" s="1094"/>
      <c r="AS133" s="1094"/>
      <c r="AT133" s="1094"/>
      <c r="AU133" s="1094"/>
      <c r="AV133" s="1094"/>
      <c r="AZ133" s="1088">
        <f t="shared" si="113"/>
        <v>12</v>
      </c>
    </row>
    <row r="134" spans="1:52" s="1084" customFormat="1" ht="12" customHeight="1" x14ac:dyDescent="0.2">
      <c r="A134" s="1071" t="s">
        <v>115</v>
      </c>
      <c r="B134" s="1071" t="str">
        <f>Technologies!C184</f>
        <v>THLB20SWH</v>
      </c>
      <c r="C134" s="1071" t="str">
        <f>Technologies!D184</f>
        <v>Heavy Truck, Long Haul, B20 Smartway Hybird</v>
      </c>
      <c r="D134" s="1071" t="s">
        <v>480</v>
      </c>
      <c r="E134" s="1071" t="str">
        <f>Commodities!C$62</f>
        <v>THB20X</v>
      </c>
      <c r="F134" s="1071" t="str">
        <f>Commodities!C$13</f>
        <v>THL</v>
      </c>
      <c r="G134" s="1091">
        <v>1</v>
      </c>
      <c r="H134" s="1094">
        <v>2015</v>
      </c>
      <c r="I134" s="1091">
        <f t="shared" si="100"/>
        <v>17</v>
      </c>
      <c r="J134" s="1091">
        <v>0.28000000000000003</v>
      </c>
      <c r="K134" s="1091"/>
      <c r="L134" s="1092"/>
      <c r="M134" s="1092">
        <f>Trucks!H203</f>
        <v>6.3437586387141268E-2</v>
      </c>
      <c r="N134" s="1092">
        <f>M134</f>
        <v>6.3437586387141268E-2</v>
      </c>
      <c r="O134" s="1092">
        <f>Trucks!H204</f>
        <v>7.2324127614743591E-2</v>
      </c>
      <c r="P134" s="1092">
        <f t="shared" si="109"/>
        <v>7.2324127614743591E-2</v>
      </c>
      <c r="Q134" s="1092">
        <f t="shared" si="109"/>
        <v>7.2324127614743591E-2</v>
      </c>
      <c r="R134" s="1092">
        <f>Trucks!H205</f>
        <v>7.5263748362297184E-2</v>
      </c>
      <c r="S134" s="1092">
        <f t="shared" si="110"/>
        <v>7.5263748362297184E-2</v>
      </c>
      <c r="T134" s="1092">
        <f t="shared" si="110"/>
        <v>7.5263748362297184E-2</v>
      </c>
      <c r="U134" s="1092">
        <f t="shared" si="110"/>
        <v>7.5263748362297184E-2</v>
      </c>
      <c r="V134" s="1091"/>
      <c r="W134" s="1094">
        <f>Trucks!F203</f>
        <v>2423.7119575234788</v>
      </c>
      <c r="X134" s="1094">
        <f>W134</f>
        <v>2423.7119575234788</v>
      </c>
      <c r="Y134" s="1094">
        <f>Trucks!F204</f>
        <v>2701.5830916232303</v>
      </c>
      <c r="Z134" s="1094">
        <f t="shared" si="111"/>
        <v>2701.5830916232303</v>
      </c>
      <c r="AA134" s="1094">
        <f t="shared" si="111"/>
        <v>2701.5830916232303</v>
      </c>
      <c r="AB134" s="1094">
        <f>Trucks!F205</f>
        <v>2650.8658206680652</v>
      </c>
      <c r="AC134" s="1094">
        <f t="shared" si="112"/>
        <v>2650.8658206680652</v>
      </c>
      <c r="AD134" s="1094">
        <f t="shared" si="112"/>
        <v>2650.8658206680652</v>
      </c>
      <c r="AE134" s="1094">
        <f t="shared" si="112"/>
        <v>2650.8658206680652</v>
      </c>
      <c r="AF134" s="1094">
        <f>Trucks!G203</f>
        <v>180.65887353878855</v>
      </c>
      <c r="AG134" s="1093"/>
      <c r="AH134" s="1093"/>
      <c r="AI134" s="1093"/>
      <c r="AJ134" s="1093"/>
      <c r="AK134" s="1093"/>
      <c r="AL134" s="1094">
        <v>1</v>
      </c>
      <c r="AM134" s="1094"/>
      <c r="AN134" s="1094"/>
      <c r="AO134" s="1094"/>
      <c r="AP134" s="1094"/>
      <c r="AQ134" s="1094"/>
      <c r="AR134" s="1094"/>
      <c r="AS134" s="1094"/>
      <c r="AT134" s="1094"/>
      <c r="AU134" s="1094"/>
      <c r="AV134" s="1094"/>
      <c r="AZ134" s="1088">
        <f t="shared" si="113"/>
        <v>12</v>
      </c>
    </row>
    <row r="135" spans="1:52" s="1084" customFormat="1" ht="12" customHeight="1" x14ac:dyDescent="0.2">
      <c r="A135" s="1071" t="s">
        <v>115</v>
      </c>
      <c r="B135" s="1071" t="str">
        <f>Technologies!C185</f>
        <v>THLLNGC10</v>
      </c>
      <c r="C135" s="1071" t="str">
        <f>Technologies!D185</f>
        <v>Heavy Truck, Long Haul, LNG 2010</v>
      </c>
      <c r="D135" s="1071" t="s">
        <v>480</v>
      </c>
      <c r="E135" s="1071" t="str">
        <f>Commodities!C$54</f>
        <v>THLNG</v>
      </c>
      <c r="F135" s="1071" t="str">
        <f>Commodities!C$13</f>
        <v>THL</v>
      </c>
      <c r="G135" s="1091">
        <v>1</v>
      </c>
      <c r="H135" s="1094">
        <v>2010</v>
      </c>
      <c r="I135" s="1091">
        <f t="shared" si="100"/>
        <v>17</v>
      </c>
      <c r="J135" s="1091">
        <v>0.18</v>
      </c>
      <c r="K135" s="1092">
        <f>Trucks!H208</f>
        <v>4.1842580380559553E-2</v>
      </c>
      <c r="L135" s="1092"/>
      <c r="M135" s="1092"/>
      <c r="N135" s="1092"/>
      <c r="O135" s="1092"/>
      <c r="P135" s="1092"/>
      <c r="Q135" s="1092"/>
      <c r="R135" s="1092"/>
      <c r="S135" s="1092"/>
      <c r="T135" s="1092"/>
      <c r="U135" s="1092"/>
      <c r="V135" s="1095">
        <f>Trucks!F208</f>
        <v>2389.4150399201549</v>
      </c>
      <c r="W135" s="1094"/>
      <c r="X135" s="1094"/>
      <c r="Y135" s="1094"/>
      <c r="Z135" s="1094"/>
      <c r="AA135" s="1094"/>
      <c r="AB135" s="1094"/>
      <c r="AC135" s="1094"/>
      <c r="AD135" s="1094"/>
      <c r="AE135" s="1094"/>
      <c r="AF135" s="1095">
        <f>Trucks!G208</f>
        <v>289.82706984832384</v>
      </c>
      <c r="AG135" s="1093"/>
      <c r="AH135" s="1093"/>
      <c r="AI135" s="1093"/>
      <c r="AJ135" s="1093"/>
      <c r="AK135" s="1093"/>
      <c r="AL135" s="1094">
        <v>1</v>
      </c>
      <c r="AM135" s="1094"/>
      <c r="AN135" s="1094">
        <v>0</v>
      </c>
      <c r="AO135" s="1094">
        <v>0</v>
      </c>
      <c r="AP135" s="1094">
        <v>0</v>
      </c>
      <c r="AQ135" s="1094">
        <v>0</v>
      </c>
      <c r="AR135" s="1094">
        <v>0</v>
      </c>
      <c r="AS135" s="1094">
        <v>0</v>
      </c>
      <c r="AT135" s="1094">
        <v>0</v>
      </c>
      <c r="AU135" s="1094">
        <v>0</v>
      </c>
      <c r="AV135" s="1094">
        <v>0</v>
      </c>
      <c r="AZ135" s="1088">
        <f t="shared" si="113"/>
        <v>12</v>
      </c>
    </row>
    <row r="136" spans="1:52" s="1084" customFormat="1" ht="12" customHeight="1" x14ac:dyDescent="0.2">
      <c r="A136" s="1071" t="s">
        <v>115</v>
      </c>
      <c r="B136" s="1071" t="str">
        <f>Technologies!C186</f>
        <v>THLLNGC</v>
      </c>
      <c r="C136" s="1071" t="str">
        <f>Technologies!D186</f>
        <v xml:space="preserve">Heavy Truck, Long Haul, Conventional LNG </v>
      </c>
      <c r="D136" s="1071" t="s">
        <v>480</v>
      </c>
      <c r="E136" s="1071" t="str">
        <f>Commodities!C$54</f>
        <v>THLNG</v>
      </c>
      <c r="F136" s="1071" t="str">
        <f>Commodities!C$13</f>
        <v>THL</v>
      </c>
      <c r="G136" s="1091">
        <v>1</v>
      </c>
      <c r="H136" s="1094">
        <v>2015</v>
      </c>
      <c r="I136" s="1091">
        <f t="shared" si="100"/>
        <v>17</v>
      </c>
      <c r="J136" s="1091">
        <v>0.18</v>
      </c>
      <c r="K136" s="1091"/>
      <c r="L136" s="1092"/>
      <c r="M136" s="1092">
        <f>Trucks!H209</f>
        <v>4.1842580380559553E-2</v>
      </c>
      <c r="N136" s="1092">
        <f>M136</f>
        <v>4.1842580380559553E-2</v>
      </c>
      <c r="O136" s="1092">
        <f>Trucks!H210</f>
        <v>4.1842580380559553E-2</v>
      </c>
      <c r="P136" s="1092">
        <f t="shared" ref="P136:Q140" si="114">O136</f>
        <v>4.1842580380559553E-2</v>
      </c>
      <c r="Q136" s="1092">
        <f t="shared" si="114"/>
        <v>4.1842580380559553E-2</v>
      </c>
      <c r="R136" s="1092">
        <f>Trucks!H211</f>
        <v>4.1842580380559553E-2</v>
      </c>
      <c r="S136" s="1092">
        <f t="shared" ref="S136:U140" si="115">R136</f>
        <v>4.1842580380559553E-2</v>
      </c>
      <c r="T136" s="1092">
        <f t="shared" si="115"/>
        <v>4.1842580380559553E-2</v>
      </c>
      <c r="U136" s="1092">
        <f t="shared" si="115"/>
        <v>4.1842580380559553E-2</v>
      </c>
      <c r="V136" s="1091"/>
      <c r="W136" s="1095">
        <f>Trucks!F209</f>
        <v>2398.7591457466888</v>
      </c>
      <c r="X136" s="1094">
        <f>W136</f>
        <v>2398.7591457466888</v>
      </c>
      <c r="Y136" s="1094">
        <f>Trucks!F210</f>
        <v>2427.1591264967856</v>
      </c>
      <c r="Z136" s="1094">
        <f t="shared" ref="Z136:AA140" si="116">Y136</f>
        <v>2427.1591264967856</v>
      </c>
      <c r="AA136" s="1094">
        <f t="shared" si="116"/>
        <v>2427.1591264967856</v>
      </c>
      <c r="AB136" s="1094">
        <f>Trucks!F211</f>
        <v>2648.9602628322136</v>
      </c>
      <c r="AC136" s="1094">
        <f t="shared" ref="AC136:AE140" si="117">AB136</f>
        <v>2648.9602628322136</v>
      </c>
      <c r="AD136" s="1094">
        <f t="shared" si="117"/>
        <v>2648.9602628322136</v>
      </c>
      <c r="AE136" s="1094">
        <f t="shared" si="117"/>
        <v>2648.9602628322136</v>
      </c>
      <c r="AF136" s="1095">
        <f>Trucks!G209</f>
        <v>289.82706984832384</v>
      </c>
      <c r="AG136" s="1093"/>
      <c r="AH136" s="1093"/>
      <c r="AI136" s="1093"/>
      <c r="AJ136" s="1093"/>
      <c r="AK136" s="1093"/>
      <c r="AL136" s="1094">
        <v>1</v>
      </c>
      <c r="AM136" s="1094"/>
      <c r="AN136" s="1094"/>
      <c r="AO136" s="1094"/>
      <c r="AP136" s="1094"/>
      <c r="AQ136" s="1094"/>
      <c r="AR136" s="1094"/>
      <c r="AS136" s="1094"/>
      <c r="AT136" s="1094"/>
      <c r="AU136" s="1094"/>
      <c r="AV136" s="1094"/>
      <c r="AZ136" s="1088">
        <f t="shared" si="113"/>
        <v>12</v>
      </c>
    </row>
    <row r="137" spans="1:52" s="1084" customFormat="1" ht="12" customHeight="1" x14ac:dyDescent="0.2">
      <c r="A137" s="1071" t="s">
        <v>115</v>
      </c>
      <c r="B137" s="1071" t="str">
        <f>Technologies!C187</f>
        <v>THLLNGADV</v>
      </c>
      <c r="C137" s="1071" t="str">
        <f>Technologies!D187</f>
        <v>Heavy Truck, Long Haul, Advanced LNG</v>
      </c>
      <c r="D137" s="1071" t="s">
        <v>480</v>
      </c>
      <c r="E137" s="1071" t="str">
        <f>Commodities!C$54</f>
        <v>THLNG</v>
      </c>
      <c r="F137" s="1071" t="str">
        <f>Commodities!C$13</f>
        <v>THL</v>
      </c>
      <c r="G137" s="1091">
        <v>1</v>
      </c>
      <c r="H137" s="1094">
        <v>2015</v>
      </c>
      <c r="I137" s="1091">
        <f t="shared" si="100"/>
        <v>17</v>
      </c>
      <c r="J137" s="1091">
        <v>0.24</v>
      </c>
      <c r="K137" s="1091"/>
      <c r="L137" s="1092"/>
      <c r="M137" s="1092">
        <f>Trucks!H212</f>
        <v>5.7079372341398843E-2</v>
      </c>
      <c r="N137" s="1092">
        <f>M137</f>
        <v>5.7079372341398843E-2</v>
      </c>
      <c r="O137" s="1092">
        <f>Trucks!H213</f>
        <v>5.8372599223519749E-2</v>
      </c>
      <c r="P137" s="1092">
        <f t="shared" si="114"/>
        <v>5.8372599223519749E-2</v>
      </c>
      <c r="Q137" s="1092">
        <f t="shared" si="114"/>
        <v>5.8372599223519749E-2</v>
      </c>
      <c r="R137" s="1092">
        <f>Trucks!H214</f>
        <v>5.8372599223519749E-2</v>
      </c>
      <c r="S137" s="1092">
        <f t="shared" si="115"/>
        <v>5.8372599223519749E-2</v>
      </c>
      <c r="T137" s="1092">
        <f t="shared" si="115"/>
        <v>5.8372599223519749E-2</v>
      </c>
      <c r="U137" s="1092">
        <f t="shared" si="115"/>
        <v>5.8372599223519749E-2</v>
      </c>
      <c r="V137" s="1091"/>
      <c r="W137" s="1095">
        <f>Trucks!F212</f>
        <v>2504.3667845737755</v>
      </c>
      <c r="X137" s="1094">
        <f>W137</f>
        <v>2504.3667845737755</v>
      </c>
      <c r="Y137" s="1094">
        <f>Trucks!F213</f>
        <v>2639.1528093544284</v>
      </c>
      <c r="Z137" s="1094">
        <f t="shared" si="116"/>
        <v>2639.1528093544284</v>
      </c>
      <c r="AA137" s="1094">
        <f t="shared" si="116"/>
        <v>2639.1528093544284</v>
      </c>
      <c r="AB137" s="1094">
        <f>Trucks!F214</f>
        <v>2585.5410474190576</v>
      </c>
      <c r="AC137" s="1094">
        <f t="shared" si="117"/>
        <v>2585.5410474190576</v>
      </c>
      <c r="AD137" s="1094">
        <f t="shared" si="117"/>
        <v>2585.5410474190576</v>
      </c>
      <c r="AE137" s="1094">
        <f t="shared" si="117"/>
        <v>2585.5410474190576</v>
      </c>
      <c r="AF137" s="1095">
        <f>Trucks!G212</f>
        <v>289.82706984832384</v>
      </c>
      <c r="AG137" s="1093"/>
      <c r="AH137" s="1093"/>
      <c r="AI137" s="1093"/>
      <c r="AJ137" s="1093"/>
      <c r="AK137" s="1093"/>
      <c r="AL137" s="1094">
        <v>1</v>
      </c>
      <c r="AM137" s="1094"/>
      <c r="AN137" s="1094"/>
      <c r="AO137" s="1094"/>
      <c r="AP137" s="1094"/>
      <c r="AQ137" s="1094"/>
      <c r="AR137" s="1094"/>
      <c r="AS137" s="1094"/>
      <c r="AT137" s="1094"/>
      <c r="AU137" s="1094"/>
      <c r="AV137" s="1094"/>
      <c r="AZ137" s="1088">
        <f t="shared" si="113"/>
        <v>12</v>
      </c>
    </row>
    <row r="138" spans="1:52" s="1084" customFormat="1" ht="12" customHeight="1" x14ac:dyDescent="0.2">
      <c r="A138" s="1071" t="s">
        <v>115</v>
      </c>
      <c r="B138" s="1071" t="str">
        <f>Technologies!C188</f>
        <v>THLLNGAH</v>
      </c>
      <c r="C138" s="1071" t="str">
        <f>Technologies!D188</f>
        <v>Heavy Truck, Long Haul, Advanced LNG Hybrid</v>
      </c>
      <c r="D138" s="1071" t="s">
        <v>480</v>
      </c>
      <c r="E138" s="1071" t="str">
        <f>Commodities!C$54</f>
        <v>THLNG</v>
      </c>
      <c r="F138" s="1071" t="str">
        <f>Commodities!C$13</f>
        <v>THL</v>
      </c>
      <c r="G138" s="1091">
        <v>1</v>
      </c>
      <c r="H138" s="1094">
        <v>2015</v>
      </c>
      <c r="I138" s="1091">
        <f t="shared" si="100"/>
        <v>17</v>
      </c>
      <c r="J138" s="1091">
        <v>0.24</v>
      </c>
      <c r="K138" s="1091"/>
      <c r="L138" s="1092"/>
      <c r="M138" s="1092">
        <f>Trucks!H215</f>
        <v>5.8982018086112128E-2</v>
      </c>
      <c r="N138" s="1092">
        <f>M138</f>
        <v>5.8982018086112128E-2</v>
      </c>
      <c r="O138" s="1092">
        <f>Trucks!H216</f>
        <v>6.0318352530970412E-2</v>
      </c>
      <c r="P138" s="1092">
        <f t="shared" si="114"/>
        <v>6.0318352530970412E-2</v>
      </c>
      <c r="Q138" s="1092">
        <f t="shared" si="114"/>
        <v>6.0318352530970412E-2</v>
      </c>
      <c r="R138" s="1092">
        <f>Trucks!H217</f>
        <v>6.0318352530970412E-2</v>
      </c>
      <c r="S138" s="1092">
        <f t="shared" si="115"/>
        <v>6.0318352530970412E-2</v>
      </c>
      <c r="T138" s="1092">
        <f t="shared" si="115"/>
        <v>6.0318352530970412E-2</v>
      </c>
      <c r="U138" s="1092">
        <f t="shared" si="115"/>
        <v>6.0318352530970412E-2</v>
      </c>
      <c r="V138" s="1091"/>
      <c r="W138" s="1095">
        <f>Trucks!F215</f>
        <v>2842.4433310618065</v>
      </c>
      <c r="X138" s="1094">
        <f>W138</f>
        <v>2842.4433310618065</v>
      </c>
      <c r="Y138" s="1094">
        <f>Trucks!F216</f>
        <v>2861.3269902166689</v>
      </c>
      <c r="Z138" s="1094">
        <f t="shared" si="116"/>
        <v>2861.3269902166689</v>
      </c>
      <c r="AA138" s="1094">
        <f t="shared" si="116"/>
        <v>2861.3269902166689</v>
      </c>
      <c r="AB138" s="1094">
        <f>Trucks!F217</f>
        <v>2807.7152282812981</v>
      </c>
      <c r="AC138" s="1094">
        <f t="shared" si="117"/>
        <v>2807.7152282812981</v>
      </c>
      <c r="AD138" s="1094">
        <f t="shared" si="117"/>
        <v>2807.7152282812981</v>
      </c>
      <c r="AE138" s="1094">
        <f t="shared" si="117"/>
        <v>2807.7152282812981</v>
      </c>
      <c r="AF138" s="1095">
        <f>Trucks!G215</f>
        <v>289.82706984832384</v>
      </c>
      <c r="AG138" s="1093"/>
      <c r="AH138" s="1093"/>
      <c r="AI138" s="1093"/>
      <c r="AJ138" s="1093"/>
      <c r="AK138" s="1093"/>
      <c r="AL138" s="1094">
        <v>1</v>
      </c>
      <c r="AM138" s="1094"/>
      <c r="AN138" s="1094"/>
      <c r="AO138" s="1094"/>
      <c r="AP138" s="1094"/>
      <c r="AQ138" s="1094"/>
      <c r="AR138" s="1094"/>
      <c r="AS138" s="1094"/>
      <c r="AT138" s="1094"/>
      <c r="AU138" s="1094"/>
      <c r="AV138" s="1094"/>
      <c r="AZ138" s="1088">
        <f t="shared" si="113"/>
        <v>12</v>
      </c>
    </row>
    <row r="139" spans="1:52" s="1084" customFormat="1" ht="12" customHeight="1" x14ac:dyDescent="0.2">
      <c r="A139" s="1071" t="s">
        <v>115</v>
      </c>
      <c r="B139" s="1071" t="str">
        <f>Technologies!C189</f>
        <v>THLLNGSW</v>
      </c>
      <c r="C139" s="1071" t="str">
        <f>Technologies!D189</f>
        <v>Heavy Truck, Long Haul, LNG Smartway</v>
      </c>
      <c r="D139" s="1071" t="s">
        <v>480</v>
      </c>
      <c r="E139" s="1071" t="str">
        <f>Commodities!C$54</f>
        <v>THLNG</v>
      </c>
      <c r="F139" s="1071" t="str">
        <f>Commodities!C$13</f>
        <v>THL</v>
      </c>
      <c r="G139" s="1091">
        <v>1</v>
      </c>
      <c r="H139" s="1094">
        <v>2015</v>
      </c>
      <c r="I139" s="1091">
        <f t="shared" si="100"/>
        <v>17</v>
      </c>
      <c r="J139" s="1091">
        <v>0.28000000000000003</v>
      </c>
      <c r="K139" s="1091"/>
      <c r="L139" s="1092"/>
      <c r="M139" s="1092">
        <f>Trucks!H218</f>
        <v>5.7079372341398843E-2</v>
      </c>
      <c r="N139" s="1092">
        <f>M139</f>
        <v>5.7079372341398843E-2</v>
      </c>
      <c r="O139" s="1092">
        <f>Trucks!H219</f>
        <v>6.6549620751363711E-2</v>
      </c>
      <c r="P139" s="1092">
        <f t="shared" si="114"/>
        <v>6.6549620751363711E-2</v>
      </c>
      <c r="Q139" s="1092">
        <f t="shared" si="114"/>
        <v>6.6549620751363711E-2</v>
      </c>
      <c r="R139" s="1092">
        <f>Trucks!H220</f>
        <v>6.6549620751363711E-2</v>
      </c>
      <c r="S139" s="1092">
        <f t="shared" si="115"/>
        <v>6.6549620751363711E-2</v>
      </c>
      <c r="T139" s="1092">
        <f t="shared" si="115"/>
        <v>6.6549620751363711E-2</v>
      </c>
      <c r="U139" s="1092">
        <f t="shared" si="115"/>
        <v>6.6549620751363711E-2</v>
      </c>
      <c r="V139" s="1091"/>
      <c r="W139" s="1095">
        <f>Trucks!F218</f>
        <v>2504.3667845737755</v>
      </c>
      <c r="X139" s="1094">
        <f>W139</f>
        <v>2504.3667845737755</v>
      </c>
      <c r="Y139" s="1094">
        <f>Trucks!F219</f>
        <v>3143.9520363023103</v>
      </c>
      <c r="Z139" s="1094">
        <f t="shared" si="116"/>
        <v>3143.9520363023103</v>
      </c>
      <c r="AA139" s="1094">
        <f t="shared" si="116"/>
        <v>3143.9520363023103</v>
      </c>
      <c r="AB139" s="1094">
        <f>Trucks!F220</f>
        <v>2837.9406608929985</v>
      </c>
      <c r="AC139" s="1094">
        <f t="shared" si="117"/>
        <v>2837.9406608929985</v>
      </c>
      <c r="AD139" s="1094">
        <f t="shared" si="117"/>
        <v>2837.9406608929985</v>
      </c>
      <c r="AE139" s="1094">
        <f t="shared" si="117"/>
        <v>2837.9406608929985</v>
      </c>
      <c r="AF139" s="1095">
        <f>Trucks!G218</f>
        <v>289.82706984832384</v>
      </c>
      <c r="AG139" s="1093"/>
      <c r="AH139" s="1093"/>
      <c r="AI139" s="1093"/>
      <c r="AJ139" s="1093"/>
      <c r="AK139" s="1093"/>
      <c r="AL139" s="1094">
        <v>1</v>
      </c>
      <c r="AM139" s="1094"/>
      <c r="AN139" s="1094"/>
      <c r="AO139" s="1094"/>
      <c r="AP139" s="1094"/>
      <c r="AQ139" s="1094"/>
      <c r="AR139" s="1094"/>
      <c r="AS139" s="1094"/>
      <c r="AT139" s="1094"/>
      <c r="AU139" s="1094"/>
      <c r="AV139" s="1094"/>
      <c r="AZ139" s="1088">
        <f t="shared" si="113"/>
        <v>12</v>
      </c>
    </row>
    <row r="140" spans="1:52" s="1084" customFormat="1" ht="12" customHeight="1" x14ac:dyDescent="0.2">
      <c r="A140" s="1071" t="s">
        <v>115</v>
      </c>
      <c r="B140" s="1071" t="str">
        <f>Technologies!C190</f>
        <v>THLLNGSWH</v>
      </c>
      <c r="C140" s="1071" t="str">
        <f>Technologies!D190</f>
        <v>Heavy Truck, Long Haul, LNG Smartway Hybird</v>
      </c>
      <c r="D140" s="1071" t="s">
        <v>480</v>
      </c>
      <c r="E140" s="1071" t="str">
        <f>Commodities!C$54</f>
        <v>THLNG</v>
      </c>
      <c r="F140" s="1071" t="str">
        <f>Commodities!C$13</f>
        <v>THL</v>
      </c>
      <c r="G140" s="1091">
        <v>1</v>
      </c>
      <c r="H140" s="1094">
        <v>2015</v>
      </c>
      <c r="I140" s="1091">
        <f t="shared" si="100"/>
        <v>17</v>
      </c>
      <c r="J140" s="1091">
        <v>0.28000000000000003</v>
      </c>
      <c r="K140" s="1091"/>
      <c r="L140" s="1092"/>
      <c r="M140" s="1092">
        <f>Trucks!H221</f>
        <v>5.8982018086112128E-2</v>
      </c>
      <c r="N140" s="1092">
        <f>M140</f>
        <v>5.8982018086112128E-2</v>
      </c>
      <c r="O140" s="1092">
        <f>Trucks!H222</f>
        <v>6.8767941443075867E-2</v>
      </c>
      <c r="P140" s="1092">
        <f t="shared" si="114"/>
        <v>6.8767941443075867E-2</v>
      </c>
      <c r="Q140" s="1092">
        <f t="shared" si="114"/>
        <v>6.8767941443075867E-2</v>
      </c>
      <c r="R140" s="1092">
        <f>Trucks!H223</f>
        <v>6.8767941443075867E-2</v>
      </c>
      <c r="S140" s="1092">
        <f t="shared" si="115"/>
        <v>6.8767941443075867E-2</v>
      </c>
      <c r="T140" s="1092">
        <f t="shared" si="115"/>
        <v>6.8767941443075867E-2</v>
      </c>
      <c r="U140" s="1092">
        <f t="shared" si="115"/>
        <v>6.8767941443075867E-2</v>
      </c>
      <c r="V140" s="1091"/>
      <c r="W140" s="1095">
        <f>Trucks!F221</f>
        <v>2842.4433310618065</v>
      </c>
      <c r="X140" s="1094">
        <f>W140</f>
        <v>2842.4433310618065</v>
      </c>
      <c r="Y140" s="1094">
        <f>Trucks!F222</f>
        <v>3366.1262171645503</v>
      </c>
      <c r="Z140" s="1094">
        <f t="shared" si="116"/>
        <v>3366.1262171645503</v>
      </c>
      <c r="AA140" s="1094">
        <f t="shared" si="116"/>
        <v>3366.1262171645503</v>
      </c>
      <c r="AB140" s="1094">
        <f>Trucks!F223</f>
        <v>3060.1148417552386</v>
      </c>
      <c r="AC140" s="1094">
        <f t="shared" si="117"/>
        <v>3060.1148417552386</v>
      </c>
      <c r="AD140" s="1094">
        <f t="shared" si="117"/>
        <v>3060.1148417552386</v>
      </c>
      <c r="AE140" s="1094">
        <f t="shared" si="117"/>
        <v>3060.1148417552386</v>
      </c>
      <c r="AF140" s="1095">
        <f>Trucks!G221</f>
        <v>289.82706984832384</v>
      </c>
      <c r="AG140" s="1093"/>
      <c r="AH140" s="1093"/>
      <c r="AI140" s="1093"/>
      <c r="AJ140" s="1093"/>
      <c r="AK140" s="1093"/>
      <c r="AL140" s="1094">
        <v>1</v>
      </c>
      <c r="AM140" s="1094"/>
      <c r="AN140" s="1094"/>
      <c r="AO140" s="1094"/>
      <c r="AP140" s="1094"/>
      <c r="AQ140" s="1094"/>
      <c r="AR140" s="1094"/>
      <c r="AS140" s="1094"/>
      <c r="AT140" s="1094"/>
      <c r="AU140" s="1094"/>
      <c r="AV140" s="1094"/>
      <c r="AZ140" s="1088">
        <f t="shared" si="113"/>
        <v>12</v>
      </c>
    </row>
    <row r="141" spans="1:52" s="1084" customFormat="1" ht="12" customHeight="1" x14ac:dyDescent="0.2">
      <c r="A141" s="1098" t="s">
        <v>485</v>
      </c>
      <c r="B141" s="1073"/>
      <c r="C141" s="1073"/>
      <c r="D141" s="1073"/>
      <c r="E141" s="1073"/>
      <c r="F141" s="1073"/>
      <c r="G141" s="1099"/>
      <c r="H141" s="1100"/>
      <c r="I141" s="1100"/>
      <c r="J141" s="1100"/>
      <c r="K141" s="1100"/>
      <c r="L141" s="1100"/>
      <c r="M141" s="1100"/>
      <c r="N141" s="1100"/>
      <c r="O141" s="1100"/>
      <c r="P141" s="1100"/>
      <c r="Q141" s="1100"/>
      <c r="R141" s="1100"/>
      <c r="S141" s="1100"/>
      <c r="T141" s="1100"/>
      <c r="U141" s="1100"/>
      <c r="V141" s="1100"/>
      <c r="W141" s="1100"/>
      <c r="X141" s="1100"/>
      <c r="Y141" s="1100"/>
      <c r="Z141" s="1100"/>
      <c r="AA141" s="1100"/>
      <c r="AB141" s="1100"/>
      <c r="AC141" s="1100"/>
      <c r="AD141" s="1100"/>
      <c r="AE141" s="1100"/>
      <c r="AF141" s="1100"/>
      <c r="AG141" s="1100"/>
      <c r="AH141" s="1100"/>
      <c r="AI141" s="1100"/>
      <c r="AJ141" s="1100"/>
      <c r="AK141" s="1100"/>
      <c r="AL141" s="1100"/>
      <c r="AM141" s="1101"/>
      <c r="AN141" s="1101"/>
      <c r="AO141" s="1101"/>
      <c r="AP141" s="1101"/>
      <c r="AQ141" s="1101"/>
      <c r="AR141" s="1101"/>
      <c r="AS141" s="1101"/>
      <c r="AT141" s="1101"/>
      <c r="AU141" s="1101"/>
      <c r="AV141" s="1101"/>
    </row>
    <row r="142" spans="1:52" s="1084" customFormat="1" ht="12" customHeight="1" x14ac:dyDescent="0.2">
      <c r="A142" s="1071" t="str">
        <f>Technologies!B192</f>
        <v>R2,R3,R4,R5,R6</v>
      </c>
      <c r="B142" s="1071" t="str">
        <f>Technologies!C192</f>
        <v>TPELCCR</v>
      </c>
      <c r="C142" s="1071" t="str">
        <f>Technologies!D192</f>
        <v>Commuter Rail, Electricity</v>
      </c>
      <c r="D142" s="1071" t="s">
        <v>478</v>
      </c>
      <c r="E142" s="1071" t="s">
        <v>9</v>
      </c>
      <c r="F142" s="1071" t="s">
        <v>110</v>
      </c>
      <c r="G142" s="1091">
        <v>1</v>
      </c>
      <c r="H142" s="1091">
        <v>2010</v>
      </c>
      <c r="I142" s="1091">
        <v>20</v>
      </c>
      <c r="J142" s="1091"/>
      <c r="K142" s="1091"/>
      <c r="L142" s="1096">
        <f>TechData!L29</f>
        <v>1.147236643778262</v>
      </c>
      <c r="M142" s="1096">
        <f>TechData!M29</f>
        <v>1.147236643778262</v>
      </c>
      <c r="N142" s="1096">
        <f>TechData!N29</f>
        <v>1.147236643778262</v>
      </c>
      <c r="O142" s="1096">
        <f>TechData!O29</f>
        <v>1.147236643778262</v>
      </c>
      <c r="P142" s="1096">
        <f>TechData!P29</f>
        <v>1.147236643778262</v>
      </c>
      <c r="Q142" s="1096">
        <f>TechData!Q29</f>
        <v>1.147236643778262</v>
      </c>
      <c r="R142" s="1096">
        <f>TechData!R29</f>
        <v>1.147236643778262</v>
      </c>
      <c r="S142" s="1096">
        <f>TechData!S29</f>
        <v>1.147236643778262</v>
      </c>
      <c r="T142" s="1096">
        <f>TechData!T29</f>
        <v>1.147236643778262</v>
      </c>
      <c r="U142" s="1096">
        <f>TechData!U29</f>
        <v>1.147236643778262</v>
      </c>
      <c r="V142" s="1091">
        <f>'Rail&amp;Bus2'!F60</f>
        <v>1284.7941201945534</v>
      </c>
      <c r="W142" s="1091">
        <f t="shared" ref="W142:AE142" si="118">V142</f>
        <v>1284.7941201945534</v>
      </c>
      <c r="X142" s="1091">
        <f t="shared" si="118"/>
        <v>1284.7941201945534</v>
      </c>
      <c r="Y142" s="1091">
        <f t="shared" si="118"/>
        <v>1284.7941201945534</v>
      </c>
      <c r="Z142" s="1091">
        <f t="shared" si="118"/>
        <v>1284.7941201945534</v>
      </c>
      <c r="AA142" s="1091">
        <f t="shared" si="118"/>
        <v>1284.7941201945534</v>
      </c>
      <c r="AB142" s="1091">
        <f t="shared" si="118"/>
        <v>1284.7941201945534</v>
      </c>
      <c r="AC142" s="1091">
        <f t="shared" si="118"/>
        <v>1284.7941201945534</v>
      </c>
      <c r="AD142" s="1091">
        <f t="shared" si="118"/>
        <v>1284.7941201945534</v>
      </c>
      <c r="AE142" s="1091">
        <f t="shared" si="118"/>
        <v>1284.7941201945534</v>
      </c>
      <c r="AF142" s="1091">
        <f>'Rail&amp;Bus2'!G60</f>
        <v>128.47941201945534</v>
      </c>
      <c r="AG142" s="1091"/>
      <c r="AH142" s="1091"/>
      <c r="AI142" s="1091"/>
      <c r="AJ142" s="1091"/>
      <c r="AK142" s="1091"/>
      <c r="AL142" s="1091">
        <v>1</v>
      </c>
      <c r="AM142" s="1094">
        <v>0</v>
      </c>
      <c r="AN142" s="1094"/>
      <c r="AO142" s="1094"/>
      <c r="AP142" s="1094"/>
      <c r="AQ142" s="1094"/>
      <c r="AR142" s="1094"/>
      <c r="AS142" s="1094"/>
      <c r="AT142" s="1094"/>
      <c r="AU142" s="1094"/>
      <c r="AV142" s="1094"/>
      <c r="AZ142" s="1084">
        <v>20</v>
      </c>
    </row>
    <row r="143" spans="1:52" s="1084" customFormat="1" ht="12" customHeight="1" x14ac:dyDescent="0.2">
      <c r="A143" s="1071" t="s">
        <v>115</v>
      </c>
      <c r="B143" s="1071" t="str">
        <f>Technologies!C194</f>
        <v>TPDSLIR</v>
      </c>
      <c r="C143" s="1071" t="str">
        <f>Technologies!D194</f>
        <v>Intercity Rail, Diesel</v>
      </c>
      <c r="D143" s="1071" t="s">
        <v>478</v>
      </c>
      <c r="E143" s="1071" t="str">
        <f>TechData!E31</f>
        <v>TRNDSL</v>
      </c>
      <c r="F143" s="1071"/>
      <c r="G143" s="1093">
        <f>1-G144</f>
        <v>0.87943601983093034</v>
      </c>
      <c r="H143" s="1091">
        <v>2010</v>
      </c>
      <c r="I143" s="1091">
        <v>20</v>
      </c>
      <c r="J143" s="1091"/>
      <c r="K143" s="1091"/>
      <c r="L143" s="1096">
        <f>'Rail&amp;Bus2'!H62</f>
        <v>0.38846397260273979</v>
      </c>
      <c r="M143" s="1096">
        <f>L143</f>
        <v>0.38846397260273979</v>
      </c>
      <c r="N143" s="1096">
        <f>L143</f>
        <v>0.38846397260273979</v>
      </c>
      <c r="O143" s="1096"/>
      <c r="P143" s="1096"/>
      <c r="Q143" s="1096"/>
      <c r="R143" s="1096"/>
      <c r="S143" s="1096"/>
      <c r="T143" s="1096"/>
      <c r="U143" s="1096"/>
      <c r="V143" s="1091">
        <f>'Rail&amp;Bus2'!F62</f>
        <v>181.59138325036903</v>
      </c>
      <c r="W143" s="1091">
        <f t="shared" ref="W143:AE143" si="119">V143</f>
        <v>181.59138325036903</v>
      </c>
      <c r="X143" s="1091">
        <f t="shared" si="119"/>
        <v>181.59138325036903</v>
      </c>
      <c r="Y143" s="1091">
        <f t="shared" si="119"/>
        <v>181.59138325036903</v>
      </c>
      <c r="Z143" s="1091">
        <f t="shared" si="119"/>
        <v>181.59138325036903</v>
      </c>
      <c r="AA143" s="1091">
        <f t="shared" si="119"/>
        <v>181.59138325036903</v>
      </c>
      <c r="AB143" s="1091">
        <f t="shared" si="119"/>
        <v>181.59138325036903</v>
      </c>
      <c r="AC143" s="1091">
        <f t="shared" si="119"/>
        <v>181.59138325036903</v>
      </c>
      <c r="AD143" s="1091">
        <f t="shared" si="119"/>
        <v>181.59138325036903</v>
      </c>
      <c r="AE143" s="1091">
        <f t="shared" si="119"/>
        <v>181.59138325036903</v>
      </c>
      <c r="AF143" s="1091">
        <f>'Rail&amp;Bus2'!G62</f>
        <v>18.159138325036903</v>
      </c>
      <c r="AG143" s="1091"/>
      <c r="AH143" s="1091"/>
      <c r="AI143" s="1091"/>
      <c r="AJ143" s="1091"/>
      <c r="AK143" s="1091"/>
      <c r="AL143" s="1091">
        <v>1</v>
      </c>
      <c r="AM143" s="1094"/>
      <c r="AN143" s="1094"/>
      <c r="AO143" s="1094"/>
      <c r="AP143" s="1094"/>
      <c r="AQ143" s="1094"/>
      <c r="AR143" s="1094"/>
      <c r="AS143" s="1094"/>
      <c r="AT143" s="1094"/>
      <c r="AU143" s="1094"/>
      <c r="AV143" s="1094"/>
      <c r="AZ143" s="1084">
        <v>20</v>
      </c>
    </row>
    <row r="144" spans="1:52" s="1084" customFormat="1" ht="12" customHeight="1" x14ac:dyDescent="0.2">
      <c r="A144" s="1071" t="s">
        <v>115</v>
      </c>
      <c r="B144" s="1071"/>
      <c r="C144" s="1071"/>
      <c r="D144" s="1071"/>
      <c r="E144" s="1071" t="s">
        <v>9</v>
      </c>
      <c r="F144" s="1071"/>
      <c r="G144" s="1093">
        <f>'AEO Data'!M238</f>
        <v>0.1205639801690697</v>
      </c>
      <c r="H144" s="1091"/>
      <c r="I144" s="1091"/>
      <c r="J144" s="1091"/>
      <c r="K144" s="1091"/>
      <c r="L144" s="1096"/>
      <c r="M144" s="1096"/>
      <c r="N144" s="1096"/>
      <c r="O144" s="1096"/>
      <c r="P144" s="1096"/>
      <c r="Q144" s="1096"/>
      <c r="R144" s="1096"/>
      <c r="S144" s="1096"/>
      <c r="T144" s="1096"/>
      <c r="U144" s="1096"/>
      <c r="V144" s="1091"/>
      <c r="W144" s="1091"/>
      <c r="X144" s="1091"/>
      <c r="Y144" s="1091"/>
      <c r="Z144" s="1091"/>
      <c r="AA144" s="1091"/>
      <c r="AB144" s="1091"/>
      <c r="AC144" s="1091"/>
      <c r="AD144" s="1091"/>
      <c r="AE144" s="1091"/>
      <c r="AF144" s="1091"/>
      <c r="AG144" s="1091"/>
      <c r="AH144" s="1091"/>
      <c r="AI144" s="1091"/>
      <c r="AJ144" s="1091"/>
      <c r="AK144" s="1091"/>
      <c r="AL144" s="1091"/>
      <c r="AM144" s="1094"/>
      <c r="AN144" s="1094"/>
      <c r="AO144" s="1094"/>
      <c r="AP144" s="1094"/>
      <c r="AQ144" s="1094"/>
      <c r="AR144" s="1094"/>
      <c r="AS144" s="1094"/>
      <c r="AT144" s="1094"/>
      <c r="AU144" s="1094"/>
      <c r="AV144" s="1094"/>
    </row>
    <row r="145" spans="1:52" s="1084" customFormat="1" ht="12" customHeight="1" x14ac:dyDescent="0.2">
      <c r="A145" s="1071" t="s">
        <v>115</v>
      </c>
      <c r="B145" s="1071"/>
      <c r="C145" s="1071"/>
      <c r="D145" s="1071"/>
      <c r="E145" s="1071"/>
      <c r="F145" s="1071" t="s">
        <v>110</v>
      </c>
      <c r="G145" s="1093"/>
      <c r="H145" s="1091"/>
      <c r="I145" s="1091"/>
      <c r="J145" s="1091"/>
      <c r="K145" s="1091"/>
      <c r="L145" s="1091"/>
      <c r="M145" s="1091"/>
      <c r="N145" s="1091"/>
      <c r="O145" s="1091"/>
      <c r="P145" s="1091"/>
      <c r="Q145" s="1091"/>
      <c r="R145" s="1091"/>
      <c r="S145" s="1091"/>
      <c r="T145" s="1091"/>
      <c r="U145" s="1091"/>
      <c r="V145" s="1091"/>
      <c r="W145" s="1091"/>
      <c r="X145" s="1091"/>
      <c r="Y145" s="1091"/>
      <c r="Z145" s="1091"/>
      <c r="AA145" s="1091"/>
      <c r="AB145" s="1091"/>
      <c r="AC145" s="1091"/>
      <c r="AD145" s="1091"/>
      <c r="AE145" s="1091"/>
      <c r="AF145" s="1091"/>
      <c r="AG145" s="1091"/>
      <c r="AH145" s="1091"/>
      <c r="AI145" s="1091"/>
      <c r="AJ145" s="1091"/>
      <c r="AK145" s="1091"/>
      <c r="AL145" s="1091"/>
      <c r="AM145" s="1094"/>
      <c r="AN145" s="1094"/>
      <c r="AO145" s="1094"/>
      <c r="AP145" s="1094"/>
      <c r="AQ145" s="1094"/>
      <c r="AR145" s="1094"/>
      <c r="AS145" s="1094"/>
      <c r="AT145" s="1094"/>
      <c r="AU145" s="1094"/>
      <c r="AV145" s="1094"/>
    </row>
    <row r="146" spans="1:52" s="1084" customFormat="1" ht="12" customHeight="1" x14ac:dyDescent="0.2">
      <c r="A146" s="1098" t="s">
        <v>486</v>
      </c>
      <c r="B146" s="1073"/>
      <c r="C146" s="1073"/>
      <c r="D146" s="1073"/>
      <c r="E146" s="1073"/>
      <c r="F146" s="1073"/>
      <c r="G146" s="1099"/>
      <c r="H146" s="1100"/>
      <c r="I146" s="1100"/>
      <c r="J146" s="1100"/>
      <c r="K146" s="1100"/>
      <c r="L146" s="1100"/>
      <c r="M146" s="1100"/>
      <c r="N146" s="1100"/>
      <c r="O146" s="1100"/>
      <c r="P146" s="1100"/>
      <c r="Q146" s="1100"/>
      <c r="R146" s="1100"/>
      <c r="S146" s="1100"/>
      <c r="T146" s="1100"/>
      <c r="U146" s="1100"/>
      <c r="V146" s="1100"/>
      <c r="W146" s="1100"/>
      <c r="X146" s="1100"/>
      <c r="Y146" s="1100"/>
      <c r="Z146" s="1100"/>
      <c r="AA146" s="1100"/>
      <c r="AB146" s="1100"/>
      <c r="AC146" s="1100"/>
      <c r="AD146" s="1100"/>
      <c r="AE146" s="1100"/>
      <c r="AF146" s="1100"/>
      <c r="AG146" s="1100"/>
      <c r="AH146" s="1100"/>
      <c r="AI146" s="1100"/>
      <c r="AJ146" s="1100"/>
      <c r="AK146" s="1100"/>
      <c r="AL146" s="1100"/>
      <c r="AM146" s="1101"/>
      <c r="AN146" s="1101"/>
      <c r="AO146" s="1101"/>
      <c r="AP146" s="1101"/>
      <c r="AQ146" s="1101"/>
      <c r="AR146" s="1101"/>
      <c r="AS146" s="1101"/>
      <c r="AT146" s="1101"/>
      <c r="AU146" s="1101"/>
      <c r="AV146" s="1101"/>
    </row>
    <row r="147" spans="1:52" s="1084" customFormat="1" ht="12" customHeight="1" x14ac:dyDescent="0.2">
      <c r="A147" s="1071" t="s">
        <v>115</v>
      </c>
      <c r="B147" s="1071" t="str">
        <f>Technologies!C197</f>
        <v>TRFDSL</v>
      </c>
      <c r="C147" s="1071" t="str">
        <f>Technologies!D197</f>
        <v>Rail Freight, Diesel</v>
      </c>
      <c r="D147" s="1071" t="s">
        <v>487</v>
      </c>
      <c r="E147" s="1071" t="s">
        <v>13</v>
      </c>
      <c r="F147" s="1071" t="s">
        <v>106</v>
      </c>
      <c r="G147" s="1091">
        <v>1</v>
      </c>
      <c r="H147" s="1091">
        <v>2010</v>
      </c>
      <c r="I147" s="1091">
        <v>30</v>
      </c>
      <c r="J147" s="1091">
        <v>0.18</v>
      </c>
      <c r="K147" s="1092"/>
      <c r="L147" s="1092">
        <f>Freight!J5</f>
        <v>3.2636303439067462</v>
      </c>
      <c r="M147" s="1092">
        <f>Freight!K5</f>
        <v>3.2794059114590817</v>
      </c>
      <c r="N147" s="1092">
        <f>Freight!L5</f>
        <v>3.2957703819082056</v>
      </c>
      <c r="O147" s="1092">
        <f>Freight!M5</f>
        <v>3.3125113242451758</v>
      </c>
      <c r="P147" s="1092">
        <f>Freight!N5</f>
        <v>3.3292965208679206</v>
      </c>
      <c r="Q147" s="1092">
        <f>Freight!O5</f>
        <v>3.3463433124975226</v>
      </c>
      <c r="R147" s="1092">
        <f>Q147</f>
        <v>3.3463433124975226</v>
      </c>
      <c r="S147" s="1092">
        <f>R147</f>
        <v>3.3463433124975226</v>
      </c>
      <c r="T147" s="1092">
        <f>S147</f>
        <v>3.3463433124975226</v>
      </c>
      <c r="U147" s="1092">
        <f>T147</f>
        <v>3.3463433124975226</v>
      </c>
      <c r="V147" s="1093">
        <f>Freight!F5</f>
        <v>23.842986507042003</v>
      </c>
      <c r="W147" s="1093">
        <f t="shared" ref="W147:AE147" si="120">V147</f>
        <v>23.842986507042003</v>
      </c>
      <c r="X147" s="1093">
        <f t="shared" si="120"/>
        <v>23.842986507042003</v>
      </c>
      <c r="Y147" s="1093">
        <f t="shared" si="120"/>
        <v>23.842986507042003</v>
      </c>
      <c r="Z147" s="1093">
        <f t="shared" si="120"/>
        <v>23.842986507042003</v>
      </c>
      <c r="AA147" s="1093">
        <f t="shared" si="120"/>
        <v>23.842986507042003</v>
      </c>
      <c r="AB147" s="1093">
        <f t="shared" si="120"/>
        <v>23.842986507042003</v>
      </c>
      <c r="AC147" s="1093">
        <f t="shared" si="120"/>
        <v>23.842986507042003</v>
      </c>
      <c r="AD147" s="1093">
        <f t="shared" si="120"/>
        <v>23.842986507042003</v>
      </c>
      <c r="AE147" s="1093">
        <f t="shared" si="120"/>
        <v>23.842986507042003</v>
      </c>
      <c r="AF147" s="1092">
        <f>TechData!AF31</f>
        <v>1.43057919042252</v>
      </c>
      <c r="AG147" s="1091"/>
      <c r="AH147" s="1091"/>
      <c r="AI147" s="1091"/>
      <c r="AJ147" s="1091"/>
      <c r="AK147" s="1091"/>
      <c r="AL147" s="1091">
        <v>1</v>
      </c>
      <c r="AM147" s="1094">
        <v>0</v>
      </c>
      <c r="AN147" s="1094"/>
      <c r="AO147" s="1094"/>
      <c r="AP147" s="1094"/>
      <c r="AQ147" s="1094"/>
      <c r="AR147" s="1094"/>
      <c r="AS147" s="1094"/>
      <c r="AT147" s="1094"/>
      <c r="AU147" s="1094"/>
      <c r="AV147" s="1094"/>
      <c r="AZ147" s="1084">
        <v>30</v>
      </c>
    </row>
    <row r="148" spans="1:52" s="1084" customFormat="1" ht="12" customHeight="1" x14ac:dyDescent="0.2">
      <c r="A148" s="1071" t="s">
        <v>115</v>
      </c>
      <c r="B148" s="1071" t="str">
        <f>Technologies!C198</f>
        <v>TRFDSL2</v>
      </c>
      <c r="C148" s="1071" t="str">
        <f>Technologies!D198</f>
        <v>Rail Freight, Diesel-MSW</v>
      </c>
      <c r="D148" s="1071" t="s">
        <v>480</v>
      </c>
      <c r="E148" s="1071" t="str">
        <f>Commodities!$C$46</f>
        <v>TWDSL</v>
      </c>
      <c r="F148" s="1071" t="str">
        <f>Commodities!$C$16</f>
        <v>TSW</v>
      </c>
      <c r="G148" s="1071">
        <f>G147</f>
        <v>1</v>
      </c>
      <c r="H148" s="1091">
        <f>H147</f>
        <v>2010</v>
      </c>
      <c r="I148" s="1091">
        <f>I147</f>
        <v>30</v>
      </c>
      <c r="J148" s="1091">
        <f>J147</f>
        <v>0.18</v>
      </c>
      <c r="K148" s="1092"/>
      <c r="L148" s="1092">
        <f t="shared" ref="L148:AF148" si="121">L147</f>
        <v>3.2636303439067462</v>
      </c>
      <c r="M148" s="1092">
        <f t="shared" si="121"/>
        <v>3.2794059114590817</v>
      </c>
      <c r="N148" s="1092">
        <f t="shared" si="121"/>
        <v>3.2957703819082056</v>
      </c>
      <c r="O148" s="1092">
        <f t="shared" si="121"/>
        <v>3.3125113242451758</v>
      </c>
      <c r="P148" s="1092">
        <f t="shared" si="121"/>
        <v>3.3292965208679206</v>
      </c>
      <c r="Q148" s="1092">
        <f t="shared" si="121"/>
        <v>3.3463433124975226</v>
      </c>
      <c r="R148" s="1092">
        <f t="shared" si="121"/>
        <v>3.3463433124975226</v>
      </c>
      <c r="S148" s="1092">
        <f t="shared" si="121"/>
        <v>3.3463433124975226</v>
      </c>
      <c r="T148" s="1092">
        <f t="shared" si="121"/>
        <v>3.3463433124975226</v>
      </c>
      <c r="U148" s="1092">
        <f t="shared" si="121"/>
        <v>3.3463433124975226</v>
      </c>
      <c r="V148" s="1092">
        <f t="shared" si="121"/>
        <v>23.842986507042003</v>
      </c>
      <c r="W148" s="1092">
        <f t="shared" si="121"/>
        <v>23.842986507042003</v>
      </c>
      <c r="X148" s="1092">
        <f t="shared" si="121"/>
        <v>23.842986507042003</v>
      </c>
      <c r="Y148" s="1092">
        <f t="shared" si="121"/>
        <v>23.842986507042003</v>
      </c>
      <c r="Z148" s="1092">
        <f t="shared" si="121"/>
        <v>23.842986507042003</v>
      </c>
      <c r="AA148" s="1092">
        <f t="shared" si="121"/>
        <v>23.842986507042003</v>
      </c>
      <c r="AB148" s="1092">
        <f t="shared" si="121"/>
        <v>23.842986507042003</v>
      </c>
      <c r="AC148" s="1092">
        <f t="shared" si="121"/>
        <v>23.842986507042003</v>
      </c>
      <c r="AD148" s="1092">
        <f t="shared" si="121"/>
        <v>23.842986507042003</v>
      </c>
      <c r="AE148" s="1092">
        <f t="shared" si="121"/>
        <v>23.842986507042003</v>
      </c>
      <c r="AF148" s="1092">
        <f t="shared" si="121"/>
        <v>1.43057919042252</v>
      </c>
      <c r="AG148" s="1091"/>
      <c r="AH148" s="1091"/>
      <c r="AI148" s="1091"/>
      <c r="AJ148" s="1091"/>
      <c r="AK148" s="1091"/>
      <c r="AL148" s="1091">
        <v>1</v>
      </c>
      <c r="AM148" s="1094">
        <v>0</v>
      </c>
      <c r="AN148" s="1094"/>
      <c r="AO148" s="1094"/>
      <c r="AP148" s="1094"/>
      <c r="AQ148" s="1094"/>
      <c r="AR148" s="1094"/>
      <c r="AS148" s="1094"/>
      <c r="AT148" s="1094"/>
      <c r="AU148" s="1094"/>
      <c r="AV148" s="1094"/>
      <c r="AZ148" s="1084">
        <f>AZ147</f>
        <v>30</v>
      </c>
    </row>
    <row r="149" spans="1:52" s="1084" customFormat="1" ht="12" customHeight="1" x14ac:dyDescent="0.2">
      <c r="A149" s="1071" t="s">
        <v>115</v>
      </c>
      <c r="B149" s="1071" t="str">
        <f>Technologies!C199</f>
        <v>TRF10DSL</v>
      </c>
      <c r="C149" s="1071" t="str">
        <f>Technologies!D199</f>
        <v>Rail Freight Diesel, 10% improvement</v>
      </c>
      <c r="D149" s="1071" t="s">
        <v>487</v>
      </c>
      <c r="E149" s="1071" t="s">
        <v>13</v>
      </c>
      <c r="F149" s="1071" t="s">
        <v>106</v>
      </c>
      <c r="G149" s="1091">
        <v>1</v>
      </c>
      <c r="H149" s="1091">
        <v>2010</v>
      </c>
      <c r="I149" s="1091">
        <v>30</v>
      </c>
      <c r="J149" s="1091">
        <v>0.24</v>
      </c>
      <c r="K149" s="1092">
        <f>Freight!H8</f>
        <v>3.0737262330293533</v>
      </c>
      <c r="L149" s="1091"/>
      <c r="M149" s="1092"/>
      <c r="N149" s="1092"/>
      <c r="O149" s="1092"/>
      <c r="P149" s="1092"/>
      <c r="Q149" s="1092"/>
      <c r="R149" s="1092"/>
      <c r="S149" s="1092"/>
      <c r="T149" s="1092"/>
      <c r="U149" s="1092"/>
      <c r="V149" s="1093">
        <f>Freight!F8</f>
        <v>27.462224962102798</v>
      </c>
      <c r="W149" s="1093">
        <f>V149</f>
        <v>27.462224962102798</v>
      </c>
      <c r="X149" s="1093">
        <f>Freight!F9</f>
        <v>27.443036352466475</v>
      </c>
      <c r="Y149" s="1093">
        <f t="shared" ref="Y149:AE149" si="122">X149</f>
        <v>27.443036352466475</v>
      </c>
      <c r="Z149" s="1093">
        <f t="shared" si="122"/>
        <v>27.443036352466475</v>
      </c>
      <c r="AA149" s="1093">
        <f t="shared" si="122"/>
        <v>27.443036352466475</v>
      </c>
      <c r="AB149" s="1093">
        <f t="shared" si="122"/>
        <v>27.443036352466475</v>
      </c>
      <c r="AC149" s="1093">
        <f t="shared" si="122"/>
        <v>27.443036352466475</v>
      </c>
      <c r="AD149" s="1093">
        <f t="shared" si="122"/>
        <v>27.443036352466475</v>
      </c>
      <c r="AE149" s="1093">
        <f t="shared" si="122"/>
        <v>27.443036352466475</v>
      </c>
      <c r="AF149" s="1092">
        <f>Freight!G8</f>
        <v>1.4342634034726935</v>
      </c>
      <c r="AG149" s="1091"/>
      <c r="AH149" s="1091"/>
      <c r="AI149" s="1091"/>
      <c r="AJ149" s="1091"/>
      <c r="AK149" s="1091"/>
      <c r="AL149" s="1091">
        <v>1</v>
      </c>
      <c r="AM149" s="1094">
        <v>0</v>
      </c>
      <c r="AN149" s="1094"/>
      <c r="AO149" s="1094"/>
      <c r="AP149" s="1094"/>
      <c r="AQ149" s="1094"/>
      <c r="AR149" s="1094"/>
      <c r="AS149" s="1094"/>
      <c r="AT149" s="1094"/>
      <c r="AU149" s="1094"/>
      <c r="AV149" s="1094"/>
      <c r="AZ149" s="1084">
        <f>Freight!E6</f>
        <v>30</v>
      </c>
    </row>
    <row r="150" spans="1:52" s="1084" customFormat="1" ht="12" customHeight="1" x14ac:dyDescent="0.2">
      <c r="A150" s="1071" t="s">
        <v>115</v>
      </c>
      <c r="B150" s="1071" t="str">
        <f>Technologies!C200</f>
        <v>TRF10DSL2</v>
      </c>
      <c r="C150" s="1071" t="str">
        <f>Technologies!D200</f>
        <v>Rail Freight Diesel, 10% improvement-MSW</v>
      </c>
      <c r="D150" s="1071" t="s">
        <v>480</v>
      </c>
      <c r="E150" s="1071" t="str">
        <f>Commodities!$C$46</f>
        <v>TWDSL</v>
      </c>
      <c r="F150" s="1071" t="str">
        <f>Commodities!$C$16</f>
        <v>TSW</v>
      </c>
      <c r="G150" s="1071">
        <f>G149</f>
        <v>1</v>
      </c>
      <c r="H150" s="1071">
        <f>H149</f>
        <v>2010</v>
      </c>
      <c r="I150" s="1071">
        <f>I149</f>
        <v>30</v>
      </c>
      <c r="J150" s="1071">
        <f>J149</f>
        <v>0.24</v>
      </c>
      <c r="K150" s="1071">
        <f>K149</f>
        <v>3.0737262330293533</v>
      </c>
      <c r="L150" s="1091"/>
      <c r="M150" s="1092"/>
      <c r="N150" s="1092"/>
      <c r="O150" s="1092"/>
      <c r="P150" s="1092"/>
      <c r="Q150" s="1092"/>
      <c r="R150" s="1092"/>
      <c r="S150" s="1092"/>
      <c r="T150" s="1092"/>
      <c r="U150" s="1092"/>
      <c r="V150" s="1093">
        <f t="shared" ref="V150:AF150" si="123">V149</f>
        <v>27.462224962102798</v>
      </c>
      <c r="W150" s="1093">
        <f t="shared" si="123"/>
        <v>27.462224962102798</v>
      </c>
      <c r="X150" s="1093">
        <f t="shared" si="123"/>
        <v>27.443036352466475</v>
      </c>
      <c r="Y150" s="1093">
        <f t="shared" si="123"/>
        <v>27.443036352466475</v>
      </c>
      <c r="Z150" s="1093">
        <f t="shared" si="123"/>
        <v>27.443036352466475</v>
      </c>
      <c r="AA150" s="1093">
        <f t="shared" si="123"/>
        <v>27.443036352466475</v>
      </c>
      <c r="AB150" s="1093">
        <f t="shared" si="123"/>
        <v>27.443036352466475</v>
      </c>
      <c r="AC150" s="1093">
        <f t="shared" si="123"/>
        <v>27.443036352466475</v>
      </c>
      <c r="AD150" s="1093">
        <f t="shared" si="123"/>
        <v>27.443036352466475</v>
      </c>
      <c r="AE150" s="1093">
        <f t="shared" si="123"/>
        <v>27.443036352466475</v>
      </c>
      <c r="AF150" s="1093">
        <f t="shared" si="123"/>
        <v>1.4342634034726935</v>
      </c>
      <c r="AG150" s="1091"/>
      <c r="AH150" s="1091"/>
      <c r="AI150" s="1091"/>
      <c r="AJ150" s="1091"/>
      <c r="AK150" s="1091"/>
      <c r="AL150" s="1091">
        <v>1</v>
      </c>
      <c r="AM150" s="1094">
        <v>0</v>
      </c>
      <c r="AN150" s="1094"/>
      <c r="AO150" s="1094"/>
      <c r="AP150" s="1094"/>
      <c r="AQ150" s="1094"/>
      <c r="AR150" s="1094"/>
      <c r="AS150" s="1094"/>
      <c r="AT150" s="1094"/>
      <c r="AU150" s="1094"/>
      <c r="AV150" s="1094"/>
      <c r="AZ150" s="1066">
        <f>AZ149</f>
        <v>30</v>
      </c>
    </row>
    <row r="151" spans="1:52" s="1084" customFormat="1" ht="12" customHeight="1" x14ac:dyDescent="0.2">
      <c r="A151" s="1071" t="s">
        <v>115</v>
      </c>
      <c r="B151" s="1071" t="str">
        <f>Technologies!C201</f>
        <v>TRF25DSL</v>
      </c>
      <c r="C151" s="1071" t="str">
        <f>Technologies!D201</f>
        <v>Rail Freight Dieseil, 25% improvement</v>
      </c>
      <c r="D151" s="1071" t="s">
        <v>487</v>
      </c>
      <c r="E151" s="1071" t="s">
        <v>13</v>
      </c>
      <c r="F151" s="1071" t="s">
        <v>106</v>
      </c>
      <c r="G151" s="1091">
        <v>1</v>
      </c>
      <c r="H151" s="1091">
        <v>2010</v>
      </c>
      <c r="I151" s="1091">
        <v>30</v>
      </c>
      <c r="J151" s="1091">
        <v>0.3</v>
      </c>
      <c r="K151" s="1092">
        <f>Freight!H6</f>
        <v>3.6884714796352243</v>
      </c>
      <c r="L151" s="1091"/>
      <c r="M151" s="1092"/>
      <c r="N151" s="1092"/>
      <c r="O151" s="1092"/>
      <c r="P151" s="1092"/>
      <c r="Q151" s="1092"/>
      <c r="R151" s="1092"/>
      <c r="S151" s="1092"/>
      <c r="T151" s="1092"/>
      <c r="U151" s="1092"/>
      <c r="V151" s="1093">
        <f>Freight!F6</f>
        <v>31.239056487930078</v>
      </c>
      <c r="W151" s="1093">
        <f>V151</f>
        <v>31.239056487930078</v>
      </c>
      <c r="X151" s="1093">
        <f>Freight!F7</f>
        <v>31.162302049384802</v>
      </c>
      <c r="Y151" s="1093">
        <f t="shared" ref="Y151:AE151" si="124">X151</f>
        <v>31.162302049384802</v>
      </c>
      <c r="Z151" s="1093">
        <f t="shared" si="124"/>
        <v>31.162302049384802</v>
      </c>
      <c r="AA151" s="1093">
        <f t="shared" si="124"/>
        <v>31.162302049384802</v>
      </c>
      <c r="AB151" s="1093">
        <f t="shared" si="124"/>
        <v>31.162302049384802</v>
      </c>
      <c r="AC151" s="1093">
        <f t="shared" si="124"/>
        <v>31.162302049384802</v>
      </c>
      <c r="AD151" s="1093">
        <f t="shared" si="124"/>
        <v>31.162302049384802</v>
      </c>
      <c r="AE151" s="1093">
        <f t="shared" si="124"/>
        <v>31.162302049384802</v>
      </c>
      <c r="AF151" s="1092">
        <f>Freight!G7</f>
        <v>1.4459300781315767</v>
      </c>
      <c r="AG151" s="1091"/>
      <c r="AH151" s="1091"/>
      <c r="AI151" s="1091"/>
      <c r="AJ151" s="1091"/>
      <c r="AK151" s="1091"/>
      <c r="AL151" s="1091">
        <v>1</v>
      </c>
      <c r="AM151" s="1094">
        <v>0</v>
      </c>
      <c r="AN151" s="1094"/>
      <c r="AO151" s="1094"/>
      <c r="AP151" s="1094"/>
      <c r="AQ151" s="1094"/>
      <c r="AR151" s="1094"/>
      <c r="AS151" s="1094"/>
      <c r="AT151" s="1094"/>
      <c r="AU151" s="1094"/>
      <c r="AV151" s="1094"/>
      <c r="AZ151" s="1084">
        <f>Freight!E7</f>
        <v>30</v>
      </c>
    </row>
    <row r="152" spans="1:52" s="1084" customFormat="1" ht="12" customHeight="1" x14ac:dyDescent="0.2">
      <c r="A152" s="1071" t="s">
        <v>115</v>
      </c>
      <c r="B152" s="1071" t="str">
        <f>Technologies!C202</f>
        <v>TRF25DSL2</v>
      </c>
      <c r="C152" s="1071" t="str">
        <f>Technologies!D202</f>
        <v>Rail Freight Dieseil, 25% improvement-MSW</v>
      </c>
      <c r="D152" s="1071" t="s">
        <v>480</v>
      </c>
      <c r="E152" s="1071" t="str">
        <f>Commodities!$C$46</f>
        <v>TWDSL</v>
      </c>
      <c r="F152" s="1071" t="str">
        <f>Commodities!$C$16</f>
        <v>TSW</v>
      </c>
      <c r="G152" s="1091">
        <v>1</v>
      </c>
      <c r="H152" s="1091">
        <f>H151</f>
        <v>2010</v>
      </c>
      <c r="I152" s="1091">
        <f>I151</f>
        <v>30</v>
      </c>
      <c r="J152" s="1091">
        <f>J151</f>
        <v>0.3</v>
      </c>
      <c r="K152" s="1091">
        <f>K151</f>
        <v>3.6884714796352243</v>
      </c>
      <c r="L152" s="1091"/>
      <c r="M152" s="1092"/>
      <c r="N152" s="1092"/>
      <c r="O152" s="1092"/>
      <c r="P152" s="1092"/>
      <c r="Q152" s="1092"/>
      <c r="R152" s="1092"/>
      <c r="S152" s="1092"/>
      <c r="T152" s="1092"/>
      <c r="U152" s="1092"/>
      <c r="V152" s="1093">
        <f t="shared" ref="V152:AF152" si="125">V151</f>
        <v>31.239056487930078</v>
      </c>
      <c r="W152" s="1093">
        <f t="shared" si="125"/>
        <v>31.239056487930078</v>
      </c>
      <c r="X152" s="1093">
        <f t="shared" si="125"/>
        <v>31.162302049384802</v>
      </c>
      <c r="Y152" s="1093">
        <f t="shared" si="125"/>
        <v>31.162302049384802</v>
      </c>
      <c r="Z152" s="1093">
        <f t="shared" si="125"/>
        <v>31.162302049384802</v>
      </c>
      <c r="AA152" s="1093">
        <f t="shared" si="125"/>
        <v>31.162302049384802</v>
      </c>
      <c r="AB152" s="1093">
        <f t="shared" si="125"/>
        <v>31.162302049384802</v>
      </c>
      <c r="AC152" s="1093">
        <f t="shared" si="125"/>
        <v>31.162302049384802</v>
      </c>
      <c r="AD152" s="1093">
        <f t="shared" si="125"/>
        <v>31.162302049384802</v>
      </c>
      <c r="AE152" s="1093">
        <f t="shared" si="125"/>
        <v>31.162302049384802</v>
      </c>
      <c r="AF152" s="1093">
        <f t="shared" si="125"/>
        <v>1.4459300781315767</v>
      </c>
      <c r="AG152" s="1091"/>
      <c r="AH152" s="1091"/>
      <c r="AI152" s="1091"/>
      <c r="AJ152" s="1091"/>
      <c r="AK152" s="1091"/>
      <c r="AL152" s="1091">
        <v>1</v>
      </c>
      <c r="AM152" s="1094">
        <v>0</v>
      </c>
      <c r="AN152" s="1094"/>
      <c r="AO152" s="1094"/>
      <c r="AP152" s="1094"/>
      <c r="AQ152" s="1094"/>
      <c r="AR152" s="1094"/>
      <c r="AS152" s="1094"/>
      <c r="AT152" s="1094"/>
      <c r="AU152" s="1094"/>
      <c r="AV152" s="1094"/>
      <c r="AZ152" s="1084">
        <f>AZ151</f>
        <v>30</v>
      </c>
    </row>
    <row r="153" spans="1:52" s="1084" customFormat="1" ht="12" customHeight="1" x14ac:dyDescent="0.2">
      <c r="A153" s="1071" t="s">
        <v>115</v>
      </c>
      <c r="B153" s="1071" t="str">
        <f>Technologies!C203</f>
        <v>TRFAPU</v>
      </c>
      <c r="C153" s="1071" t="str">
        <f>Technologies!D203</f>
        <v>Rail Freight Diesel with APU</v>
      </c>
      <c r="D153" s="1071" t="s">
        <v>487</v>
      </c>
      <c r="E153" s="1071" t="s">
        <v>13</v>
      </c>
      <c r="F153" s="1071" t="s">
        <v>106</v>
      </c>
      <c r="G153" s="1091">
        <v>1</v>
      </c>
      <c r="H153" s="1091">
        <v>2010</v>
      </c>
      <c r="I153" s="1091">
        <v>30</v>
      </c>
      <c r="J153" s="1091">
        <v>0.24</v>
      </c>
      <c r="K153" s="1092">
        <f>Freight!H10</f>
        <v>3.1899834060498367</v>
      </c>
      <c r="L153" s="1091"/>
      <c r="M153" s="1091"/>
      <c r="N153" s="1091"/>
      <c r="O153" s="1091"/>
      <c r="P153" s="1091"/>
      <c r="Q153" s="1091"/>
      <c r="R153" s="1091"/>
      <c r="S153" s="1091"/>
      <c r="T153" s="1091"/>
      <c r="U153" s="1091"/>
      <c r="V153" s="1093">
        <f>Freight!F10</f>
        <v>24.192367247674138</v>
      </c>
      <c r="W153" s="1093">
        <f t="shared" ref="W153:AE153" si="126">V153</f>
        <v>24.192367247674138</v>
      </c>
      <c r="X153" s="1093">
        <f t="shared" si="126"/>
        <v>24.192367247674138</v>
      </c>
      <c r="Y153" s="1093">
        <f t="shared" si="126"/>
        <v>24.192367247674138</v>
      </c>
      <c r="Z153" s="1093">
        <f t="shared" si="126"/>
        <v>24.192367247674138</v>
      </c>
      <c r="AA153" s="1093">
        <f t="shared" si="126"/>
        <v>24.192367247674138</v>
      </c>
      <c r="AB153" s="1093">
        <f t="shared" si="126"/>
        <v>24.192367247674138</v>
      </c>
      <c r="AC153" s="1093">
        <f t="shared" si="126"/>
        <v>24.192367247674138</v>
      </c>
      <c r="AD153" s="1093">
        <f t="shared" si="126"/>
        <v>24.192367247674138</v>
      </c>
      <c r="AE153" s="1093">
        <f t="shared" si="126"/>
        <v>24.192367247674138</v>
      </c>
      <c r="AF153" s="1092">
        <f>Freight!G10</f>
        <v>1.4425890276025934</v>
      </c>
      <c r="AG153" s="1091"/>
      <c r="AH153" s="1091"/>
      <c r="AI153" s="1091"/>
      <c r="AJ153" s="1091"/>
      <c r="AK153" s="1091"/>
      <c r="AL153" s="1091">
        <v>1</v>
      </c>
      <c r="AM153" s="1094"/>
      <c r="AN153" s="1094"/>
      <c r="AO153" s="1094"/>
      <c r="AP153" s="1094"/>
      <c r="AQ153" s="1094"/>
      <c r="AR153" s="1094"/>
      <c r="AS153" s="1094"/>
      <c r="AT153" s="1094"/>
      <c r="AU153" s="1094"/>
      <c r="AV153" s="1094"/>
      <c r="AZ153" s="1084">
        <f>Freight!E8</f>
        <v>30</v>
      </c>
    </row>
    <row r="154" spans="1:52" s="1084" customFormat="1" ht="12" customHeight="1" x14ac:dyDescent="0.2">
      <c r="A154" s="1071" t="s">
        <v>115</v>
      </c>
      <c r="B154" s="1071" t="str">
        <f>Technologies!C204</f>
        <v>TRFB20</v>
      </c>
      <c r="C154" s="1071" t="str">
        <f>Technologies!D204</f>
        <v>Rail Freight, Biodiesel</v>
      </c>
      <c r="D154" s="1071" t="s">
        <v>487</v>
      </c>
      <c r="E154" s="1071" t="str">
        <f>Commodities!C$64</f>
        <v>TRB20X</v>
      </c>
      <c r="F154" s="1071" t="s">
        <v>106</v>
      </c>
      <c r="G154" s="1091">
        <v>1</v>
      </c>
      <c r="H154" s="1091">
        <v>2015</v>
      </c>
      <c r="I154" s="1091">
        <v>30</v>
      </c>
      <c r="J154" s="1091">
        <v>0.24</v>
      </c>
      <c r="K154" s="1092"/>
      <c r="L154" s="1092">
        <f>Freight!J11</f>
        <v>3.2313171721848972</v>
      </c>
      <c r="M154" s="1092">
        <f>Freight!K11</f>
        <v>3.2469365459990907</v>
      </c>
      <c r="N154" s="1092">
        <f>Freight!L11</f>
        <v>3.2631389919883222</v>
      </c>
      <c r="O154" s="1092">
        <f>Freight!M11</f>
        <v>3.2797141824209661</v>
      </c>
      <c r="P154" s="1092">
        <f>Freight!N11</f>
        <v>3.2963331889781391</v>
      </c>
      <c r="Q154" s="1092">
        <f>Freight!O11</f>
        <v>3.3132112004925967</v>
      </c>
      <c r="R154" s="1092">
        <f>Q154</f>
        <v>3.3132112004925967</v>
      </c>
      <c r="S154" s="1092">
        <f>R154</f>
        <v>3.3132112004925967</v>
      </c>
      <c r="T154" s="1092">
        <f>S154</f>
        <v>3.3132112004925967</v>
      </c>
      <c r="U154" s="1092">
        <f>T154</f>
        <v>3.3132112004925967</v>
      </c>
      <c r="V154" s="1093">
        <f>Freight!F11</f>
        <v>23.842986507042003</v>
      </c>
      <c r="W154" s="1093">
        <f t="shared" ref="W154:AE154" si="127">V154</f>
        <v>23.842986507042003</v>
      </c>
      <c r="X154" s="1093">
        <f t="shared" si="127"/>
        <v>23.842986507042003</v>
      </c>
      <c r="Y154" s="1093">
        <f t="shared" si="127"/>
        <v>23.842986507042003</v>
      </c>
      <c r="Z154" s="1093">
        <f t="shared" si="127"/>
        <v>23.842986507042003</v>
      </c>
      <c r="AA154" s="1093">
        <f t="shared" si="127"/>
        <v>23.842986507042003</v>
      </c>
      <c r="AB154" s="1093">
        <f t="shared" si="127"/>
        <v>23.842986507042003</v>
      </c>
      <c r="AC154" s="1093">
        <f t="shared" si="127"/>
        <v>23.842986507042003</v>
      </c>
      <c r="AD154" s="1093">
        <f t="shared" si="127"/>
        <v>23.842986507042003</v>
      </c>
      <c r="AE154" s="1093">
        <f t="shared" si="127"/>
        <v>23.842986507042003</v>
      </c>
      <c r="AF154" s="1092">
        <f>Freight!G11</f>
        <v>1.43057919042252</v>
      </c>
      <c r="AG154" s="1091"/>
      <c r="AH154" s="1091"/>
      <c r="AI154" s="1091"/>
      <c r="AJ154" s="1091"/>
      <c r="AK154" s="1091"/>
      <c r="AL154" s="1091">
        <v>1</v>
      </c>
      <c r="AM154" s="1094"/>
      <c r="AN154" s="1094"/>
      <c r="AO154" s="1094"/>
      <c r="AP154" s="1094"/>
      <c r="AQ154" s="1094"/>
      <c r="AR154" s="1094"/>
      <c r="AS154" s="1094"/>
      <c r="AT154" s="1094"/>
      <c r="AU154" s="1094"/>
      <c r="AV154" s="1094"/>
      <c r="AZ154" s="1084">
        <f>Freight!E9</f>
        <v>30</v>
      </c>
    </row>
    <row r="155" spans="1:52" s="1084" customFormat="1" ht="12" customHeight="1" x14ac:dyDescent="0.2">
      <c r="A155" s="1071" t="s">
        <v>115</v>
      </c>
      <c r="B155" s="1071" t="str">
        <f>Technologies!C205</f>
        <v>TRFLNG</v>
      </c>
      <c r="C155" s="1071" t="str">
        <f>Technologies!D205</f>
        <v>Rail Freight, LNG</v>
      </c>
      <c r="D155" s="1071" t="s">
        <v>487</v>
      </c>
      <c r="E155" s="1071"/>
      <c r="F155" s="1071" t="s">
        <v>106</v>
      </c>
      <c r="G155" s="1091">
        <v>1</v>
      </c>
      <c r="H155" s="1091">
        <v>2015</v>
      </c>
      <c r="I155" s="1091">
        <v>30</v>
      </c>
      <c r="J155" s="1091">
        <v>0.24</v>
      </c>
      <c r="K155" s="1092">
        <f>Freight!H12</f>
        <v>2.7635668727577114</v>
      </c>
      <c r="L155" s="1091"/>
      <c r="M155" s="1091"/>
      <c r="N155" s="1091"/>
      <c r="O155" s="1091"/>
      <c r="P155" s="1091"/>
      <c r="Q155" s="1091"/>
      <c r="R155" s="1091"/>
      <c r="S155" s="1091"/>
      <c r="T155" s="1091"/>
      <c r="U155" s="1091"/>
      <c r="V155" s="1093">
        <f>Freight!F12</f>
        <v>25.343813499419113</v>
      </c>
      <c r="W155" s="1093">
        <f t="shared" ref="W155:AE155" si="128">V155</f>
        <v>25.343813499419113</v>
      </c>
      <c r="X155" s="1093">
        <f t="shared" si="128"/>
        <v>25.343813499419113</v>
      </c>
      <c r="Y155" s="1093">
        <f t="shared" si="128"/>
        <v>25.343813499419113</v>
      </c>
      <c r="Z155" s="1093">
        <f t="shared" si="128"/>
        <v>25.343813499419113</v>
      </c>
      <c r="AA155" s="1093">
        <f t="shared" si="128"/>
        <v>25.343813499419113</v>
      </c>
      <c r="AB155" s="1093">
        <f t="shared" si="128"/>
        <v>25.343813499419113</v>
      </c>
      <c r="AC155" s="1093">
        <f t="shared" si="128"/>
        <v>25.343813499419113</v>
      </c>
      <c r="AD155" s="1093">
        <f t="shared" si="128"/>
        <v>25.343813499419113</v>
      </c>
      <c r="AE155" s="1093">
        <f t="shared" si="128"/>
        <v>25.343813499419113</v>
      </c>
      <c r="AF155" s="1092">
        <f>Freight!G12</f>
        <v>1.4342634034726935</v>
      </c>
      <c r="AG155" s="1091"/>
      <c r="AH155" s="1091"/>
      <c r="AI155" s="1091"/>
      <c r="AJ155" s="1091"/>
      <c r="AK155" s="1091"/>
      <c r="AL155" s="1091">
        <v>1</v>
      </c>
      <c r="AM155" s="1094"/>
      <c r="AN155" s="1094"/>
      <c r="AO155" s="1094"/>
      <c r="AP155" s="1094"/>
      <c r="AQ155" s="1094"/>
      <c r="AR155" s="1094"/>
      <c r="AS155" s="1094"/>
      <c r="AT155" s="1094"/>
      <c r="AU155" s="1094"/>
      <c r="AV155" s="1094"/>
      <c r="AZ155" s="1084">
        <f>Freight!E10</f>
        <v>30</v>
      </c>
    </row>
    <row r="156" spans="1:52" s="1084" customFormat="1" ht="12" customHeight="1" x14ac:dyDescent="0.2">
      <c r="A156" s="1071" t="str">
        <f>Technologies!B206</f>
        <v>*</v>
      </c>
      <c r="B156" s="1071" t="str">
        <f>Technologies!C206</f>
        <v>TSDSHE</v>
      </c>
      <c r="C156" s="1071" t="str">
        <f>Technologies!D206</f>
        <v>Water Shipping, Residual Oil exisiting</v>
      </c>
      <c r="D156" s="1071" t="s">
        <v>487</v>
      </c>
      <c r="E156" s="1071" t="s">
        <v>25</v>
      </c>
      <c r="F156" s="1071" t="s">
        <v>102</v>
      </c>
      <c r="G156" s="1091">
        <v>1</v>
      </c>
      <c r="H156" s="1091">
        <v>2010</v>
      </c>
      <c r="I156" s="1091">
        <v>30</v>
      </c>
      <c r="J156" s="1091">
        <v>0.18</v>
      </c>
      <c r="K156" s="1092">
        <f>'Air&amp;Marine'!J37</f>
        <v>2.4581977639536889</v>
      </c>
      <c r="L156" s="1091"/>
      <c r="M156" s="1091"/>
      <c r="N156" s="1091"/>
      <c r="O156" s="1091"/>
      <c r="P156" s="1091"/>
      <c r="Q156" s="1091"/>
      <c r="R156" s="1091"/>
      <c r="S156" s="1091"/>
      <c r="T156" s="1091"/>
      <c r="U156" s="1091"/>
      <c r="V156" s="1093">
        <f>'Air&amp;Marine'!H37</f>
        <v>116.69461084272677</v>
      </c>
      <c r="W156" s="1093">
        <f t="shared" ref="W156:AE156" si="129">V156</f>
        <v>116.69461084272677</v>
      </c>
      <c r="X156" s="1093">
        <f t="shared" si="129"/>
        <v>116.69461084272677</v>
      </c>
      <c r="Y156" s="1093">
        <f t="shared" si="129"/>
        <v>116.69461084272677</v>
      </c>
      <c r="Z156" s="1093">
        <f t="shared" si="129"/>
        <v>116.69461084272677</v>
      </c>
      <c r="AA156" s="1093">
        <f t="shared" si="129"/>
        <v>116.69461084272677</v>
      </c>
      <c r="AB156" s="1093">
        <f t="shared" si="129"/>
        <v>116.69461084272677</v>
      </c>
      <c r="AC156" s="1093">
        <f t="shared" si="129"/>
        <v>116.69461084272677</v>
      </c>
      <c r="AD156" s="1093">
        <f t="shared" si="129"/>
        <v>116.69461084272677</v>
      </c>
      <c r="AE156" s="1093">
        <f t="shared" si="129"/>
        <v>116.69461084272677</v>
      </c>
      <c r="AF156" s="1093">
        <f>'Air&amp;Marine'!I37</f>
        <v>5.8347305421363389</v>
      </c>
      <c r="AG156" s="1091"/>
      <c r="AH156" s="1091"/>
      <c r="AI156" s="1091"/>
      <c r="AJ156" s="1091"/>
      <c r="AK156" s="1091"/>
      <c r="AL156" s="1091">
        <v>1</v>
      </c>
      <c r="AM156" s="1094">
        <v>0</v>
      </c>
      <c r="AN156" s="1094">
        <v>0</v>
      </c>
      <c r="AO156" s="1094">
        <v>0</v>
      </c>
      <c r="AP156" s="1094">
        <v>0</v>
      </c>
      <c r="AQ156" s="1094">
        <v>0</v>
      </c>
      <c r="AR156" s="1094">
        <v>0</v>
      </c>
      <c r="AS156" s="1094">
        <v>0</v>
      </c>
      <c r="AT156" s="1094">
        <v>0</v>
      </c>
      <c r="AU156" s="1094">
        <v>0</v>
      </c>
      <c r="AV156" s="1094">
        <v>0</v>
      </c>
      <c r="AZ156" s="1084">
        <f>'Air&amp;Marine'!G37</f>
        <v>30</v>
      </c>
    </row>
    <row r="157" spans="1:52" s="1084" customFormat="1" ht="12" customHeight="1" x14ac:dyDescent="0.2">
      <c r="A157" s="1071" t="str">
        <f>Technologies!B207</f>
        <v>*</v>
      </c>
      <c r="B157" s="1071" t="str">
        <f>Technologies!C207</f>
        <v>TSDSH10</v>
      </c>
      <c r="C157" s="1071" t="str">
        <f>Technologies!D207</f>
        <v>Water Shipping, Residual Oil, 2010</v>
      </c>
      <c r="D157" s="1071" t="s">
        <v>487</v>
      </c>
      <c r="E157" s="1071" t="str">
        <f>E156</f>
        <v>TRNRFH1</v>
      </c>
      <c r="F157" s="1071" t="s">
        <v>102</v>
      </c>
      <c r="G157" s="1091">
        <v>1</v>
      </c>
      <c r="H157" s="1091">
        <v>2010</v>
      </c>
      <c r="I157" s="1091">
        <v>30</v>
      </c>
      <c r="J157" s="1091">
        <v>0.18</v>
      </c>
      <c r="K157" s="1092">
        <f>'Air&amp;Marine'!J39</f>
        <v>2.7313308488374322</v>
      </c>
      <c r="L157" s="1091"/>
      <c r="M157" s="1091"/>
      <c r="N157" s="1091"/>
      <c r="O157" s="1091"/>
      <c r="P157" s="1091"/>
      <c r="Q157" s="1091"/>
      <c r="R157" s="1091"/>
      <c r="S157" s="1091"/>
      <c r="T157" s="1091"/>
      <c r="U157" s="1091"/>
      <c r="V157" s="1093">
        <f>'Air&amp;Marine'!H39</f>
        <v>116.82165966338562</v>
      </c>
      <c r="W157" s="1093">
        <f t="shared" ref="W157:AE157" si="130">V157</f>
        <v>116.82165966338562</v>
      </c>
      <c r="X157" s="1093">
        <f t="shared" si="130"/>
        <v>116.82165966338562</v>
      </c>
      <c r="Y157" s="1093">
        <f t="shared" si="130"/>
        <v>116.82165966338562</v>
      </c>
      <c r="Z157" s="1093">
        <f t="shared" si="130"/>
        <v>116.82165966338562</v>
      </c>
      <c r="AA157" s="1093">
        <f t="shared" si="130"/>
        <v>116.82165966338562</v>
      </c>
      <c r="AB157" s="1093">
        <f t="shared" si="130"/>
        <v>116.82165966338562</v>
      </c>
      <c r="AC157" s="1093">
        <f t="shared" si="130"/>
        <v>116.82165966338562</v>
      </c>
      <c r="AD157" s="1093">
        <f t="shared" si="130"/>
        <v>116.82165966338562</v>
      </c>
      <c r="AE157" s="1093">
        <f t="shared" si="130"/>
        <v>116.82165966338562</v>
      </c>
      <c r="AF157" s="1093">
        <f>'Air&amp;Marine'!I39</f>
        <v>5.8410829831692812</v>
      </c>
      <c r="AG157" s="1091"/>
      <c r="AH157" s="1091"/>
      <c r="AI157" s="1091"/>
      <c r="AJ157" s="1091"/>
      <c r="AK157" s="1091"/>
      <c r="AL157" s="1091">
        <v>1</v>
      </c>
      <c r="AM157" s="1094"/>
      <c r="AN157" s="1094"/>
      <c r="AO157" s="1094"/>
      <c r="AP157" s="1094"/>
      <c r="AQ157" s="1094"/>
      <c r="AR157" s="1094"/>
      <c r="AS157" s="1094"/>
      <c r="AT157" s="1094"/>
      <c r="AU157" s="1094"/>
      <c r="AV157" s="1094"/>
      <c r="AZ157" s="1084">
        <f>'Air&amp;Marine'!G38</f>
        <v>30</v>
      </c>
    </row>
    <row r="158" spans="1:52" s="1084" customFormat="1" ht="12" customHeight="1" x14ac:dyDescent="0.2">
      <c r="A158" s="1071" t="str">
        <f>Technologies!B208</f>
        <v>*</v>
      </c>
      <c r="B158" s="1071" t="str">
        <f>Technologies!C208</f>
        <v>TSDSHFI15</v>
      </c>
      <c r="C158" s="1071" t="str">
        <f>Technologies!D208</f>
        <v>Water Shipping, Resid Fuel Inject, 2015</v>
      </c>
      <c r="D158" s="1071" t="s">
        <v>487</v>
      </c>
      <c r="E158" s="1071" t="str">
        <f>E157</f>
        <v>TRNRFH1</v>
      </c>
      <c r="F158" s="1071" t="s">
        <v>102</v>
      </c>
      <c r="G158" s="1091">
        <v>1</v>
      </c>
      <c r="H158" s="1091">
        <v>2015</v>
      </c>
      <c r="I158" s="1091">
        <v>30</v>
      </c>
      <c r="J158" s="1091">
        <v>0.26</v>
      </c>
      <c r="K158" s="1092">
        <f>'Air&amp;Marine'!J38</f>
        <v>2.7934065499473739</v>
      </c>
      <c r="L158" s="1091"/>
      <c r="M158" s="1091"/>
      <c r="N158" s="1091"/>
      <c r="O158" s="1091"/>
      <c r="P158" s="1091"/>
      <c r="Q158" s="1091"/>
      <c r="R158" s="1091"/>
      <c r="S158" s="1091"/>
      <c r="T158" s="1091"/>
      <c r="U158" s="1091"/>
      <c r="V158" s="1093">
        <f>'Air&amp;Marine'!H38</f>
        <v>120.72361650800623</v>
      </c>
      <c r="W158" s="1093">
        <f t="shared" ref="W158:AE158" si="131">V158</f>
        <v>120.72361650800623</v>
      </c>
      <c r="X158" s="1093">
        <f t="shared" si="131"/>
        <v>120.72361650800623</v>
      </c>
      <c r="Y158" s="1093">
        <f t="shared" si="131"/>
        <v>120.72361650800623</v>
      </c>
      <c r="Z158" s="1093">
        <f t="shared" si="131"/>
        <v>120.72361650800623</v>
      </c>
      <c r="AA158" s="1093">
        <f t="shared" si="131"/>
        <v>120.72361650800623</v>
      </c>
      <c r="AB158" s="1093">
        <f t="shared" si="131"/>
        <v>120.72361650800623</v>
      </c>
      <c r="AC158" s="1093">
        <f t="shared" si="131"/>
        <v>120.72361650800623</v>
      </c>
      <c r="AD158" s="1093">
        <f t="shared" si="131"/>
        <v>120.72361650800623</v>
      </c>
      <c r="AE158" s="1093">
        <f t="shared" si="131"/>
        <v>120.72361650800623</v>
      </c>
      <c r="AF158" s="1093">
        <f>'Air&amp;Marine'!I38</f>
        <v>6.0361808254003115</v>
      </c>
      <c r="AG158" s="1091"/>
      <c r="AH158" s="1091"/>
      <c r="AI158" s="1091"/>
      <c r="AJ158" s="1091"/>
      <c r="AK158" s="1091"/>
      <c r="AL158" s="1091">
        <v>1</v>
      </c>
      <c r="AM158" s="1094"/>
      <c r="AN158" s="1094"/>
      <c r="AO158" s="1094"/>
      <c r="AP158" s="1094"/>
      <c r="AQ158" s="1094"/>
      <c r="AR158" s="1094"/>
      <c r="AS158" s="1094"/>
      <c r="AT158" s="1094"/>
      <c r="AU158" s="1094"/>
      <c r="AV158" s="1094"/>
      <c r="AZ158" s="1084">
        <f>'Air&amp;Marine'!G39</f>
        <v>30</v>
      </c>
    </row>
    <row r="159" spans="1:52" s="1084" customFormat="1" ht="12" customHeight="1" x14ac:dyDescent="0.2">
      <c r="A159" s="1071" t="str">
        <f>Technologies!B209</f>
        <v>*</v>
      </c>
      <c r="B159" s="1071" t="str">
        <f>Technologies!C209</f>
        <v>TSDSHBL15</v>
      </c>
      <c r="C159" s="1071" t="str">
        <f>Technologies!D209</f>
        <v>Water Shipping, Resid Bubble Lub, 2015</v>
      </c>
      <c r="D159" s="1071" t="s">
        <v>487</v>
      </c>
      <c r="E159" s="1071" t="str">
        <f>E158</f>
        <v>TRNRFH1</v>
      </c>
      <c r="F159" s="1071" t="s">
        <v>102</v>
      </c>
      <c r="G159" s="1091">
        <v>1</v>
      </c>
      <c r="H159" s="1091">
        <f>'Air&amp;Marine'!F40</f>
        <v>2015</v>
      </c>
      <c r="I159" s="1091">
        <v>30</v>
      </c>
      <c r="J159" s="1091">
        <v>0.28000000000000003</v>
      </c>
      <c r="K159" s="1092">
        <f>'Air&amp;Marine'!J40</f>
        <v>2.8093688730899302</v>
      </c>
      <c r="L159" s="1091"/>
      <c r="M159" s="1091"/>
      <c r="N159" s="1091"/>
      <c r="O159" s="1091"/>
      <c r="P159" s="1091"/>
      <c r="Q159" s="1091"/>
      <c r="R159" s="1091"/>
      <c r="S159" s="1091"/>
      <c r="T159" s="1091"/>
      <c r="U159" s="1091"/>
      <c r="V159" s="1093">
        <f>'Air&amp;Marine'!H40</f>
        <v>121.07065874932904</v>
      </c>
      <c r="W159" s="1093">
        <f t="shared" ref="W159:AE159" si="132">V159</f>
        <v>121.07065874932904</v>
      </c>
      <c r="X159" s="1093">
        <f t="shared" si="132"/>
        <v>121.07065874932904</v>
      </c>
      <c r="Y159" s="1093">
        <f t="shared" si="132"/>
        <v>121.07065874932904</v>
      </c>
      <c r="Z159" s="1093">
        <f t="shared" si="132"/>
        <v>121.07065874932904</v>
      </c>
      <c r="AA159" s="1093">
        <f t="shared" si="132"/>
        <v>121.07065874932904</v>
      </c>
      <c r="AB159" s="1093">
        <f t="shared" si="132"/>
        <v>121.07065874932904</v>
      </c>
      <c r="AC159" s="1093">
        <f t="shared" si="132"/>
        <v>121.07065874932904</v>
      </c>
      <c r="AD159" s="1093">
        <f t="shared" si="132"/>
        <v>121.07065874932904</v>
      </c>
      <c r="AE159" s="1093">
        <f t="shared" si="132"/>
        <v>121.07065874932904</v>
      </c>
      <c r="AF159" s="1093">
        <f>'Air&amp;Marine'!I40</f>
        <v>6.0535329374664526</v>
      </c>
      <c r="AG159" s="1091"/>
      <c r="AH159" s="1091"/>
      <c r="AI159" s="1091"/>
      <c r="AJ159" s="1091"/>
      <c r="AK159" s="1091"/>
      <c r="AL159" s="1091">
        <v>1</v>
      </c>
      <c r="AM159" s="1094"/>
      <c r="AN159" s="1094"/>
      <c r="AO159" s="1094"/>
      <c r="AP159" s="1094"/>
      <c r="AQ159" s="1094"/>
      <c r="AR159" s="1094"/>
      <c r="AS159" s="1094"/>
      <c r="AT159" s="1094"/>
      <c r="AU159" s="1094"/>
      <c r="AV159" s="1094"/>
      <c r="AZ159" s="1084">
        <f>'Air&amp;Marine'!G40</f>
        <v>30</v>
      </c>
    </row>
    <row r="160" spans="1:52" s="1084" customFormat="1" ht="12" customHeight="1" x14ac:dyDescent="0.2">
      <c r="A160" s="1071" t="str">
        <f>Technologies!B211</f>
        <v>R2,R3,R4,R5,R6</v>
      </c>
      <c r="B160" s="1071" t="str">
        <f>Technologies!C211</f>
        <v>TSDSL10</v>
      </c>
      <c r="C160" s="1071" t="str">
        <f>Technologies!D211</f>
        <v>Water Shipping, Diesel,2010</v>
      </c>
      <c r="D160" s="1071" t="s">
        <v>487</v>
      </c>
      <c r="E160" s="1071" t="str">
        <f>TechData!E33</f>
        <v>TSDSL</v>
      </c>
      <c r="F160" s="1071" t="s">
        <v>102</v>
      </c>
      <c r="G160" s="1091">
        <v>1</v>
      </c>
      <c r="H160" s="1091">
        <v>2010</v>
      </c>
      <c r="I160" s="1091">
        <v>30</v>
      </c>
      <c r="J160" s="1091">
        <v>0.18</v>
      </c>
      <c r="K160" s="1092">
        <f>'Air&amp;Marine'!J34</f>
        <v>2.1302385219588733</v>
      </c>
      <c r="L160" s="1091"/>
      <c r="M160" s="1091"/>
      <c r="N160" s="1091"/>
      <c r="O160" s="1091"/>
      <c r="P160" s="1091"/>
      <c r="Q160" s="1091"/>
      <c r="R160" s="1091"/>
      <c r="S160" s="1091"/>
      <c r="T160" s="1091"/>
      <c r="U160" s="1091"/>
      <c r="V160" s="1093">
        <f>'Air&amp;Marine'!H34</f>
        <v>20.327834233585889</v>
      </c>
      <c r="W160" s="1093">
        <f t="shared" ref="W160:AE160" si="133">V160</f>
        <v>20.327834233585889</v>
      </c>
      <c r="X160" s="1093">
        <f t="shared" si="133"/>
        <v>20.327834233585889</v>
      </c>
      <c r="Y160" s="1093">
        <f t="shared" si="133"/>
        <v>20.327834233585889</v>
      </c>
      <c r="Z160" s="1093">
        <f t="shared" si="133"/>
        <v>20.327834233585889</v>
      </c>
      <c r="AA160" s="1093">
        <f t="shared" si="133"/>
        <v>20.327834233585889</v>
      </c>
      <c r="AB160" s="1093">
        <f t="shared" si="133"/>
        <v>20.327834233585889</v>
      </c>
      <c r="AC160" s="1093">
        <f t="shared" si="133"/>
        <v>20.327834233585889</v>
      </c>
      <c r="AD160" s="1093">
        <f t="shared" si="133"/>
        <v>20.327834233585889</v>
      </c>
      <c r="AE160" s="1093">
        <f t="shared" si="133"/>
        <v>20.327834233585889</v>
      </c>
      <c r="AF160" s="1093">
        <f>'Air&amp;Marine'!I34</f>
        <v>1.0163917116792944</v>
      </c>
      <c r="AG160" s="1091"/>
      <c r="AH160" s="1091"/>
      <c r="AI160" s="1091"/>
      <c r="AJ160" s="1091"/>
      <c r="AK160" s="1091"/>
      <c r="AL160" s="1091">
        <v>1</v>
      </c>
      <c r="AM160" s="1094">
        <v>0</v>
      </c>
      <c r="AN160" s="1094"/>
      <c r="AO160" s="1094"/>
      <c r="AP160" s="1094"/>
      <c r="AQ160" s="1094"/>
      <c r="AR160" s="1094"/>
      <c r="AS160" s="1094"/>
      <c r="AT160" s="1094"/>
      <c r="AU160" s="1094"/>
      <c r="AV160" s="1094"/>
      <c r="AZ160" s="1084">
        <f>'Air&amp;Marine'!G33</f>
        <v>30</v>
      </c>
    </row>
    <row r="161" spans="1:52" s="1084" customFormat="1" ht="12" customHeight="1" x14ac:dyDescent="0.2">
      <c r="A161" s="1071" t="str">
        <f>Technologies!B212</f>
        <v>R2,R3,R4,R5,R6</v>
      </c>
      <c r="B161" s="1071" t="str">
        <f>Technologies!C212</f>
        <v>TSDSLFI15</v>
      </c>
      <c r="C161" s="1071" t="str">
        <f>Technologies!D212</f>
        <v>Water Shipping, Diesel Fuel Inj, 2015</v>
      </c>
      <c r="D161" s="1071" t="s">
        <v>487</v>
      </c>
      <c r="E161" s="1071" t="str">
        <f>E160</f>
        <v>TSDSL</v>
      </c>
      <c r="F161" s="1071" t="s">
        <v>102</v>
      </c>
      <c r="G161" s="1091">
        <v>1</v>
      </c>
      <c r="H161" s="1091">
        <v>2015</v>
      </c>
      <c r="I161" s="1091">
        <v>30</v>
      </c>
      <c r="J161" s="1091">
        <v>0.26</v>
      </c>
      <c r="K161" s="1092">
        <f>'Air&amp;Marine'!J33</f>
        <v>2.178653033821575</v>
      </c>
      <c r="L161" s="1091"/>
      <c r="M161" s="1091"/>
      <c r="N161" s="1091"/>
      <c r="O161" s="1091"/>
      <c r="P161" s="1091"/>
      <c r="Q161" s="1091"/>
      <c r="R161" s="1091"/>
      <c r="S161" s="1091"/>
      <c r="T161" s="1091"/>
      <c r="U161" s="1091"/>
      <c r="V161" s="1093">
        <f>'Air&amp;Marine'!H33</f>
        <v>20.720414164558093</v>
      </c>
      <c r="W161" s="1093">
        <f t="shared" ref="W161:AE161" si="134">V161</f>
        <v>20.720414164558093</v>
      </c>
      <c r="X161" s="1093">
        <f t="shared" si="134"/>
        <v>20.720414164558093</v>
      </c>
      <c r="Y161" s="1093">
        <f t="shared" si="134"/>
        <v>20.720414164558093</v>
      </c>
      <c r="Z161" s="1093">
        <f t="shared" si="134"/>
        <v>20.720414164558093</v>
      </c>
      <c r="AA161" s="1093">
        <f t="shared" si="134"/>
        <v>20.720414164558093</v>
      </c>
      <c r="AB161" s="1093">
        <f t="shared" si="134"/>
        <v>20.720414164558093</v>
      </c>
      <c r="AC161" s="1093">
        <f t="shared" si="134"/>
        <v>20.720414164558093</v>
      </c>
      <c r="AD161" s="1093">
        <f t="shared" si="134"/>
        <v>20.720414164558093</v>
      </c>
      <c r="AE161" s="1093">
        <f t="shared" si="134"/>
        <v>20.720414164558093</v>
      </c>
      <c r="AF161" s="1093">
        <f>'Air&amp;Marine'!I33</f>
        <v>1.027903765563994</v>
      </c>
      <c r="AG161" s="1091"/>
      <c r="AH161" s="1091"/>
      <c r="AI161" s="1091"/>
      <c r="AJ161" s="1091"/>
      <c r="AK161" s="1091"/>
      <c r="AL161" s="1091">
        <v>1</v>
      </c>
      <c r="AM161" s="1094">
        <v>0</v>
      </c>
      <c r="AN161" s="1094"/>
      <c r="AO161" s="1094"/>
      <c r="AP161" s="1094"/>
      <c r="AQ161" s="1094"/>
      <c r="AR161" s="1094"/>
      <c r="AS161" s="1094"/>
      <c r="AT161" s="1094"/>
      <c r="AU161" s="1094"/>
      <c r="AV161" s="1094"/>
      <c r="AZ161" s="1084">
        <f>'Air&amp;Marine'!G34</f>
        <v>30</v>
      </c>
    </row>
    <row r="162" spans="1:52" s="1084" customFormat="1" ht="12" customHeight="1" x14ac:dyDescent="0.2">
      <c r="A162" s="1071" t="str">
        <f>Technologies!B213</f>
        <v>R2,R3,R4,R5,R6</v>
      </c>
      <c r="B162" s="1071" t="str">
        <f>Technologies!C213</f>
        <v>TSDSLHE15</v>
      </c>
      <c r="C162" s="1071" t="str">
        <f>Technologies!D213</f>
        <v>Water Shipping, Diesel, Hybrid Electric, 2015</v>
      </c>
      <c r="D162" s="1071" t="s">
        <v>487</v>
      </c>
      <c r="E162" s="1071" t="str">
        <f>E161</f>
        <v>TSDSL</v>
      </c>
      <c r="F162" s="1071" t="s">
        <v>102</v>
      </c>
      <c r="G162" s="1091">
        <v>1</v>
      </c>
      <c r="H162" s="1091">
        <f>'Air&amp;Marine'!F35</f>
        <v>2015</v>
      </c>
      <c r="I162" s="1091">
        <v>30</v>
      </c>
      <c r="J162" s="1091">
        <v>0.28000000000000003</v>
      </c>
      <c r="K162" s="1092">
        <f>'Air&amp;Marine'!J35</f>
        <v>2.3965183372037324</v>
      </c>
      <c r="L162" s="1091"/>
      <c r="M162" s="1091"/>
      <c r="N162" s="1091"/>
      <c r="O162" s="1091"/>
      <c r="P162" s="1091"/>
      <c r="Q162" s="1091"/>
      <c r="R162" s="1091"/>
      <c r="S162" s="1091"/>
      <c r="T162" s="1091"/>
      <c r="U162" s="1091"/>
      <c r="V162" s="1093">
        <f>'Air&amp;Marine'!H35</f>
        <v>23.870342449190009</v>
      </c>
      <c r="W162" s="1093">
        <f t="shared" ref="W162:AE162" si="135">V162</f>
        <v>23.870342449190009</v>
      </c>
      <c r="X162" s="1093">
        <f t="shared" si="135"/>
        <v>23.870342449190009</v>
      </c>
      <c r="Y162" s="1093">
        <f t="shared" si="135"/>
        <v>23.870342449190009</v>
      </c>
      <c r="Z162" s="1093">
        <f t="shared" si="135"/>
        <v>23.870342449190009</v>
      </c>
      <c r="AA162" s="1093">
        <f t="shared" si="135"/>
        <v>23.870342449190009</v>
      </c>
      <c r="AB162" s="1093">
        <f t="shared" si="135"/>
        <v>23.870342449190009</v>
      </c>
      <c r="AC162" s="1093">
        <f t="shared" si="135"/>
        <v>23.870342449190009</v>
      </c>
      <c r="AD162" s="1093">
        <f t="shared" si="135"/>
        <v>23.870342449190009</v>
      </c>
      <c r="AE162" s="1093">
        <f t="shared" si="135"/>
        <v>23.870342449190009</v>
      </c>
      <c r="AF162" s="1093">
        <f>'Air&amp;Marine'!I35</f>
        <v>1.1935171224595005</v>
      </c>
      <c r="AG162" s="1091"/>
      <c r="AH162" s="1091"/>
      <c r="AI162" s="1091"/>
      <c r="AJ162" s="1091"/>
      <c r="AK162" s="1091"/>
      <c r="AL162" s="1091">
        <v>1</v>
      </c>
      <c r="AM162" s="1094">
        <v>0</v>
      </c>
      <c r="AN162" s="1094"/>
      <c r="AO162" s="1094"/>
      <c r="AP162" s="1094"/>
      <c r="AQ162" s="1094"/>
      <c r="AR162" s="1094"/>
      <c r="AS162" s="1094"/>
      <c r="AT162" s="1094"/>
      <c r="AU162" s="1094"/>
      <c r="AV162" s="1094"/>
      <c r="AZ162" s="1084">
        <f>'Air&amp;Marine'!G35</f>
        <v>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44BE6-2E7B-44AD-A6F1-70AC6348A911}">
  <sheetPr>
    <tabColor rgb="FFFFC000"/>
  </sheetPr>
  <dimension ref="A1:AT18"/>
  <sheetViews>
    <sheetView showFormulas="1" workbookViewId="0">
      <selection activeCell="C10" sqref="C10:AG11"/>
    </sheetView>
  </sheetViews>
  <sheetFormatPr defaultColWidth="9.140625" defaultRowHeight="12" x14ac:dyDescent="0.2"/>
  <cols>
    <col min="1" max="1" width="14.42578125" style="37" bestFit="1" customWidth="1"/>
    <col min="2" max="2" width="15.5703125" style="37" bestFit="1" customWidth="1"/>
    <col min="3" max="3" width="28.42578125" style="37" bestFit="1" customWidth="1"/>
    <col min="4" max="4" width="18.5703125" style="37" bestFit="1" customWidth="1"/>
    <col min="5" max="6" width="9.42578125" style="37" bestFit="1" customWidth="1"/>
    <col min="7" max="9" width="15.42578125" style="37" bestFit="1" customWidth="1"/>
    <col min="10" max="10" width="19.140625" style="37" bestFit="1" customWidth="1"/>
    <col min="11" max="11" width="19.140625" style="37" customWidth="1"/>
    <col min="12" max="14" width="15.42578125" style="37" bestFit="1" customWidth="1"/>
    <col min="15" max="15" width="18.85546875" style="37" bestFit="1" customWidth="1"/>
    <col min="16" max="16" width="18.85546875" style="37" customWidth="1"/>
    <col min="17" max="17" width="19.5703125" style="37" bestFit="1" customWidth="1"/>
    <col min="18" max="18" width="19.5703125" style="37" customWidth="1"/>
    <col min="19" max="19" width="19.5703125" style="37" bestFit="1" customWidth="1"/>
    <col min="20" max="20" width="19.5703125" style="37" customWidth="1"/>
    <col min="21" max="21" width="18.140625" style="37" bestFit="1" customWidth="1"/>
    <col min="22" max="22" width="18.140625" style="37" customWidth="1"/>
    <col min="23" max="23" width="18.85546875" style="37" bestFit="1" customWidth="1"/>
    <col min="24" max="24" width="18.85546875" style="37" customWidth="1"/>
    <col min="25" max="25" width="18.5703125" style="37" bestFit="1" customWidth="1"/>
    <col min="26" max="26" width="18.5703125" style="37" customWidth="1"/>
    <col min="27" max="27" width="19.140625" style="37" bestFit="1" customWidth="1"/>
    <col min="28" max="28" width="19.140625" style="37" customWidth="1"/>
    <col min="29" max="29" width="18" style="37" bestFit="1" customWidth="1"/>
    <col min="30" max="30" width="18" style="37" customWidth="1"/>
    <col min="31" max="31" width="18.140625" style="37" bestFit="1" customWidth="1"/>
    <col min="32" max="32" width="18.140625" style="37" customWidth="1"/>
    <col min="33" max="35" width="16.42578125" style="37" bestFit="1" customWidth="1"/>
    <col min="36" max="36" width="20" style="37" bestFit="1" customWidth="1"/>
    <col min="37" max="37" width="20" style="37" customWidth="1"/>
    <col min="38" max="40" width="16.140625" style="37" bestFit="1" customWidth="1"/>
    <col min="41" max="41" width="19.5703125" style="37" bestFit="1" customWidth="1"/>
    <col min="42" max="42" width="19.5703125" style="37" customWidth="1"/>
    <col min="43" max="43" width="20.5703125" style="37" bestFit="1" customWidth="1"/>
    <col min="44" max="44" width="20.5703125" style="37" customWidth="1"/>
    <col min="45" max="45" width="20.5703125" style="37" bestFit="1" customWidth="1"/>
    <col min="46" max="46" width="20.5703125" style="37" customWidth="1"/>
    <col min="47" max="16384" width="9.140625" style="37"/>
  </cols>
  <sheetData>
    <row r="1" spans="1:46" x14ac:dyDescent="0.2">
      <c r="A1" s="1063" t="s">
        <v>473</v>
      </c>
      <c r="B1" s="37" t="s">
        <v>7</v>
      </c>
    </row>
    <row r="5" spans="1:46" x14ac:dyDescent="0.2">
      <c r="G5" s="1106" t="s">
        <v>492</v>
      </c>
      <c r="H5" s="1106" t="s">
        <v>492</v>
      </c>
      <c r="I5" s="1106" t="s">
        <v>492</v>
      </c>
      <c r="J5" s="1106" t="s">
        <v>492</v>
      </c>
      <c r="K5" s="1106" t="s">
        <v>492</v>
      </c>
      <c r="L5" s="1106" t="s">
        <v>492</v>
      </c>
      <c r="M5" s="1106" t="s">
        <v>492</v>
      </c>
      <c r="N5" s="1106" t="s">
        <v>492</v>
      </c>
      <c r="O5" s="1106" t="s">
        <v>492</v>
      </c>
      <c r="P5" s="1106" t="s">
        <v>492</v>
      </c>
      <c r="Q5" s="1106" t="s">
        <v>492</v>
      </c>
      <c r="R5" s="1106" t="s">
        <v>492</v>
      </c>
      <c r="S5" s="1106" t="s">
        <v>492</v>
      </c>
      <c r="T5" s="1106" t="s">
        <v>492</v>
      </c>
      <c r="U5" s="1106" t="s">
        <v>492</v>
      </c>
      <c r="V5" s="1106" t="s">
        <v>492</v>
      </c>
      <c r="W5" s="1106" t="s">
        <v>492</v>
      </c>
      <c r="X5" s="1106" t="s">
        <v>492</v>
      </c>
      <c r="Y5" s="1106" t="s">
        <v>492</v>
      </c>
      <c r="Z5" s="1106" t="s">
        <v>492</v>
      </c>
      <c r="AA5" s="1106" t="s">
        <v>492</v>
      </c>
      <c r="AB5" s="1106" t="s">
        <v>492</v>
      </c>
      <c r="AC5" s="1106" t="s">
        <v>492</v>
      </c>
      <c r="AD5" s="1106" t="s">
        <v>492</v>
      </c>
      <c r="AE5" s="1106" t="s">
        <v>492</v>
      </c>
      <c r="AF5" s="1106" t="s">
        <v>492</v>
      </c>
      <c r="AG5" s="1106" t="s">
        <v>492</v>
      </c>
      <c r="AH5" s="1106" t="s">
        <v>492</v>
      </c>
      <c r="AI5" s="1106" t="s">
        <v>492</v>
      </c>
      <c r="AJ5" s="1106" t="s">
        <v>492</v>
      </c>
      <c r="AK5" s="1106" t="s">
        <v>492</v>
      </c>
      <c r="AL5" s="1106" t="s">
        <v>492</v>
      </c>
      <c r="AM5" s="1106" t="s">
        <v>492</v>
      </c>
      <c r="AN5" s="1106" t="s">
        <v>492</v>
      </c>
      <c r="AO5" s="1106" t="s">
        <v>492</v>
      </c>
      <c r="AP5" s="1106" t="s">
        <v>492</v>
      </c>
      <c r="AQ5" s="1106" t="s">
        <v>492</v>
      </c>
      <c r="AR5" s="1106" t="s">
        <v>492</v>
      </c>
      <c r="AS5" s="1106" t="s">
        <v>492</v>
      </c>
      <c r="AT5" s="1106" t="s">
        <v>492</v>
      </c>
    </row>
    <row r="6" spans="1:46" x14ac:dyDescent="0.2">
      <c r="G6" s="1107" t="s">
        <v>129</v>
      </c>
      <c r="H6" s="1107" t="s">
        <v>129</v>
      </c>
      <c r="I6" s="1107" t="s">
        <v>129</v>
      </c>
      <c r="J6" s="1107" t="s">
        <v>129</v>
      </c>
      <c r="K6" s="1107" t="s">
        <v>129</v>
      </c>
      <c r="L6" s="1107" t="s">
        <v>125</v>
      </c>
      <c r="M6" s="1107" t="s">
        <v>125</v>
      </c>
      <c r="N6" s="1107" t="s">
        <v>125</v>
      </c>
      <c r="O6" s="1107" t="s">
        <v>125</v>
      </c>
      <c r="P6" s="1107" t="str">
        <f>O6</f>
        <v>SO2</v>
      </c>
      <c r="Q6" s="1107" t="s">
        <v>133</v>
      </c>
      <c r="R6" s="1107" t="str">
        <f>Q6</f>
        <v>PM10</v>
      </c>
      <c r="S6" s="1107" t="s">
        <v>141</v>
      </c>
      <c r="T6" s="1107" t="s">
        <v>141</v>
      </c>
      <c r="U6" s="1107" t="s">
        <v>145</v>
      </c>
      <c r="V6" s="1107" t="s">
        <v>145</v>
      </c>
      <c r="W6" s="1107" t="s">
        <v>147</v>
      </c>
      <c r="X6" s="1107" t="s">
        <v>147</v>
      </c>
      <c r="Y6" s="1107" t="s">
        <v>149</v>
      </c>
      <c r="Z6" s="1107" t="s">
        <v>149</v>
      </c>
      <c r="AA6" s="1107" t="s">
        <v>137</v>
      </c>
      <c r="AB6" s="1107" t="s">
        <v>137</v>
      </c>
      <c r="AC6" s="1107" t="s">
        <v>151</v>
      </c>
      <c r="AD6" s="1107" t="s">
        <v>151</v>
      </c>
      <c r="AE6" s="1107" t="s">
        <v>153</v>
      </c>
      <c r="AF6" s="1107" t="s">
        <v>153</v>
      </c>
      <c r="AG6" s="1107" t="s">
        <v>131</v>
      </c>
      <c r="AH6" s="1107" t="s">
        <v>131</v>
      </c>
      <c r="AI6" s="1107" t="s">
        <v>131</v>
      </c>
      <c r="AJ6" s="1107" t="s">
        <v>131</v>
      </c>
      <c r="AK6" s="1107" t="s">
        <v>131</v>
      </c>
      <c r="AL6" s="1107" t="s">
        <v>127</v>
      </c>
      <c r="AM6" s="1107" t="s">
        <v>127</v>
      </c>
      <c r="AN6" s="1107" t="s">
        <v>127</v>
      </c>
      <c r="AO6" s="1107" t="s">
        <v>127</v>
      </c>
      <c r="AP6" s="1107" t="s">
        <v>127</v>
      </c>
      <c r="AQ6" s="1107" t="s">
        <v>135</v>
      </c>
      <c r="AR6" s="1107" t="s">
        <v>135</v>
      </c>
      <c r="AS6" s="1107" t="s">
        <v>143</v>
      </c>
      <c r="AT6" s="1107" t="s">
        <v>143</v>
      </c>
    </row>
    <row r="7" spans="1:46" x14ac:dyDescent="0.2">
      <c r="G7" s="1107"/>
      <c r="H7" s="1107"/>
      <c r="I7" s="1107"/>
      <c r="J7" s="1107"/>
      <c r="K7" s="1107"/>
      <c r="L7" s="1107"/>
      <c r="M7" s="1107"/>
      <c r="N7" s="1107"/>
      <c r="O7" s="1107"/>
      <c r="P7" s="1107"/>
      <c r="Q7" s="1107"/>
      <c r="R7" s="1107"/>
      <c r="S7" s="1107"/>
      <c r="T7" s="1107"/>
      <c r="U7" s="1107"/>
      <c r="V7" s="1107"/>
      <c r="W7" s="1107"/>
      <c r="X7" s="1107"/>
      <c r="Y7" s="1107"/>
      <c r="Z7" s="1107"/>
      <c r="AA7" s="1107"/>
      <c r="AB7" s="1107"/>
      <c r="AC7" s="1107"/>
      <c r="AD7" s="1107"/>
      <c r="AE7" s="1107"/>
      <c r="AF7" s="1107"/>
      <c r="AG7" s="1107"/>
      <c r="AH7" s="1107"/>
      <c r="AI7" s="1107"/>
      <c r="AJ7" s="1107"/>
      <c r="AK7" s="1107"/>
      <c r="AL7" s="1107"/>
      <c r="AM7" s="1107"/>
      <c r="AN7" s="1107"/>
      <c r="AO7" s="1107"/>
      <c r="AP7" s="1107"/>
      <c r="AQ7" s="1107"/>
      <c r="AR7" s="1107"/>
      <c r="AS7" s="1107"/>
      <c r="AT7" s="1107"/>
    </row>
    <row r="8" spans="1:46" ht="12.75" x14ac:dyDescent="0.2">
      <c r="F8" s="1080" t="s">
        <v>2320</v>
      </c>
      <c r="G8" s="1107"/>
      <c r="H8" s="1107"/>
      <c r="I8" s="1107"/>
      <c r="J8" s="1107"/>
      <c r="K8" s="1107"/>
      <c r="L8" s="1107"/>
      <c r="M8" s="1107"/>
      <c r="N8" s="1107"/>
      <c r="O8" s="1107"/>
      <c r="P8" s="1107"/>
      <c r="Q8" s="1107"/>
      <c r="R8" s="1107"/>
      <c r="S8" s="1107"/>
      <c r="T8" s="1107"/>
      <c r="U8" s="1107"/>
      <c r="V8" s="1107"/>
      <c r="W8" s="1107"/>
      <c r="X8" s="1107"/>
      <c r="Y8" s="1107"/>
      <c r="Z8" s="1107"/>
      <c r="AA8" s="1107"/>
      <c r="AB8" s="1107"/>
      <c r="AC8" s="1107"/>
      <c r="AD8" s="1107"/>
      <c r="AE8" s="1107"/>
      <c r="AF8" s="1107"/>
      <c r="AG8" s="1107"/>
      <c r="AH8" s="1107"/>
      <c r="AI8" s="1107"/>
      <c r="AJ8" s="1107"/>
      <c r="AK8" s="1107"/>
      <c r="AL8" s="1107"/>
      <c r="AM8" s="1107"/>
      <c r="AN8" s="1107"/>
      <c r="AO8" s="1107"/>
      <c r="AP8" s="1107"/>
      <c r="AQ8" s="1107"/>
      <c r="AR8" s="1107"/>
      <c r="AS8" s="1107"/>
      <c r="AT8" s="1107"/>
    </row>
    <row r="9" spans="1:46" ht="12.75" x14ac:dyDescent="0.2">
      <c r="A9" s="1090" t="s">
        <v>717</v>
      </c>
      <c r="B9" s="1090" t="s">
        <v>158</v>
      </c>
      <c r="C9" s="1090" t="s">
        <v>2104</v>
      </c>
      <c r="D9" s="1090" t="s">
        <v>2061</v>
      </c>
      <c r="E9" s="1090" t="s">
        <v>2145</v>
      </c>
      <c r="F9" s="1090" t="s">
        <v>2146</v>
      </c>
      <c r="G9" s="1090" t="s">
        <v>2105</v>
      </c>
      <c r="H9" s="1090" t="s">
        <v>2107</v>
      </c>
      <c r="I9" s="1090" t="s">
        <v>2108</v>
      </c>
      <c r="J9" s="1090" t="s">
        <v>2109</v>
      </c>
      <c r="K9" s="1090" t="s">
        <v>2106</v>
      </c>
      <c r="L9" s="1090" t="s">
        <v>2110</v>
      </c>
      <c r="M9" s="1090" t="s">
        <v>2111</v>
      </c>
      <c r="N9" s="1090" t="s">
        <v>2112</v>
      </c>
      <c r="O9" s="1090" t="s">
        <v>2113</v>
      </c>
      <c r="P9" s="1090" t="s">
        <v>2114</v>
      </c>
      <c r="Q9" s="1090" t="s">
        <v>2115</v>
      </c>
      <c r="R9" s="1090" t="s">
        <v>2116</v>
      </c>
      <c r="S9" s="1090" t="s">
        <v>2117</v>
      </c>
      <c r="T9" s="1090" t="s">
        <v>2118</v>
      </c>
      <c r="U9" s="1090" t="s">
        <v>2119</v>
      </c>
      <c r="V9" s="1090" t="s">
        <v>2120</v>
      </c>
      <c r="W9" s="1090" t="s">
        <v>2121</v>
      </c>
      <c r="X9" s="1090" t="s">
        <v>2122</v>
      </c>
      <c r="Y9" s="1090" t="s">
        <v>2123</v>
      </c>
      <c r="Z9" s="1090" t="s">
        <v>2124</v>
      </c>
      <c r="AA9" s="1090" t="s">
        <v>2125</v>
      </c>
      <c r="AB9" s="1090" t="s">
        <v>2126</v>
      </c>
      <c r="AC9" s="1090" t="s">
        <v>2127</v>
      </c>
      <c r="AD9" s="1090" t="s">
        <v>2128</v>
      </c>
      <c r="AE9" s="1090" t="s">
        <v>2129</v>
      </c>
      <c r="AF9" s="1090" t="s">
        <v>2130</v>
      </c>
      <c r="AG9" s="1090" t="s">
        <v>2131</v>
      </c>
      <c r="AH9" s="1090" t="s">
        <v>2132</v>
      </c>
      <c r="AI9" s="1090" t="s">
        <v>2133</v>
      </c>
      <c r="AJ9" s="1090" t="s">
        <v>2134</v>
      </c>
      <c r="AK9" s="1090" t="s">
        <v>2135</v>
      </c>
      <c r="AL9" s="1090" t="s">
        <v>2136</v>
      </c>
      <c r="AM9" s="1090" t="s">
        <v>2137</v>
      </c>
      <c r="AN9" s="1090" t="s">
        <v>2138</v>
      </c>
      <c r="AO9" s="1090" t="s">
        <v>2139</v>
      </c>
      <c r="AP9" s="1090" t="s">
        <v>2140</v>
      </c>
      <c r="AQ9" s="1090" t="s">
        <v>2141</v>
      </c>
      <c r="AR9" s="1090" t="s">
        <v>2142</v>
      </c>
      <c r="AS9" s="1090" t="s">
        <v>2143</v>
      </c>
      <c r="AT9" s="1090" t="s">
        <v>2144</v>
      </c>
    </row>
    <row r="10" spans="1:46" x14ac:dyDescent="0.2">
      <c r="A10" s="1108" t="str">
        <f>TechData!A8</f>
        <v>R2,R3,R4,R5,R6</v>
      </c>
      <c r="B10" s="1108" t="str">
        <f>TechData!B8</f>
        <v>TAJE</v>
      </c>
      <c r="C10" s="1108" t="str">
        <f>TechData!C8</f>
        <v>Air Jet, Passenger Existing</v>
      </c>
      <c r="D10" s="1108" t="str">
        <f>TechData!D8</f>
        <v>bn-pass-miles, bn-pmt/a</v>
      </c>
      <c r="E10" s="1108" t="str">
        <f>TechData!E8</f>
        <v>TRNJTF1</v>
      </c>
      <c r="F10" s="1108" t="str">
        <f>TechData!F8</f>
        <v>TA</v>
      </c>
      <c r="G10" s="1109">
        <f>'Resid Emissions'!C26</f>
        <v>6.5000000000000002E-2</v>
      </c>
      <c r="H10" s="1109"/>
      <c r="I10" s="1109"/>
      <c r="J10" s="1109"/>
      <c r="K10" s="1109">
        <f>G95</f>
        <v>0</v>
      </c>
      <c r="L10" s="1109">
        <f>'Resid Emissions'!F26</f>
        <v>2.1508132663782174E-2</v>
      </c>
      <c r="M10" s="1109">
        <f>'Resid Emissions'!G26</f>
        <v>1.5931950121320128E-2</v>
      </c>
      <c r="N10" s="1109">
        <f t="shared" ref="N10:O13" si="0">M10</f>
        <v>1.5931950121320128E-2</v>
      </c>
      <c r="O10" s="1109">
        <f t="shared" si="0"/>
        <v>1.5931950121320128E-2</v>
      </c>
      <c r="P10" s="1109">
        <f>O10</f>
        <v>1.5931950121320128E-2</v>
      </c>
      <c r="Q10" s="1109">
        <f>'Resid Emissions'!D26</f>
        <v>8.1908342965276229E-3</v>
      </c>
      <c r="R10" s="1109">
        <f>Q10</f>
        <v>8.1908342965276229E-3</v>
      </c>
      <c r="S10" s="1109">
        <f>'Resid Emissions'!I26</f>
        <v>8.1908342965276229E-3</v>
      </c>
      <c r="T10" s="1109">
        <f>S10</f>
        <v>8.1908342965276229E-3</v>
      </c>
      <c r="U10" s="1109">
        <f>'Resid Emissions'!J26</f>
        <v>0.1497</v>
      </c>
      <c r="V10" s="1109">
        <f>U10</f>
        <v>0.1497</v>
      </c>
      <c r="W10" s="1109">
        <f>'Resid Emissions'!N26</f>
        <v>7.9197146620266709E-3</v>
      </c>
      <c r="X10" s="1109">
        <f>W10</f>
        <v>7.9197146620266709E-3</v>
      </c>
      <c r="Y10" s="1109">
        <f>'Resid Emissions'!M26</f>
        <v>6.8901517559632032E-3</v>
      </c>
      <c r="Z10" s="1109">
        <f>Y10</f>
        <v>6.8901517559632032E-3</v>
      </c>
      <c r="AA10" s="1109">
        <f>'Resid Emissions'!H26</f>
        <v>9.4153068416053688E-3</v>
      </c>
      <c r="AB10" s="1109">
        <f>AA10</f>
        <v>9.4153068416053688E-3</v>
      </c>
      <c r="AC10" s="1109">
        <f>'Resid Emissions'!K26</f>
        <v>5.4059506357082288E-3</v>
      </c>
      <c r="AD10" s="1109">
        <f>AC10</f>
        <v>5.4059506357082288E-3</v>
      </c>
      <c r="AE10" s="1109">
        <f>'Resid Emissions'!L26</f>
        <v>1.6381668593055247E-3</v>
      </c>
      <c r="AF10" s="1109">
        <f>AE10</f>
        <v>1.6381668593055247E-3</v>
      </c>
      <c r="AG10" s="1109">
        <f>G10</f>
        <v>6.5000000000000002E-2</v>
      </c>
      <c r="AH10" s="1109"/>
      <c r="AI10" s="1109"/>
      <c r="AJ10" s="1109"/>
      <c r="AK10" s="1109">
        <f>AG10</f>
        <v>6.5000000000000002E-2</v>
      </c>
      <c r="AL10" s="1109">
        <f t="shared" ref="AL10:AO13" si="1">L10</f>
        <v>2.1508132663782174E-2</v>
      </c>
      <c r="AM10" s="1109">
        <f t="shared" si="1"/>
        <v>1.5931950121320128E-2</v>
      </c>
      <c r="AN10" s="1109">
        <f t="shared" si="1"/>
        <v>1.5931950121320128E-2</v>
      </c>
      <c r="AO10" s="1109">
        <f t="shared" si="1"/>
        <v>1.5931950121320128E-2</v>
      </c>
      <c r="AP10" s="1109">
        <f>AO10</f>
        <v>1.5931950121320128E-2</v>
      </c>
      <c r="AQ10" s="1109">
        <f>Q10</f>
        <v>8.1908342965276229E-3</v>
      </c>
      <c r="AR10" s="1109">
        <f>AQ10</f>
        <v>8.1908342965276229E-3</v>
      </c>
      <c r="AS10" s="1109">
        <f t="shared" ref="AS10:AS14" si="2">S10</f>
        <v>8.1908342965276229E-3</v>
      </c>
      <c r="AT10" s="1109">
        <f>AS10</f>
        <v>8.1908342965276229E-3</v>
      </c>
    </row>
    <row r="11" spans="1:46" x14ac:dyDescent="0.2">
      <c r="A11" s="1108" t="str">
        <f>TechData!A9</f>
        <v>*</v>
      </c>
      <c r="B11" s="1108" t="str">
        <f>TechData!B9</f>
        <v>TAPE</v>
      </c>
      <c r="C11" s="1108" t="str">
        <f>TechData!C9</f>
        <v>Airplane, General Aviation, exisiting</v>
      </c>
      <c r="D11" s="1108" t="str">
        <f>TechData!D9</f>
        <v>bn-pass-miles, bn-pmt/a</v>
      </c>
      <c r="E11" s="1108" t="str">
        <f>TechData!E9</f>
        <v>TRGSLB</v>
      </c>
      <c r="F11" s="1108" t="str">
        <f>TechData!F9</f>
        <v>TA</v>
      </c>
      <c r="G11" s="1109">
        <f>'Resid Emissions'!C27</f>
        <v>0.18</v>
      </c>
      <c r="H11" s="1109"/>
      <c r="I11" s="1109"/>
      <c r="J11" s="1109"/>
      <c r="K11" s="1109">
        <f t="shared" ref="K11:K13" si="3">G96</f>
        <v>0</v>
      </c>
      <c r="L11" s="1109">
        <f>'Resid Emissions'!F27</f>
        <v>1.0849608754244008E-3</v>
      </c>
      <c r="M11" s="1109">
        <f>'Resid Emissions'!G27</f>
        <v>1.0849608754244008E-3</v>
      </c>
      <c r="N11" s="1109">
        <f t="shared" si="0"/>
        <v>1.0849608754244008E-3</v>
      </c>
      <c r="O11" s="1109">
        <f t="shared" si="0"/>
        <v>1.0849608754244008E-3</v>
      </c>
      <c r="P11" s="1109">
        <f t="shared" ref="P11:P13" si="4">O11</f>
        <v>1.0849608754244008E-3</v>
      </c>
      <c r="Q11" s="1109">
        <f>'Resid Emissions'!D27</f>
        <v>0.04</v>
      </c>
      <c r="R11" s="1109">
        <f t="shared" ref="R11:R13" si="5">Q11</f>
        <v>0.04</v>
      </c>
      <c r="S11" s="1109">
        <f>'Resid Emissions'!I27</f>
        <v>3.8679999999999999E-2</v>
      </c>
      <c r="T11" s="1109">
        <f>S11</f>
        <v>3.8679999999999999E-2</v>
      </c>
      <c r="U11" s="1109">
        <f>'Resid Emissions'!J27</f>
        <v>0.1497</v>
      </c>
      <c r="V11" s="1109">
        <f>U11</f>
        <v>0.1497</v>
      </c>
      <c r="W11" s="1109">
        <f>'Resid Emissions'!N27</f>
        <v>7.9197146620266709E-3</v>
      </c>
      <c r="X11" s="1109">
        <f>W11</f>
        <v>7.9197146620266709E-3</v>
      </c>
      <c r="Y11" s="1109">
        <f>'Resid Emissions'!M27</f>
        <v>6.8901517559632032E-3</v>
      </c>
      <c r="Z11" s="1109">
        <f>Y11</f>
        <v>6.8901517559632032E-3</v>
      </c>
      <c r="AA11" s="1109">
        <f>'Resid Emissions'!H27</f>
        <v>9.4153068416053688E-3</v>
      </c>
      <c r="AB11" s="1109">
        <f>AA11</f>
        <v>9.4153068416053688E-3</v>
      </c>
      <c r="AC11" s="1109">
        <f>'Resid Emissions'!K27</f>
        <v>2.6400000000000003E-2</v>
      </c>
      <c r="AD11" s="1109">
        <f>AC11</f>
        <v>2.6400000000000003E-2</v>
      </c>
      <c r="AE11" s="1109">
        <f>'Resid Emissions'!L27</f>
        <v>7.7359999999999998E-3</v>
      </c>
      <c r="AF11" s="1109">
        <f>AE11</f>
        <v>7.7359999999999998E-3</v>
      </c>
      <c r="AG11" s="1109">
        <f>G11</f>
        <v>0.18</v>
      </c>
      <c r="AH11" s="1109"/>
      <c r="AI11" s="1109"/>
      <c r="AJ11" s="1109"/>
      <c r="AK11" s="1109">
        <f t="shared" ref="AK11:AK13" si="6">AG11</f>
        <v>0.18</v>
      </c>
      <c r="AL11" s="1109">
        <f t="shared" si="1"/>
        <v>1.0849608754244008E-3</v>
      </c>
      <c r="AM11" s="1109">
        <f t="shared" si="1"/>
        <v>1.0849608754244008E-3</v>
      </c>
      <c r="AN11" s="1109">
        <f t="shared" si="1"/>
        <v>1.0849608754244008E-3</v>
      </c>
      <c r="AO11" s="1109">
        <f t="shared" si="1"/>
        <v>1.0849608754244008E-3</v>
      </c>
      <c r="AP11" s="1109">
        <f t="shared" ref="AP11:AR13" si="7">AO11</f>
        <v>1.0849608754244008E-3</v>
      </c>
      <c r="AQ11" s="1109">
        <f>Q11</f>
        <v>0.04</v>
      </c>
      <c r="AR11" s="1109">
        <f t="shared" si="7"/>
        <v>0.04</v>
      </c>
      <c r="AS11" s="1109">
        <f t="shared" si="2"/>
        <v>3.8679999999999999E-2</v>
      </c>
      <c r="AT11" s="1109">
        <f t="shared" ref="AT11" si="8">AS11</f>
        <v>3.8679999999999999E-2</v>
      </c>
    </row>
    <row r="12" spans="1:46" x14ac:dyDescent="0.2">
      <c r="A12" s="1108" t="str">
        <f>NewTech!A156</f>
        <v>*</v>
      </c>
      <c r="B12" s="1108" t="str">
        <f>NewTech!B156</f>
        <v>TSDSHE</v>
      </c>
      <c r="C12" s="1108" t="str">
        <f>NewTech!C156</f>
        <v>Water Shipping, Residual Oil exisiting</v>
      </c>
      <c r="D12" s="1108" t="str">
        <f>NewTech!D156</f>
        <v>bn-t-m, bn-ton-m/a</v>
      </c>
      <c r="E12" s="1108" t="str">
        <f>NewTech!E156</f>
        <v>TRNRFH1</v>
      </c>
      <c r="F12" s="1108" t="str">
        <f>NewTech!F156</f>
        <v>TS</v>
      </c>
      <c r="G12" s="1109">
        <f>'Resid Emissions'!C28</f>
        <v>2.3297866254190249</v>
      </c>
      <c r="H12" s="1109"/>
      <c r="I12" s="1109"/>
      <c r="J12" s="1109"/>
      <c r="K12" s="1109">
        <f t="shared" si="3"/>
        <v>0</v>
      </c>
      <c r="L12" s="1109">
        <f>'Resid Emissions'!F28</f>
        <v>1.7572333528187587</v>
      </c>
      <c r="M12" s="1109">
        <f>'Resid Emissions'!G28</f>
        <v>6.441224316752997E-2</v>
      </c>
      <c r="N12" s="1109">
        <f t="shared" si="0"/>
        <v>6.441224316752997E-2</v>
      </c>
      <c r="O12" s="1109">
        <f t="shared" si="0"/>
        <v>6.441224316752997E-2</v>
      </c>
      <c r="P12" s="1109">
        <f t="shared" si="4"/>
        <v>6.441224316752997E-2</v>
      </c>
      <c r="Q12" s="1109">
        <f>'Resid Emissions'!D28</f>
        <v>0.22733732882657637</v>
      </c>
      <c r="R12" s="1109">
        <f t="shared" si="5"/>
        <v>0.22733732882657637</v>
      </c>
      <c r="S12" s="1109">
        <f>'Resid Emissions'!I28</f>
        <v>0.20915034252045028</v>
      </c>
      <c r="T12" s="1109">
        <f>S12</f>
        <v>0.20915034252045028</v>
      </c>
      <c r="U12" s="1109">
        <f>'Resid Emissions'!J28</f>
        <v>0.19534170476950266</v>
      </c>
      <c r="V12" s="1109">
        <f>U12</f>
        <v>0.19534170476950266</v>
      </c>
      <c r="W12" s="1109">
        <f>'Resid Emissions'!N28</f>
        <v>7.3410763464156143E-4</v>
      </c>
      <c r="X12" s="1109">
        <f>W12</f>
        <v>7.3410763464156143E-4</v>
      </c>
      <c r="Y12" s="1109">
        <f>'Resid Emissions'!M28</f>
        <v>2.1117829623188917E-3</v>
      </c>
      <c r="Z12" s="1109">
        <f>Y12</f>
        <v>2.1117829623188917E-3</v>
      </c>
      <c r="AA12" s="1109">
        <f>'Resid Emissions'!H28</f>
        <v>7.7463089822388975E-2</v>
      </c>
      <c r="AB12" s="1109">
        <f>AA12</f>
        <v>7.7463089822388975E-2</v>
      </c>
      <c r="AC12" s="1109">
        <f>'Resid Emissions'!K28</f>
        <v>0.10666667468542965</v>
      </c>
      <c r="AD12" s="1109">
        <f>AC12</f>
        <v>0.10666667468542965</v>
      </c>
      <c r="AE12" s="1109">
        <f>'Resid Emissions'!L28</f>
        <v>4.3921571929294558E-2</v>
      </c>
      <c r="AF12" s="1109">
        <f>AE12</f>
        <v>4.3921571929294558E-2</v>
      </c>
      <c r="AG12" s="1109">
        <f>G12</f>
        <v>2.3297866254190249</v>
      </c>
      <c r="AH12" s="1109"/>
      <c r="AI12" s="1109"/>
      <c r="AJ12" s="1109"/>
      <c r="AK12" s="1109">
        <f t="shared" si="6"/>
        <v>2.3297866254190249</v>
      </c>
      <c r="AL12" s="1109">
        <f t="shared" si="1"/>
        <v>1.7572333528187587</v>
      </c>
      <c r="AM12" s="1109">
        <f t="shared" si="1"/>
        <v>6.441224316752997E-2</v>
      </c>
      <c r="AN12" s="1109">
        <f t="shared" si="1"/>
        <v>6.441224316752997E-2</v>
      </c>
      <c r="AO12" s="1109">
        <f t="shared" si="1"/>
        <v>6.441224316752997E-2</v>
      </c>
      <c r="AP12" s="1109">
        <f t="shared" si="7"/>
        <v>6.441224316752997E-2</v>
      </c>
      <c r="AQ12" s="1109">
        <f>Q12</f>
        <v>0.22733732882657637</v>
      </c>
      <c r="AR12" s="1109">
        <f t="shared" si="7"/>
        <v>0.22733732882657637</v>
      </c>
      <c r="AS12" s="1109">
        <f t="shared" si="2"/>
        <v>0.20915034252045028</v>
      </c>
      <c r="AT12" s="1109">
        <f t="shared" ref="AT12" si="9">AS12</f>
        <v>0.20915034252045028</v>
      </c>
    </row>
    <row r="13" spans="1:46" x14ac:dyDescent="0.2">
      <c r="A13" s="1108" t="str">
        <f>TechData!A33</f>
        <v>R2,R3,R4,R5,R6</v>
      </c>
      <c r="B13" s="1108" t="str">
        <f>TechData!B33</f>
        <v>TSDSLE</v>
      </c>
      <c r="C13" s="1108" t="str">
        <f>TechData!C33</f>
        <v>Water Shipping, Diesel exisiting</v>
      </c>
      <c r="D13" s="1108" t="str">
        <f>TechData!D33</f>
        <v>bn-t-m, bn-ton-m/a</v>
      </c>
      <c r="E13" s="1108" t="str">
        <f>TechData!E33</f>
        <v>TSDSL</v>
      </c>
      <c r="F13" s="1108" t="str">
        <f>TechData!F33</f>
        <v>TS</v>
      </c>
      <c r="G13" s="1109">
        <f>'Resid Emissions'!C29</f>
        <v>2.0867907816968794</v>
      </c>
      <c r="H13" s="1109"/>
      <c r="I13" s="1109"/>
      <c r="J13" s="1109"/>
      <c r="K13" s="1109">
        <f t="shared" si="3"/>
        <v>0</v>
      </c>
      <c r="L13" s="1109">
        <f>'Resid Emissions'!F29</f>
        <v>0.16169228154612267</v>
      </c>
      <c r="M13" s="1109">
        <f>'Resid Emissions'!G29</f>
        <v>7.1764650460270724E-2</v>
      </c>
      <c r="N13" s="1109">
        <f t="shared" si="0"/>
        <v>7.1764650460270724E-2</v>
      </c>
      <c r="O13" s="1109">
        <f t="shared" si="0"/>
        <v>7.1764650460270724E-2</v>
      </c>
      <c r="P13" s="1109">
        <f t="shared" si="4"/>
        <v>7.1764650460270724E-2</v>
      </c>
      <c r="Q13" s="1109">
        <f>'Resid Emissions'!D29</f>
        <v>8.7175450858252762E-2</v>
      </c>
      <c r="R13" s="1109">
        <f t="shared" si="5"/>
        <v>8.7175450858252762E-2</v>
      </c>
      <c r="S13" s="1109">
        <f>'Resid Emissions'!I29</f>
        <v>8.0201414789592543E-2</v>
      </c>
      <c r="T13" s="1109">
        <f>S13</f>
        <v>8.0201414789592543E-2</v>
      </c>
      <c r="U13" s="1109">
        <f>'Resid Emissions'!J29</f>
        <v>0.36348372770897563</v>
      </c>
      <c r="V13" s="1109">
        <f>U13</f>
        <v>0.36348372770897563</v>
      </c>
      <c r="W13" s="1109">
        <f>'Resid Emissions'!N29</f>
        <v>8.6497292850933982E-4</v>
      </c>
      <c r="X13" s="1109">
        <f>W13</f>
        <v>8.6497292850933982E-4</v>
      </c>
      <c r="Y13" s="1109">
        <f>'Resid Emissions'!M29</f>
        <v>2.7030404015916873E-3</v>
      </c>
      <c r="Z13" s="1109">
        <f>Y13</f>
        <v>2.7030404015916873E-3</v>
      </c>
      <c r="AA13" s="1109">
        <f>'Resid Emissions'!H29</f>
        <v>6.0909108490961816E-2</v>
      </c>
      <c r="AB13" s="1109">
        <f>AA13</f>
        <v>6.0909108490961816E-2</v>
      </c>
      <c r="AC13" s="1109">
        <f>'Resid Emissions'!K29</f>
        <v>4.09027215426922E-2</v>
      </c>
      <c r="AD13" s="1109">
        <f>AC13</f>
        <v>4.09027215426922E-2</v>
      </c>
      <c r="AE13" s="1109">
        <f>'Resid Emissions'!L29</f>
        <v>1.6842297105814433E-2</v>
      </c>
      <c r="AF13" s="1109">
        <f>AE13</f>
        <v>1.6842297105814433E-2</v>
      </c>
      <c r="AG13" s="1109">
        <f>G13</f>
        <v>2.0867907816968794</v>
      </c>
      <c r="AH13" s="1109"/>
      <c r="AI13" s="1109"/>
      <c r="AJ13" s="1109"/>
      <c r="AK13" s="1109">
        <f t="shared" si="6"/>
        <v>2.0867907816968794</v>
      </c>
      <c r="AL13" s="1109">
        <f t="shared" si="1"/>
        <v>0.16169228154612267</v>
      </c>
      <c r="AM13" s="1109">
        <f t="shared" si="1"/>
        <v>7.1764650460270724E-2</v>
      </c>
      <c r="AN13" s="1109">
        <f t="shared" si="1"/>
        <v>7.1764650460270724E-2</v>
      </c>
      <c r="AO13" s="1109">
        <f t="shared" si="1"/>
        <v>7.1764650460270724E-2</v>
      </c>
      <c r="AP13" s="1109">
        <f t="shared" si="7"/>
        <v>7.1764650460270724E-2</v>
      </c>
      <c r="AQ13" s="1109">
        <f>Q13</f>
        <v>8.7175450858252762E-2</v>
      </c>
      <c r="AR13" s="1109">
        <f t="shared" si="7"/>
        <v>8.7175450858252762E-2</v>
      </c>
      <c r="AS13" s="1109">
        <f t="shared" si="2"/>
        <v>8.0201414789592543E-2</v>
      </c>
      <c r="AT13" s="1109">
        <f t="shared" ref="AT13" si="10">AS13</f>
        <v>8.0201414789592543E-2</v>
      </c>
    </row>
    <row r="14" spans="1:46" x14ac:dyDescent="0.2">
      <c r="A14" s="1108" t="str">
        <f>TechData!A32</f>
        <v>*</v>
      </c>
      <c r="B14" s="1108" t="str">
        <f>TechData!B32</f>
        <v>TRFDSLE2</v>
      </c>
      <c r="C14" s="1108" t="str">
        <f>TechData!C32</f>
        <v>Rail Freight, Diesel Existing-MSW</v>
      </c>
      <c r="D14" s="1108" t="str">
        <f>TechData!D32</f>
        <v>bn-vmt, bn-vmt/a</v>
      </c>
      <c r="E14" s="1108" t="str">
        <f>TechData!E32</f>
        <v>TWDSL</v>
      </c>
      <c r="F14" s="1108" t="str">
        <f>TechData!F32</f>
        <v>TSW</v>
      </c>
      <c r="G14" s="1109">
        <f>'Resid Emissions'!P30</f>
        <v>0.10057184330225802</v>
      </c>
      <c r="H14" s="1109">
        <f>'Resid Emissions'!Q30</f>
        <v>0.12659722889430777</v>
      </c>
      <c r="I14" s="1109">
        <f>H14</f>
        <v>0.12659722889430777</v>
      </c>
      <c r="J14" s="1109">
        <f>I14</f>
        <v>0.12659722889430777</v>
      </c>
      <c r="K14" s="1109">
        <f>J14</f>
        <v>0.12659722889430777</v>
      </c>
      <c r="L14" s="1109"/>
      <c r="M14" s="1109"/>
      <c r="N14" s="1109"/>
      <c r="O14" s="1109"/>
      <c r="P14" s="1109"/>
      <c r="Q14" s="1109">
        <f>'Resid Emissions'!R30</f>
        <v>2.9043819055124659E-3</v>
      </c>
      <c r="R14" s="1109">
        <f>Q14</f>
        <v>2.9043819055124659E-3</v>
      </c>
      <c r="S14" s="1109">
        <f>'Resid Emissions'!U30</f>
        <v>2.817250448347092E-3</v>
      </c>
      <c r="T14" s="1109">
        <f>S14</f>
        <v>2.817250448347092E-3</v>
      </c>
      <c r="U14" s="1109"/>
      <c r="V14" s="1109"/>
      <c r="W14" s="1109"/>
      <c r="X14" s="1109"/>
      <c r="Y14" s="1109"/>
      <c r="Z14" s="1109"/>
      <c r="AA14" s="1109">
        <f>'Resid Emissions'!X30</f>
        <v>5.32357865312349E-3</v>
      </c>
      <c r="AB14" s="1109">
        <f>AA14</f>
        <v>5.32357865312349E-3</v>
      </c>
      <c r="AC14" s="1109">
        <f>'Resid Emissions'!AA30</f>
        <v>1.8593852959090805E-3</v>
      </c>
      <c r="AD14" s="1109">
        <f>AC14</f>
        <v>1.8593852959090805E-3</v>
      </c>
      <c r="AE14" s="1109">
        <f>'Resid Emissions'!AD30</f>
        <v>5.916225941528893E-4</v>
      </c>
      <c r="AF14" s="1109">
        <f>AE14</f>
        <v>5.916225941528893E-4</v>
      </c>
      <c r="AG14" s="1109">
        <f t="shared" ref="AG14:AJ14" si="11">G14</f>
        <v>0.10057184330225802</v>
      </c>
      <c r="AH14" s="1109">
        <f t="shared" si="11"/>
        <v>0.12659722889430777</v>
      </c>
      <c r="AI14" s="1109">
        <f t="shared" si="11"/>
        <v>0.12659722889430777</v>
      </c>
      <c r="AJ14" s="1109">
        <f t="shared" si="11"/>
        <v>0.12659722889430777</v>
      </c>
      <c r="AK14" s="1109">
        <f>AJ14</f>
        <v>0.12659722889430777</v>
      </c>
      <c r="AL14" s="1109"/>
      <c r="AM14" s="1109"/>
      <c r="AN14" s="1109"/>
      <c r="AO14" s="1109"/>
      <c r="AP14" s="1109"/>
      <c r="AQ14" s="1109">
        <f>Q14</f>
        <v>2.9043819055124659E-3</v>
      </c>
      <c r="AR14" s="1109">
        <f>AQ14</f>
        <v>2.9043819055124659E-3</v>
      </c>
      <c r="AS14" s="1109">
        <f t="shared" si="2"/>
        <v>2.817250448347092E-3</v>
      </c>
      <c r="AT14" s="1109">
        <f>AS14</f>
        <v>2.817250448347092E-3</v>
      </c>
    </row>
    <row r="15" spans="1:46" x14ac:dyDescent="0.2">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row>
    <row r="16" spans="1:46" x14ac:dyDescent="0.2">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row>
    <row r="17" spans="7:46" x14ac:dyDescent="0.2">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row>
    <row r="18" spans="7:46" x14ac:dyDescent="0.2">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row>
  </sheetData>
  <phoneticPr fontId="1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tabColor rgb="FFFFC000"/>
  </sheetPr>
  <dimension ref="A1:BI102"/>
  <sheetViews>
    <sheetView zoomScale="80" zoomScaleNormal="80" workbookViewId="0">
      <pane xSplit="6" ySplit="5" topLeftCell="G6" activePane="bottomRight" state="frozen"/>
      <selection pane="topRight" activeCell="O26" sqref="O26"/>
      <selection pane="bottomLeft" activeCell="O26" sqref="O26"/>
      <selection pane="bottomRight" activeCell="BB57" sqref="BB57"/>
    </sheetView>
  </sheetViews>
  <sheetFormatPr defaultColWidth="9.140625" defaultRowHeight="12" x14ac:dyDescent="0.2"/>
  <cols>
    <col min="1" max="1" width="15.85546875" style="37" bestFit="1" customWidth="1"/>
    <col min="2" max="2" width="17.5703125" style="37" bestFit="1" customWidth="1"/>
    <col min="3" max="3" width="38" style="37" bestFit="1" customWidth="1"/>
    <col min="4" max="4" width="22.140625" style="37" bestFit="1" customWidth="1"/>
    <col min="5" max="5" width="10.42578125" style="37" bestFit="1" customWidth="1"/>
    <col min="6" max="6" width="12.5703125" style="37" bestFit="1" customWidth="1"/>
    <col min="7" max="7" width="16.42578125" style="37" bestFit="1" customWidth="1"/>
    <col min="8" max="11" width="17.140625" style="37" bestFit="1" customWidth="1"/>
    <col min="12" max="14" width="17" style="37" bestFit="1" customWidth="1"/>
    <col min="15" max="15" width="17.140625" style="37" bestFit="1" customWidth="1"/>
    <col min="16" max="19" width="17.85546875" style="37" bestFit="1" customWidth="1"/>
    <col min="20" max="20" width="11" style="37" bestFit="1" customWidth="1"/>
    <col min="21" max="24" width="18.140625" style="37" bestFit="1" customWidth="1"/>
    <col min="25" max="25" width="15" style="37" bestFit="1" customWidth="1"/>
    <col min="26" max="26" width="16.42578125" style="37" bestFit="1" customWidth="1"/>
    <col min="27" max="27" width="16" style="37" bestFit="1" customWidth="1"/>
    <col min="28" max="28" width="16.42578125" style="37" bestFit="1" customWidth="1"/>
    <col min="29" max="32" width="17.140625" style="37" bestFit="1" customWidth="1"/>
    <col min="33" max="33" width="11" style="37" bestFit="1" customWidth="1"/>
    <col min="34" max="37" width="15.5703125" style="37" bestFit="1" customWidth="1"/>
    <col min="38" max="38" width="11" style="37" bestFit="1" customWidth="1"/>
    <col min="39" max="42" width="15.5703125" style="37" bestFit="1" customWidth="1"/>
    <col min="43" max="43" width="11" style="37" bestFit="1" customWidth="1"/>
    <col min="44" max="47" width="18.42578125" style="37" bestFit="1" customWidth="1"/>
    <col min="48" max="50" width="18.140625" style="37" bestFit="1" customWidth="1"/>
    <col min="51" max="51" width="11" style="37" bestFit="1" customWidth="1"/>
    <col min="52" max="55" width="19.42578125" style="37" bestFit="1" customWidth="1"/>
    <col min="56" max="56" width="11" style="37" bestFit="1" customWidth="1"/>
    <col min="57" max="60" width="19.5703125" style="37" bestFit="1" customWidth="1"/>
    <col min="61" max="16384" width="9.140625" style="37"/>
  </cols>
  <sheetData>
    <row r="1" spans="1:61" x14ac:dyDescent="0.2">
      <c r="A1" s="1063" t="s">
        <v>473</v>
      </c>
      <c r="B1" s="37" t="s">
        <v>7</v>
      </c>
    </row>
    <row r="4" spans="1:61" ht="17.25" customHeight="1" x14ac:dyDescent="0.2">
      <c r="F4" s="1080" t="s">
        <v>2320</v>
      </c>
    </row>
    <row r="5" spans="1:61" ht="15.75" customHeight="1" x14ac:dyDescent="0.2">
      <c r="A5" s="1090" t="s">
        <v>717</v>
      </c>
      <c r="B5" s="1090" t="s">
        <v>158</v>
      </c>
      <c r="C5" s="1090" t="s">
        <v>2104</v>
      </c>
      <c r="D5" s="1090" t="s">
        <v>2061</v>
      </c>
      <c r="E5" s="1090" t="s">
        <v>2145</v>
      </c>
      <c r="F5" s="1090" t="s">
        <v>2146</v>
      </c>
      <c r="G5" s="1090" t="s">
        <v>2297</v>
      </c>
      <c r="H5" s="1090" t="s">
        <v>2298</v>
      </c>
      <c r="I5" s="1090" t="s">
        <v>2298</v>
      </c>
      <c r="J5" s="1090" t="s">
        <v>2298</v>
      </c>
      <c r="K5" s="1090" t="s">
        <v>2298</v>
      </c>
      <c r="L5" s="1090" t="s">
        <v>2299</v>
      </c>
      <c r="M5" s="1090" t="s">
        <v>2299</v>
      </c>
      <c r="N5" s="1090" t="s">
        <v>2299</v>
      </c>
      <c r="O5" s="1090" t="s">
        <v>2300</v>
      </c>
      <c r="P5" s="1090" t="s">
        <v>2301</v>
      </c>
      <c r="Q5" s="1090" t="s">
        <v>2301</v>
      </c>
      <c r="R5" s="1090" t="s">
        <v>2301</v>
      </c>
      <c r="S5" s="1090" t="s">
        <v>2301</v>
      </c>
      <c r="T5" s="1090" t="s">
        <v>2302</v>
      </c>
      <c r="U5" s="1090" t="s">
        <v>2303</v>
      </c>
      <c r="V5" s="1090" t="s">
        <v>2303</v>
      </c>
      <c r="W5" s="1090" t="s">
        <v>2303</v>
      </c>
      <c r="X5" s="1090" t="s">
        <v>2303</v>
      </c>
      <c r="Y5" s="1090" t="s">
        <v>2304</v>
      </c>
      <c r="Z5" s="1090" t="s">
        <v>2305</v>
      </c>
      <c r="AA5" s="1090" t="s">
        <v>2306</v>
      </c>
      <c r="AB5" s="1090" t="s">
        <v>2307</v>
      </c>
      <c r="AC5" s="1090" t="s">
        <v>2308</v>
      </c>
      <c r="AD5" s="1090" t="s">
        <v>2308</v>
      </c>
      <c r="AE5" s="1090" t="s">
        <v>2308</v>
      </c>
      <c r="AF5" s="1090" t="s">
        <v>2308</v>
      </c>
      <c r="AG5" s="1090" t="s">
        <v>2309</v>
      </c>
      <c r="AH5" s="1090" t="s">
        <v>2310</v>
      </c>
      <c r="AI5" s="1090" t="s">
        <v>2310</v>
      </c>
      <c r="AJ5" s="1090" t="s">
        <v>2310</v>
      </c>
      <c r="AK5" s="1090" t="s">
        <v>2310</v>
      </c>
      <c r="AL5" s="1090" t="s">
        <v>2311</v>
      </c>
      <c r="AM5" s="1090" t="s">
        <v>2312</v>
      </c>
      <c r="AN5" s="1090" t="s">
        <v>2312</v>
      </c>
      <c r="AO5" s="1090" t="s">
        <v>2312</v>
      </c>
      <c r="AP5" s="1090" t="s">
        <v>2312</v>
      </c>
      <c r="AQ5" s="1090" t="s">
        <v>2313</v>
      </c>
      <c r="AR5" s="1090" t="s">
        <v>2314</v>
      </c>
      <c r="AS5" s="1090" t="s">
        <v>2314</v>
      </c>
      <c r="AT5" s="1090" t="s">
        <v>2314</v>
      </c>
      <c r="AU5" s="1090" t="s">
        <v>2314</v>
      </c>
      <c r="AV5" s="1090" t="s">
        <v>2315</v>
      </c>
      <c r="AW5" s="1090" t="s">
        <v>2315</v>
      </c>
      <c r="AX5" s="1090" t="s">
        <v>2315</v>
      </c>
      <c r="AY5" s="1090" t="s">
        <v>2316</v>
      </c>
      <c r="AZ5" s="1090" t="s">
        <v>2317</v>
      </c>
      <c r="BA5" s="1090" t="s">
        <v>2317</v>
      </c>
      <c r="BB5" s="1090" t="s">
        <v>2317</v>
      </c>
      <c r="BC5" s="1090" t="s">
        <v>2317</v>
      </c>
      <c r="BD5" s="1090" t="s">
        <v>2318</v>
      </c>
      <c r="BE5" s="1090" t="s">
        <v>2319</v>
      </c>
      <c r="BF5" s="1090" t="s">
        <v>2319</v>
      </c>
      <c r="BG5" s="1090" t="s">
        <v>2319</v>
      </c>
      <c r="BH5" s="1090" t="s">
        <v>2319</v>
      </c>
    </row>
    <row r="6" spans="1:61" x14ac:dyDescent="0.2">
      <c r="A6" s="37" t="str">
        <f>TechData!A28</f>
        <v>R2,R3,R4,R5,R6</v>
      </c>
      <c r="B6" s="37" t="str">
        <f>TechData!B28</f>
        <v>TPDSLCR</v>
      </c>
      <c r="C6" s="37" t="str">
        <f>TechData!C28</f>
        <v>Commuter Rail, Diesel</v>
      </c>
      <c r="D6" s="37" t="str">
        <f>TechData!D28</f>
        <v>bn-pass-miles, bn-pmt/a</v>
      </c>
      <c r="E6" s="37" t="str">
        <f>TechData!E28</f>
        <v>TRNDSL</v>
      </c>
      <c r="F6" s="37" t="str">
        <f>TechData!F28</f>
        <v>TRP</v>
      </c>
      <c r="G6" s="1120"/>
      <c r="H6" s="1120">
        <f>'New Emissions'!CB124</f>
        <v>0.22110770244638311</v>
      </c>
      <c r="I6" s="1120">
        <f>'New Emissions'!CC124</f>
        <v>0.37289026556322452</v>
      </c>
      <c r="J6" s="1120">
        <f>I6</f>
        <v>0.37289026556322452</v>
      </c>
      <c r="K6" s="1120"/>
      <c r="L6" s="1120"/>
      <c r="M6" s="1120"/>
      <c r="N6" s="1120"/>
      <c r="O6" s="1120"/>
      <c r="P6" s="1120">
        <f>'New Emissions'!CD124</f>
        <v>2.036455705768281E-3</v>
      </c>
      <c r="Q6" s="1120">
        <f>'New Emissions'!CE124</f>
        <v>6.1854963025672061E-3</v>
      </c>
      <c r="R6" s="1120">
        <f>Q6</f>
        <v>6.1854963025672061E-3</v>
      </c>
      <c r="S6" s="1120"/>
      <c r="T6" s="1120"/>
      <c r="U6" s="1120">
        <f>'New Emissions'!CF124</f>
        <v>1.9753620345952321E-3</v>
      </c>
      <c r="V6" s="1120">
        <f>'New Emissions'!CG124</f>
        <v>5.99993141349019E-3</v>
      </c>
      <c r="W6" s="1120">
        <f>V6</f>
        <v>5.99993141349019E-3</v>
      </c>
      <c r="X6" s="1120"/>
      <c r="Y6" s="1120"/>
      <c r="Z6" s="1120"/>
      <c r="AA6" s="1120"/>
      <c r="AB6" s="1120"/>
      <c r="AC6" s="1120">
        <f>'New Emissions'!CH124</f>
        <v>5.9020768619835705E-3</v>
      </c>
      <c r="AD6" s="1120">
        <f>'New Emissions'!CI124</f>
        <v>9.6497453617829954E-3</v>
      </c>
      <c r="AE6" s="1120">
        <f>AD6</f>
        <v>9.6497453617829954E-3</v>
      </c>
      <c r="AF6" s="1120"/>
      <c r="AG6" s="1120"/>
      <c r="AH6" s="1120">
        <f>'New Emissions'!CJ124</f>
        <v>1.3037389428328533E-3</v>
      </c>
      <c r="AI6" s="1120">
        <f>'New Emissions'!CK124</f>
        <v>3.9599547329035251E-3</v>
      </c>
      <c r="AJ6" s="1120">
        <f>AI6</f>
        <v>3.9599547329035251E-3</v>
      </c>
      <c r="AK6" s="1120"/>
      <c r="AL6" s="1120"/>
      <c r="AM6" s="1120">
        <f>'New Emissions'!CL124</f>
        <v>4.1482602726499877E-4</v>
      </c>
      <c r="AN6" s="1120">
        <f>'New Emissions'!CM124</f>
        <v>1.2599855968329398E-3</v>
      </c>
      <c r="AO6" s="1120">
        <f>AN6</f>
        <v>1.2599855968329398E-3</v>
      </c>
      <c r="AP6" s="1120"/>
      <c r="AQ6" s="1120"/>
      <c r="AR6" s="1120">
        <f>H6</f>
        <v>0.22110770244638311</v>
      </c>
      <c r="AS6" s="1120">
        <f>I6</f>
        <v>0.37289026556322452</v>
      </c>
      <c r="AT6" s="1120">
        <f>J6</f>
        <v>0.37289026556322452</v>
      </c>
      <c r="AU6" s="1120"/>
      <c r="AV6" s="1120"/>
      <c r="AW6" s="1120"/>
      <c r="AX6" s="1120"/>
      <c r="AY6" s="1120"/>
      <c r="AZ6" s="1120">
        <f>P6</f>
        <v>2.036455705768281E-3</v>
      </c>
      <c r="BA6" s="1120">
        <f>Q6</f>
        <v>6.1854963025672061E-3</v>
      </c>
      <c r="BB6" s="1120">
        <f>R6</f>
        <v>6.1854963025672061E-3</v>
      </c>
      <c r="BC6" s="1120"/>
      <c r="BD6" s="1120"/>
      <c r="BE6" s="1120">
        <f>U6</f>
        <v>1.9753620345952321E-3</v>
      </c>
      <c r="BF6" s="1120">
        <f>V6</f>
        <v>5.99993141349019E-3</v>
      </c>
      <c r="BG6" s="1120">
        <f>W6</f>
        <v>5.99993141349019E-3</v>
      </c>
      <c r="BH6" s="1120"/>
      <c r="BI6" s="38"/>
    </row>
    <row r="7" spans="1:61" x14ac:dyDescent="0.2">
      <c r="A7" s="37" t="str">
        <f>TechData!A29</f>
        <v>R2,R3,R4,R5,R6</v>
      </c>
      <c r="B7" s="37" t="str">
        <f>TechData!B29</f>
        <v>TPELCSUB</v>
      </c>
      <c r="C7" s="37" t="str">
        <f>TechData!C29</f>
        <v>Subways and Streetcars, Electricity</v>
      </c>
      <c r="D7" s="37" t="str">
        <f>TechData!D29</f>
        <v>bn-pass-miles, bn-pmt/a</v>
      </c>
      <c r="E7" s="37" t="str">
        <f>TechData!E29</f>
        <v>TRNELC</v>
      </c>
      <c r="F7" s="37" t="str">
        <f>TechData!F29</f>
        <v>TRP</v>
      </c>
      <c r="G7" s="1120"/>
      <c r="H7" s="1120"/>
      <c r="I7" s="1120"/>
      <c r="J7" s="1120"/>
      <c r="K7" s="1120"/>
      <c r="L7" s="1120"/>
      <c r="M7" s="1120"/>
      <c r="N7" s="1120"/>
      <c r="O7" s="1120"/>
      <c r="P7" s="1120"/>
      <c r="Q7" s="1120"/>
      <c r="R7" s="1120"/>
      <c r="S7" s="1120"/>
      <c r="T7" s="1120"/>
      <c r="U7" s="1120"/>
      <c r="V7" s="1120"/>
      <c r="W7" s="1120"/>
      <c r="X7" s="1120"/>
      <c r="Y7" s="1120"/>
      <c r="Z7" s="1120"/>
      <c r="AA7" s="1120"/>
      <c r="AB7" s="1120"/>
      <c r="AC7" s="1120"/>
      <c r="AD7" s="1120"/>
      <c r="AE7" s="1120"/>
      <c r="AF7" s="1120"/>
      <c r="AG7" s="1120"/>
      <c r="AH7" s="1120"/>
      <c r="AI7" s="1120"/>
      <c r="AJ7" s="1120"/>
      <c r="AK7" s="1120"/>
      <c r="AL7" s="1120"/>
      <c r="AM7" s="1120"/>
      <c r="AN7" s="1120"/>
      <c r="AO7" s="1120"/>
      <c r="AP7" s="1120"/>
      <c r="AQ7" s="1120"/>
      <c r="AR7" s="1120"/>
      <c r="AS7" s="1120"/>
      <c r="AT7" s="1120"/>
      <c r="AU7" s="1120"/>
      <c r="AV7" s="1120"/>
      <c r="AW7" s="1120"/>
      <c r="AX7" s="1120"/>
      <c r="AY7" s="1120"/>
      <c r="AZ7" s="1120"/>
      <c r="BA7" s="1120"/>
      <c r="BB7" s="1120"/>
      <c r="BC7" s="1120"/>
      <c r="BD7" s="1120"/>
      <c r="BE7" s="1120"/>
      <c r="BF7" s="1120"/>
      <c r="BG7" s="1120"/>
      <c r="BH7" s="1120"/>
      <c r="BI7" s="38"/>
    </row>
    <row r="8" spans="1:61" x14ac:dyDescent="0.2">
      <c r="A8" s="37" t="str">
        <f>TechData!A33</f>
        <v>R2,R3,R4,R5,R6</v>
      </c>
      <c r="B8" s="37" t="str">
        <f>TechData!B33</f>
        <v>TSDSLE</v>
      </c>
      <c r="C8" s="37" t="str">
        <f>TechData!C33</f>
        <v>Water Shipping, Diesel exisiting</v>
      </c>
      <c r="D8" s="37" t="str">
        <f>TechData!D33</f>
        <v>bn-t-m, bn-ton-m/a</v>
      </c>
      <c r="E8" s="37" t="str">
        <f>TechData!E33</f>
        <v>TSDSL</v>
      </c>
      <c r="F8" s="37" t="str">
        <f>TechData!F33</f>
        <v>TS</v>
      </c>
      <c r="G8" s="1120">
        <f>'New Emissions'!C115</f>
        <v>2.0867907816968794</v>
      </c>
      <c r="H8" s="1120"/>
      <c r="I8" s="1120"/>
      <c r="J8" s="1120"/>
      <c r="K8" s="1120"/>
      <c r="L8" s="1120">
        <f>'New Emissions'!AI115</f>
        <v>7.1396694252908992E-3</v>
      </c>
      <c r="M8" s="1120">
        <f>'New Emissions'!AJ115</f>
        <v>7.1396694252908992E-3</v>
      </c>
      <c r="N8" s="1120"/>
      <c r="O8" s="1120">
        <f>'New Emissions'!AG115</f>
        <v>1.6842297105814433E-2</v>
      </c>
      <c r="P8" s="1120"/>
      <c r="Q8" s="1120"/>
      <c r="R8" s="1120"/>
      <c r="S8" s="1120"/>
      <c r="T8" s="1120">
        <f>'New Emissions'!AL115</f>
        <v>7.1396694252908992E-3</v>
      </c>
      <c r="U8" s="1120"/>
      <c r="V8" s="1120"/>
      <c r="W8" s="1120"/>
      <c r="X8" s="1120"/>
      <c r="Y8" s="1120">
        <f>'New Emissions'!AM115</f>
        <v>7.1396694252908992E-3</v>
      </c>
      <c r="Z8" s="1120"/>
      <c r="AA8" s="1120">
        <f>'New Emissions'!AP115</f>
        <v>7.1396694252908992E-3</v>
      </c>
      <c r="AB8" s="1120">
        <f>'New Emissions'!AK115</f>
        <v>7.1396694252908992E-3</v>
      </c>
      <c r="AC8" s="1120"/>
      <c r="AD8" s="1120"/>
      <c r="AE8" s="1120"/>
      <c r="AF8" s="1120"/>
      <c r="AG8" s="1120">
        <f>'New Emissions'!AN115</f>
        <v>7.1396694252908992E-3</v>
      </c>
      <c r="AH8" s="1120"/>
      <c r="AI8" s="1120"/>
      <c r="AJ8" s="1120"/>
      <c r="AK8" s="1120"/>
      <c r="AL8" s="1120">
        <f>'New Emissions'!AO115</f>
        <v>7.1396694252908992E-3</v>
      </c>
      <c r="AM8" s="1120"/>
      <c r="AN8" s="1120"/>
      <c r="AO8" s="1120"/>
      <c r="AP8" s="1120"/>
      <c r="AQ8" s="1120">
        <f>G8</f>
        <v>2.0867907816968794</v>
      </c>
      <c r="AR8" s="1120"/>
      <c r="AS8" s="1120"/>
      <c r="AT8" s="1120"/>
      <c r="AU8" s="1120"/>
      <c r="AV8" s="1120">
        <f t="shared" ref="AV8:AW10" si="0">L8</f>
        <v>7.1396694252908992E-3</v>
      </c>
      <c r="AW8" s="1120">
        <f t="shared" si="0"/>
        <v>7.1396694252908992E-3</v>
      </c>
      <c r="AX8" s="1120"/>
      <c r="AY8" s="1120">
        <f>O8</f>
        <v>1.6842297105814433E-2</v>
      </c>
      <c r="AZ8" s="1120"/>
      <c r="BA8" s="1120"/>
      <c r="BB8" s="1120"/>
      <c r="BC8" s="1120"/>
      <c r="BD8" s="1120">
        <f>T8</f>
        <v>7.1396694252908992E-3</v>
      </c>
      <c r="BE8" s="1120"/>
      <c r="BF8" s="1120"/>
      <c r="BG8" s="1120"/>
      <c r="BH8" s="1120"/>
      <c r="BI8" s="38"/>
    </row>
    <row r="9" spans="1:61" x14ac:dyDescent="0.2">
      <c r="A9" s="37" t="str">
        <f>Technologies!B215</f>
        <v>R2,R3,R4,R5,R6</v>
      </c>
      <c r="B9" s="37" t="str">
        <f>Technologies!C215</f>
        <v>SETRDSL</v>
      </c>
      <c r="C9" s="37" t="str">
        <f>Technologies!D215</f>
        <v>Emissions: DSL Rail fuel to TRDSL</v>
      </c>
      <c r="D9" s="37" t="s">
        <v>494</v>
      </c>
      <c r="E9" s="37" t="str">
        <f>TechData!E42</f>
        <v>TRNDSL</v>
      </c>
      <c r="F9" s="37" t="str">
        <f>TechData!F42</f>
        <v>TRDSL</v>
      </c>
      <c r="G9" s="1120"/>
      <c r="H9" s="1120">
        <f>'New Emissions'!CB129</f>
        <v>0.8287804847646294</v>
      </c>
      <c r="I9" s="1120">
        <f>'New Emissions'!CC129</f>
        <v>0.16204526048775628</v>
      </c>
      <c r="J9" s="1120">
        <f>I9</f>
        <v>0.16204526048775628</v>
      </c>
      <c r="K9" s="1120"/>
      <c r="L9" s="1120">
        <f>'New Emissions'!AI129</f>
        <v>0</v>
      </c>
      <c r="M9" s="1120">
        <f>'New Emissions'!AJ129</f>
        <v>0</v>
      </c>
      <c r="N9" s="1120"/>
      <c r="O9" s="1120"/>
      <c r="P9" s="1120">
        <f>'New Emissions'!CD129</f>
        <v>2.9281578570137558E-2</v>
      </c>
      <c r="Q9" s="1120">
        <f>'New Emissions'!CE129</f>
        <v>2.4306789073163439E-3</v>
      </c>
      <c r="R9" s="1120">
        <f>Q9</f>
        <v>2.4306789073163439E-3</v>
      </c>
      <c r="S9" s="1120"/>
      <c r="T9" s="1120"/>
      <c r="U9" s="1120">
        <f>'New Emissions'!CF129</f>
        <v>2.8403131213033429E-2</v>
      </c>
      <c r="V9" s="1120">
        <f>'New Emissions'!CG129</f>
        <v>2.3577585400968533E-3</v>
      </c>
      <c r="W9" s="1120">
        <f>V9</f>
        <v>2.3577585400968533E-3</v>
      </c>
      <c r="X9" s="1120"/>
      <c r="Y9" s="1120">
        <f>'New Emissions'!AM129</f>
        <v>0</v>
      </c>
      <c r="Z9" s="1120">
        <v>0</v>
      </c>
      <c r="AA9" s="1120">
        <f>'New Emissions'!AP129</f>
        <v>0</v>
      </c>
      <c r="AB9" s="1120"/>
      <c r="AC9" s="1120">
        <f>'New Emissions'!CH129</f>
        <v>4.4364751416337909E-2</v>
      </c>
      <c r="AD9" s="1120">
        <f>'New Emissions'!CI129</f>
        <v>7.3031206177663942E-3</v>
      </c>
      <c r="AE9" s="1120">
        <f>AD9</f>
        <v>7.3031206177663942E-3</v>
      </c>
      <c r="AF9" s="1120"/>
      <c r="AG9" s="1120"/>
      <c r="AH9" s="1120">
        <f>'New Emissions'!CJ129</f>
        <v>1.8746066600602063E-2</v>
      </c>
      <c r="AI9" s="1120">
        <f>'New Emissions'!CK129</f>
        <v>1.5561206364639235E-3</v>
      </c>
      <c r="AJ9" s="1120">
        <f>AI9</f>
        <v>1.5561206364639235E-3</v>
      </c>
      <c r="AK9" s="1120"/>
      <c r="AL9" s="1120"/>
      <c r="AM9" s="1120">
        <f>'New Emissions'!CL129</f>
        <v>5.9646575547370202E-3</v>
      </c>
      <c r="AN9" s="1120">
        <f>'New Emissions'!CM129</f>
        <v>4.9512929342033921E-4</v>
      </c>
      <c r="AO9" s="1120">
        <f>AN9</f>
        <v>4.9512929342033921E-4</v>
      </c>
      <c r="AP9" s="1120"/>
      <c r="AQ9" s="1120"/>
      <c r="AR9" s="1120">
        <f t="shared" ref="AR9:AT10" si="1">H9</f>
        <v>0.8287804847646294</v>
      </c>
      <c r="AS9" s="1120">
        <f t="shared" si="1"/>
        <v>0.16204526048775628</v>
      </c>
      <c r="AT9" s="1120">
        <f t="shared" si="1"/>
        <v>0.16204526048775628</v>
      </c>
      <c r="AU9" s="1120"/>
      <c r="AV9" s="1120">
        <f t="shared" si="0"/>
        <v>0</v>
      </c>
      <c r="AW9" s="1120">
        <f t="shared" si="0"/>
        <v>0</v>
      </c>
      <c r="AX9" s="1120"/>
      <c r="AY9" s="1120"/>
      <c r="AZ9" s="1120">
        <f t="shared" ref="AZ9:BB10" si="2">P9</f>
        <v>2.9281578570137558E-2</v>
      </c>
      <c r="BA9" s="1120">
        <f t="shared" si="2"/>
        <v>2.4306789073163439E-3</v>
      </c>
      <c r="BB9" s="1120">
        <f t="shared" si="2"/>
        <v>2.4306789073163439E-3</v>
      </c>
      <c r="BC9" s="1120"/>
      <c r="BD9" s="1120"/>
      <c r="BE9" s="1120">
        <f t="shared" ref="BE9:BG10" si="3">U9</f>
        <v>2.8403131213033429E-2</v>
      </c>
      <c r="BF9" s="1120">
        <f t="shared" si="3"/>
        <v>2.3577585400968533E-3</v>
      </c>
      <c r="BG9" s="1120">
        <f t="shared" si="3"/>
        <v>2.3577585400968533E-3</v>
      </c>
      <c r="BH9" s="1120"/>
      <c r="BI9" s="38"/>
    </row>
    <row r="10" spans="1:61" x14ac:dyDescent="0.2">
      <c r="A10" s="37" t="s">
        <v>115</v>
      </c>
      <c r="B10" s="37" t="str">
        <f>Technologies!C216</f>
        <v>SETRB20</v>
      </c>
      <c r="C10" s="37" t="str">
        <f>Technologies!D216</f>
        <v>Emissions: B20 Rail fuel to TRB20X</v>
      </c>
      <c r="D10" s="37" t="s">
        <v>494</v>
      </c>
      <c r="E10" s="37" t="str">
        <f>TechData!E41</f>
        <v>TRB20</v>
      </c>
      <c r="F10" s="37" t="str">
        <f>TechData!F41</f>
        <v>TRB20X</v>
      </c>
      <c r="G10" s="1120"/>
      <c r="H10" s="1120">
        <f>'New Emissions'!CB128</f>
        <v>0.80731566645417852</v>
      </c>
      <c r="I10" s="1120">
        <f>'New Emissions'!CC128</f>
        <v>0.15784840482044746</v>
      </c>
      <c r="J10" s="1120">
        <f>I10</f>
        <v>0.15784840482044746</v>
      </c>
      <c r="K10" s="1120"/>
      <c r="L10" s="1120">
        <f>'New Emissions'!AI128</f>
        <v>0</v>
      </c>
      <c r="M10" s="1120">
        <f>'New Emissions'!AJ128</f>
        <v>0</v>
      </c>
      <c r="N10" s="1120"/>
      <c r="O10" s="1120"/>
      <c r="P10" s="1120">
        <f>'New Emissions'!CD128</f>
        <v>2.8523206751054856E-2</v>
      </c>
      <c r="Q10" s="1120">
        <f>'New Emissions'!CE128</f>
        <v>2.367726072306712E-3</v>
      </c>
      <c r="R10" s="1120">
        <f>Q10</f>
        <v>2.367726072306712E-3</v>
      </c>
      <c r="S10" s="1120"/>
      <c r="T10" s="1120"/>
      <c r="U10" s="1120">
        <f>'New Emissions'!CF128</f>
        <v>2.7667510548523209E-2</v>
      </c>
      <c r="V10" s="1120">
        <f>'New Emissions'!CG128</f>
        <v>2.2966942901375101E-3</v>
      </c>
      <c r="W10" s="1120">
        <f>V10</f>
        <v>2.2966942901375101E-3</v>
      </c>
      <c r="X10" s="1120"/>
      <c r="Y10" s="1120">
        <f>'New Emissions'!AM128</f>
        <v>0</v>
      </c>
      <c r="Z10" s="1120">
        <f>'New Emissions'!CL128</f>
        <v>5.8101772151898734E-3</v>
      </c>
      <c r="AA10" s="1120"/>
      <c r="AB10" s="1120"/>
      <c r="AC10" s="1120">
        <f>'New Emissions'!CH128</f>
        <v>4.3215736271742106E-2</v>
      </c>
      <c r="AD10" s="1120">
        <f>'New Emissions'!CI128</f>
        <v>7.113975047809854E-3</v>
      </c>
      <c r="AE10" s="1120">
        <f>AD10</f>
        <v>7.113975047809854E-3</v>
      </c>
      <c r="AF10" s="1120"/>
      <c r="AG10" s="1120"/>
      <c r="AH10" s="1120">
        <f>'New Emissions'!CJ128</f>
        <v>1.8260556962025318E-2</v>
      </c>
      <c r="AI10" s="1120">
        <f>'New Emissions'!CK128</f>
        <v>1.5158182314907571E-3</v>
      </c>
      <c r="AJ10" s="1120">
        <f>AI10</f>
        <v>1.5158182314907571E-3</v>
      </c>
      <c r="AK10" s="1120"/>
      <c r="AL10" s="1120"/>
      <c r="AM10" s="1120">
        <f>'New Emissions'!CL128</f>
        <v>5.8101772151898734E-3</v>
      </c>
      <c r="AN10" s="1120">
        <f>'New Emissions'!CM128</f>
        <v>4.8230580092887708E-4</v>
      </c>
      <c r="AO10" s="1120">
        <f>AN10</f>
        <v>4.8230580092887708E-4</v>
      </c>
      <c r="AP10" s="1120"/>
      <c r="AQ10" s="1120"/>
      <c r="AR10" s="1120">
        <f t="shared" si="1"/>
        <v>0.80731566645417852</v>
      </c>
      <c r="AS10" s="1120">
        <f t="shared" si="1"/>
        <v>0.15784840482044746</v>
      </c>
      <c r="AT10" s="1120">
        <f t="shared" si="1"/>
        <v>0.15784840482044746</v>
      </c>
      <c r="AU10" s="1120"/>
      <c r="AV10" s="1120">
        <f t="shared" si="0"/>
        <v>0</v>
      </c>
      <c r="AW10" s="1120">
        <f t="shared" si="0"/>
        <v>0</v>
      </c>
      <c r="AX10" s="1120"/>
      <c r="AY10" s="1120"/>
      <c r="AZ10" s="1120">
        <f t="shared" si="2"/>
        <v>2.8523206751054856E-2</v>
      </c>
      <c r="BA10" s="1120">
        <f t="shared" si="2"/>
        <v>2.367726072306712E-3</v>
      </c>
      <c r="BB10" s="1120">
        <f t="shared" si="2"/>
        <v>2.367726072306712E-3</v>
      </c>
      <c r="BC10" s="1120"/>
      <c r="BD10" s="1120"/>
      <c r="BE10" s="1120">
        <f t="shared" si="3"/>
        <v>2.7667510548523209E-2</v>
      </c>
      <c r="BF10" s="1120">
        <f t="shared" si="3"/>
        <v>2.2966942901375101E-3</v>
      </c>
      <c r="BG10" s="1120">
        <f t="shared" si="3"/>
        <v>2.2966942901375101E-3</v>
      </c>
      <c r="BH10" s="1120"/>
      <c r="BI10" s="38"/>
    </row>
    <row r="11" spans="1:61" x14ac:dyDescent="0.2">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8"/>
      <c r="BC11" s="38"/>
      <c r="BD11" s="38"/>
      <c r="BE11" s="38"/>
      <c r="BF11" s="38"/>
      <c r="BG11" s="38"/>
      <c r="BH11" s="38"/>
      <c r="BI11" s="38"/>
    </row>
    <row r="12" spans="1:61" x14ac:dyDescent="0.2">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8"/>
      <c r="BC12" s="38"/>
      <c r="BD12" s="38"/>
      <c r="BE12" s="38"/>
      <c r="BF12" s="38"/>
      <c r="BG12" s="38"/>
      <c r="BH12" s="38"/>
      <c r="BI12" s="38"/>
    </row>
    <row r="13" spans="1:61" x14ac:dyDescent="0.2">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8"/>
      <c r="BC13" s="38"/>
      <c r="BD13" s="38"/>
      <c r="BE13" s="38"/>
      <c r="BF13" s="38"/>
      <c r="BG13" s="38"/>
      <c r="BH13" s="38"/>
      <c r="BI13" s="38"/>
    </row>
    <row r="14" spans="1:61" x14ac:dyDescent="0.2">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8"/>
      <c r="BC14" s="38"/>
      <c r="BD14" s="38"/>
      <c r="BE14" s="38"/>
      <c r="BF14" s="38"/>
      <c r="BG14" s="38"/>
      <c r="BH14" s="38"/>
      <c r="BI14" s="38"/>
    </row>
    <row r="15" spans="1:61" x14ac:dyDescent="0.2">
      <c r="A15" s="37" t="str">
        <f>NewTech!A142</f>
        <v>R2,R3,R4,R5,R6</v>
      </c>
      <c r="B15" s="37" t="str">
        <f>NewTech!B142</f>
        <v>TPELCCR</v>
      </c>
      <c r="C15" s="37" t="str">
        <f>NewTech!C142</f>
        <v>Commuter Rail, Electricity</v>
      </c>
      <c r="D15" s="37" t="str">
        <f>NewTech!D142</f>
        <v>bn-pass-miles, bn-pmt/a</v>
      </c>
      <c r="E15" s="37" t="str">
        <f>NewTech!E142</f>
        <v>TRNELC</v>
      </c>
      <c r="F15" s="37" t="str">
        <f>NewTech!F142</f>
        <v>TRP</v>
      </c>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8"/>
      <c r="BC15" s="38"/>
      <c r="BD15" s="38"/>
      <c r="BE15" s="38"/>
      <c r="BF15" s="38"/>
      <c r="BG15" s="38"/>
      <c r="BH15" s="38"/>
      <c r="BI15" s="38"/>
    </row>
    <row r="16" spans="1:61" x14ac:dyDescent="0.2">
      <c r="A16" s="37" t="str">
        <f>NewTech!A143</f>
        <v>*</v>
      </c>
      <c r="B16" s="37" t="str">
        <f>NewTech!B143</f>
        <v>TPDSLIR</v>
      </c>
      <c r="C16" s="37" t="str">
        <f>NewTech!C143</f>
        <v>Intercity Rail, Diesel</v>
      </c>
      <c r="D16" s="37" t="str">
        <f>NewTech!D143</f>
        <v>bn-pass-miles, bn-pmt/a</v>
      </c>
      <c r="E16" s="37" t="str">
        <f>NewTech!E143</f>
        <v>TRNDSL</v>
      </c>
      <c r="F16" s="37">
        <f>NewTech!F143</f>
        <v>0</v>
      </c>
      <c r="G16" s="39"/>
      <c r="H16" s="39">
        <f>'New Emissions'!CB125</f>
        <v>2.2047532427917327</v>
      </c>
      <c r="I16" s="39">
        <f>'New Emissions'!CC125</f>
        <v>3.7182378230597815</v>
      </c>
      <c r="J16" s="39">
        <f t="shared" ref="J16:J23" si="4">I16</f>
        <v>3.7182378230597815</v>
      </c>
      <c r="K16" s="39"/>
      <c r="L16" s="39"/>
      <c r="M16" s="39"/>
      <c r="N16" s="39"/>
      <c r="O16" s="39"/>
      <c r="P16" s="39">
        <f>'New Emissions'!CD125</f>
        <v>2.0306313490743744E-2</v>
      </c>
      <c r="Q16" s="39">
        <f>'New Emissions'!CE125</f>
        <v>6.167805499524967E-2</v>
      </c>
      <c r="R16" s="39">
        <f t="shared" ref="R16:R23" si="5">Q16</f>
        <v>6.167805499524967E-2</v>
      </c>
      <c r="S16" s="39"/>
      <c r="T16" s="39"/>
      <c r="U16" s="39">
        <f>'New Emissions'!CF125</f>
        <v>1.9697124086021433E-2</v>
      </c>
      <c r="V16" s="39">
        <f>'New Emissions'!CG125</f>
        <v>5.9827713345392185E-2</v>
      </c>
      <c r="W16" s="39">
        <f t="shared" ref="W16:W23" si="6">V16</f>
        <v>5.9827713345392185E-2</v>
      </c>
      <c r="X16" s="39"/>
      <c r="Y16" s="39"/>
      <c r="Z16" s="39"/>
      <c r="AA16" s="39"/>
      <c r="AB16" s="39"/>
      <c r="AC16" s="39">
        <f>'New Emissions'!CH125</f>
        <v>5.8851966515367275E-2</v>
      </c>
      <c r="AD16" s="39">
        <f>'New Emissions'!CI125</f>
        <v>9.6221466475889209E-2</v>
      </c>
      <c r="AE16" s="39">
        <f t="shared" ref="AE16:AE23" si="7">AD16</f>
        <v>9.6221466475889209E-2</v>
      </c>
      <c r="AF16" s="39"/>
      <c r="AG16" s="39"/>
      <c r="AH16" s="39">
        <f>'New Emissions'!CJ125</f>
        <v>1.3000101896774145E-2</v>
      </c>
      <c r="AI16" s="39">
        <f>'New Emissions'!CK125</f>
        <v>3.9486290807958839E-2</v>
      </c>
      <c r="AJ16" s="39">
        <f t="shared" ref="AJ16:AJ23" si="8">AI16</f>
        <v>3.9486290807958839E-2</v>
      </c>
      <c r="AK16" s="39"/>
      <c r="AL16" s="39">
        <f>'New Emissions'!CL119</f>
        <v>2.6036200825956543E-4</v>
      </c>
      <c r="AM16" s="39"/>
      <c r="AN16" s="39"/>
      <c r="AO16" s="39"/>
      <c r="AP16" s="39"/>
      <c r="AQ16" s="39"/>
      <c r="AR16" s="39">
        <f>H16</f>
        <v>2.2047532427917327</v>
      </c>
      <c r="AS16" s="39">
        <f>I16</f>
        <v>3.7182378230597815</v>
      </c>
      <c r="AT16" s="39">
        <f>J16</f>
        <v>3.7182378230597815</v>
      </c>
      <c r="AU16" s="39"/>
      <c r="AV16" s="39"/>
      <c r="AW16" s="39"/>
      <c r="AX16" s="39"/>
      <c r="AY16" s="39"/>
      <c r="AZ16" s="39">
        <f>P16</f>
        <v>2.0306313490743744E-2</v>
      </c>
      <c r="BA16" s="39">
        <f>Q16</f>
        <v>6.167805499524967E-2</v>
      </c>
      <c r="BB16" s="38">
        <f>R16</f>
        <v>6.167805499524967E-2</v>
      </c>
      <c r="BC16" s="38"/>
      <c r="BD16" s="38"/>
      <c r="BE16" s="38">
        <f>U16</f>
        <v>1.9697124086021433E-2</v>
      </c>
      <c r="BF16" s="38">
        <f>V16</f>
        <v>5.9827713345392185E-2</v>
      </c>
      <c r="BG16" s="38">
        <f>W16</f>
        <v>5.9827713345392185E-2</v>
      </c>
      <c r="BH16" s="38"/>
      <c r="BI16" s="38"/>
    </row>
    <row r="17" spans="1:61" x14ac:dyDescent="0.2">
      <c r="A17" s="37" t="str">
        <f>NewTech!A147</f>
        <v>*</v>
      </c>
      <c r="B17" s="37" t="str">
        <f>NewTech!B147</f>
        <v>TRFDSL</v>
      </c>
      <c r="C17" s="37" t="str">
        <f>NewTech!C147</f>
        <v>Rail Freight, Diesel</v>
      </c>
      <c r="D17" s="37" t="str">
        <f>NewTech!D147</f>
        <v>bn-t-m, bn-ton-m/a</v>
      </c>
      <c r="E17" s="37" t="str">
        <f>NewTech!E147</f>
        <v>TRNDSL</v>
      </c>
      <c r="F17" s="37" t="str">
        <f>NewTech!F147</f>
        <v>TRF</v>
      </c>
      <c r="G17" s="39"/>
      <c r="H17" s="39">
        <f>'New Emissions'!CB119</f>
        <v>7.7053625570417061E-2</v>
      </c>
      <c r="I17" s="39">
        <f>'New Emissions'!CC119</f>
        <v>7.7053625570417061E-2</v>
      </c>
      <c r="J17" s="39">
        <f t="shared" si="4"/>
        <v>7.7053625570417061E-2</v>
      </c>
      <c r="K17" s="39"/>
      <c r="L17" s="39"/>
      <c r="M17" s="39"/>
      <c r="N17" s="39"/>
      <c r="O17" s="39"/>
      <c r="P17" s="39">
        <f>'New Emissions'!CD119</f>
        <v>1.2781640071652697E-3</v>
      </c>
      <c r="Q17" s="39">
        <f>'New Emissions'!CE119</f>
        <v>1.2781640071652697E-3</v>
      </c>
      <c r="R17" s="39">
        <f t="shared" si="5"/>
        <v>1.2781640071652697E-3</v>
      </c>
      <c r="S17" s="39"/>
      <c r="T17" s="39"/>
      <c r="U17" s="39">
        <f>'New Emissions'!CF119</f>
        <v>1.2398190869503116E-3</v>
      </c>
      <c r="V17" s="39">
        <f>'New Emissions'!CG119</f>
        <v>1.2398190869503116E-3</v>
      </c>
      <c r="W17" s="39">
        <f t="shared" si="6"/>
        <v>1.2398190869503116E-3</v>
      </c>
      <c r="X17" s="39"/>
      <c r="Y17" s="39"/>
      <c r="Z17" s="39"/>
      <c r="AA17" s="39"/>
      <c r="AB17" s="39"/>
      <c r="AC17" s="39">
        <f>'New Emissions'!CH119</f>
        <v>1.9940125410182509E-3</v>
      </c>
      <c r="AD17" s="39">
        <f>'New Emissions'!CI119</f>
        <v>1.9940125410182509E-3</v>
      </c>
      <c r="AE17" s="39">
        <f t="shared" si="7"/>
        <v>1.9940125410182509E-3</v>
      </c>
      <c r="AF17" s="39"/>
      <c r="AG17" s="39"/>
      <c r="AH17" s="39">
        <f>'New Emissions'!CJ119</f>
        <v>8.1828059738720568E-4</v>
      </c>
      <c r="AI17" s="39">
        <f>'New Emissions'!CK119</f>
        <v>8.1828059738720568E-4</v>
      </c>
      <c r="AJ17" s="39">
        <f t="shared" si="8"/>
        <v>8.1828059738720568E-4</v>
      </c>
      <c r="AK17" s="39"/>
      <c r="AL17" s="39"/>
      <c r="AM17" s="39">
        <f>'New Emissions'!CL119</f>
        <v>2.6036200825956543E-4</v>
      </c>
      <c r="AN17" s="39">
        <f>'New Emissions'!CM119</f>
        <v>2.6036200825956543E-4</v>
      </c>
      <c r="AO17" s="39">
        <f>AN17</f>
        <v>2.6036200825956543E-4</v>
      </c>
      <c r="AP17" s="39"/>
      <c r="AQ17" s="39"/>
      <c r="AR17" s="39"/>
      <c r="AS17" s="39">
        <f>I17</f>
        <v>7.7053625570417061E-2</v>
      </c>
      <c r="AT17" s="39">
        <f>J17</f>
        <v>7.7053625570417061E-2</v>
      </c>
      <c r="AU17" s="39"/>
      <c r="AV17" s="39"/>
      <c r="AW17" s="39"/>
      <c r="AX17" s="39"/>
      <c r="AY17" s="39"/>
      <c r="AZ17" s="39"/>
      <c r="BA17" s="39">
        <f>Q17</f>
        <v>1.2781640071652697E-3</v>
      </c>
      <c r="BB17" s="38">
        <f>R17</f>
        <v>1.2781640071652697E-3</v>
      </c>
      <c r="BC17" s="38"/>
      <c r="BD17" s="38"/>
      <c r="BE17" s="38"/>
      <c r="BF17" s="38">
        <f>V17</f>
        <v>1.2398190869503116E-3</v>
      </c>
      <c r="BG17" s="38">
        <f>W17</f>
        <v>1.2398190869503116E-3</v>
      </c>
      <c r="BH17" s="38"/>
      <c r="BI17" s="38"/>
    </row>
    <row r="18" spans="1:61" x14ac:dyDescent="0.2">
      <c r="A18" s="37" t="str">
        <f>NewTech!A148</f>
        <v>*</v>
      </c>
      <c r="B18" s="37" t="str">
        <f>NewTech!B148</f>
        <v>TRFDSL2</v>
      </c>
      <c r="C18" s="37" t="str">
        <f>NewTech!C148</f>
        <v>Rail Freight, Diesel-MSW</v>
      </c>
      <c r="D18" s="37" t="str">
        <f>NewTech!D148</f>
        <v>bn-vmt, bn-vmt/a</v>
      </c>
      <c r="E18" s="37" t="str">
        <f>NewTech!E148</f>
        <v>TWDSL</v>
      </c>
      <c r="F18" s="37" t="str">
        <f>NewTech!F148</f>
        <v>TSW</v>
      </c>
      <c r="G18" s="39"/>
      <c r="H18" s="39">
        <f>H17</f>
        <v>7.7053625570417061E-2</v>
      </c>
      <c r="I18" s="39">
        <f t="shared" ref="I18:BG18" si="9">I17</f>
        <v>7.7053625570417061E-2</v>
      </c>
      <c r="J18" s="39">
        <f t="shared" si="9"/>
        <v>7.7053625570417061E-2</v>
      </c>
      <c r="K18" s="39"/>
      <c r="L18" s="39"/>
      <c r="M18" s="39"/>
      <c r="N18" s="39"/>
      <c r="O18" s="39"/>
      <c r="P18" s="39">
        <f t="shared" si="9"/>
        <v>1.2781640071652697E-3</v>
      </c>
      <c r="Q18" s="39">
        <f t="shared" si="9"/>
        <v>1.2781640071652697E-3</v>
      </c>
      <c r="R18" s="39">
        <f t="shared" si="9"/>
        <v>1.2781640071652697E-3</v>
      </c>
      <c r="S18" s="39"/>
      <c r="T18" s="39"/>
      <c r="U18" s="39">
        <f t="shared" si="9"/>
        <v>1.2398190869503116E-3</v>
      </c>
      <c r="V18" s="39">
        <f t="shared" si="9"/>
        <v>1.2398190869503116E-3</v>
      </c>
      <c r="W18" s="39">
        <f t="shared" si="9"/>
        <v>1.2398190869503116E-3</v>
      </c>
      <c r="X18" s="39"/>
      <c r="Y18" s="39"/>
      <c r="Z18" s="39"/>
      <c r="AA18" s="39"/>
      <c r="AB18" s="39"/>
      <c r="AC18" s="39">
        <f t="shared" si="9"/>
        <v>1.9940125410182509E-3</v>
      </c>
      <c r="AD18" s="39">
        <f t="shared" si="9"/>
        <v>1.9940125410182509E-3</v>
      </c>
      <c r="AE18" s="39">
        <f t="shared" si="9"/>
        <v>1.9940125410182509E-3</v>
      </c>
      <c r="AF18" s="39"/>
      <c r="AG18" s="39"/>
      <c r="AH18" s="39">
        <f t="shared" si="9"/>
        <v>8.1828059738720568E-4</v>
      </c>
      <c r="AI18" s="39">
        <f t="shared" si="9"/>
        <v>8.1828059738720568E-4</v>
      </c>
      <c r="AJ18" s="39">
        <f t="shared" si="9"/>
        <v>8.1828059738720568E-4</v>
      </c>
      <c r="AK18" s="39"/>
      <c r="AL18" s="39"/>
      <c r="AM18" s="39">
        <f t="shared" si="9"/>
        <v>2.6036200825956543E-4</v>
      </c>
      <c r="AN18" s="39">
        <f t="shared" si="9"/>
        <v>2.6036200825956543E-4</v>
      </c>
      <c r="AO18" s="39">
        <f t="shared" si="9"/>
        <v>2.6036200825956543E-4</v>
      </c>
      <c r="AP18" s="39"/>
      <c r="AQ18" s="39"/>
      <c r="AR18" s="39"/>
      <c r="AS18" s="39">
        <f t="shared" si="9"/>
        <v>7.7053625570417061E-2</v>
      </c>
      <c r="AT18" s="39">
        <f t="shared" si="9"/>
        <v>7.7053625570417061E-2</v>
      </c>
      <c r="AU18" s="39"/>
      <c r="AV18" s="39"/>
      <c r="AW18" s="39"/>
      <c r="AX18" s="39"/>
      <c r="AY18" s="39"/>
      <c r="AZ18" s="39"/>
      <c r="BA18" s="39">
        <f t="shared" si="9"/>
        <v>1.2781640071652697E-3</v>
      </c>
      <c r="BB18" s="38">
        <f t="shared" si="9"/>
        <v>1.2781640071652697E-3</v>
      </c>
      <c r="BC18" s="38"/>
      <c r="BD18" s="38"/>
      <c r="BE18" s="38"/>
      <c r="BF18" s="38">
        <f t="shared" si="9"/>
        <v>1.2398190869503116E-3</v>
      </c>
      <c r="BG18" s="38">
        <f t="shared" si="9"/>
        <v>1.2398190869503116E-3</v>
      </c>
      <c r="BH18" s="38"/>
      <c r="BI18" s="38"/>
    </row>
    <row r="19" spans="1:61" x14ac:dyDescent="0.2">
      <c r="A19" s="37" t="str">
        <f>NewTech!A149</f>
        <v>*</v>
      </c>
      <c r="B19" s="37" t="str">
        <f>NewTech!B149</f>
        <v>TRF10DSL</v>
      </c>
      <c r="C19" s="37" t="str">
        <f>NewTech!C149</f>
        <v>Rail Freight Diesel, 10% improvement</v>
      </c>
      <c r="D19" s="37" t="str">
        <f>NewTech!D149</f>
        <v>bn-t-m, bn-ton-m/a</v>
      </c>
      <c r="E19" s="37" t="str">
        <f>NewTech!E149</f>
        <v>TRNDSL</v>
      </c>
      <c r="F19" s="37" t="str">
        <f>NewTech!F149</f>
        <v>TRF</v>
      </c>
      <c r="G19" s="39"/>
      <c r="H19" s="39">
        <f>'New Emissions'!CB120</f>
        <v>6.9278403770661232E-2</v>
      </c>
      <c r="I19" s="39">
        <f>'New Emissions'!CC120</f>
        <v>6.9278403770661232E-2</v>
      </c>
      <c r="J19" s="39">
        <f t="shared" si="4"/>
        <v>6.9278403770661232E-2</v>
      </c>
      <c r="K19" s="39"/>
      <c r="L19" s="39"/>
      <c r="M19" s="39"/>
      <c r="N19" s="39"/>
      <c r="O19" s="39"/>
      <c r="P19" s="39">
        <f>'New Emissions'!CD120</f>
        <v>1.1491887827211895E-3</v>
      </c>
      <c r="Q19" s="39">
        <f>'New Emissions'!CE120</f>
        <v>1.1491887827211895E-3</v>
      </c>
      <c r="R19" s="39">
        <f t="shared" si="5"/>
        <v>1.1491887827211895E-3</v>
      </c>
      <c r="S19" s="39"/>
      <c r="T19" s="39"/>
      <c r="U19" s="39">
        <f>'New Emissions'!CF120</f>
        <v>1.1147131192395538E-3</v>
      </c>
      <c r="V19" s="39">
        <f>'New Emissions'!CG120</f>
        <v>1.1147131192395538E-3</v>
      </c>
      <c r="W19" s="39">
        <f t="shared" si="6"/>
        <v>1.1147131192395538E-3</v>
      </c>
      <c r="X19" s="39"/>
      <c r="Y19" s="39"/>
      <c r="Z19" s="39"/>
      <c r="AA19" s="39"/>
      <c r="AB19" s="39"/>
      <c r="AC19" s="39">
        <f>'New Emissions'!CH120</f>
        <v>1.7928034523720189E-3</v>
      </c>
      <c r="AD19" s="39">
        <f>'New Emissions'!CI120</f>
        <v>1.7928034523720189E-3</v>
      </c>
      <c r="AE19" s="39">
        <f t="shared" si="7"/>
        <v>1.7928034523720189E-3</v>
      </c>
      <c r="AF19" s="39"/>
      <c r="AG19" s="39"/>
      <c r="AH19" s="39">
        <f>'New Emissions'!CJ120</f>
        <v>7.3571065869810549E-4</v>
      </c>
      <c r="AI19" s="39">
        <f>'New Emissions'!CK120</f>
        <v>7.3571065869810549E-4</v>
      </c>
      <c r="AJ19" s="39">
        <f t="shared" si="8"/>
        <v>7.3571065869810549E-4</v>
      </c>
      <c r="AK19" s="39"/>
      <c r="AL19" s="39"/>
      <c r="AM19" s="39">
        <f>'New Emissions'!CL120</f>
        <v>2.3408975504030628E-4</v>
      </c>
      <c r="AN19" s="39">
        <f>'New Emissions'!CM120</f>
        <v>2.3408975504030628E-4</v>
      </c>
      <c r="AO19" s="39">
        <f>AN19</f>
        <v>2.3408975504030628E-4</v>
      </c>
      <c r="AP19" s="39"/>
      <c r="AQ19" s="39"/>
      <c r="AR19" s="39"/>
      <c r="AS19" s="39">
        <f>I19</f>
        <v>6.9278403770661232E-2</v>
      </c>
      <c r="AT19" s="39">
        <f>J19</f>
        <v>6.9278403770661232E-2</v>
      </c>
      <c r="AU19" s="39"/>
      <c r="AV19" s="39"/>
      <c r="AW19" s="39"/>
      <c r="AX19" s="39"/>
      <c r="AY19" s="39"/>
      <c r="AZ19" s="39"/>
      <c r="BA19" s="39">
        <f>Q19</f>
        <v>1.1491887827211895E-3</v>
      </c>
      <c r="BB19" s="38">
        <f>R19</f>
        <v>1.1491887827211895E-3</v>
      </c>
      <c r="BC19" s="38"/>
      <c r="BD19" s="38"/>
      <c r="BE19" s="38"/>
      <c r="BF19" s="38">
        <f>V19</f>
        <v>1.1147131192395538E-3</v>
      </c>
      <c r="BG19" s="38">
        <f>W19</f>
        <v>1.1147131192395538E-3</v>
      </c>
      <c r="BH19" s="38"/>
      <c r="BI19" s="38"/>
    </row>
    <row r="20" spans="1:61" x14ac:dyDescent="0.2">
      <c r="A20" s="37" t="str">
        <f>NewTech!A150</f>
        <v>*</v>
      </c>
      <c r="B20" s="37" t="str">
        <f>NewTech!B150</f>
        <v>TRF10DSL2</v>
      </c>
      <c r="C20" s="37" t="str">
        <f>NewTech!C150</f>
        <v>Rail Freight Diesel, 10% improvement-MSW</v>
      </c>
      <c r="D20" s="37" t="str">
        <f>NewTech!D150</f>
        <v>bn-vmt, bn-vmt/a</v>
      </c>
      <c r="E20" s="37" t="str">
        <f>NewTech!E150</f>
        <v>TWDSL</v>
      </c>
      <c r="F20" s="37" t="str">
        <f>NewTech!F150</f>
        <v>TSW</v>
      </c>
      <c r="G20" s="39"/>
      <c r="H20" s="39">
        <f>H19</f>
        <v>6.9278403770661232E-2</v>
      </c>
      <c r="I20" s="39">
        <f>I19</f>
        <v>6.9278403770661232E-2</v>
      </c>
      <c r="J20" s="39">
        <f>J19</f>
        <v>6.9278403770661232E-2</v>
      </c>
      <c r="K20" s="39"/>
      <c r="L20" s="39"/>
      <c r="M20" s="39"/>
      <c r="N20" s="39"/>
      <c r="O20" s="39"/>
      <c r="P20" s="39">
        <f>P19</f>
        <v>1.1491887827211895E-3</v>
      </c>
      <c r="Q20" s="39">
        <f>Q19</f>
        <v>1.1491887827211895E-3</v>
      </c>
      <c r="R20" s="39">
        <f>R19</f>
        <v>1.1491887827211895E-3</v>
      </c>
      <c r="S20" s="39"/>
      <c r="T20" s="39"/>
      <c r="U20" s="39">
        <f>U19</f>
        <v>1.1147131192395538E-3</v>
      </c>
      <c r="V20" s="39">
        <f>V19</f>
        <v>1.1147131192395538E-3</v>
      </c>
      <c r="W20" s="39">
        <f>W19</f>
        <v>1.1147131192395538E-3</v>
      </c>
      <c r="X20" s="39"/>
      <c r="Y20" s="39"/>
      <c r="Z20" s="39"/>
      <c r="AA20" s="39"/>
      <c r="AB20" s="39"/>
      <c r="AC20" s="39">
        <f>AC19</f>
        <v>1.7928034523720189E-3</v>
      </c>
      <c r="AD20" s="39">
        <f>AD19</f>
        <v>1.7928034523720189E-3</v>
      </c>
      <c r="AE20" s="39">
        <f>AE19</f>
        <v>1.7928034523720189E-3</v>
      </c>
      <c r="AF20" s="39"/>
      <c r="AG20" s="39"/>
      <c r="AH20" s="39"/>
      <c r="AI20" s="39"/>
      <c r="AJ20" s="39"/>
      <c r="AK20" s="39"/>
      <c r="AL20" s="39"/>
      <c r="AM20" s="39">
        <f>AM19</f>
        <v>2.3408975504030628E-4</v>
      </c>
      <c r="AN20" s="39">
        <f>AN19</f>
        <v>2.3408975504030628E-4</v>
      </c>
      <c r="AO20" s="39">
        <f>AO19</f>
        <v>2.3408975504030628E-4</v>
      </c>
      <c r="AP20" s="39"/>
      <c r="AQ20" s="39"/>
      <c r="AR20" s="39"/>
      <c r="AS20" s="39">
        <f>AS19</f>
        <v>6.9278403770661232E-2</v>
      </c>
      <c r="AT20" s="39">
        <f>AT19</f>
        <v>6.9278403770661232E-2</v>
      </c>
      <c r="AU20" s="39"/>
      <c r="AV20" s="39"/>
      <c r="AW20" s="39"/>
      <c r="AX20" s="39"/>
      <c r="AY20" s="39"/>
      <c r="AZ20" s="39"/>
      <c r="BA20" s="39">
        <f>BA19</f>
        <v>1.1491887827211895E-3</v>
      </c>
      <c r="BB20" s="38">
        <f>BB19</f>
        <v>1.1491887827211895E-3</v>
      </c>
      <c r="BC20" s="38"/>
      <c r="BD20" s="38"/>
      <c r="BE20" s="38"/>
      <c r="BF20" s="38">
        <f>BF19</f>
        <v>1.1147131192395538E-3</v>
      </c>
      <c r="BG20" s="38">
        <f>BG19</f>
        <v>1.1147131192395538E-3</v>
      </c>
      <c r="BH20" s="38"/>
      <c r="BI20" s="38"/>
    </row>
    <row r="21" spans="1:61" x14ac:dyDescent="0.2">
      <c r="A21" s="37" t="str">
        <f>NewTech!A151</f>
        <v>*</v>
      </c>
      <c r="B21" s="37" t="str">
        <f>NewTech!B151</f>
        <v>TRF25DSL</v>
      </c>
      <c r="C21" s="37" t="str">
        <f>NewTech!C151</f>
        <v>Rail Freight Dieseil, 25% improvement</v>
      </c>
      <c r="D21" s="37" t="str">
        <f>NewTech!D151</f>
        <v>bn-t-m, bn-ton-m/a</v>
      </c>
      <c r="E21" s="37" t="str">
        <f>NewTech!E151</f>
        <v>TRNDSL</v>
      </c>
      <c r="F21" s="37" t="str">
        <f>NewTech!F151</f>
        <v>TRF</v>
      </c>
      <c r="G21" s="39"/>
      <c r="H21" s="39">
        <f>'New Emissions'!CB121</f>
        <v>5.7732003142217693E-2</v>
      </c>
      <c r="I21" s="39">
        <f>'New Emissions'!CC121</f>
        <v>5.7732003142217693E-2</v>
      </c>
      <c r="J21" s="39">
        <f t="shared" si="4"/>
        <v>5.7732003142217693E-2</v>
      </c>
      <c r="K21" s="39"/>
      <c r="L21" s="39"/>
      <c r="M21" s="39"/>
      <c r="N21" s="39"/>
      <c r="O21" s="39"/>
      <c r="P21" s="39">
        <f>'New Emissions'!CD121</f>
        <v>9.5765731893432448E-4</v>
      </c>
      <c r="Q21" s="39">
        <f>'New Emissions'!CE121</f>
        <v>9.5765731893432448E-4</v>
      </c>
      <c r="R21" s="39">
        <f t="shared" si="5"/>
        <v>9.5765731893432448E-4</v>
      </c>
      <c r="S21" s="39"/>
      <c r="T21" s="39"/>
      <c r="U21" s="39">
        <f>'New Emissions'!CF121</f>
        <v>9.2892759936629473E-4</v>
      </c>
      <c r="V21" s="39">
        <f>'New Emissions'!CG121</f>
        <v>9.2892759936629473E-4</v>
      </c>
      <c r="W21" s="39">
        <f t="shared" si="6"/>
        <v>9.2892759936629473E-4</v>
      </c>
      <c r="X21" s="39"/>
      <c r="Y21" s="39"/>
      <c r="Z21" s="39"/>
      <c r="AA21" s="39"/>
      <c r="AB21" s="39"/>
      <c r="AC21" s="39">
        <f>'New Emissions'!CH121</f>
        <v>1.4940028769766822E-3</v>
      </c>
      <c r="AD21" s="39">
        <f>'New Emissions'!CI121</f>
        <v>1.4940028769766822E-3</v>
      </c>
      <c r="AE21" s="39">
        <f t="shared" si="7"/>
        <v>1.4940028769766822E-3</v>
      </c>
      <c r="AF21" s="39"/>
      <c r="AG21" s="39"/>
      <c r="AH21" s="39">
        <f>'New Emissions'!CJ121</f>
        <v>6.1309221558175457E-4</v>
      </c>
      <c r="AI21" s="39">
        <f>'New Emissions'!CK121</f>
        <v>6.1309221558175457E-4</v>
      </c>
      <c r="AJ21" s="39">
        <f t="shared" si="8"/>
        <v>6.1309221558175457E-4</v>
      </c>
      <c r="AK21" s="39"/>
      <c r="AL21" s="39"/>
      <c r="AM21" s="39">
        <f>'New Emissions'!CL121</f>
        <v>1.950747958669219E-4</v>
      </c>
      <c r="AN21" s="39">
        <f>'New Emissions'!CM121</f>
        <v>1.950747958669219E-4</v>
      </c>
      <c r="AO21" s="39">
        <f>AN21</f>
        <v>1.950747958669219E-4</v>
      </c>
      <c r="AP21" s="39"/>
      <c r="AQ21" s="39"/>
      <c r="AR21" s="39"/>
      <c r="AS21" s="39">
        <f t="shared" ref="AS21:AT23" si="10">I21</f>
        <v>5.7732003142217693E-2</v>
      </c>
      <c r="AT21" s="39">
        <f t="shared" si="10"/>
        <v>5.7732003142217693E-2</v>
      </c>
      <c r="AU21" s="39"/>
      <c r="AV21" s="39"/>
      <c r="AW21" s="39"/>
      <c r="AX21" s="39"/>
      <c r="AY21" s="39"/>
      <c r="AZ21" s="39"/>
      <c r="BA21" s="39">
        <f t="shared" ref="BA21:BB23" si="11">Q21</f>
        <v>9.5765731893432448E-4</v>
      </c>
      <c r="BB21" s="38">
        <f t="shared" si="11"/>
        <v>9.5765731893432448E-4</v>
      </c>
      <c r="BC21" s="38"/>
      <c r="BD21" s="38"/>
      <c r="BE21" s="38"/>
      <c r="BF21" s="38">
        <f t="shared" ref="BF21:BG23" si="12">V21</f>
        <v>9.2892759936629473E-4</v>
      </c>
      <c r="BG21" s="38">
        <f t="shared" si="12"/>
        <v>9.2892759936629473E-4</v>
      </c>
      <c r="BH21" s="38"/>
      <c r="BI21" s="38"/>
    </row>
    <row r="22" spans="1:61" x14ac:dyDescent="0.2">
      <c r="A22" s="37" t="str">
        <f>NewTech!A153</f>
        <v>*</v>
      </c>
      <c r="B22" s="37" t="str">
        <f>NewTech!B153</f>
        <v>TRFAPU</v>
      </c>
      <c r="C22" s="37" t="str">
        <f>NewTech!C153</f>
        <v>Rail Freight Diesel with APU</v>
      </c>
      <c r="D22" s="37" t="str">
        <f>NewTech!D153</f>
        <v>bn-t-m, bn-ton-m/a</v>
      </c>
      <c r="E22" s="37" t="str">
        <f>NewTech!E153</f>
        <v>TRNDSL</v>
      </c>
      <c r="F22" s="37" t="str">
        <f>NewTech!F153</f>
        <v>TRF</v>
      </c>
      <c r="G22" s="39"/>
      <c r="H22" s="39">
        <f>'New Emissions'!CB122</f>
        <v>6.6753590833241574E-2</v>
      </c>
      <c r="I22" s="39">
        <f>'New Emissions'!CC122</f>
        <v>6.6753590833241574E-2</v>
      </c>
      <c r="J22" s="39">
        <f t="shared" si="4"/>
        <v>6.6753590833241574E-2</v>
      </c>
      <c r="K22" s="39"/>
      <c r="L22" s="39"/>
      <c r="M22" s="39"/>
      <c r="N22" s="39"/>
      <c r="O22" s="39"/>
      <c r="P22" s="39">
        <f>'New Emissions'!CD122</f>
        <v>1.1073072359731283E-3</v>
      </c>
      <c r="Q22" s="39">
        <f>'New Emissions'!CE122</f>
        <v>1.1073072359731283E-3</v>
      </c>
      <c r="R22" s="39">
        <f t="shared" si="5"/>
        <v>1.1073072359731283E-3</v>
      </c>
      <c r="S22" s="39"/>
      <c r="T22" s="39"/>
      <c r="U22" s="39">
        <f>'New Emissions'!CF122</f>
        <v>1.0740880188939343E-3</v>
      </c>
      <c r="V22" s="39">
        <f>'New Emissions'!CG122</f>
        <v>1.0740880188939343E-3</v>
      </c>
      <c r="W22" s="39">
        <f t="shared" si="6"/>
        <v>1.0740880188939343E-3</v>
      </c>
      <c r="X22" s="39"/>
      <c r="Y22" s="39"/>
      <c r="Z22" s="39"/>
      <c r="AA22" s="39"/>
      <c r="AB22" s="39"/>
      <c r="AC22" s="39">
        <f>'New Emissions'!CH122</f>
        <v>1.7274657265522384E-3</v>
      </c>
      <c r="AD22" s="39">
        <f>'New Emissions'!CI122</f>
        <v>1.7274657265522384E-3</v>
      </c>
      <c r="AE22" s="39">
        <f t="shared" si="7"/>
        <v>1.7274657265522384E-3</v>
      </c>
      <c r="AF22" s="39"/>
      <c r="AG22" s="39"/>
      <c r="AH22" s="39">
        <f>'New Emissions'!CJ122</f>
        <v>7.0889809246999663E-4</v>
      </c>
      <c r="AI22" s="39">
        <f>'New Emissions'!CK122</f>
        <v>7.0889809246999663E-4</v>
      </c>
      <c r="AJ22" s="39">
        <f t="shared" si="8"/>
        <v>7.0889809246999663E-4</v>
      </c>
      <c r="AK22" s="39"/>
      <c r="AL22" s="39"/>
      <c r="AM22" s="39">
        <f>'New Emissions'!CL122</f>
        <v>2.2555848396772619E-4</v>
      </c>
      <c r="AN22" s="39">
        <f>'New Emissions'!CM122</f>
        <v>2.2555848396772619E-4</v>
      </c>
      <c r="AO22" s="39">
        <f>AN22</f>
        <v>2.2555848396772619E-4</v>
      </c>
      <c r="AP22" s="39"/>
      <c r="AQ22" s="39"/>
      <c r="AR22" s="39"/>
      <c r="AS22" s="39">
        <f t="shared" si="10"/>
        <v>6.6753590833241574E-2</v>
      </c>
      <c r="AT22" s="39">
        <f t="shared" si="10"/>
        <v>6.6753590833241574E-2</v>
      </c>
      <c r="AU22" s="39"/>
      <c r="AV22" s="39"/>
      <c r="AW22" s="39"/>
      <c r="AX22" s="39"/>
      <c r="AY22" s="39"/>
      <c r="AZ22" s="39"/>
      <c r="BA22" s="39">
        <f t="shared" si="11"/>
        <v>1.1073072359731283E-3</v>
      </c>
      <c r="BB22" s="38">
        <f t="shared" si="11"/>
        <v>1.1073072359731283E-3</v>
      </c>
      <c r="BC22" s="38"/>
      <c r="BD22" s="38"/>
      <c r="BE22" s="38"/>
      <c r="BF22" s="38">
        <f t="shared" si="12"/>
        <v>1.0740880188939343E-3</v>
      </c>
      <c r="BG22" s="38">
        <f t="shared" si="12"/>
        <v>1.0740880188939343E-3</v>
      </c>
      <c r="BH22" s="38"/>
      <c r="BI22" s="38"/>
    </row>
    <row r="23" spans="1:61" x14ac:dyDescent="0.2">
      <c r="A23" s="37" t="str">
        <f>NewTech!A154</f>
        <v>*</v>
      </c>
      <c r="B23" s="37" t="str">
        <f>NewTech!B154</f>
        <v>TRFB20</v>
      </c>
      <c r="C23" s="37" t="str">
        <f>NewTech!C154</f>
        <v>Rail Freight, Biodiesel</v>
      </c>
      <c r="D23" s="37" t="str">
        <f>NewTech!D154</f>
        <v>bn-t-m, bn-ton-m/a</v>
      </c>
      <c r="E23" s="37" t="str">
        <f>NewTech!E154</f>
        <v>TRB20X</v>
      </c>
      <c r="F23" s="37" t="str">
        <f>NewTech!F154</f>
        <v>TRF</v>
      </c>
      <c r="G23" s="39"/>
      <c r="H23" s="39">
        <f>'New Emissions'!CB123</f>
        <v>8.9886906909170047E-2</v>
      </c>
      <c r="I23" s="39">
        <f>'New Emissions'!CC123</f>
        <v>8.9886906909170047E-2</v>
      </c>
      <c r="J23" s="39">
        <f t="shared" si="4"/>
        <v>8.9886906909170047E-2</v>
      </c>
      <c r="K23" s="39"/>
      <c r="L23" s="39"/>
      <c r="M23" s="39"/>
      <c r="N23" s="39"/>
      <c r="O23" s="39"/>
      <c r="P23" s="39">
        <f>'New Emissions'!CD123</f>
        <v>1.4910422225586457E-3</v>
      </c>
      <c r="Q23" s="39">
        <f>'New Emissions'!CE123</f>
        <v>1.4910422225586457E-3</v>
      </c>
      <c r="R23" s="39">
        <f t="shared" si="5"/>
        <v>1.4910422225586457E-3</v>
      </c>
      <c r="S23" s="39"/>
      <c r="T23" s="39"/>
      <c r="U23" s="39">
        <f>'New Emissions'!CF123</f>
        <v>1.4463109558818864E-3</v>
      </c>
      <c r="V23" s="39">
        <f>'New Emissions'!CG123</f>
        <v>1.4463109558818864E-3</v>
      </c>
      <c r="W23" s="39">
        <f t="shared" si="6"/>
        <v>1.4463109558818864E-3</v>
      </c>
      <c r="X23" s="39"/>
      <c r="Y23" s="39"/>
      <c r="Z23" s="39"/>
      <c r="AA23" s="39"/>
      <c r="AB23" s="39"/>
      <c r="AC23" s="39">
        <f>'New Emissions'!CH123</f>
        <v>2.3261153297248409E-3</v>
      </c>
      <c r="AD23" s="39">
        <f>'New Emissions'!CI123</f>
        <v>2.3261153297248409E-3</v>
      </c>
      <c r="AE23" s="39">
        <f t="shared" si="7"/>
        <v>2.3261153297248409E-3</v>
      </c>
      <c r="AF23" s="39"/>
      <c r="AG23" s="39"/>
      <c r="AH23" s="39">
        <f>'New Emissions'!CJ123</f>
        <v>9.5456523088204492E-4</v>
      </c>
      <c r="AI23" s="39">
        <f>'New Emissions'!CK123</f>
        <v>9.5456523088204492E-4</v>
      </c>
      <c r="AJ23" s="39">
        <f t="shared" si="8"/>
        <v>9.5456523088204492E-4</v>
      </c>
      <c r="AK23" s="39"/>
      <c r="AL23" s="39"/>
      <c r="AM23" s="39">
        <f>'New Emissions'!CL123</f>
        <v>3.0372530073519616E-4</v>
      </c>
      <c r="AN23" s="39">
        <f>'New Emissions'!CM123</f>
        <v>3.0372530073519616E-4</v>
      </c>
      <c r="AO23" s="39">
        <f>AN23</f>
        <v>3.0372530073519616E-4</v>
      </c>
      <c r="AP23" s="39"/>
      <c r="AQ23" s="39"/>
      <c r="AR23" s="39"/>
      <c r="AS23" s="39">
        <f t="shared" si="10"/>
        <v>8.9886906909170047E-2</v>
      </c>
      <c r="AT23" s="39">
        <f t="shared" si="10"/>
        <v>8.9886906909170047E-2</v>
      </c>
      <c r="AU23" s="39"/>
      <c r="AV23" s="39"/>
      <c r="AW23" s="39"/>
      <c r="AX23" s="39"/>
      <c r="AY23" s="39"/>
      <c r="AZ23" s="39"/>
      <c r="BA23" s="39">
        <f t="shared" si="11"/>
        <v>1.4910422225586457E-3</v>
      </c>
      <c r="BB23" s="38">
        <f t="shared" si="11"/>
        <v>1.4910422225586457E-3</v>
      </c>
      <c r="BC23" s="38"/>
      <c r="BD23" s="38"/>
      <c r="BE23" s="38"/>
      <c r="BF23" s="38">
        <f t="shared" si="12"/>
        <v>1.4463109558818864E-3</v>
      </c>
      <c r="BG23" s="38">
        <f t="shared" si="12"/>
        <v>1.4463109558818864E-3</v>
      </c>
      <c r="BH23" s="38"/>
      <c r="BI23" s="38"/>
    </row>
    <row r="24" spans="1:61" x14ac:dyDescent="0.2">
      <c r="A24" s="37" t="str">
        <f>NewTech!A157</f>
        <v>*</v>
      </c>
      <c r="B24" s="37" t="str">
        <f>NewTech!B157</f>
        <v>TSDSH10</v>
      </c>
      <c r="C24" s="37" t="str">
        <f>NewTech!C157</f>
        <v>Water Shipping, Residual Oil, 2010</v>
      </c>
      <c r="D24" s="37" t="str">
        <f>NewTech!D157</f>
        <v>bn-t-m, bn-ton-m/a</v>
      </c>
      <c r="E24" s="37" t="str">
        <f>NewTech!E157</f>
        <v>TRNRFH1</v>
      </c>
      <c r="F24" s="37" t="str">
        <f>NewTech!F157</f>
        <v>TS</v>
      </c>
      <c r="G24" s="39">
        <f>'New Emissions'!C112</f>
        <v>2.0502459099730128</v>
      </c>
      <c r="H24" s="39"/>
      <c r="I24" s="39"/>
      <c r="J24" s="39"/>
      <c r="K24" s="39"/>
      <c r="L24" s="39">
        <f>'New Emissions'!AI112</f>
        <v>4.3921571929294558E-2</v>
      </c>
      <c r="M24" s="39">
        <f>'New Emissions'!AJ112</f>
        <v>4.3921571929294558E-2</v>
      </c>
      <c r="N24" s="39"/>
      <c r="O24" s="39">
        <f>'New Emissions'!AG112</f>
        <v>0.19534170476950266</v>
      </c>
      <c r="P24" s="39"/>
      <c r="Q24" s="39"/>
      <c r="R24" s="39"/>
      <c r="S24" s="39"/>
      <c r="T24" s="39">
        <f>'New Emissions'!AL112</f>
        <v>4.3921571929294558E-2</v>
      </c>
      <c r="U24" s="39"/>
      <c r="V24" s="39"/>
      <c r="W24" s="39"/>
      <c r="X24" s="39"/>
      <c r="Y24" s="39">
        <f>'New Emissions'!AM112</f>
        <v>4.3921571929294558E-2</v>
      </c>
      <c r="Z24" s="39"/>
      <c r="AA24" s="39">
        <f>'New Emissions'!AP112</f>
        <v>4.3921571929294558E-2</v>
      </c>
      <c r="AB24" s="39">
        <f>'New Emissions'!AK112</f>
        <v>4.3921571929294558E-2</v>
      </c>
      <c r="AC24" s="39"/>
      <c r="AD24" s="39"/>
      <c r="AE24" s="39"/>
      <c r="AF24" s="39"/>
      <c r="AG24" s="39">
        <f>'New Emissions'!AN112</f>
        <v>4.3921571929294558E-2</v>
      </c>
      <c r="AH24" s="39"/>
      <c r="AI24" s="39"/>
      <c r="AJ24" s="39"/>
      <c r="AK24" s="39"/>
      <c r="AL24" s="39">
        <f>'New Emissions'!AO112</f>
        <v>4.3921571929294558E-2</v>
      </c>
      <c r="AM24" s="39"/>
      <c r="AN24" s="39"/>
      <c r="AO24" s="39"/>
      <c r="AP24" s="39"/>
      <c r="AQ24" s="39">
        <f t="shared" ref="AQ24:AQ29" si="13">G24</f>
        <v>2.0502459099730128</v>
      </c>
      <c r="AR24" s="39"/>
      <c r="AS24" s="39"/>
      <c r="AT24" s="39"/>
      <c r="AU24" s="39"/>
      <c r="AV24" s="39">
        <f>L24</f>
        <v>4.3921571929294558E-2</v>
      </c>
      <c r="AW24" s="39">
        <f>M24</f>
        <v>4.3921571929294558E-2</v>
      </c>
      <c r="AX24" s="39"/>
      <c r="AY24" s="39">
        <f t="shared" ref="AY24:AY29" si="14">O24</f>
        <v>0.19534170476950266</v>
      </c>
      <c r="AZ24" s="39"/>
      <c r="BA24" s="39"/>
      <c r="BB24" s="38"/>
      <c r="BC24" s="38"/>
      <c r="BD24" s="38">
        <f t="shared" ref="BD24:BD29" si="15">T24</f>
        <v>4.3921571929294558E-2</v>
      </c>
      <c r="BE24" s="38"/>
      <c r="BF24" s="38"/>
      <c r="BG24" s="38"/>
      <c r="BH24" s="38"/>
      <c r="BI24" s="38"/>
    </row>
    <row r="25" spans="1:61" x14ac:dyDescent="0.2">
      <c r="A25" s="37" t="str">
        <f>NewTech!A158</f>
        <v>*</v>
      </c>
      <c r="B25" s="37" t="str">
        <f>NewTech!B158</f>
        <v>TSDSHFI15</v>
      </c>
      <c r="C25" s="37" t="str">
        <f>NewTech!C158</f>
        <v>Water Shipping, Resid Fuel Inject, 2015</v>
      </c>
      <c r="D25" s="37" t="str">
        <f>NewTech!D158</f>
        <v>bn-t-m, bn-ton-m/a</v>
      </c>
      <c r="E25" s="37" t="str">
        <f>NewTech!E158</f>
        <v>TRNRFH1</v>
      </c>
      <c r="F25" s="37" t="str">
        <f>NewTech!F158</f>
        <v>TS</v>
      </c>
      <c r="G25" s="39">
        <f>'New Emissions'!C113</f>
        <v>0.44204480605167623</v>
      </c>
      <c r="H25" s="39"/>
      <c r="I25" s="39"/>
      <c r="J25" s="39"/>
      <c r="K25" s="39"/>
      <c r="L25" s="39"/>
      <c r="M25" s="39">
        <f>'New Emissions'!AJ113</f>
        <v>4.3921571929294558E-2</v>
      </c>
      <c r="N25" s="39"/>
      <c r="O25" s="39">
        <f>'New Emissions'!AG113</f>
        <v>0.19534170476950266</v>
      </c>
      <c r="P25" s="39"/>
      <c r="Q25" s="39"/>
      <c r="R25" s="39"/>
      <c r="S25" s="39"/>
      <c r="T25" s="39">
        <f>'New Emissions'!AL113</f>
        <v>4.3921571929294558E-2</v>
      </c>
      <c r="U25" s="39"/>
      <c r="V25" s="39"/>
      <c r="W25" s="39"/>
      <c r="X25" s="39"/>
      <c r="Y25" s="39">
        <f>'New Emissions'!AM113</f>
        <v>4.3921571929294558E-2</v>
      </c>
      <c r="Z25" s="39"/>
      <c r="AA25" s="39">
        <f>'New Emissions'!AP113</f>
        <v>4.3921571929294558E-2</v>
      </c>
      <c r="AB25" s="39">
        <f>'New Emissions'!AK113</f>
        <v>4.3921571929294558E-2</v>
      </c>
      <c r="AC25" s="39"/>
      <c r="AD25" s="39"/>
      <c r="AE25" s="39"/>
      <c r="AF25" s="39"/>
      <c r="AG25" s="39">
        <f>'New Emissions'!AN113</f>
        <v>4.3921571929294558E-2</v>
      </c>
      <c r="AH25" s="39"/>
      <c r="AI25" s="39"/>
      <c r="AJ25" s="39"/>
      <c r="AK25" s="39"/>
      <c r="AL25" s="39">
        <f>'New Emissions'!AO113</f>
        <v>4.3921571929294558E-2</v>
      </c>
      <c r="AM25" s="39"/>
      <c r="AN25" s="39"/>
      <c r="AO25" s="39"/>
      <c r="AP25" s="39"/>
      <c r="AQ25" s="39">
        <f t="shared" si="13"/>
        <v>0.44204480605167623</v>
      </c>
      <c r="AR25" s="39"/>
      <c r="AS25" s="39"/>
      <c r="AT25" s="39"/>
      <c r="AU25" s="39"/>
      <c r="AV25" s="39"/>
      <c r="AW25" s="39">
        <f t="shared" ref="AW25:AW29" si="16">M25</f>
        <v>4.3921571929294558E-2</v>
      </c>
      <c r="AX25" s="39"/>
      <c r="AY25" s="39">
        <f t="shared" si="14"/>
        <v>0.19534170476950266</v>
      </c>
      <c r="AZ25" s="39"/>
      <c r="BA25" s="39"/>
      <c r="BB25" s="38"/>
      <c r="BC25" s="38"/>
      <c r="BD25" s="38">
        <f t="shared" si="15"/>
        <v>4.3921571929294558E-2</v>
      </c>
      <c r="BE25" s="38"/>
      <c r="BF25" s="38"/>
      <c r="BG25" s="38"/>
      <c r="BH25" s="38"/>
      <c r="BI25" s="38"/>
    </row>
    <row r="26" spans="1:61" x14ac:dyDescent="0.2">
      <c r="A26" s="37" t="str">
        <f>NewTech!A159</f>
        <v>*</v>
      </c>
      <c r="B26" s="37" t="str">
        <f>NewTech!B159</f>
        <v>TSDSHBL15</v>
      </c>
      <c r="C26" s="37" t="str">
        <f>NewTech!C159</f>
        <v>Water Shipping, Resid Bubble Lub, 2015</v>
      </c>
      <c r="D26" s="37" t="str">
        <f>NewTech!D159</f>
        <v>bn-t-m, bn-ton-m/a</v>
      </c>
      <c r="E26" s="37" t="str">
        <f>NewTech!E159</f>
        <v>TRNRFH1</v>
      </c>
      <c r="F26" s="37" t="str">
        <f>NewTech!F159</f>
        <v>TS</v>
      </c>
      <c r="G26" s="39">
        <f>'New Emissions'!C114</f>
        <v>0.44204480605167623</v>
      </c>
      <c r="H26" s="39"/>
      <c r="I26" s="39"/>
      <c r="J26" s="39"/>
      <c r="K26" s="39"/>
      <c r="L26" s="39"/>
      <c r="M26" s="39">
        <f>'New Emissions'!AJ114</f>
        <v>4.3921571929294558E-2</v>
      </c>
      <c r="N26" s="39"/>
      <c r="O26" s="39">
        <f>'New Emissions'!AG114</f>
        <v>0.19534170476950266</v>
      </c>
      <c r="P26" s="39"/>
      <c r="Q26" s="39"/>
      <c r="R26" s="39"/>
      <c r="S26" s="39"/>
      <c r="T26" s="39">
        <f>'New Emissions'!AL114</f>
        <v>4.3921571929294558E-2</v>
      </c>
      <c r="U26" s="39"/>
      <c r="V26" s="39"/>
      <c r="W26" s="39"/>
      <c r="X26" s="39"/>
      <c r="Y26" s="39">
        <f>'New Emissions'!AM114</f>
        <v>4.3921571929294558E-2</v>
      </c>
      <c r="Z26" s="39"/>
      <c r="AA26" s="39">
        <f>'New Emissions'!AP114</f>
        <v>4.3921571929294558E-2</v>
      </c>
      <c r="AB26" s="39">
        <f>'New Emissions'!AK114</f>
        <v>4.3921571929294558E-2</v>
      </c>
      <c r="AC26" s="39"/>
      <c r="AD26" s="39"/>
      <c r="AE26" s="39"/>
      <c r="AF26" s="39"/>
      <c r="AG26" s="39">
        <f>'New Emissions'!AN114</f>
        <v>4.3921571929294558E-2</v>
      </c>
      <c r="AH26" s="39"/>
      <c r="AI26" s="39"/>
      <c r="AJ26" s="39"/>
      <c r="AK26" s="39"/>
      <c r="AL26" s="39">
        <f>'New Emissions'!AO114</f>
        <v>4.3921571929294558E-2</v>
      </c>
      <c r="AM26" s="39"/>
      <c r="AN26" s="39"/>
      <c r="AO26" s="39"/>
      <c r="AP26" s="39"/>
      <c r="AQ26" s="39">
        <f t="shared" si="13"/>
        <v>0.44204480605167623</v>
      </c>
      <c r="AR26" s="39"/>
      <c r="AS26" s="39"/>
      <c r="AT26" s="39"/>
      <c r="AU26" s="39"/>
      <c r="AV26" s="39"/>
      <c r="AW26" s="39">
        <f t="shared" si="16"/>
        <v>4.3921571929294558E-2</v>
      </c>
      <c r="AX26" s="39"/>
      <c r="AY26" s="39">
        <f t="shared" si="14"/>
        <v>0.19534170476950266</v>
      </c>
      <c r="AZ26" s="39"/>
      <c r="BA26" s="39"/>
      <c r="BB26" s="38"/>
      <c r="BC26" s="38"/>
      <c r="BD26" s="38">
        <f t="shared" si="15"/>
        <v>4.3921571929294558E-2</v>
      </c>
      <c r="BE26" s="38"/>
      <c r="BF26" s="38"/>
      <c r="BG26" s="38"/>
      <c r="BH26" s="38"/>
      <c r="BI26" s="38"/>
    </row>
    <row r="27" spans="1:61" x14ac:dyDescent="0.2">
      <c r="A27" s="37" t="str">
        <f>NewTech!A160</f>
        <v>R2,R3,R4,R5,R6</v>
      </c>
      <c r="B27" s="37" t="str">
        <f>NewTech!B160</f>
        <v>TSDSL10</v>
      </c>
      <c r="C27" s="37" t="str">
        <f>NewTech!C160</f>
        <v>Water Shipping, Diesel,2010</v>
      </c>
      <c r="D27" s="37" t="str">
        <f>NewTech!D160</f>
        <v>bn-t-m, bn-ton-m/a</v>
      </c>
      <c r="E27" s="37" t="str">
        <f>NewTech!E160</f>
        <v>TSDSL</v>
      </c>
      <c r="F27" s="37" t="str">
        <f>NewTech!F160</f>
        <v>TS</v>
      </c>
      <c r="G27" s="39">
        <f>'New Emissions'!C116</f>
        <v>1.279773520969089</v>
      </c>
      <c r="H27" s="39"/>
      <c r="I27" s="39"/>
      <c r="J27" s="39"/>
      <c r="K27" s="39"/>
      <c r="L27" s="39">
        <f>'New Emissions'!AI116</f>
        <v>7.1396694252908992E-3</v>
      </c>
      <c r="M27" s="39">
        <f>'New Emissions'!AJ116</f>
        <v>7.1396694252908992E-3</v>
      </c>
      <c r="N27" s="39"/>
      <c r="O27" s="39">
        <f>'New Emissions'!AG116</f>
        <v>0.25015564159324705</v>
      </c>
      <c r="P27" s="39"/>
      <c r="Q27" s="39"/>
      <c r="R27" s="39"/>
      <c r="S27" s="39"/>
      <c r="T27" s="39">
        <f>'New Emissions'!AL116</f>
        <v>7.1396694252908992E-3</v>
      </c>
      <c r="U27" s="39"/>
      <c r="V27" s="39"/>
      <c r="W27" s="39"/>
      <c r="X27" s="39"/>
      <c r="Y27" s="39">
        <f>'New Emissions'!AM116</f>
        <v>7.1396694252908992E-3</v>
      </c>
      <c r="Z27" s="39"/>
      <c r="AA27" s="39">
        <f>'New Emissions'!AP116</f>
        <v>7.1396694252908992E-3</v>
      </c>
      <c r="AB27" s="39">
        <f>'New Emissions'!AK116</f>
        <v>7.1396694252908992E-3</v>
      </c>
      <c r="AC27" s="39"/>
      <c r="AD27" s="39"/>
      <c r="AE27" s="39"/>
      <c r="AF27" s="39"/>
      <c r="AG27" s="39">
        <f>'New Emissions'!AN116</f>
        <v>7.1396694252908992E-3</v>
      </c>
      <c r="AH27" s="39"/>
      <c r="AI27" s="39"/>
      <c r="AJ27" s="39"/>
      <c r="AK27" s="39"/>
      <c r="AL27" s="39">
        <f>'New Emissions'!AO116</f>
        <v>7.1396694252908992E-3</v>
      </c>
      <c r="AM27" s="39"/>
      <c r="AN27" s="39"/>
      <c r="AO27" s="39"/>
      <c r="AP27" s="39"/>
      <c r="AQ27" s="39">
        <f t="shared" si="13"/>
        <v>1.279773520969089</v>
      </c>
      <c r="AR27" s="39"/>
      <c r="AS27" s="39"/>
      <c r="AT27" s="39"/>
      <c r="AU27" s="39"/>
      <c r="AV27" s="39">
        <f>L27</f>
        <v>7.1396694252908992E-3</v>
      </c>
      <c r="AW27" s="39">
        <f t="shared" si="16"/>
        <v>7.1396694252908992E-3</v>
      </c>
      <c r="AX27" s="39"/>
      <c r="AY27" s="39">
        <f t="shared" si="14"/>
        <v>0.25015564159324705</v>
      </c>
      <c r="AZ27" s="39"/>
      <c r="BA27" s="39"/>
      <c r="BB27" s="38"/>
      <c r="BC27" s="38"/>
      <c r="BD27" s="38">
        <f t="shared" si="15"/>
        <v>7.1396694252908992E-3</v>
      </c>
      <c r="BE27" s="38"/>
      <c r="BF27" s="38"/>
      <c r="BG27" s="38"/>
      <c r="BH27" s="38"/>
      <c r="BI27" s="38"/>
    </row>
    <row r="28" spans="1:61" x14ac:dyDescent="0.2">
      <c r="A28" s="37" t="str">
        <f>NewTech!A161</f>
        <v>R2,R3,R4,R5,R6</v>
      </c>
      <c r="B28" s="37" t="str">
        <f>NewTech!B161</f>
        <v>TSDSLFI15</v>
      </c>
      <c r="C28" s="37" t="str">
        <f>NewTech!C161</f>
        <v>Water Shipping, Diesel Fuel Inj, 2015</v>
      </c>
      <c r="D28" s="37" t="str">
        <f>NewTech!D161</f>
        <v>bn-t-m, bn-ton-m/a</v>
      </c>
      <c r="E28" s="37" t="str">
        <f>NewTech!E161</f>
        <v>TSDSL</v>
      </c>
      <c r="F28" s="37" t="str">
        <f>NewTech!F161</f>
        <v>TS</v>
      </c>
      <c r="G28" s="39">
        <f>'New Emissions'!C117</f>
        <v>0.27100194505935099</v>
      </c>
      <c r="H28" s="39"/>
      <c r="I28" s="39"/>
      <c r="J28" s="39"/>
      <c r="K28" s="39"/>
      <c r="L28" s="39"/>
      <c r="M28" s="39">
        <f>'New Emissions'!AJ117</f>
        <v>7.1396694252908992E-3</v>
      </c>
      <c r="N28" s="39"/>
      <c r="O28" s="39">
        <f>'New Emissions'!AG117</f>
        <v>0.25015564159324705</v>
      </c>
      <c r="P28" s="39"/>
      <c r="Q28" s="39"/>
      <c r="R28" s="39"/>
      <c r="S28" s="39"/>
      <c r="T28" s="39">
        <f>'New Emissions'!AL117</f>
        <v>7.1396694252908992E-3</v>
      </c>
      <c r="U28" s="39"/>
      <c r="V28" s="39"/>
      <c r="W28" s="39"/>
      <c r="X28" s="39"/>
      <c r="Y28" s="39">
        <f>'New Emissions'!AM117</f>
        <v>7.1396694252908992E-3</v>
      </c>
      <c r="Z28" s="39"/>
      <c r="AA28" s="39">
        <f>'New Emissions'!AP117</f>
        <v>7.1396694252908992E-3</v>
      </c>
      <c r="AB28" s="39">
        <f>'New Emissions'!AK117</f>
        <v>7.1396694252908992E-3</v>
      </c>
      <c r="AC28" s="39"/>
      <c r="AD28" s="39"/>
      <c r="AE28" s="39"/>
      <c r="AF28" s="39"/>
      <c r="AG28" s="39">
        <f>'New Emissions'!AN117</f>
        <v>7.1396694252908992E-3</v>
      </c>
      <c r="AH28" s="39"/>
      <c r="AI28" s="39"/>
      <c r="AJ28" s="39"/>
      <c r="AK28" s="39"/>
      <c r="AL28" s="39">
        <f>'New Emissions'!AO117</f>
        <v>7.1396694252908992E-3</v>
      </c>
      <c r="AM28" s="39"/>
      <c r="AN28" s="39"/>
      <c r="AO28" s="39"/>
      <c r="AP28" s="39"/>
      <c r="AQ28" s="39">
        <f t="shared" si="13"/>
        <v>0.27100194505935099</v>
      </c>
      <c r="AR28" s="39"/>
      <c r="AS28" s="39"/>
      <c r="AT28" s="39"/>
      <c r="AU28" s="39"/>
      <c r="AV28" s="39"/>
      <c r="AW28" s="39">
        <f t="shared" si="16"/>
        <v>7.1396694252908992E-3</v>
      </c>
      <c r="AX28" s="39"/>
      <c r="AY28" s="39">
        <f t="shared" si="14"/>
        <v>0.25015564159324705</v>
      </c>
      <c r="AZ28" s="39"/>
      <c r="BA28" s="39"/>
      <c r="BB28" s="38"/>
      <c r="BC28" s="38"/>
      <c r="BD28" s="38">
        <f t="shared" si="15"/>
        <v>7.1396694252908992E-3</v>
      </c>
      <c r="BE28" s="38"/>
      <c r="BF28" s="38"/>
      <c r="BG28" s="38"/>
      <c r="BH28" s="38"/>
      <c r="BI28" s="38"/>
    </row>
    <row r="29" spans="1:61" x14ac:dyDescent="0.2">
      <c r="A29" s="37" t="str">
        <f>NewTech!A162</f>
        <v>R2,R3,R4,R5,R6</v>
      </c>
      <c r="B29" s="37" t="str">
        <f>NewTech!B162</f>
        <v>TSDSLHE15</v>
      </c>
      <c r="C29" s="37" t="str">
        <f>NewTech!C162</f>
        <v>Water Shipping, Diesel, Hybrid Electric, 2015</v>
      </c>
      <c r="D29" s="37" t="str">
        <f>NewTech!D162</f>
        <v>bn-t-m, bn-ton-m/a</v>
      </c>
      <c r="E29" s="37" t="str">
        <f>NewTech!E162</f>
        <v>TSDSL</v>
      </c>
      <c r="F29" s="37" t="str">
        <f>NewTech!F162</f>
        <v>TS</v>
      </c>
      <c r="G29" s="39">
        <f>'New Emissions'!C118</f>
        <v>0.27100194505935099</v>
      </c>
      <c r="H29" s="39"/>
      <c r="I29" s="39"/>
      <c r="J29" s="39"/>
      <c r="K29" s="39"/>
      <c r="L29" s="39"/>
      <c r="M29" s="39">
        <f>'New Emissions'!AJ118</f>
        <v>7.1396694252908992E-3</v>
      </c>
      <c r="N29" s="39"/>
      <c r="O29" s="39">
        <f>'New Emissions'!AG118</f>
        <v>0.25015564159324705</v>
      </c>
      <c r="P29" s="39"/>
      <c r="Q29" s="39"/>
      <c r="R29" s="39"/>
      <c r="S29" s="39"/>
      <c r="T29" s="39">
        <f>'New Emissions'!AL118</f>
        <v>7.1396694252908992E-3</v>
      </c>
      <c r="U29" s="39"/>
      <c r="V29" s="39"/>
      <c r="W29" s="39"/>
      <c r="X29" s="39"/>
      <c r="Y29" s="39">
        <f>'New Emissions'!AM118</f>
        <v>7.1396694252908992E-3</v>
      </c>
      <c r="Z29" s="39"/>
      <c r="AA29" s="39">
        <f>'New Emissions'!AP118</f>
        <v>7.1396694252908992E-3</v>
      </c>
      <c r="AB29" s="39">
        <f>'New Emissions'!AK118</f>
        <v>7.1396694252908992E-3</v>
      </c>
      <c r="AC29" s="39"/>
      <c r="AD29" s="39"/>
      <c r="AE29" s="39"/>
      <c r="AF29" s="39"/>
      <c r="AG29" s="39">
        <f>'New Emissions'!AN118</f>
        <v>7.1396694252908992E-3</v>
      </c>
      <c r="AH29" s="39"/>
      <c r="AI29" s="39"/>
      <c r="AJ29" s="39"/>
      <c r="AK29" s="39"/>
      <c r="AL29" s="39">
        <f>'New Emissions'!AO118</f>
        <v>7.1396694252908992E-3</v>
      </c>
      <c r="AM29" s="39"/>
      <c r="AN29" s="39"/>
      <c r="AO29" s="39"/>
      <c r="AP29" s="39"/>
      <c r="AQ29" s="39">
        <f t="shared" si="13"/>
        <v>0.27100194505935099</v>
      </c>
      <c r="AR29" s="39"/>
      <c r="AS29" s="39"/>
      <c r="AT29" s="39"/>
      <c r="AU29" s="39"/>
      <c r="AV29" s="39"/>
      <c r="AW29" s="39">
        <f t="shared" si="16"/>
        <v>7.1396694252908992E-3</v>
      </c>
      <c r="AX29" s="39"/>
      <c r="AY29" s="39">
        <f t="shared" si="14"/>
        <v>0.25015564159324705</v>
      </c>
      <c r="AZ29" s="39"/>
      <c r="BA29" s="39"/>
      <c r="BB29" s="38"/>
      <c r="BC29" s="38"/>
      <c r="BD29" s="38">
        <f t="shared" si="15"/>
        <v>7.1396694252908992E-3</v>
      </c>
      <c r="BE29" s="38"/>
      <c r="BF29" s="38"/>
      <c r="BG29" s="38"/>
      <c r="BH29" s="38"/>
      <c r="BI29" s="38"/>
    </row>
    <row r="30" spans="1:61" x14ac:dyDescent="0.2">
      <c r="A30" s="37" t="s">
        <v>115</v>
      </c>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8"/>
      <c r="BC30" s="38"/>
      <c r="BD30" s="38"/>
      <c r="BE30" s="38"/>
      <c r="BF30" s="38"/>
      <c r="BG30" s="38"/>
      <c r="BH30" s="38"/>
      <c r="BI30" s="38"/>
    </row>
    <row r="31" spans="1:61" x14ac:dyDescent="0.2">
      <c r="A31" s="37" t="str">
        <f>NewTech!A8</f>
        <v>R2,R3,R4,R5,R6</v>
      </c>
      <c r="B31" s="37" t="str">
        <f>NewTech!B8</f>
        <v>TAJ10</v>
      </c>
      <c r="C31" s="37" t="str">
        <f>NewTech!C8</f>
        <v>Air Jet, Passenger 2010</v>
      </c>
      <c r="D31" s="37" t="str">
        <f>NewTech!D8</f>
        <v>bn-pass-miles, bn-pmt/a</v>
      </c>
      <c r="E31" s="37" t="str">
        <f>NewTech!E8</f>
        <v>TRNJTF1</v>
      </c>
      <c r="F31" s="37" t="str">
        <f>NewTech!F8</f>
        <v>TA</v>
      </c>
      <c r="G31" s="39">
        <f>'New Emissions'!C104</f>
        <v>6.5000000000000002E-2</v>
      </c>
      <c r="H31" s="39"/>
      <c r="I31" s="39"/>
      <c r="J31" s="39"/>
      <c r="K31" s="39"/>
      <c r="L31" s="39">
        <f>'New Emissions'!AI104</f>
        <v>7.9668019654172129E-4</v>
      </c>
      <c r="M31" s="39">
        <f>'New Emissions'!AJ104</f>
        <v>7.9668019654172129E-4</v>
      </c>
      <c r="N31" s="39"/>
      <c r="O31" s="39">
        <f>'New Emissions'!AG104</f>
        <v>5.7633829563875541E-2</v>
      </c>
      <c r="P31" s="39"/>
      <c r="Q31" s="39"/>
      <c r="R31" s="39"/>
      <c r="S31" s="39"/>
      <c r="T31" s="39">
        <f>'New Emissions'!AL104</f>
        <v>7.9668019654172129E-4</v>
      </c>
      <c r="U31" s="39"/>
      <c r="V31" s="39"/>
      <c r="W31" s="39"/>
      <c r="X31" s="39"/>
      <c r="Y31" s="39">
        <f>'New Emissions'!AM104</f>
        <v>7.9668019654172129E-4</v>
      </c>
      <c r="Z31" s="39"/>
      <c r="AA31" s="39">
        <f>'New Emissions'!AP104</f>
        <v>7.9668019654172129E-4</v>
      </c>
      <c r="AB31" s="39">
        <f>'New Emissions'!AK104</f>
        <v>7.9668019654172129E-4</v>
      </c>
      <c r="AC31" s="39"/>
      <c r="AD31" s="39"/>
      <c r="AE31" s="39"/>
      <c r="AF31" s="39"/>
      <c r="AG31" s="39">
        <f>'New Emissions'!AN104</f>
        <v>7.9668019654172129E-4</v>
      </c>
      <c r="AH31" s="39"/>
      <c r="AI31" s="39"/>
      <c r="AJ31" s="39"/>
      <c r="AK31" s="39"/>
      <c r="AL31" s="39">
        <f>'New Emissions'!AO104</f>
        <v>7.9668019654172129E-4</v>
      </c>
      <c r="AM31" s="39"/>
      <c r="AN31" s="39"/>
      <c r="AO31" s="39"/>
      <c r="AP31" s="39"/>
      <c r="AQ31" s="39">
        <f t="shared" ref="AQ31:AQ38" si="17">G31</f>
        <v>6.5000000000000002E-2</v>
      </c>
      <c r="AR31" s="39"/>
      <c r="AS31" s="39"/>
      <c r="AT31" s="39"/>
      <c r="AU31" s="39"/>
      <c r="AV31" s="39">
        <f t="shared" ref="AV31:AW33" si="18">L31</f>
        <v>7.9668019654172129E-4</v>
      </c>
      <c r="AW31" s="39">
        <f t="shared" si="18"/>
        <v>7.9668019654172129E-4</v>
      </c>
      <c r="AX31" s="39"/>
      <c r="AY31" s="39">
        <f t="shared" ref="AY31:AY33" si="19">O31</f>
        <v>5.7633829563875541E-2</v>
      </c>
      <c r="AZ31" s="39"/>
      <c r="BA31" s="39"/>
      <c r="BB31" s="38"/>
      <c r="BC31" s="38"/>
      <c r="BD31" s="38">
        <f t="shared" ref="BD31:BD38" si="20">T31</f>
        <v>7.9668019654172129E-4</v>
      </c>
      <c r="BE31" s="38"/>
      <c r="BF31" s="38"/>
      <c r="BG31" s="38"/>
      <c r="BH31" s="38"/>
      <c r="BI31" s="38"/>
    </row>
    <row r="32" spans="1:61" x14ac:dyDescent="0.2">
      <c r="A32" s="37" t="str">
        <f>NewTech!A9</f>
        <v>R2,R3,R4,R5,R6</v>
      </c>
      <c r="B32" s="37" t="str">
        <f>NewTech!B9</f>
        <v>TAJSYN10</v>
      </c>
      <c r="C32" s="37" t="str">
        <f>NewTech!C9</f>
        <v>Air Jet, Passenger, Syn fuel, 2010</v>
      </c>
      <c r="D32" s="37" t="str">
        <f>NewTech!D9</f>
        <v>bn-pass-miles, bn-pmt/a</v>
      </c>
      <c r="E32" s="37" t="str">
        <f>NewTech!E9</f>
        <v>TRNJTF1</v>
      </c>
      <c r="F32" s="37" t="str">
        <f>NewTech!F9</f>
        <v>TA</v>
      </c>
      <c r="G32" s="39">
        <f>'New Emissions'!C105</f>
        <v>6.5000000000000002E-2</v>
      </c>
      <c r="H32" s="39"/>
      <c r="I32" s="39"/>
      <c r="J32" s="39"/>
      <c r="K32" s="39"/>
      <c r="L32" s="39">
        <f>'New Emissions'!AI105</f>
        <v>7.9668019654172129E-4</v>
      </c>
      <c r="M32" s="39">
        <f>'New Emissions'!AJ105</f>
        <v>7.9668019654172129E-4</v>
      </c>
      <c r="N32" s="39"/>
      <c r="O32" s="39">
        <f>'New Emissions'!AG105</f>
        <v>5.7633829563875541E-2</v>
      </c>
      <c r="P32" s="39"/>
      <c r="Q32" s="39"/>
      <c r="R32" s="39"/>
      <c r="S32" s="39"/>
      <c r="T32" s="39">
        <f>'New Emissions'!AL105</f>
        <v>7.9668019654172129E-4</v>
      </c>
      <c r="U32" s="39"/>
      <c r="V32" s="39"/>
      <c r="W32" s="39"/>
      <c r="X32" s="39"/>
      <c r="Y32" s="39">
        <f>'New Emissions'!AM105</f>
        <v>7.9668019654172129E-4</v>
      </c>
      <c r="Z32" s="39"/>
      <c r="AA32" s="39">
        <f>'New Emissions'!AP105</f>
        <v>7.9668019654172129E-4</v>
      </c>
      <c r="AB32" s="39">
        <f>'New Emissions'!AK105</f>
        <v>7.9668019654172129E-4</v>
      </c>
      <c r="AC32" s="39"/>
      <c r="AD32" s="39"/>
      <c r="AE32" s="39"/>
      <c r="AF32" s="39"/>
      <c r="AG32" s="39">
        <f>'New Emissions'!AN105</f>
        <v>7.9668019654172129E-4</v>
      </c>
      <c r="AH32" s="39"/>
      <c r="AI32" s="39"/>
      <c r="AJ32" s="39"/>
      <c r="AK32" s="39"/>
      <c r="AL32" s="39">
        <f>'New Emissions'!AO105</f>
        <v>7.9668019654172129E-4</v>
      </c>
      <c r="AM32" s="39"/>
      <c r="AN32" s="39"/>
      <c r="AO32" s="39"/>
      <c r="AP32" s="39"/>
      <c r="AQ32" s="39">
        <f t="shared" si="17"/>
        <v>6.5000000000000002E-2</v>
      </c>
      <c r="AR32" s="39"/>
      <c r="AS32" s="39"/>
      <c r="AT32" s="39"/>
      <c r="AU32" s="39"/>
      <c r="AV32" s="39">
        <f t="shared" si="18"/>
        <v>7.9668019654172129E-4</v>
      </c>
      <c r="AW32" s="39">
        <f t="shared" si="18"/>
        <v>7.9668019654172129E-4</v>
      </c>
      <c r="AX32" s="39"/>
      <c r="AY32" s="39">
        <f t="shared" si="19"/>
        <v>5.7633829563875541E-2</v>
      </c>
      <c r="AZ32" s="39"/>
      <c r="BA32" s="39"/>
      <c r="BB32" s="38"/>
      <c r="BC32" s="38"/>
      <c r="BD32" s="38">
        <f t="shared" si="20"/>
        <v>7.9668019654172129E-4</v>
      </c>
      <c r="BE32" s="38"/>
      <c r="BF32" s="38"/>
      <c r="BG32" s="38"/>
      <c r="BH32" s="38"/>
      <c r="BI32" s="38"/>
    </row>
    <row r="33" spans="1:61" x14ac:dyDescent="0.2">
      <c r="A33" s="37" t="str">
        <f>NewTech!A10</f>
        <v>R2,R3,R4,R5,R6</v>
      </c>
      <c r="B33" s="37" t="str">
        <f>NewTech!B10</f>
        <v>TAJWT10</v>
      </c>
      <c r="C33" s="37" t="str">
        <f>NewTech!C10</f>
        <v>Air Jet, Passenger (Wing tips),2010</v>
      </c>
      <c r="D33" s="37" t="str">
        <f>NewTech!D10</f>
        <v>bn-pass-miles, bn-pmt/a</v>
      </c>
      <c r="E33" s="37" t="str">
        <f>NewTech!E10</f>
        <v>TRNJTF1</v>
      </c>
      <c r="F33" s="37" t="str">
        <f>NewTech!F10</f>
        <v>TA</v>
      </c>
      <c r="G33" s="39">
        <f>'New Emissions'!C106</f>
        <v>6.5000000000000002E-2</v>
      </c>
      <c r="H33" s="39"/>
      <c r="I33" s="39"/>
      <c r="J33" s="39"/>
      <c r="K33" s="39"/>
      <c r="L33" s="39">
        <f>'New Emissions'!AI106</f>
        <v>7.9668019654172129E-4</v>
      </c>
      <c r="M33" s="39">
        <f>'New Emissions'!AJ106</f>
        <v>7.9668019654172129E-4</v>
      </c>
      <c r="N33" s="39"/>
      <c r="O33" s="39">
        <f>'New Emissions'!AG106</f>
        <v>5.7633829563875541E-2</v>
      </c>
      <c r="P33" s="39"/>
      <c r="Q33" s="39"/>
      <c r="R33" s="39"/>
      <c r="S33" s="39"/>
      <c r="T33" s="39">
        <f>'New Emissions'!AL106</f>
        <v>7.9668019654172129E-4</v>
      </c>
      <c r="U33" s="39"/>
      <c r="V33" s="39"/>
      <c r="W33" s="39"/>
      <c r="X33" s="39"/>
      <c r="Y33" s="39">
        <f>'New Emissions'!AM106</f>
        <v>7.9668019654172129E-4</v>
      </c>
      <c r="Z33" s="39"/>
      <c r="AA33" s="39">
        <f>'New Emissions'!AP106</f>
        <v>7.9668019654172129E-4</v>
      </c>
      <c r="AB33" s="39">
        <f>'New Emissions'!AK106</f>
        <v>7.9668019654172129E-4</v>
      </c>
      <c r="AC33" s="39"/>
      <c r="AD33" s="39"/>
      <c r="AE33" s="39"/>
      <c r="AF33" s="39"/>
      <c r="AG33" s="39">
        <f>'New Emissions'!AN106</f>
        <v>7.9668019654172129E-4</v>
      </c>
      <c r="AH33" s="39"/>
      <c r="AI33" s="39"/>
      <c r="AJ33" s="39"/>
      <c r="AK33" s="39"/>
      <c r="AL33" s="39">
        <f>'New Emissions'!AO106</f>
        <v>7.9668019654172129E-4</v>
      </c>
      <c r="AM33" s="39"/>
      <c r="AN33" s="39"/>
      <c r="AO33" s="39"/>
      <c r="AP33" s="39"/>
      <c r="AQ33" s="39">
        <f t="shared" si="17"/>
        <v>6.5000000000000002E-2</v>
      </c>
      <c r="AR33" s="39"/>
      <c r="AS33" s="39"/>
      <c r="AT33" s="39"/>
      <c r="AU33" s="39"/>
      <c r="AV33" s="39">
        <f t="shared" si="18"/>
        <v>7.9668019654172129E-4</v>
      </c>
      <c r="AW33" s="39">
        <f t="shared" si="18"/>
        <v>7.9668019654172129E-4</v>
      </c>
      <c r="AX33" s="39"/>
      <c r="AY33" s="39">
        <f t="shared" si="19"/>
        <v>5.7633829563875541E-2</v>
      </c>
      <c r="AZ33" s="39"/>
      <c r="BA33" s="39"/>
      <c r="BB33" s="38"/>
      <c r="BC33" s="38"/>
      <c r="BD33" s="38">
        <f t="shared" si="20"/>
        <v>7.9668019654172129E-4</v>
      </c>
      <c r="BE33" s="38"/>
      <c r="BF33" s="38"/>
      <c r="BG33" s="38"/>
      <c r="BH33" s="38"/>
      <c r="BI33" s="38"/>
    </row>
    <row r="34" spans="1:61" x14ac:dyDescent="0.2">
      <c r="A34" s="37" t="str">
        <f>NewTech!A11</f>
        <v>R2,R3,R4,R5,R6</v>
      </c>
      <c r="B34" s="37" t="str">
        <f>NewTech!B11</f>
        <v>TAJAPU15</v>
      </c>
      <c r="C34" s="37" t="str">
        <f>NewTech!C11</f>
        <v>Air Jet Passeneger (APU) 2015</v>
      </c>
      <c r="D34" s="37" t="str">
        <f>NewTech!D11</f>
        <v>bn-pass-miles, bn-pmt/a</v>
      </c>
      <c r="E34" s="37" t="str">
        <f>NewTech!E11</f>
        <v>TRNJTF1</v>
      </c>
      <c r="F34" s="37" t="str">
        <f>NewTech!F11</f>
        <v>TA</v>
      </c>
      <c r="G34" s="39">
        <f>'New Emissions'!C107</f>
        <v>6.5000000000000002E-2</v>
      </c>
      <c r="H34" s="39"/>
      <c r="I34" s="39"/>
      <c r="J34" s="39"/>
      <c r="K34" s="39"/>
      <c r="L34" s="39"/>
      <c r="M34" s="39">
        <f>'New Emissions'!AJ107</f>
        <v>7.9668019654172129E-4</v>
      </c>
      <c r="N34" s="39"/>
      <c r="O34" s="39">
        <f>'New Emissions'!AG107</f>
        <v>5.7633829563875541E-2</v>
      </c>
      <c r="P34" s="39"/>
      <c r="Q34" s="39"/>
      <c r="R34" s="39"/>
      <c r="S34" s="39"/>
      <c r="T34" s="39">
        <f>'New Emissions'!AL107</f>
        <v>7.9668019654172129E-4</v>
      </c>
      <c r="U34" s="39"/>
      <c r="V34" s="39"/>
      <c r="W34" s="39"/>
      <c r="X34" s="39"/>
      <c r="Y34" s="39">
        <f>'New Emissions'!AM107</f>
        <v>7.9668019654172129E-4</v>
      </c>
      <c r="Z34" s="39"/>
      <c r="AA34" s="39">
        <f>'New Emissions'!AP107</f>
        <v>7.9668019654172129E-4</v>
      </c>
      <c r="AB34" s="39">
        <f>'New Emissions'!AK107</f>
        <v>7.9668019654172129E-4</v>
      </c>
      <c r="AC34" s="39"/>
      <c r="AD34" s="39"/>
      <c r="AE34" s="39"/>
      <c r="AF34" s="39"/>
      <c r="AG34" s="39">
        <f>'New Emissions'!AN107</f>
        <v>7.9668019654172129E-4</v>
      </c>
      <c r="AH34" s="39"/>
      <c r="AI34" s="39"/>
      <c r="AJ34" s="39"/>
      <c r="AK34" s="39"/>
      <c r="AL34" s="39">
        <f>'New Emissions'!AO107</f>
        <v>7.9668019654172129E-4</v>
      </c>
      <c r="AM34" s="39"/>
      <c r="AN34" s="39"/>
      <c r="AO34" s="39"/>
      <c r="AP34" s="39"/>
      <c r="AQ34" s="39">
        <f t="shared" si="17"/>
        <v>6.5000000000000002E-2</v>
      </c>
      <c r="AR34" s="39"/>
      <c r="AS34" s="39"/>
      <c r="AT34" s="39"/>
      <c r="AU34" s="39"/>
      <c r="AV34" s="39"/>
      <c r="AW34" s="39">
        <f>M34</f>
        <v>7.9668019654172129E-4</v>
      </c>
      <c r="AX34" s="39"/>
      <c r="AY34" s="39">
        <f t="shared" ref="AY34:AY38" si="21">O34</f>
        <v>5.7633829563875541E-2</v>
      </c>
      <c r="AZ34" s="39"/>
      <c r="BA34" s="39"/>
      <c r="BB34" s="38"/>
      <c r="BC34" s="38"/>
      <c r="BD34" s="38">
        <f t="shared" si="20"/>
        <v>7.9668019654172129E-4</v>
      </c>
      <c r="BE34" s="38"/>
      <c r="BF34" s="38"/>
      <c r="BG34" s="38"/>
      <c r="BH34" s="38"/>
      <c r="BI34" s="38"/>
    </row>
    <row r="35" spans="1:61" x14ac:dyDescent="0.2">
      <c r="A35" s="37" t="str">
        <f>NewTech!A12</f>
        <v>R2,R3,R4,R5,R6</v>
      </c>
      <c r="B35" s="37" t="str">
        <f>NewTech!B12</f>
        <v>TAJBW30</v>
      </c>
      <c r="C35" s="37" t="str">
        <f>NewTech!C12</f>
        <v>Air Jet, Passenger(blended wing), 2030</v>
      </c>
      <c r="D35" s="37" t="str">
        <f>NewTech!D12</f>
        <v>bn-pass-miles, bn-pmt/a</v>
      </c>
      <c r="E35" s="37" t="str">
        <f>NewTech!E12</f>
        <v>TRNJTF1</v>
      </c>
      <c r="F35" s="37" t="str">
        <f>NewTech!F12</f>
        <v>TA</v>
      </c>
      <c r="G35" s="39">
        <f>'New Emissions'!C108</f>
        <v>6.5000000000000002E-2</v>
      </c>
      <c r="H35" s="39"/>
      <c r="I35" s="39"/>
      <c r="J35" s="39"/>
      <c r="K35" s="39"/>
      <c r="L35" s="39"/>
      <c r="M35" s="39">
        <f>'New Emissions'!AJ108</f>
        <v>7.9668019654172129E-4</v>
      </c>
      <c r="N35" s="39"/>
      <c r="O35" s="39">
        <f>'New Emissions'!AG108</f>
        <v>5.7633829563875541E-2</v>
      </c>
      <c r="P35" s="39"/>
      <c r="Q35" s="39"/>
      <c r="R35" s="39"/>
      <c r="S35" s="39"/>
      <c r="T35" s="39">
        <f>'New Emissions'!AL108</f>
        <v>7.9668019654172129E-4</v>
      </c>
      <c r="U35" s="39"/>
      <c r="V35" s="39"/>
      <c r="W35" s="39"/>
      <c r="X35" s="39"/>
      <c r="Y35" s="39">
        <f>'New Emissions'!AM108</f>
        <v>7.9668019654172129E-4</v>
      </c>
      <c r="Z35" s="39"/>
      <c r="AA35" s="39">
        <f>'New Emissions'!AP108</f>
        <v>7.9668019654172129E-4</v>
      </c>
      <c r="AB35" s="39">
        <f>'New Emissions'!AK108</f>
        <v>7.9668019654172129E-4</v>
      </c>
      <c r="AC35" s="39"/>
      <c r="AD35" s="39"/>
      <c r="AE35" s="39"/>
      <c r="AF35" s="39"/>
      <c r="AG35" s="39">
        <f>'New Emissions'!AN108</f>
        <v>7.9668019654172129E-4</v>
      </c>
      <c r="AH35" s="39"/>
      <c r="AI35" s="39"/>
      <c r="AJ35" s="39"/>
      <c r="AK35" s="39"/>
      <c r="AL35" s="39">
        <f>'New Emissions'!AO108</f>
        <v>7.9668019654172129E-4</v>
      </c>
      <c r="AM35" s="39"/>
      <c r="AN35" s="39"/>
      <c r="AO35" s="39"/>
      <c r="AP35" s="39"/>
      <c r="AQ35" s="39">
        <f t="shared" si="17"/>
        <v>6.5000000000000002E-2</v>
      </c>
      <c r="AR35" s="39"/>
      <c r="AS35" s="39"/>
      <c r="AT35" s="39"/>
      <c r="AU35" s="39"/>
      <c r="AV35" s="39"/>
      <c r="AW35" s="39">
        <f>M35</f>
        <v>7.9668019654172129E-4</v>
      </c>
      <c r="AX35" s="39"/>
      <c r="AY35" s="39">
        <f t="shared" si="21"/>
        <v>5.7633829563875541E-2</v>
      </c>
      <c r="AZ35" s="39"/>
      <c r="BA35" s="39"/>
      <c r="BB35" s="38"/>
      <c r="BC35" s="38"/>
      <c r="BD35" s="38">
        <f t="shared" si="20"/>
        <v>7.9668019654172129E-4</v>
      </c>
      <c r="BE35" s="38"/>
      <c r="BF35" s="38"/>
      <c r="BG35" s="38"/>
      <c r="BH35" s="38"/>
      <c r="BI35" s="38"/>
    </row>
    <row r="36" spans="1:61" x14ac:dyDescent="0.2">
      <c r="A36" s="37" t="str">
        <f>NewTech!A13</f>
        <v>R2,R3,R4,R5,R6</v>
      </c>
      <c r="B36" s="37" t="str">
        <f>NewTech!B13</f>
        <v>TAJAE30</v>
      </c>
      <c r="C36" s="37" t="str">
        <f>NewTech!C13</f>
        <v>Air Jet, Passenger (improved aero), 2030</v>
      </c>
      <c r="D36" s="37" t="str">
        <f>NewTech!D13</f>
        <v>bn-pass-miles, bn-pmt/a</v>
      </c>
      <c r="E36" s="37" t="str">
        <f>NewTech!E13</f>
        <v>TRNJTF1</v>
      </c>
      <c r="F36" s="37" t="str">
        <f>NewTech!F13</f>
        <v>TA</v>
      </c>
      <c r="G36" s="39">
        <f>'New Emissions'!C109</f>
        <v>6.5000000000000002E-2</v>
      </c>
      <c r="H36" s="39"/>
      <c r="I36" s="39"/>
      <c r="J36" s="39"/>
      <c r="K36" s="39"/>
      <c r="L36" s="39"/>
      <c r="M36" s="39">
        <f>'New Emissions'!AJ109</f>
        <v>7.9668019654172129E-4</v>
      </c>
      <c r="N36" s="39"/>
      <c r="O36" s="39">
        <f>'New Emissions'!AG109</f>
        <v>5.7633829563875541E-2</v>
      </c>
      <c r="P36" s="39"/>
      <c r="Q36" s="39"/>
      <c r="R36" s="39"/>
      <c r="S36" s="39"/>
      <c r="T36" s="39">
        <f>'New Emissions'!AL109</f>
        <v>7.9668019654172129E-4</v>
      </c>
      <c r="U36" s="39"/>
      <c r="V36" s="39"/>
      <c r="W36" s="39"/>
      <c r="X36" s="39"/>
      <c r="Y36" s="39">
        <f>'New Emissions'!AM109</f>
        <v>7.9668019654172129E-4</v>
      </c>
      <c r="Z36" s="39"/>
      <c r="AA36" s="39">
        <f>'New Emissions'!AP109</f>
        <v>7.9668019654172129E-4</v>
      </c>
      <c r="AB36" s="39">
        <f>'New Emissions'!AK109</f>
        <v>7.9668019654172129E-4</v>
      </c>
      <c r="AC36" s="39"/>
      <c r="AD36" s="39"/>
      <c r="AE36" s="39"/>
      <c r="AF36" s="39"/>
      <c r="AG36" s="39">
        <f>'New Emissions'!AN109</f>
        <v>7.9668019654172129E-4</v>
      </c>
      <c r="AH36" s="39"/>
      <c r="AI36" s="39"/>
      <c r="AJ36" s="39"/>
      <c r="AK36" s="39"/>
      <c r="AL36" s="39">
        <f>'New Emissions'!AO109</f>
        <v>7.9668019654172129E-4</v>
      </c>
      <c r="AM36" s="39"/>
      <c r="AN36" s="39"/>
      <c r="AO36" s="39"/>
      <c r="AP36" s="39"/>
      <c r="AQ36" s="39">
        <f t="shared" si="17"/>
        <v>6.5000000000000002E-2</v>
      </c>
      <c r="AR36" s="39"/>
      <c r="AS36" s="39"/>
      <c r="AT36" s="39"/>
      <c r="AU36" s="39"/>
      <c r="AV36" s="39"/>
      <c r="AW36" s="39">
        <f>M36</f>
        <v>7.9668019654172129E-4</v>
      </c>
      <c r="AX36" s="39"/>
      <c r="AY36" s="39">
        <f t="shared" si="21"/>
        <v>5.7633829563875541E-2</v>
      </c>
      <c r="AZ36" s="39"/>
      <c r="BA36" s="39"/>
      <c r="BB36" s="38"/>
      <c r="BC36" s="38"/>
      <c r="BD36" s="38">
        <f t="shared" si="20"/>
        <v>7.9668019654172129E-4</v>
      </c>
      <c r="BE36" s="38"/>
      <c r="BF36" s="38"/>
      <c r="BG36" s="38"/>
      <c r="BH36" s="38"/>
      <c r="BI36" s="38"/>
    </row>
    <row r="37" spans="1:61" x14ac:dyDescent="0.2">
      <c r="A37" s="37" t="str">
        <f>NewTech!A14</f>
        <v>R2,R3,R4,R5,R6</v>
      </c>
      <c r="B37" s="37" t="str">
        <f>NewTech!B14</f>
        <v>TAJGE15</v>
      </c>
      <c r="C37" s="37" t="str">
        <f>NewTech!C14</f>
        <v>Air Jet Passenger, (geared engine), 2015</v>
      </c>
      <c r="D37" s="37" t="str">
        <f>NewTech!D14</f>
        <v>bn-pass-miles, bn-pmt/a</v>
      </c>
      <c r="E37" s="37" t="str">
        <f>NewTech!E14</f>
        <v>TRNJTF1</v>
      </c>
      <c r="F37" s="37" t="str">
        <f>NewTech!F14</f>
        <v>TA</v>
      </c>
      <c r="G37" s="39">
        <f>'New Emissions'!C110</f>
        <v>6.5000000000000002E-2</v>
      </c>
      <c r="H37" s="39"/>
      <c r="I37" s="39"/>
      <c r="J37" s="39"/>
      <c r="K37" s="39"/>
      <c r="L37" s="39"/>
      <c r="M37" s="39">
        <f>'New Emissions'!AJ110</f>
        <v>7.9668019654172129E-4</v>
      </c>
      <c r="N37" s="39"/>
      <c r="O37" s="39">
        <f>'New Emissions'!AG110</f>
        <v>5.7633829563875541E-2</v>
      </c>
      <c r="P37" s="39"/>
      <c r="Q37" s="39"/>
      <c r="R37" s="39"/>
      <c r="S37" s="39"/>
      <c r="T37" s="39">
        <f>'New Emissions'!AL110</f>
        <v>7.9668019654172129E-4</v>
      </c>
      <c r="U37" s="39"/>
      <c r="V37" s="39"/>
      <c r="W37" s="39"/>
      <c r="X37" s="39"/>
      <c r="Y37" s="39">
        <f>'New Emissions'!AM110</f>
        <v>7.9668019654172129E-4</v>
      </c>
      <c r="Z37" s="39"/>
      <c r="AA37" s="39">
        <f>'New Emissions'!AP110</f>
        <v>7.9668019654172129E-4</v>
      </c>
      <c r="AB37" s="39">
        <f>'New Emissions'!AK110</f>
        <v>7.9668019654172129E-4</v>
      </c>
      <c r="AC37" s="39"/>
      <c r="AD37" s="39"/>
      <c r="AE37" s="39"/>
      <c r="AF37" s="39"/>
      <c r="AG37" s="39">
        <f>'New Emissions'!AN110</f>
        <v>7.9668019654172129E-4</v>
      </c>
      <c r="AH37" s="39"/>
      <c r="AI37" s="39"/>
      <c r="AJ37" s="39"/>
      <c r="AK37" s="39"/>
      <c r="AL37" s="39">
        <f>'New Emissions'!AO110</f>
        <v>7.9668019654172129E-4</v>
      </c>
      <c r="AM37" s="39"/>
      <c r="AN37" s="39"/>
      <c r="AO37" s="39"/>
      <c r="AP37" s="39"/>
      <c r="AQ37" s="39">
        <f t="shared" si="17"/>
        <v>6.5000000000000002E-2</v>
      </c>
      <c r="AR37" s="39"/>
      <c r="AS37" s="39"/>
      <c r="AT37" s="39"/>
      <c r="AU37" s="39"/>
      <c r="AV37" s="39"/>
      <c r="AW37" s="39">
        <f>M37</f>
        <v>7.9668019654172129E-4</v>
      </c>
      <c r="AX37" s="39"/>
      <c r="AY37" s="39">
        <f t="shared" si="21"/>
        <v>5.7633829563875541E-2</v>
      </c>
      <c r="AZ37" s="39"/>
      <c r="BA37" s="39"/>
      <c r="BB37" s="38"/>
      <c r="BC37" s="38"/>
      <c r="BD37" s="38">
        <f t="shared" si="20"/>
        <v>7.9668019654172129E-4</v>
      </c>
      <c r="BE37" s="38"/>
      <c r="BF37" s="38"/>
      <c r="BG37" s="38"/>
      <c r="BH37" s="38"/>
      <c r="BI37" s="38"/>
    </row>
    <row r="38" spans="1:61" x14ac:dyDescent="0.2">
      <c r="A38" s="37" t="str">
        <f>NewTech!A15</f>
        <v>*</v>
      </c>
      <c r="B38" s="37" t="str">
        <f>NewTech!B15</f>
        <v>TAP10</v>
      </c>
      <c r="C38" s="37" t="str">
        <f>NewTech!C15</f>
        <v>Airplane, General Aviation - 2010</v>
      </c>
      <c r="D38" s="37" t="str">
        <f>NewTech!D15</f>
        <v>bn-pass-miles, bn-pmt/a</v>
      </c>
      <c r="E38" s="37" t="str">
        <f>NewTech!E15</f>
        <v>TRGSLB</v>
      </c>
      <c r="F38" s="37" t="str">
        <f>NewTech!F15</f>
        <v>TA</v>
      </c>
      <c r="G38" s="39">
        <f>'New Emissions'!C111</f>
        <v>0.1636</v>
      </c>
      <c r="H38" s="39"/>
      <c r="I38" s="39"/>
      <c r="J38" s="39"/>
      <c r="K38" s="39"/>
      <c r="L38" s="39">
        <f>'New Emissions'!AI111</f>
        <v>7.0397600000000008E-3</v>
      </c>
      <c r="M38" s="39">
        <f>'New Emissions'!AJ111</f>
        <v>7.0397600000000008E-3</v>
      </c>
      <c r="N38" s="39"/>
      <c r="O38" s="39">
        <f>'New Emissions'!AG111</f>
        <v>5.7633829563875541E-2</v>
      </c>
      <c r="P38" s="39"/>
      <c r="Q38" s="39"/>
      <c r="R38" s="39"/>
      <c r="S38" s="39"/>
      <c r="T38" s="39">
        <f>'New Emissions'!AL111</f>
        <v>7.0397600000000008E-3</v>
      </c>
      <c r="U38" s="39"/>
      <c r="V38" s="39"/>
      <c r="W38" s="39"/>
      <c r="X38" s="39"/>
      <c r="Y38" s="39">
        <f>'New Emissions'!AM111</f>
        <v>7.0397600000000008E-3</v>
      </c>
      <c r="Z38" s="39"/>
      <c r="AA38" s="39">
        <f>'New Emissions'!AP111</f>
        <v>7.0397600000000008E-3</v>
      </c>
      <c r="AB38" s="39">
        <f>'New Emissions'!AK111</f>
        <v>7.0397600000000008E-3</v>
      </c>
      <c r="AC38" s="39"/>
      <c r="AD38" s="39"/>
      <c r="AE38" s="39"/>
      <c r="AF38" s="39"/>
      <c r="AG38" s="39">
        <f>'New Emissions'!AN111</f>
        <v>7.0397600000000008E-3</v>
      </c>
      <c r="AH38" s="39"/>
      <c r="AI38" s="39"/>
      <c r="AJ38" s="39"/>
      <c r="AK38" s="39"/>
      <c r="AL38" s="39">
        <f>'New Emissions'!AO111</f>
        <v>7.0397600000000008E-3</v>
      </c>
      <c r="AM38" s="39"/>
      <c r="AN38" s="39"/>
      <c r="AO38" s="39"/>
      <c r="AP38" s="39"/>
      <c r="AQ38" s="39">
        <f t="shared" si="17"/>
        <v>0.1636</v>
      </c>
      <c r="AR38" s="39"/>
      <c r="AS38" s="39"/>
      <c r="AT38" s="39"/>
      <c r="AU38" s="39"/>
      <c r="AV38" s="39">
        <f>L38</f>
        <v>7.0397600000000008E-3</v>
      </c>
      <c r="AW38" s="39">
        <f>M38</f>
        <v>7.0397600000000008E-3</v>
      </c>
      <c r="AX38" s="39"/>
      <c r="AY38" s="39">
        <f t="shared" si="21"/>
        <v>5.7633829563875541E-2</v>
      </c>
      <c r="AZ38" s="39"/>
      <c r="BA38" s="39"/>
      <c r="BB38" s="38"/>
      <c r="BC38" s="38"/>
      <c r="BD38" s="38">
        <f t="shared" si="20"/>
        <v>7.0397600000000008E-3</v>
      </c>
      <c r="BE38" s="38"/>
      <c r="BF38" s="38"/>
      <c r="BG38" s="38"/>
      <c r="BH38" s="38"/>
      <c r="BI38" s="38"/>
    </row>
    <row r="39" spans="1:61" x14ac:dyDescent="0.2">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8"/>
      <c r="BC39" s="38"/>
      <c r="BD39" s="38"/>
      <c r="BE39" s="38"/>
      <c r="BF39" s="38"/>
      <c r="BG39" s="38"/>
      <c r="BH39" s="38"/>
      <c r="BI39" s="38"/>
    </row>
    <row r="40" spans="1:61" x14ac:dyDescent="0.2">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8"/>
      <c r="BC40" s="38"/>
      <c r="BD40" s="38"/>
      <c r="BE40" s="38"/>
      <c r="BF40" s="38"/>
      <c r="BG40" s="38"/>
      <c r="BH40" s="38"/>
      <c r="BI40" s="38"/>
    </row>
    <row r="41" spans="1:61" x14ac:dyDescent="0.2">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8"/>
      <c r="BC41" s="38"/>
      <c r="BD41" s="38"/>
      <c r="BE41" s="38"/>
      <c r="BF41" s="38"/>
      <c r="BG41" s="38"/>
      <c r="BH41" s="38"/>
      <c r="BI41" s="38"/>
    </row>
    <row r="42" spans="1:61" x14ac:dyDescent="0.2">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8"/>
      <c r="BC42" s="38"/>
      <c r="BD42" s="38"/>
      <c r="BE42" s="38"/>
      <c r="BF42" s="38"/>
      <c r="BG42" s="38"/>
      <c r="BH42" s="38"/>
      <c r="BI42" s="38"/>
    </row>
    <row r="43" spans="1:61" x14ac:dyDescent="0.2">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8"/>
      <c r="BC43" s="38"/>
      <c r="BD43" s="38"/>
      <c r="BE43" s="38"/>
      <c r="BF43" s="38"/>
      <c r="BG43" s="38"/>
      <c r="BH43" s="38"/>
      <c r="BI43" s="38"/>
    </row>
    <row r="44" spans="1:61" x14ac:dyDescent="0.2">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8"/>
      <c r="BC44" s="38"/>
      <c r="BD44" s="38"/>
      <c r="BE44" s="38"/>
      <c r="BF44" s="38"/>
      <c r="BG44" s="38"/>
      <c r="BH44" s="38"/>
      <c r="BI44" s="38"/>
    </row>
    <row r="45" spans="1:61" x14ac:dyDescent="0.2">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8"/>
      <c r="BC45" s="38"/>
      <c r="BD45" s="38"/>
      <c r="BE45" s="38"/>
      <c r="BF45" s="38"/>
      <c r="BG45" s="38"/>
      <c r="BH45" s="38"/>
      <c r="BI45" s="38"/>
    </row>
    <row r="46" spans="1:61" x14ac:dyDescent="0.2">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8"/>
      <c r="BC46" s="38"/>
      <c r="BD46" s="38"/>
      <c r="BE46" s="38"/>
      <c r="BF46" s="38"/>
      <c r="BG46" s="38"/>
      <c r="BH46" s="38"/>
      <c r="BI46" s="38"/>
    </row>
    <row r="47" spans="1:61" x14ac:dyDescent="0.2">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8"/>
      <c r="BC47" s="38"/>
      <c r="BD47" s="38"/>
      <c r="BE47" s="38"/>
      <c r="BF47" s="38"/>
      <c r="BG47" s="38"/>
      <c r="BH47" s="38"/>
      <c r="BI47" s="38"/>
    </row>
    <row r="48" spans="1:61" x14ac:dyDescent="0.2">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8"/>
      <c r="BC48" s="38"/>
      <c r="BD48" s="38"/>
      <c r="BE48" s="38"/>
      <c r="BF48" s="38"/>
      <c r="BG48" s="38"/>
      <c r="BH48" s="38"/>
      <c r="BI48" s="38"/>
    </row>
    <row r="49" spans="7:61" x14ac:dyDescent="0.2">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8"/>
      <c r="BC49" s="38"/>
      <c r="BD49" s="38"/>
      <c r="BE49" s="38"/>
      <c r="BF49" s="38"/>
      <c r="BG49" s="38"/>
      <c r="BH49" s="38"/>
      <c r="BI49" s="38"/>
    </row>
    <row r="50" spans="7:61" x14ac:dyDescent="0.2">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8"/>
      <c r="BC50" s="38"/>
      <c r="BD50" s="38"/>
      <c r="BE50" s="38"/>
      <c r="BF50" s="38"/>
      <c r="BG50" s="38"/>
      <c r="BH50" s="38"/>
      <c r="BI50" s="38"/>
    </row>
    <row r="51" spans="7:61" x14ac:dyDescent="0.2">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8"/>
      <c r="BC51" s="38"/>
      <c r="BD51" s="38"/>
      <c r="BE51" s="38"/>
      <c r="BF51" s="38"/>
      <c r="BG51" s="38"/>
      <c r="BH51" s="38"/>
      <c r="BI51" s="38"/>
    </row>
    <row r="52" spans="7:61" x14ac:dyDescent="0.2">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8"/>
      <c r="BC52" s="38"/>
      <c r="BD52" s="38"/>
      <c r="BE52" s="38"/>
      <c r="BF52" s="38"/>
      <c r="BG52" s="38"/>
      <c r="BH52" s="38"/>
      <c r="BI52" s="38"/>
    </row>
    <row r="53" spans="7:61" x14ac:dyDescent="0.2">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8"/>
      <c r="BC53" s="38"/>
      <c r="BD53" s="38"/>
      <c r="BE53" s="38"/>
      <c r="BF53" s="38"/>
      <c r="BG53" s="38"/>
      <c r="BH53" s="38"/>
      <c r="BI53" s="38"/>
    </row>
    <row r="54" spans="7:61" x14ac:dyDescent="0.2">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8"/>
      <c r="BC54" s="38"/>
      <c r="BD54" s="38"/>
      <c r="BE54" s="38"/>
      <c r="BF54" s="38"/>
      <c r="BG54" s="38"/>
      <c r="BH54" s="38"/>
      <c r="BI54" s="38"/>
    </row>
    <row r="55" spans="7:61" x14ac:dyDescent="0.2">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8"/>
      <c r="BC55" s="38"/>
      <c r="BD55" s="38"/>
      <c r="BE55" s="38"/>
      <c r="BF55" s="38"/>
      <c r="BG55" s="38"/>
      <c r="BH55" s="38"/>
      <c r="BI55" s="38"/>
    </row>
    <row r="56" spans="7:61" x14ac:dyDescent="0.2">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8"/>
      <c r="BC56" s="38"/>
      <c r="BD56" s="38"/>
      <c r="BE56" s="38"/>
      <c r="BF56" s="38"/>
      <c r="BG56" s="38"/>
      <c r="BH56" s="38"/>
      <c r="BI56" s="38"/>
    </row>
    <row r="57" spans="7:61" x14ac:dyDescent="0.2">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8"/>
      <c r="BC57" s="38"/>
      <c r="BD57" s="38"/>
      <c r="BE57" s="38"/>
      <c r="BF57" s="38"/>
      <c r="BG57" s="38"/>
      <c r="BH57" s="38"/>
      <c r="BI57" s="38"/>
    </row>
    <row r="58" spans="7:61" x14ac:dyDescent="0.2">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8"/>
      <c r="BC58" s="38"/>
      <c r="BD58" s="38"/>
      <c r="BE58" s="38"/>
      <c r="BF58" s="38"/>
      <c r="BG58" s="38"/>
      <c r="BH58" s="38"/>
      <c r="BI58" s="38"/>
    </row>
    <row r="59" spans="7:61" x14ac:dyDescent="0.2">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8"/>
      <c r="BC59" s="38"/>
      <c r="BD59" s="38"/>
      <c r="BE59" s="38"/>
      <c r="BF59" s="38"/>
      <c r="BG59" s="38"/>
      <c r="BH59" s="38"/>
      <c r="BI59" s="38"/>
    </row>
    <row r="60" spans="7:61" x14ac:dyDescent="0.2">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8"/>
      <c r="BC60" s="38"/>
      <c r="BD60" s="38"/>
      <c r="BE60" s="38"/>
      <c r="BF60" s="38"/>
      <c r="BG60" s="38"/>
      <c r="BH60" s="38"/>
      <c r="BI60" s="38"/>
    </row>
    <row r="61" spans="7:61" x14ac:dyDescent="0.2">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8"/>
      <c r="BC61" s="38"/>
      <c r="BD61" s="38"/>
      <c r="BE61" s="38"/>
      <c r="BF61" s="38"/>
      <c r="BG61" s="38"/>
      <c r="BH61" s="38"/>
      <c r="BI61" s="38"/>
    </row>
    <row r="62" spans="7:61" x14ac:dyDescent="0.2">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8"/>
      <c r="BC62" s="38"/>
      <c r="BD62" s="38"/>
      <c r="BE62" s="38"/>
      <c r="BF62" s="38"/>
      <c r="BG62" s="38"/>
      <c r="BH62" s="38"/>
      <c r="BI62" s="38"/>
    </row>
    <row r="63" spans="7:61" x14ac:dyDescent="0.2">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8"/>
      <c r="BC63" s="38"/>
      <c r="BD63" s="38"/>
      <c r="BE63" s="38"/>
      <c r="BF63" s="38"/>
      <c r="BG63" s="38"/>
      <c r="BH63" s="38"/>
      <c r="BI63" s="38"/>
    </row>
    <row r="64" spans="7:61" x14ac:dyDescent="0.2">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8"/>
      <c r="BC64" s="38"/>
      <c r="BD64" s="38"/>
      <c r="BE64" s="38"/>
      <c r="BF64" s="38"/>
      <c r="BG64" s="38"/>
      <c r="BH64" s="38"/>
      <c r="BI64" s="38"/>
    </row>
    <row r="65" spans="7:61" x14ac:dyDescent="0.2">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8"/>
      <c r="BC65" s="38"/>
      <c r="BD65" s="38"/>
      <c r="BE65" s="38"/>
      <c r="BF65" s="38"/>
      <c r="BG65" s="38"/>
      <c r="BH65" s="38"/>
      <c r="BI65" s="38"/>
    </row>
    <row r="66" spans="7:61" x14ac:dyDescent="0.2">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8"/>
      <c r="BC66" s="38"/>
      <c r="BD66" s="38"/>
      <c r="BE66" s="38"/>
      <c r="BF66" s="38"/>
      <c r="BG66" s="38"/>
      <c r="BH66" s="38"/>
      <c r="BI66" s="38"/>
    </row>
    <row r="67" spans="7:61" x14ac:dyDescent="0.2">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8"/>
      <c r="BC67" s="38"/>
      <c r="BD67" s="38"/>
      <c r="BE67" s="38"/>
      <c r="BF67" s="38"/>
      <c r="BG67" s="38"/>
      <c r="BH67" s="38"/>
      <c r="BI67" s="38"/>
    </row>
    <row r="68" spans="7:61" x14ac:dyDescent="0.2">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8"/>
      <c r="BC68" s="38"/>
      <c r="BD68" s="38"/>
      <c r="BE68" s="38"/>
      <c r="BF68" s="38"/>
      <c r="BG68" s="38"/>
      <c r="BH68" s="38"/>
      <c r="BI68" s="38"/>
    </row>
    <row r="69" spans="7:61" x14ac:dyDescent="0.2">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8"/>
      <c r="BC69" s="38"/>
      <c r="BD69" s="38"/>
      <c r="BE69" s="38"/>
      <c r="BF69" s="38"/>
      <c r="BG69" s="38"/>
      <c r="BH69" s="38"/>
      <c r="BI69" s="38"/>
    </row>
    <row r="70" spans="7:61" x14ac:dyDescent="0.2">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8"/>
      <c r="BC70" s="38"/>
      <c r="BD70" s="38"/>
      <c r="BE70" s="38"/>
      <c r="BF70" s="38"/>
      <c r="BG70" s="38"/>
      <c r="BH70" s="38"/>
      <c r="BI70" s="38"/>
    </row>
    <row r="71" spans="7:61" x14ac:dyDescent="0.2">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8"/>
      <c r="BC71" s="38"/>
      <c r="BD71" s="38"/>
      <c r="BE71" s="38"/>
      <c r="BF71" s="38"/>
      <c r="BG71" s="38"/>
      <c r="BH71" s="38"/>
      <c r="BI71" s="38"/>
    </row>
    <row r="72" spans="7:61" x14ac:dyDescent="0.2">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8"/>
      <c r="BC72" s="38"/>
      <c r="BD72" s="38"/>
      <c r="BE72" s="38"/>
      <c r="BF72" s="38"/>
      <c r="BG72" s="38"/>
      <c r="BH72" s="38"/>
      <c r="BI72" s="38"/>
    </row>
    <row r="73" spans="7:61" x14ac:dyDescent="0.2">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8"/>
      <c r="BC73" s="38"/>
      <c r="BD73" s="38"/>
      <c r="BE73" s="38"/>
      <c r="BF73" s="38"/>
      <c r="BG73" s="38"/>
      <c r="BH73" s="38"/>
      <c r="BI73" s="38"/>
    </row>
    <row r="74" spans="7:61" x14ac:dyDescent="0.2">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8"/>
      <c r="BC74" s="38"/>
      <c r="BD74" s="38"/>
      <c r="BE74" s="38"/>
      <c r="BF74" s="38"/>
      <c r="BG74" s="38"/>
      <c r="BH74" s="38"/>
      <c r="BI74" s="38"/>
    </row>
    <row r="75" spans="7:61" x14ac:dyDescent="0.2">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8"/>
      <c r="BC75" s="38"/>
      <c r="BD75" s="38"/>
      <c r="BE75" s="38"/>
      <c r="BF75" s="38"/>
      <c r="BG75" s="38"/>
      <c r="BH75" s="38"/>
      <c r="BI75" s="38"/>
    </row>
    <row r="76" spans="7:61" x14ac:dyDescent="0.2">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8"/>
      <c r="BC76" s="38"/>
      <c r="BD76" s="38"/>
      <c r="BE76" s="38"/>
      <c r="BF76" s="38"/>
      <c r="BG76" s="38"/>
      <c r="BH76" s="38"/>
      <c r="BI76" s="38"/>
    </row>
    <row r="77" spans="7:61" x14ac:dyDescent="0.2">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8"/>
      <c r="BC77" s="38"/>
      <c r="BD77" s="38"/>
      <c r="BE77" s="38"/>
      <c r="BF77" s="38"/>
      <c r="BG77" s="38"/>
      <c r="BH77" s="38"/>
      <c r="BI77" s="38"/>
    </row>
    <row r="78" spans="7:61" x14ac:dyDescent="0.2">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8"/>
      <c r="BC78" s="38"/>
      <c r="BD78" s="38"/>
      <c r="BE78" s="38"/>
      <c r="BF78" s="38"/>
      <c r="BG78" s="38"/>
      <c r="BH78" s="38"/>
      <c r="BI78" s="38"/>
    </row>
    <row r="79" spans="7:61" x14ac:dyDescent="0.2">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8"/>
      <c r="BC79" s="38"/>
      <c r="BD79" s="38"/>
      <c r="BE79" s="38"/>
      <c r="BF79" s="38"/>
      <c r="BG79" s="38"/>
      <c r="BH79" s="38"/>
      <c r="BI79" s="38"/>
    </row>
    <row r="80" spans="7:61" x14ac:dyDescent="0.2">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8"/>
      <c r="BC80" s="38"/>
      <c r="BD80" s="38"/>
      <c r="BE80" s="38"/>
      <c r="BF80" s="38"/>
      <c r="BG80" s="38"/>
      <c r="BH80" s="38"/>
      <c r="BI80" s="38"/>
    </row>
    <row r="81" spans="7:61" x14ac:dyDescent="0.2">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8"/>
      <c r="BC81" s="38"/>
      <c r="BD81" s="38"/>
      <c r="BE81" s="38"/>
      <c r="BF81" s="38"/>
      <c r="BG81" s="38"/>
      <c r="BH81" s="38"/>
      <c r="BI81" s="38"/>
    </row>
    <row r="82" spans="7:61" x14ac:dyDescent="0.2">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8"/>
      <c r="BC82" s="38"/>
      <c r="BD82" s="38"/>
      <c r="BE82" s="38"/>
      <c r="BF82" s="38"/>
      <c r="BG82" s="38"/>
      <c r="BH82" s="38"/>
      <c r="BI82" s="38"/>
    </row>
    <row r="83" spans="7:61" x14ac:dyDescent="0.2">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8"/>
      <c r="BC83" s="38"/>
      <c r="BD83" s="38"/>
      <c r="BE83" s="38"/>
      <c r="BF83" s="38"/>
      <c r="BG83" s="38"/>
      <c r="BH83" s="38"/>
      <c r="BI83" s="38"/>
    </row>
    <row r="84" spans="7:61" x14ac:dyDescent="0.2">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8"/>
      <c r="BC84" s="38"/>
      <c r="BD84" s="38"/>
      <c r="BE84" s="38"/>
      <c r="BF84" s="38"/>
      <c r="BG84" s="38"/>
      <c r="BH84" s="38"/>
      <c r="BI84" s="38"/>
    </row>
    <row r="85" spans="7:61" x14ac:dyDescent="0.2">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8"/>
      <c r="BC85" s="38"/>
      <c r="BD85" s="38"/>
      <c r="BE85" s="38"/>
      <c r="BF85" s="38"/>
      <c r="BG85" s="38"/>
      <c r="BH85" s="38"/>
      <c r="BI85" s="38"/>
    </row>
    <row r="86" spans="7:61" x14ac:dyDescent="0.2">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8"/>
      <c r="BC86" s="38"/>
      <c r="BD86" s="38"/>
      <c r="BE86" s="38"/>
      <c r="BF86" s="38"/>
      <c r="BG86" s="38"/>
      <c r="BH86" s="38"/>
      <c r="BI86" s="38"/>
    </row>
    <row r="87" spans="7:61" x14ac:dyDescent="0.2">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8"/>
      <c r="BC87" s="38"/>
      <c r="BD87" s="38"/>
      <c r="BE87" s="38"/>
      <c r="BF87" s="38"/>
      <c r="BG87" s="38"/>
      <c r="BH87" s="38"/>
      <c r="BI87" s="38"/>
    </row>
    <row r="88" spans="7:61" x14ac:dyDescent="0.2">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8"/>
      <c r="BC88" s="38"/>
      <c r="BD88" s="38"/>
      <c r="BE88" s="38"/>
      <c r="BF88" s="38"/>
      <c r="BG88" s="38"/>
      <c r="BH88" s="38"/>
      <c r="BI88" s="38"/>
    </row>
    <row r="89" spans="7:61" x14ac:dyDescent="0.2">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8"/>
      <c r="BC89" s="38"/>
      <c r="BD89" s="38"/>
      <c r="BE89" s="38"/>
      <c r="BF89" s="38"/>
      <c r="BG89" s="38"/>
      <c r="BH89" s="38"/>
      <c r="BI89" s="38"/>
    </row>
    <row r="90" spans="7:61" x14ac:dyDescent="0.2">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8"/>
      <c r="BC90" s="38"/>
      <c r="BD90" s="38"/>
      <c r="BE90" s="38"/>
      <c r="BF90" s="38"/>
      <c r="BG90" s="38"/>
      <c r="BH90" s="38"/>
      <c r="BI90" s="38"/>
    </row>
    <row r="91" spans="7:61" x14ac:dyDescent="0.2">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8"/>
      <c r="BC91" s="38"/>
      <c r="BD91" s="38"/>
      <c r="BE91" s="38"/>
      <c r="BF91" s="38"/>
      <c r="BG91" s="38"/>
      <c r="BH91" s="38"/>
      <c r="BI91" s="38"/>
    </row>
    <row r="92" spans="7:61" x14ac:dyDescent="0.2">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8"/>
      <c r="BC92" s="38"/>
      <c r="BD92" s="38"/>
      <c r="BE92" s="38"/>
      <c r="BF92" s="38"/>
      <c r="BG92" s="38"/>
      <c r="BH92" s="38"/>
      <c r="BI92" s="38"/>
    </row>
    <row r="93" spans="7:61" x14ac:dyDescent="0.2">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8"/>
      <c r="BC93" s="38"/>
      <c r="BD93" s="38"/>
      <c r="BE93" s="38"/>
      <c r="BF93" s="38"/>
      <c r="BG93" s="38"/>
      <c r="BH93" s="38"/>
      <c r="BI93" s="38"/>
    </row>
    <row r="94" spans="7:61" x14ac:dyDescent="0.2">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8"/>
      <c r="BC94" s="38"/>
      <c r="BD94" s="38"/>
      <c r="BE94" s="38"/>
      <c r="BF94" s="38"/>
      <c r="BG94" s="38"/>
      <c r="BH94" s="38"/>
      <c r="BI94" s="38"/>
    </row>
    <row r="95" spans="7:61" x14ac:dyDescent="0.2">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row>
    <row r="96" spans="7:61" x14ac:dyDescent="0.2">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row>
    <row r="97" spans="7:61" x14ac:dyDescent="0.2">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row>
    <row r="98" spans="7:61" x14ac:dyDescent="0.2">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row>
    <row r="99" spans="7:61" x14ac:dyDescent="0.2">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row>
    <row r="100" spans="7:61" x14ac:dyDescent="0.2">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row>
    <row r="101" spans="7:61" x14ac:dyDescent="0.2">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7:61" x14ac:dyDescent="0.2">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row>
  </sheetData>
  <pageMargins left="0.45" right="0.41" top="1" bottom="1" header="0.49" footer="0.5"/>
  <pageSetup paperSize="9" scale="75" orientation="landscape" horizontalDpi="12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8"/>
  </sheetPr>
  <dimension ref="A1:GM319"/>
  <sheetViews>
    <sheetView zoomScale="80" zoomScaleNormal="80" workbookViewId="0">
      <pane xSplit="6" ySplit="11" topLeftCell="G12" activePane="bottomRight" state="frozen"/>
      <selection pane="topRight" activeCell="O26" sqref="O26"/>
      <selection pane="bottomLeft" activeCell="O26" sqref="O26"/>
      <selection pane="bottomRight" activeCell="M19" sqref="M19"/>
    </sheetView>
  </sheetViews>
  <sheetFormatPr defaultColWidth="9.140625" defaultRowHeight="12.75" x14ac:dyDescent="0.2"/>
  <cols>
    <col min="1" max="1" width="16.42578125" style="1084" bestFit="1" customWidth="1"/>
    <col min="2" max="2" width="17.42578125" style="1084" bestFit="1" customWidth="1"/>
    <col min="3" max="3" width="43.5703125" style="1084" bestFit="1" customWidth="1"/>
    <col min="4" max="4" width="14.42578125" style="1085" bestFit="1" customWidth="1"/>
    <col min="5" max="5" width="9" style="1085" bestFit="1" customWidth="1"/>
    <col min="6" max="6" width="10.42578125" style="1085" bestFit="1" customWidth="1"/>
    <col min="7" max="7" width="23.42578125" style="1085" bestFit="1" customWidth="1"/>
    <col min="8" max="8" width="4.85546875" style="1085" bestFit="1" customWidth="1"/>
    <col min="9" max="9" width="10.85546875" style="1085" bestFit="1" customWidth="1"/>
    <col min="10" max="10" width="30.85546875" style="1085" bestFit="1" customWidth="1"/>
    <col min="11" max="20" width="20.42578125" style="1085" bestFit="1" customWidth="1"/>
    <col min="21" max="30" width="19.85546875" style="1085" bestFit="1" customWidth="1"/>
    <col min="31" max="31" width="20.42578125" style="1085" bestFit="1" customWidth="1"/>
    <col min="32" max="41" width="19.5703125" style="1085" bestFit="1" customWidth="1"/>
    <col min="42" max="42" width="21.42578125" style="1085" bestFit="1" customWidth="1"/>
    <col min="43" max="52" width="20.5703125" style="1085" bestFit="1" customWidth="1"/>
    <col min="53" max="53" width="21.42578125" style="1085" bestFit="1" customWidth="1"/>
    <col min="54" max="63" width="20.5703125" style="1085" bestFit="1" customWidth="1"/>
    <col min="64" max="64" width="19.42578125" style="1085" bestFit="1" customWidth="1"/>
    <col min="65" max="74" width="18.5703125" style="1085" bestFit="1" customWidth="1"/>
    <col min="75" max="75" width="20.5703125" style="1085" bestFit="1" customWidth="1"/>
    <col min="76" max="85" width="19.85546875" style="1085" bestFit="1" customWidth="1"/>
    <col min="86" max="86" width="20.42578125" style="1085" bestFit="1" customWidth="1"/>
    <col min="87" max="96" width="19.5703125" style="1085" bestFit="1" customWidth="1"/>
    <col min="97" max="97" width="20.42578125" style="1085" bestFit="1" customWidth="1"/>
    <col min="98" max="107" width="19.5703125" style="1085" bestFit="1" customWidth="1"/>
    <col min="108" max="108" width="19.42578125" style="1085" bestFit="1" customWidth="1"/>
    <col min="109" max="118" width="18.5703125" style="1085" bestFit="1" customWidth="1"/>
    <col min="119" max="119" width="19.42578125" style="1085" bestFit="1" customWidth="1"/>
    <col min="120" max="129" width="18.5703125" style="1085" bestFit="1" customWidth="1"/>
    <col min="130" max="130" width="20.42578125" style="1085" bestFit="1" customWidth="1"/>
    <col min="131" max="140" width="19.5703125" style="1085" bestFit="1" customWidth="1"/>
    <col min="141" max="151" width="21.5703125" style="1085" bestFit="1" customWidth="1"/>
    <col min="152" max="152" width="21.85546875" style="1085" bestFit="1" customWidth="1"/>
    <col min="153" max="162" width="21" style="1085" bestFit="1" customWidth="1"/>
    <col min="163" max="163" width="21.5703125" style="1085" bestFit="1" customWidth="1"/>
    <col min="164" max="173" width="20.5703125" style="1085" bestFit="1" customWidth="1"/>
    <col min="174" max="174" width="22.5703125" style="1085" bestFit="1" customWidth="1"/>
    <col min="175" max="184" width="21.5703125" style="1085" bestFit="1" customWidth="1"/>
    <col min="185" max="185" width="22.5703125" style="1085" bestFit="1" customWidth="1"/>
    <col min="186" max="195" width="21.5703125" style="1085" bestFit="1" customWidth="1"/>
    <col min="196" max="16384" width="9.140625" style="1084"/>
  </cols>
  <sheetData>
    <row r="1" spans="1:195" x14ac:dyDescent="0.2">
      <c r="A1" s="1083" t="s">
        <v>473</v>
      </c>
      <c r="B1" s="1084" t="s">
        <v>7</v>
      </c>
      <c r="G1" s="1103" t="s">
        <v>115</v>
      </c>
      <c r="H1" s="1085" t="s">
        <v>115</v>
      </c>
      <c r="I1" s="1085" t="s">
        <v>115</v>
      </c>
      <c r="J1" s="1085" t="s">
        <v>115</v>
      </c>
      <c r="K1" s="1103" t="s">
        <v>115</v>
      </c>
      <c r="L1" s="1103" t="s">
        <v>115</v>
      </c>
      <c r="M1" s="1103" t="s">
        <v>115</v>
      </c>
      <c r="N1" s="1103" t="s">
        <v>115</v>
      </c>
      <c r="O1" s="1103" t="s">
        <v>115</v>
      </c>
      <c r="P1" s="1103" t="s">
        <v>115</v>
      </c>
      <c r="Q1" s="1103" t="s">
        <v>115</v>
      </c>
      <c r="R1" s="1103" t="s">
        <v>115</v>
      </c>
      <c r="S1" s="1103" t="s">
        <v>115</v>
      </c>
      <c r="T1" s="1103" t="s">
        <v>115</v>
      </c>
      <c r="U1" s="1103"/>
      <c r="V1" s="1103"/>
      <c r="W1" s="1103"/>
      <c r="X1" s="1103"/>
      <c r="Y1" s="1103"/>
      <c r="Z1" s="1103"/>
      <c r="AA1" s="1103"/>
      <c r="AB1" s="1103"/>
      <c r="AC1" s="1103"/>
      <c r="AD1" s="1103"/>
      <c r="AE1" s="1103" t="s">
        <v>115</v>
      </c>
      <c r="AF1" s="1103"/>
      <c r="AG1" s="1103"/>
      <c r="AH1" s="1103"/>
      <c r="AI1" s="1103"/>
      <c r="AJ1" s="1103"/>
      <c r="AK1" s="1103"/>
      <c r="AL1" s="1103"/>
      <c r="AM1" s="1103"/>
      <c r="AP1" s="1103" t="s">
        <v>115</v>
      </c>
      <c r="AQ1" s="1103"/>
      <c r="AR1" s="1103"/>
      <c r="AS1" s="1103"/>
      <c r="AT1" s="1103"/>
      <c r="AU1" s="1103"/>
      <c r="AV1" s="1103"/>
      <c r="AW1" s="1103"/>
      <c r="AX1" s="1103"/>
      <c r="BA1" s="1103" t="s">
        <v>115</v>
      </c>
      <c r="BB1" s="1103"/>
      <c r="BC1" s="1103"/>
      <c r="BD1" s="1103"/>
      <c r="BE1" s="1103"/>
      <c r="BF1" s="1103"/>
      <c r="BG1" s="1103"/>
      <c r="BH1" s="1103"/>
      <c r="BI1" s="1103"/>
      <c r="BL1" s="1103" t="s">
        <v>115</v>
      </c>
      <c r="BM1" s="1103"/>
      <c r="BN1" s="1103"/>
      <c r="BO1" s="1103"/>
      <c r="BP1" s="1103"/>
      <c r="BQ1" s="1103"/>
      <c r="BR1" s="1103"/>
      <c r="BS1" s="1103"/>
      <c r="BT1" s="1103"/>
      <c r="BW1" s="1103" t="s">
        <v>115</v>
      </c>
      <c r="BX1" s="1103"/>
      <c r="BY1" s="1103"/>
      <c r="BZ1" s="1103"/>
      <c r="CA1" s="1103"/>
      <c r="CB1" s="1103"/>
      <c r="CC1" s="1103"/>
      <c r="CD1" s="1103"/>
      <c r="CE1" s="1103"/>
      <c r="CH1" s="1103" t="s">
        <v>115</v>
      </c>
      <c r="CI1" s="1103"/>
      <c r="CJ1" s="1103"/>
      <c r="CK1" s="1103"/>
      <c r="CL1" s="1103"/>
      <c r="CM1" s="1103"/>
      <c r="CN1" s="1103"/>
      <c r="CO1" s="1103"/>
      <c r="CP1" s="1103"/>
      <c r="CQ1" s="1103"/>
      <c r="CR1" s="1103"/>
      <c r="CS1" s="1103" t="s">
        <v>115</v>
      </c>
      <c r="CT1" s="1103"/>
      <c r="CU1" s="1103"/>
      <c r="CV1" s="1103"/>
      <c r="CW1" s="1103"/>
      <c r="CX1" s="1103"/>
      <c r="CY1" s="1103"/>
      <c r="CZ1" s="1103"/>
      <c r="DA1" s="1103"/>
      <c r="DD1" s="1103" t="s">
        <v>115</v>
      </c>
      <c r="DE1" s="1103"/>
      <c r="DF1" s="1103"/>
      <c r="DG1" s="1103"/>
      <c r="DH1" s="1103"/>
      <c r="DI1" s="1103"/>
      <c r="DJ1" s="1103"/>
      <c r="DK1" s="1103"/>
      <c r="DL1" s="1103"/>
      <c r="DO1" s="1103" t="s">
        <v>115</v>
      </c>
      <c r="DP1" s="1103"/>
      <c r="DQ1" s="1103"/>
      <c r="DR1" s="1103"/>
      <c r="DS1" s="1103"/>
      <c r="DT1" s="1103"/>
      <c r="DU1" s="1103"/>
      <c r="DV1" s="1103"/>
      <c r="DW1" s="1103"/>
      <c r="DZ1" s="1103" t="s">
        <v>115</v>
      </c>
      <c r="EA1" s="1103"/>
      <c r="EB1" s="1103"/>
      <c r="EC1" s="1103"/>
      <c r="ED1" s="1103"/>
      <c r="EE1" s="1103"/>
      <c r="EF1" s="1103"/>
      <c r="EG1" s="1103"/>
      <c r="EH1" s="1103"/>
      <c r="EK1" s="1103" t="s">
        <v>115</v>
      </c>
      <c r="EL1" s="1103" t="s">
        <v>115</v>
      </c>
      <c r="EM1" s="1103" t="s">
        <v>115</v>
      </c>
      <c r="EN1" s="1103" t="s">
        <v>115</v>
      </c>
      <c r="EO1" s="1103" t="s">
        <v>115</v>
      </c>
      <c r="EP1" s="1103" t="s">
        <v>115</v>
      </c>
      <c r="EQ1" s="1103" t="s">
        <v>115</v>
      </c>
      <c r="ER1" s="1103" t="s">
        <v>115</v>
      </c>
      <c r="ES1" s="1103" t="s">
        <v>115</v>
      </c>
      <c r="ET1" s="1103" t="s">
        <v>115</v>
      </c>
      <c r="EU1" s="1103" t="s">
        <v>115</v>
      </c>
      <c r="EV1" s="1103" t="s">
        <v>115</v>
      </c>
      <c r="EW1" s="1103"/>
      <c r="EX1" s="1103"/>
      <c r="EY1" s="1103"/>
      <c r="EZ1" s="1103"/>
      <c r="FA1" s="1103"/>
      <c r="FB1" s="1103"/>
      <c r="FC1" s="1103"/>
      <c r="FD1" s="1103"/>
      <c r="FE1" s="1103"/>
      <c r="FF1" s="1103"/>
      <c r="FG1" s="1103" t="s">
        <v>115</v>
      </c>
      <c r="FH1" s="1103"/>
      <c r="FI1" s="1103"/>
      <c r="FJ1" s="1103"/>
      <c r="FK1" s="1103"/>
      <c r="FL1" s="1103"/>
      <c r="FM1" s="1103"/>
      <c r="FN1" s="1103"/>
      <c r="FO1" s="1103"/>
      <c r="FR1" s="1103" t="s">
        <v>115</v>
      </c>
      <c r="FS1" s="1103"/>
      <c r="FT1" s="1103"/>
      <c r="FU1" s="1103"/>
      <c r="FV1" s="1103"/>
      <c r="FW1" s="1103"/>
      <c r="FX1" s="1103"/>
      <c r="FY1" s="1103"/>
      <c r="FZ1" s="1103"/>
      <c r="GC1" s="1103" t="s">
        <v>115</v>
      </c>
      <c r="GD1" s="1103"/>
      <c r="GE1" s="1103"/>
      <c r="GF1" s="1103"/>
      <c r="GG1" s="1103"/>
      <c r="GH1" s="1103"/>
      <c r="GI1" s="1103"/>
      <c r="GJ1" s="1103"/>
      <c r="GK1" s="1103"/>
    </row>
    <row r="2" spans="1:195" x14ac:dyDescent="0.2">
      <c r="G2" s="1103"/>
      <c r="CI2" s="1103"/>
      <c r="CJ2" s="1103"/>
      <c r="CK2" s="1103"/>
      <c r="CL2" s="1103"/>
      <c r="CM2" s="1103"/>
      <c r="CN2" s="1103"/>
      <c r="CO2" s="1103"/>
      <c r="CP2" s="1103"/>
      <c r="CQ2" s="1103"/>
      <c r="CR2" s="1103"/>
    </row>
    <row r="3" spans="1:195" x14ac:dyDescent="0.2">
      <c r="G3" s="1103"/>
    </row>
    <row r="4" spans="1:195" ht="17.25" customHeight="1" x14ac:dyDescent="0.2">
      <c r="G4" s="1103"/>
    </row>
    <row r="5" spans="1:195" ht="18" customHeight="1" x14ac:dyDescent="0.2">
      <c r="G5" s="1103"/>
      <c r="K5" s="1103" t="s">
        <v>492</v>
      </c>
      <c r="L5" s="1103" t="s">
        <v>492</v>
      </c>
      <c r="M5" s="1103" t="s">
        <v>492</v>
      </c>
      <c r="N5" s="1103" t="s">
        <v>492</v>
      </c>
      <c r="O5" s="1103" t="s">
        <v>492</v>
      </c>
      <c r="P5" s="1103" t="s">
        <v>492</v>
      </c>
      <c r="Q5" s="1103" t="s">
        <v>492</v>
      </c>
      <c r="R5" s="1103" t="s">
        <v>492</v>
      </c>
      <c r="S5" s="1103" t="s">
        <v>492</v>
      </c>
      <c r="T5" s="1103" t="s">
        <v>492</v>
      </c>
      <c r="U5" s="1103" t="s">
        <v>492</v>
      </c>
      <c r="V5" s="1103" t="s">
        <v>492</v>
      </c>
      <c r="W5" s="1103" t="s">
        <v>492</v>
      </c>
      <c r="X5" s="1103" t="s">
        <v>492</v>
      </c>
      <c r="Y5" s="1103" t="s">
        <v>492</v>
      </c>
      <c r="Z5" s="1103" t="s">
        <v>492</v>
      </c>
      <c r="AA5" s="1103" t="s">
        <v>492</v>
      </c>
      <c r="AB5" s="1103" t="s">
        <v>492</v>
      </c>
      <c r="AC5" s="1103" t="s">
        <v>492</v>
      </c>
      <c r="AD5" s="1103" t="s">
        <v>492</v>
      </c>
      <c r="AE5" s="1103" t="s">
        <v>492</v>
      </c>
      <c r="AF5" s="1103" t="s">
        <v>492</v>
      </c>
      <c r="AG5" s="1103" t="s">
        <v>492</v>
      </c>
      <c r="AH5" s="1103" t="s">
        <v>492</v>
      </c>
      <c r="AI5" s="1103" t="s">
        <v>492</v>
      </c>
      <c r="AJ5" s="1103" t="s">
        <v>492</v>
      </c>
      <c r="AK5" s="1103" t="s">
        <v>492</v>
      </c>
      <c r="AL5" s="1103" t="s">
        <v>492</v>
      </c>
      <c r="AM5" s="1103" t="s">
        <v>492</v>
      </c>
      <c r="AN5" s="1103" t="s">
        <v>492</v>
      </c>
      <c r="AO5" s="1103" t="s">
        <v>492</v>
      </c>
      <c r="AP5" s="1103" t="s">
        <v>492</v>
      </c>
      <c r="AQ5" s="1103" t="s">
        <v>492</v>
      </c>
      <c r="AR5" s="1103" t="s">
        <v>492</v>
      </c>
      <c r="AS5" s="1103" t="s">
        <v>492</v>
      </c>
      <c r="AT5" s="1103" t="s">
        <v>492</v>
      </c>
      <c r="AU5" s="1103" t="s">
        <v>492</v>
      </c>
      <c r="AV5" s="1103" t="s">
        <v>492</v>
      </c>
      <c r="AW5" s="1103" t="s">
        <v>492</v>
      </c>
      <c r="AX5" s="1103" t="s">
        <v>492</v>
      </c>
      <c r="AY5" s="1103" t="s">
        <v>492</v>
      </c>
      <c r="AZ5" s="1103" t="s">
        <v>492</v>
      </c>
      <c r="BA5" s="1103" t="s">
        <v>492</v>
      </c>
      <c r="BB5" s="1103" t="s">
        <v>492</v>
      </c>
      <c r="BC5" s="1103" t="s">
        <v>492</v>
      </c>
      <c r="BD5" s="1103" t="s">
        <v>492</v>
      </c>
      <c r="BE5" s="1103" t="s">
        <v>492</v>
      </c>
      <c r="BF5" s="1103" t="s">
        <v>492</v>
      </c>
      <c r="BG5" s="1103" t="s">
        <v>492</v>
      </c>
      <c r="BH5" s="1103" t="s">
        <v>492</v>
      </c>
      <c r="BI5" s="1103" t="s">
        <v>492</v>
      </c>
      <c r="BJ5" s="1103" t="s">
        <v>492</v>
      </c>
      <c r="BK5" s="1103" t="s">
        <v>492</v>
      </c>
      <c r="BL5" s="1103" t="s">
        <v>492</v>
      </c>
      <c r="BM5" s="1103" t="s">
        <v>492</v>
      </c>
      <c r="BN5" s="1103" t="s">
        <v>492</v>
      </c>
      <c r="BO5" s="1103" t="s">
        <v>492</v>
      </c>
      <c r="BP5" s="1103" t="s">
        <v>492</v>
      </c>
      <c r="BQ5" s="1103" t="s">
        <v>492</v>
      </c>
      <c r="BR5" s="1103" t="s">
        <v>492</v>
      </c>
      <c r="BS5" s="1103" t="s">
        <v>492</v>
      </c>
      <c r="BT5" s="1103" t="s">
        <v>492</v>
      </c>
      <c r="BU5" s="1103" t="s">
        <v>492</v>
      </c>
      <c r="BV5" s="1103" t="s">
        <v>492</v>
      </c>
      <c r="BW5" s="1103" t="s">
        <v>492</v>
      </c>
      <c r="BX5" s="1103" t="s">
        <v>492</v>
      </c>
      <c r="BY5" s="1103" t="s">
        <v>492</v>
      </c>
      <c r="BZ5" s="1103" t="s">
        <v>492</v>
      </c>
      <c r="CA5" s="1103" t="s">
        <v>492</v>
      </c>
      <c r="CB5" s="1103" t="s">
        <v>492</v>
      </c>
      <c r="CC5" s="1103" t="s">
        <v>492</v>
      </c>
      <c r="CD5" s="1103" t="s">
        <v>492</v>
      </c>
      <c r="CE5" s="1103" t="s">
        <v>492</v>
      </c>
      <c r="CF5" s="1103" t="s">
        <v>492</v>
      </c>
      <c r="CG5" s="1103" t="s">
        <v>492</v>
      </c>
      <c r="CH5" s="1103" t="s">
        <v>492</v>
      </c>
      <c r="CI5" s="1103" t="s">
        <v>492</v>
      </c>
      <c r="CJ5" s="1103" t="s">
        <v>492</v>
      </c>
      <c r="CK5" s="1103" t="s">
        <v>492</v>
      </c>
      <c r="CL5" s="1103" t="s">
        <v>492</v>
      </c>
      <c r="CM5" s="1103" t="s">
        <v>492</v>
      </c>
      <c r="CN5" s="1103" t="s">
        <v>492</v>
      </c>
      <c r="CO5" s="1103" t="s">
        <v>492</v>
      </c>
      <c r="CP5" s="1103" t="s">
        <v>492</v>
      </c>
      <c r="CQ5" s="1103" t="s">
        <v>492</v>
      </c>
      <c r="CR5" s="1103" t="s">
        <v>492</v>
      </c>
      <c r="CS5" s="1103" t="s">
        <v>492</v>
      </c>
      <c r="CT5" s="1103" t="s">
        <v>492</v>
      </c>
      <c r="CU5" s="1103" t="s">
        <v>492</v>
      </c>
      <c r="CV5" s="1103" t="s">
        <v>492</v>
      </c>
      <c r="CW5" s="1103" t="s">
        <v>492</v>
      </c>
      <c r="CX5" s="1103" t="s">
        <v>492</v>
      </c>
      <c r="CY5" s="1103" t="s">
        <v>492</v>
      </c>
      <c r="CZ5" s="1103" t="s">
        <v>492</v>
      </c>
      <c r="DA5" s="1103" t="s">
        <v>492</v>
      </c>
      <c r="DB5" s="1103" t="s">
        <v>492</v>
      </c>
      <c r="DC5" s="1103" t="s">
        <v>492</v>
      </c>
      <c r="DD5" s="1103" t="s">
        <v>492</v>
      </c>
      <c r="DE5" s="1103" t="s">
        <v>492</v>
      </c>
      <c r="DF5" s="1103" t="s">
        <v>492</v>
      </c>
      <c r="DG5" s="1103" t="s">
        <v>492</v>
      </c>
      <c r="DH5" s="1103" t="s">
        <v>492</v>
      </c>
      <c r="DI5" s="1103" t="s">
        <v>492</v>
      </c>
      <c r="DJ5" s="1103" t="s">
        <v>492</v>
      </c>
      <c r="DK5" s="1103" t="s">
        <v>492</v>
      </c>
      <c r="DL5" s="1103" t="s">
        <v>492</v>
      </c>
      <c r="DM5" s="1103" t="s">
        <v>492</v>
      </c>
      <c r="DN5" s="1103" t="s">
        <v>492</v>
      </c>
      <c r="DO5" s="1103" t="s">
        <v>492</v>
      </c>
      <c r="DP5" s="1103" t="s">
        <v>492</v>
      </c>
      <c r="DQ5" s="1103" t="s">
        <v>492</v>
      </c>
      <c r="DR5" s="1103" t="s">
        <v>492</v>
      </c>
      <c r="DS5" s="1103" t="s">
        <v>492</v>
      </c>
      <c r="DT5" s="1103" t="s">
        <v>492</v>
      </c>
      <c r="DU5" s="1103" t="s">
        <v>492</v>
      </c>
      <c r="DV5" s="1103" t="s">
        <v>492</v>
      </c>
      <c r="DW5" s="1103" t="s">
        <v>492</v>
      </c>
      <c r="DX5" s="1103" t="s">
        <v>492</v>
      </c>
      <c r="DY5" s="1103" t="s">
        <v>492</v>
      </c>
      <c r="DZ5" s="1103" t="s">
        <v>492</v>
      </c>
      <c r="EA5" s="1103" t="s">
        <v>492</v>
      </c>
      <c r="EB5" s="1103" t="s">
        <v>492</v>
      </c>
      <c r="EC5" s="1103" t="s">
        <v>492</v>
      </c>
      <c r="ED5" s="1103" t="s">
        <v>492</v>
      </c>
      <c r="EE5" s="1103" t="s">
        <v>492</v>
      </c>
      <c r="EF5" s="1103" t="s">
        <v>492</v>
      </c>
      <c r="EG5" s="1103" t="s">
        <v>492</v>
      </c>
      <c r="EH5" s="1103" t="s">
        <v>492</v>
      </c>
      <c r="EI5" s="1103" t="s">
        <v>492</v>
      </c>
      <c r="EJ5" s="1103" t="s">
        <v>492</v>
      </c>
      <c r="EK5" s="1103" t="s">
        <v>492</v>
      </c>
      <c r="EL5" s="1103" t="s">
        <v>492</v>
      </c>
      <c r="EM5" s="1103" t="s">
        <v>492</v>
      </c>
      <c r="EN5" s="1103" t="s">
        <v>492</v>
      </c>
      <c r="EO5" s="1103" t="s">
        <v>492</v>
      </c>
      <c r="EP5" s="1103" t="s">
        <v>492</v>
      </c>
      <c r="EQ5" s="1103" t="s">
        <v>492</v>
      </c>
      <c r="ER5" s="1103" t="s">
        <v>492</v>
      </c>
      <c r="ES5" s="1103" t="s">
        <v>492</v>
      </c>
      <c r="ET5" s="1103" t="s">
        <v>492</v>
      </c>
      <c r="EU5" s="1103" t="s">
        <v>492</v>
      </c>
      <c r="EV5" s="1103" t="s">
        <v>492</v>
      </c>
      <c r="EW5" s="1103" t="s">
        <v>492</v>
      </c>
      <c r="EX5" s="1103" t="s">
        <v>492</v>
      </c>
      <c r="EY5" s="1103" t="s">
        <v>492</v>
      </c>
      <c r="EZ5" s="1103" t="s">
        <v>492</v>
      </c>
      <c r="FA5" s="1103" t="s">
        <v>492</v>
      </c>
      <c r="FB5" s="1103" t="s">
        <v>492</v>
      </c>
      <c r="FC5" s="1103" t="s">
        <v>492</v>
      </c>
      <c r="FD5" s="1103" t="s">
        <v>492</v>
      </c>
      <c r="FE5" s="1103" t="s">
        <v>492</v>
      </c>
      <c r="FF5" s="1103" t="s">
        <v>492</v>
      </c>
      <c r="FG5" s="1103" t="s">
        <v>492</v>
      </c>
      <c r="FH5" s="1103" t="s">
        <v>492</v>
      </c>
      <c r="FI5" s="1103" t="s">
        <v>492</v>
      </c>
      <c r="FJ5" s="1103" t="s">
        <v>492</v>
      </c>
      <c r="FK5" s="1103" t="s">
        <v>492</v>
      </c>
      <c r="FL5" s="1103" t="s">
        <v>492</v>
      </c>
      <c r="FM5" s="1103" t="s">
        <v>492</v>
      </c>
      <c r="FN5" s="1103" t="s">
        <v>492</v>
      </c>
      <c r="FO5" s="1103" t="s">
        <v>492</v>
      </c>
      <c r="FP5" s="1103" t="s">
        <v>492</v>
      </c>
      <c r="FQ5" s="1103" t="s">
        <v>492</v>
      </c>
      <c r="FR5" s="1103" t="s">
        <v>492</v>
      </c>
      <c r="FS5" s="1103" t="s">
        <v>492</v>
      </c>
      <c r="FT5" s="1103" t="s">
        <v>492</v>
      </c>
      <c r="FU5" s="1103" t="s">
        <v>492</v>
      </c>
      <c r="FV5" s="1103" t="s">
        <v>492</v>
      </c>
      <c r="FW5" s="1103" t="s">
        <v>492</v>
      </c>
      <c r="FX5" s="1103" t="s">
        <v>492</v>
      </c>
      <c r="FY5" s="1103" t="s">
        <v>492</v>
      </c>
      <c r="FZ5" s="1103" t="s">
        <v>492</v>
      </c>
      <c r="GA5" s="1103" t="s">
        <v>492</v>
      </c>
      <c r="GB5" s="1103" t="s">
        <v>492</v>
      </c>
      <c r="GC5" s="1103" t="s">
        <v>492</v>
      </c>
      <c r="GD5" s="1103" t="s">
        <v>492</v>
      </c>
      <c r="GE5" s="1103" t="s">
        <v>492</v>
      </c>
      <c r="GF5" s="1103" t="s">
        <v>492</v>
      </c>
      <c r="GG5" s="1103" t="s">
        <v>492</v>
      </c>
      <c r="GH5" s="1103" t="s">
        <v>492</v>
      </c>
      <c r="GI5" s="1103" t="s">
        <v>492</v>
      </c>
      <c r="GJ5" s="1103" t="s">
        <v>492</v>
      </c>
      <c r="GK5" s="1103" t="s">
        <v>492</v>
      </c>
      <c r="GL5" s="1103" t="s">
        <v>492</v>
      </c>
      <c r="GM5" s="1103" t="s">
        <v>492</v>
      </c>
    </row>
    <row r="6" spans="1:195" ht="17.25" customHeight="1" x14ac:dyDescent="0.2">
      <c r="G6" s="1103"/>
      <c r="K6" s="1103" t="s">
        <v>120</v>
      </c>
      <c r="L6" s="1103" t="s">
        <v>120</v>
      </c>
      <c r="M6" s="1103" t="s">
        <v>120</v>
      </c>
      <c r="N6" s="1103" t="s">
        <v>120</v>
      </c>
      <c r="O6" s="1103" t="s">
        <v>120</v>
      </c>
      <c r="P6" s="1103" t="s">
        <v>120</v>
      </c>
      <c r="Q6" s="1103" t="s">
        <v>120</v>
      </c>
      <c r="R6" s="1103" t="s">
        <v>120</v>
      </c>
      <c r="S6" s="1103" t="s">
        <v>120</v>
      </c>
      <c r="T6" s="1103" t="s">
        <v>120</v>
      </c>
      <c r="U6" s="1103" t="s">
        <v>129</v>
      </c>
      <c r="V6" s="1103" t="s">
        <v>129</v>
      </c>
      <c r="W6" s="1103" t="s">
        <v>129</v>
      </c>
      <c r="X6" s="1103" t="s">
        <v>129</v>
      </c>
      <c r="Y6" s="1103" t="s">
        <v>129</v>
      </c>
      <c r="Z6" s="1103" t="s">
        <v>129</v>
      </c>
      <c r="AA6" s="1103" t="s">
        <v>129</v>
      </c>
      <c r="AB6" s="1103" t="s">
        <v>129</v>
      </c>
      <c r="AC6" s="1103" t="s">
        <v>129</v>
      </c>
      <c r="AD6" s="1103" t="s">
        <v>129</v>
      </c>
      <c r="AE6" s="1103" t="s">
        <v>125</v>
      </c>
      <c r="AF6" s="1103" t="s">
        <v>125</v>
      </c>
      <c r="AG6" s="1103" t="s">
        <v>125</v>
      </c>
      <c r="AH6" s="1103" t="s">
        <v>125</v>
      </c>
      <c r="AI6" s="1103" t="s">
        <v>125</v>
      </c>
      <c r="AJ6" s="1103" t="s">
        <v>125</v>
      </c>
      <c r="AK6" s="1103" t="s">
        <v>125</v>
      </c>
      <c r="AL6" s="1103" t="s">
        <v>125</v>
      </c>
      <c r="AM6" s="1103" t="s">
        <v>125</v>
      </c>
      <c r="AN6" s="1103" t="s">
        <v>125</v>
      </c>
      <c r="AO6" s="1103" t="s">
        <v>125</v>
      </c>
      <c r="AP6" s="1103" t="s">
        <v>133</v>
      </c>
      <c r="AQ6" s="1103" t="s">
        <v>133</v>
      </c>
      <c r="AR6" s="1103" t="s">
        <v>133</v>
      </c>
      <c r="AS6" s="1103" t="s">
        <v>133</v>
      </c>
      <c r="AT6" s="1103" t="s">
        <v>133</v>
      </c>
      <c r="AU6" s="1103" t="s">
        <v>133</v>
      </c>
      <c r="AV6" s="1103" t="s">
        <v>133</v>
      </c>
      <c r="AW6" s="1103" t="s">
        <v>133</v>
      </c>
      <c r="AX6" s="1103" t="s">
        <v>133</v>
      </c>
      <c r="AY6" s="1103" t="s">
        <v>133</v>
      </c>
      <c r="AZ6" s="1103" t="s">
        <v>133</v>
      </c>
      <c r="BA6" s="1103" t="s">
        <v>141</v>
      </c>
      <c r="BB6" s="1103" t="s">
        <v>141</v>
      </c>
      <c r="BC6" s="1103" t="s">
        <v>141</v>
      </c>
      <c r="BD6" s="1103" t="s">
        <v>141</v>
      </c>
      <c r="BE6" s="1103" t="s">
        <v>141</v>
      </c>
      <c r="BF6" s="1103" t="s">
        <v>141</v>
      </c>
      <c r="BG6" s="1103" t="s">
        <v>141</v>
      </c>
      <c r="BH6" s="1103" t="s">
        <v>141</v>
      </c>
      <c r="BI6" s="1103" t="s">
        <v>141</v>
      </c>
      <c r="BJ6" s="1103" t="s">
        <v>141</v>
      </c>
      <c r="BK6" s="1103" t="s">
        <v>141</v>
      </c>
      <c r="BL6" s="1103" t="s">
        <v>145</v>
      </c>
      <c r="BM6" s="1103" t="s">
        <v>145</v>
      </c>
      <c r="BN6" s="1103" t="s">
        <v>145</v>
      </c>
      <c r="BO6" s="1103" t="s">
        <v>145</v>
      </c>
      <c r="BP6" s="1103" t="s">
        <v>145</v>
      </c>
      <c r="BQ6" s="1103" t="s">
        <v>145</v>
      </c>
      <c r="BR6" s="1103" t="s">
        <v>145</v>
      </c>
      <c r="BS6" s="1103" t="s">
        <v>145</v>
      </c>
      <c r="BT6" s="1103" t="s">
        <v>145</v>
      </c>
      <c r="BU6" s="1103" t="s">
        <v>145</v>
      </c>
      <c r="BV6" s="1103" t="s">
        <v>145</v>
      </c>
      <c r="BW6" s="1103" t="s">
        <v>137</v>
      </c>
      <c r="BX6" s="1103" t="s">
        <v>137</v>
      </c>
      <c r="BY6" s="1103" t="s">
        <v>137</v>
      </c>
      <c r="BZ6" s="1103" t="s">
        <v>137</v>
      </c>
      <c r="CA6" s="1103" t="s">
        <v>137</v>
      </c>
      <c r="CB6" s="1103" t="s">
        <v>137</v>
      </c>
      <c r="CC6" s="1103" t="s">
        <v>137</v>
      </c>
      <c r="CD6" s="1103" t="s">
        <v>137</v>
      </c>
      <c r="CE6" s="1103" t="s">
        <v>137</v>
      </c>
      <c r="CF6" s="1103" t="s">
        <v>137</v>
      </c>
      <c r="CG6" s="1103" t="s">
        <v>137</v>
      </c>
      <c r="CH6" s="1103" t="s">
        <v>155</v>
      </c>
      <c r="CI6" s="1103" t="s">
        <v>155</v>
      </c>
      <c r="CJ6" s="1103" t="s">
        <v>155</v>
      </c>
      <c r="CK6" s="1103" t="s">
        <v>155</v>
      </c>
      <c r="CL6" s="1103" t="s">
        <v>155</v>
      </c>
      <c r="CM6" s="1103" t="s">
        <v>155</v>
      </c>
      <c r="CN6" s="1103" t="s">
        <v>155</v>
      </c>
      <c r="CO6" s="1103" t="s">
        <v>155</v>
      </c>
      <c r="CP6" s="1103" t="s">
        <v>155</v>
      </c>
      <c r="CQ6" s="1103" t="s">
        <v>155</v>
      </c>
      <c r="CR6" s="1103" t="s">
        <v>155</v>
      </c>
      <c r="CS6" s="1103" t="s">
        <v>147</v>
      </c>
      <c r="CT6" s="1103" t="s">
        <v>147</v>
      </c>
      <c r="CU6" s="1103" t="s">
        <v>147</v>
      </c>
      <c r="CV6" s="1103" t="s">
        <v>147</v>
      </c>
      <c r="CW6" s="1103" t="s">
        <v>147</v>
      </c>
      <c r="CX6" s="1103" t="s">
        <v>147</v>
      </c>
      <c r="CY6" s="1103" t="s">
        <v>147</v>
      </c>
      <c r="CZ6" s="1103" t="s">
        <v>147</v>
      </c>
      <c r="DA6" s="1103" t="s">
        <v>147</v>
      </c>
      <c r="DB6" s="1103" t="s">
        <v>147</v>
      </c>
      <c r="DC6" s="1103" t="s">
        <v>147</v>
      </c>
      <c r="DD6" s="1103" t="s">
        <v>151</v>
      </c>
      <c r="DE6" s="1103" t="s">
        <v>151</v>
      </c>
      <c r="DF6" s="1103" t="s">
        <v>151</v>
      </c>
      <c r="DG6" s="1103" t="s">
        <v>151</v>
      </c>
      <c r="DH6" s="1103" t="s">
        <v>151</v>
      </c>
      <c r="DI6" s="1103" t="s">
        <v>151</v>
      </c>
      <c r="DJ6" s="1103" t="s">
        <v>151</v>
      </c>
      <c r="DK6" s="1103" t="s">
        <v>151</v>
      </c>
      <c r="DL6" s="1103" t="s">
        <v>151</v>
      </c>
      <c r="DM6" s="1103" t="s">
        <v>151</v>
      </c>
      <c r="DN6" s="1103" t="s">
        <v>151</v>
      </c>
      <c r="DO6" s="1103" t="s">
        <v>153</v>
      </c>
      <c r="DP6" s="1103" t="s">
        <v>153</v>
      </c>
      <c r="DQ6" s="1103" t="s">
        <v>153</v>
      </c>
      <c r="DR6" s="1103" t="s">
        <v>153</v>
      </c>
      <c r="DS6" s="1103" t="s">
        <v>153</v>
      </c>
      <c r="DT6" s="1103" t="s">
        <v>153</v>
      </c>
      <c r="DU6" s="1103" t="s">
        <v>153</v>
      </c>
      <c r="DV6" s="1103" t="s">
        <v>153</v>
      </c>
      <c r="DW6" s="1103" t="s">
        <v>153</v>
      </c>
      <c r="DX6" s="1103" t="s">
        <v>153</v>
      </c>
      <c r="DY6" s="1103" t="s">
        <v>153</v>
      </c>
      <c r="DZ6" s="1103" t="s">
        <v>149</v>
      </c>
      <c r="EA6" s="1103" t="s">
        <v>149</v>
      </c>
      <c r="EB6" s="1103" t="s">
        <v>149</v>
      </c>
      <c r="EC6" s="1103" t="s">
        <v>149</v>
      </c>
      <c r="ED6" s="1103" t="s">
        <v>149</v>
      </c>
      <c r="EE6" s="1103" t="s">
        <v>149</v>
      </c>
      <c r="EF6" s="1103" t="s">
        <v>149</v>
      </c>
      <c r="EG6" s="1103" t="s">
        <v>149</v>
      </c>
      <c r="EH6" s="1103" t="s">
        <v>149</v>
      </c>
      <c r="EI6" s="1103" t="s">
        <v>149</v>
      </c>
      <c r="EJ6" s="1103" t="s">
        <v>149</v>
      </c>
      <c r="EK6" s="1103" t="s">
        <v>495</v>
      </c>
      <c r="EL6" s="1103" t="str">
        <f t="shared" ref="EL6:EU6" si="0">CONCATENATE(K6,"T")</f>
        <v>CO2T</v>
      </c>
      <c r="EM6" s="1103" t="str">
        <f t="shared" si="0"/>
        <v>CO2T</v>
      </c>
      <c r="EN6" s="1103" t="str">
        <f t="shared" si="0"/>
        <v>CO2T</v>
      </c>
      <c r="EO6" s="1103" t="str">
        <f t="shared" si="0"/>
        <v>CO2T</v>
      </c>
      <c r="EP6" s="1103" t="str">
        <f t="shared" si="0"/>
        <v>CO2T</v>
      </c>
      <c r="EQ6" s="1103" t="str">
        <f t="shared" si="0"/>
        <v>CO2T</v>
      </c>
      <c r="ER6" s="1103" t="str">
        <f t="shared" si="0"/>
        <v>CO2T</v>
      </c>
      <c r="ES6" s="1103" t="str">
        <f t="shared" si="0"/>
        <v>CO2T</v>
      </c>
      <c r="ET6" s="1103" t="str">
        <f t="shared" si="0"/>
        <v>CO2T</v>
      </c>
      <c r="EU6" s="1103" t="str">
        <f t="shared" si="0"/>
        <v>CO2T</v>
      </c>
      <c r="EV6" s="1103" t="str">
        <f>EX6</f>
        <v>NOXT</v>
      </c>
      <c r="EW6" s="1103" t="str">
        <f t="shared" ref="EW6:GM6" si="1">CONCATENATE(U6,"T")</f>
        <v>NOXT</v>
      </c>
      <c r="EX6" s="1103" t="str">
        <f t="shared" si="1"/>
        <v>NOXT</v>
      </c>
      <c r="EY6" s="1103" t="str">
        <f t="shared" si="1"/>
        <v>NOXT</v>
      </c>
      <c r="EZ6" s="1103" t="str">
        <f t="shared" si="1"/>
        <v>NOXT</v>
      </c>
      <c r="FA6" s="1103" t="str">
        <f t="shared" si="1"/>
        <v>NOXT</v>
      </c>
      <c r="FB6" s="1103" t="str">
        <f t="shared" si="1"/>
        <v>NOXT</v>
      </c>
      <c r="FC6" s="1103" t="str">
        <f t="shared" si="1"/>
        <v>NOXT</v>
      </c>
      <c r="FD6" s="1103" t="str">
        <f t="shared" si="1"/>
        <v>NOXT</v>
      </c>
      <c r="FE6" s="1103" t="str">
        <f t="shared" si="1"/>
        <v>NOXT</v>
      </c>
      <c r="FF6" s="1103" t="str">
        <f t="shared" si="1"/>
        <v>NOXT</v>
      </c>
      <c r="FG6" s="1103" t="str">
        <f t="shared" si="1"/>
        <v>SO2T</v>
      </c>
      <c r="FH6" s="1103" t="str">
        <f t="shared" si="1"/>
        <v>SO2T</v>
      </c>
      <c r="FI6" s="1103" t="str">
        <f t="shared" si="1"/>
        <v>SO2T</v>
      </c>
      <c r="FJ6" s="1103" t="str">
        <f t="shared" si="1"/>
        <v>SO2T</v>
      </c>
      <c r="FK6" s="1103" t="str">
        <f t="shared" si="1"/>
        <v>SO2T</v>
      </c>
      <c r="FL6" s="1103" t="str">
        <f t="shared" si="1"/>
        <v>SO2T</v>
      </c>
      <c r="FM6" s="1103" t="str">
        <f t="shared" si="1"/>
        <v>SO2T</v>
      </c>
      <c r="FN6" s="1103" t="str">
        <f t="shared" si="1"/>
        <v>SO2T</v>
      </c>
      <c r="FO6" s="1103" t="str">
        <f t="shared" si="1"/>
        <v>SO2T</v>
      </c>
      <c r="FP6" s="1103" t="str">
        <f t="shared" si="1"/>
        <v>SO2T</v>
      </c>
      <c r="FQ6" s="1103" t="str">
        <f t="shared" si="1"/>
        <v>SO2T</v>
      </c>
      <c r="FR6" s="1103" t="str">
        <f t="shared" si="1"/>
        <v>PM10T</v>
      </c>
      <c r="FS6" s="1103" t="str">
        <f t="shared" si="1"/>
        <v>PM10T</v>
      </c>
      <c r="FT6" s="1103" t="str">
        <f t="shared" si="1"/>
        <v>PM10T</v>
      </c>
      <c r="FU6" s="1103" t="str">
        <f t="shared" si="1"/>
        <v>PM10T</v>
      </c>
      <c r="FV6" s="1103" t="str">
        <f t="shared" si="1"/>
        <v>PM10T</v>
      </c>
      <c r="FW6" s="1103" t="str">
        <f t="shared" si="1"/>
        <v>PM10T</v>
      </c>
      <c r="FX6" s="1103" t="str">
        <f t="shared" si="1"/>
        <v>PM10T</v>
      </c>
      <c r="FY6" s="1103" t="str">
        <f t="shared" si="1"/>
        <v>PM10T</v>
      </c>
      <c r="FZ6" s="1103" t="str">
        <f t="shared" si="1"/>
        <v>PM10T</v>
      </c>
      <c r="GA6" s="1103" t="str">
        <f t="shared" si="1"/>
        <v>PM10T</v>
      </c>
      <c r="GB6" s="1103" t="str">
        <f t="shared" si="1"/>
        <v>PM10T</v>
      </c>
      <c r="GC6" s="1103" t="str">
        <f t="shared" si="1"/>
        <v>PM25T</v>
      </c>
      <c r="GD6" s="1103" t="str">
        <f t="shared" si="1"/>
        <v>PM25T</v>
      </c>
      <c r="GE6" s="1103" t="str">
        <f t="shared" si="1"/>
        <v>PM25T</v>
      </c>
      <c r="GF6" s="1103" t="str">
        <f t="shared" si="1"/>
        <v>PM25T</v>
      </c>
      <c r="GG6" s="1103" t="str">
        <f t="shared" si="1"/>
        <v>PM25T</v>
      </c>
      <c r="GH6" s="1103" t="str">
        <f t="shared" si="1"/>
        <v>PM25T</v>
      </c>
      <c r="GI6" s="1103" t="str">
        <f t="shared" si="1"/>
        <v>PM25T</v>
      </c>
      <c r="GJ6" s="1103" t="str">
        <f t="shared" si="1"/>
        <v>PM25T</v>
      </c>
      <c r="GK6" s="1103" t="str">
        <f t="shared" si="1"/>
        <v>PM25T</v>
      </c>
      <c r="GL6" s="1103" t="str">
        <f t="shared" si="1"/>
        <v>PM25T</v>
      </c>
      <c r="GM6" s="1103" t="str">
        <f t="shared" si="1"/>
        <v>PM25T</v>
      </c>
    </row>
    <row r="7" spans="1:195" ht="17.25" customHeight="1" x14ac:dyDescent="0.2">
      <c r="G7" s="1103"/>
      <c r="K7" s="1103"/>
      <c r="L7" s="1103"/>
      <c r="M7" s="1103"/>
      <c r="N7" s="1103"/>
      <c r="O7" s="1103"/>
      <c r="P7" s="1103"/>
      <c r="Q7" s="1103"/>
      <c r="R7" s="1103"/>
      <c r="S7" s="1103"/>
      <c r="T7" s="1103"/>
      <c r="U7" s="1103"/>
      <c r="V7" s="1103"/>
      <c r="W7" s="1103"/>
      <c r="X7" s="1103"/>
      <c r="Y7" s="1103"/>
      <c r="Z7" s="1103"/>
      <c r="AA7" s="1103"/>
      <c r="AB7" s="1103"/>
      <c r="AC7" s="1103"/>
      <c r="AD7" s="1103"/>
      <c r="AE7" s="1103"/>
      <c r="AF7" s="1103"/>
      <c r="AG7" s="1103"/>
      <c r="AH7" s="1103"/>
      <c r="AI7" s="1103"/>
      <c r="AJ7" s="1103"/>
      <c r="AK7" s="1103"/>
      <c r="AL7" s="1103"/>
      <c r="AM7" s="1103"/>
      <c r="AN7" s="1103"/>
      <c r="AO7" s="1103"/>
      <c r="AP7" s="1103"/>
      <c r="AQ7" s="1103"/>
      <c r="AR7" s="1103"/>
      <c r="AS7" s="1103"/>
      <c r="AT7" s="1103"/>
      <c r="AU7" s="1103"/>
      <c r="AV7" s="1103"/>
      <c r="AW7" s="1103"/>
      <c r="AX7" s="1103"/>
      <c r="AY7" s="1103"/>
      <c r="AZ7" s="1103"/>
      <c r="BA7" s="1103"/>
      <c r="BB7" s="1103"/>
      <c r="BC7" s="1103"/>
      <c r="BD7" s="1103"/>
      <c r="BE7" s="1103"/>
      <c r="BF7" s="1103"/>
      <c r="BG7" s="1103"/>
      <c r="BH7" s="1103"/>
      <c r="BI7" s="1103"/>
      <c r="BJ7" s="1103"/>
      <c r="BK7" s="1103"/>
      <c r="BL7" s="1103"/>
      <c r="BM7" s="1103"/>
      <c r="BN7" s="1103"/>
      <c r="BO7" s="1103"/>
      <c r="BP7" s="1103"/>
      <c r="BQ7" s="1103"/>
      <c r="BR7" s="1103"/>
      <c r="BS7" s="1103"/>
      <c r="BT7" s="1103"/>
      <c r="BU7" s="1103"/>
      <c r="BV7" s="1103"/>
      <c r="BW7" s="1103"/>
      <c r="BX7" s="1103"/>
      <c r="BY7" s="1103"/>
      <c r="BZ7" s="1103"/>
      <c r="CA7" s="1103"/>
      <c r="CB7" s="1103"/>
      <c r="CC7" s="1103"/>
      <c r="CD7" s="1103"/>
      <c r="CE7" s="1103"/>
      <c r="CF7" s="1103"/>
      <c r="CG7" s="1103"/>
      <c r="CH7" s="1103"/>
      <c r="CI7" s="1103"/>
      <c r="CJ7" s="1103"/>
      <c r="CK7" s="1103"/>
      <c r="CL7" s="1103"/>
      <c r="CM7" s="1103"/>
      <c r="CN7" s="1103"/>
      <c r="CO7" s="1103"/>
      <c r="CP7" s="1103"/>
      <c r="CQ7" s="1103"/>
      <c r="CR7" s="1103"/>
      <c r="CS7" s="1103"/>
      <c r="CT7" s="1103"/>
      <c r="CU7" s="1103"/>
      <c r="CV7" s="1103"/>
      <c r="CW7" s="1103"/>
      <c r="CX7" s="1103"/>
      <c r="CY7" s="1103"/>
      <c r="CZ7" s="1103"/>
      <c r="DA7" s="1103"/>
      <c r="DB7" s="1103"/>
      <c r="DC7" s="1103"/>
      <c r="DD7" s="1103"/>
      <c r="DE7" s="1103"/>
      <c r="DF7" s="1103"/>
      <c r="DG7" s="1103"/>
      <c r="DH7" s="1103"/>
      <c r="DI7" s="1103"/>
      <c r="DJ7" s="1103"/>
      <c r="DK7" s="1103"/>
      <c r="DL7" s="1103"/>
      <c r="DM7" s="1103"/>
      <c r="DN7" s="1103"/>
      <c r="DO7" s="1103"/>
      <c r="DP7" s="1103"/>
      <c r="DQ7" s="1103"/>
      <c r="DR7" s="1103"/>
      <c r="DS7" s="1103"/>
      <c r="DT7" s="1103"/>
      <c r="DU7" s="1103"/>
      <c r="DV7" s="1103"/>
      <c r="DW7" s="1103"/>
      <c r="DX7" s="1103"/>
      <c r="DY7" s="1103"/>
      <c r="DZ7" s="1103"/>
      <c r="EA7" s="1103"/>
      <c r="EB7" s="1103"/>
      <c r="EC7" s="1103"/>
      <c r="ED7" s="1103"/>
      <c r="EE7" s="1103"/>
      <c r="EF7" s="1103"/>
      <c r="EG7" s="1103"/>
      <c r="EH7" s="1103"/>
      <c r="EI7" s="1103"/>
      <c r="EJ7" s="1103"/>
      <c r="EK7" s="1103"/>
      <c r="EL7" s="1103"/>
      <c r="EM7" s="1103"/>
      <c r="EN7" s="1103"/>
      <c r="EO7" s="1103"/>
      <c r="EP7" s="1103"/>
      <c r="EQ7" s="1103"/>
      <c r="ER7" s="1103"/>
      <c r="ES7" s="1103"/>
      <c r="ET7" s="1103"/>
      <c r="EU7" s="1103"/>
      <c r="EV7" s="1103"/>
      <c r="EW7" s="1103"/>
      <c r="EX7" s="1103"/>
      <c r="EY7" s="1103"/>
      <c r="EZ7" s="1103"/>
      <c r="FA7" s="1103"/>
      <c r="FB7" s="1103"/>
      <c r="FC7" s="1103"/>
      <c r="FD7" s="1103"/>
      <c r="FE7" s="1103"/>
      <c r="FF7" s="1103"/>
      <c r="FG7" s="1103"/>
      <c r="FH7" s="1103"/>
      <c r="FI7" s="1103"/>
      <c r="FJ7" s="1103"/>
      <c r="FK7" s="1103"/>
      <c r="FL7" s="1103"/>
      <c r="FM7" s="1103"/>
      <c r="FN7" s="1103"/>
      <c r="FO7" s="1103"/>
      <c r="FP7" s="1103"/>
      <c r="FQ7" s="1103"/>
      <c r="FR7" s="1103"/>
      <c r="FS7" s="1103"/>
      <c r="FT7" s="1103"/>
      <c r="FU7" s="1103"/>
      <c r="FV7" s="1103"/>
      <c r="FW7" s="1103"/>
      <c r="FX7" s="1103"/>
      <c r="FY7" s="1103"/>
      <c r="FZ7" s="1103"/>
      <c r="GA7" s="1103"/>
      <c r="GB7" s="1103"/>
      <c r="GC7" s="1103"/>
      <c r="GD7" s="1103"/>
      <c r="GE7" s="1103"/>
      <c r="GF7" s="1103"/>
      <c r="GG7" s="1103"/>
      <c r="GH7" s="1103"/>
      <c r="GI7" s="1103"/>
      <c r="GJ7" s="1103"/>
      <c r="GK7" s="1103"/>
      <c r="GL7" s="1103"/>
      <c r="GM7" s="1103"/>
    </row>
    <row r="8" spans="1:195" ht="17.25" customHeight="1" x14ac:dyDescent="0.2">
      <c r="G8" s="1103"/>
      <c r="K8" s="1103"/>
      <c r="L8" s="1103"/>
      <c r="M8" s="1103"/>
      <c r="N8" s="1103"/>
      <c r="O8" s="1103"/>
      <c r="P8" s="1103"/>
      <c r="Q8" s="1103"/>
      <c r="R8" s="1103"/>
      <c r="S8" s="1103"/>
      <c r="T8" s="1103"/>
      <c r="U8" s="1103"/>
      <c r="V8" s="1103"/>
      <c r="W8" s="1103"/>
      <c r="X8" s="1103"/>
      <c r="Y8" s="1103"/>
      <c r="Z8" s="1103"/>
      <c r="AA8" s="1103"/>
      <c r="AB8" s="1103"/>
      <c r="AC8" s="1103"/>
      <c r="AD8" s="1103"/>
      <c r="AE8" s="1103"/>
      <c r="AF8" s="1103"/>
      <c r="AG8" s="1103"/>
      <c r="AH8" s="1103"/>
      <c r="AI8" s="1103"/>
      <c r="AJ8" s="1103"/>
      <c r="AK8" s="1103"/>
      <c r="AL8" s="1103"/>
      <c r="AM8" s="1103"/>
      <c r="AN8" s="1103"/>
      <c r="AO8" s="1103"/>
      <c r="AP8" s="1103"/>
      <c r="AQ8" s="1103"/>
      <c r="AR8" s="1103"/>
      <c r="AS8" s="1103"/>
      <c r="AT8" s="1103"/>
      <c r="AU8" s="1103"/>
      <c r="AV8" s="1103"/>
      <c r="AW8" s="1103"/>
      <c r="AX8" s="1103"/>
      <c r="AY8" s="1103"/>
      <c r="AZ8" s="1103"/>
      <c r="BA8" s="1103"/>
      <c r="BB8" s="1103"/>
      <c r="BC8" s="1103"/>
      <c r="BD8" s="1103"/>
      <c r="BE8" s="1103"/>
      <c r="BF8" s="1103"/>
      <c r="BG8" s="1103"/>
      <c r="BH8" s="1103"/>
      <c r="BI8" s="1103"/>
      <c r="BJ8" s="1103"/>
      <c r="BK8" s="1103"/>
      <c r="BL8" s="1103"/>
      <c r="BM8" s="1103"/>
      <c r="BN8" s="1103"/>
      <c r="BO8" s="1103"/>
      <c r="BP8" s="1103"/>
      <c r="BQ8" s="1103"/>
      <c r="BR8" s="1103"/>
      <c r="BS8" s="1103"/>
      <c r="BT8" s="1103"/>
      <c r="BU8" s="1103"/>
      <c r="BV8" s="1103"/>
      <c r="BW8" s="1103"/>
      <c r="BX8" s="1103"/>
      <c r="BY8" s="1103"/>
      <c r="BZ8" s="1103"/>
      <c r="CA8" s="1103"/>
      <c r="CB8" s="1103"/>
      <c r="CC8" s="1103"/>
      <c r="CD8" s="1103"/>
      <c r="CE8" s="1103"/>
      <c r="CF8" s="1103"/>
      <c r="CG8" s="1103"/>
      <c r="CH8" s="1103"/>
      <c r="CI8" s="1103"/>
      <c r="CJ8" s="1103"/>
      <c r="CK8" s="1103"/>
      <c r="CL8" s="1103"/>
      <c r="CM8" s="1103"/>
      <c r="CN8" s="1103"/>
      <c r="CO8" s="1103"/>
      <c r="CP8" s="1103"/>
      <c r="CQ8" s="1103"/>
      <c r="CR8" s="1103"/>
      <c r="CS8" s="1103"/>
      <c r="CT8" s="1103"/>
      <c r="CU8" s="1103"/>
      <c r="CV8" s="1103"/>
      <c r="CW8" s="1103"/>
      <c r="CX8" s="1103"/>
      <c r="CY8" s="1103"/>
      <c r="CZ8" s="1103"/>
      <c r="DA8" s="1103"/>
      <c r="DB8" s="1103"/>
      <c r="DC8" s="1103"/>
      <c r="DD8" s="1103"/>
      <c r="DE8" s="1103"/>
      <c r="DF8" s="1103"/>
      <c r="DG8" s="1103"/>
      <c r="DH8" s="1103"/>
      <c r="DI8" s="1103"/>
      <c r="DJ8" s="1103"/>
      <c r="DK8" s="1103"/>
      <c r="DL8" s="1103"/>
      <c r="DM8" s="1103"/>
      <c r="DN8" s="1103"/>
      <c r="DO8" s="1103"/>
      <c r="DP8" s="1103"/>
      <c r="DQ8" s="1103"/>
      <c r="DR8" s="1103"/>
      <c r="DS8" s="1103"/>
      <c r="DT8" s="1103"/>
      <c r="DU8" s="1103"/>
      <c r="DV8" s="1103"/>
      <c r="DW8" s="1103"/>
      <c r="DX8" s="1103"/>
      <c r="DY8" s="1103"/>
      <c r="DZ8" s="1103"/>
      <c r="EA8" s="1103"/>
      <c r="EB8" s="1103"/>
      <c r="EC8" s="1103"/>
      <c r="ED8" s="1103"/>
      <c r="EE8" s="1103"/>
      <c r="EF8" s="1103"/>
      <c r="EG8" s="1103"/>
      <c r="EH8" s="1103"/>
      <c r="EI8" s="1103"/>
      <c r="EJ8" s="1103"/>
      <c r="EK8" s="1103"/>
      <c r="EL8" s="1103"/>
      <c r="EM8" s="1103"/>
      <c r="EN8" s="1103"/>
      <c r="EO8" s="1103"/>
      <c r="EP8" s="1103"/>
      <c r="EQ8" s="1103"/>
      <c r="ER8" s="1103"/>
      <c r="ES8" s="1103"/>
      <c r="ET8" s="1103"/>
      <c r="EU8" s="1103"/>
      <c r="EV8" s="1103"/>
      <c r="EW8" s="1103"/>
      <c r="EX8" s="1103"/>
      <c r="EY8" s="1103"/>
      <c r="EZ8" s="1103"/>
      <c r="FA8" s="1103"/>
      <c r="FB8" s="1103"/>
      <c r="FC8" s="1103"/>
      <c r="FD8" s="1103"/>
      <c r="FE8" s="1103"/>
      <c r="FF8" s="1103"/>
      <c r="FG8" s="1103"/>
      <c r="FH8" s="1103"/>
      <c r="FI8" s="1103"/>
      <c r="FJ8" s="1103"/>
      <c r="FK8" s="1103"/>
      <c r="FL8" s="1103"/>
      <c r="FM8" s="1103"/>
      <c r="FN8" s="1103"/>
      <c r="FO8" s="1103"/>
      <c r="FP8" s="1103"/>
      <c r="FQ8" s="1103"/>
      <c r="FR8" s="1103"/>
      <c r="FS8" s="1103"/>
      <c r="FT8" s="1103"/>
      <c r="FU8" s="1103"/>
      <c r="FV8" s="1103"/>
      <c r="FW8" s="1103"/>
      <c r="FX8" s="1103"/>
      <c r="FY8" s="1103"/>
      <c r="FZ8" s="1103"/>
      <c r="GA8" s="1103"/>
      <c r="GB8" s="1103"/>
      <c r="GC8" s="1103"/>
      <c r="GD8" s="1103"/>
      <c r="GE8" s="1103"/>
      <c r="GF8" s="1103"/>
      <c r="GG8" s="1103"/>
      <c r="GH8" s="1103"/>
      <c r="GI8" s="1103"/>
      <c r="GJ8" s="1103"/>
      <c r="GK8" s="1103"/>
      <c r="GL8" s="1103"/>
      <c r="GM8" s="1103"/>
    </row>
    <row r="9" spans="1:195" ht="17.25" customHeight="1" x14ac:dyDescent="0.2">
      <c r="G9" s="1103"/>
      <c r="K9" s="1103"/>
      <c r="L9" s="1103"/>
      <c r="M9" s="1103"/>
      <c r="N9" s="1103"/>
      <c r="O9" s="1103"/>
      <c r="P9" s="1103"/>
      <c r="Q9" s="1103"/>
      <c r="R9" s="1103"/>
      <c r="S9" s="1103"/>
      <c r="T9" s="1103"/>
      <c r="U9" s="1103"/>
      <c r="V9" s="1103"/>
      <c r="W9" s="1103"/>
      <c r="X9" s="1103"/>
      <c r="Y9" s="1103"/>
      <c r="Z9" s="1103"/>
      <c r="AA9" s="1103"/>
      <c r="AB9" s="1103"/>
      <c r="AC9" s="1103"/>
      <c r="AD9" s="1103"/>
      <c r="AE9" s="1103"/>
      <c r="AF9" s="1103"/>
      <c r="AG9" s="1103"/>
      <c r="AH9" s="1103"/>
      <c r="AI9" s="1103"/>
      <c r="AJ9" s="1103"/>
      <c r="AK9" s="1103"/>
      <c r="AL9" s="1103"/>
      <c r="AM9" s="1103"/>
      <c r="AN9" s="1103"/>
      <c r="AO9" s="1103"/>
      <c r="AP9" s="1103"/>
      <c r="AQ9" s="1103"/>
      <c r="AR9" s="1103"/>
      <c r="AS9" s="1103"/>
      <c r="AT9" s="1103"/>
      <c r="AU9" s="1103"/>
      <c r="AV9" s="1103"/>
      <c r="AW9" s="1103"/>
      <c r="AX9" s="1103"/>
      <c r="AY9" s="1103"/>
      <c r="AZ9" s="1103"/>
      <c r="BA9" s="1103"/>
      <c r="BB9" s="1103"/>
      <c r="BC9" s="1103"/>
      <c r="BD9" s="1103"/>
      <c r="BE9" s="1103"/>
      <c r="BF9" s="1103"/>
      <c r="BG9" s="1103"/>
      <c r="BH9" s="1103"/>
      <c r="BI9" s="1103"/>
      <c r="BJ9" s="1103"/>
      <c r="BK9" s="1103"/>
      <c r="BL9" s="1103"/>
      <c r="BM9" s="1103"/>
      <c r="BN9" s="1103"/>
      <c r="BO9" s="1103"/>
      <c r="BP9" s="1103"/>
      <c r="BQ9" s="1103"/>
      <c r="BR9" s="1103"/>
      <c r="BS9" s="1103"/>
      <c r="BT9" s="1103"/>
      <c r="BU9" s="1103"/>
      <c r="BV9" s="1103"/>
      <c r="BW9" s="1103"/>
      <c r="BX9" s="1103"/>
      <c r="BY9" s="1103"/>
      <c r="BZ9" s="1103"/>
      <c r="CA9" s="1103"/>
      <c r="CB9" s="1103"/>
      <c r="CC9" s="1103"/>
      <c r="CD9" s="1103"/>
      <c r="CE9" s="1103"/>
      <c r="CF9" s="1103"/>
      <c r="CG9" s="1103"/>
      <c r="CH9" s="1103"/>
      <c r="CI9" s="1103"/>
      <c r="CJ9" s="1103"/>
      <c r="CK9" s="1103"/>
      <c r="CL9" s="1103"/>
      <c r="CM9" s="1103"/>
      <c r="CN9" s="1103"/>
      <c r="CO9" s="1103"/>
      <c r="CP9" s="1103"/>
      <c r="CQ9" s="1103"/>
      <c r="CR9" s="1103"/>
      <c r="CS9" s="1103"/>
      <c r="CT9" s="1103"/>
      <c r="CU9" s="1103"/>
      <c r="CV9" s="1103"/>
      <c r="CW9" s="1103"/>
      <c r="CX9" s="1103"/>
      <c r="CY9" s="1103"/>
      <c r="CZ9" s="1103"/>
      <c r="DA9" s="1103"/>
      <c r="DB9" s="1103"/>
      <c r="DC9" s="1103"/>
      <c r="DD9" s="1103"/>
      <c r="DE9" s="1103"/>
      <c r="DF9" s="1103"/>
      <c r="DG9" s="1103"/>
      <c r="DH9" s="1103"/>
      <c r="DI9" s="1103"/>
      <c r="DJ9" s="1103"/>
      <c r="DK9" s="1103"/>
      <c r="DL9" s="1103"/>
      <c r="DM9" s="1103"/>
      <c r="DN9" s="1103"/>
      <c r="DO9" s="1103"/>
      <c r="DP9" s="1103"/>
      <c r="DQ9" s="1103"/>
      <c r="DR9" s="1103"/>
      <c r="DS9" s="1103"/>
      <c r="DT9" s="1103"/>
      <c r="DU9" s="1103"/>
      <c r="DV9" s="1103"/>
      <c r="DW9" s="1103"/>
      <c r="DX9" s="1103"/>
      <c r="DY9" s="1103"/>
      <c r="DZ9" s="1103"/>
      <c r="EA9" s="1103"/>
      <c r="EB9" s="1103"/>
      <c r="EC9" s="1103"/>
      <c r="ED9" s="1103"/>
      <c r="EE9" s="1103"/>
      <c r="EF9" s="1103"/>
      <c r="EG9" s="1103"/>
      <c r="EH9" s="1103"/>
      <c r="EI9" s="1103"/>
      <c r="EJ9" s="1103"/>
      <c r="EK9" s="1103"/>
      <c r="EL9" s="1103"/>
      <c r="EM9" s="1103"/>
      <c r="EN9" s="1103"/>
      <c r="EO9" s="1103"/>
      <c r="EP9" s="1103"/>
      <c r="EQ9" s="1103"/>
      <c r="ER9" s="1103"/>
      <c r="ES9" s="1103"/>
      <c r="ET9" s="1103"/>
      <c r="EU9" s="1103"/>
      <c r="EV9" s="1103"/>
      <c r="EW9" s="1103"/>
      <c r="EX9" s="1103"/>
      <c r="EY9" s="1103"/>
      <c r="EZ9" s="1103"/>
      <c r="FA9" s="1103"/>
      <c r="FB9" s="1103"/>
      <c r="FC9" s="1103"/>
      <c r="FD9" s="1103"/>
      <c r="FE9" s="1103"/>
      <c r="FF9" s="1103"/>
      <c r="FG9" s="1103"/>
      <c r="FH9" s="1103"/>
      <c r="FI9" s="1103"/>
      <c r="FJ9" s="1103"/>
      <c r="FK9" s="1103"/>
      <c r="FL9" s="1103"/>
      <c r="FM9" s="1103"/>
      <c r="FN9" s="1103"/>
      <c r="FO9" s="1103"/>
      <c r="FP9" s="1103"/>
      <c r="FQ9" s="1103"/>
      <c r="FR9" s="1103"/>
      <c r="FS9" s="1103"/>
      <c r="FT9" s="1103"/>
      <c r="FU9" s="1103"/>
      <c r="FV9" s="1103"/>
      <c r="FW9" s="1103"/>
      <c r="FX9" s="1103"/>
      <c r="FY9" s="1103"/>
      <c r="FZ9" s="1103"/>
      <c r="GA9" s="1103"/>
      <c r="GB9" s="1103"/>
      <c r="GC9" s="1103"/>
      <c r="GD9" s="1103"/>
      <c r="GE9" s="1103"/>
      <c r="GF9" s="1103"/>
      <c r="GG9" s="1103"/>
      <c r="GH9" s="1103"/>
      <c r="GI9" s="1103"/>
      <c r="GJ9" s="1103"/>
      <c r="GK9" s="1103"/>
      <c r="GL9" s="1103"/>
      <c r="GM9" s="1103"/>
    </row>
    <row r="10" spans="1:195" ht="17.25" customHeight="1" x14ac:dyDescent="0.2">
      <c r="F10" s="1080" t="s">
        <v>2320</v>
      </c>
      <c r="G10" s="1103"/>
      <c r="K10" s="1103"/>
      <c r="L10" s="1103"/>
      <c r="M10" s="1103"/>
      <c r="N10" s="1103"/>
      <c r="O10" s="1103"/>
      <c r="P10" s="1103"/>
      <c r="Q10" s="1103"/>
      <c r="R10" s="1103"/>
      <c r="S10" s="1103"/>
      <c r="T10" s="1103"/>
      <c r="U10" s="1103"/>
      <c r="V10" s="1103"/>
      <c r="W10" s="1103"/>
      <c r="X10" s="1103"/>
      <c r="Y10" s="1103"/>
      <c r="Z10" s="1103"/>
      <c r="AA10" s="1103"/>
      <c r="AB10" s="1103"/>
      <c r="AC10" s="1103"/>
      <c r="AD10" s="1103"/>
      <c r="AE10" s="1103"/>
      <c r="AF10" s="1103"/>
      <c r="AG10" s="1103"/>
      <c r="AH10" s="1103"/>
      <c r="AI10" s="1103"/>
      <c r="AJ10" s="1103"/>
      <c r="AK10" s="1103"/>
      <c r="AL10" s="1103"/>
      <c r="AM10" s="1103"/>
      <c r="AN10" s="1103"/>
      <c r="AO10" s="1103"/>
      <c r="AP10" s="1103"/>
      <c r="AQ10" s="1103"/>
      <c r="AR10" s="1103"/>
      <c r="AS10" s="1103"/>
      <c r="AT10" s="1103"/>
      <c r="AU10" s="1103"/>
      <c r="AV10" s="1103"/>
      <c r="AW10" s="1103"/>
      <c r="AX10" s="1103"/>
      <c r="AY10" s="1103"/>
      <c r="AZ10" s="1103"/>
      <c r="BA10" s="1103"/>
      <c r="BB10" s="1103"/>
      <c r="BC10" s="1103"/>
      <c r="BD10" s="1103"/>
      <c r="BE10" s="1103"/>
      <c r="BF10" s="1103"/>
      <c r="BG10" s="1103"/>
      <c r="BH10" s="1103"/>
      <c r="BI10" s="1103"/>
      <c r="BJ10" s="1103"/>
      <c r="BK10" s="1103"/>
      <c r="BL10" s="1103"/>
      <c r="BM10" s="1103"/>
      <c r="BN10" s="1103"/>
      <c r="BO10" s="1103"/>
      <c r="BP10" s="1103"/>
      <c r="BQ10" s="1103"/>
      <c r="BR10" s="1103"/>
      <c r="BS10" s="1103"/>
      <c r="BT10" s="1103"/>
      <c r="BU10" s="1103"/>
      <c r="BV10" s="1103"/>
      <c r="BW10" s="1103"/>
      <c r="BX10" s="1103"/>
      <c r="BY10" s="1103"/>
      <c r="BZ10" s="1103"/>
      <c r="CA10" s="1103"/>
      <c r="CB10" s="1103"/>
      <c r="CC10" s="1103"/>
      <c r="CD10" s="1103"/>
      <c r="CE10" s="1103"/>
      <c r="CF10" s="1103"/>
      <c r="CG10" s="1103"/>
      <c r="CH10" s="1103"/>
      <c r="CI10" s="1103"/>
      <c r="CJ10" s="1103"/>
      <c r="CK10" s="1103"/>
      <c r="CL10" s="1103"/>
      <c r="CM10" s="1103"/>
      <c r="CN10" s="1103"/>
      <c r="CO10" s="1103"/>
      <c r="CP10" s="1103"/>
      <c r="CQ10" s="1103"/>
      <c r="CR10" s="1103"/>
      <c r="CS10" s="1103"/>
      <c r="CT10" s="1103"/>
      <c r="CU10" s="1103"/>
      <c r="CV10" s="1103"/>
      <c r="CW10" s="1103"/>
      <c r="CX10" s="1103"/>
      <c r="CY10" s="1103"/>
      <c r="CZ10" s="1103"/>
      <c r="DA10" s="1103"/>
      <c r="DB10" s="1103"/>
      <c r="DC10" s="1103"/>
      <c r="DD10" s="1103"/>
      <c r="DE10" s="1103"/>
      <c r="DF10" s="1103"/>
      <c r="DG10" s="1103"/>
      <c r="DH10" s="1103"/>
      <c r="DI10" s="1103"/>
      <c r="DJ10" s="1103"/>
      <c r="DK10" s="1103"/>
      <c r="DL10" s="1103"/>
      <c r="DM10" s="1103"/>
      <c r="DN10" s="1103"/>
      <c r="DO10" s="1103"/>
      <c r="DP10" s="1103"/>
      <c r="DQ10" s="1103"/>
      <c r="DR10" s="1103"/>
      <c r="DS10" s="1103"/>
      <c r="DT10" s="1103"/>
      <c r="DU10" s="1103"/>
      <c r="DV10" s="1103"/>
      <c r="DW10" s="1103"/>
      <c r="DX10" s="1103"/>
      <c r="DY10" s="1103"/>
      <c r="DZ10" s="1103"/>
      <c r="EA10" s="1103"/>
      <c r="EB10" s="1103"/>
      <c r="EC10" s="1103"/>
      <c r="ED10" s="1103"/>
      <c r="EE10" s="1103"/>
      <c r="EF10" s="1103"/>
      <c r="EG10" s="1103"/>
      <c r="EH10" s="1103"/>
      <c r="EI10" s="1103"/>
      <c r="EJ10" s="1103"/>
      <c r="EK10" s="1103"/>
      <c r="EL10" s="1103"/>
      <c r="EM10" s="1103"/>
      <c r="EN10" s="1103"/>
      <c r="EO10" s="1103"/>
      <c r="EP10" s="1103"/>
      <c r="EQ10" s="1103"/>
      <c r="ER10" s="1103"/>
      <c r="ES10" s="1103"/>
      <c r="ET10" s="1103"/>
      <c r="EU10" s="1103"/>
      <c r="EV10" s="1103"/>
      <c r="EW10" s="1103"/>
      <c r="EX10" s="1103"/>
      <c r="EY10" s="1103"/>
      <c r="EZ10" s="1103"/>
      <c r="FA10" s="1103"/>
      <c r="FB10" s="1103"/>
      <c r="FC10" s="1103"/>
      <c r="FD10" s="1103"/>
      <c r="FE10" s="1103"/>
      <c r="FF10" s="1103"/>
      <c r="FG10" s="1103"/>
      <c r="FH10" s="1103"/>
      <c r="FI10" s="1103"/>
      <c r="FJ10" s="1103"/>
      <c r="FK10" s="1103"/>
      <c r="FL10" s="1103"/>
      <c r="FM10" s="1103"/>
      <c r="FN10" s="1103"/>
      <c r="FO10" s="1103"/>
      <c r="FP10" s="1103"/>
      <c r="FQ10" s="1103"/>
      <c r="FR10" s="1103"/>
      <c r="FS10" s="1103"/>
      <c r="FT10" s="1103"/>
      <c r="FU10" s="1103"/>
      <c r="FV10" s="1103"/>
      <c r="FW10" s="1103"/>
      <c r="FX10" s="1103"/>
      <c r="FY10" s="1103"/>
      <c r="FZ10" s="1103"/>
      <c r="GA10" s="1103"/>
      <c r="GB10" s="1103"/>
      <c r="GC10" s="1103"/>
      <c r="GD10" s="1103"/>
      <c r="GE10" s="1103"/>
      <c r="GF10" s="1103"/>
      <c r="GG10" s="1103"/>
      <c r="GH10" s="1103"/>
      <c r="GI10" s="1103"/>
      <c r="GJ10" s="1103"/>
      <c r="GK10" s="1103"/>
      <c r="GL10" s="1103"/>
      <c r="GM10" s="1103"/>
    </row>
    <row r="11" spans="1:195" ht="15.75" customHeight="1" x14ac:dyDescent="0.2">
      <c r="A11" s="1090" t="s">
        <v>717</v>
      </c>
      <c r="B11" s="1090" t="s">
        <v>158</v>
      </c>
      <c r="C11" s="1090" t="s">
        <v>2104</v>
      </c>
      <c r="D11" s="1090" t="s">
        <v>2061</v>
      </c>
      <c r="E11" s="1090" t="s">
        <v>2145</v>
      </c>
      <c r="F11" s="1090" t="s">
        <v>2146</v>
      </c>
      <c r="G11" s="1090" t="s">
        <v>2147</v>
      </c>
      <c r="H11" s="1090" t="s">
        <v>2148</v>
      </c>
      <c r="I11" s="1090" t="s">
        <v>2149</v>
      </c>
      <c r="J11" s="1090" t="s">
        <v>2150</v>
      </c>
      <c r="K11" s="1090" t="s">
        <v>2151</v>
      </c>
      <c r="L11" s="1090" t="s">
        <v>2152</v>
      </c>
      <c r="M11" s="1090" t="s">
        <v>2153</v>
      </c>
      <c r="N11" s="1090" t="s">
        <v>2154</v>
      </c>
      <c r="O11" s="1090" t="s">
        <v>2155</v>
      </c>
      <c r="P11" s="1090" t="s">
        <v>2156</v>
      </c>
      <c r="Q11" s="1090" t="s">
        <v>2157</v>
      </c>
      <c r="R11" s="1090" t="s">
        <v>2158</v>
      </c>
      <c r="S11" s="1090" t="s">
        <v>2159</v>
      </c>
      <c r="T11" s="1090" t="s">
        <v>2160</v>
      </c>
      <c r="U11" s="1090" t="s">
        <v>2105</v>
      </c>
      <c r="V11" s="1090" t="s">
        <v>2107</v>
      </c>
      <c r="W11" s="1090" t="s">
        <v>2108</v>
      </c>
      <c r="X11" s="1090" t="s">
        <v>2109</v>
      </c>
      <c r="Y11" s="1090" t="s">
        <v>2161</v>
      </c>
      <c r="Z11" s="1090" t="s">
        <v>2162</v>
      </c>
      <c r="AA11" s="1090" t="s">
        <v>2163</v>
      </c>
      <c r="AB11" s="1090" t="s">
        <v>2164</v>
      </c>
      <c r="AC11" s="1090" t="s">
        <v>2165</v>
      </c>
      <c r="AD11" s="1090" t="s">
        <v>2106</v>
      </c>
      <c r="AE11" s="1090" t="s">
        <v>2166</v>
      </c>
      <c r="AF11" s="1090" t="s">
        <v>2110</v>
      </c>
      <c r="AG11" s="1090" t="s">
        <v>2111</v>
      </c>
      <c r="AH11" s="1090" t="s">
        <v>2112</v>
      </c>
      <c r="AI11" s="1090" t="s">
        <v>2113</v>
      </c>
      <c r="AJ11" s="1090" t="s">
        <v>2167</v>
      </c>
      <c r="AK11" s="1090" t="s">
        <v>2168</v>
      </c>
      <c r="AL11" s="1090" t="s">
        <v>2169</v>
      </c>
      <c r="AM11" s="1090" t="s">
        <v>2170</v>
      </c>
      <c r="AN11" s="1090" t="s">
        <v>2171</v>
      </c>
      <c r="AO11" s="1090" t="s">
        <v>2114</v>
      </c>
      <c r="AP11" s="1090" t="s">
        <v>2172</v>
      </c>
      <c r="AQ11" s="1090" t="s">
        <v>2115</v>
      </c>
      <c r="AR11" s="1090" t="s">
        <v>2173</v>
      </c>
      <c r="AS11" s="1090" t="s">
        <v>2174</v>
      </c>
      <c r="AT11" s="1090" t="s">
        <v>2175</v>
      </c>
      <c r="AU11" s="1090" t="s">
        <v>2176</v>
      </c>
      <c r="AV11" s="1090" t="s">
        <v>2177</v>
      </c>
      <c r="AW11" s="1090" t="s">
        <v>2178</v>
      </c>
      <c r="AX11" s="1090" t="s">
        <v>2179</v>
      </c>
      <c r="AY11" s="1090" t="s">
        <v>2180</v>
      </c>
      <c r="AZ11" s="1090" t="s">
        <v>2116</v>
      </c>
      <c r="BA11" s="1090" t="s">
        <v>2181</v>
      </c>
      <c r="BB11" s="1090" t="s">
        <v>2117</v>
      </c>
      <c r="BC11" s="1090" t="s">
        <v>2182</v>
      </c>
      <c r="BD11" s="1090" t="s">
        <v>2183</v>
      </c>
      <c r="BE11" s="1090" t="s">
        <v>2184</v>
      </c>
      <c r="BF11" s="1090" t="s">
        <v>2185</v>
      </c>
      <c r="BG11" s="1090" t="s">
        <v>2186</v>
      </c>
      <c r="BH11" s="1090" t="s">
        <v>2187</v>
      </c>
      <c r="BI11" s="1090" t="s">
        <v>2188</v>
      </c>
      <c r="BJ11" s="1090" t="s">
        <v>2189</v>
      </c>
      <c r="BK11" s="1090" t="s">
        <v>2118</v>
      </c>
      <c r="BL11" s="1090" t="s">
        <v>2190</v>
      </c>
      <c r="BM11" s="1090" t="s">
        <v>2119</v>
      </c>
      <c r="BN11" s="1090" t="s">
        <v>2191</v>
      </c>
      <c r="BO11" s="1090" t="s">
        <v>2192</v>
      </c>
      <c r="BP11" s="1090" t="s">
        <v>2193</v>
      </c>
      <c r="BQ11" s="1090" t="s">
        <v>2194</v>
      </c>
      <c r="BR11" s="1090" t="s">
        <v>2195</v>
      </c>
      <c r="BS11" s="1090" t="s">
        <v>2196</v>
      </c>
      <c r="BT11" s="1090" t="s">
        <v>2197</v>
      </c>
      <c r="BU11" s="1090" t="s">
        <v>2198</v>
      </c>
      <c r="BV11" s="1090" t="s">
        <v>2120</v>
      </c>
      <c r="BW11" s="1090" t="s">
        <v>2199</v>
      </c>
      <c r="BX11" s="1090" t="s">
        <v>2125</v>
      </c>
      <c r="BY11" s="1090" t="s">
        <v>2200</v>
      </c>
      <c r="BZ11" s="1090" t="s">
        <v>2201</v>
      </c>
      <c r="CA11" s="1090" t="s">
        <v>2202</v>
      </c>
      <c r="CB11" s="1090" t="s">
        <v>2203</v>
      </c>
      <c r="CC11" s="1090" t="s">
        <v>2204</v>
      </c>
      <c r="CD11" s="1090" t="s">
        <v>2205</v>
      </c>
      <c r="CE11" s="1090" t="s">
        <v>2206</v>
      </c>
      <c r="CF11" s="1090" t="s">
        <v>2207</v>
      </c>
      <c r="CG11" s="1090" t="s">
        <v>2126</v>
      </c>
      <c r="CH11" s="1090" t="s">
        <v>2208</v>
      </c>
      <c r="CI11" s="1090" t="s">
        <v>2209</v>
      </c>
      <c r="CJ11" s="1090" t="s">
        <v>2210</v>
      </c>
      <c r="CK11" s="1090" t="s">
        <v>2211</v>
      </c>
      <c r="CL11" s="1090" t="s">
        <v>2212</v>
      </c>
      <c r="CM11" s="1090" t="s">
        <v>2213</v>
      </c>
      <c r="CN11" s="1090" t="s">
        <v>2214</v>
      </c>
      <c r="CO11" s="1090" t="s">
        <v>2215</v>
      </c>
      <c r="CP11" s="1090" t="s">
        <v>2216</v>
      </c>
      <c r="CQ11" s="1090" t="s">
        <v>2217</v>
      </c>
      <c r="CR11" s="1090" t="s">
        <v>2218</v>
      </c>
      <c r="CS11" s="1090" t="s">
        <v>2219</v>
      </c>
      <c r="CT11" s="1090" t="s">
        <v>2121</v>
      </c>
      <c r="CU11" s="1090" t="s">
        <v>2220</v>
      </c>
      <c r="CV11" s="1090" t="s">
        <v>2221</v>
      </c>
      <c r="CW11" s="1090" t="s">
        <v>2222</v>
      </c>
      <c r="CX11" s="1090" t="s">
        <v>2223</v>
      </c>
      <c r="CY11" s="1090" t="s">
        <v>2224</v>
      </c>
      <c r="CZ11" s="1090" t="s">
        <v>2225</v>
      </c>
      <c r="DA11" s="1090" t="s">
        <v>2226</v>
      </c>
      <c r="DB11" s="1090" t="s">
        <v>2227</v>
      </c>
      <c r="DC11" s="1090" t="s">
        <v>2122</v>
      </c>
      <c r="DD11" s="1090" t="s">
        <v>2228</v>
      </c>
      <c r="DE11" s="1090" t="s">
        <v>2127</v>
      </c>
      <c r="DF11" s="1090" t="s">
        <v>2229</v>
      </c>
      <c r="DG11" s="1090" t="s">
        <v>2230</v>
      </c>
      <c r="DH11" s="1090" t="s">
        <v>2231</v>
      </c>
      <c r="DI11" s="1090" t="s">
        <v>2232</v>
      </c>
      <c r="DJ11" s="1090" t="s">
        <v>2233</v>
      </c>
      <c r="DK11" s="1090" t="s">
        <v>2234</v>
      </c>
      <c r="DL11" s="1090" t="s">
        <v>2235</v>
      </c>
      <c r="DM11" s="1090" t="s">
        <v>2236</v>
      </c>
      <c r="DN11" s="1090" t="s">
        <v>2128</v>
      </c>
      <c r="DO11" s="1090" t="s">
        <v>2237</v>
      </c>
      <c r="DP11" s="1090" t="s">
        <v>2129</v>
      </c>
      <c r="DQ11" s="1090" t="s">
        <v>2238</v>
      </c>
      <c r="DR11" s="1090" t="s">
        <v>2239</v>
      </c>
      <c r="DS11" s="1090" t="s">
        <v>2240</v>
      </c>
      <c r="DT11" s="1090" t="s">
        <v>2241</v>
      </c>
      <c r="DU11" s="1090" t="s">
        <v>2242</v>
      </c>
      <c r="DV11" s="1090" t="s">
        <v>2243</v>
      </c>
      <c r="DW11" s="1090" t="s">
        <v>2244</v>
      </c>
      <c r="DX11" s="1090" t="s">
        <v>2245</v>
      </c>
      <c r="DY11" s="1090" t="s">
        <v>2130</v>
      </c>
      <c r="DZ11" s="1090" t="s">
        <v>2246</v>
      </c>
      <c r="EA11" s="1090" t="s">
        <v>2123</v>
      </c>
      <c r="EB11" s="1090" t="s">
        <v>2247</v>
      </c>
      <c r="EC11" s="1090" t="s">
        <v>2248</v>
      </c>
      <c r="ED11" s="1090" t="s">
        <v>2249</v>
      </c>
      <c r="EE11" s="1090" t="s">
        <v>2250</v>
      </c>
      <c r="EF11" s="1090" t="s">
        <v>2251</v>
      </c>
      <c r="EG11" s="1090" t="s">
        <v>2252</v>
      </c>
      <c r="EH11" s="1090" t="s">
        <v>2253</v>
      </c>
      <c r="EI11" s="1090" t="s">
        <v>2254</v>
      </c>
      <c r="EJ11" s="1090" t="s">
        <v>2124</v>
      </c>
      <c r="EK11" s="1090" t="s">
        <v>2255</v>
      </c>
      <c r="EL11" s="1090" t="s">
        <v>2256</v>
      </c>
      <c r="EM11" s="1090" t="s">
        <v>2257</v>
      </c>
      <c r="EN11" s="1090" t="s">
        <v>2258</v>
      </c>
      <c r="EO11" s="1090" t="s">
        <v>2259</v>
      </c>
      <c r="EP11" s="1090" t="s">
        <v>2260</v>
      </c>
      <c r="EQ11" s="1090" t="s">
        <v>2261</v>
      </c>
      <c r="ER11" s="1090" t="s">
        <v>2262</v>
      </c>
      <c r="ES11" s="1090" t="s">
        <v>2263</v>
      </c>
      <c r="ET11" s="1090" t="s">
        <v>2264</v>
      </c>
      <c r="EU11" s="1090" t="s">
        <v>2265</v>
      </c>
      <c r="EV11" s="1090" t="s">
        <v>2266</v>
      </c>
      <c r="EW11" s="1090" t="s">
        <v>2131</v>
      </c>
      <c r="EX11" s="1090" t="s">
        <v>2132</v>
      </c>
      <c r="EY11" s="1090" t="s">
        <v>2133</v>
      </c>
      <c r="EZ11" s="1090" t="s">
        <v>2134</v>
      </c>
      <c r="FA11" s="1090" t="s">
        <v>2267</v>
      </c>
      <c r="FB11" s="1090" t="s">
        <v>2268</v>
      </c>
      <c r="FC11" s="1090" t="s">
        <v>2269</v>
      </c>
      <c r="FD11" s="1090" t="s">
        <v>2270</v>
      </c>
      <c r="FE11" s="1090" t="s">
        <v>2271</v>
      </c>
      <c r="FF11" s="1090" t="s">
        <v>2135</v>
      </c>
      <c r="FG11" s="1090" t="s">
        <v>2272</v>
      </c>
      <c r="FH11" s="1090" t="s">
        <v>2136</v>
      </c>
      <c r="FI11" s="1090" t="s">
        <v>2137</v>
      </c>
      <c r="FJ11" s="1090" t="s">
        <v>2138</v>
      </c>
      <c r="FK11" s="1090" t="s">
        <v>2139</v>
      </c>
      <c r="FL11" s="1090" t="s">
        <v>2273</v>
      </c>
      <c r="FM11" s="1090" t="s">
        <v>2274</v>
      </c>
      <c r="FN11" s="1090" t="s">
        <v>2275</v>
      </c>
      <c r="FO11" s="1090" t="s">
        <v>2276</v>
      </c>
      <c r="FP11" s="1090" t="s">
        <v>2277</v>
      </c>
      <c r="FQ11" s="1090" t="s">
        <v>2140</v>
      </c>
      <c r="FR11" s="1090" t="s">
        <v>2278</v>
      </c>
      <c r="FS11" s="1090" t="s">
        <v>2141</v>
      </c>
      <c r="FT11" s="1090" t="s">
        <v>2279</v>
      </c>
      <c r="FU11" s="1090" t="s">
        <v>2280</v>
      </c>
      <c r="FV11" s="1090" t="s">
        <v>2281</v>
      </c>
      <c r="FW11" s="1090" t="s">
        <v>2282</v>
      </c>
      <c r="FX11" s="1090" t="s">
        <v>2283</v>
      </c>
      <c r="FY11" s="1090" t="s">
        <v>2284</v>
      </c>
      <c r="FZ11" s="1090" t="s">
        <v>2285</v>
      </c>
      <c r="GA11" s="1090" t="s">
        <v>2286</v>
      </c>
      <c r="GB11" s="1090" t="s">
        <v>2142</v>
      </c>
      <c r="GC11" s="1090" t="s">
        <v>2287</v>
      </c>
      <c r="GD11" s="1090" t="s">
        <v>2143</v>
      </c>
      <c r="GE11" s="1090" t="s">
        <v>2288</v>
      </c>
      <c r="GF11" s="1090" t="s">
        <v>2289</v>
      </c>
      <c r="GG11" s="1090" t="s">
        <v>2290</v>
      </c>
      <c r="GH11" s="1090" t="s">
        <v>2291</v>
      </c>
      <c r="GI11" s="1090" t="s">
        <v>2292</v>
      </c>
      <c r="GJ11" s="1090" t="s">
        <v>2293</v>
      </c>
      <c r="GK11" s="1090" t="s">
        <v>2294</v>
      </c>
      <c r="GL11" s="1090" t="s">
        <v>2295</v>
      </c>
      <c r="GM11" s="1090" t="s">
        <v>2144</v>
      </c>
    </row>
    <row r="12" spans="1:195" x14ac:dyDescent="0.2">
      <c r="A12" s="1071" t="s">
        <v>182</v>
      </c>
      <c r="B12" s="1071" t="str">
        <f>TechData!B11</f>
        <v>TBDSLE</v>
      </c>
      <c r="C12" s="1071" t="str">
        <f>TechData!C11</f>
        <v>Bus, Exisiting Diesel</v>
      </c>
      <c r="D12" s="1071" t="str">
        <f>TechData!D11</f>
        <v>bn-vmt, bn-vmt/a</v>
      </c>
      <c r="E12" s="1071" t="str">
        <f>TechData!E11</f>
        <v>TBDSL</v>
      </c>
      <c r="F12" s="1071" t="str">
        <f>TechData!F11</f>
        <v>TB</v>
      </c>
      <c r="G12" s="1110" t="s">
        <v>498</v>
      </c>
      <c r="H12" s="1111" t="s">
        <v>499</v>
      </c>
      <c r="I12" s="1112">
        <v>1</v>
      </c>
      <c r="J12" s="1111" t="str">
        <f>CONCATENATE(G12,"-",H12)</f>
        <v>Bus-DSL</v>
      </c>
      <c r="K12" s="1111">
        <f>SUMIFS(NewEmisData!E:E, NewEmisData!$A:$A, $G12, NewEmisData!$B:$B, $A12, NewEmisData!$C:$C, $H12, NewEmisData!$D:$D, K$6)</f>
        <v>1573.0981920694501</v>
      </c>
      <c r="L12" s="1111">
        <f>SUMIFS(NewEmisData!F:F, NewEmisData!$A:$A, $G12, NewEmisData!$B:$B, $A12, NewEmisData!$C:$C, $H12, NewEmisData!$D:$D, L$6)</f>
        <v>1544.3679757121099</v>
      </c>
      <c r="M12" s="1111">
        <f>SUMIFS(NewEmisData!G:G, NewEmisData!$A:$A, $G12, NewEmisData!$B:$B, $A12, NewEmisData!$C:$C, $H12, NewEmisData!$D:$D, M$6)</f>
        <v>1916.5843083058301</v>
      </c>
      <c r="N12" s="1111">
        <f>SUMIFS(NewEmisData!H:H, NewEmisData!$A:$A, $G12, NewEmisData!$B:$B, $A12, NewEmisData!$C:$C, $H12, NewEmisData!$D:$D, N$6)</f>
        <v>1868.9930069357799</v>
      </c>
      <c r="O12" s="1111">
        <f>SUMIFS(NewEmisData!I:I, NewEmisData!$A:$A, $G12, NewEmisData!$B:$B, $A12, NewEmisData!$C:$C, $H12, NewEmisData!$D:$D, O$6)</f>
        <v>1812.7966575929599</v>
      </c>
      <c r="P12" s="1111">
        <f>SUMIFS(NewEmisData!J:J, NewEmisData!$A:$A, $G12, NewEmisData!$B:$B, $A12, NewEmisData!$C:$C, $H12, NewEmisData!$D:$D, P$6)</f>
        <v>1785.4009056329501</v>
      </c>
      <c r="Q12" s="1111">
        <f>SUMIFS(NewEmisData!K:K, NewEmisData!$A:$A, $G12, NewEmisData!$B:$B, $A12, NewEmisData!$C:$C, $H12, NewEmisData!$D:$D, Q$6)</f>
        <v>1781.1669913012199</v>
      </c>
      <c r="R12" s="1111">
        <f>SUMIFS(NewEmisData!L:L, NewEmisData!$A:$A, $G12, NewEmisData!$B:$B, $A12, NewEmisData!$C:$C, $H12, NewEmisData!$D:$D, R$6)</f>
        <v>1779.89338532949</v>
      </c>
      <c r="S12" s="1111">
        <f>SUMIFS(NewEmisData!M:M, NewEmisData!$A:$A, $G12, NewEmisData!$B:$B, $A12, NewEmisData!$C:$C, $H12, NewEmisData!$D:$D, S$6)</f>
        <v>1779.28555768666</v>
      </c>
      <c r="T12" s="1111">
        <f>S12</f>
        <v>1779.28555768666</v>
      </c>
      <c r="U12" s="1111">
        <f>SUMIFS(NewEmisData!E:E, NewEmisData!$A:$A, $G12, NewEmisData!$B:$B, $A12, NewEmisData!$C:$C, $H12, NewEmisData!$D:$D, U$6)</f>
        <v>25.485894447035299</v>
      </c>
      <c r="V12" s="1111">
        <f>SUMIFS(NewEmisData!F:F, NewEmisData!$A:$A, $G12, NewEmisData!$B:$B, $A12, NewEmisData!$C:$C, $H12, NewEmisData!$D:$D, V$6)</f>
        <v>16.635316417576099</v>
      </c>
      <c r="W12" s="1111">
        <f>SUMIFS(NewEmisData!G:G, NewEmisData!$A:$A, $G12, NewEmisData!$B:$B, $A12, NewEmisData!$C:$C, $H12, NewEmisData!$D:$D, W$6)</f>
        <v>5.6806504273613996</v>
      </c>
      <c r="X12" s="1111">
        <f>SUMIFS(NewEmisData!H:H, NewEmisData!$A:$A, $G12, NewEmisData!$B:$B, $A12, NewEmisData!$C:$C, $H12, NewEmisData!$D:$D, X$6)</f>
        <v>3.05403934027653</v>
      </c>
      <c r="Y12" s="1111">
        <f>SUMIFS(NewEmisData!I:I, NewEmisData!$A:$A, $G12, NewEmisData!$B:$B, $A12, NewEmisData!$C:$C, $H12, NewEmisData!$D:$D, Y$6)</f>
        <v>2.1007258350226801</v>
      </c>
      <c r="Z12" s="1111">
        <f>SUMIFS(NewEmisData!J:J, NewEmisData!$A:$A, $G12, NewEmisData!$B:$B, $A12, NewEmisData!$C:$C, $H12, NewEmisData!$D:$D, Z$6)</f>
        <v>1.87658987655799</v>
      </c>
      <c r="AA12" s="1111">
        <f>SUMIFS(NewEmisData!K:K, NewEmisData!$A:$A, $G12, NewEmisData!$B:$B, $A12, NewEmisData!$C:$C, $H12, NewEmisData!$D:$D, AA$6)</f>
        <v>1.7679420427249899</v>
      </c>
      <c r="AB12" s="1111">
        <f>SUMIFS(NewEmisData!L:L, NewEmisData!$A:$A, $G12, NewEmisData!$B:$B, $A12, NewEmisData!$C:$C, $H12, NewEmisData!$D:$D, AB$6)</f>
        <v>1.7647235248156601</v>
      </c>
      <c r="AC12" s="1111">
        <f>SUMIFS(NewEmisData!M:M, NewEmisData!$A:$A, $G12, NewEmisData!$B:$B, $A12, NewEmisData!$C:$C, $H12, NewEmisData!$D:$D, AC$6)</f>
        <v>1.76351431040301</v>
      </c>
      <c r="AD12" s="1111">
        <f>AC12</f>
        <v>1.76351431040301</v>
      </c>
      <c r="AE12" s="1111">
        <f>AF12</f>
        <v>3.9377821944932299E-2</v>
      </c>
      <c r="AF12" s="1111">
        <f>SUMIFS(NewEmisData!E:E, NewEmisData!$A:$A, $G12, NewEmisData!$B:$B, $A12, NewEmisData!$C:$C, $H12, NewEmisData!$D:$D, AF$6)</f>
        <v>3.9377821944932299E-2</v>
      </c>
      <c r="AG12" s="1111">
        <f>SUMIFS(NewEmisData!F:F, NewEmisData!$A:$A, $G12, NewEmisData!$B:$B, $A12, NewEmisData!$C:$C, $H12, NewEmisData!$D:$D, AG$6)</f>
        <v>3.7984236057639099E-2</v>
      </c>
      <c r="AH12" s="1111">
        <f>SUMIFS(NewEmisData!G:G, NewEmisData!$A:$A, $G12, NewEmisData!$B:$B, $A12, NewEmisData!$C:$C, $H12, NewEmisData!$D:$D, AH$6)</f>
        <v>1.6214018510996998E-2</v>
      </c>
      <c r="AI12" s="1111">
        <f>SUMIFS(NewEmisData!H:H, NewEmisData!$A:$A, $G12, NewEmisData!$B:$B, $A12, NewEmisData!$C:$C, $H12, NewEmisData!$D:$D, AI$6)</f>
        <v>1.5642379959483001E-2</v>
      </c>
      <c r="AJ12" s="1111">
        <f>SUMIFS(NewEmisData!I:I, NewEmisData!$A:$A, $G12, NewEmisData!$B:$B, $A12, NewEmisData!$C:$C, $H12, NewEmisData!$D:$D, AJ$6)</f>
        <v>1.5129566396989799E-2</v>
      </c>
      <c r="AK12" s="1111">
        <f>SUMIFS(NewEmisData!J:J, NewEmisData!$A:$A, $G12, NewEmisData!$B:$B, $A12, NewEmisData!$C:$C, $H12, NewEmisData!$D:$D, AK$6)</f>
        <v>1.48940539224115E-2</v>
      </c>
      <c r="AL12" s="1111">
        <f>SUMIFS(NewEmisData!K:K, NewEmisData!$A:$A, $G12, NewEmisData!$B:$B, $A12, NewEmisData!$C:$C, $H12, NewEmisData!$D:$D, AL$6)</f>
        <v>1.48498058438792E-2</v>
      </c>
      <c r="AM12" s="1111">
        <f>SUMIFS(NewEmisData!L:L, NewEmisData!$A:$A, $G12, NewEmisData!$B:$B, $A12, NewEmisData!$C:$C, $H12, NewEmisData!$D:$D, AM$6)</f>
        <v>1.48391871090011E-2</v>
      </c>
      <c r="AN12" s="1111">
        <f>SUMIFS(NewEmisData!M:M, NewEmisData!$A:$A, $G12, NewEmisData!$B:$B, $A12, NewEmisData!$C:$C, $H12, NewEmisData!$D:$D, AN$6)</f>
        <v>1.4834122168645001E-2</v>
      </c>
      <c r="AO12" s="1111">
        <f>AN12</f>
        <v>1.4834122168645001E-2</v>
      </c>
      <c r="AP12" s="1111">
        <f t="shared" ref="AP12:AP22" si="2">AQ12</f>
        <v>1.6759760982763601</v>
      </c>
      <c r="AQ12" s="1111">
        <f>SUMIFS(NewEmisData!E:E, NewEmisData!$A:$A, $G12, NewEmisData!$B:$B, $A12, NewEmisData!$C:$C, $H12, NewEmisData!$D:$D, AQ$6)</f>
        <v>1.6759760982763601</v>
      </c>
      <c r="AR12" s="1111">
        <f>SUMIFS(NewEmisData!F:F, NewEmisData!$A:$A, $G12, NewEmisData!$B:$B, $A12, NewEmisData!$C:$C, $H12, NewEmisData!$D:$D, AR$6)</f>
        <v>1.2591555489209101</v>
      </c>
      <c r="AS12" s="1111">
        <f>SUMIFS(NewEmisData!G:G, NewEmisData!$A:$A, $G12, NewEmisData!$B:$B, $A12, NewEmisData!$C:$C, $H12, NewEmisData!$D:$D, AS$6)</f>
        <v>0.67744248626063297</v>
      </c>
      <c r="AT12" s="1111">
        <f>SUMIFS(NewEmisData!H:H, NewEmisData!$A:$A, $G12, NewEmisData!$B:$B, $A12, NewEmisData!$C:$C, $H12, NewEmisData!$D:$D, AT$6)</f>
        <v>0.52738778166466604</v>
      </c>
      <c r="AU12" s="1111">
        <f>SUMIFS(NewEmisData!I:I, NewEmisData!$A:$A, $G12, NewEmisData!$B:$B, $A12, NewEmisData!$C:$C, $H12, NewEmisData!$D:$D, AU$6)</f>
        <v>0.48358848951405597</v>
      </c>
      <c r="AV12" s="1111">
        <f>SUMIFS(NewEmisData!J:J, NewEmisData!$A:$A, $G12, NewEmisData!$B:$B, $A12, NewEmisData!$C:$C, $H12, NewEmisData!$D:$D, AV$6)</f>
        <v>0.472761661372815</v>
      </c>
      <c r="AW12" s="1111">
        <f>SUMIFS(NewEmisData!K:K, NewEmisData!$A:$A, $G12, NewEmisData!$B:$B, $A12, NewEmisData!$C:$C, $H12, NewEmisData!$D:$D, AW$6)</f>
        <v>0.46753146166185999</v>
      </c>
      <c r="AX12" s="1111">
        <f>SUMIFS(NewEmisData!L:L, NewEmisData!$A:$A, $G12, NewEmisData!$B:$B, $A12, NewEmisData!$C:$C, $H12, NewEmisData!$D:$D, AX$6)</f>
        <v>0.46733602925816797</v>
      </c>
      <c r="AY12" s="1111">
        <f>SUMIFS(NewEmisData!M:M, NewEmisData!$A:$A, $G12, NewEmisData!$B:$B, $A12, NewEmisData!$C:$C, $H12, NewEmisData!$D:$D, AY$6)</f>
        <v>0.46734012500094102</v>
      </c>
      <c r="AZ12" s="1111">
        <f>AY12</f>
        <v>0.46734012500094102</v>
      </c>
      <c r="BA12" s="1111">
        <f t="shared" ref="BA12:BA22" si="3">BB12</f>
        <v>1.31772095909569</v>
      </c>
      <c r="BB12" s="1111">
        <f>SUMIFS(NewEmisData!E:E, NewEmisData!$A:$A, $G12, NewEmisData!$B:$B, $A12, NewEmisData!$C:$C, $H12, NewEmisData!$D:$D, BB$6)</f>
        <v>1.31772095909569</v>
      </c>
      <c r="BC12" s="1111">
        <f>SUMIFS(NewEmisData!F:F, NewEmisData!$A:$A, $G12, NewEmisData!$B:$B, $A12, NewEmisData!$C:$C, $H12, NewEmisData!$D:$D, BC$6)</f>
        <v>0.93325433252970902</v>
      </c>
      <c r="BD12" s="1111">
        <f>SUMIFS(NewEmisData!G:G, NewEmisData!$A:$A, $G12, NewEmisData!$B:$B, $A12, NewEmisData!$C:$C, $H12, NewEmisData!$D:$D, BD$6)</f>
        <v>0.27440125765457901</v>
      </c>
      <c r="BE12" s="1111">
        <f>SUMIFS(NewEmisData!H:H, NewEmisData!$A:$A, $G12, NewEmisData!$B:$B, $A12, NewEmisData!$C:$C, $H12, NewEmisData!$D:$D, BE$6)</f>
        <v>0.135307690590454</v>
      </c>
      <c r="BF12" s="1111">
        <f>SUMIFS(NewEmisData!I:I, NewEmisData!$A:$A, $G12, NewEmisData!$B:$B, $A12, NewEmisData!$C:$C, $H12, NewEmisData!$D:$D, BF$6)</f>
        <v>0.10091565939698199</v>
      </c>
      <c r="BG12" s="1111">
        <f>SUMIFS(NewEmisData!J:J, NewEmisData!$A:$A, $G12, NewEmisData!$B:$B, $A12, NewEmisData!$C:$C, $H12, NewEmisData!$D:$D, BG$6)</f>
        <v>9.4307179930071303E-2</v>
      </c>
      <c r="BH12" s="1111">
        <f>SUMIFS(NewEmisData!K:K, NewEmisData!$A:$A, $G12, NewEmisData!$B:$B, $A12, NewEmisData!$C:$C, $H12, NewEmisData!$D:$D, BH$6)</f>
        <v>8.9937296191057697E-2</v>
      </c>
      <c r="BI12" s="1111">
        <f>SUMIFS(NewEmisData!L:L, NewEmisData!$A:$A, $G12, NewEmisData!$B:$B, $A12, NewEmisData!$C:$C, $H12, NewEmisData!$D:$D, BI$6)</f>
        <v>8.9863311660723005E-2</v>
      </c>
      <c r="BJ12" s="1111">
        <f>SUMIFS(NewEmisData!M:M, NewEmisData!$A:$A, $G12, NewEmisData!$B:$B, $A12, NewEmisData!$C:$C, $H12, NewEmisData!$D:$D, BJ$6)</f>
        <v>8.9850222817437805E-2</v>
      </c>
      <c r="BK12" s="1111">
        <f>BJ12</f>
        <v>8.9850222817437805E-2</v>
      </c>
      <c r="BL12" s="1111">
        <f t="shared" ref="BL12:BL22" si="4">BM12</f>
        <v>9.42494595370054</v>
      </c>
      <c r="BM12" s="1111">
        <f>SUMIFS(NewEmisData!E:E, NewEmisData!$A:$A, $G12, NewEmisData!$B:$B, $A12, NewEmisData!$C:$C, $H12, NewEmisData!$D:$D, BM$6)</f>
        <v>9.42494595370054</v>
      </c>
      <c r="BN12" s="1111">
        <f>SUMIFS(NewEmisData!F:F, NewEmisData!$A:$A, $G12, NewEmisData!$B:$B, $A12, NewEmisData!$C:$C, $H12, NewEmisData!$D:$D, BN$6)</f>
        <v>6.5151522418316503</v>
      </c>
      <c r="BO12" s="1111">
        <f>SUMIFS(NewEmisData!G:G, NewEmisData!$A:$A, $G12, NewEmisData!$B:$B, $A12, NewEmisData!$C:$C, $H12, NewEmisData!$D:$D, BO$6)</f>
        <v>2.9013962679725198</v>
      </c>
      <c r="BP12" s="1111">
        <f>SUMIFS(NewEmisData!H:H, NewEmisData!$A:$A, $G12, NewEmisData!$B:$B, $A12, NewEmisData!$C:$C, $H12, NewEmisData!$D:$D, BP$6)</f>
        <v>1.8001555126276301</v>
      </c>
      <c r="BQ12" s="1111">
        <f>SUMIFS(NewEmisData!I:I, NewEmisData!$A:$A, $G12, NewEmisData!$B:$B, $A12, NewEmisData!$C:$C, $H12, NewEmisData!$D:$D, BQ$6)</f>
        <v>1.6438313765408701</v>
      </c>
      <c r="BR12" s="1111">
        <f>SUMIFS(NewEmisData!J:J, NewEmisData!$A:$A, $G12, NewEmisData!$B:$B, $A12, NewEmisData!$C:$C, $H12, NewEmisData!$D:$D, BR$6)</f>
        <v>1.57432933432189</v>
      </c>
      <c r="BS12" s="1111">
        <f>SUMIFS(NewEmisData!K:K, NewEmisData!$A:$A, $G12, NewEmisData!$B:$B, $A12, NewEmisData!$C:$C, $H12, NewEmisData!$D:$D, BS$6)</f>
        <v>1.5408503449425099</v>
      </c>
      <c r="BT12" s="1111">
        <f>SUMIFS(NewEmisData!L:L, NewEmisData!$A:$A, $G12, NewEmisData!$B:$B, $A12, NewEmisData!$C:$C, $H12, NewEmisData!$D:$D, BT$6)</f>
        <v>1.5416002309750501</v>
      </c>
      <c r="BU12" s="1111">
        <f>SUMIFS(NewEmisData!M:M, NewEmisData!$A:$A, $G12, NewEmisData!$B:$B, $A12, NewEmisData!$C:$C, $H12, NewEmisData!$D:$D, BU$6)</f>
        <v>1.54141496966159</v>
      </c>
      <c r="BV12" s="1111">
        <f>BU12</f>
        <v>1.54141496966159</v>
      </c>
      <c r="BW12" s="1111">
        <f t="shared" ref="BW12:BW22" si="5">BX12</f>
        <v>1.84761615807355</v>
      </c>
      <c r="BX12" s="1111">
        <f>SUMIFS(NewEmisData!E:E, NewEmisData!$A:$A, $G12, NewEmisData!$B:$B, $A12, NewEmisData!$C:$C, $H12, NewEmisData!$D:$D, BX$6)</f>
        <v>1.84761615807355</v>
      </c>
      <c r="BY12" s="1111">
        <f>SUMIFS(NewEmisData!F:F, NewEmisData!$A:$A, $G12, NewEmisData!$B:$B, $A12, NewEmisData!$C:$C, $H12, NewEmisData!$D:$D, BY$6)</f>
        <v>1.40257055938169</v>
      </c>
      <c r="BZ12" s="1111">
        <f>SUMIFS(NewEmisData!G:G, NewEmisData!$A:$A, $G12, NewEmisData!$B:$B, $A12, NewEmisData!$C:$C, $H12, NewEmisData!$D:$D, BZ$6)</f>
        <v>0.61956439340661196</v>
      </c>
      <c r="CA12" s="1111">
        <f>SUMIFS(NewEmisData!H:H, NewEmisData!$A:$A, $G12, NewEmisData!$B:$B, $A12, NewEmisData!$C:$C, $H12, NewEmisData!$D:$D, CA$6)</f>
        <v>0.26929109587747802</v>
      </c>
      <c r="CB12" s="1111">
        <f>SUMIFS(NewEmisData!I:I, NewEmisData!$A:$A, $G12, NewEmisData!$B:$B, $A12, NewEmisData!$C:$C, $H12, NewEmisData!$D:$D, CB$6)</f>
        <v>0.19094706305498699</v>
      </c>
      <c r="CC12" s="1111">
        <f>SUMIFS(NewEmisData!J:J, NewEmisData!$A:$A, $G12, NewEmisData!$B:$B, $A12, NewEmisData!$C:$C, $H12, NewEmisData!$D:$D, CC$6)</f>
        <v>0.172288027054284</v>
      </c>
      <c r="CD12" s="1111">
        <f>SUMIFS(NewEmisData!K:K, NewEmisData!$A:$A, $G12, NewEmisData!$B:$B, $A12, NewEmisData!$C:$C, $H12, NewEmisData!$D:$D, CD$6)</f>
        <v>0.15756259162820199</v>
      </c>
      <c r="CE12" s="1111">
        <f>SUMIFS(NewEmisData!L:L, NewEmisData!$A:$A, $G12, NewEmisData!$B:$B, $A12, NewEmisData!$C:$C, $H12, NewEmisData!$D:$D, CE$6)</f>
        <v>0.157519892644533</v>
      </c>
      <c r="CF12" s="1111">
        <f>SUMIFS(NewEmisData!M:M, NewEmisData!$A:$A, $G12, NewEmisData!$B:$B, $A12, NewEmisData!$C:$C, $H12, NewEmisData!$D:$D, CF$6)</f>
        <v>0.15750071717103001</v>
      </c>
      <c r="CG12" s="1111">
        <f t="shared" ref="CG12:CG22" si="6">CF12</f>
        <v>0.15750071717103001</v>
      </c>
      <c r="CH12" s="1111">
        <f t="shared" ref="CH12:CH22" si="7">CI12</f>
        <v>2.6212030110567601E-2</v>
      </c>
      <c r="CI12" s="1111">
        <f>SUMIFS(NewEmisData!E:E, NewEmisData!$A:$A, $G12, NewEmisData!$B:$B, $A12, NewEmisData!$C:$C, $H12, NewEmisData!$D:$D, CI$6)</f>
        <v>2.6212030110567601E-2</v>
      </c>
      <c r="CJ12" s="1111">
        <f>SUMIFS(NewEmisData!F:F, NewEmisData!$A:$A, $G12, NewEmisData!$B:$B, $A12, NewEmisData!$C:$C, $H12, NewEmisData!$D:$D, CJ$6)</f>
        <v>2.6306147637779401E-2</v>
      </c>
      <c r="CK12" s="1111">
        <f>SUMIFS(NewEmisData!G:G, NewEmisData!$A:$A, $G12, NewEmisData!$B:$B, $A12, NewEmisData!$C:$C, $H12, NewEmisData!$D:$D, CK$6)</f>
        <v>3.6703962076044899E-2</v>
      </c>
      <c r="CL12" s="1111">
        <f>SUMIFS(NewEmisData!H:H, NewEmisData!$A:$A, $G12, NewEmisData!$B:$B, $A12, NewEmisData!$C:$C, $H12, NewEmisData!$D:$D, CL$6)</f>
        <v>3.6724988920478097E-2</v>
      </c>
      <c r="CM12" s="1111">
        <f>SUMIFS(NewEmisData!I:I, NewEmisData!$A:$A, $G12, NewEmisData!$B:$B, $A12, NewEmisData!$C:$C, $H12, NewEmisData!$D:$D, CM$6)</f>
        <v>3.6651621694611301E-2</v>
      </c>
      <c r="CN12" s="1111">
        <f>SUMIFS(NewEmisData!J:J, NewEmisData!$A:$A, $G12, NewEmisData!$B:$B, $A12, NewEmisData!$C:$C, $H12, NewEmisData!$D:$D, CN$6)</f>
        <v>3.6612099035051998E-2</v>
      </c>
      <c r="CO12" s="1111">
        <f>SUMIFS(NewEmisData!K:K, NewEmisData!$A:$A, $G12, NewEmisData!$B:$B, $A12, NewEmisData!$C:$C, $H12, NewEmisData!$D:$D, CO$6)</f>
        <v>3.6606158410121097E-2</v>
      </c>
      <c r="CP12" s="1111">
        <f>SUMIFS(NewEmisData!L:L, NewEmisData!$A:$A, $G12, NewEmisData!$B:$B, $A12, NewEmisData!$C:$C, $H12, NewEmisData!$D:$D, CP$6)</f>
        <v>3.6604649349406201E-2</v>
      </c>
      <c r="CQ12" s="1111">
        <f>SUMIFS(NewEmisData!M:M, NewEmisData!$A:$A, $G12, NewEmisData!$B:$B, $A12, NewEmisData!$C:$C, $H12, NewEmisData!$D:$D, CQ$6)</f>
        <v>3.6605318323892203E-2</v>
      </c>
      <c r="CR12" s="1111">
        <f t="shared" ref="CR12:CR22" si="8">CQ12</f>
        <v>3.6605318323892203E-2</v>
      </c>
      <c r="CS12" s="1111">
        <f t="shared" ref="CS12:CS22" si="9">CT12</f>
        <v>4.9860992358685303E-3</v>
      </c>
      <c r="CT12" s="1111">
        <f>SUMIFS(NewEmisData!E:E, NewEmisData!$A:$A, $G12, NewEmisData!$B:$B, $A12, NewEmisData!$C:$C, $H12, NewEmisData!$D:$D, CT$6)</f>
        <v>4.9860992358685303E-3</v>
      </c>
      <c r="CU12" s="1111">
        <f>SUMIFS(NewEmisData!F:F, NewEmisData!$A:$A, $G12, NewEmisData!$B:$B, $A12, NewEmisData!$C:$C, $H12, NewEmisData!$D:$D, CU$6)</f>
        <v>4.7742875379494596E-3</v>
      </c>
      <c r="CV12" s="1111">
        <f>SUMIFS(NewEmisData!G:G, NewEmisData!$A:$A, $G12, NewEmisData!$B:$B, $A12, NewEmisData!$C:$C, $H12, NewEmisData!$D:$D, CV$6)</f>
        <v>7.2603358828681602E-3</v>
      </c>
      <c r="CW12" s="1111">
        <f>SUMIFS(NewEmisData!H:H, NewEmisData!$A:$A, $G12, NewEmisData!$B:$B, $A12, NewEmisData!$C:$C, $H12, NewEmisData!$D:$D, CW$6)</f>
        <v>7.2661933727351004E-3</v>
      </c>
      <c r="CX12" s="1111">
        <f>SUMIFS(NewEmisData!I:I, NewEmisData!$A:$A, $G12, NewEmisData!$B:$B, $A12, NewEmisData!$C:$C, $H12, NewEmisData!$D:$D, CX$6)</f>
        <v>7.3123890355101103E-3</v>
      </c>
      <c r="CY12" s="1111">
        <f>SUMIFS(NewEmisData!J:J, NewEmisData!$A:$A, $G12, NewEmisData!$B:$B, $A12, NewEmisData!$C:$C, $H12, NewEmisData!$D:$D, CY$6)</f>
        <v>7.3404374727568103E-3</v>
      </c>
      <c r="CZ12" s="1111">
        <f>SUMIFS(NewEmisData!K:K, NewEmisData!$A:$A, $G12, NewEmisData!$B:$B, $A12, NewEmisData!$C:$C, $H12, NewEmisData!$D:$D, CZ$6)</f>
        <v>7.3437457061269196E-3</v>
      </c>
      <c r="DA12" s="1111">
        <f>SUMIFS(NewEmisData!L:L, NewEmisData!$A:$A, $G12, NewEmisData!$B:$B, $A12, NewEmisData!$C:$C, $H12, NewEmisData!$D:$D, DA$6)</f>
        <v>7.3446144592809104E-3</v>
      </c>
      <c r="DB12" s="1111">
        <f>SUMIFS(NewEmisData!M:M, NewEmisData!$A:$A, $G12, NewEmisData!$B:$B, $A12, NewEmisData!$C:$C, $H12, NewEmisData!$D:$D, DB$6)</f>
        <v>7.3444994559674001E-3</v>
      </c>
      <c r="DC12" s="1111">
        <f>DB12</f>
        <v>7.3444994559674001E-3</v>
      </c>
      <c r="DD12" s="1111">
        <v>0.39300578709389528</v>
      </c>
      <c r="DE12" s="1111">
        <v>0.25218506439547889</v>
      </c>
      <c r="DF12" s="1111">
        <v>9.0680333464346716E-2</v>
      </c>
      <c r="DG12" s="1111">
        <v>1.5259203997944157E-2</v>
      </c>
      <c r="DH12" s="1111">
        <v>1.442984591146376E-3</v>
      </c>
      <c r="DI12" s="1111">
        <v>1.4216300052729372E-3</v>
      </c>
      <c r="DJ12" s="1111">
        <v>1.4222674909691675E-3</v>
      </c>
      <c r="DK12" s="1111">
        <v>1.4222968522144778E-3</v>
      </c>
      <c r="DL12" s="1111">
        <v>1.4226321321994845E-3</v>
      </c>
      <c r="DM12" s="1111">
        <v>1.4227267584946933E-3</v>
      </c>
      <c r="DN12" s="1111">
        <v>1.4227267584946933E-3</v>
      </c>
      <c r="DO12" s="1111">
        <v>0.20788279259438966</v>
      </c>
      <c r="DP12" s="1111">
        <v>0.14188647424950029</v>
      </c>
      <c r="DQ12" s="1111">
        <v>6.2736208538959407E-2</v>
      </c>
      <c r="DR12" s="1111">
        <v>1.2554111333601691E-2</v>
      </c>
      <c r="DS12" s="1111">
        <v>2.5088278770177383E-3</v>
      </c>
      <c r="DT12" s="1111">
        <v>2.4717000504004827E-3</v>
      </c>
      <c r="DU12" s="1111">
        <v>2.472808290816776E-3</v>
      </c>
      <c r="DV12" s="1111">
        <v>2.4728594625776285E-3</v>
      </c>
      <c r="DW12" s="1111">
        <v>2.4734423116144133E-3</v>
      </c>
      <c r="DX12" s="1111">
        <v>2.4736068982878887E-3</v>
      </c>
      <c r="DY12" s="1111">
        <v>2.4736068982878887E-3</v>
      </c>
      <c r="DZ12" s="1111">
        <f>EA12</f>
        <v>1.13593830923209E-2</v>
      </c>
      <c r="EA12" s="1111">
        <f>SUMIFS(NewEmisData!E:E, NewEmisData!$A:$A, $G12, NewEmisData!$B:$B, $A12, NewEmisData!$C:$C, $H12, NewEmisData!$D:$D, EA$6)</f>
        <v>1.13593830923209E-2</v>
      </c>
      <c r="EB12" s="1111">
        <f>SUMIFS(NewEmisData!F:F, NewEmisData!$A:$A, $G12, NewEmisData!$B:$B, $A12, NewEmisData!$C:$C, $H12, NewEmisData!$D:$D, EB$6)</f>
        <v>3.7803123032821302E-2</v>
      </c>
      <c r="EC12" s="1111">
        <f>SUMIFS(NewEmisData!G:G, NewEmisData!$A:$A, $G12, NewEmisData!$B:$B, $A12, NewEmisData!$C:$C, $H12, NewEmisData!$D:$D, EC$6)</f>
        <v>0.124437290193953</v>
      </c>
      <c r="ED12" s="1111">
        <f>SUMIFS(NewEmisData!H:H, NewEmisData!$A:$A, $G12, NewEmisData!$B:$B, $A12, NewEmisData!$C:$C, $H12, NewEmisData!$D:$D, ED$6)</f>
        <v>0.136903583493692</v>
      </c>
      <c r="EE12" s="1111">
        <f>SUMIFS(NewEmisData!I:I, NewEmisData!$A:$A, $G12, NewEmisData!$B:$B, $A12, NewEmisData!$C:$C, $H12, NewEmisData!$D:$D, EE$6)</f>
        <v>0.13674174011835499</v>
      </c>
      <c r="EF12" s="1111">
        <f>SUMIFS(NewEmisData!J:J, NewEmisData!$A:$A, $G12, NewEmisData!$B:$B, $A12, NewEmisData!$C:$C, $H12, NewEmisData!$D:$D, EF$6)</f>
        <v>0.13774221915503501</v>
      </c>
      <c r="EG12" s="1111">
        <f>SUMIFS(NewEmisData!K:K, NewEmisData!$A:$A, $G12, NewEmisData!$B:$B, $A12, NewEmisData!$C:$C, $H12, NewEmisData!$D:$D, EG$6)</f>
        <v>0.13873461497783901</v>
      </c>
      <c r="EH12" s="1111">
        <f>SUMIFS(NewEmisData!L:L, NewEmisData!$A:$A, $G12, NewEmisData!$B:$B, $A12, NewEmisData!$C:$C, $H12, NewEmisData!$D:$D, EH$6)</f>
        <v>0.13871065448301201</v>
      </c>
      <c r="EI12" s="1111">
        <f>SUMIFS(NewEmisData!M:M, NewEmisData!$A:$A, $G12, NewEmisData!$B:$B, $A12, NewEmisData!$C:$C, $H12, NewEmisData!$D:$D, EI$6)</f>
        <v>0.13870041556896201</v>
      </c>
      <c r="EJ12" s="1111">
        <f>EI12</f>
        <v>0.13870041556896201</v>
      </c>
      <c r="EK12" s="1111">
        <f>EL12</f>
        <v>1573.0981920694501</v>
      </c>
      <c r="EL12" s="1111">
        <f t="shared" ref="EL12:EL17" si="10">K12</f>
        <v>1573.0981920694501</v>
      </c>
      <c r="EM12" s="1111">
        <f t="shared" ref="EM12:EU12" si="11">L12</f>
        <v>1544.3679757121099</v>
      </c>
      <c r="EN12" s="1111">
        <f t="shared" si="11"/>
        <v>1916.5843083058301</v>
      </c>
      <c r="EO12" s="1111">
        <f t="shared" si="11"/>
        <v>1868.9930069357799</v>
      </c>
      <c r="EP12" s="1111">
        <f t="shared" si="11"/>
        <v>1812.7966575929599</v>
      </c>
      <c r="EQ12" s="1111">
        <f t="shared" si="11"/>
        <v>1785.4009056329501</v>
      </c>
      <c r="ER12" s="1111">
        <f t="shared" si="11"/>
        <v>1781.1669913012199</v>
      </c>
      <c r="ES12" s="1111">
        <f t="shared" si="11"/>
        <v>1779.89338532949</v>
      </c>
      <c r="ET12" s="1111">
        <f t="shared" si="11"/>
        <v>1779.28555768666</v>
      </c>
      <c r="EU12" s="1111">
        <f t="shared" si="11"/>
        <v>1779.28555768666</v>
      </c>
      <c r="EV12" s="1111">
        <f>EW12</f>
        <v>25.485894447035299</v>
      </c>
      <c r="EW12" s="1111">
        <f>U12</f>
        <v>25.485894447035299</v>
      </c>
      <c r="EX12" s="1111">
        <f t="shared" ref="EX12:FF12" si="12">V12</f>
        <v>16.635316417576099</v>
      </c>
      <c r="EY12" s="1111">
        <f t="shared" si="12"/>
        <v>5.6806504273613996</v>
      </c>
      <c r="EZ12" s="1111">
        <f t="shared" si="12"/>
        <v>3.05403934027653</v>
      </c>
      <c r="FA12" s="1111">
        <f t="shared" si="12"/>
        <v>2.1007258350226801</v>
      </c>
      <c r="FB12" s="1111">
        <f t="shared" si="12"/>
        <v>1.87658987655799</v>
      </c>
      <c r="FC12" s="1111">
        <f t="shared" si="12"/>
        <v>1.7679420427249899</v>
      </c>
      <c r="FD12" s="1111">
        <f t="shared" si="12"/>
        <v>1.7647235248156601</v>
      </c>
      <c r="FE12" s="1111">
        <f t="shared" si="12"/>
        <v>1.76351431040301</v>
      </c>
      <c r="FF12" s="1111">
        <f t="shared" si="12"/>
        <v>1.76351431040301</v>
      </c>
      <c r="FG12" s="1111">
        <f>AE12</f>
        <v>3.9377821944932299E-2</v>
      </c>
      <c r="FH12" s="1111">
        <f t="shared" ref="FH12:FQ12" si="13">AF12</f>
        <v>3.9377821944932299E-2</v>
      </c>
      <c r="FI12" s="1111">
        <f t="shared" si="13"/>
        <v>3.7984236057639099E-2</v>
      </c>
      <c r="FJ12" s="1111">
        <f t="shared" si="13"/>
        <v>1.6214018510996998E-2</v>
      </c>
      <c r="FK12" s="1111">
        <f t="shared" si="13"/>
        <v>1.5642379959483001E-2</v>
      </c>
      <c r="FL12" s="1111">
        <f t="shared" si="13"/>
        <v>1.5129566396989799E-2</v>
      </c>
      <c r="FM12" s="1111">
        <f t="shared" si="13"/>
        <v>1.48940539224115E-2</v>
      </c>
      <c r="FN12" s="1111">
        <f t="shared" si="13"/>
        <v>1.48498058438792E-2</v>
      </c>
      <c r="FO12" s="1111">
        <f t="shared" si="13"/>
        <v>1.48391871090011E-2</v>
      </c>
      <c r="FP12" s="1111">
        <f t="shared" si="13"/>
        <v>1.4834122168645001E-2</v>
      </c>
      <c r="FQ12" s="1111">
        <f t="shared" si="13"/>
        <v>1.4834122168645001E-2</v>
      </c>
      <c r="FR12" s="1111">
        <f>AP12</f>
        <v>1.6759760982763601</v>
      </c>
      <c r="FS12" s="1111">
        <f t="shared" ref="FS12:GB12" si="14">AQ12</f>
        <v>1.6759760982763601</v>
      </c>
      <c r="FT12" s="1111">
        <f t="shared" si="14"/>
        <v>1.2591555489209101</v>
      </c>
      <c r="FU12" s="1111">
        <f t="shared" si="14"/>
        <v>0.67744248626063297</v>
      </c>
      <c r="FV12" s="1111">
        <f t="shared" si="14"/>
        <v>0.52738778166466604</v>
      </c>
      <c r="FW12" s="1111">
        <f t="shared" si="14"/>
        <v>0.48358848951405597</v>
      </c>
      <c r="FX12" s="1111">
        <f t="shared" si="14"/>
        <v>0.472761661372815</v>
      </c>
      <c r="FY12" s="1111">
        <f t="shared" si="14"/>
        <v>0.46753146166185999</v>
      </c>
      <c r="FZ12" s="1111">
        <f t="shared" si="14"/>
        <v>0.46733602925816797</v>
      </c>
      <c r="GA12" s="1111">
        <f t="shared" si="14"/>
        <v>0.46734012500094102</v>
      </c>
      <c r="GB12" s="1111">
        <f t="shared" si="14"/>
        <v>0.46734012500094102</v>
      </c>
      <c r="GC12" s="1111">
        <f t="shared" ref="GC12:GC17" si="15">BA12</f>
        <v>1.31772095909569</v>
      </c>
      <c r="GD12" s="1111">
        <f t="shared" ref="GD12:GM12" si="16">BB12</f>
        <v>1.31772095909569</v>
      </c>
      <c r="GE12" s="1111">
        <f t="shared" si="16"/>
        <v>0.93325433252970902</v>
      </c>
      <c r="GF12" s="1111">
        <f t="shared" si="16"/>
        <v>0.27440125765457901</v>
      </c>
      <c r="GG12" s="1111">
        <f t="shared" si="16"/>
        <v>0.135307690590454</v>
      </c>
      <c r="GH12" s="1111">
        <f t="shared" si="16"/>
        <v>0.10091565939698199</v>
      </c>
      <c r="GI12" s="1111">
        <f t="shared" si="16"/>
        <v>9.4307179930071303E-2</v>
      </c>
      <c r="GJ12" s="1111">
        <f t="shared" si="16"/>
        <v>8.9937296191057697E-2</v>
      </c>
      <c r="GK12" s="1111">
        <f t="shared" si="16"/>
        <v>8.9863311660723005E-2</v>
      </c>
      <c r="GL12" s="1111">
        <f t="shared" si="16"/>
        <v>8.9850222817437805E-2</v>
      </c>
      <c r="GM12" s="1111">
        <f t="shared" si="16"/>
        <v>8.9850222817437805E-2</v>
      </c>
    </row>
    <row r="13" spans="1:195" x14ac:dyDescent="0.2">
      <c r="A13" s="1071" t="s">
        <v>184</v>
      </c>
      <c r="B13" s="1071" t="str">
        <f>TechData!B11</f>
        <v>TBDSLE</v>
      </c>
      <c r="C13" s="1071" t="str">
        <f>TechData!C11</f>
        <v>Bus, Exisiting Diesel</v>
      </c>
      <c r="D13" s="1071" t="str">
        <f>TechData!D11</f>
        <v>bn-vmt, bn-vmt/a</v>
      </c>
      <c r="E13" s="1071" t="str">
        <f>TechData!E11</f>
        <v>TBDSL</v>
      </c>
      <c r="F13" s="1071" t="str">
        <f>TechData!F11</f>
        <v>TB</v>
      </c>
      <c r="G13" s="1110" t="s">
        <v>498</v>
      </c>
      <c r="H13" s="1111" t="s">
        <v>499</v>
      </c>
      <c r="I13" s="1112">
        <v>1</v>
      </c>
      <c r="J13" s="1111" t="str">
        <f>CONCATENATE(G13,"-",H13)</f>
        <v>Bus-DSL</v>
      </c>
      <c r="K13" s="1111">
        <f>SUMIFS(NewEmisData!E:E, NewEmisData!$A:$A, $G13, NewEmisData!$B:$B, $A13, NewEmisData!$C:$C, $H13, NewEmisData!$D:$D, K$6)</f>
        <v>1543.98093106499</v>
      </c>
      <c r="L13" s="1111">
        <f>SUMIFS(NewEmisData!F:F, NewEmisData!$A:$A, $G13, NewEmisData!$B:$B, $A13, NewEmisData!$C:$C, $H13, NewEmisData!$D:$D, L$6)</f>
        <v>1489.5901194539099</v>
      </c>
      <c r="M13" s="1111">
        <f>SUMIFS(NewEmisData!G:G, NewEmisData!$A:$A, $G13, NewEmisData!$B:$B, $A13, NewEmisData!$C:$C, $H13, NewEmisData!$D:$D, M$6)</f>
        <v>1760.12051639078</v>
      </c>
      <c r="N13" s="1111">
        <f>SUMIFS(NewEmisData!H:H, NewEmisData!$A:$A, $G13, NewEmisData!$B:$B, $A13, NewEmisData!$C:$C, $H13, NewEmisData!$D:$D, N$6)</f>
        <v>1725.691003145</v>
      </c>
      <c r="O13" s="1111">
        <f>SUMIFS(NewEmisData!I:I, NewEmisData!$A:$A, $G13, NewEmisData!$B:$B, $A13, NewEmisData!$C:$C, $H13, NewEmisData!$D:$D, O$6)</f>
        <v>1701.2652234181401</v>
      </c>
      <c r="P13" s="1111">
        <f>SUMIFS(NewEmisData!J:J, NewEmisData!$A:$A, $G13, NewEmisData!$B:$B, $A13, NewEmisData!$C:$C, $H13, NewEmisData!$D:$D, P$6)</f>
        <v>1689.2419423004101</v>
      </c>
      <c r="Q13" s="1111">
        <f>SUMIFS(NewEmisData!K:K, NewEmisData!$A:$A, $G13, NewEmisData!$B:$B, $A13, NewEmisData!$C:$C, $H13, NewEmisData!$D:$D, Q$6)</f>
        <v>1686.0310473817101</v>
      </c>
      <c r="R13" s="1111">
        <f>SUMIFS(NewEmisData!L:L, NewEmisData!$A:$A, $G13, NewEmisData!$B:$B, $A13, NewEmisData!$C:$C, $H13, NewEmisData!$D:$D, R$6)</f>
        <v>1684.65387386569</v>
      </c>
      <c r="S13" s="1111">
        <f>SUMIFS(NewEmisData!M:M, NewEmisData!$A:$A, $G13, NewEmisData!$B:$B, $A13, NewEmisData!$C:$C, $H13, NewEmisData!$D:$D, S$6)</f>
        <v>1683.50748414707</v>
      </c>
      <c r="T13" s="1111">
        <f t="shared" ref="T13:T88" si="17">S13</f>
        <v>1683.50748414707</v>
      </c>
      <c r="U13" s="1111">
        <f>SUMIFS(NewEmisData!E:E, NewEmisData!$A:$A, $G13, NewEmisData!$B:$B, $A13, NewEmisData!$C:$C, $H13, NewEmisData!$D:$D, U$6)</f>
        <v>18.668125395756</v>
      </c>
      <c r="V13" s="1111">
        <f>SUMIFS(NewEmisData!F:F, NewEmisData!$A:$A, $G13, NewEmisData!$B:$B, $A13, NewEmisData!$C:$C, $H13, NewEmisData!$D:$D, V$6)</f>
        <v>11.1440380927276</v>
      </c>
      <c r="W13" s="1111">
        <f>SUMIFS(NewEmisData!G:G, NewEmisData!$A:$A, $G13, NewEmisData!$B:$B, $A13, NewEmisData!$C:$C, $H13, NewEmisData!$D:$D, W$6)</f>
        <v>5.7829202038421004</v>
      </c>
      <c r="X13" s="1111">
        <f>SUMIFS(NewEmisData!H:H, NewEmisData!$A:$A, $G13, NewEmisData!$B:$B, $A13, NewEmisData!$C:$C, $H13, NewEmisData!$D:$D, X$6)</f>
        <v>3.20396695130832</v>
      </c>
      <c r="Y13" s="1111">
        <f>SUMIFS(NewEmisData!I:I, NewEmisData!$A:$A, $G13, NewEmisData!$B:$B, $A13, NewEmisData!$C:$C, $H13, NewEmisData!$D:$D, Y$6)</f>
        <v>2.2740618900591598</v>
      </c>
      <c r="Z13" s="1111">
        <f>SUMIFS(NewEmisData!J:J, NewEmisData!$A:$A, $G13, NewEmisData!$B:$B, $A13, NewEmisData!$C:$C, $H13, NewEmisData!$D:$D, Z$6)</f>
        <v>1.9371275562897501</v>
      </c>
      <c r="AA13" s="1111">
        <f>SUMIFS(NewEmisData!K:K, NewEmisData!$A:$A, $G13, NewEmisData!$B:$B, $A13, NewEmisData!$C:$C, $H13, NewEmisData!$D:$D, AA$6)</f>
        <v>1.7456585769951301</v>
      </c>
      <c r="AB13" s="1111">
        <f>SUMIFS(NewEmisData!L:L, NewEmisData!$A:$A, $G13, NewEmisData!$B:$B, $A13, NewEmisData!$C:$C, $H13, NewEmisData!$D:$D, AB$6)</f>
        <v>1.7403372468815299</v>
      </c>
      <c r="AC13" s="1111">
        <f>SUMIFS(NewEmisData!M:M, NewEmisData!$A:$A, $G13, NewEmisData!$B:$B, $A13, NewEmisData!$C:$C, $H13, NewEmisData!$D:$D, AC$6)</f>
        <v>1.7389528033933299</v>
      </c>
      <c r="AD13" s="1111">
        <f t="shared" ref="AD13:AD88" si="18">AC13</f>
        <v>1.7389528033933299</v>
      </c>
      <c r="AE13" s="1111">
        <f>AF13</f>
        <v>3.8389239139431798E-2</v>
      </c>
      <c r="AF13" s="1111">
        <f>SUMIFS(NewEmisData!E:E, NewEmisData!$A:$A, $G13, NewEmisData!$B:$B, $A13, NewEmisData!$C:$C, $H13, NewEmisData!$D:$D, AF$6)</f>
        <v>3.8389239139431798E-2</v>
      </c>
      <c r="AG13" s="1111">
        <f>SUMIFS(NewEmisData!F:F, NewEmisData!$A:$A, $G13, NewEmisData!$B:$B, $A13, NewEmisData!$C:$C, $H13, NewEmisData!$D:$D, AG$6)</f>
        <v>3.6761798419934502E-2</v>
      </c>
      <c r="AH13" s="1111">
        <f>SUMIFS(NewEmisData!G:G, NewEmisData!$A:$A, $G13, NewEmisData!$B:$B, $A13, NewEmisData!$C:$C, $H13, NewEmisData!$D:$D, AH$6)</f>
        <v>1.4889550958331501E-2</v>
      </c>
      <c r="AI13" s="1111">
        <f>SUMIFS(NewEmisData!H:H, NewEmisData!$A:$A, $G13, NewEmisData!$B:$B, $A13, NewEmisData!$C:$C, $H13, NewEmisData!$D:$D, AI$6)</f>
        <v>1.4468385512049001E-2</v>
      </c>
      <c r="AJ13" s="1111">
        <f>SUMIFS(NewEmisData!I:I, NewEmisData!$A:$A, $G13, NewEmisData!$B:$B, $A13, NewEmisData!$C:$C, $H13, NewEmisData!$D:$D, AJ$6)</f>
        <v>1.4209561374707899E-2</v>
      </c>
      <c r="AK13" s="1111">
        <f>SUMIFS(NewEmisData!J:J, NewEmisData!$A:$A, $G13, NewEmisData!$B:$B, $A13, NewEmisData!$C:$C, $H13, NewEmisData!$D:$D, AK$6)</f>
        <v>1.41029670885105E-2</v>
      </c>
      <c r="AL13" s="1111">
        <f>SUMIFS(NewEmisData!K:K, NewEmisData!$A:$A, $G13, NewEmisData!$B:$B, $A13, NewEmisData!$C:$C, $H13, NewEmisData!$D:$D, AL$6)</f>
        <v>1.4056650783011699E-2</v>
      </c>
      <c r="AM13" s="1111">
        <f>SUMIFS(NewEmisData!L:L, NewEmisData!$A:$A, $G13, NewEmisData!$B:$B, $A13, NewEmisData!$C:$C, $H13, NewEmisData!$D:$D, AM$6)</f>
        <v>1.4045167485360799E-2</v>
      </c>
      <c r="AN13" s="1111">
        <f>SUMIFS(NewEmisData!M:M, NewEmisData!$A:$A, $G13, NewEmisData!$B:$B, $A13, NewEmisData!$C:$C, $H13, NewEmisData!$D:$D, AN$6)</f>
        <v>1.4035601733995101E-2</v>
      </c>
      <c r="AO13" s="1111">
        <f t="shared" ref="AO13:AO22" si="19">AN13</f>
        <v>1.4035601733995101E-2</v>
      </c>
      <c r="AP13" s="1111">
        <f t="shared" si="2"/>
        <v>0.78674550377560604</v>
      </c>
      <c r="AQ13" s="1111">
        <f>SUMIFS(NewEmisData!E:E, NewEmisData!$A:$A, $G13, NewEmisData!$B:$B, $A13, NewEmisData!$C:$C, $H13, NewEmisData!$D:$D, AQ$6)</f>
        <v>0.78674550377560604</v>
      </c>
      <c r="AR13" s="1111">
        <f>SUMIFS(NewEmisData!F:F, NewEmisData!$A:$A, $G13, NewEmisData!$B:$B, $A13, NewEmisData!$C:$C, $H13, NewEmisData!$D:$D, AR$6)</f>
        <v>0.59435851753671198</v>
      </c>
      <c r="AS13" s="1111">
        <f>SUMIFS(NewEmisData!G:G, NewEmisData!$A:$A, $G13, NewEmisData!$B:$B, $A13, NewEmisData!$C:$C, $H13, NewEmisData!$D:$D, AS$6)</f>
        <v>0.48892752894583302</v>
      </c>
      <c r="AT13" s="1111">
        <f>SUMIFS(NewEmisData!H:H, NewEmisData!$A:$A, $G13, NewEmisData!$B:$B, $A13, NewEmisData!$C:$C, $H13, NewEmisData!$D:$D, AT$6)</f>
        <v>0.40673687636699701</v>
      </c>
      <c r="AU13" s="1111">
        <f>SUMIFS(NewEmisData!I:I, NewEmisData!$A:$A, $G13, NewEmisData!$B:$B, $A13, NewEmisData!$C:$C, $H13, NewEmisData!$D:$D, AU$6)</f>
        <v>0.37207197997484598</v>
      </c>
      <c r="AV13" s="1111">
        <f>SUMIFS(NewEmisData!J:J, NewEmisData!$A:$A, $G13, NewEmisData!$B:$B, $A13, NewEmisData!$C:$C, $H13, NewEmisData!$D:$D, AV$6)</f>
        <v>0.366996102766601</v>
      </c>
      <c r="AW13" s="1111">
        <f>SUMIFS(NewEmisData!K:K, NewEmisData!$A:$A, $G13, NewEmisData!$B:$B, $A13, NewEmisData!$C:$C, $H13, NewEmisData!$D:$D, AW$6)</f>
        <v>0.35822974357450499</v>
      </c>
      <c r="AX13" s="1111">
        <f>SUMIFS(NewEmisData!L:L, NewEmisData!$A:$A, $G13, NewEmisData!$B:$B, $A13, NewEmisData!$C:$C, $H13, NewEmisData!$D:$D, AX$6)</f>
        <v>0.35809529827636299</v>
      </c>
      <c r="AY13" s="1111">
        <f>SUMIFS(NewEmisData!M:M, NewEmisData!$A:$A, $G13, NewEmisData!$B:$B, $A13, NewEmisData!$C:$C, $H13, NewEmisData!$D:$D, AY$6)</f>
        <v>0.358118172842192</v>
      </c>
      <c r="AZ13" s="1111">
        <f t="shared" ref="AZ13:AZ22" si="20">AY13</f>
        <v>0.358118172842192</v>
      </c>
      <c r="BA13" s="1111">
        <f t="shared" si="3"/>
        <v>0.55028448131832597</v>
      </c>
      <c r="BB13" s="1111">
        <f>SUMIFS(NewEmisData!E:E, NewEmisData!$A:$A, $G13, NewEmisData!$B:$B, $A13, NewEmisData!$C:$C, $H13, NewEmisData!$D:$D, BB$6)</f>
        <v>0.55028448131832597</v>
      </c>
      <c r="BC13" s="1111">
        <f>SUMIFS(NewEmisData!F:F, NewEmisData!$A:$A, $G13, NewEmisData!$B:$B, $A13, NewEmisData!$C:$C, $H13, NewEmisData!$D:$D, BC$6)</f>
        <v>0.38400745413618897</v>
      </c>
      <c r="BD13" s="1111">
        <f>SUMIFS(NewEmisData!G:G, NewEmisData!$A:$A, $G13, NewEmisData!$B:$B, $A13, NewEmisData!$C:$C, $H13, NewEmisData!$D:$D, BD$6)</f>
        <v>0.19465121057228399</v>
      </c>
      <c r="BE13" s="1111">
        <f>SUMIFS(NewEmisData!H:H, NewEmisData!$A:$A, $G13, NewEmisData!$B:$B, $A13, NewEmisData!$C:$C, $H13, NewEmisData!$D:$D, BE$6)</f>
        <v>0.118207278051221</v>
      </c>
      <c r="BF13" s="1111">
        <f>SUMIFS(NewEmisData!I:I, NewEmisData!$A:$A, $G13, NewEmisData!$B:$B, $A13, NewEmisData!$C:$C, $H13, NewEmisData!$D:$D, BF$6)</f>
        <v>8.6817069306160496E-2</v>
      </c>
      <c r="BG13" s="1111">
        <f>SUMIFS(NewEmisData!J:J, NewEmisData!$A:$A, $G13, NewEmisData!$B:$B, $A13, NewEmisData!$C:$C, $H13, NewEmisData!$D:$D, BG$6)</f>
        <v>8.22742664951428E-2</v>
      </c>
      <c r="BH13" s="1111">
        <f>SUMIFS(NewEmisData!K:K, NewEmisData!$A:$A, $G13, NewEmisData!$B:$B, $A13, NewEmisData!$C:$C, $H13, NewEmisData!$D:$D, BH$6)</f>
        <v>7.4293747941119301E-2</v>
      </c>
      <c r="BI13" s="1111">
        <f>SUMIFS(NewEmisData!L:L, NewEmisData!$A:$A, $G13, NewEmisData!$B:$B, $A13, NewEmisData!$C:$C, $H13, NewEmisData!$D:$D, BI$6)</f>
        <v>7.4186721872420605E-2</v>
      </c>
      <c r="BJ13" s="1111">
        <f>SUMIFS(NewEmisData!M:M, NewEmisData!$A:$A, $G13, NewEmisData!$B:$B, $A13, NewEmisData!$C:$C, $H13, NewEmisData!$D:$D, BJ$6)</f>
        <v>7.4167760380950506E-2</v>
      </c>
      <c r="BK13" s="1111">
        <f>BJ13</f>
        <v>7.4167760380950506E-2</v>
      </c>
      <c r="BL13" s="1111">
        <f t="shared" si="4"/>
        <v>7.4025631204345501</v>
      </c>
      <c r="BM13" s="1111">
        <f>SUMIFS(NewEmisData!E:E, NewEmisData!$A:$A, $G13, NewEmisData!$B:$B, $A13, NewEmisData!$C:$C, $H13, NewEmisData!$D:$D, BM$6)</f>
        <v>7.4025631204345501</v>
      </c>
      <c r="BN13" s="1111">
        <f>SUMIFS(NewEmisData!F:F, NewEmisData!$A:$A, $G13, NewEmisData!$B:$B, $A13, NewEmisData!$C:$C, $H13, NewEmisData!$D:$D, BN$6)</f>
        <v>5.7928546844056203</v>
      </c>
      <c r="BO13" s="1111">
        <f>SUMIFS(NewEmisData!G:G, NewEmisData!$A:$A, $G13, NewEmisData!$B:$B, $A13, NewEmisData!$C:$C, $H13, NewEmisData!$D:$D, BO$6)</f>
        <v>3.25014237033561</v>
      </c>
      <c r="BP13" s="1111">
        <f>SUMIFS(NewEmisData!H:H, NewEmisData!$A:$A, $G13, NewEmisData!$B:$B, $A13, NewEmisData!$C:$C, $H13, NewEmisData!$D:$D, BP$6)</f>
        <v>2.1022334776789799</v>
      </c>
      <c r="BQ13" s="1111">
        <f>SUMIFS(NewEmisData!I:I, NewEmisData!$A:$A, $G13, NewEmisData!$B:$B, $A13, NewEmisData!$C:$C, $H13, NewEmisData!$D:$D, BQ$6)</f>
        <v>1.90721253550502</v>
      </c>
      <c r="BR13" s="1111">
        <f>SUMIFS(NewEmisData!J:J, NewEmisData!$A:$A, $G13, NewEmisData!$B:$B, $A13, NewEmisData!$C:$C, $H13, NewEmisData!$D:$D, BR$6)</f>
        <v>1.73226494933412</v>
      </c>
      <c r="BS13" s="1111">
        <f>SUMIFS(NewEmisData!K:K, NewEmisData!$A:$A, $G13, NewEmisData!$B:$B, $A13, NewEmisData!$C:$C, $H13, NewEmisData!$D:$D, BS$6)</f>
        <v>1.66295860938386</v>
      </c>
      <c r="BT13" s="1111">
        <f>SUMIFS(NewEmisData!L:L, NewEmisData!$A:$A, $G13, NewEmisData!$B:$B, $A13, NewEmisData!$C:$C, $H13, NewEmisData!$D:$D, BT$6)</f>
        <v>1.6638988091117199</v>
      </c>
      <c r="BU13" s="1111">
        <f>SUMIFS(NewEmisData!M:M, NewEmisData!$A:$A, $G13, NewEmisData!$B:$B, $A13, NewEmisData!$C:$C, $H13, NewEmisData!$D:$D, BU$6)</f>
        <v>1.6592583196978401</v>
      </c>
      <c r="BV13" s="1111">
        <f>BU13</f>
        <v>1.6592583196978401</v>
      </c>
      <c r="BW13" s="1111">
        <f t="shared" si="5"/>
        <v>1.4473470985210799</v>
      </c>
      <c r="BX13" s="1111">
        <f>SUMIFS(NewEmisData!E:E, NewEmisData!$A:$A, $G13, NewEmisData!$B:$B, $A13, NewEmisData!$C:$C, $H13, NewEmisData!$D:$D, BX$6)</f>
        <v>1.4473470985210799</v>
      </c>
      <c r="BY13" s="1111">
        <f>SUMIFS(NewEmisData!F:F, NewEmisData!$A:$A, $G13, NewEmisData!$B:$B, $A13, NewEmisData!$C:$C, $H13, NewEmisData!$D:$D, BY$6)</f>
        <v>1.1581362740294701</v>
      </c>
      <c r="BZ13" s="1111">
        <f>SUMIFS(NewEmisData!G:G, NewEmisData!$A:$A, $G13, NewEmisData!$B:$B, $A13, NewEmisData!$C:$C, $H13, NewEmisData!$D:$D, BZ$6)</f>
        <v>0.53671452190943902</v>
      </c>
      <c r="CA13" s="1111">
        <f>SUMIFS(NewEmisData!H:H, NewEmisData!$A:$A, $G13, NewEmisData!$B:$B, $A13, NewEmisData!$C:$C, $H13, NewEmisData!$D:$D, CA$6)</f>
        <v>0.27494886385920297</v>
      </c>
      <c r="CB13" s="1111">
        <f>SUMIFS(NewEmisData!I:I, NewEmisData!$A:$A, $G13, NewEmisData!$B:$B, $A13, NewEmisData!$C:$C, $H13, NewEmisData!$D:$D, CB$6)</f>
        <v>0.19325322968969499</v>
      </c>
      <c r="CC13" s="1111">
        <f>SUMIFS(NewEmisData!J:J, NewEmisData!$A:$A, $G13, NewEmisData!$B:$B, $A13, NewEmisData!$C:$C, $H13, NewEmisData!$D:$D, CC$6)</f>
        <v>0.167956894854846</v>
      </c>
      <c r="CD13" s="1111">
        <f>SUMIFS(NewEmisData!K:K, NewEmisData!$A:$A, $G13, NewEmisData!$B:$B, $A13, NewEmisData!$C:$C, $H13, NewEmisData!$D:$D, CD$6)</f>
        <v>0.13892518309640101</v>
      </c>
      <c r="CE13" s="1111">
        <f>SUMIFS(NewEmisData!L:L, NewEmisData!$A:$A, $G13, NewEmisData!$B:$B, $A13, NewEmisData!$C:$C, $H13, NewEmisData!$D:$D, CE$6)</f>
        <v>0.13884600843509601</v>
      </c>
      <c r="CF13" s="1111">
        <f>SUMIFS(NewEmisData!M:M, NewEmisData!$A:$A, $G13, NewEmisData!$B:$B, $A13, NewEmisData!$C:$C, $H13, NewEmisData!$D:$D, CF$6)</f>
        <v>0.13868242154504801</v>
      </c>
      <c r="CG13" s="1111">
        <f t="shared" si="6"/>
        <v>0.13868242154504801</v>
      </c>
      <c r="CH13" s="1111">
        <f t="shared" si="7"/>
        <v>2.5552170890355701E-2</v>
      </c>
      <c r="CI13" s="1111">
        <f>SUMIFS(NewEmisData!E:E, NewEmisData!$A:$A, $G13, NewEmisData!$B:$B, $A13, NewEmisData!$C:$C, $H13, NewEmisData!$D:$D, CI$6)</f>
        <v>2.5552170890355701E-2</v>
      </c>
      <c r="CJ13" s="1111">
        <f>SUMIFS(NewEmisData!F:F, NewEmisData!$A:$A, $G13, NewEmisData!$B:$B, $A13, NewEmisData!$C:$C, $H13, NewEmisData!$D:$D, CJ$6)</f>
        <v>2.53025045921564E-2</v>
      </c>
      <c r="CK13" s="1111">
        <f>SUMIFS(NewEmisData!G:G, NewEmisData!$A:$A, $G13, NewEmisData!$B:$B, $A13, NewEmisData!$C:$C, $H13, NewEmisData!$D:$D, CK$6)</f>
        <v>3.2113726092753501E-2</v>
      </c>
      <c r="CL13" s="1111">
        <f>SUMIFS(NewEmisData!H:H, NewEmisData!$A:$A, $G13, NewEmisData!$B:$B, $A13, NewEmisData!$C:$C, $H13, NewEmisData!$D:$D, CL$6)</f>
        <v>3.2125818354371803E-2</v>
      </c>
      <c r="CM13" s="1111">
        <f>SUMIFS(NewEmisData!I:I, NewEmisData!$A:$A, $G13, NewEmisData!$B:$B, $A13, NewEmisData!$C:$C, $H13, NewEmisData!$D:$D, CM$6)</f>
        <v>3.21152168523616E-2</v>
      </c>
      <c r="CN13" s="1111">
        <f>SUMIFS(NewEmisData!J:J, NewEmisData!$A:$A, $G13, NewEmisData!$B:$B, $A13, NewEmisData!$C:$C, $H13, NewEmisData!$D:$D, CN$6)</f>
        <v>3.21127222738316E-2</v>
      </c>
      <c r="CO13" s="1111">
        <f>SUMIFS(NewEmisData!K:K, NewEmisData!$A:$A, $G13, NewEmisData!$B:$B, $A13, NewEmisData!$C:$C, $H13, NewEmisData!$D:$D, CO$6)</f>
        <v>3.2111195257881399E-2</v>
      </c>
      <c r="CP13" s="1111">
        <f>SUMIFS(NewEmisData!L:L, NewEmisData!$A:$A, $G13, NewEmisData!$B:$B, $A13, NewEmisData!$C:$C, $H13, NewEmisData!$D:$D, CP$6)</f>
        <v>3.21104284845748E-2</v>
      </c>
      <c r="CQ13" s="1111">
        <f>SUMIFS(NewEmisData!M:M, NewEmisData!$A:$A, $G13, NewEmisData!$B:$B, $A13, NewEmisData!$C:$C, $H13, NewEmisData!$D:$D, CQ$6)</f>
        <v>3.2111281698300603E-2</v>
      </c>
      <c r="CR13" s="1111">
        <f t="shared" si="8"/>
        <v>3.2111281698300603E-2</v>
      </c>
      <c r="CS13" s="1111">
        <f t="shared" si="9"/>
        <v>3.4284515149731101E-3</v>
      </c>
      <c r="CT13" s="1111">
        <f>SUMIFS(NewEmisData!E:E, NewEmisData!$A:$A, $G13, NewEmisData!$B:$B, $A13, NewEmisData!$C:$C, $H13, NewEmisData!$D:$D, CT$6)</f>
        <v>3.4284515149731101E-3</v>
      </c>
      <c r="CU13" s="1111">
        <f>SUMIFS(NewEmisData!F:F, NewEmisData!$A:$A, $G13, NewEmisData!$B:$B, $A13, NewEmisData!$C:$C, $H13, NewEmisData!$D:$D, CU$6)</f>
        <v>3.9228568169430503E-3</v>
      </c>
      <c r="CV13" s="1111">
        <f>SUMIFS(NewEmisData!G:G, NewEmisData!$A:$A, $G13, NewEmisData!$B:$B, $A13, NewEmisData!$C:$C, $H13, NewEmisData!$D:$D, CV$6)</f>
        <v>6.0180787362878099E-3</v>
      </c>
      <c r="CW13" s="1111">
        <f>SUMIFS(NewEmisData!H:H, NewEmisData!$A:$A, $G13, NewEmisData!$B:$B, $A13, NewEmisData!$C:$C, $H13, NewEmisData!$D:$D, CW$6)</f>
        <v>6.0081059727209599E-3</v>
      </c>
      <c r="CX13" s="1111">
        <f>SUMIFS(NewEmisData!I:I, NewEmisData!$A:$A, $G13, NewEmisData!$B:$B, $A13, NewEmisData!$C:$C, $H13, NewEmisData!$D:$D, CX$6)</f>
        <v>6.0223865299690697E-3</v>
      </c>
      <c r="CY13" s="1111">
        <f>SUMIFS(NewEmisData!J:J, NewEmisData!$A:$A, $G13, NewEmisData!$B:$B, $A13, NewEmisData!$C:$C, $H13, NewEmisData!$D:$D, CY$6)</f>
        <v>6.0258969594508003E-3</v>
      </c>
      <c r="CZ13" s="1111">
        <f>SUMIFS(NewEmisData!K:K, NewEmisData!$A:$A, $G13, NewEmisData!$B:$B, $A13, NewEmisData!$C:$C, $H13, NewEmisData!$D:$D, CZ$6)</f>
        <v>6.0307176387692897E-3</v>
      </c>
      <c r="DA13" s="1111">
        <f>SUMIFS(NewEmisData!L:L, NewEmisData!$A:$A, $G13, NewEmisData!$B:$B, $A13, NewEmisData!$C:$C, $H13, NewEmisData!$D:$D, DA$6)</f>
        <v>6.0319705845977203E-3</v>
      </c>
      <c r="DB13" s="1111">
        <f>SUMIFS(NewEmisData!M:M, NewEmisData!$A:$A, $G13, NewEmisData!$B:$B, $A13, NewEmisData!$C:$C, $H13, NewEmisData!$D:$D, DB$6)</f>
        <v>6.0283362401861102E-3</v>
      </c>
      <c r="DC13" s="1111">
        <f>DB13</f>
        <v>6.0283362401861102E-3</v>
      </c>
      <c r="DD13" s="1111"/>
      <c r="DE13" s="1111"/>
      <c r="DF13" s="1111"/>
      <c r="DG13" s="1111"/>
      <c r="DH13" s="1111"/>
      <c r="DI13" s="1111"/>
      <c r="DJ13" s="1111"/>
      <c r="DK13" s="1111"/>
      <c r="DL13" s="1111"/>
      <c r="DM13" s="1111"/>
      <c r="DN13" s="1111"/>
      <c r="DO13" s="1111"/>
      <c r="DP13" s="1111"/>
      <c r="DQ13" s="1111"/>
      <c r="DR13" s="1111"/>
      <c r="DS13" s="1111"/>
      <c r="DT13" s="1111"/>
      <c r="DU13" s="1111"/>
      <c r="DV13" s="1111"/>
      <c r="DW13" s="1111"/>
      <c r="DX13" s="1111"/>
      <c r="DY13" s="1111"/>
      <c r="DZ13" s="1111">
        <f>EA13</f>
        <v>1.40033005820737E-2</v>
      </c>
      <c r="EA13" s="1111">
        <f>SUMIFS(NewEmisData!E:E, NewEmisData!$A:$A, $G13, NewEmisData!$B:$B, $A13, NewEmisData!$C:$C, $H13, NewEmisData!$D:$D, EA$6)</f>
        <v>1.40033005820737E-2</v>
      </c>
      <c r="EB13" s="1111">
        <f>SUMIFS(NewEmisData!F:F, NewEmisData!$A:$A, $G13, NewEmisData!$B:$B, $A13, NewEmisData!$C:$C, $H13, NewEmisData!$D:$D, EB$6)</f>
        <v>2.6809761202267801E-2</v>
      </c>
      <c r="EC13" s="1111">
        <f>SUMIFS(NewEmisData!G:G, NewEmisData!$A:$A, $G13, NewEmisData!$B:$B, $A13, NewEmisData!$C:$C, $H13, NewEmisData!$D:$D, EC$6)</f>
        <v>0.106442915223567</v>
      </c>
      <c r="ED13" s="1111">
        <f>SUMIFS(NewEmisData!H:H, NewEmisData!$A:$A, $G13, NewEmisData!$B:$B, $A13, NewEmisData!$C:$C, $H13, NewEmisData!$D:$D, ED$6)</f>
        <v>0.114238711864713</v>
      </c>
      <c r="EE13" s="1111">
        <f>SUMIFS(NewEmisData!I:I, NewEmisData!$A:$A, $G13, NewEmisData!$B:$B, $A13, NewEmisData!$C:$C, $H13, NewEmisData!$D:$D, EE$6)</f>
        <v>0.117878139049751</v>
      </c>
      <c r="EF13" s="1111">
        <f>SUMIFS(NewEmisData!J:J, NewEmisData!$A:$A, $G13, NewEmisData!$B:$B, $A13, NewEmisData!$C:$C, $H13, NewEmisData!$D:$D, EF$6)</f>
        <v>0.117418406823893</v>
      </c>
      <c r="EG13" s="1111">
        <f>SUMIFS(NewEmisData!K:K, NewEmisData!$A:$A, $G13, NewEmisData!$B:$B, $A13, NewEmisData!$C:$C, $H13, NewEmisData!$D:$D, EG$6)</f>
        <v>0.12035326609237</v>
      </c>
      <c r="EH13" s="1111">
        <f>SUMIFS(NewEmisData!L:L, NewEmisData!$A:$A, $G13, NewEmisData!$B:$B, $A13, NewEmisData!$C:$C, $H13, NewEmisData!$D:$D, EH$6)</f>
        <v>0.120291917587136</v>
      </c>
      <c r="EI13" s="1111">
        <f>SUMIFS(NewEmisData!M:M, NewEmisData!$A:$A, $G13, NewEmisData!$B:$B, $A13, NewEmisData!$C:$C, $H13, NewEmisData!$D:$D, EI$6)</f>
        <v>0.120135485992918</v>
      </c>
      <c r="EJ13" s="1111">
        <f>EI13</f>
        <v>0.120135485992918</v>
      </c>
      <c r="EK13" s="1111">
        <f>EL13</f>
        <v>1543.98093106499</v>
      </c>
      <c r="EL13" s="1111">
        <f t="shared" si="10"/>
        <v>1543.98093106499</v>
      </c>
      <c r="EM13" s="1111">
        <f t="shared" ref="EM13:EU17" si="21">L13</f>
        <v>1489.5901194539099</v>
      </c>
      <c r="EN13" s="1111">
        <f t="shared" si="21"/>
        <v>1760.12051639078</v>
      </c>
      <c r="EO13" s="1111">
        <f t="shared" si="21"/>
        <v>1725.691003145</v>
      </c>
      <c r="EP13" s="1111">
        <f t="shared" si="21"/>
        <v>1701.2652234181401</v>
      </c>
      <c r="EQ13" s="1111">
        <f t="shared" si="21"/>
        <v>1689.2419423004101</v>
      </c>
      <c r="ER13" s="1111">
        <f t="shared" si="21"/>
        <v>1686.0310473817101</v>
      </c>
      <c r="ES13" s="1111">
        <f t="shared" si="21"/>
        <v>1684.65387386569</v>
      </c>
      <c r="ET13" s="1111">
        <f t="shared" si="21"/>
        <v>1683.50748414707</v>
      </c>
      <c r="EU13" s="1111">
        <f t="shared" si="21"/>
        <v>1683.50748414707</v>
      </c>
      <c r="EV13" s="1111">
        <f>EW13</f>
        <v>18.668125395756</v>
      </c>
      <c r="EW13" s="1111">
        <f>U13</f>
        <v>18.668125395756</v>
      </c>
      <c r="EX13" s="1111">
        <f t="shared" ref="EX13:FF16" si="22">V13</f>
        <v>11.1440380927276</v>
      </c>
      <c r="EY13" s="1111">
        <f t="shared" si="22"/>
        <v>5.7829202038421004</v>
      </c>
      <c r="EZ13" s="1111">
        <f t="shared" si="22"/>
        <v>3.20396695130832</v>
      </c>
      <c r="FA13" s="1111">
        <f t="shared" si="22"/>
        <v>2.2740618900591598</v>
      </c>
      <c r="FB13" s="1111">
        <f t="shared" si="22"/>
        <v>1.9371275562897501</v>
      </c>
      <c r="FC13" s="1111">
        <f t="shared" si="22"/>
        <v>1.7456585769951301</v>
      </c>
      <c r="FD13" s="1111">
        <f t="shared" si="22"/>
        <v>1.7403372468815299</v>
      </c>
      <c r="FE13" s="1111">
        <f t="shared" si="22"/>
        <v>1.7389528033933299</v>
      </c>
      <c r="FF13" s="1111">
        <f t="shared" si="22"/>
        <v>1.7389528033933299</v>
      </c>
      <c r="FG13" s="1111">
        <f t="shared" ref="FG13:FG18" si="23">AE13</f>
        <v>3.8389239139431798E-2</v>
      </c>
      <c r="FH13" s="1111">
        <f t="shared" ref="FH13:FQ16" si="24">AF13</f>
        <v>3.8389239139431798E-2</v>
      </c>
      <c r="FI13" s="1111">
        <f t="shared" si="24"/>
        <v>3.6761798419934502E-2</v>
      </c>
      <c r="FJ13" s="1111">
        <f t="shared" si="24"/>
        <v>1.4889550958331501E-2</v>
      </c>
      <c r="FK13" s="1111">
        <f t="shared" si="24"/>
        <v>1.4468385512049001E-2</v>
      </c>
      <c r="FL13" s="1111">
        <f t="shared" si="24"/>
        <v>1.4209561374707899E-2</v>
      </c>
      <c r="FM13" s="1111">
        <f t="shared" si="24"/>
        <v>1.41029670885105E-2</v>
      </c>
      <c r="FN13" s="1111">
        <f t="shared" si="24"/>
        <v>1.4056650783011699E-2</v>
      </c>
      <c r="FO13" s="1111">
        <f t="shared" si="24"/>
        <v>1.4045167485360799E-2</v>
      </c>
      <c r="FP13" s="1111">
        <f t="shared" si="24"/>
        <v>1.4035601733995101E-2</v>
      </c>
      <c r="FQ13" s="1111">
        <f t="shared" si="24"/>
        <v>1.4035601733995101E-2</v>
      </c>
      <c r="FR13" s="1111">
        <f t="shared" ref="FR13:FR88" si="25">AP13</f>
        <v>0.78674550377560604</v>
      </c>
      <c r="FS13" s="1111">
        <f t="shared" ref="FS13:FS88" si="26">AQ13</f>
        <v>0.78674550377560604</v>
      </c>
      <c r="FT13" s="1111">
        <f t="shared" ref="FT13:FT88" si="27">AR13</f>
        <v>0.59435851753671198</v>
      </c>
      <c r="FU13" s="1111">
        <f t="shared" ref="FU13:FU88" si="28">AS13</f>
        <v>0.48892752894583302</v>
      </c>
      <c r="FV13" s="1111">
        <f t="shared" ref="FV13:FV88" si="29">AT13</f>
        <v>0.40673687636699701</v>
      </c>
      <c r="FW13" s="1111">
        <f t="shared" ref="FW13:FW88" si="30">AU13</f>
        <v>0.37207197997484598</v>
      </c>
      <c r="FX13" s="1111">
        <f t="shared" ref="FX13:FX88" si="31">AV13</f>
        <v>0.366996102766601</v>
      </c>
      <c r="FY13" s="1111">
        <f t="shared" ref="FY13:FY88" si="32">AW13</f>
        <v>0.35822974357450499</v>
      </c>
      <c r="FZ13" s="1111">
        <f t="shared" ref="FZ13:FZ88" si="33">AX13</f>
        <v>0.35809529827636299</v>
      </c>
      <c r="GA13" s="1111">
        <f t="shared" ref="GA13:GA88" si="34">AY13</f>
        <v>0.358118172842192</v>
      </c>
      <c r="GB13" s="1111">
        <f t="shared" ref="GB13:GB88" si="35">AZ13</f>
        <v>0.358118172842192</v>
      </c>
      <c r="GC13" s="1111">
        <f t="shared" si="15"/>
        <v>0.55028448131832597</v>
      </c>
      <c r="GD13" s="1111">
        <f t="shared" ref="GD13:GM17" si="36">BB13</f>
        <v>0.55028448131832597</v>
      </c>
      <c r="GE13" s="1111">
        <f t="shared" si="36"/>
        <v>0.38400745413618897</v>
      </c>
      <c r="GF13" s="1111">
        <f t="shared" si="36"/>
        <v>0.19465121057228399</v>
      </c>
      <c r="GG13" s="1111">
        <f t="shared" si="36"/>
        <v>0.118207278051221</v>
      </c>
      <c r="GH13" s="1111">
        <f t="shared" si="36"/>
        <v>8.6817069306160496E-2</v>
      </c>
      <c r="GI13" s="1111">
        <f t="shared" si="36"/>
        <v>8.22742664951428E-2</v>
      </c>
      <c r="GJ13" s="1111">
        <f t="shared" si="36"/>
        <v>7.4293747941119301E-2</v>
      </c>
      <c r="GK13" s="1111">
        <f t="shared" si="36"/>
        <v>7.4186721872420605E-2</v>
      </c>
      <c r="GL13" s="1111">
        <f t="shared" si="36"/>
        <v>7.4167760380950506E-2</v>
      </c>
      <c r="GM13" s="1111">
        <f t="shared" si="36"/>
        <v>7.4167760380950506E-2</v>
      </c>
    </row>
    <row r="14" spans="1:195" x14ac:dyDescent="0.2">
      <c r="A14" s="1071" t="s">
        <v>186</v>
      </c>
      <c r="B14" s="1071" t="str">
        <f>TechData!B11</f>
        <v>TBDSLE</v>
      </c>
      <c r="C14" s="1071" t="str">
        <f>TechData!C11</f>
        <v>Bus, Exisiting Diesel</v>
      </c>
      <c r="D14" s="1071" t="str">
        <f>TechData!D11</f>
        <v>bn-vmt, bn-vmt/a</v>
      </c>
      <c r="E14" s="1071" t="str">
        <f>TechData!E11</f>
        <v>TBDSL</v>
      </c>
      <c r="F14" s="1071" t="str">
        <f>TechData!F11</f>
        <v>TB</v>
      </c>
      <c r="G14" s="1110" t="s">
        <v>498</v>
      </c>
      <c r="H14" s="1111" t="s">
        <v>499</v>
      </c>
      <c r="I14" s="1112">
        <v>1</v>
      </c>
      <c r="J14" s="1111" t="str">
        <f>CONCATENATE(G14,"-",H14)</f>
        <v>Bus-DSL</v>
      </c>
      <c r="K14" s="1111">
        <f>SUMIFS(NewEmisData!E:E, NewEmisData!$A:$A, $G14, NewEmisData!$B:$B, $A14, NewEmisData!$C:$C, $H14, NewEmisData!$D:$D, K$6)</f>
        <v>2080.2970890730599</v>
      </c>
      <c r="L14" s="1111">
        <f>SUMIFS(NewEmisData!F:F, NewEmisData!$A:$A, $G14, NewEmisData!$B:$B, $A14, NewEmisData!$C:$C, $H14, NewEmisData!$D:$D, L$6)</f>
        <v>2109.4711930624499</v>
      </c>
      <c r="M14" s="1111">
        <f>SUMIFS(NewEmisData!G:G, NewEmisData!$A:$A, $G14, NewEmisData!$B:$B, $A14, NewEmisData!$C:$C, $H14, NewEmisData!$D:$D, M$6)</f>
        <v>2250.3411144545198</v>
      </c>
      <c r="N14" s="1111">
        <f>SUMIFS(NewEmisData!H:H, NewEmisData!$A:$A, $G14, NewEmisData!$B:$B, $A14, NewEmisData!$C:$C, $H14, NewEmisData!$D:$D, N$6)</f>
        <v>2207.8222571372398</v>
      </c>
      <c r="O14" s="1111">
        <f>SUMIFS(NewEmisData!I:I, NewEmisData!$A:$A, $G14, NewEmisData!$B:$B, $A14, NewEmisData!$C:$C, $H14, NewEmisData!$D:$D, O$6)</f>
        <v>2173.5129182212299</v>
      </c>
      <c r="P14" s="1111">
        <f>SUMIFS(NewEmisData!J:J, NewEmisData!$A:$A, $G14, NewEmisData!$B:$B, $A14, NewEmisData!$C:$C, $H14, NewEmisData!$D:$D, P$6)</f>
        <v>2157.1874680648498</v>
      </c>
      <c r="Q14" s="1111">
        <f>SUMIFS(NewEmisData!K:K, NewEmisData!$A:$A, $G14, NewEmisData!$B:$B, $A14, NewEmisData!$C:$C, $H14, NewEmisData!$D:$D, Q$6)</f>
        <v>2152.6343695246501</v>
      </c>
      <c r="R14" s="1111">
        <f>SUMIFS(NewEmisData!L:L, NewEmisData!$A:$A, $G14, NewEmisData!$B:$B, $A14, NewEmisData!$C:$C, $H14, NewEmisData!$D:$D, R$6)</f>
        <v>2151.1111734661499</v>
      </c>
      <c r="S14" s="1111">
        <f>SUMIFS(NewEmisData!M:M, NewEmisData!$A:$A, $G14, NewEmisData!$B:$B, $A14, NewEmisData!$C:$C, $H14, NewEmisData!$D:$D, S$6)</f>
        <v>2150.6160486070298</v>
      </c>
      <c r="T14" s="1111">
        <f t="shared" si="17"/>
        <v>2150.6160486070298</v>
      </c>
      <c r="U14" s="1111">
        <f>SUMIFS(NewEmisData!E:E, NewEmisData!$A:$A, $G14, NewEmisData!$B:$B, $A14, NewEmisData!$C:$C, $H14, NewEmisData!$D:$D, U$6)</f>
        <v>40.449529533420304</v>
      </c>
      <c r="V14" s="1111">
        <f>SUMIFS(NewEmisData!F:F, NewEmisData!$A:$A, $G14, NewEmisData!$B:$B, $A14, NewEmisData!$C:$C, $H14, NewEmisData!$D:$D, V$6)</f>
        <v>37.425839617300603</v>
      </c>
      <c r="W14" s="1111">
        <f>SUMIFS(NewEmisData!G:G, NewEmisData!$A:$A, $G14, NewEmisData!$B:$B, $A14, NewEmisData!$C:$C, $H14, NewEmisData!$D:$D, W$6)</f>
        <v>6.6428401041299603</v>
      </c>
      <c r="X14" s="1111">
        <f>SUMIFS(NewEmisData!H:H, NewEmisData!$A:$A, $G14, NewEmisData!$B:$B, $A14, NewEmisData!$C:$C, $H14, NewEmisData!$D:$D, X$6)</f>
        <v>3.77567960317164</v>
      </c>
      <c r="Y14" s="1111">
        <f>SUMIFS(NewEmisData!I:I, NewEmisData!$A:$A, $G14, NewEmisData!$B:$B, $A14, NewEmisData!$C:$C, $H14, NewEmisData!$D:$D, Y$6)</f>
        <v>2.6206386180811401</v>
      </c>
      <c r="Z14" s="1111">
        <f>SUMIFS(NewEmisData!J:J, NewEmisData!$A:$A, $G14, NewEmisData!$B:$B, $A14, NewEmisData!$C:$C, $H14, NewEmisData!$D:$D, Z$6)</f>
        <v>2.3009735743661102</v>
      </c>
      <c r="AA14" s="1111">
        <f>SUMIFS(NewEmisData!K:K, NewEmisData!$A:$A, $G14, NewEmisData!$B:$B, $A14, NewEmisData!$C:$C, $H14, NewEmisData!$D:$D, AA$6)</f>
        <v>2.1222500944201301</v>
      </c>
      <c r="AB14" s="1111">
        <f>SUMIFS(NewEmisData!L:L, NewEmisData!$A:$A, $G14, NewEmisData!$B:$B, $A14, NewEmisData!$C:$C, $H14, NewEmisData!$D:$D, AB$6)</f>
        <v>2.1170149680898702</v>
      </c>
      <c r="AC14" s="1111">
        <f>SUMIFS(NewEmisData!M:M, NewEmisData!$A:$A, $G14, NewEmisData!$B:$B, $A14, NewEmisData!$C:$C, $H14, NewEmisData!$D:$D, AC$6)</f>
        <v>2.1153875073054502</v>
      </c>
      <c r="AD14" s="1111">
        <f t="shared" si="18"/>
        <v>2.1153875073054502</v>
      </c>
      <c r="AE14" s="1111">
        <f>AF14</f>
        <v>5.2255737859281101E-2</v>
      </c>
      <c r="AF14" s="1111">
        <f>SUMIFS(NewEmisData!E:E, NewEmisData!$A:$A, $G14, NewEmisData!$B:$B, $A14, NewEmisData!$C:$C, $H14, NewEmisData!$D:$D, AF$6)</f>
        <v>5.2255737859281101E-2</v>
      </c>
      <c r="AG14" s="1111">
        <f>SUMIFS(NewEmisData!F:F, NewEmisData!$A:$A, $G14, NewEmisData!$B:$B, $A14, NewEmisData!$C:$C, $H14, NewEmisData!$D:$D, AG$6)</f>
        <v>5.2336961474348999E-2</v>
      </c>
      <c r="AH14" s="1111">
        <f>SUMIFS(NewEmisData!G:G, NewEmisData!$A:$A, $G14, NewEmisData!$B:$B, $A14, NewEmisData!$C:$C, $H14, NewEmisData!$D:$D, AH$6)</f>
        <v>1.90120187414001E-2</v>
      </c>
      <c r="AI14" s="1111">
        <f>SUMIFS(NewEmisData!H:H, NewEmisData!$A:$A, $G14, NewEmisData!$B:$B, $A14, NewEmisData!$C:$C, $H14, NewEmisData!$D:$D, AI$6)</f>
        <v>1.84874270200093E-2</v>
      </c>
      <c r="AJ14" s="1111">
        <f>SUMIFS(NewEmisData!I:I, NewEmisData!$A:$A, $G14, NewEmisData!$B:$B, $A14, NewEmisData!$C:$C, $H14, NewEmisData!$D:$D, AJ$6)</f>
        <v>1.8144374000154902E-2</v>
      </c>
      <c r="AK14" s="1111">
        <f>SUMIFS(NewEmisData!J:J, NewEmisData!$A:$A, $G14, NewEmisData!$B:$B, $A14, NewEmisData!$C:$C, $H14, NewEmisData!$D:$D, AK$6)</f>
        <v>1.7999854067365699E-2</v>
      </c>
      <c r="AL14" s="1111">
        <f>SUMIFS(NewEmisData!K:K, NewEmisData!$A:$A, $G14, NewEmisData!$B:$B, $A14, NewEmisData!$C:$C, $H14, NewEmisData!$D:$D, AL$6)</f>
        <v>1.7946771342725602E-2</v>
      </c>
      <c r="AM14" s="1111">
        <f>SUMIFS(NewEmisData!L:L, NewEmisData!$A:$A, $G14, NewEmisData!$B:$B, $A14, NewEmisData!$C:$C, $H14, NewEmisData!$D:$D, AM$6)</f>
        <v>1.7934071003801701E-2</v>
      </c>
      <c r="AN14" s="1111">
        <f>SUMIFS(NewEmisData!M:M, NewEmisData!$A:$A, $G14, NewEmisData!$B:$B, $A14, NewEmisData!$C:$C, $H14, NewEmisData!$D:$D, AN$6)</f>
        <v>1.79299478743845E-2</v>
      </c>
      <c r="AO14" s="1111">
        <f t="shared" si="19"/>
        <v>1.79299478743845E-2</v>
      </c>
      <c r="AP14" s="1111">
        <f t="shared" si="2"/>
        <v>3.1140708935215899</v>
      </c>
      <c r="AQ14" s="1111">
        <f>SUMIFS(NewEmisData!E:E, NewEmisData!$A:$A, $G14, NewEmisData!$B:$B, $A14, NewEmisData!$C:$C, $H14, NewEmisData!$D:$D, AQ$6)</f>
        <v>3.1140708935215899</v>
      </c>
      <c r="AR14" s="1111">
        <f>SUMIFS(NewEmisData!F:F, NewEmisData!$A:$A, $G14, NewEmisData!$B:$B, $A14, NewEmisData!$C:$C, $H14, NewEmisData!$D:$D, AR$6)</f>
        <v>2.8847204358426501</v>
      </c>
      <c r="AS14" s="1111">
        <f>SUMIFS(NewEmisData!G:G, NewEmisData!$A:$A, $G14, NewEmisData!$B:$B, $A14, NewEmisData!$C:$C, $H14, NewEmisData!$D:$D, AS$6)</f>
        <v>0.74809443085481597</v>
      </c>
      <c r="AT14" s="1111">
        <f>SUMIFS(NewEmisData!H:H, NewEmisData!$A:$A, $G14, NewEmisData!$B:$B, $A14, NewEmisData!$C:$C, $H14, NewEmisData!$D:$D, AT$6)</f>
        <v>0.62015789663876097</v>
      </c>
      <c r="AU14" s="1111">
        <f>SUMIFS(NewEmisData!I:I, NewEmisData!$A:$A, $G14, NewEmisData!$B:$B, $A14, NewEmisData!$C:$C, $H14, NewEmisData!$D:$D, AU$6)</f>
        <v>0.57506450514365803</v>
      </c>
      <c r="AV14" s="1111">
        <f>SUMIFS(NewEmisData!J:J, NewEmisData!$A:$A, $G14, NewEmisData!$B:$B, $A14, NewEmisData!$C:$C, $H14, NewEmisData!$D:$D, AV$6)</f>
        <v>0.56761442636626203</v>
      </c>
      <c r="AW14" s="1111">
        <f>SUMIFS(NewEmisData!K:K, NewEmisData!$A:$A, $G14, NewEmisData!$B:$B, $A14, NewEmisData!$C:$C, $H14, NewEmisData!$D:$D, AW$6)</f>
        <v>0.55955127050834697</v>
      </c>
      <c r="AX14" s="1111">
        <f>SUMIFS(NewEmisData!L:L, NewEmisData!$A:$A, $G14, NewEmisData!$B:$B, $A14, NewEmisData!$C:$C, $H14, NewEmisData!$D:$D, AX$6)</f>
        <v>0.55939324929766499</v>
      </c>
      <c r="AY14" s="1111">
        <f>SUMIFS(NewEmisData!M:M, NewEmisData!$A:$A, $G14, NewEmisData!$B:$B, $A14, NewEmisData!$C:$C, $H14, NewEmisData!$D:$D, AY$6)</f>
        <v>0.55957008556142196</v>
      </c>
      <c r="AZ14" s="1111">
        <f t="shared" si="20"/>
        <v>0.55957008556142196</v>
      </c>
      <c r="BA14" s="1111">
        <f t="shared" si="3"/>
        <v>2.5303145316281501</v>
      </c>
      <c r="BB14" s="1111">
        <f>SUMIFS(NewEmisData!E:E, NewEmisData!$A:$A, $G14, NewEmisData!$B:$B, $A14, NewEmisData!$C:$C, $H14, NewEmisData!$D:$D, BB$6)</f>
        <v>2.5303145316281501</v>
      </c>
      <c r="BC14" s="1111">
        <f>SUMIFS(NewEmisData!F:F, NewEmisData!$A:$A, $G14, NewEmisData!$B:$B, $A14, NewEmisData!$C:$C, $H14, NewEmisData!$D:$D, BC$6)</f>
        <v>2.3086681022657398</v>
      </c>
      <c r="BD14" s="1111">
        <f>SUMIFS(NewEmisData!G:G, NewEmisData!$A:$A, $G14, NewEmisData!$B:$B, $A14, NewEmisData!$C:$C, $H14, NewEmisData!$D:$D, BD$6)</f>
        <v>0.28378444504223299</v>
      </c>
      <c r="BE14" s="1111">
        <f>SUMIFS(NewEmisData!H:H, NewEmisData!$A:$A, $G14, NewEmisData!$B:$B, $A14, NewEmisData!$C:$C, $H14, NewEmisData!$D:$D, BE$6)</f>
        <v>0.16305711430309899</v>
      </c>
      <c r="BF14" s="1111">
        <f>SUMIFS(NewEmisData!I:I, NewEmisData!$A:$A, $G14, NewEmisData!$B:$B, $A14, NewEmisData!$C:$C, $H14, NewEmisData!$D:$D, BF$6)</f>
        <v>0.12268206574598001</v>
      </c>
      <c r="BG14" s="1111">
        <f>SUMIFS(NewEmisData!J:J, NewEmisData!$A:$A, $G14, NewEmisData!$B:$B, $A14, NewEmisData!$C:$C, $H14, NewEmisData!$D:$D, BG$6)</f>
        <v>0.11582611815709799</v>
      </c>
      <c r="BH14" s="1111">
        <f>SUMIFS(NewEmisData!K:K, NewEmisData!$A:$A, $G14, NewEmisData!$B:$B, $A14, NewEmisData!$C:$C, $H14, NewEmisData!$D:$D, BH$6)</f>
        <v>0.108668011205409</v>
      </c>
      <c r="BI14" s="1111">
        <f>SUMIFS(NewEmisData!L:L, NewEmisData!$A:$A, $G14, NewEmisData!$B:$B, $A14, NewEmisData!$C:$C, $H14, NewEmisData!$D:$D, BI$6)</f>
        <v>0.108570916199558</v>
      </c>
      <c r="BJ14" s="1111">
        <f>SUMIFS(NewEmisData!M:M, NewEmisData!$A:$A, $G14, NewEmisData!$B:$B, $A14, NewEmisData!$C:$C, $H14, NewEmisData!$D:$D, BJ$6)</f>
        <v>0.108581014611937</v>
      </c>
      <c r="BK14" s="1111">
        <f>BJ14</f>
        <v>0.108581014611937</v>
      </c>
      <c r="BL14" s="1111">
        <f t="shared" si="4"/>
        <v>11.394784821519901</v>
      </c>
      <c r="BM14" s="1111">
        <f>SUMIFS(NewEmisData!E:E, NewEmisData!$A:$A, $G14, NewEmisData!$B:$B, $A14, NewEmisData!$C:$C, $H14, NewEmisData!$D:$D, BM$6)</f>
        <v>11.394784821519901</v>
      </c>
      <c r="BN14" s="1111">
        <f>SUMIFS(NewEmisData!F:F, NewEmisData!$A:$A, $G14, NewEmisData!$B:$B, $A14, NewEmisData!$C:$C, $H14, NewEmisData!$D:$D, BN$6)</f>
        <v>10.6563815549337</v>
      </c>
      <c r="BO14" s="1111">
        <f>SUMIFS(NewEmisData!G:G, NewEmisData!$A:$A, $G14, NewEmisData!$B:$B, $A14, NewEmisData!$C:$C, $H14, NewEmisData!$D:$D, BO$6)</f>
        <v>2.5217312345554999</v>
      </c>
      <c r="BP14" s="1111">
        <f>SUMIFS(NewEmisData!H:H, NewEmisData!$A:$A, $G14, NewEmisData!$B:$B, $A14, NewEmisData!$C:$C, $H14, NewEmisData!$D:$D, BP$6)</f>
        <v>1.32179357333326</v>
      </c>
      <c r="BQ14" s="1111">
        <f>SUMIFS(NewEmisData!I:I, NewEmisData!$A:$A, $G14, NewEmisData!$B:$B, $A14, NewEmisData!$C:$C, $H14, NewEmisData!$D:$D, BQ$6)</f>
        <v>1.08738121961483</v>
      </c>
      <c r="BR14" s="1111">
        <f>SUMIFS(NewEmisData!J:J, NewEmisData!$A:$A, $G14, NewEmisData!$B:$B, $A14, NewEmisData!$C:$C, $H14, NewEmisData!$D:$D, BR$6)</f>
        <v>0.93269004563424096</v>
      </c>
      <c r="BS14" s="1111">
        <f>SUMIFS(NewEmisData!K:K, NewEmisData!$A:$A, $G14, NewEmisData!$B:$B, $A14, NewEmisData!$C:$C, $H14, NewEmisData!$D:$D, BS$6)</f>
        <v>0.871599531751862</v>
      </c>
      <c r="BT14" s="1111">
        <f>SUMIFS(NewEmisData!L:L, NewEmisData!$A:$A, $G14, NewEmisData!$B:$B, $A14, NewEmisData!$C:$C, $H14, NewEmisData!$D:$D, BT$6)</f>
        <v>0.87139254201649397</v>
      </c>
      <c r="BU14" s="1111">
        <f>SUMIFS(NewEmisData!M:M, NewEmisData!$A:$A, $G14, NewEmisData!$B:$B, $A14, NewEmisData!$C:$C, $H14, NewEmisData!$D:$D, BU$6)</f>
        <v>0.870328181669625</v>
      </c>
      <c r="BV14" s="1111">
        <f>BU14</f>
        <v>0.870328181669625</v>
      </c>
      <c r="BW14" s="1111">
        <f t="shared" si="5"/>
        <v>2.3752781774376901</v>
      </c>
      <c r="BX14" s="1111">
        <f>SUMIFS(NewEmisData!E:E, NewEmisData!$A:$A, $G14, NewEmisData!$B:$B, $A14, NewEmisData!$C:$C, $H14, NewEmisData!$D:$D, BX$6)</f>
        <v>2.3752781774376901</v>
      </c>
      <c r="BY14" s="1111">
        <f>SUMIFS(NewEmisData!F:F, NewEmisData!$A:$A, $G14, NewEmisData!$B:$B, $A14, NewEmisData!$C:$C, $H14, NewEmisData!$D:$D, BY$6)</f>
        <v>2.1942926985453299</v>
      </c>
      <c r="BZ14" s="1111">
        <f>SUMIFS(NewEmisData!G:G, NewEmisData!$A:$A, $G14, NewEmisData!$B:$B, $A14, NewEmisData!$C:$C, $H14, NewEmisData!$D:$D, BZ$6)</f>
        <v>0.59763355306084598</v>
      </c>
      <c r="CA14" s="1111">
        <f>SUMIFS(NewEmisData!H:H, NewEmisData!$A:$A, $G14, NewEmisData!$B:$B, $A14, NewEmisData!$C:$C, $H14, NewEmisData!$D:$D, CA$6)</f>
        <v>0.29137621139391601</v>
      </c>
      <c r="CB14" s="1111">
        <f>SUMIFS(NewEmisData!I:I, NewEmisData!$A:$A, $G14, NewEmisData!$B:$B, $A14, NewEmisData!$C:$C, $H14, NewEmisData!$D:$D, CB$6)</f>
        <v>0.200801002522528</v>
      </c>
      <c r="CC14" s="1111">
        <f>SUMIFS(NewEmisData!J:J, NewEmisData!$A:$A, $G14, NewEmisData!$B:$B, $A14, NewEmisData!$C:$C, $H14, NewEmisData!$D:$D, CC$6)</f>
        <v>0.17642712606932701</v>
      </c>
      <c r="CD14" s="1111">
        <f>SUMIFS(NewEmisData!K:K, NewEmisData!$A:$A, $G14, NewEmisData!$B:$B, $A14, NewEmisData!$C:$C, $H14, NewEmisData!$D:$D, CD$6)</f>
        <v>0.151845237690554</v>
      </c>
      <c r="CE14" s="1111">
        <f>SUMIFS(NewEmisData!L:L, NewEmisData!$A:$A, $G14, NewEmisData!$B:$B, $A14, NewEmisData!$C:$C, $H14, NewEmisData!$D:$D, CE$6)</f>
        <v>0.15173882312273401</v>
      </c>
      <c r="CF14" s="1111">
        <f>SUMIFS(NewEmisData!M:M, NewEmisData!$A:$A, $G14, NewEmisData!$B:$B, $A14, NewEmisData!$C:$C, $H14, NewEmisData!$D:$D, CF$6)</f>
        <v>0.15169469158436399</v>
      </c>
      <c r="CG14" s="1111">
        <f t="shared" si="6"/>
        <v>0.15169469158436399</v>
      </c>
      <c r="CH14" s="1111">
        <f t="shared" si="7"/>
        <v>3.4941772828006E-2</v>
      </c>
      <c r="CI14" s="1111">
        <f>SUMIFS(NewEmisData!E:E, NewEmisData!$A:$A, $G14, NewEmisData!$B:$B, $A14, NewEmisData!$C:$C, $H14, NewEmisData!$D:$D, CI$6)</f>
        <v>3.4941772828006E-2</v>
      </c>
      <c r="CJ14" s="1111">
        <f>SUMIFS(NewEmisData!F:F, NewEmisData!$A:$A, $G14, NewEmisData!$B:$B, $A14, NewEmisData!$C:$C, $H14, NewEmisData!$D:$D, CJ$6)</f>
        <v>3.50217450182281E-2</v>
      </c>
      <c r="CK14" s="1111">
        <f>SUMIFS(NewEmisData!G:G, NewEmisData!$A:$A, $G14, NewEmisData!$B:$B, $A14, NewEmisData!$C:$C, $H14, NewEmisData!$D:$D, CK$6)</f>
        <v>3.9477724835296803E-2</v>
      </c>
      <c r="CL14" s="1111">
        <f>SUMIFS(NewEmisData!H:H, NewEmisData!$A:$A, $G14, NewEmisData!$B:$B, $A14, NewEmisData!$C:$C, $H14, NewEmisData!$D:$D, CL$6)</f>
        <v>3.9528644727434697E-2</v>
      </c>
      <c r="CM14" s="1111">
        <f>SUMIFS(NewEmisData!I:I, NewEmisData!$A:$A, $G14, NewEmisData!$B:$B, $A14, NewEmisData!$C:$C, $H14, NewEmisData!$D:$D, CM$6)</f>
        <v>3.95085168774486E-2</v>
      </c>
      <c r="CN14" s="1111">
        <f>SUMIFS(NewEmisData!J:J, NewEmisData!$A:$A, $G14, NewEmisData!$B:$B, $A14, NewEmisData!$C:$C, $H14, NewEmisData!$D:$D, CN$6)</f>
        <v>3.9508343326223903E-2</v>
      </c>
      <c r="CO14" s="1111">
        <f>SUMIFS(NewEmisData!K:K, NewEmisData!$A:$A, $G14, NewEmisData!$B:$B, $A14, NewEmisData!$C:$C, $H14, NewEmisData!$D:$D, CO$6)</f>
        <v>3.9503822065767399E-2</v>
      </c>
      <c r="CP14" s="1111">
        <f>SUMIFS(NewEmisData!L:L, NewEmisData!$A:$A, $G14, NewEmisData!$B:$B, $A14, NewEmisData!$C:$C, $H14, NewEmisData!$D:$D, CP$6)</f>
        <v>3.9502771622416701E-2</v>
      </c>
      <c r="CQ14" s="1111">
        <f>SUMIFS(NewEmisData!M:M, NewEmisData!$A:$A, $G14, NewEmisData!$B:$B, $A14, NewEmisData!$C:$C, $H14, NewEmisData!$D:$D, CQ$6)</f>
        <v>3.9505510322833698E-2</v>
      </c>
      <c r="CR14" s="1111">
        <f t="shared" si="8"/>
        <v>3.9505510322833698E-2</v>
      </c>
      <c r="CS14" s="1111">
        <f t="shared" si="9"/>
        <v>6.6012209147156302E-3</v>
      </c>
      <c r="CT14" s="1111">
        <f>SUMIFS(NewEmisData!E:E, NewEmisData!$A:$A, $G14, NewEmisData!$B:$B, $A14, NewEmisData!$C:$C, $H14, NewEmisData!$D:$D, CT$6)</f>
        <v>6.6012209147156302E-3</v>
      </c>
      <c r="CU14" s="1111">
        <f>SUMIFS(NewEmisData!F:F, NewEmisData!$A:$A, $G14, NewEmisData!$B:$B, $A14, NewEmisData!$C:$C, $H14, NewEmisData!$D:$D, CU$6)</f>
        <v>6.4073594557178398E-3</v>
      </c>
      <c r="CV14" s="1111">
        <f>SUMIFS(NewEmisData!G:G, NewEmisData!$A:$A, $G14, NewEmisData!$B:$B, $A14, NewEmisData!$C:$C, $H14, NewEmisData!$D:$D, CV$6)</f>
        <v>7.1648137678451997E-3</v>
      </c>
      <c r="CW14" s="1111">
        <f>SUMIFS(NewEmisData!H:H, NewEmisData!$A:$A, $G14, NewEmisData!$B:$B, $A14, NewEmisData!$C:$C, $H14, NewEmisData!$D:$D, CW$6)</f>
        <v>7.1602087071173399E-3</v>
      </c>
      <c r="CX14" s="1111">
        <f>SUMIFS(NewEmisData!I:I, NewEmisData!$A:$A, $G14, NewEmisData!$B:$B, $A14, NewEmisData!$C:$C, $H14, NewEmisData!$D:$D, CX$6)</f>
        <v>7.16455163233476E-3</v>
      </c>
      <c r="CY14" s="1111">
        <f>SUMIFS(NewEmisData!J:J, NewEmisData!$A:$A, $G14, NewEmisData!$B:$B, $A14, NewEmisData!$C:$C, $H14, NewEmisData!$D:$D, CY$6)</f>
        <v>7.1645367912074997E-3</v>
      </c>
      <c r="CZ14" s="1111">
        <f>SUMIFS(NewEmisData!K:K, NewEmisData!$A:$A, $G14, NewEmisData!$B:$B, $A14, NewEmisData!$C:$C, $H14, NewEmisData!$D:$D, CZ$6)</f>
        <v>7.1656509510186596E-3</v>
      </c>
      <c r="DA14" s="1111">
        <f>SUMIFS(NewEmisData!L:L, NewEmisData!$A:$A, $G14, NewEmisData!$B:$B, $A14, NewEmisData!$C:$C, $H14, NewEmisData!$D:$D, DA$6)</f>
        <v>7.1659123166224799E-3</v>
      </c>
      <c r="DB14" s="1111">
        <f>SUMIFS(NewEmisData!M:M, NewEmisData!$A:$A, $G14, NewEmisData!$B:$B, $A14, NewEmisData!$C:$C, $H14, NewEmisData!$D:$D, DB$6)</f>
        <v>7.1650737318779897E-3</v>
      </c>
      <c r="DC14" s="1111">
        <f>DB14</f>
        <v>7.1650737318779897E-3</v>
      </c>
      <c r="DD14" s="1111"/>
      <c r="DE14" s="1111"/>
      <c r="DF14" s="1111"/>
      <c r="DG14" s="1111"/>
      <c r="DH14" s="1111"/>
      <c r="DI14" s="1111"/>
      <c r="DJ14" s="1111"/>
      <c r="DK14" s="1111"/>
      <c r="DL14" s="1111"/>
      <c r="DM14" s="1111"/>
      <c r="DN14" s="1111"/>
      <c r="DO14" s="1111"/>
      <c r="DP14" s="1111"/>
      <c r="DQ14" s="1111"/>
      <c r="DR14" s="1111"/>
      <c r="DS14" s="1111"/>
      <c r="DT14" s="1111"/>
      <c r="DU14" s="1111"/>
      <c r="DV14" s="1111"/>
      <c r="DW14" s="1111"/>
      <c r="DX14" s="1111"/>
      <c r="DY14" s="1111"/>
      <c r="DZ14" s="1111">
        <f>EA14</f>
        <v>1.10654250023199E-2</v>
      </c>
      <c r="EA14" s="1111">
        <f>SUMIFS(NewEmisData!E:E, NewEmisData!$A:$A, $G14, NewEmisData!$B:$B, $A14, NewEmisData!$C:$C, $H14, NewEmisData!$D:$D, EA$6)</f>
        <v>1.10654250023199E-2</v>
      </c>
      <c r="EB14" s="1111">
        <f>SUMIFS(NewEmisData!F:F, NewEmisData!$A:$A, $G14, NewEmisData!$B:$B, $A14, NewEmisData!$C:$C, $H14, NewEmisData!$D:$D, EB$6)</f>
        <v>3.5717908538474501E-2</v>
      </c>
      <c r="EC14" s="1111">
        <f>SUMIFS(NewEmisData!G:G, NewEmisData!$A:$A, $G14, NewEmisData!$B:$B, $A14, NewEmisData!$C:$C, $H14, NewEmisData!$D:$D, EC$6)</f>
        <v>0.116951384194715</v>
      </c>
      <c r="ED14" s="1111">
        <f>SUMIFS(NewEmisData!H:H, NewEmisData!$A:$A, $G14, NewEmisData!$B:$B, $A14, NewEmisData!$C:$C, $H14, NewEmisData!$D:$D, ED$6)</f>
        <v>0.12541769151994001</v>
      </c>
      <c r="EE14" s="1111">
        <f>SUMIFS(NewEmisData!I:I, NewEmisData!$A:$A, $G14, NewEmisData!$B:$B, $A14, NewEmisData!$C:$C, $H14, NewEmisData!$D:$D, EE$6)</f>
        <v>0.12528032512760801</v>
      </c>
      <c r="EF14" s="1111">
        <f>SUMIFS(NewEmisData!J:J, NewEmisData!$A:$A, $G14, NewEmisData!$B:$B, $A14, NewEmisData!$C:$C, $H14, NewEmisData!$D:$D, EF$6)</f>
        <v>0.124793701298803</v>
      </c>
      <c r="EG14" s="1111">
        <f>SUMIFS(NewEmisData!K:K, NewEmisData!$A:$A, $G14, NewEmisData!$B:$B, $A14, NewEmisData!$C:$C, $H14, NewEmisData!$D:$D, EG$6)</f>
        <v>0.126229069683536</v>
      </c>
      <c r="EH14" s="1111">
        <f>SUMIFS(NewEmisData!L:L, NewEmisData!$A:$A, $G14, NewEmisData!$B:$B, $A14, NewEmisData!$C:$C, $H14, NewEmisData!$D:$D, EH$6)</f>
        <v>0.126140757204284</v>
      </c>
      <c r="EI14" s="1111">
        <f>SUMIFS(NewEmisData!M:M, NewEmisData!$A:$A, $G14, NewEmisData!$B:$B, $A14, NewEmisData!$C:$C, $H14, NewEmisData!$D:$D, EI$6)</f>
        <v>0.126101847596616</v>
      </c>
      <c r="EJ14" s="1111">
        <f>EI14</f>
        <v>0.126101847596616</v>
      </c>
      <c r="EK14" s="1111">
        <f>EL14</f>
        <v>2080.2970890730599</v>
      </c>
      <c r="EL14" s="1111">
        <f t="shared" si="10"/>
        <v>2080.2970890730599</v>
      </c>
      <c r="EM14" s="1111">
        <f t="shared" si="21"/>
        <v>2109.4711930624499</v>
      </c>
      <c r="EN14" s="1111">
        <f t="shared" si="21"/>
        <v>2250.3411144545198</v>
      </c>
      <c r="EO14" s="1111">
        <f t="shared" si="21"/>
        <v>2207.8222571372398</v>
      </c>
      <c r="EP14" s="1111">
        <f t="shared" si="21"/>
        <v>2173.5129182212299</v>
      </c>
      <c r="EQ14" s="1111">
        <f t="shared" si="21"/>
        <v>2157.1874680648498</v>
      </c>
      <c r="ER14" s="1111">
        <f t="shared" si="21"/>
        <v>2152.6343695246501</v>
      </c>
      <c r="ES14" s="1111">
        <f t="shared" si="21"/>
        <v>2151.1111734661499</v>
      </c>
      <c r="ET14" s="1111">
        <f t="shared" si="21"/>
        <v>2150.6160486070298</v>
      </c>
      <c r="EU14" s="1111">
        <f t="shared" si="21"/>
        <v>2150.6160486070298</v>
      </c>
      <c r="EV14" s="1111">
        <f>EW14</f>
        <v>40.449529533420304</v>
      </c>
      <c r="EW14" s="1111">
        <f>U14</f>
        <v>40.449529533420304</v>
      </c>
      <c r="EX14" s="1111">
        <f t="shared" si="22"/>
        <v>37.425839617300603</v>
      </c>
      <c r="EY14" s="1111">
        <f t="shared" si="22"/>
        <v>6.6428401041299603</v>
      </c>
      <c r="EZ14" s="1111">
        <f t="shared" si="22"/>
        <v>3.77567960317164</v>
      </c>
      <c r="FA14" s="1111">
        <f t="shared" si="22"/>
        <v>2.6206386180811401</v>
      </c>
      <c r="FB14" s="1111">
        <f t="shared" si="22"/>
        <v>2.3009735743661102</v>
      </c>
      <c r="FC14" s="1111">
        <f t="shared" si="22"/>
        <v>2.1222500944201301</v>
      </c>
      <c r="FD14" s="1111">
        <f t="shared" si="22"/>
        <v>2.1170149680898702</v>
      </c>
      <c r="FE14" s="1111">
        <f t="shared" si="22"/>
        <v>2.1153875073054502</v>
      </c>
      <c r="FF14" s="1111">
        <f t="shared" si="22"/>
        <v>2.1153875073054502</v>
      </c>
      <c r="FG14" s="1111">
        <f t="shared" si="23"/>
        <v>5.2255737859281101E-2</v>
      </c>
      <c r="FH14" s="1111">
        <f t="shared" si="24"/>
        <v>5.2255737859281101E-2</v>
      </c>
      <c r="FI14" s="1111">
        <f t="shared" si="24"/>
        <v>5.2336961474348999E-2</v>
      </c>
      <c r="FJ14" s="1111">
        <f t="shared" si="24"/>
        <v>1.90120187414001E-2</v>
      </c>
      <c r="FK14" s="1111">
        <f t="shared" si="24"/>
        <v>1.84874270200093E-2</v>
      </c>
      <c r="FL14" s="1111">
        <f t="shared" si="24"/>
        <v>1.8144374000154902E-2</v>
      </c>
      <c r="FM14" s="1111">
        <f t="shared" si="24"/>
        <v>1.7999854067365699E-2</v>
      </c>
      <c r="FN14" s="1111">
        <f t="shared" si="24"/>
        <v>1.7946771342725602E-2</v>
      </c>
      <c r="FO14" s="1111">
        <f t="shared" si="24"/>
        <v>1.7934071003801701E-2</v>
      </c>
      <c r="FP14" s="1111">
        <f t="shared" si="24"/>
        <v>1.79299478743845E-2</v>
      </c>
      <c r="FQ14" s="1111">
        <f t="shared" si="24"/>
        <v>1.79299478743845E-2</v>
      </c>
      <c r="FR14" s="1111">
        <f t="shared" si="25"/>
        <v>3.1140708935215899</v>
      </c>
      <c r="FS14" s="1111">
        <f t="shared" si="26"/>
        <v>3.1140708935215899</v>
      </c>
      <c r="FT14" s="1111">
        <f t="shared" si="27"/>
        <v>2.8847204358426501</v>
      </c>
      <c r="FU14" s="1111">
        <f t="shared" si="28"/>
        <v>0.74809443085481597</v>
      </c>
      <c r="FV14" s="1111">
        <f t="shared" si="29"/>
        <v>0.62015789663876097</v>
      </c>
      <c r="FW14" s="1111">
        <f t="shared" si="30"/>
        <v>0.57506450514365803</v>
      </c>
      <c r="FX14" s="1111">
        <f t="shared" si="31"/>
        <v>0.56761442636626203</v>
      </c>
      <c r="FY14" s="1111">
        <f t="shared" si="32"/>
        <v>0.55955127050834697</v>
      </c>
      <c r="FZ14" s="1111">
        <f t="shared" si="33"/>
        <v>0.55939324929766499</v>
      </c>
      <c r="GA14" s="1111">
        <f t="shared" si="34"/>
        <v>0.55957008556142196</v>
      </c>
      <c r="GB14" s="1111">
        <f t="shared" si="35"/>
        <v>0.55957008556142196</v>
      </c>
      <c r="GC14" s="1111">
        <f t="shared" si="15"/>
        <v>2.5303145316281501</v>
      </c>
      <c r="GD14" s="1111">
        <f t="shared" si="36"/>
        <v>2.5303145316281501</v>
      </c>
      <c r="GE14" s="1111">
        <f t="shared" si="36"/>
        <v>2.3086681022657398</v>
      </c>
      <c r="GF14" s="1111">
        <f t="shared" si="36"/>
        <v>0.28378444504223299</v>
      </c>
      <c r="GG14" s="1111">
        <f t="shared" si="36"/>
        <v>0.16305711430309899</v>
      </c>
      <c r="GH14" s="1111">
        <f t="shared" si="36"/>
        <v>0.12268206574598001</v>
      </c>
      <c r="GI14" s="1111">
        <f t="shared" si="36"/>
        <v>0.11582611815709799</v>
      </c>
      <c r="GJ14" s="1111">
        <f t="shared" si="36"/>
        <v>0.108668011205409</v>
      </c>
      <c r="GK14" s="1111">
        <f t="shared" si="36"/>
        <v>0.108570916199558</v>
      </c>
      <c r="GL14" s="1111">
        <f t="shared" si="36"/>
        <v>0.108581014611937</v>
      </c>
      <c r="GM14" s="1111">
        <f t="shared" si="36"/>
        <v>0.108581014611937</v>
      </c>
    </row>
    <row r="15" spans="1:195" x14ac:dyDescent="0.2">
      <c r="A15" s="1071" t="s">
        <v>188</v>
      </c>
      <c r="B15" s="1071" t="str">
        <f>TechData!B11</f>
        <v>TBDSLE</v>
      </c>
      <c r="C15" s="1071" t="str">
        <f>TechData!C11</f>
        <v>Bus, Exisiting Diesel</v>
      </c>
      <c r="D15" s="1071" t="str">
        <f>TechData!D11</f>
        <v>bn-vmt, bn-vmt/a</v>
      </c>
      <c r="E15" s="1071" t="str">
        <f>TechData!E11</f>
        <v>TBDSL</v>
      </c>
      <c r="F15" s="1071" t="str">
        <f>TechData!F11</f>
        <v>TB</v>
      </c>
      <c r="G15" s="1110" t="s">
        <v>498</v>
      </c>
      <c r="H15" s="1111" t="s">
        <v>499</v>
      </c>
      <c r="I15" s="1112">
        <v>1</v>
      </c>
      <c r="J15" s="1111" t="str">
        <f>CONCATENATE(G15,"-",H15)</f>
        <v>Bus-DSL</v>
      </c>
      <c r="K15" s="1111">
        <f>SUMIFS(NewEmisData!E:E, NewEmisData!$A:$A, $G15, NewEmisData!$B:$B, $A15, NewEmisData!$C:$C, $H15, NewEmisData!$D:$D, K$6)</f>
        <v>1490.2976816476501</v>
      </c>
      <c r="L15" s="1111">
        <f>SUMIFS(NewEmisData!F:F, NewEmisData!$A:$A, $G15, NewEmisData!$B:$B, $A15, NewEmisData!$C:$C, $H15, NewEmisData!$D:$D, L$6)</f>
        <v>1626.84882020706</v>
      </c>
      <c r="M15" s="1111">
        <f>SUMIFS(NewEmisData!G:G, NewEmisData!$A:$A, $G15, NewEmisData!$B:$B, $A15, NewEmisData!$C:$C, $H15, NewEmisData!$D:$D, M$6)</f>
        <v>1458.6179661731101</v>
      </c>
      <c r="N15" s="1111">
        <f>SUMIFS(NewEmisData!H:H, NewEmisData!$A:$A, $G15, NewEmisData!$B:$B, $A15, NewEmisData!$C:$C, $H15, NewEmisData!$D:$D, N$6)</f>
        <v>1416.37770823441</v>
      </c>
      <c r="O15" s="1111">
        <f>SUMIFS(NewEmisData!I:I, NewEmisData!$A:$A, $G15, NewEmisData!$B:$B, $A15, NewEmisData!$C:$C, $H15, NewEmisData!$D:$D, O$6)</f>
        <v>1353.32178885294</v>
      </c>
      <c r="P15" s="1111">
        <f>SUMIFS(NewEmisData!J:J, NewEmisData!$A:$A, $G15, NewEmisData!$B:$B, $A15, NewEmisData!$C:$C, $H15, NewEmisData!$D:$D, P$6)</f>
        <v>1322.46976433435</v>
      </c>
      <c r="Q15" s="1111">
        <f>SUMIFS(NewEmisData!K:K, NewEmisData!$A:$A, $G15, NewEmisData!$B:$B, $A15, NewEmisData!$C:$C, $H15, NewEmisData!$D:$D, Q$6)</f>
        <v>1318.4113892753701</v>
      </c>
      <c r="R15" s="1111">
        <f>SUMIFS(NewEmisData!L:L, NewEmisData!$A:$A, $G15, NewEmisData!$B:$B, $A15, NewEmisData!$C:$C, $H15, NewEmisData!$D:$D, R$6)</f>
        <v>1317.4103236998201</v>
      </c>
      <c r="S15" s="1111">
        <f>SUMIFS(NewEmisData!M:M, NewEmisData!$A:$A, $G15, NewEmisData!$B:$B, $A15, NewEmisData!$C:$C, $H15, NewEmisData!$D:$D, S$6)</f>
        <v>1317.2762015215601</v>
      </c>
      <c r="T15" s="1111">
        <f t="shared" si="17"/>
        <v>1317.2762015215601</v>
      </c>
      <c r="U15" s="1111">
        <f>SUMIFS(NewEmisData!E:E, NewEmisData!$A:$A, $G15, NewEmisData!$B:$B, $A15, NewEmisData!$C:$C, $H15, NewEmisData!$D:$D, U$6)</f>
        <v>11.691833793473601</v>
      </c>
      <c r="V15" s="1111">
        <f>SUMIFS(NewEmisData!F:F, NewEmisData!$A:$A, $G15, NewEmisData!$B:$B, $A15, NewEmisData!$C:$C, $H15, NewEmisData!$D:$D, V$6)</f>
        <v>5.3676771149688802</v>
      </c>
      <c r="W15" s="1111">
        <f>SUMIFS(NewEmisData!G:G, NewEmisData!$A:$A, $G15, NewEmisData!$B:$B, $A15, NewEmisData!$C:$C, $H15, NewEmisData!$D:$D, W$6)</f>
        <v>3.6137202505642398</v>
      </c>
      <c r="X15" s="1111">
        <f>SUMIFS(NewEmisData!H:H, NewEmisData!$A:$A, $G15, NewEmisData!$B:$B, $A15, NewEmisData!$C:$C, $H15, NewEmisData!$D:$D, X$6)</f>
        <v>1.93222611085197</v>
      </c>
      <c r="Y15" s="1111">
        <f>SUMIFS(NewEmisData!I:I, NewEmisData!$A:$A, $G15, NewEmisData!$B:$B, $A15, NewEmisData!$C:$C, $H15, NewEmisData!$D:$D, Y$6)</f>
        <v>1.2904635466224801</v>
      </c>
      <c r="Z15" s="1111">
        <f>SUMIFS(NewEmisData!J:J, NewEmisData!$A:$A, $G15, NewEmisData!$B:$B, $A15, NewEmisData!$C:$C, $H15, NewEmisData!$D:$D, Z$6)</f>
        <v>1.20804258245566</v>
      </c>
      <c r="AA15" s="1111">
        <f>SUMIFS(NewEmisData!K:K, NewEmisData!$A:$A, $G15, NewEmisData!$B:$B, $A15, NewEmisData!$C:$C, $H15, NewEmisData!$D:$D, AA$6)</f>
        <v>1.1760366424397</v>
      </c>
      <c r="AB15" s="1111">
        <f>SUMIFS(NewEmisData!L:L, NewEmisData!$A:$A, $G15, NewEmisData!$B:$B, $A15, NewEmisData!$C:$C, $H15, NewEmisData!$D:$D, AB$6)</f>
        <v>1.1748287303099401</v>
      </c>
      <c r="AC15" s="1111">
        <f>SUMIFS(NewEmisData!M:M, NewEmisData!$A:$A, $G15, NewEmisData!$B:$B, $A15, NewEmisData!$C:$C, $H15, NewEmisData!$D:$D, AC$6)</f>
        <v>1.17443815932545</v>
      </c>
      <c r="AD15" s="1111">
        <f t="shared" si="18"/>
        <v>1.17443815932545</v>
      </c>
      <c r="AE15" s="1111">
        <f>AF15</f>
        <v>3.6717879284551301E-2</v>
      </c>
      <c r="AF15" s="1111">
        <f>SUMIFS(NewEmisData!E:E, NewEmisData!$A:$A, $G15, NewEmisData!$B:$B, $A15, NewEmisData!$C:$C, $H15, NewEmisData!$D:$D, AF$6)</f>
        <v>3.6717879284551301E-2</v>
      </c>
      <c r="AG15" s="1111">
        <f>SUMIFS(NewEmisData!F:F, NewEmisData!$A:$A, $G15, NewEmisData!$B:$B, $A15, NewEmisData!$C:$C, $H15, NewEmisData!$D:$D, AG$6)</f>
        <v>3.9098355675890401E-2</v>
      </c>
      <c r="AH15" s="1111">
        <f>SUMIFS(NewEmisData!G:G, NewEmisData!$A:$A, $G15, NewEmisData!$B:$B, $A15, NewEmisData!$C:$C, $H15, NewEmisData!$D:$D, AH$6)</f>
        <v>1.2334311567984301E-2</v>
      </c>
      <c r="AI15" s="1111">
        <f>SUMIFS(NewEmisData!H:H, NewEmisData!$A:$A, $G15, NewEmisData!$B:$B, $A15, NewEmisData!$C:$C, $H15, NewEmisData!$D:$D, AI$6)</f>
        <v>1.1840116163087199E-2</v>
      </c>
      <c r="AJ15" s="1111">
        <f>SUMIFS(NewEmisData!I:I, NewEmisData!$A:$A, $G15, NewEmisData!$B:$B, $A15, NewEmisData!$C:$C, $H15, NewEmisData!$D:$D, AJ$6)</f>
        <v>1.12892010251304E-2</v>
      </c>
      <c r="AK15" s="1111">
        <f>SUMIFS(NewEmisData!J:J, NewEmisData!$A:$A, $G15, NewEmisData!$B:$B, $A15, NewEmisData!$C:$C, $H15, NewEmisData!$D:$D, AK$6)</f>
        <v>1.10267582574557E-2</v>
      </c>
      <c r="AL15" s="1111">
        <f>SUMIFS(NewEmisData!K:K, NewEmisData!$A:$A, $G15, NewEmisData!$B:$B, $A15, NewEmisData!$C:$C, $H15, NewEmisData!$D:$D, AL$6)</f>
        <v>1.0991760238511099E-2</v>
      </c>
      <c r="AM15" s="1111">
        <f>SUMIFS(NewEmisData!L:L, NewEmisData!$A:$A, $G15, NewEmisData!$B:$B, $A15, NewEmisData!$C:$C, $H15, NewEmisData!$D:$D, AM$6)</f>
        <v>1.09834074162082E-2</v>
      </c>
      <c r="AN15" s="1111">
        <f>SUMIFS(NewEmisData!M:M, NewEmisData!$A:$A, $G15, NewEmisData!$B:$B, $A15, NewEmisData!$C:$C, $H15, NewEmisData!$D:$D, AN$6)</f>
        <v>1.09822886490272E-2</v>
      </c>
      <c r="AO15" s="1111">
        <f t="shared" si="19"/>
        <v>1.09822886490272E-2</v>
      </c>
      <c r="AP15" s="1111">
        <f t="shared" si="2"/>
        <v>1.1044131831227499</v>
      </c>
      <c r="AQ15" s="1111">
        <f>SUMIFS(NewEmisData!E:E, NewEmisData!$A:$A, $G15, NewEmisData!$B:$B, $A15, NewEmisData!$C:$C, $H15, NewEmisData!$D:$D, AQ$6)</f>
        <v>1.1044131831227499</v>
      </c>
      <c r="AR15" s="1111">
        <f>SUMIFS(NewEmisData!F:F, NewEmisData!$A:$A, $G15, NewEmisData!$B:$B, $A15, NewEmisData!$C:$C, $H15, NewEmisData!$D:$D, AR$6)</f>
        <v>0.69596448890826201</v>
      </c>
      <c r="AS15" s="1111">
        <f>SUMIFS(NewEmisData!G:G, NewEmisData!$A:$A, $G15, NewEmisData!$B:$B, $A15, NewEmisData!$C:$C, $H15, NewEmisData!$D:$D, AS$6)</f>
        <v>0.41688561176651601</v>
      </c>
      <c r="AT15" s="1111">
        <f>SUMIFS(NewEmisData!H:H, NewEmisData!$A:$A, $G15, NewEmisData!$B:$B, $A15, NewEmisData!$C:$C, $H15, NewEmisData!$D:$D, AT$6)</f>
        <v>0.29523682935823298</v>
      </c>
      <c r="AU15" s="1111">
        <f>SUMIFS(NewEmisData!I:I, NewEmisData!$A:$A, $G15, NewEmisData!$B:$B, $A15, NewEmisData!$C:$C, $H15, NewEmisData!$D:$D, AU$6)</f>
        <v>0.26722857671539402</v>
      </c>
      <c r="AV15" s="1111">
        <f>SUMIFS(NewEmisData!J:J, NewEmisData!$A:$A, $G15, NewEmisData!$B:$B, $A15, NewEmisData!$C:$C, $H15, NewEmisData!$D:$D, AV$6)</f>
        <v>0.259356859155779</v>
      </c>
      <c r="AW15" s="1111">
        <f>SUMIFS(NewEmisData!K:K, NewEmisData!$A:$A, $G15, NewEmisData!$B:$B, $A15, NewEmisData!$C:$C, $H15, NewEmisData!$D:$D, AW$6)</f>
        <v>0.25811596391799502</v>
      </c>
      <c r="AX15" s="1111">
        <f>SUMIFS(NewEmisData!L:L, NewEmisData!$A:$A, $G15, NewEmisData!$B:$B, $A15, NewEmisData!$C:$C, $H15, NewEmisData!$D:$D, AX$6)</f>
        <v>0.25800802926334099</v>
      </c>
      <c r="AY15" s="1111">
        <f>SUMIFS(NewEmisData!M:M, NewEmisData!$A:$A, $G15, NewEmisData!$B:$B, $A15, NewEmisData!$C:$C, $H15, NewEmisData!$D:$D, AY$6)</f>
        <v>0.258000316903299</v>
      </c>
      <c r="AZ15" s="1111">
        <f t="shared" si="20"/>
        <v>0.258000316903299</v>
      </c>
      <c r="BA15" s="1111">
        <f t="shared" si="3"/>
        <v>0.80515128163926197</v>
      </c>
      <c r="BB15" s="1111">
        <f>SUMIFS(NewEmisData!E:E, NewEmisData!$A:$A, $G15, NewEmisData!$B:$B, $A15, NewEmisData!$C:$C, $H15, NewEmisData!$D:$D, BB$6)</f>
        <v>0.80515128163926197</v>
      </c>
      <c r="BC15" s="1111">
        <f>SUMIFS(NewEmisData!F:F, NewEmisData!$A:$A, $G15, NewEmisData!$B:$B, $A15, NewEmisData!$C:$C, $H15, NewEmisData!$D:$D, BC$6)</f>
        <v>0.40385030676064299</v>
      </c>
      <c r="BD15" s="1111">
        <f>SUMIFS(NewEmisData!G:G, NewEmisData!$A:$A, $G15, NewEmisData!$B:$B, $A15, NewEmisData!$C:$C, $H15, NewEmisData!$D:$D, BD$6)</f>
        <v>0.191914712359671</v>
      </c>
      <c r="BE15" s="1111">
        <f>SUMIFS(NewEmisData!H:H, NewEmisData!$A:$A, $G15, NewEmisData!$B:$B, $A15, NewEmisData!$C:$C, $H15, NewEmisData!$D:$D, BE$6)</f>
        <v>7.9817965863261897E-2</v>
      </c>
      <c r="BF15" s="1111">
        <f>SUMIFS(NewEmisData!I:I, NewEmisData!$A:$A, $G15, NewEmisData!$B:$B, $A15, NewEmisData!$C:$C, $H15, NewEmisData!$D:$D, BF$6)</f>
        <v>5.8587138047291203E-2</v>
      </c>
      <c r="BG15" s="1111">
        <f>SUMIFS(NewEmisData!J:J, NewEmisData!$A:$A, $G15, NewEmisData!$B:$B, $A15, NewEmisData!$C:$C, $H15, NewEmisData!$D:$D, BG$6)</f>
        <v>5.3925401266024603E-2</v>
      </c>
      <c r="BH15" s="1111">
        <f>SUMIFS(NewEmisData!K:K, NewEmisData!$A:$A, $G15, NewEmisData!$B:$B, $A15, NewEmisData!$C:$C, $H15, NewEmisData!$D:$D, BH$6)</f>
        <v>5.3085681499215498E-2</v>
      </c>
      <c r="BI15" s="1111">
        <f>SUMIFS(NewEmisData!L:L, NewEmisData!$A:$A, $G15, NewEmisData!$B:$B, $A15, NewEmisData!$C:$C, $H15, NewEmisData!$D:$D, BI$6)</f>
        <v>5.3060223447352402E-2</v>
      </c>
      <c r="BJ15" s="1111">
        <f>SUMIFS(NewEmisData!M:M, NewEmisData!$A:$A, $G15, NewEmisData!$B:$B, $A15, NewEmisData!$C:$C, $H15, NewEmisData!$D:$D, BJ$6)</f>
        <v>5.30583578225301E-2</v>
      </c>
      <c r="BK15" s="1111">
        <f>BJ15</f>
        <v>5.30583578225301E-2</v>
      </c>
      <c r="BL15" s="1111">
        <f t="shared" si="4"/>
        <v>5.0811910165099299</v>
      </c>
      <c r="BM15" s="1111">
        <f>SUMIFS(NewEmisData!E:E, NewEmisData!$A:$A, $G15, NewEmisData!$B:$B, $A15, NewEmisData!$C:$C, $H15, NewEmisData!$D:$D, BM$6)</f>
        <v>5.0811910165099299</v>
      </c>
      <c r="BN15" s="1111">
        <f>SUMIFS(NewEmisData!F:F, NewEmisData!$A:$A, $G15, NewEmisData!$B:$B, $A15, NewEmisData!$C:$C, $H15, NewEmisData!$D:$D, BN$6)</f>
        <v>2.7268470265204399</v>
      </c>
      <c r="BO15" s="1111">
        <f>SUMIFS(NewEmisData!G:G, NewEmisData!$A:$A, $G15, NewEmisData!$B:$B, $A15, NewEmisData!$C:$C, $H15, NewEmisData!$D:$D, BO$6)</f>
        <v>1.5355914449636101</v>
      </c>
      <c r="BP15" s="1111">
        <f>SUMIFS(NewEmisData!H:H, NewEmisData!$A:$A, $G15, NewEmisData!$B:$B, $A15, NewEmisData!$C:$C, $H15, NewEmisData!$D:$D, BP$6)</f>
        <v>0.89657237406968604</v>
      </c>
      <c r="BQ15" s="1111">
        <f>SUMIFS(NewEmisData!I:I, NewEmisData!$A:$A, $G15, NewEmisData!$B:$B, $A15, NewEmisData!$C:$C, $H15, NewEmisData!$D:$D, BQ$6)</f>
        <v>0.79413479693216504</v>
      </c>
      <c r="BR15" s="1111">
        <f>SUMIFS(NewEmisData!J:J, NewEmisData!$A:$A, $G15, NewEmisData!$B:$B, $A15, NewEmisData!$C:$C, $H15, NewEmisData!$D:$D, BR$6)</f>
        <v>0.78234582666351604</v>
      </c>
      <c r="BS15" s="1111">
        <f>SUMIFS(NewEmisData!K:K, NewEmisData!$A:$A, $G15, NewEmisData!$B:$B, $A15, NewEmisData!$C:$C, $H15, NewEmisData!$D:$D, BS$6)</f>
        <v>0.77895631877372495</v>
      </c>
      <c r="BT15" s="1111">
        <f>SUMIFS(NewEmisData!L:L, NewEmisData!$A:$A, $G15, NewEmisData!$B:$B, $A15, NewEmisData!$C:$C, $H15, NewEmisData!$D:$D, BT$6)</f>
        <v>0.77927504109494905</v>
      </c>
      <c r="BU15" s="1111">
        <f>SUMIFS(NewEmisData!M:M, NewEmisData!$A:$A, $G15, NewEmisData!$B:$B, $A15, NewEmisData!$C:$C, $H15, NewEmisData!$D:$D, BU$6)</f>
        <v>0.77930513165756399</v>
      </c>
      <c r="BV15" s="1111">
        <f>BU15</f>
        <v>0.77930513165756399</v>
      </c>
      <c r="BW15" s="1111">
        <f t="shared" si="5"/>
        <v>1.4965442116421701</v>
      </c>
      <c r="BX15" s="1111">
        <f>SUMIFS(NewEmisData!E:E, NewEmisData!$A:$A, $G15, NewEmisData!$B:$B, $A15, NewEmisData!$C:$C, $H15, NewEmisData!$D:$D, BX$6)</f>
        <v>1.4965442116421701</v>
      </c>
      <c r="BY15" s="1111">
        <f>SUMIFS(NewEmisData!F:F, NewEmisData!$A:$A, $G15, NewEmisData!$B:$B, $A15, NewEmisData!$C:$C, $H15, NewEmisData!$D:$D, BY$6)</f>
        <v>0.81900820559121901</v>
      </c>
      <c r="BZ15" s="1111">
        <f>SUMIFS(NewEmisData!G:G, NewEmisData!$A:$A, $G15, NewEmisData!$B:$B, $A15, NewEmisData!$C:$C, $H15, NewEmisData!$D:$D, BZ$6)</f>
        <v>0.36146735176794997</v>
      </c>
      <c r="CA15" s="1111">
        <f>SUMIFS(NewEmisData!H:H, NewEmisData!$A:$A, $G15, NewEmisData!$B:$B, $A15, NewEmisData!$C:$C, $H15, NewEmisData!$D:$D, CA$6)</f>
        <v>0.14039143137271001</v>
      </c>
      <c r="CB15" s="1111">
        <f>SUMIFS(NewEmisData!I:I, NewEmisData!$A:$A, $G15, NewEmisData!$B:$B, $A15, NewEmisData!$C:$C, $H15, NewEmisData!$D:$D, CB$6)</f>
        <v>0.101873557704856</v>
      </c>
      <c r="CC15" s="1111">
        <f>SUMIFS(NewEmisData!J:J, NewEmisData!$A:$A, $G15, NewEmisData!$B:$B, $A15, NewEmisData!$C:$C, $H15, NewEmisData!$D:$D, CC$6)</f>
        <v>9.43838462975264E-2</v>
      </c>
      <c r="CD15" s="1111">
        <f>SUMIFS(NewEmisData!K:K, NewEmisData!$A:$A, $G15, NewEmisData!$B:$B, $A15, NewEmisData!$C:$C, $H15, NewEmisData!$D:$D, CD$6)</f>
        <v>9.2903808201499405E-2</v>
      </c>
      <c r="CE15" s="1111">
        <f>SUMIFS(NewEmisData!L:L, NewEmisData!$A:$A, $G15, NewEmisData!$B:$B, $A15, NewEmisData!$C:$C, $H15, NewEmisData!$D:$D, CE$6)</f>
        <v>9.2890797107212E-2</v>
      </c>
      <c r="CF15" s="1111">
        <f>SUMIFS(NewEmisData!M:M, NewEmisData!$A:$A, $G15, NewEmisData!$B:$B, $A15, NewEmisData!$C:$C, $H15, NewEmisData!$D:$D, CF$6)</f>
        <v>9.2889380350906603E-2</v>
      </c>
      <c r="CG15" s="1111">
        <f t="shared" si="6"/>
        <v>9.2889380350906603E-2</v>
      </c>
      <c r="CH15" s="1111">
        <f t="shared" si="7"/>
        <v>2.6549169080668199E-2</v>
      </c>
      <c r="CI15" s="1111">
        <f>SUMIFS(NewEmisData!E:E, NewEmisData!$A:$A, $G15, NewEmisData!$B:$B, $A15, NewEmisData!$C:$C, $H15, NewEmisData!$D:$D, CI$6)</f>
        <v>2.6549169080668199E-2</v>
      </c>
      <c r="CJ15" s="1111">
        <f>SUMIFS(NewEmisData!F:F, NewEmisData!$A:$A, $G15, NewEmisData!$B:$B, $A15, NewEmisData!$C:$C, $H15, NewEmisData!$D:$D, CJ$6)</f>
        <v>2.7077377373300401E-2</v>
      </c>
      <c r="CK15" s="1111">
        <f>SUMIFS(NewEmisData!G:G, NewEmisData!$A:$A, $G15, NewEmisData!$B:$B, $A15, NewEmisData!$C:$C, $H15, NewEmisData!$D:$D, CK$6)</f>
        <v>2.6663646209720601E-2</v>
      </c>
      <c r="CL15" s="1111">
        <f>SUMIFS(NewEmisData!H:H, NewEmisData!$A:$A, $G15, NewEmisData!$B:$B, $A15, NewEmisData!$C:$C, $H15, NewEmisData!$D:$D, CL$6)</f>
        <v>2.6672380848637399E-2</v>
      </c>
      <c r="CM15" s="1111">
        <f>SUMIFS(NewEmisData!I:I, NewEmisData!$A:$A, $G15, NewEmisData!$B:$B, $A15, NewEmisData!$C:$C, $H15, NewEmisData!$D:$D, CM$6)</f>
        <v>2.6520469832871599E-2</v>
      </c>
      <c r="CN15" s="1111">
        <f>SUMIFS(NewEmisData!J:J, NewEmisData!$A:$A, $G15, NewEmisData!$B:$B, $A15, NewEmisData!$C:$C, $H15, NewEmisData!$D:$D, CN$6)</f>
        <v>2.64339024674058E-2</v>
      </c>
      <c r="CO15" s="1111">
        <f>SUMIFS(NewEmisData!K:K, NewEmisData!$A:$A, $G15, NewEmisData!$B:$B, $A15, NewEmisData!$C:$C, $H15, NewEmisData!$D:$D, CO$6)</f>
        <v>2.64237151596389E-2</v>
      </c>
      <c r="CP15" s="1111">
        <f>SUMIFS(NewEmisData!L:L, NewEmisData!$A:$A, $G15, NewEmisData!$B:$B, $A15, NewEmisData!$C:$C, $H15, NewEmisData!$D:$D, CP$6)</f>
        <v>2.64212319492989E-2</v>
      </c>
      <c r="CQ15" s="1111">
        <f>SUMIFS(NewEmisData!M:M, NewEmisData!$A:$A, $G15, NewEmisData!$B:$B, $A15, NewEmisData!$C:$C, $H15, NewEmisData!$D:$D, CQ$6)</f>
        <v>2.6421096884032502E-2</v>
      </c>
      <c r="CR15" s="1111">
        <f t="shared" si="8"/>
        <v>2.6421096884032502E-2</v>
      </c>
      <c r="CS15" s="1111">
        <f t="shared" si="9"/>
        <v>4.7042787259816803E-3</v>
      </c>
      <c r="CT15" s="1111">
        <f>SUMIFS(NewEmisData!E:E, NewEmisData!$A:$A, $G15, NewEmisData!$B:$B, $A15, NewEmisData!$C:$C, $H15, NewEmisData!$D:$D, CT$6)</f>
        <v>4.7042787259816803E-3</v>
      </c>
      <c r="CU15" s="1111">
        <f>SUMIFS(NewEmisData!F:F, NewEmisData!$A:$A, $G15, NewEmisData!$B:$B, $A15, NewEmisData!$C:$C, $H15, NewEmisData!$D:$D, CU$6)</f>
        <v>4.1781828368015099E-3</v>
      </c>
      <c r="CV15" s="1111">
        <f>SUMIFS(NewEmisData!G:G, NewEmisData!$A:$A, $G15, NewEmisData!$B:$B, $A15, NewEmisData!$C:$C, $H15, NewEmisData!$D:$D, CV$6)</f>
        <v>3.8352946013813899E-3</v>
      </c>
      <c r="CW15" s="1111">
        <f>SUMIFS(NewEmisData!H:H, NewEmisData!$A:$A, $G15, NewEmisData!$B:$B, $A15, NewEmisData!$C:$C, $H15, NewEmisData!$D:$D, CW$6)</f>
        <v>3.83525379596238E-3</v>
      </c>
      <c r="CX15" s="1111">
        <f>SUMIFS(NewEmisData!I:I, NewEmisData!$A:$A, $G15, NewEmisData!$B:$B, $A15, NewEmisData!$C:$C, $H15, NewEmisData!$D:$D, CX$6)</f>
        <v>3.8551413423649401E-3</v>
      </c>
      <c r="CY15" s="1111">
        <f>SUMIFS(NewEmisData!J:J, NewEmisData!$A:$A, $G15, NewEmisData!$B:$B, $A15, NewEmisData!$C:$C, $H15, NewEmisData!$D:$D, CY$6)</f>
        <v>3.8664534081897001E-3</v>
      </c>
      <c r="CZ15" s="1111">
        <f>SUMIFS(NewEmisData!K:K, NewEmisData!$A:$A, $G15, NewEmisData!$B:$B, $A15, NewEmisData!$C:$C, $H15, NewEmisData!$D:$D, CZ$6)</f>
        <v>3.8677677567543899E-3</v>
      </c>
      <c r="DA15" s="1111">
        <f>SUMIFS(NewEmisData!L:L, NewEmisData!$A:$A, $G15, NewEmisData!$B:$B, $A15, NewEmisData!$C:$C, $H15, NewEmisData!$D:$D, DA$6)</f>
        <v>3.8680901701993102E-3</v>
      </c>
      <c r="DB15" s="1111">
        <f>SUMIFS(NewEmisData!M:M, NewEmisData!$A:$A, $G15, NewEmisData!$B:$B, $A15, NewEmisData!$C:$C, $H15, NewEmisData!$D:$D, DB$6)</f>
        <v>3.86811796361387E-3</v>
      </c>
      <c r="DC15" s="1111">
        <f>DB15</f>
        <v>3.86811796361387E-3</v>
      </c>
      <c r="DD15" s="1111"/>
      <c r="DE15" s="1111"/>
      <c r="DF15" s="1111"/>
      <c r="DG15" s="1111"/>
      <c r="DH15" s="1111"/>
      <c r="DI15" s="1111"/>
      <c r="DJ15" s="1111"/>
      <c r="DK15" s="1111"/>
      <c r="DL15" s="1111"/>
      <c r="DM15" s="1111"/>
      <c r="DN15" s="1111"/>
      <c r="DO15" s="1111"/>
      <c r="DP15" s="1111"/>
      <c r="DQ15" s="1111"/>
      <c r="DR15" s="1111"/>
      <c r="DS15" s="1111"/>
      <c r="DT15" s="1111"/>
      <c r="DU15" s="1111"/>
      <c r="DV15" s="1111"/>
      <c r="DW15" s="1111"/>
      <c r="DX15" s="1111"/>
      <c r="DY15" s="1111"/>
      <c r="DZ15" s="1111">
        <f>EA15</f>
        <v>2.6013362636086799E-2</v>
      </c>
      <c r="EA15" s="1111">
        <f>SUMIFS(NewEmisData!E:E, NewEmisData!$A:$A, $G15, NewEmisData!$B:$B, $A15, NewEmisData!$C:$C, $H15, NewEmisData!$D:$D, EA$6)</f>
        <v>2.6013362636086799E-2</v>
      </c>
      <c r="EB15" s="1111">
        <f>SUMIFS(NewEmisData!F:F, NewEmisData!$A:$A, $G15, NewEmisData!$B:$B, $A15, NewEmisData!$C:$C, $H15, NewEmisData!$D:$D, EB$6)</f>
        <v>4.8912608547457603E-2</v>
      </c>
      <c r="EC15" s="1111">
        <f>SUMIFS(NewEmisData!G:G, NewEmisData!$A:$A, $G15, NewEmisData!$B:$B, $A15, NewEmisData!$C:$C, $H15, NewEmisData!$D:$D, EC$6)</f>
        <v>7.1548320352667602E-2</v>
      </c>
      <c r="ED15" s="1111">
        <f>SUMIFS(NewEmisData!H:H, NewEmisData!$A:$A, $G15, NewEmisData!$B:$B, $A15, NewEmisData!$C:$C, $H15, NewEmisData!$D:$D, ED$6)</f>
        <v>7.9138988379146596E-2</v>
      </c>
      <c r="EE15" s="1111">
        <f>SUMIFS(NewEmisData!I:I, NewEmisData!$A:$A, $G15, NewEmisData!$B:$B, $A15, NewEmisData!$C:$C, $H15, NewEmisData!$D:$D, EE$6)</f>
        <v>7.6655521242650904E-2</v>
      </c>
      <c r="EF15" s="1111">
        <f>SUMIFS(NewEmisData!J:J, NewEmisData!$A:$A, $G15, NewEmisData!$B:$B, $A15, NewEmisData!$C:$C, $H15, NewEmisData!$D:$D, EF$6)</f>
        <v>7.7190277276734304E-2</v>
      </c>
      <c r="EG15" s="1111">
        <f>SUMIFS(NewEmisData!K:K, NewEmisData!$A:$A, $G15, NewEmisData!$B:$B, $A15, NewEmisData!$C:$C, $H15, NewEmisData!$D:$D, EG$6)</f>
        <v>7.7123926881226601E-2</v>
      </c>
      <c r="EH15" s="1111">
        <f>SUMIFS(NewEmisData!L:L, NewEmisData!$A:$A, $G15, NewEmisData!$B:$B, $A15, NewEmisData!$C:$C, $H15, NewEmisData!$D:$D, EH$6)</f>
        <v>7.7127166689512902E-2</v>
      </c>
      <c r="EI15" s="1111">
        <f>SUMIFS(NewEmisData!M:M, NewEmisData!$A:$A, $G15, NewEmisData!$B:$B, $A15, NewEmisData!$C:$C, $H15, NewEmisData!$D:$D, EI$6)</f>
        <v>7.71279806751477E-2</v>
      </c>
      <c r="EJ15" s="1111">
        <f>EI15</f>
        <v>7.71279806751477E-2</v>
      </c>
      <c r="EK15" s="1111">
        <f>EL15</f>
        <v>1490.2976816476501</v>
      </c>
      <c r="EL15" s="1111">
        <f t="shared" si="10"/>
        <v>1490.2976816476501</v>
      </c>
      <c r="EM15" s="1111">
        <f t="shared" si="21"/>
        <v>1626.84882020706</v>
      </c>
      <c r="EN15" s="1111">
        <f t="shared" si="21"/>
        <v>1458.6179661731101</v>
      </c>
      <c r="EO15" s="1111">
        <f t="shared" si="21"/>
        <v>1416.37770823441</v>
      </c>
      <c r="EP15" s="1111">
        <f t="shared" si="21"/>
        <v>1353.32178885294</v>
      </c>
      <c r="EQ15" s="1111">
        <f t="shared" si="21"/>
        <v>1322.46976433435</v>
      </c>
      <c r="ER15" s="1111">
        <f t="shared" si="21"/>
        <v>1318.4113892753701</v>
      </c>
      <c r="ES15" s="1111">
        <f t="shared" si="21"/>
        <v>1317.4103236998201</v>
      </c>
      <c r="ET15" s="1111">
        <f t="shared" si="21"/>
        <v>1317.2762015215601</v>
      </c>
      <c r="EU15" s="1111">
        <f t="shared" si="21"/>
        <v>1317.2762015215601</v>
      </c>
      <c r="EV15" s="1111">
        <f>EW15</f>
        <v>11.691833793473601</v>
      </c>
      <c r="EW15" s="1111">
        <f>U15</f>
        <v>11.691833793473601</v>
      </c>
      <c r="EX15" s="1111">
        <f t="shared" si="22"/>
        <v>5.3676771149688802</v>
      </c>
      <c r="EY15" s="1111">
        <f t="shared" si="22"/>
        <v>3.6137202505642398</v>
      </c>
      <c r="EZ15" s="1111">
        <f t="shared" si="22"/>
        <v>1.93222611085197</v>
      </c>
      <c r="FA15" s="1111">
        <f t="shared" si="22"/>
        <v>1.2904635466224801</v>
      </c>
      <c r="FB15" s="1111">
        <f t="shared" si="22"/>
        <v>1.20804258245566</v>
      </c>
      <c r="FC15" s="1111">
        <f t="shared" si="22"/>
        <v>1.1760366424397</v>
      </c>
      <c r="FD15" s="1111">
        <f t="shared" si="22"/>
        <v>1.1748287303099401</v>
      </c>
      <c r="FE15" s="1111">
        <f t="shared" si="22"/>
        <v>1.17443815932545</v>
      </c>
      <c r="FF15" s="1111">
        <f t="shared" si="22"/>
        <v>1.17443815932545</v>
      </c>
      <c r="FG15" s="1111">
        <f t="shared" si="23"/>
        <v>3.6717879284551301E-2</v>
      </c>
      <c r="FH15" s="1111">
        <f t="shared" si="24"/>
        <v>3.6717879284551301E-2</v>
      </c>
      <c r="FI15" s="1111">
        <f t="shared" si="24"/>
        <v>3.9098355675890401E-2</v>
      </c>
      <c r="FJ15" s="1111">
        <f t="shared" si="24"/>
        <v>1.2334311567984301E-2</v>
      </c>
      <c r="FK15" s="1111">
        <f t="shared" si="24"/>
        <v>1.1840116163087199E-2</v>
      </c>
      <c r="FL15" s="1111">
        <f t="shared" si="24"/>
        <v>1.12892010251304E-2</v>
      </c>
      <c r="FM15" s="1111">
        <f t="shared" si="24"/>
        <v>1.10267582574557E-2</v>
      </c>
      <c r="FN15" s="1111">
        <f t="shared" si="24"/>
        <v>1.0991760238511099E-2</v>
      </c>
      <c r="FO15" s="1111">
        <f t="shared" si="24"/>
        <v>1.09834074162082E-2</v>
      </c>
      <c r="FP15" s="1111">
        <f t="shared" si="24"/>
        <v>1.09822886490272E-2</v>
      </c>
      <c r="FQ15" s="1111">
        <f t="shared" si="24"/>
        <v>1.09822886490272E-2</v>
      </c>
      <c r="FR15" s="1111">
        <f t="shared" si="25"/>
        <v>1.1044131831227499</v>
      </c>
      <c r="FS15" s="1111">
        <f t="shared" si="26"/>
        <v>1.1044131831227499</v>
      </c>
      <c r="FT15" s="1111">
        <f t="shared" si="27"/>
        <v>0.69596448890826201</v>
      </c>
      <c r="FU15" s="1111">
        <f t="shared" si="28"/>
        <v>0.41688561176651601</v>
      </c>
      <c r="FV15" s="1111">
        <f t="shared" si="29"/>
        <v>0.29523682935823298</v>
      </c>
      <c r="FW15" s="1111">
        <f t="shared" si="30"/>
        <v>0.26722857671539402</v>
      </c>
      <c r="FX15" s="1111">
        <f t="shared" si="31"/>
        <v>0.259356859155779</v>
      </c>
      <c r="FY15" s="1111">
        <f t="shared" si="32"/>
        <v>0.25811596391799502</v>
      </c>
      <c r="FZ15" s="1111">
        <f t="shared" si="33"/>
        <v>0.25800802926334099</v>
      </c>
      <c r="GA15" s="1111">
        <f t="shared" si="34"/>
        <v>0.258000316903299</v>
      </c>
      <c r="GB15" s="1111">
        <f t="shared" si="35"/>
        <v>0.258000316903299</v>
      </c>
      <c r="GC15" s="1111">
        <f t="shared" si="15"/>
        <v>0.80515128163926197</v>
      </c>
      <c r="GD15" s="1111">
        <f t="shared" si="36"/>
        <v>0.80515128163926197</v>
      </c>
      <c r="GE15" s="1111">
        <f t="shared" si="36"/>
        <v>0.40385030676064299</v>
      </c>
      <c r="GF15" s="1111">
        <f t="shared" si="36"/>
        <v>0.191914712359671</v>
      </c>
      <c r="GG15" s="1111">
        <f t="shared" si="36"/>
        <v>7.9817965863261897E-2</v>
      </c>
      <c r="GH15" s="1111">
        <f t="shared" si="36"/>
        <v>5.8587138047291203E-2</v>
      </c>
      <c r="GI15" s="1111">
        <f t="shared" si="36"/>
        <v>5.3925401266024603E-2</v>
      </c>
      <c r="GJ15" s="1111">
        <f t="shared" si="36"/>
        <v>5.3085681499215498E-2</v>
      </c>
      <c r="GK15" s="1111">
        <f t="shared" si="36"/>
        <v>5.3060223447352402E-2</v>
      </c>
      <c r="GL15" s="1111">
        <f t="shared" si="36"/>
        <v>5.30583578225301E-2</v>
      </c>
      <c r="GM15" s="1111">
        <f t="shared" si="36"/>
        <v>5.30583578225301E-2</v>
      </c>
    </row>
    <row r="16" spans="1:195" x14ac:dyDescent="0.2">
      <c r="A16" s="1071" t="s">
        <v>190</v>
      </c>
      <c r="B16" s="1071" t="str">
        <f>TechData!B11</f>
        <v>TBDSLE</v>
      </c>
      <c r="C16" s="1071" t="str">
        <f>TechData!C11</f>
        <v>Bus, Exisiting Diesel</v>
      </c>
      <c r="D16" s="1071" t="str">
        <f>TechData!D11</f>
        <v>bn-vmt, bn-vmt/a</v>
      </c>
      <c r="E16" s="1071" t="str">
        <f>TechData!E11</f>
        <v>TBDSL</v>
      </c>
      <c r="F16" s="1071" t="str">
        <f>TechData!F11</f>
        <v>TB</v>
      </c>
      <c r="G16" s="1110" t="s">
        <v>498</v>
      </c>
      <c r="H16" s="1111" t="s">
        <v>499</v>
      </c>
      <c r="I16" s="1112">
        <v>1</v>
      </c>
      <c r="J16" s="1111" t="str">
        <f>CONCATENATE(G16,"-",H16)</f>
        <v>Bus-DSL</v>
      </c>
      <c r="K16" s="1111">
        <f>SUMIFS(NewEmisData!E:E, NewEmisData!$A:$A, $G16, NewEmisData!$B:$B, $A16, NewEmisData!$C:$C, $H16, NewEmisData!$D:$D, K$6)</f>
        <v>1790.56535119264</v>
      </c>
      <c r="L16" s="1111">
        <f>SUMIFS(NewEmisData!F:F, NewEmisData!$A:$A, $G16, NewEmisData!$B:$B, $A16, NewEmisData!$C:$C, $H16, NewEmisData!$D:$D, L$6)</f>
        <v>1706.0851984819999</v>
      </c>
      <c r="M16" s="1111">
        <f>SUMIFS(NewEmisData!G:G, NewEmisData!$A:$A, $G16, NewEmisData!$B:$B, $A16, NewEmisData!$C:$C, $H16, NewEmisData!$D:$D, M$6)</f>
        <v>1916.4119570956</v>
      </c>
      <c r="N16" s="1111">
        <f>SUMIFS(NewEmisData!H:H, NewEmisData!$A:$A, $G16, NewEmisData!$B:$B, $A16, NewEmisData!$C:$C, $H16, NewEmisData!$D:$D, N$6)</f>
        <v>1866.18041191016</v>
      </c>
      <c r="O16" s="1111">
        <f>SUMIFS(NewEmisData!I:I, NewEmisData!$A:$A, $G16, NewEmisData!$B:$B, $A16, NewEmisData!$C:$C, $H16, NewEmisData!$D:$D, O$6)</f>
        <v>1811.71928124037</v>
      </c>
      <c r="P16" s="1111">
        <f>SUMIFS(NewEmisData!J:J, NewEmisData!$A:$A, $G16, NewEmisData!$B:$B, $A16, NewEmisData!$C:$C, $H16, NewEmisData!$D:$D, P$6)</f>
        <v>1782.46239941771</v>
      </c>
      <c r="Q16" s="1111">
        <f>SUMIFS(NewEmisData!K:K, NewEmisData!$A:$A, $G16, NewEmisData!$B:$B, $A16, NewEmisData!$C:$C, $H16, NewEmisData!$D:$D, Q$6)</f>
        <v>1777.87090074862</v>
      </c>
      <c r="R16" s="1111">
        <f>SUMIFS(NewEmisData!L:L, NewEmisData!$A:$A, $G16, NewEmisData!$B:$B, $A16, NewEmisData!$C:$C, $H16, NewEmisData!$D:$D, R$6)</f>
        <v>1776.69085043776</v>
      </c>
      <c r="S16" s="1111">
        <f>SUMIFS(NewEmisData!M:M, NewEmisData!$A:$A, $G16, NewEmisData!$B:$B, $A16, NewEmisData!$C:$C, $H16, NewEmisData!$D:$D, S$6)</f>
        <v>1776.5151337741499</v>
      </c>
      <c r="T16" s="1111">
        <f t="shared" si="17"/>
        <v>1776.5151337741499</v>
      </c>
      <c r="U16" s="1111">
        <f>SUMIFS(NewEmisData!E:E, NewEmisData!$A:$A, $G16, NewEmisData!$B:$B, $A16, NewEmisData!$C:$C, $H16, NewEmisData!$D:$D, U$6)</f>
        <v>16.722091046014601</v>
      </c>
      <c r="V16" s="1111">
        <f>SUMIFS(NewEmisData!F:F, NewEmisData!$A:$A, $G16, NewEmisData!$B:$B, $A16, NewEmisData!$C:$C, $H16, NewEmisData!$D:$D, V$6)</f>
        <v>9.0752835435872505</v>
      </c>
      <c r="W16" s="1111">
        <f>SUMIFS(NewEmisData!G:G, NewEmisData!$A:$A, $G16, NewEmisData!$B:$B, $A16, NewEmisData!$C:$C, $H16, NewEmisData!$D:$D, W$6)</f>
        <v>4.5245768386744603</v>
      </c>
      <c r="X16" s="1111">
        <f>SUMIFS(NewEmisData!H:H, NewEmisData!$A:$A, $G16, NewEmisData!$B:$B, $A16, NewEmisData!$C:$C, $H16, NewEmisData!$D:$D, X$6)</f>
        <v>2.5948057206972099</v>
      </c>
      <c r="Y16" s="1111">
        <f>SUMIFS(NewEmisData!I:I, NewEmisData!$A:$A, $G16, NewEmisData!$B:$B, $A16, NewEmisData!$C:$C, $H16, NewEmisData!$D:$D, Y$6)</f>
        <v>1.7233209257637201</v>
      </c>
      <c r="Z16" s="1111">
        <f>SUMIFS(NewEmisData!J:J, NewEmisData!$A:$A, $G16, NewEmisData!$B:$B, $A16, NewEmisData!$C:$C, $H16, NewEmisData!$D:$D, Z$6)</f>
        <v>1.5952418098202701</v>
      </c>
      <c r="AA16" s="1111">
        <f>SUMIFS(NewEmisData!K:K, NewEmisData!$A:$A, $G16, NewEmisData!$B:$B, $A16, NewEmisData!$C:$C, $H16, NewEmisData!$D:$D, AA$6)</f>
        <v>1.5343950737018299</v>
      </c>
      <c r="AB16" s="1111">
        <f>SUMIFS(NewEmisData!L:L, NewEmisData!$A:$A, $G16, NewEmisData!$B:$B, $A16, NewEmisData!$C:$C, $H16, NewEmisData!$D:$D, AB$6)</f>
        <v>1.53213591619592</v>
      </c>
      <c r="AC16" s="1111">
        <f>SUMIFS(NewEmisData!M:M, NewEmisData!$A:$A, $G16, NewEmisData!$B:$B, $A16, NewEmisData!$C:$C, $H16, NewEmisData!$D:$D, AC$6)</f>
        <v>1.5313515267339699</v>
      </c>
      <c r="AD16" s="1111">
        <f t="shared" si="18"/>
        <v>1.5313515267339699</v>
      </c>
      <c r="AE16" s="1111">
        <f>AF16</f>
        <v>4.4119301126388497E-2</v>
      </c>
      <c r="AF16" s="1111">
        <f>SUMIFS(NewEmisData!E:E, NewEmisData!$A:$A, $G16, NewEmisData!$B:$B, $A16, NewEmisData!$C:$C, $H16, NewEmisData!$D:$D, AF$6)</f>
        <v>4.4119301126388497E-2</v>
      </c>
      <c r="AG16" s="1111">
        <f>SUMIFS(NewEmisData!F:F, NewEmisData!$A:$A, $G16, NewEmisData!$B:$B, $A16, NewEmisData!$C:$C, $H16, NewEmisData!$D:$D, AG$6)</f>
        <v>4.1262348975755703E-2</v>
      </c>
      <c r="AH16" s="1111">
        <f>SUMIFS(NewEmisData!G:G, NewEmisData!$A:$A, $G16, NewEmisData!$B:$B, $A16, NewEmisData!$C:$C, $H16, NewEmisData!$D:$D, AH$6)</f>
        <v>1.6180608348462199E-2</v>
      </c>
      <c r="AI16" s="1111">
        <f>SUMIFS(NewEmisData!H:H, NewEmisData!$A:$A, $G16, NewEmisData!$B:$B, $A16, NewEmisData!$C:$C, $H16, NewEmisData!$D:$D, AI$6)</f>
        <v>1.5603448697606799E-2</v>
      </c>
      <c r="AJ16" s="1111">
        <f>SUMIFS(NewEmisData!I:I, NewEmisData!$A:$A, $G16, NewEmisData!$B:$B, $A16, NewEmisData!$C:$C, $H16, NewEmisData!$D:$D, AJ$6)</f>
        <v>1.51144360777349E-2</v>
      </c>
      <c r="AK16" s="1111">
        <f>SUMIFS(NewEmisData!J:J, NewEmisData!$A:$A, $G16, NewEmisData!$B:$B, $A16, NewEmisData!$C:$C, $H16, NewEmisData!$D:$D, AK$6)</f>
        <v>1.48632492208765E-2</v>
      </c>
      <c r="AL16" s="1111">
        <f>SUMIFS(NewEmisData!K:K, NewEmisData!$A:$A, $G16, NewEmisData!$B:$B, $A16, NewEmisData!$C:$C, $H16, NewEmisData!$D:$D, AL$6)</f>
        <v>1.48223265055839E-2</v>
      </c>
      <c r="AM16" s="1111">
        <f>SUMIFS(NewEmisData!L:L, NewEmisData!$A:$A, $G16, NewEmisData!$B:$B, $A16, NewEmisData!$C:$C, $H16, NewEmisData!$D:$D, AM$6)</f>
        <v>1.4812489715302499E-2</v>
      </c>
      <c r="AN16" s="1111">
        <f>SUMIFS(NewEmisData!M:M, NewEmisData!$A:$A, $G16, NewEmisData!$B:$B, $A16, NewEmisData!$C:$C, $H16, NewEmisData!$D:$D, AN$6)</f>
        <v>1.4811022783827199E-2</v>
      </c>
      <c r="AO16" s="1111">
        <f t="shared" si="19"/>
        <v>1.4811022783827199E-2</v>
      </c>
      <c r="AP16" s="1111">
        <f t="shared" si="2"/>
        <v>1.28818009730681</v>
      </c>
      <c r="AQ16" s="1111">
        <f>SUMIFS(NewEmisData!E:E, NewEmisData!$A:$A, $G16, NewEmisData!$B:$B, $A16, NewEmisData!$C:$C, $H16, NewEmisData!$D:$D, AQ$6)</f>
        <v>1.28818009730681</v>
      </c>
      <c r="AR16" s="1111">
        <f>SUMIFS(NewEmisData!F:F, NewEmisData!$A:$A, $G16, NewEmisData!$B:$B, $A16, NewEmisData!$C:$C, $H16, NewEmisData!$D:$D, AR$6)</f>
        <v>0.82680779710365904</v>
      </c>
      <c r="AS16" s="1111">
        <f>SUMIFS(NewEmisData!G:G, NewEmisData!$A:$A, $G16, NewEmisData!$B:$B, $A16, NewEmisData!$C:$C, $H16, NewEmisData!$D:$D, AS$6)</f>
        <v>0.60179805225314997</v>
      </c>
      <c r="AT16" s="1111">
        <f>SUMIFS(NewEmisData!H:H, NewEmisData!$A:$A, $G16, NewEmisData!$B:$B, $A16, NewEmisData!$C:$C, $H16, NewEmisData!$D:$D, AT$6)</f>
        <v>0.46595581954183302</v>
      </c>
      <c r="AU16" s="1111">
        <f>SUMIFS(NewEmisData!I:I, NewEmisData!$A:$A, $G16, NewEmisData!$B:$B, $A16, NewEmisData!$C:$C, $H16, NewEmisData!$D:$D, AU$6)</f>
        <v>0.42951735045103701</v>
      </c>
      <c r="AV16" s="1111">
        <f>SUMIFS(NewEmisData!J:J, NewEmisData!$A:$A, $G16, NewEmisData!$B:$B, $A16, NewEmisData!$C:$C, $H16, NewEmisData!$D:$D, AV$6)</f>
        <v>0.41980468763527201</v>
      </c>
      <c r="AW16" s="1111">
        <f>SUMIFS(NewEmisData!K:K, NewEmisData!$A:$A, $G16, NewEmisData!$B:$B, $A16, NewEmisData!$C:$C, $H16, NewEmisData!$D:$D, AW$6)</f>
        <v>0.41759644007116198</v>
      </c>
      <c r="AX16" s="1111">
        <f>SUMIFS(NewEmisData!L:L, NewEmisData!$A:$A, $G16, NewEmisData!$B:$B, $A16, NewEmisData!$C:$C, $H16, NewEmisData!$D:$D, AX$6)</f>
        <v>0.41747064951560697</v>
      </c>
      <c r="AY16" s="1111">
        <f>SUMIFS(NewEmisData!M:M, NewEmisData!$A:$A, $G16, NewEmisData!$B:$B, $A16, NewEmisData!$C:$C, $H16, NewEmisData!$D:$D, AY$6)</f>
        <v>0.41748018000731701</v>
      </c>
      <c r="AZ16" s="1111">
        <f t="shared" si="20"/>
        <v>0.41748018000731701</v>
      </c>
      <c r="BA16" s="1111">
        <f t="shared" si="3"/>
        <v>0.93126594217890002</v>
      </c>
      <c r="BB16" s="1111">
        <f>SUMIFS(NewEmisData!E:E, NewEmisData!$A:$A, $G16, NewEmisData!$B:$B, $A16, NewEmisData!$C:$C, $H16, NewEmisData!$D:$D, BB$6)</f>
        <v>0.93126594217890002</v>
      </c>
      <c r="BC16" s="1111">
        <f>SUMIFS(NewEmisData!F:F, NewEmisData!$A:$A, $G16, NewEmisData!$B:$B, $A16, NewEmisData!$C:$C, $H16, NewEmisData!$D:$D, BC$6)</f>
        <v>0.51703307471742999</v>
      </c>
      <c r="BD16" s="1111">
        <f>SUMIFS(NewEmisData!G:G, NewEmisData!$A:$A, $G16, NewEmisData!$B:$B, $A16, NewEmisData!$C:$C, $H16, NewEmisData!$D:$D, BD$6)</f>
        <v>0.24432975283286401</v>
      </c>
      <c r="BE16" s="1111">
        <f>SUMIFS(NewEmisData!H:H, NewEmisData!$A:$A, $G16, NewEmisData!$B:$B, $A16, NewEmisData!$C:$C, $H16, NewEmisData!$D:$D, BE$6)</f>
        <v>0.11886455572614001</v>
      </c>
      <c r="BF16" s="1111">
        <f>SUMIFS(NewEmisData!I:I, NewEmisData!$A:$A, $G16, NewEmisData!$B:$B, $A16, NewEmisData!$C:$C, $H16, NewEmisData!$D:$D, BF$6)</f>
        <v>8.9573048763309293E-2</v>
      </c>
      <c r="BG16" s="1111">
        <f>SUMIFS(NewEmisData!J:J, NewEmisData!$A:$A, $G16, NewEmisData!$B:$B, $A16, NewEmisData!$C:$C, $H16, NewEmisData!$D:$D, BG$6)</f>
        <v>8.3197971818451094E-2</v>
      </c>
      <c r="BH16" s="1111">
        <f>SUMIFS(NewEmisData!K:K, NewEmisData!$A:$A, $G16, NewEmisData!$B:$B, $A16, NewEmisData!$C:$C, $H16, NewEmisData!$D:$D, BH$6)</f>
        <v>8.15020489665223E-2</v>
      </c>
      <c r="BI16" s="1111">
        <f>SUMIFS(NewEmisData!L:L, NewEmisData!$A:$A, $G16, NewEmisData!$B:$B, $A16, NewEmisData!$C:$C, $H16, NewEmisData!$D:$D, BI$6)</f>
        <v>8.1467138980072906E-2</v>
      </c>
      <c r="BJ16" s="1111">
        <f>SUMIFS(NewEmisData!M:M, NewEmisData!$A:$A, $G16, NewEmisData!$B:$B, $A16, NewEmisData!$C:$C, $H16, NewEmisData!$D:$D, BJ$6)</f>
        <v>8.1466979548160803E-2</v>
      </c>
      <c r="BK16" s="1111">
        <f>BJ16</f>
        <v>8.1466979548160803E-2</v>
      </c>
      <c r="BL16" s="1111">
        <f t="shared" si="4"/>
        <v>4.9983132073964702</v>
      </c>
      <c r="BM16" s="1111">
        <f>SUMIFS(NewEmisData!E:E, NewEmisData!$A:$A, $G16, NewEmisData!$B:$B, $A16, NewEmisData!$C:$C, $H16, NewEmisData!$D:$D, BM$6)</f>
        <v>4.9983132073964702</v>
      </c>
      <c r="BN16" s="1111">
        <f>SUMIFS(NewEmisData!F:F, NewEmisData!$A:$A, $G16, NewEmisData!$B:$B, $A16, NewEmisData!$C:$C, $H16, NewEmisData!$D:$D, BN$6)</f>
        <v>3.3127673342487598</v>
      </c>
      <c r="BO16" s="1111">
        <f>SUMIFS(NewEmisData!G:G, NewEmisData!$A:$A, $G16, NewEmisData!$B:$B, $A16, NewEmisData!$C:$C, $H16, NewEmisData!$D:$D, BO$6)</f>
        <v>1.60960521526057</v>
      </c>
      <c r="BP16" s="1111">
        <f>SUMIFS(NewEmisData!H:H, NewEmisData!$A:$A, $G16, NewEmisData!$B:$B, $A16, NewEmisData!$C:$C, $H16, NewEmisData!$D:$D, BP$6)</f>
        <v>0.894212041026479</v>
      </c>
      <c r="BQ16" s="1111">
        <f>SUMIFS(NewEmisData!I:I, NewEmisData!$A:$A, $G16, NewEmisData!$B:$B, $A16, NewEmisData!$C:$C, $H16, NewEmisData!$D:$D, BQ$6)</f>
        <v>0.75145962562216695</v>
      </c>
      <c r="BR16" s="1111">
        <f>SUMIFS(NewEmisData!J:J, NewEmisData!$A:$A, $G16, NewEmisData!$B:$B, $A16, NewEmisData!$C:$C, $H16, NewEmisData!$D:$D, BR$6)</f>
        <v>0.72015406798909798</v>
      </c>
      <c r="BS16" s="1111">
        <f>SUMIFS(NewEmisData!K:K, NewEmisData!$A:$A, $G16, NewEmisData!$B:$B, $A16, NewEmisData!$C:$C, $H16, NewEmisData!$D:$D, BS$6)</f>
        <v>0.710754907060967</v>
      </c>
      <c r="BT16" s="1111">
        <f>SUMIFS(NewEmisData!L:L, NewEmisData!$A:$A, $G16, NewEmisData!$B:$B, $A16, NewEmisData!$C:$C, $H16, NewEmisData!$D:$D, BT$6)</f>
        <v>0.71094846275188905</v>
      </c>
      <c r="BU16" s="1111">
        <f>SUMIFS(NewEmisData!M:M, NewEmisData!$A:$A, $G16, NewEmisData!$B:$B, $A16, NewEmisData!$C:$C, $H16, NewEmisData!$D:$D, BU$6)</f>
        <v>0.71093129266241195</v>
      </c>
      <c r="BV16" s="1111">
        <f>BU16</f>
        <v>0.71093129266241195</v>
      </c>
      <c r="BW16" s="1111">
        <f t="shared" si="5"/>
        <v>1.2734247511090699</v>
      </c>
      <c r="BX16" s="1111">
        <f>SUMIFS(NewEmisData!E:E, NewEmisData!$A:$A, $G16, NewEmisData!$B:$B, $A16, NewEmisData!$C:$C, $H16, NewEmisData!$D:$D, BX$6)</f>
        <v>1.2734247511090699</v>
      </c>
      <c r="BY16" s="1111">
        <f>SUMIFS(NewEmisData!F:F, NewEmisData!$A:$A, $G16, NewEmisData!$B:$B, $A16, NewEmisData!$C:$C, $H16, NewEmisData!$D:$D, BY$6)</f>
        <v>0.85962926200607204</v>
      </c>
      <c r="BZ16" s="1111">
        <f>SUMIFS(NewEmisData!G:G, NewEmisData!$A:$A, $G16, NewEmisData!$B:$B, $A16, NewEmisData!$C:$C, $H16, NewEmisData!$D:$D, BZ$6)</f>
        <v>0.40893411947898201</v>
      </c>
      <c r="CA16" s="1111">
        <f>SUMIFS(NewEmisData!H:H, NewEmisData!$A:$A, $G16, NewEmisData!$B:$B, $A16, NewEmisData!$C:$C, $H16, NewEmisData!$D:$D, CA$6)</f>
        <v>0.18002819141014001</v>
      </c>
      <c r="CB16" s="1111">
        <f>SUMIFS(NewEmisData!I:I, NewEmisData!$A:$A, $G16, NewEmisData!$B:$B, $A16, NewEmisData!$C:$C, $H16, NewEmisData!$D:$D, CB$6)</f>
        <v>0.13027199977422399</v>
      </c>
      <c r="CC16" s="1111">
        <f>SUMIFS(NewEmisData!J:J, NewEmisData!$A:$A, $G16, NewEmisData!$B:$B, $A16, NewEmisData!$C:$C, $H16, NewEmisData!$D:$D, CC$6)</f>
        <v>0.11933161730892</v>
      </c>
      <c r="CD16" s="1111">
        <f>SUMIFS(NewEmisData!K:K, NewEmisData!$A:$A, $G16, NewEmisData!$B:$B, $A16, NewEmisData!$C:$C, $H16, NewEmisData!$D:$D, CD$6)</f>
        <v>0.115736737885468</v>
      </c>
      <c r="CE16" s="1111">
        <f>SUMIFS(NewEmisData!L:L, NewEmisData!$A:$A, $G16, NewEmisData!$B:$B, $A16, NewEmisData!$C:$C, $H16, NewEmisData!$D:$D, CE$6)</f>
        <v>0.11570899631981101</v>
      </c>
      <c r="CF16" s="1111">
        <f>SUMIFS(NewEmisData!M:M, NewEmisData!$A:$A, $G16, NewEmisData!$B:$B, $A16, NewEmisData!$C:$C, $H16, NewEmisData!$D:$D, CF$6)</f>
        <v>0.115706029517275</v>
      </c>
      <c r="CG16" s="1111">
        <f t="shared" si="6"/>
        <v>0.115706029517275</v>
      </c>
      <c r="CH16" s="1111">
        <f t="shared" si="7"/>
        <v>2.7041321564936001E-2</v>
      </c>
      <c r="CI16" s="1111">
        <f>SUMIFS(NewEmisData!E:E, NewEmisData!$A:$A, $G16, NewEmisData!$B:$B, $A16, NewEmisData!$C:$C, $H16, NewEmisData!$D:$D, CI$6)</f>
        <v>2.7041321564936001E-2</v>
      </c>
      <c r="CJ16" s="1111">
        <f>SUMIFS(NewEmisData!F:F, NewEmisData!$A:$A, $G16, NewEmisData!$B:$B, $A16, NewEmisData!$C:$C, $H16, NewEmisData!$D:$D, CJ$6)</f>
        <v>2.68548734432397E-2</v>
      </c>
      <c r="CK16" s="1111">
        <f>SUMIFS(NewEmisData!G:G, NewEmisData!$A:$A, $G16, NewEmisData!$B:$B, $A16, NewEmisData!$C:$C, $H16, NewEmisData!$D:$D, CK$6)</f>
        <v>3.1678107064147802E-2</v>
      </c>
      <c r="CL16" s="1111">
        <f>SUMIFS(NewEmisData!H:H, NewEmisData!$A:$A, $G16, NewEmisData!$B:$B, $A16, NewEmisData!$C:$C, $H16, NewEmisData!$D:$D, CL$6)</f>
        <v>3.16916643909044E-2</v>
      </c>
      <c r="CM16" s="1111">
        <f>SUMIFS(NewEmisData!I:I, NewEmisData!$A:$A, $G16, NewEmisData!$B:$B, $A16, NewEmisData!$C:$C, $H16, NewEmisData!$D:$D, CM$6)</f>
        <v>3.16017171085268E-2</v>
      </c>
      <c r="CN16" s="1111">
        <f>SUMIFS(NewEmisData!J:J, NewEmisData!$A:$A, $G16, NewEmisData!$B:$B, $A16, NewEmisData!$C:$C, $H16, NewEmisData!$D:$D, CN$6)</f>
        <v>3.1547836778164702E-2</v>
      </c>
      <c r="CO16" s="1111">
        <f>SUMIFS(NewEmisData!K:K, NewEmisData!$A:$A, $G16, NewEmisData!$B:$B, $A16, NewEmisData!$C:$C, $H16, NewEmisData!$D:$D, CO$6)</f>
        <v>3.1540538757987402E-2</v>
      </c>
      <c r="CP16" s="1111">
        <f>SUMIFS(NewEmisData!L:L, NewEmisData!$A:$A, $G16, NewEmisData!$B:$B, $A16, NewEmisData!$C:$C, $H16, NewEmisData!$D:$D, CP$6)</f>
        <v>3.1538787124503802E-2</v>
      </c>
      <c r="CQ16" s="1111">
        <f>SUMIFS(NewEmisData!M:M, NewEmisData!$A:$A, $G16, NewEmisData!$B:$B, $A16, NewEmisData!$C:$C, $H16, NewEmisData!$D:$D, CQ$6)</f>
        <v>3.1539113108823097E-2</v>
      </c>
      <c r="CR16" s="1111">
        <f t="shared" si="8"/>
        <v>3.1539113108823097E-2</v>
      </c>
      <c r="CS16" s="1111">
        <f t="shared" si="9"/>
        <v>3.8053813200333601E-3</v>
      </c>
      <c r="CT16" s="1111">
        <f>SUMIFS(NewEmisData!E:E, NewEmisData!$A:$A, $G16, NewEmisData!$B:$B, $A16, NewEmisData!$C:$C, $H16, NewEmisData!$D:$D, CT$6)</f>
        <v>3.8053813200333601E-3</v>
      </c>
      <c r="CU16" s="1111">
        <f>SUMIFS(NewEmisData!F:F, NewEmisData!$A:$A, $G16, NewEmisData!$B:$B, $A16, NewEmisData!$C:$C, $H16, NewEmisData!$D:$D, CU$6)</f>
        <v>3.8816671778757802E-3</v>
      </c>
      <c r="CV16" s="1111">
        <f>SUMIFS(NewEmisData!G:G, NewEmisData!$A:$A, $G16, NewEmisData!$B:$B, $A16, NewEmisData!$C:$C, $H16, NewEmisData!$D:$D, CV$6)</f>
        <v>4.8845093825486303E-3</v>
      </c>
      <c r="CW16" s="1111">
        <f>SUMIFS(NewEmisData!H:H, NewEmisData!$A:$A, $G16, NewEmisData!$B:$B, $A16, NewEmisData!$C:$C, $H16, NewEmisData!$D:$D, CW$6)</f>
        <v>4.8845901221928898E-3</v>
      </c>
      <c r="CX16" s="1111">
        <f>SUMIFS(NewEmisData!I:I, NewEmisData!$A:$A, $G16, NewEmisData!$B:$B, $A16, NewEmisData!$C:$C, $H16, NewEmisData!$D:$D, CX$6)</f>
        <v>4.8982998611774697E-3</v>
      </c>
      <c r="CY16" s="1111">
        <f>SUMIFS(NewEmisData!J:J, NewEmisData!$A:$A, $G16, NewEmisData!$B:$B, $A16, NewEmisData!$C:$C, $H16, NewEmisData!$D:$D, CY$6)</f>
        <v>4.9066620573488097E-3</v>
      </c>
      <c r="CZ16" s="1111">
        <f>SUMIFS(NewEmisData!K:K, NewEmisData!$A:$A, $G16, NewEmisData!$B:$B, $A16, NewEmisData!$C:$C, $H16, NewEmisData!$D:$D, CZ$6)</f>
        <v>4.90771522630959E-3</v>
      </c>
      <c r="DA16" s="1111">
        <f>SUMIFS(NewEmisData!L:L, NewEmisData!$A:$A, $G16, NewEmisData!$B:$B, $A16, NewEmisData!$C:$C, $H16, NewEmisData!$D:$D, DA$6)</f>
        <v>4.90797605756731E-3</v>
      </c>
      <c r="DB16" s="1111">
        <f>SUMIFS(NewEmisData!M:M, NewEmisData!$A:$A, $G16, NewEmisData!$B:$B, $A16, NewEmisData!$C:$C, $H16, NewEmisData!$D:$D, DB$6)</f>
        <v>4.9079610813754703E-3</v>
      </c>
      <c r="DC16" s="1111">
        <f>DB16</f>
        <v>4.9079610813754703E-3</v>
      </c>
      <c r="DD16" s="1111"/>
      <c r="DE16" s="1111"/>
      <c r="DF16" s="1111"/>
      <c r="DG16" s="1111"/>
      <c r="DH16" s="1111"/>
      <c r="DI16" s="1111"/>
      <c r="DJ16" s="1111"/>
      <c r="DK16" s="1111"/>
      <c r="DL16" s="1111"/>
      <c r="DM16" s="1111"/>
      <c r="DN16" s="1111"/>
      <c r="DO16" s="1111"/>
      <c r="DP16" s="1111"/>
      <c r="DQ16" s="1111"/>
      <c r="DR16" s="1111"/>
      <c r="DS16" s="1111"/>
      <c r="DT16" s="1111"/>
      <c r="DU16" s="1111"/>
      <c r="DV16" s="1111"/>
      <c r="DW16" s="1111"/>
      <c r="DX16" s="1111"/>
      <c r="DY16" s="1111"/>
      <c r="DZ16" s="1111">
        <f>EA16</f>
        <v>2.3788532853898401E-2</v>
      </c>
      <c r="EA16" s="1111">
        <f>SUMIFS(NewEmisData!E:E, NewEmisData!$A:$A, $G16, NewEmisData!$B:$B, $A16, NewEmisData!$C:$C, $H16, NewEmisData!$D:$D, EA$6)</f>
        <v>2.3788532853898401E-2</v>
      </c>
      <c r="EB16" s="1111">
        <f>SUMIFS(NewEmisData!F:F, NewEmisData!$A:$A, $G16, NewEmisData!$B:$B, $A16, NewEmisData!$C:$C, $H16, NewEmisData!$D:$D, EB$6)</f>
        <v>5.06232638400895E-2</v>
      </c>
      <c r="EC16" s="1111">
        <f>SUMIFS(NewEmisData!G:G, NewEmisData!$A:$A, $G16, NewEmisData!$B:$B, $A16, NewEmisData!$C:$C, $H16, NewEmisData!$D:$D, EC$6)</f>
        <v>8.7009713960661303E-2</v>
      </c>
      <c r="ED16" s="1111">
        <f>SUMIFS(NewEmisData!H:H, NewEmisData!$A:$A, $G16, NewEmisData!$B:$B, $A16, NewEmisData!$C:$C, $H16, NewEmisData!$D:$D, ED$6)</f>
        <v>9.5942830597456105E-2</v>
      </c>
      <c r="EE16" s="1111">
        <f>SUMIFS(NewEmisData!I:I, NewEmisData!$A:$A, $G16, NewEmisData!$B:$B, $A16, NewEmisData!$C:$C, $H16, NewEmisData!$D:$D, EE$6)</f>
        <v>9.3344720302396503E-2</v>
      </c>
      <c r="EF16" s="1111">
        <f>SUMIFS(NewEmisData!J:J, NewEmisData!$A:$A, $G16, NewEmisData!$B:$B, $A16, NewEmisData!$C:$C, $H16, NewEmisData!$D:$D, EF$6)</f>
        <v>9.3797490813894005E-2</v>
      </c>
      <c r="EG16" s="1111">
        <f>SUMIFS(NewEmisData!K:K, NewEmisData!$A:$A, $G16, NewEmisData!$B:$B, $A16, NewEmisData!$C:$C, $H16, NewEmisData!$D:$D, EG$6)</f>
        <v>9.3753547263910497E-2</v>
      </c>
      <c r="EH16" s="1111">
        <f>SUMIFS(NewEmisData!L:L, NewEmisData!$A:$A, $G16, NewEmisData!$B:$B, $A16, NewEmisData!$C:$C, $H16, NewEmisData!$D:$D, EH$6)</f>
        <v>9.3744088393244801E-2</v>
      </c>
      <c r="EI16" s="1111">
        <f>SUMIFS(NewEmisData!M:M, NewEmisData!$A:$A, $G16, NewEmisData!$B:$B, $A16, NewEmisData!$C:$C, $H16, NewEmisData!$D:$D, EI$6)</f>
        <v>9.3743919124561703E-2</v>
      </c>
      <c r="EJ16" s="1111">
        <f>EI16</f>
        <v>9.3743919124561703E-2</v>
      </c>
      <c r="EK16" s="1111">
        <f>EL16</f>
        <v>1790.56535119264</v>
      </c>
      <c r="EL16" s="1111">
        <f t="shared" si="10"/>
        <v>1790.56535119264</v>
      </c>
      <c r="EM16" s="1111">
        <f t="shared" si="21"/>
        <v>1706.0851984819999</v>
      </c>
      <c r="EN16" s="1111">
        <f t="shared" si="21"/>
        <v>1916.4119570956</v>
      </c>
      <c r="EO16" s="1111">
        <f t="shared" si="21"/>
        <v>1866.18041191016</v>
      </c>
      <c r="EP16" s="1111">
        <f t="shared" si="21"/>
        <v>1811.71928124037</v>
      </c>
      <c r="EQ16" s="1111">
        <f t="shared" si="21"/>
        <v>1782.46239941771</v>
      </c>
      <c r="ER16" s="1111">
        <f t="shared" si="21"/>
        <v>1777.87090074862</v>
      </c>
      <c r="ES16" s="1111">
        <f t="shared" si="21"/>
        <v>1776.69085043776</v>
      </c>
      <c r="ET16" s="1111">
        <f t="shared" si="21"/>
        <v>1776.5151337741499</v>
      </c>
      <c r="EU16" s="1111">
        <f t="shared" si="21"/>
        <v>1776.5151337741499</v>
      </c>
      <c r="EV16" s="1111">
        <f>EW16</f>
        <v>16.722091046014601</v>
      </c>
      <c r="EW16" s="1111">
        <f>U16</f>
        <v>16.722091046014601</v>
      </c>
      <c r="EX16" s="1111">
        <f t="shared" si="22"/>
        <v>9.0752835435872505</v>
      </c>
      <c r="EY16" s="1111">
        <f t="shared" si="22"/>
        <v>4.5245768386744603</v>
      </c>
      <c r="EZ16" s="1111">
        <f t="shared" si="22"/>
        <v>2.5948057206972099</v>
      </c>
      <c r="FA16" s="1111">
        <f t="shared" si="22"/>
        <v>1.7233209257637201</v>
      </c>
      <c r="FB16" s="1111">
        <f t="shared" si="22"/>
        <v>1.5952418098202701</v>
      </c>
      <c r="FC16" s="1111">
        <f t="shared" si="22"/>
        <v>1.5343950737018299</v>
      </c>
      <c r="FD16" s="1111">
        <f t="shared" si="22"/>
        <v>1.53213591619592</v>
      </c>
      <c r="FE16" s="1111">
        <f t="shared" si="22"/>
        <v>1.5313515267339699</v>
      </c>
      <c r="FF16" s="1111">
        <f t="shared" si="22"/>
        <v>1.5313515267339699</v>
      </c>
      <c r="FG16" s="1111">
        <f t="shared" si="23"/>
        <v>4.4119301126388497E-2</v>
      </c>
      <c r="FH16" s="1111">
        <f t="shared" si="24"/>
        <v>4.4119301126388497E-2</v>
      </c>
      <c r="FI16" s="1111">
        <f t="shared" si="24"/>
        <v>4.1262348975755703E-2</v>
      </c>
      <c r="FJ16" s="1111">
        <f t="shared" si="24"/>
        <v>1.6180608348462199E-2</v>
      </c>
      <c r="FK16" s="1111">
        <f t="shared" si="24"/>
        <v>1.5603448697606799E-2</v>
      </c>
      <c r="FL16" s="1111">
        <f t="shared" si="24"/>
        <v>1.51144360777349E-2</v>
      </c>
      <c r="FM16" s="1111">
        <f t="shared" si="24"/>
        <v>1.48632492208765E-2</v>
      </c>
      <c r="FN16" s="1111">
        <f t="shared" si="24"/>
        <v>1.48223265055839E-2</v>
      </c>
      <c r="FO16" s="1111">
        <f t="shared" si="24"/>
        <v>1.4812489715302499E-2</v>
      </c>
      <c r="FP16" s="1111">
        <f t="shared" si="24"/>
        <v>1.4811022783827199E-2</v>
      </c>
      <c r="FQ16" s="1111">
        <f t="shared" si="24"/>
        <v>1.4811022783827199E-2</v>
      </c>
      <c r="FR16" s="1111">
        <f t="shared" si="25"/>
        <v>1.28818009730681</v>
      </c>
      <c r="FS16" s="1111">
        <f t="shared" si="26"/>
        <v>1.28818009730681</v>
      </c>
      <c r="FT16" s="1111">
        <f t="shared" si="27"/>
        <v>0.82680779710365904</v>
      </c>
      <c r="FU16" s="1111">
        <f t="shared" si="28"/>
        <v>0.60179805225314997</v>
      </c>
      <c r="FV16" s="1111">
        <f t="shared" si="29"/>
        <v>0.46595581954183302</v>
      </c>
      <c r="FW16" s="1111">
        <f t="shared" si="30"/>
        <v>0.42951735045103701</v>
      </c>
      <c r="FX16" s="1111">
        <f t="shared" si="31"/>
        <v>0.41980468763527201</v>
      </c>
      <c r="FY16" s="1111">
        <f t="shared" si="32"/>
        <v>0.41759644007116198</v>
      </c>
      <c r="FZ16" s="1111">
        <f t="shared" si="33"/>
        <v>0.41747064951560697</v>
      </c>
      <c r="GA16" s="1111">
        <f t="shared" si="34"/>
        <v>0.41748018000731701</v>
      </c>
      <c r="GB16" s="1111">
        <f t="shared" si="35"/>
        <v>0.41748018000731701</v>
      </c>
      <c r="GC16" s="1111">
        <f t="shared" si="15"/>
        <v>0.93126594217890002</v>
      </c>
      <c r="GD16" s="1111">
        <f t="shared" si="36"/>
        <v>0.93126594217890002</v>
      </c>
      <c r="GE16" s="1111">
        <f t="shared" si="36"/>
        <v>0.51703307471742999</v>
      </c>
      <c r="GF16" s="1111">
        <f t="shared" si="36"/>
        <v>0.24432975283286401</v>
      </c>
      <c r="GG16" s="1111">
        <f t="shared" si="36"/>
        <v>0.11886455572614001</v>
      </c>
      <c r="GH16" s="1111">
        <f t="shared" si="36"/>
        <v>8.9573048763309293E-2</v>
      </c>
      <c r="GI16" s="1111">
        <f t="shared" si="36"/>
        <v>8.3197971818451094E-2</v>
      </c>
      <c r="GJ16" s="1111">
        <f t="shared" si="36"/>
        <v>8.15020489665223E-2</v>
      </c>
      <c r="GK16" s="1111">
        <f t="shared" si="36"/>
        <v>8.1467138980072906E-2</v>
      </c>
      <c r="GL16" s="1111">
        <f t="shared" si="36"/>
        <v>8.1466979548160803E-2</v>
      </c>
      <c r="GM16" s="1111">
        <f t="shared" si="36"/>
        <v>8.1466979548160803E-2</v>
      </c>
    </row>
    <row r="17" spans="1:195" x14ac:dyDescent="0.2">
      <c r="A17" s="1071" t="str">
        <f>TechData!A12</f>
        <v>*</v>
      </c>
      <c r="B17" s="1071" t="str">
        <f>TechData!B12</f>
        <v>TBGSLE</v>
      </c>
      <c r="C17" s="1071" t="str">
        <f>TechData!C12</f>
        <v>Bus, Exisiting Gasoline</v>
      </c>
      <c r="D17" s="1071" t="str">
        <f>TechData!D12</f>
        <v>bn-vmt, bn-vmt/a</v>
      </c>
      <c r="E17" s="1071" t="str">
        <f>TechData!E12</f>
        <v>TBGSL</v>
      </c>
      <c r="F17" s="1071" t="str">
        <f>TechData!F12</f>
        <v>TB</v>
      </c>
      <c r="G17" s="1110" t="s">
        <v>498</v>
      </c>
      <c r="H17" s="1111" t="s">
        <v>500</v>
      </c>
      <c r="I17" s="1112">
        <v>1</v>
      </c>
      <c r="J17" s="1111" t="str">
        <f t="shared" ref="J17:J203" si="37">CONCATENATE(G17,"-",H17)</f>
        <v>Bus-GSL</v>
      </c>
      <c r="K17" s="1111">
        <v>1100.370166175647</v>
      </c>
      <c r="L17" s="1111">
        <v>1141.562411905953</v>
      </c>
      <c r="M17" s="1111">
        <v>1140.1719607070409</v>
      </c>
      <c r="N17" s="1111">
        <v>1129.3468179442141</v>
      </c>
      <c r="O17" s="1111">
        <v>1112.2450932811207</v>
      </c>
      <c r="P17" s="1111">
        <v>1112.2612618835699</v>
      </c>
      <c r="Q17" s="1111">
        <v>1112.3647502571343</v>
      </c>
      <c r="R17" s="1111">
        <v>1112.439741848757</v>
      </c>
      <c r="S17" s="1111">
        <v>1112.4465850255544</v>
      </c>
      <c r="T17" s="1111">
        <f t="shared" si="17"/>
        <v>1112.4465850255544</v>
      </c>
      <c r="U17" s="1111">
        <v>3.3846955333800324</v>
      </c>
      <c r="V17" s="1111">
        <v>2.0202982474870854</v>
      </c>
      <c r="W17" s="1111">
        <v>0.59996027514353323</v>
      </c>
      <c r="X17" s="1111">
        <v>0.47030976378814404</v>
      </c>
      <c r="Y17" s="1111">
        <v>0.46863135635518083</v>
      </c>
      <c r="Z17" s="1111">
        <v>0.46829110108000649</v>
      </c>
      <c r="AA17" s="1111">
        <v>0.46799934184630132</v>
      </c>
      <c r="AB17" s="1111">
        <v>0.4681926270336465</v>
      </c>
      <c r="AC17" s="1111">
        <v>0.46839086328264751</v>
      </c>
      <c r="AD17" s="1111">
        <f t="shared" si="18"/>
        <v>0.46839086328264751</v>
      </c>
      <c r="AE17" s="1111">
        <v>6.0317294849727386E-2</v>
      </c>
      <c r="AF17" s="1111">
        <v>2.6531510240003501E-2</v>
      </c>
      <c r="AG17" s="1111">
        <v>2.1234494859228962E-2</v>
      </c>
      <c r="AH17" s="1111">
        <v>7.2444708140047241E-3</v>
      </c>
      <c r="AI17" s="1111">
        <v>7.1756917293561828E-3</v>
      </c>
      <c r="AJ17" s="1111">
        <v>7.067028905106216E-3</v>
      </c>
      <c r="AK17" s="1111">
        <v>7.067131727629618E-3</v>
      </c>
      <c r="AL17" s="1111">
        <v>7.0677892275515857E-3</v>
      </c>
      <c r="AM17" s="1111">
        <v>7.0682665093272298E-3</v>
      </c>
      <c r="AN17" s="1111">
        <v>7.0683095060698449E-3</v>
      </c>
      <c r="AO17" s="1111">
        <v>7.0683095060698449E-3</v>
      </c>
      <c r="AP17" s="1111">
        <v>0.15633016806233588</v>
      </c>
      <c r="AQ17" s="1111">
        <v>0.1384042960831311</v>
      </c>
      <c r="AR17" s="1111">
        <v>0.12651125712377456</v>
      </c>
      <c r="AS17" s="1111">
        <v>0.12424633358111933</v>
      </c>
      <c r="AT17" s="1111">
        <v>0.12551945473710377</v>
      </c>
      <c r="AU17" s="1111">
        <v>0.12521491140872443</v>
      </c>
      <c r="AV17" s="1111">
        <v>0.12520915371374353</v>
      </c>
      <c r="AW17" s="1111">
        <v>0.12515658612276043</v>
      </c>
      <c r="AX17" s="1111">
        <v>0.12519976880919395</v>
      </c>
      <c r="AY17" s="1111">
        <v>0.12523778021900278</v>
      </c>
      <c r="AZ17" s="1111">
        <v>0.12523778021900278</v>
      </c>
      <c r="BA17" s="1111">
        <v>6.7068283361440731E-2</v>
      </c>
      <c r="BB17" s="1111">
        <v>4.8773931657629631E-2</v>
      </c>
      <c r="BC17" s="1111">
        <v>3.4470480242165334E-2</v>
      </c>
      <c r="BD17" s="1111">
        <v>3.0618469865067017E-2</v>
      </c>
      <c r="BE17" s="1111">
        <v>3.0867703188886618E-2</v>
      </c>
      <c r="BF17" s="1111">
        <v>3.0752610036517601E-2</v>
      </c>
      <c r="BG17" s="1111">
        <v>3.0749865927843248E-2</v>
      </c>
      <c r="BH17" s="1111">
        <v>3.0697573276938273E-2</v>
      </c>
      <c r="BI17" s="1111">
        <v>3.0729729205686153E-2</v>
      </c>
      <c r="BJ17" s="1111">
        <v>3.0762880208338957E-2</v>
      </c>
      <c r="BK17" s="1111">
        <v>3.0762880208338957E-2</v>
      </c>
      <c r="BL17" s="1111">
        <v>76.185547911056716</v>
      </c>
      <c r="BM17" s="1111">
        <v>48.500508605189211</v>
      </c>
      <c r="BN17" s="1111">
        <v>24.323491366519431</v>
      </c>
      <c r="BO17" s="1111">
        <v>17.796945560256166</v>
      </c>
      <c r="BP17" s="1111">
        <v>16.358449847612711</v>
      </c>
      <c r="BQ17" s="1111">
        <v>16.505331578274753</v>
      </c>
      <c r="BR17" s="1111">
        <v>16.567336226713458</v>
      </c>
      <c r="BS17" s="1111">
        <v>16.698974082606146</v>
      </c>
      <c r="BT17" s="1111">
        <v>16.648153087648542</v>
      </c>
      <c r="BU17" s="1111">
        <v>16.594422212724204</v>
      </c>
      <c r="BV17" s="1111">
        <v>16.594422212724204</v>
      </c>
      <c r="BW17" s="1111">
        <v>2.6198909273721807</v>
      </c>
      <c r="BX17" s="1111">
        <v>1.8094308823999514</v>
      </c>
      <c r="BY17" s="1111">
        <v>1.0596935609856661</v>
      </c>
      <c r="BZ17" s="1111">
        <v>0.70587186337444263</v>
      </c>
      <c r="CA17" s="1111">
        <v>0.64187518583936676</v>
      </c>
      <c r="CB17" s="1111">
        <v>0.63006366266886205</v>
      </c>
      <c r="CC17" s="1111">
        <v>0.62759152633681048</v>
      </c>
      <c r="CD17" s="1111">
        <v>0.61961875533897437</v>
      </c>
      <c r="CE17" s="1111">
        <v>0.62328264270673506</v>
      </c>
      <c r="CF17" s="1111">
        <v>0.62769695732137643</v>
      </c>
      <c r="CG17" s="1111">
        <v>0.62769695732137643</v>
      </c>
      <c r="CH17" s="1111">
        <v>3.3966802169590853E-2</v>
      </c>
      <c r="CI17" s="1111">
        <v>3.4102778543820683E-2</v>
      </c>
      <c r="CJ17" s="1111">
        <v>3.4302608717065967E-2</v>
      </c>
      <c r="CK17" s="1111">
        <v>3.4395252013303276E-2</v>
      </c>
      <c r="CL17" s="1111">
        <v>3.4437269683052357E-2</v>
      </c>
      <c r="CM17" s="1111">
        <v>3.4428031039831684E-2</v>
      </c>
      <c r="CN17" s="1111">
        <v>3.4427915115654226E-2</v>
      </c>
      <c r="CO17" s="1111">
        <v>3.4428202700883849E-2</v>
      </c>
      <c r="CP17" s="1111">
        <v>3.4428498619048141E-2</v>
      </c>
      <c r="CQ17" s="1111">
        <v>3.442852640699072E-2</v>
      </c>
      <c r="CR17" s="1111">
        <v>3.442852640699072E-2</v>
      </c>
      <c r="CS17" s="1111">
        <v>4.826759489838766</v>
      </c>
      <c r="CT17" s="1111">
        <v>3.3846955333800324</v>
      </c>
      <c r="CU17" s="1111">
        <v>2.0202982474870854</v>
      </c>
      <c r="CV17" s="1111">
        <v>0.59996027514353323</v>
      </c>
      <c r="CW17" s="1111">
        <v>0.47030976378814404</v>
      </c>
      <c r="CX17" s="1111">
        <v>0.46863135635518083</v>
      </c>
      <c r="CY17" s="1111">
        <v>0.46829110108000649</v>
      </c>
      <c r="CZ17" s="1111">
        <v>0.46799934184630132</v>
      </c>
      <c r="DA17" s="1111">
        <v>0.4681926270336465</v>
      </c>
      <c r="DB17" s="1111">
        <v>0.46839086328264751</v>
      </c>
      <c r="DC17" s="1111">
        <v>0.46839086328264751</v>
      </c>
      <c r="DD17" s="1111">
        <v>1.0291621337325101E-2</v>
      </c>
      <c r="DE17" s="1111">
        <v>6.6686610759501535E-3</v>
      </c>
      <c r="DF17" s="1111">
        <v>3.6473282716375116E-3</v>
      </c>
      <c r="DG17" s="1111">
        <v>2.972070777297373E-3</v>
      </c>
      <c r="DH17" s="1111">
        <v>2.9226502847755614E-3</v>
      </c>
      <c r="DI17" s="1111">
        <v>2.9089514547663E-3</v>
      </c>
      <c r="DJ17" s="1111">
        <v>2.9092113704078811E-3</v>
      </c>
      <c r="DK17" s="1111">
        <v>2.8975850758474124E-3</v>
      </c>
      <c r="DL17" s="1111">
        <v>2.9042038293623988E-3</v>
      </c>
      <c r="DM17" s="1111">
        <v>2.9115978845964019E-3</v>
      </c>
      <c r="DN17" s="1111">
        <v>2.9115978845964019E-3</v>
      </c>
      <c r="DO17" s="1111">
        <v>3.0170273833272372E-2</v>
      </c>
      <c r="DP17" s="1111">
        <v>2.022709336131617E-2</v>
      </c>
      <c r="DQ17" s="1111">
        <v>1.2002285904841623E-2</v>
      </c>
      <c r="DR17" s="1111">
        <v>9.6817029717321448E-3</v>
      </c>
      <c r="DS17" s="1111">
        <v>9.7711088030522156E-3</v>
      </c>
      <c r="DT17" s="1111">
        <v>9.719791194307317E-3</v>
      </c>
      <c r="DU17" s="1111">
        <v>9.7179606203045294E-3</v>
      </c>
      <c r="DV17" s="1111">
        <v>9.6880176967191617E-3</v>
      </c>
      <c r="DW17" s="1111">
        <v>9.7054734516733767E-3</v>
      </c>
      <c r="DX17" s="1111">
        <v>9.7238903978675243E-3</v>
      </c>
      <c r="DY17" s="1111">
        <v>9.7238903978675243E-3</v>
      </c>
      <c r="DZ17" s="1111">
        <v>0.11449072661060755</v>
      </c>
      <c r="EA17" s="1111">
        <v>4.3254566446944399E-2</v>
      </c>
      <c r="EB17" s="1111">
        <v>2.0249800080184534E-2</v>
      </c>
      <c r="EC17" s="1111">
        <v>1.7837730750117891E-2</v>
      </c>
      <c r="ED17" s="1111">
        <v>1.7122018877200419E-2</v>
      </c>
      <c r="EE17" s="1111">
        <v>1.7333087102176341E-2</v>
      </c>
      <c r="EF17" s="1111">
        <v>1.7377111982113797E-2</v>
      </c>
      <c r="EG17" s="1111">
        <v>1.7427424491811092E-2</v>
      </c>
      <c r="EH17" s="1111">
        <v>1.7413473955009071E-2</v>
      </c>
      <c r="EI17" s="1111">
        <v>1.7403045233987315E-2</v>
      </c>
      <c r="EJ17" s="1111">
        <v>1.7403045233987315E-2</v>
      </c>
      <c r="EK17" s="1111">
        <v>1065.4883444136822</v>
      </c>
      <c r="EL17" s="1111">
        <f t="shared" si="10"/>
        <v>1100.370166175647</v>
      </c>
      <c r="EM17" s="1111">
        <f t="shared" si="21"/>
        <v>1141.562411905953</v>
      </c>
      <c r="EN17" s="1111">
        <f t="shared" si="21"/>
        <v>1140.1719607070409</v>
      </c>
      <c r="EO17" s="1111">
        <f t="shared" si="21"/>
        <v>1129.3468179442141</v>
      </c>
      <c r="EP17" s="1111">
        <f t="shared" si="21"/>
        <v>1112.2450932811207</v>
      </c>
      <c r="EQ17" s="1111">
        <f t="shared" si="21"/>
        <v>1112.2612618835699</v>
      </c>
      <c r="ER17" s="1111">
        <f t="shared" si="21"/>
        <v>1112.3647502571343</v>
      </c>
      <c r="ES17" s="1111">
        <f t="shared" si="21"/>
        <v>1112.439741848757</v>
      </c>
      <c r="ET17" s="1111">
        <f t="shared" si="21"/>
        <v>1112.4465850255544</v>
      </c>
      <c r="EU17" s="1111">
        <f t="shared" si="21"/>
        <v>1112.4465850255544</v>
      </c>
      <c r="EV17" s="1111">
        <v>4.826759489838766</v>
      </c>
      <c r="EW17" s="1111">
        <f t="shared" ref="EW17:EW92" si="38">U17</f>
        <v>3.3846955333800324</v>
      </c>
      <c r="EX17" s="1111">
        <f t="shared" ref="EX17:EX92" si="39">V17</f>
        <v>2.0202982474870854</v>
      </c>
      <c r="EY17" s="1111">
        <f t="shared" ref="EY17:EY92" si="40">W17</f>
        <v>0.59996027514353323</v>
      </c>
      <c r="EZ17" s="1111">
        <f t="shared" ref="EZ17:EZ92" si="41">X17</f>
        <v>0.47030976378814404</v>
      </c>
      <c r="FA17" s="1111">
        <f t="shared" ref="FA17:FA92" si="42">Y17</f>
        <v>0.46863135635518083</v>
      </c>
      <c r="FB17" s="1111">
        <f t="shared" ref="FB17:FB92" si="43">Z17</f>
        <v>0.46829110108000649</v>
      </c>
      <c r="FC17" s="1111">
        <f t="shared" ref="FC17:FC92" si="44">AA17</f>
        <v>0.46799934184630132</v>
      </c>
      <c r="FD17" s="1111">
        <f t="shared" ref="FD17:FD92" si="45">AB17</f>
        <v>0.4681926270336465</v>
      </c>
      <c r="FE17" s="1111">
        <f t="shared" ref="FE17:FE92" si="46">AC17</f>
        <v>0.46839086328264751</v>
      </c>
      <c r="FF17" s="1111">
        <f t="shared" ref="FF17:FF92" si="47">AD17</f>
        <v>0.46839086328264751</v>
      </c>
      <c r="FG17" s="1111">
        <v>6.0317294849727386E-2</v>
      </c>
      <c r="FH17" s="1111">
        <v>2.6531510240003501E-2</v>
      </c>
      <c r="FI17" s="1111">
        <v>2.1234494859228962E-2</v>
      </c>
      <c r="FJ17" s="1111">
        <v>7.2444708140047241E-3</v>
      </c>
      <c r="FK17" s="1111">
        <v>7.1756917293561828E-3</v>
      </c>
      <c r="FL17" s="1111">
        <v>7.067028905106216E-3</v>
      </c>
      <c r="FM17" s="1111">
        <v>7.067131727629618E-3</v>
      </c>
      <c r="FN17" s="1111">
        <v>7.0677892275515857E-3</v>
      </c>
      <c r="FO17" s="1111">
        <v>7.0682665093272298E-3</v>
      </c>
      <c r="FP17" s="1111">
        <v>7.0683095060698449E-3</v>
      </c>
      <c r="FQ17" s="1111">
        <v>7.0683095060698449E-3</v>
      </c>
      <c r="FR17" s="1111">
        <f t="shared" si="25"/>
        <v>0.15633016806233588</v>
      </c>
      <c r="FS17" s="1111">
        <f t="shared" si="26"/>
        <v>0.1384042960831311</v>
      </c>
      <c r="FT17" s="1111">
        <f t="shared" si="27"/>
        <v>0.12651125712377456</v>
      </c>
      <c r="FU17" s="1111">
        <f t="shared" si="28"/>
        <v>0.12424633358111933</v>
      </c>
      <c r="FV17" s="1111">
        <f t="shared" si="29"/>
        <v>0.12551945473710377</v>
      </c>
      <c r="FW17" s="1111">
        <f t="shared" si="30"/>
        <v>0.12521491140872443</v>
      </c>
      <c r="FX17" s="1111">
        <f t="shared" si="31"/>
        <v>0.12520915371374353</v>
      </c>
      <c r="FY17" s="1111">
        <f t="shared" si="32"/>
        <v>0.12515658612276043</v>
      </c>
      <c r="FZ17" s="1111">
        <f t="shared" si="33"/>
        <v>0.12519976880919395</v>
      </c>
      <c r="GA17" s="1111">
        <f t="shared" si="34"/>
        <v>0.12523778021900278</v>
      </c>
      <c r="GB17" s="1111">
        <f t="shared" si="35"/>
        <v>0.12523778021900278</v>
      </c>
      <c r="GC17" s="1111">
        <f t="shared" si="15"/>
        <v>6.7068283361440731E-2</v>
      </c>
      <c r="GD17" s="1111">
        <f t="shared" si="36"/>
        <v>4.8773931657629631E-2</v>
      </c>
      <c r="GE17" s="1111">
        <f t="shared" si="36"/>
        <v>3.4470480242165334E-2</v>
      </c>
      <c r="GF17" s="1111">
        <f t="shared" si="36"/>
        <v>3.0618469865067017E-2</v>
      </c>
      <c r="GG17" s="1111">
        <f t="shared" si="36"/>
        <v>3.0867703188886618E-2</v>
      </c>
      <c r="GH17" s="1111">
        <f t="shared" si="36"/>
        <v>3.0752610036517601E-2</v>
      </c>
      <c r="GI17" s="1111">
        <f t="shared" si="36"/>
        <v>3.0749865927843248E-2</v>
      </c>
      <c r="GJ17" s="1111">
        <f t="shared" si="36"/>
        <v>3.0697573276938273E-2</v>
      </c>
      <c r="GK17" s="1111">
        <f t="shared" si="36"/>
        <v>3.0729729205686153E-2</v>
      </c>
      <c r="GL17" s="1111">
        <f t="shared" si="36"/>
        <v>3.0762880208338957E-2</v>
      </c>
      <c r="GM17" s="1111">
        <f t="shared" si="36"/>
        <v>3.0762880208338957E-2</v>
      </c>
    </row>
    <row r="18" spans="1:195" s="265" customFormat="1" x14ac:dyDescent="0.2">
      <c r="A18" s="1071" t="s">
        <v>182</v>
      </c>
      <c r="B18" s="1071" t="str">
        <f>TechData!B13</f>
        <v>TBCNGE</v>
      </c>
      <c r="C18" s="1071" t="str">
        <f>TechData!C13</f>
        <v>Bus, Exisiting CNG</v>
      </c>
      <c r="D18" s="1071" t="str">
        <f>TechData!D13</f>
        <v>bn-vmt, bn-vmt/a</v>
      </c>
      <c r="E18" s="1071" t="str">
        <f>TechData!E13</f>
        <v>TBCNG</v>
      </c>
      <c r="F18" s="1071" t="str">
        <f>TechData!F13</f>
        <v>TB</v>
      </c>
      <c r="G18" s="1113" t="s">
        <v>498</v>
      </c>
      <c r="H18" s="1082" t="s">
        <v>501</v>
      </c>
      <c r="I18" s="1114">
        <v>1</v>
      </c>
      <c r="J18" s="1082" t="str">
        <f t="shared" si="37"/>
        <v>Bus-CNG</v>
      </c>
      <c r="K18" s="1111">
        <f>SUMIFS(NewEmisData!E:E, NewEmisData!$A:$A, $G18, NewEmisData!$B:$B, $A18, NewEmisData!$C:$C, $H18, NewEmisData!$D:$D, K$6)</f>
        <v>1404.3271128133699</v>
      </c>
      <c r="L18" s="1111">
        <f>SUMIFS(NewEmisData!F:F, NewEmisData!$A:$A, $G18, NewEmisData!$B:$B, $A18, NewEmisData!$C:$C, $H18, NewEmisData!$D:$D, L$6)</f>
        <v>1439.6601314125801</v>
      </c>
      <c r="M18" s="1111">
        <f>SUMIFS(NewEmisData!G:G, NewEmisData!$A:$A, $G18, NewEmisData!$B:$B, $A18, NewEmisData!$C:$C, $H18, NewEmisData!$D:$D, M$6)</f>
        <v>1684.18271883701</v>
      </c>
      <c r="N18" s="1111">
        <f>SUMIFS(NewEmisData!H:H, NewEmisData!$A:$A, $G18, NewEmisData!$B:$B, $A18, NewEmisData!$C:$C, $H18, NewEmisData!$D:$D, N$6)</f>
        <v>1650.6602334367401</v>
      </c>
      <c r="O18" s="1111">
        <f>SUMIFS(NewEmisData!I:I, NewEmisData!$A:$A, $G18, NewEmisData!$B:$B, $A18, NewEmisData!$C:$C, $H18, NewEmisData!$D:$D, O$6)</f>
        <v>1642.1438923528999</v>
      </c>
      <c r="P18" s="1111">
        <f>SUMIFS(NewEmisData!J:J, NewEmisData!$A:$A, $G18, NewEmisData!$B:$B, $A18, NewEmisData!$C:$C, $H18, NewEmisData!$D:$D, P$6)</f>
        <v>1626.66978660524</v>
      </c>
      <c r="Q18" s="1111">
        <f>SUMIFS(NewEmisData!K:K, NewEmisData!$A:$A, $G18, NewEmisData!$B:$B, $A18, NewEmisData!$C:$C, $H18, NewEmisData!$D:$D, Q$6)</f>
        <v>1623.30402513322</v>
      </c>
      <c r="R18" s="1111">
        <f>SUMIFS(NewEmisData!L:L, NewEmisData!$A:$A, $G18, NewEmisData!$B:$B, $A18, NewEmisData!$C:$C, $H18, NewEmisData!$D:$D, R$6)</f>
        <v>1623.2520614663099</v>
      </c>
      <c r="S18" s="1111">
        <f>SUMIFS(NewEmisData!M:M, NewEmisData!$A:$A, $G18, NewEmisData!$B:$B, $A18, NewEmisData!$C:$C, $H18, NewEmisData!$D:$D, S$6)</f>
        <v>1623.40710518732</v>
      </c>
      <c r="T18" s="1111">
        <f t="shared" si="17"/>
        <v>1623.40710518732</v>
      </c>
      <c r="U18" s="1111">
        <f>SUMIFS(NewEmisData!E:E, NewEmisData!$A:$A, $G18, NewEmisData!$B:$B, $A18, NewEmisData!$C:$C, $H18, NewEmisData!$D:$D, U$6)</f>
        <v>8.5641579152449303</v>
      </c>
      <c r="V18" s="1111">
        <f>SUMIFS(NewEmisData!F:F, NewEmisData!$A:$A, $G18, NewEmisData!$B:$B, $A18, NewEmisData!$C:$C, $H18, NewEmisData!$D:$D, V$6)</f>
        <v>9.6580110235574494</v>
      </c>
      <c r="W18" s="1111">
        <f>SUMIFS(NewEmisData!G:G, NewEmisData!$A:$A, $G18, NewEmisData!$B:$B, $A18, NewEmisData!$C:$C, $H18, NewEmisData!$D:$D, W$6)</f>
        <v>2.7867389528720699</v>
      </c>
      <c r="X18" s="1111">
        <f>SUMIFS(NewEmisData!H:H, NewEmisData!$A:$A, $G18, NewEmisData!$B:$B, $A18, NewEmisData!$C:$C, $H18, NewEmisData!$D:$D, X$6)</f>
        <v>2.1696941290079601</v>
      </c>
      <c r="Y18" s="1111">
        <f>SUMIFS(NewEmisData!I:I, NewEmisData!$A:$A, $G18, NewEmisData!$B:$B, $A18, NewEmisData!$C:$C, $H18, NewEmisData!$D:$D, Y$6)</f>
        <v>1.9058529098653401</v>
      </c>
      <c r="Z18" s="1111">
        <f>SUMIFS(NewEmisData!J:J, NewEmisData!$A:$A, $G18, NewEmisData!$B:$B, $A18, NewEmisData!$C:$C, $H18, NewEmisData!$D:$D, Z$6)</f>
        <v>1.9715548791583399</v>
      </c>
      <c r="AA18" s="1111">
        <f>SUMIFS(NewEmisData!K:K, NewEmisData!$A:$A, $G18, NewEmisData!$B:$B, $A18, NewEmisData!$C:$C, $H18, NewEmisData!$D:$D, AA$6)</f>
        <v>1.80325718220481</v>
      </c>
      <c r="AB18" s="1111">
        <f>SUMIFS(NewEmisData!L:L, NewEmisData!$A:$A, $G18, NewEmisData!$B:$B, $A18, NewEmisData!$C:$C, $H18, NewEmisData!$D:$D, AB$6)</f>
        <v>1.80325766566259</v>
      </c>
      <c r="AC18" s="1111">
        <f>SUMIFS(NewEmisData!M:M, NewEmisData!$A:$A, $G18, NewEmisData!$B:$B, $A18, NewEmisData!$C:$C, $H18, NewEmisData!$D:$D, AC$6)</f>
        <v>1.80600275766325</v>
      </c>
      <c r="AD18" s="1111">
        <f t="shared" si="18"/>
        <v>1.80600275766325</v>
      </c>
      <c r="AE18" s="1111">
        <f>AF18</f>
        <v>7.0600558638666397E-3</v>
      </c>
      <c r="AF18" s="1111">
        <f>SUMIFS(NewEmisData!E:E, NewEmisData!$A:$A, $G18, NewEmisData!$B:$B, $A18, NewEmisData!$C:$C, $H18, NewEmisData!$D:$D, AF$6)</f>
        <v>7.0600558638666397E-3</v>
      </c>
      <c r="AG18" s="1111">
        <f>SUMIFS(NewEmisData!F:F, NewEmisData!$A:$A, $G18, NewEmisData!$B:$B, $A18, NewEmisData!$C:$C, $H18, NewEmisData!$D:$D, AG$6)</f>
        <v>7.2188807538929303E-3</v>
      </c>
      <c r="AH18" s="1111">
        <f>SUMIFS(NewEmisData!G:G, NewEmisData!$A:$A, $G18, NewEmisData!$B:$B, $A18, NewEmisData!$C:$C, $H18, NewEmisData!$D:$D, AH$6)</f>
        <v>8.9168853601401706E-3</v>
      </c>
      <c r="AI18" s="1111">
        <f>SUMIFS(NewEmisData!H:H, NewEmisData!$A:$A, $G18, NewEmisData!$B:$B, $A18, NewEmisData!$C:$C, $H18, NewEmisData!$D:$D, AI$6)</f>
        <v>8.7394055968140292E-3</v>
      </c>
      <c r="AJ18" s="1111">
        <f>SUMIFS(NewEmisData!I:I, NewEmisData!$A:$A, $G18, NewEmisData!$B:$B, $A18, NewEmisData!$C:$C, $H18, NewEmisData!$D:$D, AJ$6)</f>
        <v>8.6943184966646898E-3</v>
      </c>
      <c r="AK18" s="1111">
        <f>SUMIFS(NewEmisData!J:J, NewEmisData!$A:$A, $G18, NewEmisData!$B:$B, $A18, NewEmisData!$C:$C, $H18, NewEmisData!$D:$D, AK$6)</f>
        <v>8.6123852585138806E-3</v>
      </c>
      <c r="AL18" s="1111">
        <f>SUMIFS(NewEmisData!K:K, NewEmisData!$A:$A, $G18, NewEmisData!$B:$B, $A18, NewEmisData!$C:$C, $H18, NewEmisData!$D:$D, AL$6)</f>
        <v>8.5945646137361408E-3</v>
      </c>
      <c r="AM18" s="1111">
        <f>SUMIFS(NewEmisData!L:L, NewEmisData!$A:$A, $G18, NewEmisData!$B:$B, $A18, NewEmisData!$C:$C, $H18, NewEmisData!$D:$D, AM$6)</f>
        <v>8.5942912264795907E-3</v>
      </c>
      <c r="AN18" s="1111">
        <f>SUMIFS(NewEmisData!M:M, NewEmisData!$A:$A, $G18, NewEmisData!$B:$B, $A18, NewEmisData!$C:$C, $H18, NewEmisData!$D:$D, AN$6)</f>
        <v>8.5951166029417398E-3</v>
      </c>
      <c r="AO18" s="1111">
        <f t="shared" si="19"/>
        <v>8.5951166029417398E-3</v>
      </c>
      <c r="AP18" s="1111">
        <f t="shared" si="2"/>
        <v>0.308686971765607</v>
      </c>
      <c r="AQ18" s="1111">
        <f>SUMIFS(NewEmisData!E:E, NewEmisData!$A:$A, $G18, NewEmisData!$B:$B, $A18, NewEmisData!$C:$C, $H18, NewEmisData!$D:$D, AQ$6)</f>
        <v>0.308686971765607</v>
      </c>
      <c r="AR18" s="1111">
        <f>SUMIFS(NewEmisData!F:F, NewEmisData!$A:$A, $G18, NewEmisData!$B:$B, $A18, NewEmisData!$C:$C, $H18, NewEmisData!$D:$D, AR$6)</f>
        <v>0.3514917426559</v>
      </c>
      <c r="AS18" s="1111">
        <f>SUMIFS(NewEmisData!G:G, NewEmisData!$A:$A, $G18, NewEmisData!$B:$B, $A18, NewEmisData!$C:$C, $H18, NewEmisData!$D:$D, AS$6)</f>
        <v>0.41477994422651598</v>
      </c>
      <c r="AT18" s="1111">
        <f>SUMIFS(NewEmisData!H:H, NewEmisData!$A:$A, $G18, NewEmisData!$B:$B, $A18, NewEmisData!$C:$C, $H18, NewEmisData!$D:$D, AT$6)</f>
        <v>0.41175694437029597</v>
      </c>
      <c r="AU18" s="1111">
        <f>SUMIFS(NewEmisData!I:I, NewEmisData!$A:$A, $G18, NewEmisData!$B:$B, $A18, NewEmisData!$C:$C, $H18, NewEmisData!$D:$D, AU$6)</f>
        <v>0.41302179377238901</v>
      </c>
      <c r="AV18" s="1111">
        <f>SUMIFS(NewEmisData!J:J, NewEmisData!$A:$A, $G18, NewEmisData!$B:$B, $A18, NewEmisData!$C:$C, $H18, NewEmisData!$D:$D, AV$6)</f>
        <v>0.411506559794103</v>
      </c>
      <c r="AW18" s="1111">
        <f>SUMIFS(NewEmisData!K:K, NewEmisData!$A:$A, $G18, NewEmisData!$B:$B, $A18, NewEmisData!$C:$C, $H18, NewEmisData!$D:$D, AW$6)</f>
        <v>0.41104277522581101</v>
      </c>
      <c r="AX18" s="1111">
        <f>SUMIFS(NewEmisData!L:L, NewEmisData!$A:$A, $G18, NewEmisData!$B:$B, $A18, NewEmisData!$C:$C, $H18, NewEmisData!$D:$D, AX$6)</f>
        <v>0.41104274130226698</v>
      </c>
      <c r="AY18" s="1111">
        <f>SUMIFS(NewEmisData!M:M, NewEmisData!$A:$A, $G18, NewEmisData!$B:$B, $A18, NewEmisData!$C:$C, $H18, NewEmisData!$D:$D, AY$6)</f>
        <v>0.41112796490950498</v>
      </c>
      <c r="AZ18" s="1111">
        <f t="shared" si="20"/>
        <v>0.41112796490950498</v>
      </c>
      <c r="BA18" s="1111">
        <f t="shared" si="3"/>
        <v>8.1280068089980395E-2</v>
      </c>
      <c r="BB18" s="1111">
        <f>SUMIFS(NewEmisData!E:E, NewEmisData!$A:$A, $G18, NewEmisData!$B:$B, $A18, NewEmisData!$C:$C, $H18, NewEmisData!$D:$D, BB$6)</f>
        <v>8.1280068089980395E-2</v>
      </c>
      <c r="BC18" s="1111">
        <f>SUMIFS(NewEmisData!F:F, NewEmisData!$A:$A, $G18, NewEmisData!$B:$B, $A18, NewEmisData!$C:$C, $H18, NewEmisData!$D:$D, BC$6)</f>
        <v>0.119146422058294</v>
      </c>
      <c r="BD18" s="1111">
        <f>SUMIFS(NewEmisData!G:G, NewEmisData!$A:$A, $G18, NewEmisData!$B:$B, $A18, NewEmisData!$C:$C, $H18, NewEmisData!$D:$D, BD$6)</f>
        <v>5.78893636806442E-2</v>
      </c>
      <c r="BE18" s="1111">
        <f>SUMIFS(NewEmisData!H:H, NewEmisData!$A:$A, $G18, NewEmisData!$B:$B, $A18, NewEmisData!$C:$C, $H18, NewEmisData!$D:$D, BE$6)</f>
        <v>5.5215677186708403E-2</v>
      </c>
      <c r="BF18" s="1111">
        <f>SUMIFS(NewEmisData!I:I, NewEmisData!$A:$A, $G18, NewEmisData!$B:$B, $A18, NewEmisData!$C:$C, $H18, NewEmisData!$D:$D, BF$6)</f>
        <v>5.6334175336776801E-2</v>
      </c>
      <c r="BG18" s="1111">
        <f>SUMIFS(NewEmisData!J:J, NewEmisData!$A:$A, $G18, NewEmisData!$B:$B, $A18, NewEmisData!$C:$C, $H18, NewEmisData!$D:$D, BG$6)</f>
        <v>5.4993730550411797E-2</v>
      </c>
      <c r="BH18" s="1111">
        <f>SUMIFS(NewEmisData!K:K, NewEmisData!$A:$A, $G18, NewEmisData!$B:$B, $A18, NewEmisData!$C:$C, $H18, NewEmisData!$D:$D, BH$6)</f>
        <v>5.4583411925712401E-2</v>
      </c>
      <c r="BI18" s="1111">
        <f>SUMIFS(NewEmisData!L:L, NewEmisData!$A:$A, $G18, NewEmisData!$B:$B, $A18, NewEmisData!$C:$C, $H18, NewEmisData!$D:$D, BI$6)</f>
        <v>5.4583454840025802E-2</v>
      </c>
      <c r="BJ18" s="1111">
        <f>SUMIFS(NewEmisData!M:M, NewEmisData!$A:$A, $G18, NewEmisData!$B:$B, $A18, NewEmisData!$C:$C, $H18, NewEmisData!$D:$D, BJ$6)</f>
        <v>5.4658632223239703E-2</v>
      </c>
      <c r="BK18" s="1111">
        <f>BJ18</f>
        <v>5.4658632223239703E-2</v>
      </c>
      <c r="BL18" s="1111">
        <f t="shared" si="4"/>
        <v>9.6002010924587093</v>
      </c>
      <c r="BM18" s="1111">
        <f>SUMIFS(NewEmisData!E:E, NewEmisData!$A:$A, $G18, NewEmisData!$B:$B, $A18, NewEmisData!$C:$C, $H18, NewEmisData!$D:$D, BM$6)</f>
        <v>9.6002010924587093</v>
      </c>
      <c r="BN18" s="1111">
        <f>SUMIFS(NewEmisData!F:F, NewEmisData!$A:$A, $G18, NewEmisData!$B:$B, $A18, NewEmisData!$C:$C, $H18, NewEmisData!$D:$D, BN$6)</f>
        <v>12.295523518061101</v>
      </c>
      <c r="BO18" s="1111">
        <f>SUMIFS(NewEmisData!G:G, NewEmisData!$A:$A, $G18, NewEmisData!$B:$B, $A18, NewEmisData!$C:$C, $H18, NewEmisData!$D:$D, BO$6)</f>
        <v>7.0375198956390097</v>
      </c>
      <c r="BP18" s="1111">
        <f>SUMIFS(NewEmisData!H:H, NewEmisData!$A:$A, $G18, NewEmisData!$B:$B, $A18, NewEmisData!$C:$C, $H18, NewEmisData!$D:$D, BP$6)</f>
        <v>8.2046027913723396</v>
      </c>
      <c r="BQ18" s="1111">
        <f>SUMIFS(NewEmisData!I:I, NewEmisData!$A:$A, $G18, NewEmisData!$B:$B, $A18, NewEmisData!$C:$C, $H18, NewEmisData!$D:$D, BQ$6)</f>
        <v>8.4950302260998694</v>
      </c>
      <c r="BR18" s="1111">
        <f>SUMIFS(NewEmisData!J:J, NewEmisData!$A:$A, $G18, NewEmisData!$B:$B, $A18, NewEmisData!$C:$C, $H18, NewEmisData!$D:$D, BR$6)</f>
        <v>8.2450068898439604</v>
      </c>
      <c r="BS18" s="1111">
        <f>SUMIFS(NewEmisData!K:K, NewEmisData!$A:$A, $G18, NewEmisData!$B:$B, $A18, NewEmisData!$C:$C, $H18, NewEmisData!$D:$D, BS$6)</f>
        <v>8.3127507941159706</v>
      </c>
      <c r="BT18" s="1111">
        <f>SUMIFS(NewEmisData!L:L, NewEmisData!$A:$A, $G18, NewEmisData!$B:$B, $A18, NewEmisData!$C:$C, $H18, NewEmisData!$D:$D, BT$6)</f>
        <v>8.3127918839105899</v>
      </c>
      <c r="BU18" s="1111">
        <f>SUMIFS(NewEmisData!M:M, NewEmisData!$A:$A, $G18, NewEmisData!$B:$B, $A18, NewEmisData!$C:$C, $H18, NewEmisData!$D:$D, BU$6)</f>
        <v>8.3693590724444107</v>
      </c>
      <c r="BV18" s="1111">
        <f>BU18</f>
        <v>8.3693590724444107</v>
      </c>
      <c r="BW18" s="1111">
        <f t="shared" si="5"/>
        <v>1.6758131705313</v>
      </c>
      <c r="BX18" s="1111">
        <f>SUMIFS(NewEmisData!E:E, NewEmisData!$A:$A, $G18, NewEmisData!$B:$B, $A18, NewEmisData!$C:$C, $H18, NewEmisData!$D:$D, BX$6)</f>
        <v>1.6758131705313</v>
      </c>
      <c r="BY18" s="1111">
        <f>SUMIFS(NewEmisData!F:F, NewEmisData!$A:$A, $G18, NewEmisData!$B:$B, $A18, NewEmisData!$C:$C, $H18, NewEmisData!$D:$D, BY$6)</f>
        <v>2.1481115710610101</v>
      </c>
      <c r="BZ18" s="1111">
        <f>SUMIFS(NewEmisData!G:G, NewEmisData!$A:$A, $G18, NewEmisData!$B:$B, $A18, NewEmisData!$C:$C, $H18, NewEmisData!$D:$D, BZ$6)</f>
        <v>0.473134078922954</v>
      </c>
      <c r="CA18" s="1111">
        <f>SUMIFS(NewEmisData!H:H, NewEmisData!$A:$A, $G18, NewEmisData!$B:$B, $A18, NewEmisData!$C:$C, $H18, NewEmisData!$D:$D, CA$6)</f>
        <v>0.35719325934370499</v>
      </c>
      <c r="CB18" s="1111">
        <f>SUMIFS(NewEmisData!I:I, NewEmisData!$A:$A, $G18, NewEmisData!$B:$B, $A18, NewEmisData!$C:$C, $H18, NewEmisData!$D:$D, CB$6)</f>
        <v>0.33875927128073402</v>
      </c>
      <c r="CC18" s="1111">
        <f>SUMIFS(NewEmisData!J:J, NewEmisData!$A:$A, $G18, NewEmisData!$B:$B, $A18, NewEmisData!$C:$C, $H18, NewEmisData!$D:$D, CC$6)</f>
        <v>0.32794018119465101</v>
      </c>
      <c r="CD18" s="1111">
        <f>SUMIFS(NewEmisData!K:K, NewEmisData!$A:$A, $G18, NewEmisData!$B:$B, $A18, NewEmisData!$C:$C, $H18, NewEmisData!$D:$D, CD$6)</f>
        <v>0.30584592560252699</v>
      </c>
      <c r="CE18" s="1111">
        <f>SUMIFS(NewEmisData!L:L, NewEmisData!$A:$A, $G18, NewEmisData!$B:$B, $A18, NewEmisData!$C:$C, $H18, NewEmisData!$D:$D, CE$6)</f>
        <v>0.30584880738436099</v>
      </c>
      <c r="CF18" s="1111">
        <f>SUMIFS(NewEmisData!M:M, NewEmisData!$A:$A, $G18, NewEmisData!$B:$B, $A18, NewEmisData!$C:$C, $H18, NewEmisData!$D:$D, CF$6)</f>
        <v>0.30802455669086698</v>
      </c>
      <c r="CG18" s="1111">
        <f t="shared" si="6"/>
        <v>0.30802455669086698</v>
      </c>
      <c r="CH18" s="1111">
        <f t="shared" si="7"/>
        <v>4.2670972902907597E-2</v>
      </c>
      <c r="CI18" s="1111">
        <f>SUMIFS(NewEmisData!E:E, NewEmisData!$A:$A, $G18, NewEmisData!$B:$B, $A18, NewEmisData!$C:$C, $H18, NewEmisData!$D:$D, CI$6)</f>
        <v>4.2670972902907597E-2</v>
      </c>
      <c r="CJ18" s="1111">
        <f>SUMIFS(NewEmisData!F:F, NewEmisData!$A:$A, $G18, NewEmisData!$B:$B, $A18, NewEmisData!$C:$C, $H18, NewEmisData!$D:$D, CJ$6)</f>
        <v>4.2670927259417797E-2</v>
      </c>
      <c r="CK18" s="1111">
        <f>SUMIFS(NewEmisData!G:G, NewEmisData!$A:$A, $G18, NewEmisData!$B:$B, $A18, NewEmisData!$C:$C, $H18, NewEmisData!$D:$D, CK$6)</f>
        <v>6.0175723532765499E-2</v>
      </c>
      <c r="CL18" s="1111">
        <f>SUMIFS(NewEmisData!H:H, NewEmisData!$A:$A, $G18, NewEmisData!$B:$B, $A18, NewEmisData!$C:$C, $H18, NewEmisData!$D:$D, CL$6)</f>
        <v>6.01695414399568E-2</v>
      </c>
      <c r="CM18" s="1111">
        <f>SUMIFS(NewEmisData!I:I, NewEmisData!$A:$A, $G18, NewEmisData!$B:$B, $A18, NewEmisData!$C:$C, $H18, NewEmisData!$D:$D, CM$6)</f>
        <v>6.0167450908081101E-2</v>
      </c>
      <c r="CN18" s="1111">
        <f>SUMIFS(NewEmisData!J:J, NewEmisData!$A:$A, $G18, NewEmisData!$B:$B, $A18, NewEmisData!$C:$C, $H18, NewEmisData!$D:$D, CN$6)</f>
        <v>6.0164712219486001E-2</v>
      </c>
      <c r="CO18" s="1111">
        <f>SUMIFS(NewEmisData!K:K, NewEmisData!$A:$A, $G18, NewEmisData!$B:$B, $A18, NewEmisData!$C:$C, $H18, NewEmisData!$D:$D, CO$6)</f>
        <v>6.0164240366087897E-2</v>
      </c>
      <c r="CP18" s="1111">
        <f>SUMIFS(NewEmisData!L:L, NewEmisData!$A:$A, $G18, NewEmisData!$B:$B, $A18, NewEmisData!$C:$C, $H18, NewEmisData!$D:$D, CP$6)</f>
        <v>6.0164163764798897E-2</v>
      </c>
      <c r="CQ18" s="1111">
        <f>SUMIFS(NewEmisData!M:M, NewEmisData!$A:$A, $G18, NewEmisData!$B:$B, $A18, NewEmisData!$C:$C, $H18, NewEmisData!$D:$D, CQ$6)</f>
        <v>6.0164193249358199E-2</v>
      </c>
      <c r="CR18" s="1111">
        <f t="shared" si="8"/>
        <v>6.0164193249358199E-2</v>
      </c>
      <c r="CS18" s="1111">
        <f t="shared" si="9"/>
        <v>0.183740644616634</v>
      </c>
      <c r="CT18" s="1111">
        <f>SUMIFS(NewEmisData!E:E, NewEmisData!$A:$A, $G18, NewEmisData!$B:$B, $A18, NewEmisData!$C:$C, $H18, NewEmisData!$D:$D, CT$6)</f>
        <v>0.183740644616634</v>
      </c>
      <c r="CU18" s="1111">
        <f>SUMIFS(NewEmisData!F:F, NewEmisData!$A:$A, $G18, NewEmisData!$B:$B, $A18, NewEmisData!$C:$C, $H18, NewEmisData!$D:$D, CU$6)</f>
        <v>0.16180582571136101</v>
      </c>
      <c r="CV18" s="1111">
        <f>SUMIFS(NewEmisData!G:G, NewEmisData!$A:$A, $G18, NewEmisData!$B:$B, $A18, NewEmisData!$C:$C, $H18, NewEmisData!$D:$D, CV$6)</f>
        <v>0.18955111286908199</v>
      </c>
      <c r="CW18" s="1111">
        <f>SUMIFS(NewEmisData!H:H, NewEmisData!$A:$A, $G18, NewEmisData!$B:$B, $A18, NewEmisData!$C:$C, $H18, NewEmisData!$D:$D, CW$6)</f>
        <v>0.19191147173666101</v>
      </c>
      <c r="CX18" s="1111">
        <f>SUMIFS(NewEmisData!I:I, NewEmisData!$A:$A, $G18, NewEmisData!$B:$B, $A18, NewEmisData!$C:$C, $H18, NewEmisData!$D:$D, CX$6)</f>
        <v>0.19303868220418799</v>
      </c>
      <c r="CY18" s="1111">
        <f>SUMIFS(NewEmisData!J:J, NewEmisData!$A:$A, $G18, NewEmisData!$B:$B, $A18, NewEmisData!$C:$C, $H18, NewEmisData!$D:$D, CY$6)</f>
        <v>0.19351598474610199</v>
      </c>
      <c r="CZ18" s="1111">
        <f>SUMIFS(NewEmisData!K:K, NewEmisData!$A:$A, $G18, NewEmisData!$B:$B, $A18, NewEmisData!$C:$C, $H18, NewEmisData!$D:$D, CZ$6)</f>
        <v>0.191854404911007</v>
      </c>
      <c r="DA18" s="1111">
        <f>SUMIFS(NewEmisData!L:L, NewEmisData!$A:$A, $G18, NewEmisData!$B:$B, $A18, NewEmisData!$C:$C, $H18, NewEmisData!$D:$D, DA$6)</f>
        <v>0.19185262658754099</v>
      </c>
      <c r="DB18" s="1111">
        <f>SUMIFS(NewEmisData!M:M, NewEmisData!$A:$A, $G18, NewEmisData!$B:$B, $A18, NewEmisData!$C:$C, $H18, NewEmisData!$D:$D, DB$6)</f>
        <v>0.19312216871318899</v>
      </c>
      <c r="DC18" s="1111">
        <f>DB18</f>
        <v>0.19312216871318899</v>
      </c>
      <c r="DD18" s="1082">
        <v>9.838732208669888E-3</v>
      </c>
      <c r="DE18" s="1082">
        <v>5.4030262224081206E-3</v>
      </c>
      <c r="DF18" s="1082">
        <v>1.0487650130616144E-3</v>
      </c>
      <c r="DG18" s="1082">
        <v>2.7510109386332459E-4</v>
      </c>
      <c r="DH18" s="1082">
        <v>2.5415063000549772E-4</v>
      </c>
      <c r="DI18" s="1082">
        <v>2.539715317459818E-4</v>
      </c>
      <c r="DJ18" s="1082">
        <v>2.5405818908282566E-4</v>
      </c>
      <c r="DK18" s="1082">
        <v>2.5405483284236455E-4</v>
      </c>
      <c r="DL18" s="1082">
        <v>2.541202717389235E-4</v>
      </c>
      <c r="DM18" s="1082">
        <v>2.5415899051356336E-4</v>
      </c>
      <c r="DN18" s="1082">
        <v>2.5415899051356336E-4</v>
      </c>
      <c r="DO18" s="1082">
        <v>3.9260593703563405E-2</v>
      </c>
      <c r="DP18" s="1082">
        <v>2.1413986260209197E-2</v>
      </c>
      <c r="DQ18" s="1082">
        <v>3.9500309260564132E-3</v>
      </c>
      <c r="DR18" s="1082">
        <v>9.2680125243411614E-4</v>
      </c>
      <c r="DS18" s="1082">
        <v>8.5622412783254245E-4</v>
      </c>
      <c r="DT18" s="1082">
        <v>8.5562086259629222E-4</v>
      </c>
      <c r="DU18" s="1082">
        <v>8.559127463082085E-4</v>
      </c>
      <c r="DV18" s="1082">
        <v>8.5590141612128148E-4</v>
      </c>
      <c r="DW18" s="1082">
        <v>8.5612191768918251E-4</v>
      </c>
      <c r="DX18" s="1082">
        <v>8.562523688113036E-4</v>
      </c>
      <c r="DY18" s="1082">
        <v>8.562523688113036E-4</v>
      </c>
      <c r="DZ18" s="1111">
        <f>EA18</f>
        <v>16.673115899025799</v>
      </c>
      <c r="EA18" s="1111">
        <f>SUMIFS(NewEmisData!E:E, NewEmisData!$A:$A, $G18, NewEmisData!$B:$B, $A18, NewEmisData!$C:$C, $H18, NewEmisData!$D:$D, EA$6)</f>
        <v>16.673115899025799</v>
      </c>
      <c r="EB18" s="1111">
        <f>SUMIFS(NewEmisData!F:F, NewEmisData!$A:$A, $G18, NewEmisData!$B:$B, $A18, NewEmisData!$C:$C, $H18, NewEmisData!$D:$D, EB$6)</f>
        <v>18.1238089179102</v>
      </c>
      <c r="EC18" s="1111">
        <f>SUMIFS(NewEmisData!G:G, NewEmisData!$A:$A, $G18, NewEmisData!$B:$B, $A18, NewEmisData!$C:$C, $H18, NewEmisData!$D:$D, EC$6)</f>
        <v>7.8929936267624203</v>
      </c>
      <c r="ED18" s="1111">
        <f>SUMIFS(NewEmisData!H:H, NewEmisData!$A:$A, $G18, NewEmisData!$B:$B, $A18, NewEmisData!$C:$C, $H18, NewEmisData!$D:$D, ED$6)</f>
        <v>7.3391360413522797</v>
      </c>
      <c r="EE18" s="1111">
        <f>SUMIFS(NewEmisData!I:I, NewEmisData!$A:$A, $G18, NewEmisData!$B:$B, $A18, NewEmisData!$C:$C, $H18, NewEmisData!$D:$D, EE$6)</f>
        <v>6.56449009849179</v>
      </c>
      <c r="EF18" s="1111">
        <f>SUMIFS(NewEmisData!J:J, NewEmisData!$A:$A, $G18, NewEmisData!$B:$B, $A18, NewEmisData!$C:$C, $H18, NewEmisData!$D:$D, EF$6)</f>
        <v>6.7717132351857101</v>
      </c>
      <c r="EG18" s="1111">
        <f>SUMIFS(NewEmisData!K:K, NewEmisData!$A:$A, $G18, NewEmisData!$B:$B, $A18, NewEmisData!$C:$C, $H18, NewEmisData!$D:$D, EG$6)</f>
        <v>6.3353874772199799</v>
      </c>
      <c r="EH18" s="1111">
        <f>SUMIFS(NewEmisData!L:L, NewEmisData!$A:$A, $G18, NewEmisData!$B:$B, $A18, NewEmisData!$C:$C, $H18, NewEmisData!$D:$D, EH$6)</f>
        <v>6.3354430386428602</v>
      </c>
      <c r="EI18" s="1111">
        <f>SUMIFS(NewEmisData!M:M, NewEmisData!$A:$A, $G18, NewEmisData!$B:$B, $A18, NewEmisData!$C:$C, $H18, NewEmisData!$D:$D, EI$6)</f>
        <v>6.3805145100120502</v>
      </c>
      <c r="EJ18" s="1111">
        <f>EI18</f>
        <v>6.3805145100120502</v>
      </c>
      <c r="EK18" s="1111">
        <f>EL18</f>
        <v>1404.3271128133699</v>
      </c>
      <c r="EL18" s="1111">
        <f t="shared" ref="EL18:EL93" si="48">K18</f>
        <v>1404.3271128133699</v>
      </c>
      <c r="EM18" s="1111">
        <f t="shared" ref="EM18:EM93" si="49">L18</f>
        <v>1439.6601314125801</v>
      </c>
      <c r="EN18" s="1111">
        <f t="shared" ref="EN18:EN93" si="50">M18</f>
        <v>1684.18271883701</v>
      </c>
      <c r="EO18" s="1111">
        <f t="shared" ref="EO18:EO93" si="51">N18</f>
        <v>1650.6602334367401</v>
      </c>
      <c r="EP18" s="1111">
        <f t="shared" ref="EP18:EP93" si="52">O18</f>
        <v>1642.1438923528999</v>
      </c>
      <c r="EQ18" s="1111">
        <f t="shared" ref="EQ18:EQ93" si="53">P18</f>
        <v>1626.66978660524</v>
      </c>
      <c r="ER18" s="1111">
        <f t="shared" ref="ER18:ER93" si="54">Q18</f>
        <v>1623.30402513322</v>
      </c>
      <c r="ES18" s="1111">
        <f t="shared" ref="ES18:ES93" si="55">R18</f>
        <v>1623.2520614663099</v>
      </c>
      <c r="ET18" s="1111">
        <f t="shared" ref="ET18:ET93" si="56">S18</f>
        <v>1623.40710518732</v>
      </c>
      <c r="EU18" s="1111">
        <f t="shared" ref="EU18:EU93" si="57">T18</f>
        <v>1623.40710518732</v>
      </c>
      <c r="EV18" s="1111">
        <f>EW18</f>
        <v>8.5641579152449303</v>
      </c>
      <c r="EW18" s="1111">
        <f t="shared" si="38"/>
        <v>8.5641579152449303</v>
      </c>
      <c r="EX18" s="1111">
        <f t="shared" si="39"/>
        <v>9.6580110235574494</v>
      </c>
      <c r="EY18" s="1111">
        <f t="shared" si="40"/>
        <v>2.7867389528720699</v>
      </c>
      <c r="EZ18" s="1111">
        <f t="shared" si="41"/>
        <v>2.1696941290079601</v>
      </c>
      <c r="FA18" s="1111">
        <f t="shared" si="42"/>
        <v>1.9058529098653401</v>
      </c>
      <c r="FB18" s="1111">
        <f t="shared" si="43"/>
        <v>1.9715548791583399</v>
      </c>
      <c r="FC18" s="1111">
        <f t="shared" si="44"/>
        <v>1.80325718220481</v>
      </c>
      <c r="FD18" s="1111">
        <f t="shared" si="45"/>
        <v>1.80325766566259</v>
      </c>
      <c r="FE18" s="1111">
        <f t="shared" si="46"/>
        <v>1.80600275766325</v>
      </c>
      <c r="FF18" s="1111">
        <f t="shared" si="47"/>
        <v>1.80600275766325</v>
      </c>
      <c r="FG18" s="1111">
        <f t="shared" si="23"/>
        <v>7.0600558638666397E-3</v>
      </c>
      <c r="FH18" s="1111">
        <f t="shared" ref="FH18:FQ22" si="58">AF18</f>
        <v>7.0600558638666397E-3</v>
      </c>
      <c r="FI18" s="1111">
        <f t="shared" si="58"/>
        <v>7.2188807538929303E-3</v>
      </c>
      <c r="FJ18" s="1111">
        <f t="shared" si="58"/>
        <v>8.9168853601401706E-3</v>
      </c>
      <c r="FK18" s="1111">
        <f t="shared" si="58"/>
        <v>8.7394055968140292E-3</v>
      </c>
      <c r="FL18" s="1111">
        <f t="shared" si="58"/>
        <v>8.6943184966646898E-3</v>
      </c>
      <c r="FM18" s="1111">
        <f t="shared" si="58"/>
        <v>8.6123852585138806E-3</v>
      </c>
      <c r="FN18" s="1111">
        <f t="shared" si="58"/>
        <v>8.5945646137361408E-3</v>
      </c>
      <c r="FO18" s="1111">
        <f t="shared" si="58"/>
        <v>8.5942912264795907E-3</v>
      </c>
      <c r="FP18" s="1111">
        <f t="shared" si="58"/>
        <v>8.5951166029417398E-3</v>
      </c>
      <c r="FQ18" s="1111">
        <f t="shared" si="58"/>
        <v>8.5951166029417398E-3</v>
      </c>
      <c r="FR18" s="1111">
        <f t="shared" si="25"/>
        <v>0.308686971765607</v>
      </c>
      <c r="FS18" s="1111">
        <f t="shared" si="26"/>
        <v>0.308686971765607</v>
      </c>
      <c r="FT18" s="1111">
        <f t="shared" si="27"/>
        <v>0.3514917426559</v>
      </c>
      <c r="FU18" s="1111">
        <f t="shared" si="28"/>
        <v>0.41477994422651598</v>
      </c>
      <c r="FV18" s="1111">
        <f t="shared" si="29"/>
        <v>0.41175694437029597</v>
      </c>
      <c r="FW18" s="1111">
        <f t="shared" si="30"/>
        <v>0.41302179377238901</v>
      </c>
      <c r="FX18" s="1111">
        <f t="shared" si="31"/>
        <v>0.411506559794103</v>
      </c>
      <c r="FY18" s="1111">
        <f t="shared" si="32"/>
        <v>0.41104277522581101</v>
      </c>
      <c r="FZ18" s="1111">
        <f t="shared" si="33"/>
        <v>0.41104274130226698</v>
      </c>
      <c r="GA18" s="1111">
        <f t="shared" si="34"/>
        <v>0.41112796490950498</v>
      </c>
      <c r="GB18" s="1111">
        <f t="shared" si="35"/>
        <v>0.41112796490950498</v>
      </c>
      <c r="GC18" s="1111">
        <f t="shared" ref="GC18:GC93" si="59">BA18</f>
        <v>8.1280068089980395E-2</v>
      </c>
      <c r="GD18" s="1111">
        <f t="shared" ref="GD18:GD93" si="60">BB18</f>
        <v>8.1280068089980395E-2</v>
      </c>
      <c r="GE18" s="1111">
        <f t="shared" ref="GE18:GE93" si="61">BC18</f>
        <v>0.119146422058294</v>
      </c>
      <c r="GF18" s="1111">
        <f t="shared" ref="GF18:GF93" si="62">BD18</f>
        <v>5.78893636806442E-2</v>
      </c>
      <c r="GG18" s="1111">
        <f t="shared" ref="GG18:GG93" si="63">BE18</f>
        <v>5.5215677186708403E-2</v>
      </c>
      <c r="GH18" s="1111">
        <f t="shared" ref="GH18:GH93" si="64">BF18</f>
        <v>5.6334175336776801E-2</v>
      </c>
      <c r="GI18" s="1111">
        <f t="shared" ref="GI18:GI93" si="65">BG18</f>
        <v>5.4993730550411797E-2</v>
      </c>
      <c r="GJ18" s="1111">
        <f t="shared" ref="GJ18:GJ93" si="66">BH18</f>
        <v>5.4583411925712401E-2</v>
      </c>
      <c r="GK18" s="1111">
        <f t="shared" ref="GK18:GK93" si="67">BI18</f>
        <v>5.4583454840025802E-2</v>
      </c>
      <c r="GL18" s="1111">
        <f t="shared" ref="GL18:GL93" si="68">BJ18</f>
        <v>5.4658632223239703E-2</v>
      </c>
      <c r="GM18" s="1111">
        <f t="shared" ref="GM18:GM93" si="69">BK18</f>
        <v>5.4658632223239703E-2</v>
      </c>
    </row>
    <row r="19" spans="1:195" s="265" customFormat="1" x14ac:dyDescent="0.2">
      <c r="A19" s="1071" t="s">
        <v>184</v>
      </c>
      <c r="B19" s="1071" t="str">
        <f>TechData!B13</f>
        <v>TBCNGE</v>
      </c>
      <c r="C19" s="1071" t="str">
        <f>TechData!C13</f>
        <v>Bus, Exisiting CNG</v>
      </c>
      <c r="D19" s="1071" t="str">
        <f>TechData!D13</f>
        <v>bn-vmt, bn-vmt/a</v>
      </c>
      <c r="E19" s="1071" t="str">
        <f>TechData!E13</f>
        <v>TBCNG</v>
      </c>
      <c r="F19" s="1071" t="str">
        <f>TechData!F13</f>
        <v>TB</v>
      </c>
      <c r="G19" s="1113" t="s">
        <v>498</v>
      </c>
      <c r="H19" s="1082" t="s">
        <v>501</v>
      </c>
      <c r="I19" s="1114">
        <v>1</v>
      </c>
      <c r="J19" s="1082" t="str">
        <f t="shared" si="37"/>
        <v>Bus-CNG</v>
      </c>
      <c r="K19" s="1111">
        <f>SUMIFS(NewEmisData!E:E, NewEmisData!$A:$A, $G19, NewEmisData!$B:$B, $A19, NewEmisData!$C:$C, $H19, NewEmisData!$D:$D, K$6)</f>
        <v>1582.4187998643499</v>
      </c>
      <c r="L19" s="1111">
        <f>SUMIFS(NewEmisData!F:F, NewEmisData!$A:$A, $G19, NewEmisData!$B:$B, $A19, NewEmisData!$C:$C, $H19, NewEmisData!$D:$D, L$6)</f>
        <v>1412.03350754338</v>
      </c>
      <c r="M19" s="1111">
        <f>SUMIFS(NewEmisData!G:G, NewEmisData!$A:$A, $G19, NewEmisData!$B:$B, $A19, NewEmisData!$C:$C, $H19, NewEmisData!$D:$D, M$6)</f>
        <v>1546.06349717532</v>
      </c>
      <c r="N19" s="1111">
        <f>SUMIFS(NewEmisData!H:H, NewEmisData!$A:$A, $G19, NewEmisData!$B:$B, $A19, NewEmisData!$C:$C, $H19, NewEmisData!$D:$D, N$6)</f>
        <v>1515.37888281612</v>
      </c>
      <c r="O19" s="1111">
        <f>SUMIFS(NewEmisData!I:I, NewEmisData!$A:$A, $G19, NewEmisData!$B:$B, $A19, NewEmisData!$C:$C, $H19, NewEmisData!$D:$D, O$6)</f>
        <v>1507.61251127639</v>
      </c>
      <c r="P19" s="1111">
        <f>SUMIFS(NewEmisData!J:J, NewEmisData!$A:$A, $G19, NewEmisData!$B:$B, $A19, NewEmisData!$C:$C, $H19, NewEmisData!$D:$D, P$6)</f>
        <v>1493.3470009960599</v>
      </c>
      <c r="Q19" s="1111">
        <f>SUMIFS(NewEmisData!K:K, NewEmisData!$A:$A, $G19, NewEmisData!$B:$B, $A19, NewEmisData!$C:$C, $H19, NewEmisData!$D:$D, Q$6)</f>
        <v>1489.9863533868299</v>
      </c>
      <c r="R19" s="1111">
        <f>SUMIFS(NewEmisData!L:L, NewEmisData!$A:$A, $G19, NewEmisData!$B:$B, $A19, NewEmisData!$C:$C, $H19, NewEmisData!$D:$D, R$6)</f>
        <v>1489.9398704633099</v>
      </c>
      <c r="S19" s="1111">
        <f>SUMIFS(NewEmisData!M:M, NewEmisData!$A:$A, $G19, NewEmisData!$B:$B, $A19, NewEmisData!$C:$C, $H19, NewEmisData!$D:$D, S$6)</f>
        <v>1490.25622635268</v>
      </c>
      <c r="T19" s="1111">
        <f t="shared" si="17"/>
        <v>1490.25622635268</v>
      </c>
      <c r="U19" s="1111">
        <f>SUMIFS(NewEmisData!E:E, NewEmisData!$A:$A, $G19, NewEmisData!$B:$B, $A19, NewEmisData!$C:$C, $H19, NewEmisData!$D:$D, U$6)</f>
        <v>13.9864690314122</v>
      </c>
      <c r="V19" s="1111">
        <f>SUMIFS(NewEmisData!F:F, NewEmisData!$A:$A, $G19, NewEmisData!$B:$B, $A19, NewEmisData!$C:$C, $H19, NewEmisData!$D:$D, V$6)</f>
        <v>8.6222310446848205</v>
      </c>
      <c r="W19" s="1111">
        <f>SUMIFS(NewEmisData!G:G, NewEmisData!$A:$A, $G19, NewEmisData!$B:$B, $A19, NewEmisData!$C:$C, $H19, NewEmisData!$D:$D, W$6)</f>
        <v>2.6611271470383202</v>
      </c>
      <c r="X19" s="1111">
        <f>SUMIFS(NewEmisData!H:H, NewEmisData!$A:$A, $G19, NewEmisData!$B:$B, $A19, NewEmisData!$C:$C, $H19, NewEmisData!$D:$D, X$6)</f>
        <v>2.0703098620271998</v>
      </c>
      <c r="Y19" s="1111">
        <f>SUMIFS(NewEmisData!I:I, NewEmisData!$A:$A, $G19, NewEmisData!$B:$B, $A19, NewEmisData!$C:$C, $H19, NewEmisData!$D:$D, Y$6)</f>
        <v>1.8197121469984701</v>
      </c>
      <c r="Z19" s="1111">
        <f>SUMIFS(NewEmisData!J:J, NewEmisData!$A:$A, $G19, NewEmisData!$B:$B, $A19, NewEmisData!$C:$C, $H19, NewEmisData!$D:$D, Z$6)</f>
        <v>1.8815055816456701</v>
      </c>
      <c r="AA19" s="1111">
        <f>SUMIFS(NewEmisData!K:K, NewEmisData!$A:$A, $G19, NewEmisData!$B:$B, $A19, NewEmisData!$C:$C, $H19, NewEmisData!$D:$D, AA$6)</f>
        <v>1.72120836005601</v>
      </c>
      <c r="AB19" s="1111">
        <f>SUMIFS(NewEmisData!L:L, NewEmisData!$A:$A, $G19, NewEmisData!$B:$B, $A19, NewEmisData!$C:$C, $H19, NewEmisData!$D:$D, AB$6)</f>
        <v>1.72121053061929</v>
      </c>
      <c r="AC19" s="1111">
        <f>SUMIFS(NewEmisData!M:M, NewEmisData!$A:$A, $G19, NewEmisData!$B:$B, $A19, NewEmisData!$C:$C, $H19, NewEmisData!$D:$D, AC$6)</f>
        <v>1.72375209093524</v>
      </c>
      <c r="AD19" s="1111">
        <f t="shared" si="18"/>
        <v>1.72375209093524</v>
      </c>
      <c r="AE19" s="1111">
        <f>AF19</f>
        <v>7.7542415434254403E-3</v>
      </c>
      <c r="AF19" s="1111">
        <f>SUMIFS(NewEmisData!E:E, NewEmisData!$A:$A, $G19, NewEmisData!$B:$B, $A19, NewEmisData!$C:$C, $H19, NewEmisData!$D:$D, AF$6)</f>
        <v>7.7542415434254403E-3</v>
      </c>
      <c r="AG19" s="1111">
        <f>SUMIFS(NewEmisData!F:F, NewEmisData!$A:$A, $G19, NewEmisData!$B:$B, $A19, NewEmisData!$C:$C, $H19, NewEmisData!$D:$D, AG$6)</f>
        <v>7.0025604799103603E-3</v>
      </c>
      <c r="AH19" s="1111">
        <f>SUMIFS(NewEmisData!G:G, NewEmisData!$A:$A, $G19, NewEmisData!$B:$B, $A19, NewEmisData!$C:$C, $H19, NewEmisData!$D:$D, AH$6)</f>
        <v>8.1856191975243908E-3</v>
      </c>
      <c r="AI19" s="1111">
        <f>SUMIFS(NewEmisData!H:H, NewEmisData!$A:$A, $G19, NewEmisData!$B:$B, $A19, NewEmisData!$C:$C, $H19, NewEmisData!$D:$D, AI$6)</f>
        <v>8.0231652001578006E-3</v>
      </c>
      <c r="AJ19" s="1111">
        <f>SUMIFS(NewEmisData!I:I, NewEmisData!$A:$A, $G19, NewEmisData!$B:$B, $A19, NewEmisData!$C:$C, $H19, NewEmisData!$D:$D, AJ$6)</f>
        <v>7.9820372345914808E-3</v>
      </c>
      <c r="AK19" s="1111">
        <f>SUMIFS(NewEmisData!J:J, NewEmisData!$A:$A, $G19, NewEmisData!$B:$B, $A19, NewEmisData!$C:$C, $H19, NewEmisData!$D:$D, AK$6)</f>
        <v>7.9065086361542296E-3</v>
      </c>
      <c r="AL19" s="1111">
        <f>SUMIFS(NewEmisData!K:K, NewEmisData!$A:$A, $G19, NewEmisData!$B:$B, $A19, NewEmisData!$C:$C, $H19, NewEmisData!$D:$D, AL$6)</f>
        <v>7.8887206920964792E-3</v>
      </c>
      <c r="AM19" s="1111">
        <f>SUMIFS(NewEmisData!L:L, NewEmisData!$A:$A, $G19, NewEmisData!$B:$B, $A19, NewEmisData!$C:$C, $H19, NewEmisData!$D:$D, AM$6)</f>
        <v>7.8884719490300206E-3</v>
      </c>
      <c r="AN19" s="1111">
        <f>SUMIFS(NewEmisData!M:M, NewEmisData!$A:$A, $G19, NewEmisData!$B:$B, $A19, NewEmisData!$C:$C, $H19, NewEmisData!$D:$D, AN$6)</f>
        <v>7.8901444470430397E-3</v>
      </c>
      <c r="AO19" s="1111">
        <f t="shared" si="19"/>
        <v>7.8901444470430397E-3</v>
      </c>
      <c r="AP19" s="1111">
        <f t="shared" si="2"/>
        <v>0.37093923028794801</v>
      </c>
      <c r="AQ19" s="1111">
        <f>SUMIFS(NewEmisData!E:E, NewEmisData!$A:$A, $G19, NewEmisData!$B:$B, $A19, NewEmisData!$C:$C, $H19, NewEmisData!$D:$D, AQ$6)</f>
        <v>0.37093923028794801</v>
      </c>
      <c r="AR19" s="1111">
        <f>SUMIFS(NewEmisData!F:F, NewEmisData!$A:$A, $G19, NewEmisData!$B:$B, $A19, NewEmisData!$C:$C, $H19, NewEmisData!$D:$D, AR$6)</f>
        <v>0.26942906985133003</v>
      </c>
      <c r="AS19" s="1111">
        <f>SUMIFS(NewEmisData!G:G, NewEmisData!$A:$A, $G19, NewEmisData!$B:$B, $A19, NewEmisData!$C:$C, $H19, NewEmisData!$D:$D, AS$6)</f>
        <v>0.31640035064412397</v>
      </c>
      <c r="AT19" s="1111">
        <f>SUMIFS(NewEmisData!H:H, NewEmisData!$A:$A, $G19, NewEmisData!$B:$B, $A19, NewEmisData!$C:$C, $H19, NewEmisData!$D:$D, AT$6)</f>
        <v>0.312988611523218</v>
      </c>
      <c r="AU19" s="1111">
        <f>SUMIFS(NewEmisData!I:I, NewEmisData!$A:$A, $G19, NewEmisData!$B:$B, $A19, NewEmisData!$C:$C, $H19, NewEmisData!$D:$D, AU$6)</f>
        <v>0.314260212084015</v>
      </c>
      <c r="AV19" s="1111">
        <f>SUMIFS(NewEmisData!J:J, NewEmisData!$A:$A, $G19, NewEmisData!$B:$B, $A19, NewEmisData!$C:$C, $H19, NewEmisData!$D:$D, AV$6)</f>
        <v>0.31268832879129399</v>
      </c>
      <c r="AW19" s="1111">
        <f>SUMIFS(NewEmisData!K:K, NewEmisData!$A:$A, $G19, NewEmisData!$B:$B, $A19, NewEmisData!$C:$C, $H19, NewEmisData!$D:$D, AW$6)</f>
        <v>0.312127508613181</v>
      </c>
      <c r="AX19" s="1111">
        <f>SUMIFS(NewEmisData!L:L, NewEmisData!$A:$A, $G19, NewEmisData!$B:$B, $A19, NewEmisData!$C:$C, $H19, NewEmisData!$D:$D, AX$6)</f>
        <v>0.31212733060652997</v>
      </c>
      <c r="AY19" s="1111">
        <f>SUMIFS(NewEmisData!M:M, NewEmisData!$A:$A, $G19, NewEmisData!$B:$B, $A19, NewEmisData!$C:$C, $H19, NewEmisData!$D:$D, AY$6)</f>
        <v>0.31221263444207797</v>
      </c>
      <c r="AZ19" s="1111">
        <f t="shared" si="20"/>
        <v>0.31221263444207797</v>
      </c>
      <c r="BA19" s="1111">
        <f t="shared" si="3"/>
        <v>0.174608341981421</v>
      </c>
      <c r="BB19" s="1111">
        <f>SUMIFS(NewEmisData!E:E, NewEmisData!$A:$A, $G19, NewEmisData!$B:$B, $A19, NewEmisData!$C:$C, $H19, NewEmisData!$D:$D, BB$6)</f>
        <v>0.174608341981421</v>
      </c>
      <c r="BC19" s="1111">
        <f>SUMIFS(NewEmisData!F:F, NewEmisData!$A:$A, $G19, NewEmisData!$B:$B, $A19, NewEmisData!$C:$C, $H19, NewEmisData!$D:$D, BC$6)</f>
        <v>8.4809909896490093E-2</v>
      </c>
      <c r="BD19" s="1111">
        <f>SUMIFS(NewEmisData!G:G, NewEmisData!$A:$A, $G19, NewEmisData!$B:$B, $A19, NewEmisData!$C:$C, $H19, NewEmisData!$D:$D, BD$6)</f>
        <v>4.5970348611854797E-2</v>
      </c>
      <c r="BE19" s="1111">
        <f>SUMIFS(NewEmisData!H:H, NewEmisData!$A:$A, $G19, NewEmisData!$B:$B, $A19, NewEmisData!$C:$C, $H19, NewEmisData!$D:$D, BE$6)</f>
        <v>4.2952507513089398E-2</v>
      </c>
      <c r="BF19" s="1111">
        <f>SUMIFS(NewEmisData!I:I, NewEmisData!$A:$A, $G19, NewEmisData!$B:$B, $A19, NewEmisData!$C:$C, $H19, NewEmisData!$D:$D, BF$6)</f>
        <v>4.4076568857239103E-2</v>
      </c>
      <c r="BG19" s="1111">
        <f>SUMIFS(NewEmisData!J:J, NewEmisData!$A:$A, $G19, NewEmisData!$B:$B, $A19, NewEmisData!$C:$C, $H19, NewEmisData!$D:$D, BG$6)</f>
        <v>4.2686220737973499E-2</v>
      </c>
      <c r="BH19" s="1111">
        <f>SUMIFS(NewEmisData!K:K, NewEmisData!$A:$A, $G19, NewEmisData!$B:$B, $A19, NewEmisData!$C:$C, $H19, NewEmisData!$D:$D, BH$6)</f>
        <v>4.2189628277317197E-2</v>
      </c>
      <c r="BI19" s="1111">
        <f>SUMIFS(NewEmisData!L:L, NewEmisData!$A:$A, $G19, NewEmisData!$B:$B, $A19, NewEmisData!$C:$C, $H19, NewEmisData!$D:$D, BI$6)</f>
        <v>4.2189715264657097E-2</v>
      </c>
      <c r="BJ19" s="1111">
        <f>SUMIFS(NewEmisData!M:M, NewEmisData!$A:$A, $G19, NewEmisData!$B:$B, $A19, NewEmisData!$C:$C, $H19, NewEmisData!$D:$D, BJ$6)</f>
        <v>4.2265205084896902E-2</v>
      </c>
      <c r="BK19" s="1111">
        <f>BJ19</f>
        <v>4.2265205084896902E-2</v>
      </c>
      <c r="BL19" s="1111">
        <f t="shared" si="4"/>
        <v>22.579418641795002</v>
      </c>
      <c r="BM19" s="1111">
        <f>SUMIFS(NewEmisData!E:E, NewEmisData!$A:$A, $G19, NewEmisData!$B:$B, $A19, NewEmisData!$C:$C, $H19, NewEmisData!$D:$D, BM$6)</f>
        <v>22.579418641795002</v>
      </c>
      <c r="BN19" s="1111">
        <f>SUMIFS(NewEmisData!F:F, NewEmisData!$A:$A, $G19, NewEmisData!$B:$B, $A19, NewEmisData!$C:$C, $H19, NewEmisData!$D:$D, BN$6)</f>
        <v>9.0903852362690802</v>
      </c>
      <c r="BO19" s="1111">
        <f>SUMIFS(NewEmisData!G:G, NewEmisData!$A:$A, $G19, NewEmisData!$B:$B, $A19, NewEmisData!$C:$C, $H19, NewEmisData!$D:$D, BO$6)</f>
        <v>7.2508001242851599</v>
      </c>
      <c r="BP19" s="1111">
        <f>SUMIFS(NewEmisData!H:H, NewEmisData!$A:$A, $G19, NewEmisData!$B:$B, $A19, NewEmisData!$C:$C, $H19, NewEmisData!$D:$D, BP$6)</f>
        <v>8.3556987909824798</v>
      </c>
      <c r="BQ19" s="1111">
        <f>SUMIFS(NewEmisData!I:I, NewEmisData!$A:$A, $G19, NewEmisData!$B:$B, $A19, NewEmisData!$C:$C, $H19, NewEmisData!$D:$D, BQ$6)</f>
        <v>8.6465986366556002</v>
      </c>
      <c r="BR19" s="1111">
        <f>SUMIFS(NewEmisData!J:J, NewEmisData!$A:$A, $G19, NewEmisData!$B:$B, $A19, NewEmisData!$C:$C, $H19, NewEmisData!$D:$D, BR$6)</f>
        <v>8.4121179739218093</v>
      </c>
      <c r="BS19" s="1111">
        <f>SUMIFS(NewEmisData!K:K, NewEmisData!$A:$A, $G19, NewEmisData!$B:$B, $A19, NewEmisData!$C:$C, $H19, NewEmisData!$D:$D, BS$6)</f>
        <v>8.4583772012786298</v>
      </c>
      <c r="BT19" s="1111">
        <f>SUMIFS(NewEmisData!L:L, NewEmisData!$A:$A, $G19, NewEmisData!$B:$B, $A19, NewEmisData!$C:$C, $H19, NewEmisData!$D:$D, BT$6)</f>
        <v>8.4584037451519194</v>
      </c>
      <c r="BU19" s="1111">
        <f>SUMIFS(NewEmisData!M:M, NewEmisData!$A:$A, $G19, NewEmisData!$B:$B, $A19, NewEmisData!$C:$C, $H19, NewEmisData!$D:$D, BU$6)</f>
        <v>8.5248446231051407</v>
      </c>
      <c r="BV19" s="1111">
        <f>BU19</f>
        <v>8.5248446231051407</v>
      </c>
      <c r="BW19" s="1111">
        <f t="shared" si="5"/>
        <v>3.2512109288213198</v>
      </c>
      <c r="BX19" s="1111">
        <f>SUMIFS(NewEmisData!E:E, NewEmisData!$A:$A, $G19, NewEmisData!$B:$B, $A19, NewEmisData!$C:$C, $H19, NewEmisData!$D:$D, BX$6)</f>
        <v>3.2512109288213198</v>
      </c>
      <c r="BY19" s="1111">
        <f>SUMIFS(NewEmisData!F:F, NewEmisData!$A:$A, $G19, NewEmisData!$B:$B, $A19, NewEmisData!$C:$C, $H19, NewEmisData!$D:$D, BY$6)</f>
        <v>1.6109199205326501</v>
      </c>
      <c r="BZ19" s="1111">
        <f>SUMIFS(NewEmisData!G:G, NewEmisData!$A:$A, $G19, NewEmisData!$B:$B, $A19, NewEmisData!$C:$C, $H19, NewEmisData!$D:$D, BZ$6)</f>
        <v>0.37737454157685102</v>
      </c>
      <c r="CA19" s="1111">
        <f>SUMIFS(NewEmisData!H:H, NewEmisData!$A:$A, $G19, NewEmisData!$B:$B, $A19, NewEmisData!$C:$C, $H19, NewEmisData!$D:$D, CA$6)</f>
        <v>0.28217670263127098</v>
      </c>
      <c r="CB19" s="1111">
        <f>SUMIFS(NewEmisData!I:I, NewEmisData!$A:$A, $G19, NewEmisData!$B:$B, $A19, NewEmisData!$C:$C, $H19, NewEmisData!$D:$D, CB$6)</f>
        <v>0.27024110048467198</v>
      </c>
      <c r="CC19" s="1111">
        <f>SUMIFS(NewEmisData!J:J, NewEmisData!$A:$A, $G19, NewEmisData!$B:$B, $A19, NewEmisData!$C:$C, $H19, NewEmisData!$D:$D, CC$6)</f>
        <v>0.25937246400036401</v>
      </c>
      <c r="CD19" s="1111">
        <f>SUMIFS(NewEmisData!K:K, NewEmisData!$A:$A, $G19, NewEmisData!$B:$B, $A19, NewEmisData!$C:$C, $H19, NewEmisData!$D:$D, CD$6)</f>
        <v>0.24206727844256201</v>
      </c>
      <c r="CE19" s="1111">
        <f>SUMIFS(NewEmisData!L:L, NewEmisData!$A:$A, $G19, NewEmisData!$B:$B, $A19, NewEmisData!$C:$C, $H19, NewEmisData!$D:$D, CE$6)</f>
        <v>0.24206948212867599</v>
      </c>
      <c r="CF19" s="1111">
        <f>SUMIFS(NewEmisData!M:M, NewEmisData!$A:$A, $G19, NewEmisData!$B:$B, $A19, NewEmisData!$C:$C, $H19, NewEmisData!$D:$D, CF$6)</f>
        <v>0.24378472910784699</v>
      </c>
      <c r="CG19" s="1111">
        <f t="shared" si="6"/>
        <v>0.24378472910784699</v>
      </c>
      <c r="CH19" s="1111">
        <f t="shared" si="7"/>
        <v>4.2098933652771502E-2</v>
      </c>
      <c r="CI19" s="1111">
        <f>SUMIFS(NewEmisData!E:E, NewEmisData!$A:$A, $G19, NewEmisData!$B:$B, $A19, NewEmisData!$C:$C, $H19, NewEmisData!$D:$D, CI$6)</f>
        <v>4.2098933652771502E-2</v>
      </c>
      <c r="CJ19" s="1111">
        <f>SUMIFS(NewEmisData!F:F, NewEmisData!$A:$A, $G19, NewEmisData!$B:$B, $A19, NewEmisData!$C:$C, $H19, NewEmisData!$D:$D, CJ$6)</f>
        <v>4.2098570742761299E-2</v>
      </c>
      <c r="CK19" s="1111">
        <f>SUMIFS(NewEmisData!G:G, NewEmisData!$A:$A, $G19, NewEmisData!$B:$B, $A19, NewEmisData!$C:$C, $H19, NewEmisData!$D:$D, CK$6)</f>
        <v>5.3159719402687697E-2</v>
      </c>
      <c r="CL19" s="1111">
        <f>SUMIFS(NewEmisData!H:H, NewEmisData!$A:$A, $G19, NewEmisData!$B:$B, $A19, NewEmisData!$C:$C, $H19, NewEmisData!$D:$D, CL$6)</f>
        <v>5.3149739963877903E-2</v>
      </c>
      <c r="CM19" s="1111">
        <f>SUMIFS(NewEmisData!I:I, NewEmisData!$A:$A, $G19, NewEmisData!$B:$B, $A19, NewEmisData!$C:$C, $H19, NewEmisData!$D:$D, CM$6)</f>
        <v>5.3146224692601898E-2</v>
      </c>
      <c r="CN19" s="1111">
        <f>SUMIFS(NewEmisData!J:J, NewEmisData!$A:$A, $G19, NewEmisData!$B:$B, $A19, NewEmisData!$C:$C, $H19, NewEmisData!$D:$D, CN$6)</f>
        <v>5.3141799371229599E-2</v>
      </c>
      <c r="CO19" s="1111">
        <f>SUMIFS(NewEmisData!K:K, NewEmisData!$A:$A, $G19, NewEmisData!$B:$B, $A19, NewEmisData!$C:$C, $H19, NewEmisData!$D:$D, CO$6)</f>
        <v>5.3140820474749002E-2</v>
      </c>
      <c r="CP19" s="1111">
        <f>SUMIFS(NewEmisData!L:L, NewEmisData!$A:$A, $G19, NewEmisData!$B:$B, $A19, NewEmisData!$C:$C, $H19, NewEmisData!$D:$D, CP$6)</f>
        <v>5.3140854292493003E-2</v>
      </c>
      <c r="CQ19" s="1111">
        <f>SUMIFS(NewEmisData!M:M, NewEmisData!$A:$A, $G19, NewEmisData!$B:$B, $A19, NewEmisData!$C:$C, $H19, NewEmisData!$D:$D, CQ$6)</f>
        <v>5.3140835802365199E-2</v>
      </c>
      <c r="CR19" s="1111">
        <f t="shared" si="8"/>
        <v>5.3140835802365199E-2</v>
      </c>
      <c r="CS19" s="1111">
        <f t="shared" si="9"/>
        <v>8.8574444131497496E-2</v>
      </c>
      <c r="CT19" s="1111">
        <f>SUMIFS(NewEmisData!E:E, NewEmisData!$A:$A, $G19, NewEmisData!$B:$B, $A19, NewEmisData!$C:$C, $H19, NewEmisData!$D:$D, CT$6)</f>
        <v>8.8574444131497496E-2</v>
      </c>
      <c r="CU19" s="1111">
        <f>SUMIFS(NewEmisData!F:F, NewEmisData!$A:$A, $G19, NewEmisData!$B:$B, $A19, NewEmisData!$C:$C, $H19, NewEmisData!$D:$D, CU$6)</f>
        <v>0.158338957178361</v>
      </c>
      <c r="CV19" s="1111">
        <f>SUMIFS(NewEmisData!G:G, NewEmisData!$A:$A, $G19, NewEmisData!$B:$B, $A19, NewEmisData!$C:$C, $H19, NewEmisData!$D:$D, CV$6)</f>
        <v>0.22076039280896301</v>
      </c>
      <c r="CW19" s="1111">
        <f>SUMIFS(NewEmisData!H:H, NewEmisData!$A:$A, $G19, NewEmisData!$B:$B, $A19, NewEmisData!$C:$C, $H19, NewEmisData!$D:$D, CW$6)</f>
        <v>0.22567553296085399</v>
      </c>
      <c r="CX19" s="1111">
        <f>SUMIFS(NewEmisData!I:I, NewEmisData!$A:$A, $G19, NewEmisData!$B:$B, $A19, NewEmisData!$C:$C, $H19, NewEmisData!$D:$D, CX$6)</f>
        <v>0.22802236468630799</v>
      </c>
      <c r="CY19" s="1111">
        <f>SUMIFS(NewEmisData!J:J, NewEmisData!$A:$A, $G19, NewEmisData!$B:$B, $A19, NewEmisData!$C:$C, $H19, NewEmisData!$D:$D, CY$6)</f>
        <v>0.22901609159938899</v>
      </c>
      <c r="CZ19" s="1111">
        <f>SUMIFS(NewEmisData!K:K, NewEmisData!$A:$A, $G19, NewEmisData!$B:$B, $A19, NewEmisData!$C:$C, $H19, NewEmisData!$D:$D, CZ$6)</f>
        <v>0.22555616451962901</v>
      </c>
      <c r="DA19" s="1111">
        <f>SUMIFS(NewEmisData!L:L, NewEmisData!$A:$A, $G19, NewEmisData!$B:$B, $A19, NewEmisData!$C:$C, $H19, NewEmisData!$D:$D, DA$6)</f>
        <v>0.22555300582847901</v>
      </c>
      <c r="DB19" s="1111">
        <f>SUMIFS(NewEmisData!M:M, NewEmisData!$A:$A, $G19, NewEmisData!$B:$B, $A19, NewEmisData!$C:$C, $H19, NewEmisData!$D:$D, DB$6)</f>
        <v>0.22819598441319699</v>
      </c>
      <c r="DC19" s="1111">
        <f>DB19</f>
        <v>0.22819598441319699</v>
      </c>
      <c r="DD19" s="1082"/>
      <c r="DE19" s="1082"/>
      <c r="DF19" s="1082"/>
      <c r="DG19" s="1082"/>
      <c r="DH19" s="1082"/>
      <c r="DI19" s="1082"/>
      <c r="DJ19" s="1082"/>
      <c r="DK19" s="1082"/>
      <c r="DL19" s="1082"/>
      <c r="DM19" s="1082"/>
      <c r="DN19" s="1082"/>
      <c r="DO19" s="1082"/>
      <c r="DP19" s="1082"/>
      <c r="DQ19" s="1082"/>
      <c r="DR19" s="1082"/>
      <c r="DS19" s="1082"/>
      <c r="DT19" s="1082"/>
      <c r="DU19" s="1082"/>
      <c r="DV19" s="1082"/>
      <c r="DW19" s="1082"/>
      <c r="DX19" s="1082"/>
      <c r="DY19" s="1082"/>
      <c r="DZ19" s="1111">
        <f>EA19</f>
        <v>21.479908688362801</v>
      </c>
      <c r="EA19" s="1111">
        <f>SUMIFS(NewEmisData!E:E, NewEmisData!$A:$A, $G19, NewEmisData!$B:$B, $A19, NewEmisData!$C:$C, $H19, NewEmisData!$D:$D, EA$6)</f>
        <v>21.479908688362801</v>
      </c>
      <c r="EB19" s="1111">
        <f>SUMIFS(NewEmisData!F:F, NewEmisData!$A:$A, $G19, NewEmisData!$B:$B, $A19, NewEmisData!$C:$C, $H19, NewEmisData!$D:$D, EB$6)</f>
        <v>14.1899393572135</v>
      </c>
      <c r="EC19" s="1111">
        <f>SUMIFS(NewEmisData!G:G, NewEmisData!$A:$A, $G19, NewEmisData!$B:$B, $A19, NewEmisData!$C:$C, $H19, NewEmisData!$D:$D, EC$6)</f>
        <v>6.2647803145334597</v>
      </c>
      <c r="ED19" s="1111">
        <f>SUMIFS(NewEmisData!H:H, NewEmisData!$A:$A, $G19, NewEmisData!$B:$B, $A19, NewEmisData!$C:$C, $H19, NewEmisData!$D:$D, ED$6)</f>
        <v>5.7979869012644301</v>
      </c>
      <c r="EE19" s="1111">
        <f>SUMIFS(NewEmisData!I:I, NewEmisData!$A:$A, $G19, NewEmisData!$B:$B, $A19, NewEmisData!$C:$C, $H19, NewEmisData!$D:$D, EE$6)</f>
        <v>5.20919501649339</v>
      </c>
      <c r="EF19" s="1111">
        <f>SUMIFS(NewEmisData!J:J, NewEmisData!$A:$A, $G19, NewEmisData!$B:$B, $A19, NewEmisData!$C:$C, $H19, NewEmisData!$D:$D, EF$6)</f>
        <v>5.35594752180626</v>
      </c>
      <c r="EG19" s="1111">
        <f>SUMIFS(NewEmisData!K:K, NewEmisData!$A:$A, $G19, NewEmisData!$B:$B, $A19, NewEmisData!$C:$C, $H19, NewEmisData!$D:$D, EG$6)</f>
        <v>5.0142547371903996</v>
      </c>
      <c r="EH19" s="1111">
        <f>SUMIFS(NewEmisData!L:L, NewEmisData!$A:$A, $G19, NewEmisData!$B:$B, $A19, NewEmisData!$C:$C, $H19, NewEmisData!$D:$D, EH$6)</f>
        <v>5.01430209801104</v>
      </c>
      <c r="EI19" s="1111">
        <f>SUMIFS(NewEmisData!M:M, NewEmisData!$A:$A, $G19, NewEmisData!$B:$B, $A19, NewEmisData!$C:$C, $H19, NewEmisData!$D:$D, EI$6)</f>
        <v>5.0498323593708303</v>
      </c>
      <c r="EJ19" s="1111">
        <f>EI19</f>
        <v>5.0498323593708303</v>
      </c>
      <c r="EK19" s="1111">
        <f>EL19</f>
        <v>1582.4187998643499</v>
      </c>
      <c r="EL19" s="1111">
        <f t="shared" si="48"/>
        <v>1582.4187998643499</v>
      </c>
      <c r="EM19" s="1111">
        <f t="shared" si="49"/>
        <v>1412.03350754338</v>
      </c>
      <c r="EN19" s="1111">
        <f t="shared" si="50"/>
        <v>1546.06349717532</v>
      </c>
      <c r="EO19" s="1111">
        <f t="shared" si="51"/>
        <v>1515.37888281612</v>
      </c>
      <c r="EP19" s="1111">
        <f t="shared" si="52"/>
        <v>1507.61251127639</v>
      </c>
      <c r="EQ19" s="1111">
        <f t="shared" si="53"/>
        <v>1493.3470009960599</v>
      </c>
      <c r="ER19" s="1111">
        <f t="shared" si="54"/>
        <v>1489.9863533868299</v>
      </c>
      <c r="ES19" s="1111">
        <f t="shared" si="55"/>
        <v>1489.9398704633099</v>
      </c>
      <c r="ET19" s="1111">
        <f t="shared" si="56"/>
        <v>1490.25622635268</v>
      </c>
      <c r="EU19" s="1111">
        <f t="shared" si="57"/>
        <v>1490.25622635268</v>
      </c>
      <c r="EV19" s="1111">
        <f>EW19</f>
        <v>13.9864690314122</v>
      </c>
      <c r="EW19" s="1111">
        <f t="shared" si="38"/>
        <v>13.9864690314122</v>
      </c>
      <c r="EX19" s="1111">
        <f t="shared" si="39"/>
        <v>8.6222310446848205</v>
      </c>
      <c r="EY19" s="1111">
        <f t="shared" si="40"/>
        <v>2.6611271470383202</v>
      </c>
      <c r="EZ19" s="1111">
        <f t="shared" si="41"/>
        <v>2.0703098620271998</v>
      </c>
      <c r="FA19" s="1111">
        <f t="shared" si="42"/>
        <v>1.8197121469984701</v>
      </c>
      <c r="FB19" s="1111">
        <f t="shared" si="43"/>
        <v>1.8815055816456701</v>
      </c>
      <c r="FC19" s="1111">
        <f t="shared" si="44"/>
        <v>1.72120836005601</v>
      </c>
      <c r="FD19" s="1111">
        <f t="shared" si="45"/>
        <v>1.72121053061929</v>
      </c>
      <c r="FE19" s="1111">
        <f t="shared" si="46"/>
        <v>1.72375209093524</v>
      </c>
      <c r="FF19" s="1111">
        <f t="shared" si="47"/>
        <v>1.72375209093524</v>
      </c>
      <c r="FG19" s="1111">
        <f>AE19</f>
        <v>7.7542415434254403E-3</v>
      </c>
      <c r="FH19" s="1111">
        <f t="shared" si="58"/>
        <v>7.7542415434254403E-3</v>
      </c>
      <c r="FI19" s="1111">
        <f t="shared" si="58"/>
        <v>7.0025604799103603E-3</v>
      </c>
      <c r="FJ19" s="1111">
        <f t="shared" si="58"/>
        <v>8.1856191975243908E-3</v>
      </c>
      <c r="FK19" s="1111">
        <f t="shared" si="58"/>
        <v>8.0231652001578006E-3</v>
      </c>
      <c r="FL19" s="1111">
        <f t="shared" si="58"/>
        <v>7.9820372345914808E-3</v>
      </c>
      <c r="FM19" s="1111">
        <f t="shared" si="58"/>
        <v>7.9065086361542296E-3</v>
      </c>
      <c r="FN19" s="1111">
        <f t="shared" si="58"/>
        <v>7.8887206920964792E-3</v>
      </c>
      <c r="FO19" s="1111">
        <f t="shared" si="58"/>
        <v>7.8884719490300206E-3</v>
      </c>
      <c r="FP19" s="1111">
        <f t="shared" si="58"/>
        <v>7.8901444470430397E-3</v>
      </c>
      <c r="FQ19" s="1111">
        <f t="shared" si="58"/>
        <v>7.8901444470430397E-3</v>
      </c>
      <c r="FR19" s="1111">
        <f t="shared" si="25"/>
        <v>0.37093923028794801</v>
      </c>
      <c r="FS19" s="1111">
        <f t="shared" si="26"/>
        <v>0.37093923028794801</v>
      </c>
      <c r="FT19" s="1111">
        <f t="shared" si="27"/>
        <v>0.26942906985133003</v>
      </c>
      <c r="FU19" s="1111">
        <f t="shared" si="28"/>
        <v>0.31640035064412397</v>
      </c>
      <c r="FV19" s="1111">
        <f t="shared" si="29"/>
        <v>0.312988611523218</v>
      </c>
      <c r="FW19" s="1111">
        <f t="shared" si="30"/>
        <v>0.314260212084015</v>
      </c>
      <c r="FX19" s="1111">
        <f t="shared" si="31"/>
        <v>0.31268832879129399</v>
      </c>
      <c r="FY19" s="1111">
        <f t="shared" si="32"/>
        <v>0.312127508613181</v>
      </c>
      <c r="FZ19" s="1111">
        <f t="shared" si="33"/>
        <v>0.31212733060652997</v>
      </c>
      <c r="GA19" s="1111">
        <f t="shared" si="34"/>
        <v>0.31221263444207797</v>
      </c>
      <c r="GB19" s="1111">
        <f t="shared" si="35"/>
        <v>0.31221263444207797</v>
      </c>
      <c r="GC19" s="1111">
        <f t="shared" si="59"/>
        <v>0.174608341981421</v>
      </c>
      <c r="GD19" s="1111">
        <f t="shared" si="60"/>
        <v>0.174608341981421</v>
      </c>
      <c r="GE19" s="1111">
        <f t="shared" si="61"/>
        <v>8.4809909896490093E-2</v>
      </c>
      <c r="GF19" s="1111">
        <f t="shared" si="62"/>
        <v>4.5970348611854797E-2</v>
      </c>
      <c r="GG19" s="1111">
        <f t="shared" si="63"/>
        <v>4.2952507513089398E-2</v>
      </c>
      <c r="GH19" s="1111">
        <f t="shared" si="64"/>
        <v>4.4076568857239103E-2</v>
      </c>
      <c r="GI19" s="1111">
        <f t="shared" si="65"/>
        <v>4.2686220737973499E-2</v>
      </c>
      <c r="GJ19" s="1111">
        <f t="shared" si="66"/>
        <v>4.2189628277317197E-2</v>
      </c>
      <c r="GK19" s="1111">
        <f t="shared" si="67"/>
        <v>4.2189715264657097E-2</v>
      </c>
      <c r="GL19" s="1111">
        <f t="shared" si="68"/>
        <v>4.2265205084896902E-2</v>
      </c>
      <c r="GM19" s="1111">
        <f t="shared" si="69"/>
        <v>4.2265205084896902E-2</v>
      </c>
    </row>
    <row r="20" spans="1:195" s="265" customFormat="1" x14ac:dyDescent="0.2">
      <c r="A20" s="1071" t="s">
        <v>186</v>
      </c>
      <c r="B20" s="1071" t="str">
        <f>TechData!B13</f>
        <v>TBCNGE</v>
      </c>
      <c r="C20" s="1071" t="str">
        <f>TechData!C13</f>
        <v>Bus, Exisiting CNG</v>
      </c>
      <c r="D20" s="1071" t="str">
        <f>TechData!D13</f>
        <v>bn-vmt, bn-vmt/a</v>
      </c>
      <c r="E20" s="1071" t="str">
        <f>TechData!E13</f>
        <v>TBCNG</v>
      </c>
      <c r="F20" s="1071" t="str">
        <f>TechData!F13</f>
        <v>TB</v>
      </c>
      <c r="G20" s="1113" t="s">
        <v>498</v>
      </c>
      <c r="H20" s="1082" t="s">
        <v>501</v>
      </c>
      <c r="I20" s="1114">
        <v>1</v>
      </c>
      <c r="J20" s="1082" t="str">
        <f t="shared" si="37"/>
        <v>Bus-CNG</v>
      </c>
      <c r="K20" s="1111">
        <f>SUMIFS(NewEmisData!E:E, NewEmisData!$A:$A, $G20, NewEmisData!$B:$B, $A20, NewEmisData!$C:$C, $H20, NewEmisData!$D:$D, K$6)</f>
        <v>2178.9967614971001</v>
      </c>
      <c r="L20" s="1111">
        <f>SUMIFS(NewEmisData!F:F, NewEmisData!$A:$A, $G20, NewEmisData!$B:$B, $A20, NewEmisData!$C:$C, $H20, NewEmisData!$D:$D, L$6)</f>
        <v>2166.1808780169699</v>
      </c>
      <c r="M20" s="1111">
        <f>SUMIFS(NewEmisData!G:G, NewEmisData!$A:$A, $G20, NewEmisData!$B:$B, $A20, NewEmisData!$C:$C, $H20, NewEmisData!$D:$D, M$6)</f>
        <v>1829.3230538083899</v>
      </c>
      <c r="N20" s="1111">
        <f>SUMIFS(NewEmisData!H:H, NewEmisData!$A:$A, $G20, NewEmisData!$B:$B, $A20, NewEmisData!$C:$C, $H20, NewEmisData!$D:$D, N$6)</f>
        <v>1792.5465477673099</v>
      </c>
      <c r="O20" s="1111">
        <f>SUMIFS(NewEmisData!I:I, NewEmisData!$A:$A, $G20, NewEmisData!$B:$B, $A20, NewEmisData!$C:$C, $H20, NewEmisData!$D:$D, O$6)</f>
        <v>1783.15413817481</v>
      </c>
      <c r="P20" s="1111">
        <f>SUMIFS(NewEmisData!J:J, NewEmisData!$A:$A, $G20, NewEmisData!$B:$B, $A20, NewEmisData!$C:$C, $H20, NewEmisData!$D:$D, P$6)</f>
        <v>1766.2276580145201</v>
      </c>
      <c r="Q20" s="1111">
        <f>SUMIFS(NewEmisData!K:K, NewEmisData!$A:$A, $G20, NewEmisData!$B:$B, $A20, NewEmisData!$C:$C, $H20, NewEmisData!$D:$D, Q$6)</f>
        <v>1762.65639856503</v>
      </c>
      <c r="R20" s="1111">
        <f>SUMIFS(NewEmisData!L:L, NewEmisData!$A:$A, $G20, NewEmisData!$B:$B, $A20, NewEmisData!$C:$C, $H20, NewEmisData!$D:$D, R$6)</f>
        <v>1762.6002362349</v>
      </c>
      <c r="S20" s="1111">
        <f>SUMIFS(NewEmisData!M:M, NewEmisData!$A:$A, $G20, NewEmisData!$B:$B, $A20, NewEmisData!$C:$C, $H20, NewEmisData!$D:$D, S$6)</f>
        <v>1762.69221348628</v>
      </c>
      <c r="T20" s="1111">
        <f t="shared" si="17"/>
        <v>1762.69221348628</v>
      </c>
      <c r="U20" s="1111">
        <f>SUMIFS(NewEmisData!E:E, NewEmisData!$A:$A, $G20, NewEmisData!$B:$B, $A20, NewEmisData!$C:$C, $H20, NewEmisData!$D:$D, U$6)</f>
        <v>17.791352967534699</v>
      </c>
      <c r="V20" s="1111">
        <f>SUMIFS(NewEmisData!F:F, NewEmisData!$A:$A, $G20, NewEmisData!$B:$B, $A20, NewEmisData!$C:$C, $H20, NewEmisData!$D:$D, V$6)</f>
        <v>17.463111089302298</v>
      </c>
      <c r="W20" s="1111">
        <f>SUMIFS(NewEmisData!G:G, NewEmisData!$A:$A, $G20, NewEmisData!$B:$B, $A20, NewEmisData!$C:$C, $H20, NewEmisData!$D:$D, W$6)</f>
        <v>3.0267310243138001</v>
      </c>
      <c r="X20" s="1111">
        <f>SUMIFS(NewEmisData!H:H, NewEmisData!$A:$A, $G20, NewEmisData!$B:$B, $A20, NewEmisData!$C:$C, $H20, NewEmisData!$D:$D, X$6)</f>
        <v>2.3543137298168899</v>
      </c>
      <c r="Y20" s="1111">
        <f>SUMIFS(NewEmisData!I:I, NewEmisData!$A:$A, $G20, NewEmisData!$B:$B, $A20, NewEmisData!$C:$C, $H20, NewEmisData!$D:$D, Y$6)</f>
        <v>2.0699541963238501</v>
      </c>
      <c r="Z20" s="1111">
        <f>SUMIFS(NewEmisData!J:J, NewEmisData!$A:$A, $G20, NewEmisData!$B:$B, $A20, NewEmisData!$C:$C, $H20, NewEmisData!$D:$D, Z$6)</f>
        <v>2.1398645413845401</v>
      </c>
      <c r="AA20" s="1111">
        <f>SUMIFS(NewEmisData!K:K, NewEmisData!$A:$A, $G20, NewEmisData!$B:$B, $A20, NewEmisData!$C:$C, $H20, NewEmisData!$D:$D, AA$6)</f>
        <v>1.9577154303695801</v>
      </c>
      <c r="AB20" s="1111">
        <f>SUMIFS(NewEmisData!L:L, NewEmisData!$A:$A, $G20, NewEmisData!$B:$B, $A20, NewEmisData!$C:$C, $H20, NewEmisData!$D:$D, AB$6)</f>
        <v>1.9577160230270401</v>
      </c>
      <c r="AC20" s="1111">
        <f>SUMIFS(NewEmisData!M:M, NewEmisData!$A:$A, $G20, NewEmisData!$B:$B, $A20, NewEmisData!$C:$C, $H20, NewEmisData!$D:$D, AC$6)</f>
        <v>1.96058425238824</v>
      </c>
      <c r="AD20" s="1111">
        <f t="shared" si="18"/>
        <v>1.96058425238824</v>
      </c>
      <c r="AE20" s="1111">
        <f>AF20</f>
        <v>7.75878540003522E-3</v>
      </c>
      <c r="AF20" s="1111">
        <f>SUMIFS(NewEmisData!E:E, NewEmisData!$A:$A, $G20, NewEmisData!$B:$B, $A20, NewEmisData!$C:$C, $H20, NewEmisData!$D:$D, AF$6)</f>
        <v>7.75878540003522E-3</v>
      </c>
      <c r="AG20" s="1111">
        <f>SUMIFS(NewEmisData!F:F, NewEmisData!$A:$A, $G20, NewEmisData!$B:$B, $A20, NewEmisData!$C:$C, $H20, NewEmisData!$D:$D, AG$6)</f>
        <v>7.7206892950845299E-3</v>
      </c>
      <c r="AH20" s="1111">
        <f>SUMIFS(NewEmisData!G:G, NewEmisData!$A:$A, $G20, NewEmisData!$B:$B, $A20, NewEmisData!$C:$C, $H20, NewEmisData!$D:$D, AH$6)</f>
        <v>9.6853348357149507E-3</v>
      </c>
      <c r="AI20" s="1111">
        <f>SUMIFS(NewEmisData!H:H, NewEmisData!$A:$A, $G20, NewEmisData!$B:$B, $A20, NewEmisData!$C:$C, $H20, NewEmisData!$D:$D, AI$6)</f>
        <v>9.4906268999874494E-3</v>
      </c>
      <c r="AJ20" s="1111">
        <f>SUMIFS(NewEmisData!I:I, NewEmisData!$A:$A, $G20, NewEmisData!$B:$B, $A20, NewEmisData!$C:$C, $H20, NewEmisData!$D:$D, AJ$6)</f>
        <v>9.4408902403545405E-3</v>
      </c>
      <c r="AK20" s="1111">
        <f>SUMIFS(NewEmisData!J:J, NewEmisData!$A:$A, $G20, NewEmisData!$B:$B, $A20, NewEmisData!$C:$C, $H20, NewEmisData!$D:$D, AK$6)</f>
        <v>9.3512761456049798E-3</v>
      </c>
      <c r="AL20" s="1111">
        <f>SUMIFS(NewEmisData!K:K, NewEmisData!$A:$A, $G20, NewEmisData!$B:$B, $A20, NewEmisData!$C:$C, $H20, NewEmisData!$D:$D, AL$6)</f>
        <v>9.3323686977463492E-3</v>
      </c>
      <c r="AM20" s="1111">
        <f>SUMIFS(NewEmisData!L:L, NewEmisData!$A:$A, $G20, NewEmisData!$B:$B, $A20, NewEmisData!$C:$C, $H20, NewEmisData!$D:$D, AM$6)</f>
        <v>9.33206965002485E-3</v>
      </c>
      <c r="AN20" s="1111">
        <f>SUMIFS(NewEmisData!M:M, NewEmisData!$A:$A, $G20, NewEmisData!$B:$B, $A20, NewEmisData!$C:$C, $H20, NewEmisData!$D:$D, AN$6)</f>
        <v>9.3325593207045504E-3</v>
      </c>
      <c r="AO20" s="1111">
        <f t="shared" si="19"/>
        <v>9.3325593207045504E-3</v>
      </c>
      <c r="AP20" s="1111">
        <f t="shared" si="2"/>
        <v>0.56323884311686501</v>
      </c>
      <c r="AQ20" s="1111">
        <f>SUMIFS(NewEmisData!E:E, NewEmisData!$A:$A, $G20, NewEmisData!$B:$B, $A20, NewEmisData!$C:$C, $H20, NewEmisData!$D:$D, AQ$6)</f>
        <v>0.56323884311686501</v>
      </c>
      <c r="AR20" s="1111">
        <f>SUMIFS(NewEmisData!F:F, NewEmisData!$A:$A, $G20, NewEmisData!$B:$B, $A20, NewEmisData!$C:$C, $H20, NewEmisData!$D:$D, AR$6)</f>
        <v>0.65967921760836901</v>
      </c>
      <c r="AS20" s="1111">
        <f>SUMIFS(NewEmisData!G:G, NewEmisData!$A:$A, $G20, NewEmisData!$B:$B, $A20, NewEmisData!$C:$C, $H20, NewEmisData!$D:$D, AS$6)</f>
        <v>0.43849398613699297</v>
      </c>
      <c r="AT20" s="1111">
        <f>SUMIFS(NewEmisData!H:H, NewEmisData!$A:$A, $G20, NewEmisData!$B:$B, $A20, NewEmisData!$C:$C, $H20, NewEmisData!$D:$D, AT$6)</f>
        <v>0.435387742291789</v>
      </c>
      <c r="AU20" s="1111">
        <f>SUMIFS(NewEmisData!I:I, NewEmisData!$A:$A, $G20, NewEmisData!$B:$B, $A20, NewEmisData!$C:$C, $H20, NewEmisData!$D:$D, AU$6)</f>
        <v>0.43677651486407298</v>
      </c>
      <c r="AV20" s="1111">
        <f>SUMIFS(NewEmisData!J:J, NewEmisData!$A:$A, $G20, NewEmisData!$B:$B, $A20, NewEmisData!$C:$C, $H20, NewEmisData!$D:$D, AV$6)</f>
        <v>0.43514383186903999</v>
      </c>
      <c r="AW20" s="1111">
        <f>SUMIFS(NewEmisData!K:K, NewEmisData!$A:$A, $G20, NewEmisData!$B:$B, $A20, NewEmisData!$C:$C, $H20, NewEmisData!$D:$D, AW$6)</f>
        <v>0.43469575175796898</v>
      </c>
      <c r="AX20" s="1111">
        <f>SUMIFS(NewEmisData!L:L, NewEmisData!$A:$A, $G20, NewEmisData!$B:$B, $A20, NewEmisData!$C:$C, $H20, NewEmisData!$D:$D, AX$6)</f>
        <v>0.434695702864836</v>
      </c>
      <c r="AY20" s="1111">
        <f>SUMIFS(NewEmisData!M:M, NewEmisData!$A:$A, $G20, NewEmisData!$B:$B, $A20, NewEmisData!$C:$C, $H20, NewEmisData!$D:$D, AY$6)</f>
        <v>0.43478505724157201</v>
      </c>
      <c r="AZ20" s="1111">
        <f t="shared" si="20"/>
        <v>0.43478505724157201</v>
      </c>
      <c r="BA20" s="1111">
        <f t="shared" si="3"/>
        <v>0.19585131976317</v>
      </c>
      <c r="BB20" s="1111">
        <f>SUMIFS(NewEmisData!E:E, NewEmisData!$A:$A, $G20, NewEmisData!$B:$B, $A20, NewEmisData!$C:$C, $H20, NewEmisData!$D:$D, BB$6)</f>
        <v>0.19585131976317</v>
      </c>
      <c r="BC20" s="1111">
        <f>SUMIFS(NewEmisData!F:F, NewEmisData!$A:$A, $G20, NewEmisData!$B:$B, $A20, NewEmisData!$C:$C, $H20, NewEmisData!$D:$D, BC$6)</f>
        <v>0.281164327502613</v>
      </c>
      <c r="BD20" s="1111">
        <f>SUMIFS(NewEmisData!G:G, NewEmisData!$A:$A, $G20, NewEmisData!$B:$B, $A20, NewEmisData!$C:$C, $H20, NewEmisData!$D:$D, BD$6)</f>
        <v>6.1015791831846501E-2</v>
      </c>
      <c r="BE20" s="1111">
        <f>SUMIFS(NewEmisData!H:H, NewEmisData!$A:$A, $G20, NewEmisData!$B:$B, $A20, NewEmisData!$C:$C, $H20, NewEmisData!$D:$D, BE$6)</f>
        <v>5.82674541625035E-2</v>
      </c>
      <c r="BF20" s="1111">
        <f>SUMIFS(NewEmisData!I:I, NewEmisData!$A:$A, $G20, NewEmisData!$B:$B, $A20, NewEmisData!$C:$C, $H20, NewEmisData!$D:$D, BF$6)</f>
        <v>5.9496434405484099E-2</v>
      </c>
      <c r="BG20" s="1111">
        <f>SUMIFS(NewEmisData!J:J, NewEmisData!$A:$A, $G20, NewEmisData!$B:$B, $A20, NewEmisData!$C:$C, $H20, NewEmisData!$D:$D, BG$6)</f>
        <v>5.8051617759569699E-2</v>
      </c>
      <c r="BH20" s="1111">
        <f>SUMIFS(NewEmisData!K:K, NewEmisData!$A:$A, $G20, NewEmisData!$B:$B, $A20, NewEmisData!$C:$C, $H20, NewEmisData!$D:$D, BH$6)</f>
        <v>5.76550670160648E-2</v>
      </c>
      <c r="BI20" s="1111">
        <f>SUMIFS(NewEmisData!L:L, NewEmisData!$A:$A, $G20, NewEmisData!$B:$B, $A20, NewEmisData!$C:$C, $H20, NewEmisData!$D:$D, BI$6)</f>
        <v>5.7655161934684902E-2</v>
      </c>
      <c r="BJ20" s="1111">
        <f>SUMIFS(NewEmisData!M:M, NewEmisData!$A:$A, $G20, NewEmisData!$B:$B, $A20, NewEmisData!$C:$C, $H20, NewEmisData!$D:$D, BJ$6)</f>
        <v>5.7734278106753099E-2</v>
      </c>
      <c r="BK20" s="1111">
        <f>BJ20</f>
        <v>5.7734278106753099E-2</v>
      </c>
      <c r="BL20" s="1111">
        <f t="shared" si="4"/>
        <v>29.4596309958273</v>
      </c>
      <c r="BM20" s="1111">
        <f>SUMIFS(NewEmisData!E:E, NewEmisData!$A:$A, $G20, NewEmisData!$B:$B, $A20, NewEmisData!$C:$C, $H20, NewEmisData!$D:$D, BM$6)</f>
        <v>29.4596309958273</v>
      </c>
      <c r="BN20" s="1111">
        <f>SUMIFS(NewEmisData!F:F, NewEmisData!$A:$A, $G20, NewEmisData!$B:$B, $A20, NewEmisData!$C:$C, $H20, NewEmisData!$D:$D, BN$6)</f>
        <v>28.621105419521001</v>
      </c>
      <c r="BO20" s="1111">
        <f>SUMIFS(NewEmisData!G:G, NewEmisData!$A:$A, $G20, NewEmisData!$B:$B, $A20, NewEmisData!$C:$C, $H20, NewEmisData!$D:$D, BO$6)</f>
        <v>7.6817855463484399</v>
      </c>
      <c r="BP20" s="1111">
        <f>SUMIFS(NewEmisData!H:H, NewEmisData!$A:$A, $G20, NewEmisData!$B:$B, $A20, NewEmisData!$C:$C, $H20, NewEmisData!$D:$D, BP$6)</f>
        <v>8.9963942727621795</v>
      </c>
      <c r="BQ20" s="1111">
        <f>SUMIFS(NewEmisData!I:I, NewEmisData!$A:$A, $G20, NewEmisData!$B:$B, $A20, NewEmisData!$C:$C, $H20, NewEmisData!$D:$D, BQ$6)</f>
        <v>9.3130254372190695</v>
      </c>
      <c r="BR20" s="1111">
        <f>SUMIFS(NewEmisData!J:J, NewEmisData!$A:$A, $G20, NewEmisData!$B:$B, $A20, NewEmisData!$C:$C, $H20, NewEmisData!$D:$D, BR$6)</f>
        <v>9.0340201312627304</v>
      </c>
      <c r="BS20" s="1111">
        <f>SUMIFS(NewEmisData!K:K, NewEmisData!$A:$A, $G20, NewEmisData!$B:$B, $A20, NewEmisData!$C:$C, $H20, NewEmisData!$D:$D, BS$6)</f>
        <v>9.1194870958021301</v>
      </c>
      <c r="BT20" s="1111">
        <f>SUMIFS(NewEmisData!L:L, NewEmisData!$A:$A, $G20, NewEmisData!$B:$B, $A20, NewEmisData!$C:$C, $H20, NewEmisData!$D:$D, BT$6)</f>
        <v>9.1195354358116791</v>
      </c>
      <c r="BU20" s="1111">
        <f>SUMIFS(NewEmisData!M:M, NewEmisData!$A:$A, $G20, NewEmisData!$B:$B, $A20, NewEmisData!$C:$C, $H20, NewEmisData!$D:$D, BU$6)</f>
        <v>9.1768688492373691</v>
      </c>
      <c r="BV20" s="1111">
        <f>BU20</f>
        <v>9.1768688492373691</v>
      </c>
      <c r="BW20" s="1111">
        <f t="shared" si="5"/>
        <v>5.0930184981446001</v>
      </c>
      <c r="BX20" s="1111">
        <f>SUMIFS(NewEmisData!E:E, NewEmisData!$A:$A, $G20, NewEmisData!$B:$B, $A20, NewEmisData!$C:$C, $H20, NewEmisData!$D:$D, BX$6)</f>
        <v>5.0930184981446001</v>
      </c>
      <c r="BY20" s="1111">
        <f>SUMIFS(NewEmisData!F:F, NewEmisData!$A:$A, $G20, NewEmisData!$B:$B, $A20, NewEmisData!$C:$C, $H20, NewEmisData!$D:$D, BY$6)</f>
        <v>5.0253358346598898</v>
      </c>
      <c r="BZ20" s="1111">
        <f>SUMIFS(NewEmisData!G:G, NewEmisData!$A:$A, $G20, NewEmisData!$B:$B, $A20, NewEmisData!$C:$C, $H20, NewEmisData!$D:$D, BZ$6)</f>
        <v>0.51405823804131701</v>
      </c>
      <c r="CA20" s="1111">
        <f>SUMIFS(NewEmisData!H:H, NewEmisData!$A:$A, $G20, NewEmisData!$B:$B, $A20, NewEmisData!$C:$C, $H20, NewEmisData!$D:$D, CA$6)</f>
        <v>0.387528613317835</v>
      </c>
      <c r="CB20" s="1111">
        <f>SUMIFS(NewEmisData!I:I, NewEmisData!$A:$A, $G20, NewEmisData!$B:$B, $A20, NewEmisData!$C:$C, $H20, NewEmisData!$D:$D, CB$6)</f>
        <v>0.36774416861611597</v>
      </c>
      <c r="CC20" s="1111">
        <f>SUMIFS(NewEmisData!J:J, NewEmisData!$A:$A, $G20, NewEmisData!$B:$B, $A20, NewEmisData!$C:$C, $H20, NewEmisData!$D:$D, CC$6)</f>
        <v>0.35572251850567799</v>
      </c>
      <c r="CD20" s="1111">
        <f>SUMIFS(NewEmisData!K:K, NewEmisData!$A:$A, $G20, NewEmisData!$B:$B, $A20, NewEmisData!$C:$C, $H20, NewEmisData!$D:$D, CD$6)</f>
        <v>0.33175379038174102</v>
      </c>
      <c r="CE20" s="1111">
        <f>SUMIFS(NewEmisData!L:L, NewEmisData!$A:$A, $G20, NewEmisData!$B:$B, $A20, NewEmisData!$C:$C, $H20, NewEmisData!$D:$D, CE$6)</f>
        <v>0.331756695076598</v>
      </c>
      <c r="CF20" s="1111">
        <f>SUMIFS(NewEmisData!M:M, NewEmisData!$A:$A, $G20, NewEmisData!$B:$B, $A20, NewEmisData!$C:$C, $H20, NewEmisData!$D:$D, CF$6)</f>
        <v>0.33409632913945803</v>
      </c>
      <c r="CG20" s="1111">
        <f t="shared" si="6"/>
        <v>0.33409632913945803</v>
      </c>
      <c r="CH20" s="1111">
        <f t="shared" si="7"/>
        <v>5.8005828223388803E-2</v>
      </c>
      <c r="CI20" s="1111">
        <f>SUMIFS(NewEmisData!E:E, NewEmisData!$A:$A, $G20, NewEmisData!$B:$B, $A20, NewEmisData!$C:$C, $H20, NewEmisData!$D:$D, CI$6)</f>
        <v>5.8005828223388803E-2</v>
      </c>
      <c r="CJ20" s="1111">
        <f>SUMIFS(NewEmisData!F:F, NewEmisData!$A:$A, $G20, NewEmisData!$B:$B, $A20, NewEmisData!$C:$C, $H20, NewEmisData!$D:$D, CJ$6)</f>
        <v>5.8005698651183601E-2</v>
      </c>
      <c r="CK20" s="1111">
        <f>SUMIFS(NewEmisData!G:G, NewEmisData!$A:$A, $G20, NewEmisData!$B:$B, $A20, NewEmisData!$C:$C, $H20, NewEmisData!$D:$D, CK$6)</f>
        <v>6.3952492241155401E-2</v>
      </c>
      <c r="CL20" s="1111">
        <f>SUMIFS(NewEmisData!H:H, NewEmisData!$A:$A, $G20, NewEmisData!$B:$B, $A20, NewEmisData!$C:$C, $H20, NewEmisData!$D:$D, CL$6)</f>
        <v>6.3946667315170597E-2</v>
      </c>
      <c r="CM20" s="1111">
        <f>SUMIFS(NewEmisData!I:I, NewEmisData!$A:$A, $G20, NewEmisData!$B:$B, $A20, NewEmisData!$C:$C, $H20, NewEmisData!$D:$D, CM$6)</f>
        <v>6.3944594731192794E-2</v>
      </c>
      <c r="CN20" s="1111">
        <f>SUMIFS(NewEmisData!J:J, NewEmisData!$A:$A, $G20, NewEmisData!$B:$B, $A20, NewEmisData!$C:$C, $H20, NewEmisData!$D:$D, CN$6)</f>
        <v>6.3942027068771501E-2</v>
      </c>
      <c r="CO20" s="1111">
        <f>SUMIFS(NewEmisData!K:K, NewEmisData!$A:$A, $G20, NewEmisData!$B:$B, $A20, NewEmisData!$C:$C, $H20, NewEmisData!$D:$D, CO$6)</f>
        <v>6.3941596803110706E-2</v>
      </c>
      <c r="CP20" s="1111">
        <f>SUMIFS(NewEmisData!L:L, NewEmisData!$A:$A, $G20, NewEmisData!$B:$B, $A20, NewEmisData!$C:$C, $H20, NewEmisData!$D:$D, CP$6)</f>
        <v>6.39415366152081E-2</v>
      </c>
      <c r="CQ20" s="1111">
        <f>SUMIFS(NewEmisData!M:M, NewEmisData!$A:$A, $G20, NewEmisData!$B:$B, $A20, NewEmisData!$C:$C, $H20, NewEmisData!$D:$D, CQ$6)</f>
        <v>6.3941512340742093E-2</v>
      </c>
      <c r="CR20" s="1111">
        <f t="shared" si="8"/>
        <v>6.3941512340742093E-2</v>
      </c>
      <c r="CS20" s="1111">
        <f t="shared" si="9"/>
        <v>0.18414442462908501</v>
      </c>
      <c r="CT20" s="1111">
        <f>SUMIFS(NewEmisData!E:E, NewEmisData!$A:$A, $G20, NewEmisData!$B:$B, $A20, NewEmisData!$C:$C, $H20, NewEmisData!$D:$D, CT$6)</f>
        <v>0.18414442462908501</v>
      </c>
      <c r="CU20" s="1111">
        <f>SUMIFS(NewEmisData!F:F, NewEmisData!$A:$A, $G20, NewEmisData!$B:$B, $A20, NewEmisData!$C:$C, $H20, NewEmisData!$D:$D, CU$6)</f>
        <v>0.19305436052488101</v>
      </c>
      <c r="CV20" s="1111">
        <f>SUMIFS(NewEmisData!G:G, NewEmisData!$A:$A, $G20, NewEmisData!$B:$B, $A20, NewEmisData!$C:$C, $H20, NewEmisData!$D:$D, CV$6)</f>
        <v>0.175367660023205</v>
      </c>
      <c r="CW20" s="1111">
        <f>SUMIFS(NewEmisData!H:H, NewEmisData!$A:$A, $G20, NewEmisData!$B:$B, $A20, NewEmisData!$C:$C, $H20, NewEmisData!$D:$D, CW$6)</f>
        <v>0.17678280347714401</v>
      </c>
      <c r="CX20" s="1111">
        <f>SUMIFS(NewEmisData!I:I, NewEmisData!$A:$A, $G20, NewEmisData!$B:$B, $A20, NewEmisData!$C:$C, $H20, NewEmisData!$D:$D, CX$6)</f>
        <v>0.17745830492190401</v>
      </c>
      <c r="CY20" s="1111">
        <f>SUMIFS(NewEmisData!J:J, NewEmisData!$A:$A, $G20, NewEmisData!$B:$B, $A20, NewEmisData!$C:$C, $H20, NewEmisData!$D:$D, CY$6)</f>
        <v>0.17774444168838499</v>
      </c>
      <c r="CZ20" s="1111">
        <f>SUMIFS(NewEmisData!K:K, NewEmisData!$A:$A, $G20, NewEmisData!$B:$B, $A20, NewEmisData!$C:$C, $H20, NewEmisData!$D:$D, CZ$6)</f>
        <v>0.17674862665267799</v>
      </c>
      <c r="DA20" s="1111">
        <f>SUMIFS(NewEmisData!L:L, NewEmisData!$A:$A, $G20, NewEmisData!$B:$B, $A20, NewEmisData!$C:$C, $H20, NewEmisData!$D:$D, DA$6)</f>
        <v>0.17674752449153799</v>
      </c>
      <c r="DB20" s="1111">
        <f>SUMIFS(NewEmisData!M:M, NewEmisData!$A:$A, $G20, NewEmisData!$B:$B, $A20, NewEmisData!$C:$C, $H20, NewEmisData!$D:$D, DB$6)</f>
        <v>0.17750838787788201</v>
      </c>
      <c r="DC20" s="1111">
        <f>DB20</f>
        <v>0.17750838787788201</v>
      </c>
      <c r="DD20" s="1082"/>
      <c r="DE20" s="1082"/>
      <c r="DF20" s="1082"/>
      <c r="DG20" s="1082"/>
      <c r="DH20" s="1082"/>
      <c r="DI20" s="1082"/>
      <c r="DJ20" s="1082"/>
      <c r="DK20" s="1082"/>
      <c r="DL20" s="1082"/>
      <c r="DM20" s="1082"/>
      <c r="DN20" s="1082"/>
      <c r="DO20" s="1082"/>
      <c r="DP20" s="1082"/>
      <c r="DQ20" s="1082"/>
      <c r="DR20" s="1082"/>
      <c r="DS20" s="1082"/>
      <c r="DT20" s="1082"/>
      <c r="DU20" s="1082"/>
      <c r="DV20" s="1082"/>
      <c r="DW20" s="1082"/>
      <c r="DX20" s="1082"/>
      <c r="DY20" s="1082"/>
      <c r="DZ20" s="1111">
        <f>EA20</f>
        <v>33.5417658414489</v>
      </c>
      <c r="EA20" s="1111">
        <f>SUMIFS(NewEmisData!E:E, NewEmisData!$A:$A, $G20, NewEmisData!$B:$B, $A20, NewEmisData!$C:$C, $H20, NewEmisData!$D:$D, EA$6)</f>
        <v>33.5417658414489</v>
      </c>
      <c r="EB20" s="1111">
        <f>SUMIFS(NewEmisData!F:F, NewEmisData!$A:$A, $G20, NewEmisData!$B:$B, $A20, NewEmisData!$C:$C, $H20, NewEmisData!$D:$D, EB$6)</f>
        <v>33.653386551914203</v>
      </c>
      <c r="EC20" s="1111">
        <f>SUMIFS(NewEmisData!G:G, NewEmisData!$A:$A, $G20, NewEmisData!$B:$B, $A20, NewEmisData!$C:$C, $H20, NewEmisData!$D:$D, EC$6)</f>
        <v>8.5715796873766799</v>
      </c>
      <c r="ED20" s="1111">
        <f>SUMIFS(NewEmisData!H:H, NewEmisData!$A:$A, $G20, NewEmisData!$B:$B, $A20, NewEmisData!$C:$C, $H20, NewEmisData!$D:$D, ED$6)</f>
        <v>7.9623983507554996</v>
      </c>
      <c r="EE20" s="1111">
        <f>SUMIFS(NewEmisData!I:I, NewEmisData!$A:$A, $G20, NewEmisData!$B:$B, $A20, NewEmisData!$C:$C, $H20, NewEmisData!$D:$D, EE$6)</f>
        <v>7.1225906928367602</v>
      </c>
      <c r="EF20" s="1111">
        <f>SUMIFS(NewEmisData!J:J, NewEmisData!$A:$A, $G20, NewEmisData!$B:$B, $A20, NewEmisData!$C:$C, $H20, NewEmisData!$D:$D, EF$6)</f>
        <v>7.3453919181039096</v>
      </c>
      <c r="EG20" s="1111">
        <f>SUMIFS(NewEmisData!K:K, NewEmisData!$A:$A, $G20, NewEmisData!$B:$B, $A20, NewEmisData!$C:$C, $H20, NewEmisData!$D:$D, EG$6)</f>
        <v>6.8720474342018099</v>
      </c>
      <c r="EH20" s="1111">
        <f>SUMIFS(NewEmisData!L:L, NewEmisData!$A:$A, $G20, NewEmisData!$B:$B, $A20, NewEmisData!$C:$C, $H20, NewEmisData!$D:$D, EH$6)</f>
        <v>6.87211109726662</v>
      </c>
      <c r="EI20" s="1111">
        <f>SUMIFS(NewEmisData!M:M, NewEmisData!$A:$A, $G20, NewEmisData!$B:$B, $A20, NewEmisData!$C:$C, $H20, NewEmisData!$D:$D, EI$6)</f>
        <v>6.9205737603502202</v>
      </c>
      <c r="EJ20" s="1111">
        <f>EI20</f>
        <v>6.9205737603502202</v>
      </c>
      <c r="EK20" s="1111">
        <f>EL20</f>
        <v>2178.9967614971001</v>
      </c>
      <c r="EL20" s="1111">
        <f t="shared" si="48"/>
        <v>2178.9967614971001</v>
      </c>
      <c r="EM20" s="1111">
        <f t="shared" si="49"/>
        <v>2166.1808780169699</v>
      </c>
      <c r="EN20" s="1111">
        <f t="shared" si="50"/>
        <v>1829.3230538083899</v>
      </c>
      <c r="EO20" s="1111">
        <f t="shared" si="51"/>
        <v>1792.5465477673099</v>
      </c>
      <c r="EP20" s="1111">
        <f t="shared" si="52"/>
        <v>1783.15413817481</v>
      </c>
      <c r="EQ20" s="1111">
        <f t="shared" si="53"/>
        <v>1766.2276580145201</v>
      </c>
      <c r="ER20" s="1111">
        <f t="shared" si="54"/>
        <v>1762.65639856503</v>
      </c>
      <c r="ES20" s="1111">
        <f t="shared" si="55"/>
        <v>1762.6002362349</v>
      </c>
      <c r="ET20" s="1111">
        <f t="shared" si="56"/>
        <v>1762.69221348628</v>
      </c>
      <c r="EU20" s="1111">
        <f t="shared" si="57"/>
        <v>1762.69221348628</v>
      </c>
      <c r="EV20" s="1111">
        <f>EW20</f>
        <v>17.791352967534699</v>
      </c>
      <c r="EW20" s="1111">
        <f t="shared" si="38"/>
        <v>17.791352967534699</v>
      </c>
      <c r="EX20" s="1111">
        <f t="shared" si="39"/>
        <v>17.463111089302298</v>
      </c>
      <c r="EY20" s="1111">
        <f t="shared" si="40"/>
        <v>3.0267310243138001</v>
      </c>
      <c r="EZ20" s="1111">
        <f t="shared" si="41"/>
        <v>2.3543137298168899</v>
      </c>
      <c r="FA20" s="1111">
        <f t="shared" si="42"/>
        <v>2.0699541963238501</v>
      </c>
      <c r="FB20" s="1111">
        <f t="shared" si="43"/>
        <v>2.1398645413845401</v>
      </c>
      <c r="FC20" s="1111">
        <f t="shared" si="44"/>
        <v>1.9577154303695801</v>
      </c>
      <c r="FD20" s="1111">
        <f t="shared" si="45"/>
        <v>1.9577160230270401</v>
      </c>
      <c r="FE20" s="1111">
        <f t="shared" si="46"/>
        <v>1.96058425238824</v>
      </c>
      <c r="FF20" s="1111">
        <f t="shared" si="47"/>
        <v>1.96058425238824</v>
      </c>
      <c r="FG20" s="1111">
        <f>AE20</f>
        <v>7.75878540003522E-3</v>
      </c>
      <c r="FH20" s="1111">
        <f t="shared" si="58"/>
        <v>7.75878540003522E-3</v>
      </c>
      <c r="FI20" s="1111">
        <f t="shared" si="58"/>
        <v>7.7206892950845299E-3</v>
      </c>
      <c r="FJ20" s="1111">
        <f t="shared" si="58"/>
        <v>9.6853348357149507E-3</v>
      </c>
      <c r="FK20" s="1111">
        <f t="shared" si="58"/>
        <v>9.4906268999874494E-3</v>
      </c>
      <c r="FL20" s="1111">
        <f t="shared" si="58"/>
        <v>9.4408902403545405E-3</v>
      </c>
      <c r="FM20" s="1111">
        <f t="shared" si="58"/>
        <v>9.3512761456049798E-3</v>
      </c>
      <c r="FN20" s="1111">
        <f t="shared" si="58"/>
        <v>9.3323686977463492E-3</v>
      </c>
      <c r="FO20" s="1111">
        <f t="shared" si="58"/>
        <v>9.33206965002485E-3</v>
      </c>
      <c r="FP20" s="1111">
        <f t="shared" si="58"/>
        <v>9.3325593207045504E-3</v>
      </c>
      <c r="FQ20" s="1111">
        <f t="shared" si="58"/>
        <v>9.3325593207045504E-3</v>
      </c>
      <c r="FR20" s="1111">
        <f t="shared" si="25"/>
        <v>0.56323884311686501</v>
      </c>
      <c r="FS20" s="1111">
        <f t="shared" si="26"/>
        <v>0.56323884311686501</v>
      </c>
      <c r="FT20" s="1111">
        <f t="shared" si="27"/>
        <v>0.65967921760836901</v>
      </c>
      <c r="FU20" s="1111">
        <f t="shared" si="28"/>
        <v>0.43849398613699297</v>
      </c>
      <c r="FV20" s="1111">
        <f t="shared" si="29"/>
        <v>0.435387742291789</v>
      </c>
      <c r="FW20" s="1111">
        <f t="shared" si="30"/>
        <v>0.43677651486407298</v>
      </c>
      <c r="FX20" s="1111">
        <f t="shared" si="31"/>
        <v>0.43514383186903999</v>
      </c>
      <c r="FY20" s="1111">
        <f t="shared" si="32"/>
        <v>0.43469575175796898</v>
      </c>
      <c r="FZ20" s="1111">
        <f t="shared" si="33"/>
        <v>0.434695702864836</v>
      </c>
      <c r="GA20" s="1111">
        <f t="shared" si="34"/>
        <v>0.43478505724157201</v>
      </c>
      <c r="GB20" s="1111">
        <f t="shared" si="35"/>
        <v>0.43478505724157201</v>
      </c>
      <c r="GC20" s="1111">
        <f t="shared" si="59"/>
        <v>0.19585131976317</v>
      </c>
      <c r="GD20" s="1111">
        <f t="shared" si="60"/>
        <v>0.19585131976317</v>
      </c>
      <c r="GE20" s="1111">
        <f t="shared" si="61"/>
        <v>0.281164327502613</v>
      </c>
      <c r="GF20" s="1111">
        <f t="shared" si="62"/>
        <v>6.1015791831846501E-2</v>
      </c>
      <c r="GG20" s="1111">
        <f t="shared" si="63"/>
        <v>5.82674541625035E-2</v>
      </c>
      <c r="GH20" s="1111">
        <f t="shared" si="64"/>
        <v>5.9496434405484099E-2</v>
      </c>
      <c r="GI20" s="1111">
        <f t="shared" si="65"/>
        <v>5.8051617759569699E-2</v>
      </c>
      <c r="GJ20" s="1111">
        <f t="shared" si="66"/>
        <v>5.76550670160648E-2</v>
      </c>
      <c r="GK20" s="1111">
        <f t="shared" si="67"/>
        <v>5.7655161934684902E-2</v>
      </c>
      <c r="GL20" s="1111">
        <f t="shared" si="68"/>
        <v>5.7734278106753099E-2</v>
      </c>
      <c r="GM20" s="1111">
        <f t="shared" si="69"/>
        <v>5.7734278106753099E-2</v>
      </c>
    </row>
    <row r="21" spans="1:195" s="265" customFormat="1" x14ac:dyDescent="0.2">
      <c r="A21" s="1071" t="s">
        <v>188</v>
      </c>
      <c r="B21" s="1071" t="str">
        <f>TechData!B13</f>
        <v>TBCNGE</v>
      </c>
      <c r="C21" s="1071" t="str">
        <f>TechData!C13</f>
        <v>Bus, Exisiting CNG</v>
      </c>
      <c r="D21" s="1071" t="str">
        <f>TechData!D13</f>
        <v>bn-vmt, bn-vmt/a</v>
      </c>
      <c r="E21" s="1071" t="str">
        <f>TechData!E13</f>
        <v>TBCNG</v>
      </c>
      <c r="F21" s="1071" t="str">
        <f>TechData!F13</f>
        <v>TB</v>
      </c>
      <c r="G21" s="1113" t="s">
        <v>498</v>
      </c>
      <c r="H21" s="1082" t="s">
        <v>501</v>
      </c>
      <c r="I21" s="1114">
        <v>1</v>
      </c>
      <c r="J21" s="1082" t="str">
        <f t="shared" si="37"/>
        <v>Bus-CNG</v>
      </c>
      <c r="K21" s="1111">
        <f>SUMIFS(NewEmisData!E:E, NewEmisData!$A:$A, $G21, NewEmisData!$B:$B, $A21, NewEmisData!$C:$C, $H21, NewEmisData!$D:$D, K$6)</f>
        <v>1516.0926472297899</v>
      </c>
      <c r="L21" s="1111">
        <f>SUMIFS(NewEmisData!F:F, NewEmisData!$A:$A, $G21, NewEmisData!$B:$B, $A21, NewEmisData!$C:$C, $H21, NewEmisData!$D:$D, L$6)</f>
        <v>1383.7625928366399</v>
      </c>
      <c r="M21" s="1111">
        <f>SUMIFS(NewEmisData!G:G, NewEmisData!$A:$A, $G21, NewEmisData!$B:$B, $A21, NewEmisData!$C:$C, $H21, NewEmisData!$D:$D, M$6)</f>
        <v>1274.6757013323299</v>
      </c>
      <c r="N21" s="1111">
        <f>SUMIFS(NewEmisData!H:H, NewEmisData!$A:$A, $G21, NewEmisData!$B:$B, $A21, NewEmisData!$C:$C, $H21, NewEmisData!$D:$D, N$6)</f>
        <v>1248.93285879051</v>
      </c>
      <c r="O21" s="1111">
        <f>SUMIFS(NewEmisData!I:I, NewEmisData!$A:$A, $G21, NewEmisData!$B:$B, $A21, NewEmisData!$C:$C, $H21, NewEmisData!$D:$D, O$6)</f>
        <v>1242.34709692709</v>
      </c>
      <c r="P21" s="1111">
        <f>SUMIFS(NewEmisData!J:J, NewEmisData!$A:$A, $G21, NewEmisData!$B:$B, $A21, NewEmisData!$C:$C, $H21, NewEmisData!$D:$D, P$6)</f>
        <v>1230.5088675593399</v>
      </c>
      <c r="Q21" s="1111">
        <f>SUMIFS(NewEmisData!K:K, NewEmisData!$A:$A, $G21, NewEmisData!$B:$B, $A21, NewEmisData!$C:$C, $H21, NewEmisData!$D:$D, Q$6)</f>
        <v>1228.0290689091601</v>
      </c>
      <c r="R21" s="1111">
        <f>SUMIFS(NewEmisData!L:L, NewEmisData!$A:$A, $G21, NewEmisData!$B:$B, $A21, NewEmisData!$C:$C, $H21, NewEmisData!$D:$D, R$6)</f>
        <v>1227.99116763047</v>
      </c>
      <c r="S21" s="1111">
        <f>SUMIFS(NewEmisData!M:M, NewEmisData!$A:$A, $G21, NewEmisData!$B:$B, $A21, NewEmisData!$C:$C, $H21, NewEmisData!$D:$D, S$6)</f>
        <v>1228.04156212526</v>
      </c>
      <c r="T21" s="1111">
        <f t="shared" si="17"/>
        <v>1228.04156212526</v>
      </c>
      <c r="U21" s="1111">
        <f>SUMIFS(NewEmisData!E:E, NewEmisData!$A:$A, $G21, NewEmisData!$B:$B, $A21, NewEmisData!$C:$C, $H21, NewEmisData!$D:$D, U$6)</f>
        <v>11.3380018594681</v>
      </c>
      <c r="V21" s="1111">
        <f>SUMIFS(NewEmisData!F:F, NewEmisData!$A:$A, $G21, NewEmisData!$B:$B, $A21, NewEmisData!$C:$C, $H21, NewEmisData!$D:$D, V$6)</f>
        <v>4.4270777617693096</v>
      </c>
      <c r="W21" s="1111">
        <f>SUMIFS(NewEmisData!G:G, NewEmisData!$A:$A, $G21, NewEmisData!$B:$B, $A21, NewEmisData!$C:$C, $H21, NewEmisData!$D:$D, W$6)</f>
        <v>2.2851784558455002</v>
      </c>
      <c r="X21" s="1111">
        <f>SUMIFS(NewEmisData!H:H, NewEmisData!$A:$A, $G21, NewEmisData!$B:$B, $A21, NewEmisData!$C:$C, $H21, NewEmisData!$D:$D, X$6)</f>
        <v>1.77665492953008</v>
      </c>
      <c r="Y21" s="1111">
        <f>SUMIFS(NewEmisData!I:I, NewEmisData!$A:$A, $G21, NewEmisData!$B:$B, $A21, NewEmisData!$C:$C, $H21, NewEmisData!$D:$D, Y$6)</f>
        <v>1.56276598268199</v>
      </c>
      <c r="Z21" s="1111">
        <f>SUMIFS(NewEmisData!J:J, NewEmisData!$A:$A, $G21, NewEmisData!$B:$B, $A21, NewEmisData!$C:$C, $H21, NewEmisData!$D:$D, Z$6)</f>
        <v>1.6150506418937001</v>
      </c>
      <c r="AA21" s="1111">
        <f>SUMIFS(NewEmisData!K:K, NewEmisData!$A:$A, $G21, NewEmisData!$B:$B, $A21, NewEmisData!$C:$C, $H21, NewEmisData!$D:$D, AA$6)</f>
        <v>1.47779953573362</v>
      </c>
      <c r="AB21" s="1111">
        <f>SUMIFS(NewEmisData!L:L, NewEmisData!$A:$A, $G21, NewEmisData!$B:$B, $A21, NewEmisData!$C:$C, $H21, NewEmisData!$D:$D, AB$6)</f>
        <v>1.4778001363942499</v>
      </c>
      <c r="AC21" s="1111">
        <f>SUMIFS(NewEmisData!M:M, NewEmisData!$A:$A, $G21, NewEmisData!$B:$B, $A21, NewEmisData!$C:$C, $H21, NewEmisData!$D:$D, AC$6)</f>
        <v>1.47991659575059</v>
      </c>
      <c r="AD21" s="1111">
        <f t="shared" si="18"/>
        <v>1.47991659575059</v>
      </c>
      <c r="AE21" s="1111">
        <f>AF21</f>
        <v>7.4194239576110604E-3</v>
      </c>
      <c r="AF21" s="1111">
        <f>SUMIFS(NewEmisData!E:E, NewEmisData!$A:$A, $G21, NewEmisData!$B:$B, $A21, NewEmisData!$C:$C, $H21, NewEmisData!$D:$D, AF$6)</f>
        <v>7.4194239576110604E-3</v>
      </c>
      <c r="AG21" s="1111">
        <f>SUMIFS(NewEmisData!F:F, NewEmisData!$A:$A, $G21, NewEmisData!$B:$B, $A21, NewEmisData!$C:$C, $H21, NewEmisData!$D:$D, AG$6)</f>
        <v>6.7471555112269604E-3</v>
      </c>
      <c r="AH21" s="1111">
        <f>SUMIFS(NewEmisData!G:G, NewEmisData!$A:$A, $G21, NewEmisData!$B:$B, $A21, NewEmisData!$C:$C, $H21, NewEmisData!$D:$D, AH$6)</f>
        <v>6.7487595451477004E-3</v>
      </c>
      <c r="AI21" s="1111">
        <f>SUMIFS(NewEmisData!H:H, NewEmisData!$A:$A, $G21, NewEmisData!$B:$B, $A21, NewEmisData!$C:$C, $H21, NewEmisData!$D:$D, AI$6)</f>
        <v>6.6124600825725501E-3</v>
      </c>
      <c r="AJ21" s="1111">
        <f>SUMIFS(NewEmisData!I:I, NewEmisData!$A:$A, $G21, NewEmisData!$B:$B, $A21, NewEmisData!$C:$C, $H21, NewEmisData!$D:$D, AJ$6)</f>
        <v>6.5775946616658003E-3</v>
      </c>
      <c r="AK21" s="1111">
        <f>SUMIFS(NewEmisData!J:J, NewEmisData!$A:$A, $G21, NewEmisData!$B:$B, $A21, NewEmisData!$C:$C, $H21, NewEmisData!$D:$D, AK$6)</f>
        <v>6.5149161690284396E-3</v>
      </c>
      <c r="AL21" s="1111">
        <f>SUMIFS(NewEmisData!K:K, NewEmisData!$A:$A, $G21, NewEmisData!$B:$B, $A21, NewEmisData!$C:$C, $H21, NewEmisData!$D:$D, AL$6)</f>
        <v>6.5017860407342804E-3</v>
      </c>
      <c r="AM21" s="1111">
        <f>SUMIFS(NewEmisData!L:L, NewEmisData!$A:$A, $G21, NewEmisData!$B:$B, $A21, NewEmisData!$C:$C, $H21, NewEmisData!$D:$D, AM$6)</f>
        <v>6.5015847958577897E-3</v>
      </c>
      <c r="AN21" s="1111">
        <f>SUMIFS(NewEmisData!M:M, NewEmisData!$A:$A, $G21, NewEmisData!$B:$B, $A21, NewEmisData!$C:$C, $H21, NewEmisData!$D:$D, AN$6)</f>
        <v>6.5018545048176604E-3</v>
      </c>
      <c r="AO21" s="1111">
        <f t="shared" si="19"/>
        <v>6.5018545048176604E-3</v>
      </c>
      <c r="AP21" s="1111">
        <f t="shared" si="2"/>
        <v>0.35807070269459501</v>
      </c>
      <c r="AQ21" s="1111">
        <f>SUMIFS(NewEmisData!E:E, NewEmisData!$A:$A, $G21, NewEmisData!$B:$B, $A21, NewEmisData!$C:$C, $H21, NewEmisData!$D:$D, AQ$6)</f>
        <v>0.35807070269459501</v>
      </c>
      <c r="AR21" s="1111">
        <f>SUMIFS(NewEmisData!F:F, NewEmisData!$A:$A, $G21, NewEmisData!$B:$B, $A21, NewEmisData!$C:$C, $H21, NewEmisData!$D:$D, AR$6)</f>
        <v>0.28679070316507099</v>
      </c>
      <c r="AS21" s="1111">
        <f>SUMIFS(NewEmisData!G:G, NewEmisData!$A:$A, $G21, NewEmisData!$B:$B, $A21, NewEmisData!$C:$C, $H21, NewEmisData!$D:$D, AS$6)</f>
        <v>0.218906747032379</v>
      </c>
      <c r="AT21" s="1111">
        <f>SUMIFS(NewEmisData!H:H, NewEmisData!$A:$A, $G21, NewEmisData!$B:$B, $A21, NewEmisData!$C:$C, $H21, NewEmisData!$D:$D, AT$6)</f>
        <v>0.21605365916241701</v>
      </c>
      <c r="AU21" s="1111">
        <f>SUMIFS(NewEmisData!I:I, NewEmisData!$A:$A, $G21, NewEmisData!$B:$B, $A21, NewEmisData!$C:$C, $H21, NewEmisData!$D:$D, AU$6)</f>
        <v>0.217493987012533</v>
      </c>
      <c r="AV21" s="1111">
        <f>SUMIFS(NewEmisData!J:J, NewEmisData!$A:$A, $G21, NewEmisData!$B:$B, $A21, NewEmisData!$C:$C, $H21, NewEmisData!$D:$D, AV$6)</f>
        <v>0.215874408641613</v>
      </c>
      <c r="AW21" s="1111">
        <f>SUMIFS(NewEmisData!K:K, NewEmisData!$A:$A, $G21, NewEmisData!$B:$B, $A21, NewEmisData!$C:$C, $H21, NewEmisData!$D:$D, AW$6)</f>
        <v>0.215548001259909</v>
      </c>
      <c r="AX21" s="1111">
        <f>SUMIFS(NewEmisData!L:L, NewEmisData!$A:$A, $G21, NewEmisData!$B:$B, $A21, NewEmisData!$C:$C, $H21, NewEmisData!$D:$D, AX$6)</f>
        <v>0.215548245034523</v>
      </c>
      <c r="AY21" s="1111">
        <f>SUMIFS(NewEmisData!M:M, NewEmisData!$A:$A, $G21, NewEmisData!$B:$B, $A21, NewEmisData!$C:$C, $H21, NewEmisData!$D:$D, AY$6)</f>
        <v>0.215615404289591</v>
      </c>
      <c r="AZ21" s="1111">
        <f t="shared" si="20"/>
        <v>0.215615404289591</v>
      </c>
      <c r="BA21" s="1111">
        <f t="shared" si="3"/>
        <v>0.13708084004218499</v>
      </c>
      <c r="BB21" s="1111">
        <f>SUMIFS(NewEmisData!E:E, NewEmisData!$A:$A, $G21, NewEmisData!$B:$B, $A21, NewEmisData!$C:$C, $H21, NewEmisData!$D:$D, BB$6)</f>
        <v>0.13708084004218499</v>
      </c>
      <c r="BC21" s="1111">
        <f>SUMIFS(NewEmisData!F:F, NewEmisData!$A:$A, $G21, NewEmisData!$B:$B, $A21, NewEmisData!$C:$C, $H21, NewEmisData!$D:$D, BC$6)</f>
        <v>7.4025422906897703E-2</v>
      </c>
      <c r="BD21" s="1111">
        <f>SUMIFS(NewEmisData!G:G, NewEmisData!$A:$A, $G21, NewEmisData!$B:$B, $A21, NewEmisData!$C:$C, $H21, NewEmisData!$D:$D, BD$6)</f>
        <v>3.24536914485807E-2</v>
      </c>
      <c r="BE21" s="1111">
        <f>SUMIFS(NewEmisData!H:H, NewEmisData!$A:$A, $G21, NewEmisData!$B:$B, $A21, NewEmisData!$C:$C, $H21, NewEmisData!$D:$D, BE$6)</f>
        <v>2.9929781219030799E-2</v>
      </c>
      <c r="BF21" s="1111">
        <f>SUMIFS(NewEmisData!I:I, NewEmisData!$A:$A, $G21, NewEmisData!$B:$B, $A21, NewEmisData!$C:$C, $H21, NewEmisData!$D:$D, BF$6)</f>
        <v>3.12036941885327E-2</v>
      </c>
      <c r="BG21" s="1111">
        <f>SUMIFS(NewEmisData!J:J, NewEmisData!$A:$A, $G21, NewEmisData!$B:$B, $A21, NewEmisData!$C:$C, $H21, NewEmisData!$D:$D, BG$6)</f>
        <v>2.97710028337012E-2</v>
      </c>
      <c r="BH21" s="1111">
        <f>SUMIFS(NewEmisData!K:K, NewEmisData!$A:$A, $G21, NewEmisData!$B:$B, $A21, NewEmisData!$C:$C, $H21, NewEmisData!$D:$D, BH$6)</f>
        <v>2.94822042516945E-2</v>
      </c>
      <c r="BI21" s="1111">
        <f>SUMIFS(NewEmisData!L:L, NewEmisData!$A:$A, $G21, NewEmisData!$B:$B, $A21, NewEmisData!$C:$C, $H21, NewEmisData!$D:$D, BI$6)</f>
        <v>2.94822767059961E-2</v>
      </c>
      <c r="BJ21" s="1111">
        <f>SUMIFS(NewEmisData!M:M, NewEmisData!$A:$A, $G21, NewEmisData!$B:$B, $A21, NewEmisData!$C:$C, $H21, NewEmisData!$D:$D, BJ$6)</f>
        <v>2.9541631676445499E-2</v>
      </c>
      <c r="BK21" s="1111">
        <f>BJ21</f>
        <v>2.9541631676445499E-2</v>
      </c>
      <c r="BL21" s="1111">
        <f t="shared" si="4"/>
        <v>16.594928340204699</v>
      </c>
      <c r="BM21" s="1111">
        <f>SUMIFS(NewEmisData!E:E, NewEmisData!$A:$A, $G21, NewEmisData!$B:$B, $A21, NewEmisData!$C:$C, $H21, NewEmisData!$D:$D, BM$6)</f>
        <v>16.594928340204699</v>
      </c>
      <c r="BN21" s="1111">
        <f>SUMIFS(NewEmisData!F:F, NewEmisData!$A:$A, $G21, NewEmisData!$B:$B, $A21, NewEmisData!$C:$C, $H21, NewEmisData!$D:$D, BN$6)</f>
        <v>7.6490424169191096</v>
      </c>
      <c r="BO21" s="1111">
        <f>SUMIFS(NewEmisData!G:G, NewEmisData!$A:$A, $G21, NewEmisData!$B:$B, $A21, NewEmisData!$C:$C, $H21, NewEmisData!$D:$D, BO$6)</f>
        <v>5.2933247998308204</v>
      </c>
      <c r="BP21" s="1111">
        <f>SUMIFS(NewEmisData!H:H, NewEmisData!$A:$A, $G21, NewEmisData!$B:$B, $A21, NewEmisData!$C:$C, $H21, NewEmisData!$D:$D, BP$6)</f>
        <v>6.1528656139162701</v>
      </c>
      <c r="BQ21" s="1111">
        <f>SUMIFS(NewEmisData!I:I, NewEmisData!$A:$A, $G21, NewEmisData!$B:$B, $A21, NewEmisData!$C:$C, $H21, NewEmisData!$D:$D, BQ$6)</f>
        <v>6.3896779926879201</v>
      </c>
      <c r="BR21" s="1111">
        <f>SUMIFS(NewEmisData!J:J, NewEmisData!$A:$A, $G21, NewEmisData!$B:$B, $A21, NewEmisData!$C:$C, $H21, NewEmisData!$D:$D, BR$6)</f>
        <v>6.18028067450813</v>
      </c>
      <c r="BS21" s="1111">
        <f>SUMIFS(NewEmisData!K:K, NewEmisData!$A:$A, $G21, NewEmisData!$B:$B, $A21, NewEmisData!$C:$C, $H21, NewEmisData!$D:$D, BS$6)</f>
        <v>6.2412735124109204</v>
      </c>
      <c r="BT21" s="1111">
        <f>SUMIFS(NewEmisData!L:L, NewEmisData!$A:$A, $G21, NewEmisData!$B:$B, $A21, NewEmisData!$C:$C, $H21, NewEmisData!$D:$D, BT$6)</f>
        <v>6.2413125974036801</v>
      </c>
      <c r="BU21" s="1111">
        <f>SUMIFS(NewEmisData!M:M, NewEmisData!$A:$A, $G21, NewEmisData!$B:$B, $A21, NewEmisData!$C:$C, $H21, NewEmisData!$D:$D, BU$6)</f>
        <v>6.2790878844376499</v>
      </c>
      <c r="BV21" s="1111">
        <f>BU21</f>
        <v>6.2790878844376499</v>
      </c>
      <c r="BW21" s="1111">
        <f t="shared" si="5"/>
        <v>2.48613164030948</v>
      </c>
      <c r="BX21" s="1111">
        <f>SUMIFS(NewEmisData!E:E, NewEmisData!$A:$A, $G21, NewEmisData!$B:$B, $A21, NewEmisData!$C:$C, $H21, NewEmisData!$D:$D, BX$6)</f>
        <v>2.48613164030948</v>
      </c>
      <c r="BY21" s="1111">
        <f>SUMIFS(NewEmisData!F:F, NewEmisData!$A:$A, $G21, NewEmisData!$B:$B, $A21, NewEmisData!$C:$C, $H21, NewEmisData!$D:$D, BY$6)</f>
        <v>0.88716407266546604</v>
      </c>
      <c r="BZ21" s="1111">
        <f>SUMIFS(NewEmisData!G:G, NewEmisData!$A:$A, $G21, NewEmisData!$B:$B, $A21, NewEmisData!$C:$C, $H21, NewEmisData!$D:$D, BZ$6)</f>
        <v>0.27749893473415599</v>
      </c>
      <c r="CA21" s="1111">
        <f>SUMIFS(NewEmisData!H:H, NewEmisData!$A:$A, $G21, NewEmisData!$B:$B, $A21, NewEmisData!$C:$C, $H21, NewEmisData!$D:$D, CA$6)</f>
        <v>0.205204834261316</v>
      </c>
      <c r="CB21" s="1111">
        <f>SUMIFS(NewEmisData!I:I, NewEmisData!$A:$A, $G21, NewEmisData!$B:$B, $A21, NewEmisData!$C:$C, $H21, NewEmisData!$D:$D, CB$6)</f>
        <v>0.19805846754263601</v>
      </c>
      <c r="CC21" s="1111">
        <f>SUMIFS(NewEmisData!J:J, NewEmisData!$A:$A, $G21, NewEmisData!$B:$B, $A21, NewEmisData!$C:$C, $H21, NewEmisData!$D:$D, CC$6)</f>
        <v>0.188577407916631</v>
      </c>
      <c r="CD21" s="1111">
        <f>SUMIFS(NewEmisData!K:K, NewEmisData!$A:$A, $G21, NewEmisData!$B:$B, $A21, NewEmisData!$C:$C, $H21, NewEmisData!$D:$D, CD$6)</f>
        <v>0.176016947090364</v>
      </c>
      <c r="CE21" s="1111">
        <f>SUMIFS(NewEmisData!L:L, NewEmisData!$A:$A, $G21, NewEmisData!$B:$B, $A21, NewEmisData!$C:$C, $H21, NewEmisData!$D:$D, CE$6)</f>
        <v>0.17601867154835699</v>
      </c>
      <c r="CF21" s="1111">
        <f>SUMIFS(NewEmisData!M:M, NewEmisData!$A:$A, $G21, NewEmisData!$B:$B, $A21, NewEmisData!$C:$C, $H21, NewEmisData!$D:$D, CF$6)</f>
        <v>0.177222072212638</v>
      </c>
      <c r="CG21" s="1111">
        <f t="shared" si="6"/>
        <v>0.177222072212638</v>
      </c>
      <c r="CH21" s="1111">
        <f t="shared" si="7"/>
        <v>4.30037571070594E-2</v>
      </c>
      <c r="CI21" s="1111">
        <f>SUMIFS(NewEmisData!E:E, NewEmisData!$A:$A, $G21, NewEmisData!$B:$B, $A21, NewEmisData!$C:$C, $H21, NewEmisData!$D:$D, CI$6)</f>
        <v>4.30037571070594E-2</v>
      </c>
      <c r="CJ21" s="1111">
        <f>SUMIFS(NewEmisData!F:F, NewEmisData!$A:$A, $G21, NewEmisData!$B:$B, $A21, NewEmisData!$C:$C, $H21, NewEmisData!$D:$D, CJ$6)</f>
        <v>4.3000582506103398E-2</v>
      </c>
      <c r="CK21" s="1111">
        <f>SUMIFS(NewEmisData!G:G, NewEmisData!$A:$A, $G21, NewEmisData!$B:$B, $A21, NewEmisData!$C:$C, $H21, NewEmisData!$D:$D, CK$6)</f>
        <v>4.2098070872406003E-2</v>
      </c>
      <c r="CL21" s="1111">
        <f>SUMIFS(NewEmisData!H:H, NewEmisData!$A:$A, $G21, NewEmisData!$B:$B, $A21, NewEmisData!$C:$C, $H21, NewEmisData!$D:$D, CL$6)</f>
        <v>4.20881810288605E-2</v>
      </c>
      <c r="CM21" s="1111">
        <f>SUMIFS(NewEmisData!I:I, NewEmisData!$A:$A, $G21, NewEmisData!$B:$B, $A21, NewEmisData!$C:$C, $H21, NewEmisData!$D:$D, CM$6)</f>
        <v>4.2084744630782503E-2</v>
      </c>
      <c r="CN21" s="1111">
        <f>SUMIFS(NewEmisData!J:J, NewEmisData!$A:$A, $G21, NewEmisData!$B:$B, $A21, NewEmisData!$C:$C, $H21, NewEmisData!$D:$D, CN$6)</f>
        <v>4.2080381656288003E-2</v>
      </c>
      <c r="CO21" s="1111">
        <f>SUMIFS(NewEmisData!K:K, NewEmisData!$A:$A, $G21, NewEmisData!$B:$B, $A21, NewEmisData!$C:$C, $H21, NewEmisData!$D:$D, CO$6)</f>
        <v>4.2079482315663198E-2</v>
      </c>
      <c r="CP21" s="1111">
        <f>SUMIFS(NewEmisData!L:L, NewEmisData!$A:$A, $G21, NewEmisData!$B:$B, $A21, NewEmisData!$C:$C, $H21, NewEmisData!$D:$D, CP$6)</f>
        <v>4.2079453335109998E-2</v>
      </c>
      <c r="CQ21" s="1111">
        <f>SUMIFS(NewEmisData!M:M, NewEmisData!$A:$A, $G21, NewEmisData!$B:$B, $A21, NewEmisData!$C:$C, $H21, NewEmisData!$D:$D, CQ$6)</f>
        <v>4.20794642138183E-2</v>
      </c>
      <c r="CR21" s="1111">
        <f t="shared" si="8"/>
        <v>4.20794642138183E-2</v>
      </c>
      <c r="CS21" s="1111">
        <f t="shared" si="9"/>
        <v>0.138983420489801</v>
      </c>
      <c r="CT21" s="1111">
        <f>SUMIFS(NewEmisData!E:E, NewEmisData!$A:$A, $G21, NewEmisData!$B:$B, $A21, NewEmisData!$C:$C, $H21, NewEmisData!$D:$D, CT$6)</f>
        <v>0.138983420489801</v>
      </c>
      <c r="CU21" s="1111">
        <f>SUMIFS(NewEmisData!F:F, NewEmisData!$A:$A, $G21, NewEmisData!$B:$B, $A21, NewEmisData!$C:$C, $H21, NewEmisData!$D:$D, CU$6)</f>
        <v>0.110065157473166</v>
      </c>
      <c r="CV21" s="1111">
        <f>SUMIFS(NewEmisData!G:G, NewEmisData!$A:$A, $G21, NewEmisData!$B:$B, $A21, NewEmisData!$C:$C, $H21, NewEmisData!$D:$D, CV$6)</f>
        <v>9.1123195728333398E-2</v>
      </c>
      <c r="CW21" s="1111">
        <f>SUMIFS(NewEmisData!H:H, NewEmisData!$A:$A, $G21, NewEmisData!$B:$B, $A21, NewEmisData!$C:$C, $H21, NewEmisData!$D:$D, CW$6)</f>
        <v>9.1914690178789796E-2</v>
      </c>
      <c r="CX21" s="1111">
        <f>SUMIFS(NewEmisData!I:I, NewEmisData!$A:$A, $G21, NewEmisData!$B:$B, $A21, NewEmisData!$C:$C, $H21, NewEmisData!$D:$D, CX$6)</f>
        <v>9.2292712015421399E-2</v>
      </c>
      <c r="CY21" s="1111">
        <f>SUMIFS(NewEmisData!J:J, NewEmisData!$A:$A, $G21, NewEmisData!$B:$B, $A21, NewEmisData!$C:$C, $H21, NewEmisData!$D:$D, CY$6)</f>
        <v>9.2452653742200894E-2</v>
      </c>
      <c r="CZ21" s="1111">
        <f>SUMIFS(NewEmisData!K:K, NewEmisData!$A:$A, $G21, NewEmisData!$B:$B, $A21, NewEmisData!$C:$C, $H21, NewEmisData!$D:$D, CZ$6)</f>
        <v>9.1895568332207703E-2</v>
      </c>
      <c r="DA21" s="1111">
        <f>SUMIFS(NewEmisData!L:L, NewEmisData!$A:$A, $G21, NewEmisData!$B:$B, $A21, NewEmisData!$C:$C, $H21, NewEmisData!$D:$D, DA$6)</f>
        <v>9.1895058180879702E-2</v>
      </c>
      <c r="DB21" s="1111">
        <f>SUMIFS(NewEmisData!M:M, NewEmisData!$A:$A, $G21, NewEmisData!$B:$B, $A21, NewEmisData!$C:$C, $H21, NewEmisData!$D:$D, DB$6)</f>
        <v>9.2320675233934807E-2</v>
      </c>
      <c r="DC21" s="1111">
        <f>DB21</f>
        <v>9.2320675233934807E-2</v>
      </c>
      <c r="DD21" s="1082"/>
      <c r="DE21" s="1082"/>
      <c r="DF21" s="1082"/>
      <c r="DG21" s="1082"/>
      <c r="DH21" s="1082"/>
      <c r="DI21" s="1082"/>
      <c r="DJ21" s="1082"/>
      <c r="DK21" s="1082"/>
      <c r="DL21" s="1082"/>
      <c r="DM21" s="1082"/>
      <c r="DN21" s="1082"/>
      <c r="DO21" s="1082"/>
      <c r="DP21" s="1082"/>
      <c r="DQ21" s="1082"/>
      <c r="DR21" s="1082"/>
      <c r="DS21" s="1082"/>
      <c r="DT21" s="1082"/>
      <c r="DU21" s="1082"/>
      <c r="DV21" s="1082"/>
      <c r="DW21" s="1082"/>
      <c r="DX21" s="1082"/>
      <c r="DY21" s="1082"/>
      <c r="DZ21" s="1111">
        <f>EA21</f>
        <v>17.209080253273701</v>
      </c>
      <c r="EA21" s="1111">
        <f>SUMIFS(NewEmisData!E:E, NewEmisData!$A:$A, $G21, NewEmisData!$B:$B, $A21, NewEmisData!$C:$C, $H21, NewEmisData!$D:$D, EA$6)</f>
        <v>17.209080253273701</v>
      </c>
      <c r="EB21" s="1111">
        <f>SUMIFS(NewEmisData!F:F, NewEmisData!$A:$A, $G21, NewEmisData!$B:$B, $A21, NewEmisData!$C:$C, $H21, NewEmisData!$D:$D, EB$6)</f>
        <v>7.2706655844581203</v>
      </c>
      <c r="EC21" s="1111">
        <f>SUMIFS(NewEmisData!G:G, NewEmisData!$A:$A, $G21, NewEmisData!$B:$B, $A21, NewEmisData!$C:$C, $H21, NewEmisData!$D:$D, EC$6)</f>
        <v>4.58093294447717</v>
      </c>
      <c r="ED21" s="1111">
        <f>SUMIFS(NewEmisData!H:H, NewEmisData!$A:$A, $G21, NewEmisData!$B:$B, $A21, NewEmisData!$C:$C, $H21, NewEmisData!$D:$D, ED$6)</f>
        <v>4.2163496273832299</v>
      </c>
      <c r="EE21" s="1111">
        <f>SUMIFS(NewEmisData!I:I, NewEmisData!$A:$A, $G21, NewEmisData!$B:$B, $A21, NewEmisData!$C:$C, $H21, NewEmisData!$D:$D, EE$6)</f>
        <v>3.7973777218307498</v>
      </c>
      <c r="EF21" s="1111">
        <f>SUMIFS(NewEmisData!J:J, NewEmisData!$A:$A, $G21, NewEmisData!$B:$B, $A21, NewEmisData!$C:$C, $H21, NewEmisData!$D:$D, EF$6)</f>
        <v>3.8940626870163202</v>
      </c>
      <c r="EG21" s="1111">
        <f>SUMIFS(NewEmisData!K:K, NewEmisData!$A:$A, $G21, NewEmisData!$B:$B, $A21, NewEmisData!$C:$C, $H21, NewEmisData!$D:$D, EG$6)</f>
        <v>3.6460689806509099</v>
      </c>
      <c r="EH21" s="1111">
        <f>SUMIFS(NewEmisData!L:L, NewEmisData!$A:$A, $G21, NewEmisData!$B:$B, $A21, NewEmisData!$C:$C, $H21, NewEmisData!$D:$D, EH$6)</f>
        <v>3.6461040549748001</v>
      </c>
      <c r="EI21" s="1111">
        <f>SUMIFS(NewEmisData!M:M, NewEmisData!$A:$A, $G21, NewEmisData!$B:$B, $A21, NewEmisData!$C:$C, $H21, NewEmisData!$D:$D, EI$6)</f>
        <v>3.6710310602693701</v>
      </c>
      <c r="EJ21" s="1111">
        <f>EI21</f>
        <v>3.6710310602693701</v>
      </c>
      <c r="EK21" s="1111">
        <f>EL21</f>
        <v>1516.0926472297899</v>
      </c>
      <c r="EL21" s="1111">
        <f t="shared" si="48"/>
        <v>1516.0926472297899</v>
      </c>
      <c r="EM21" s="1111">
        <f t="shared" si="49"/>
        <v>1383.7625928366399</v>
      </c>
      <c r="EN21" s="1111">
        <f t="shared" si="50"/>
        <v>1274.6757013323299</v>
      </c>
      <c r="EO21" s="1111">
        <f t="shared" si="51"/>
        <v>1248.93285879051</v>
      </c>
      <c r="EP21" s="1111">
        <f t="shared" si="52"/>
        <v>1242.34709692709</v>
      </c>
      <c r="EQ21" s="1111">
        <f t="shared" si="53"/>
        <v>1230.5088675593399</v>
      </c>
      <c r="ER21" s="1111">
        <f t="shared" si="54"/>
        <v>1228.0290689091601</v>
      </c>
      <c r="ES21" s="1111">
        <f t="shared" si="55"/>
        <v>1227.99116763047</v>
      </c>
      <c r="ET21" s="1111">
        <f t="shared" si="56"/>
        <v>1228.04156212526</v>
      </c>
      <c r="EU21" s="1111">
        <f t="shared" si="57"/>
        <v>1228.04156212526</v>
      </c>
      <c r="EV21" s="1111">
        <f>EW21</f>
        <v>11.3380018594681</v>
      </c>
      <c r="EW21" s="1111">
        <f t="shared" si="38"/>
        <v>11.3380018594681</v>
      </c>
      <c r="EX21" s="1111">
        <f t="shared" si="39"/>
        <v>4.4270777617693096</v>
      </c>
      <c r="EY21" s="1111">
        <f t="shared" si="40"/>
        <v>2.2851784558455002</v>
      </c>
      <c r="EZ21" s="1111">
        <f t="shared" si="41"/>
        <v>1.77665492953008</v>
      </c>
      <c r="FA21" s="1111">
        <f t="shared" si="42"/>
        <v>1.56276598268199</v>
      </c>
      <c r="FB21" s="1111">
        <f t="shared" si="43"/>
        <v>1.6150506418937001</v>
      </c>
      <c r="FC21" s="1111">
        <f t="shared" si="44"/>
        <v>1.47779953573362</v>
      </c>
      <c r="FD21" s="1111">
        <f t="shared" si="45"/>
        <v>1.4778001363942499</v>
      </c>
      <c r="FE21" s="1111">
        <f t="shared" si="46"/>
        <v>1.47991659575059</v>
      </c>
      <c r="FF21" s="1111">
        <f t="shared" si="47"/>
        <v>1.47991659575059</v>
      </c>
      <c r="FG21" s="1111">
        <f>AE21</f>
        <v>7.4194239576110604E-3</v>
      </c>
      <c r="FH21" s="1111">
        <f t="shared" si="58"/>
        <v>7.4194239576110604E-3</v>
      </c>
      <c r="FI21" s="1111">
        <f t="shared" si="58"/>
        <v>6.7471555112269604E-3</v>
      </c>
      <c r="FJ21" s="1111">
        <f t="shared" si="58"/>
        <v>6.7487595451477004E-3</v>
      </c>
      <c r="FK21" s="1111">
        <f t="shared" si="58"/>
        <v>6.6124600825725501E-3</v>
      </c>
      <c r="FL21" s="1111">
        <f t="shared" si="58"/>
        <v>6.5775946616658003E-3</v>
      </c>
      <c r="FM21" s="1111">
        <f t="shared" si="58"/>
        <v>6.5149161690284396E-3</v>
      </c>
      <c r="FN21" s="1111">
        <f t="shared" si="58"/>
        <v>6.5017860407342804E-3</v>
      </c>
      <c r="FO21" s="1111">
        <f t="shared" si="58"/>
        <v>6.5015847958577897E-3</v>
      </c>
      <c r="FP21" s="1111">
        <f t="shared" si="58"/>
        <v>6.5018545048176604E-3</v>
      </c>
      <c r="FQ21" s="1111">
        <f t="shared" si="58"/>
        <v>6.5018545048176604E-3</v>
      </c>
      <c r="FR21" s="1111">
        <f t="shared" si="25"/>
        <v>0.35807070269459501</v>
      </c>
      <c r="FS21" s="1111">
        <f t="shared" si="26"/>
        <v>0.35807070269459501</v>
      </c>
      <c r="FT21" s="1111">
        <f t="shared" si="27"/>
        <v>0.28679070316507099</v>
      </c>
      <c r="FU21" s="1111">
        <f t="shared" si="28"/>
        <v>0.218906747032379</v>
      </c>
      <c r="FV21" s="1111">
        <f t="shared" si="29"/>
        <v>0.21605365916241701</v>
      </c>
      <c r="FW21" s="1111">
        <f t="shared" si="30"/>
        <v>0.217493987012533</v>
      </c>
      <c r="FX21" s="1111">
        <f t="shared" si="31"/>
        <v>0.215874408641613</v>
      </c>
      <c r="FY21" s="1111">
        <f t="shared" si="32"/>
        <v>0.215548001259909</v>
      </c>
      <c r="FZ21" s="1111">
        <f t="shared" si="33"/>
        <v>0.215548245034523</v>
      </c>
      <c r="GA21" s="1111">
        <f t="shared" si="34"/>
        <v>0.215615404289591</v>
      </c>
      <c r="GB21" s="1111">
        <f t="shared" si="35"/>
        <v>0.215615404289591</v>
      </c>
      <c r="GC21" s="1111">
        <f t="shared" si="59"/>
        <v>0.13708084004218499</v>
      </c>
      <c r="GD21" s="1111">
        <f t="shared" si="60"/>
        <v>0.13708084004218499</v>
      </c>
      <c r="GE21" s="1111">
        <f t="shared" si="61"/>
        <v>7.4025422906897703E-2</v>
      </c>
      <c r="GF21" s="1111">
        <f t="shared" si="62"/>
        <v>3.24536914485807E-2</v>
      </c>
      <c r="GG21" s="1111">
        <f t="shared" si="63"/>
        <v>2.9929781219030799E-2</v>
      </c>
      <c r="GH21" s="1111">
        <f t="shared" si="64"/>
        <v>3.12036941885327E-2</v>
      </c>
      <c r="GI21" s="1111">
        <f t="shared" si="65"/>
        <v>2.97710028337012E-2</v>
      </c>
      <c r="GJ21" s="1111">
        <f t="shared" si="66"/>
        <v>2.94822042516945E-2</v>
      </c>
      <c r="GK21" s="1111">
        <f t="shared" si="67"/>
        <v>2.94822767059961E-2</v>
      </c>
      <c r="GL21" s="1111">
        <f t="shared" si="68"/>
        <v>2.9541631676445499E-2</v>
      </c>
      <c r="GM21" s="1111">
        <f t="shared" si="69"/>
        <v>2.9541631676445499E-2</v>
      </c>
    </row>
    <row r="22" spans="1:195" s="265" customFormat="1" x14ac:dyDescent="0.2">
      <c r="A22" s="1071" t="s">
        <v>190</v>
      </c>
      <c r="B22" s="1071" t="str">
        <f>TechData!B13</f>
        <v>TBCNGE</v>
      </c>
      <c r="C22" s="1071" t="str">
        <f>TechData!C13</f>
        <v>Bus, Exisiting CNG</v>
      </c>
      <c r="D22" s="1071" t="str">
        <f>TechData!D13</f>
        <v>bn-vmt, bn-vmt/a</v>
      </c>
      <c r="E22" s="1071" t="str">
        <f>TechData!E13</f>
        <v>TBCNG</v>
      </c>
      <c r="F22" s="1071" t="str">
        <f>TechData!F13</f>
        <v>TB</v>
      </c>
      <c r="G22" s="1113" t="s">
        <v>498</v>
      </c>
      <c r="H22" s="1082" t="s">
        <v>501</v>
      </c>
      <c r="I22" s="1114">
        <v>1</v>
      </c>
      <c r="J22" s="1082" t="str">
        <f t="shared" si="37"/>
        <v>Bus-CNG</v>
      </c>
      <c r="K22" s="1111">
        <f>SUMIFS(NewEmisData!E:E, NewEmisData!$A:$A, $G22, NewEmisData!$B:$B, $A22, NewEmisData!$C:$C, $H22, NewEmisData!$D:$D, K$6)</f>
        <v>1553.5210990931</v>
      </c>
      <c r="L22" s="1111">
        <f>SUMIFS(NewEmisData!F:F, NewEmisData!$A:$A, $G22, NewEmisData!$B:$B, $A22, NewEmisData!$C:$C, $H22, NewEmisData!$D:$D, L$6)</f>
        <v>1408.88496713674</v>
      </c>
      <c r="M22" s="1111">
        <f>SUMIFS(NewEmisData!G:G, NewEmisData!$A:$A, $G22, NewEmisData!$B:$B, $A22, NewEmisData!$C:$C, $H22, NewEmisData!$D:$D, M$6)</f>
        <v>1462.3627813248299</v>
      </c>
      <c r="N22" s="1111">
        <f>SUMIFS(NewEmisData!H:H, NewEmisData!$A:$A, $G22, NewEmisData!$B:$B, $A22, NewEmisData!$C:$C, $H22, NewEmisData!$D:$D, N$6)</f>
        <v>1432.84931920791</v>
      </c>
      <c r="O22" s="1111">
        <f>SUMIFS(NewEmisData!I:I, NewEmisData!$A:$A, $G22, NewEmisData!$B:$B, $A22, NewEmisData!$C:$C, $H22, NewEmisData!$D:$D, O$6)</f>
        <v>1425.2997832645599</v>
      </c>
      <c r="P22" s="1111">
        <f>SUMIFS(NewEmisData!J:J, NewEmisData!$A:$A, $G22, NewEmisData!$B:$B, $A22, NewEmisData!$C:$C, $H22, NewEmisData!$D:$D, P$6)</f>
        <v>1411.72897391071</v>
      </c>
      <c r="Q22" s="1111">
        <f>SUMIFS(NewEmisData!K:K, NewEmisData!$A:$A, $G22, NewEmisData!$B:$B, $A22, NewEmisData!$C:$C, $H22, NewEmisData!$D:$D, Q$6)</f>
        <v>1408.8954231452899</v>
      </c>
      <c r="R22" s="1111">
        <f>SUMIFS(NewEmisData!L:L, NewEmisData!$A:$A, $G22, NewEmisData!$B:$B, $A22, NewEmisData!$C:$C, $H22, NewEmisData!$D:$D, R$6)</f>
        <v>1408.8503496293499</v>
      </c>
      <c r="S22" s="1111">
        <f>SUMIFS(NewEmisData!M:M, NewEmisData!$A:$A, $G22, NewEmisData!$B:$B, $A22, NewEmisData!$C:$C, $H22, NewEmisData!$D:$D, S$6)</f>
        <v>1408.9043821590301</v>
      </c>
      <c r="T22" s="1111">
        <f t="shared" si="17"/>
        <v>1408.9043821590301</v>
      </c>
      <c r="U22" s="1111">
        <f>SUMIFS(NewEmisData!E:E, NewEmisData!$A:$A, $G22, NewEmisData!$B:$B, $A22, NewEmisData!$C:$C, $H22, NewEmisData!$D:$D, U$6)</f>
        <v>12.243629501244</v>
      </c>
      <c r="V22" s="1111">
        <f>SUMIFS(NewEmisData!F:F, NewEmisData!$A:$A, $G22, NewEmisData!$B:$B, $A22, NewEmisData!$C:$C, $H22, NewEmisData!$D:$D, V$6)</f>
        <v>4.4057269822849499</v>
      </c>
      <c r="W22" s="1111">
        <f>SUMIFS(NewEmisData!G:G, NewEmisData!$A:$A, $G22, NewEmisData!$B:$B, $A22, NewEmisData!$C:$C, $H22, NewEmisData!$D:$D, W$6)</f>
        <v>2.5338719659062199</v>
      </c>
      <c r="X22" s="1111">
        <f>SUMIFS(NewEmisData!H:H, NewEmisData!$A:$A, $G22, NewEmisData!$B:$B, $A22, NewEmisData!$C:$C, $H22, NewEmisData!$D:$D, X$6)</f>
        <v>1.97053635775459</v>
      </c>
      <c r="Y22" s="1111">
        <f>SUMIFS(NewEmisData!I:I, NewEmisData!$A:$A, $G22, NewEmisData!$B:$B, $A22, NewEmisData!$C:$C, $H22, NewEmisData!$D:$D, Y$6)</f>
        <v>1.73288574795435</v>
      </c>
      <c r="Z22" s="1111">
        <f>SUMIFS(NewEmisData!J:J, NewEmisData!$A:$A, $G22, NewEmisData!$B:$B, $A22, NewEmisData!$C:$C, $H22, NewEmisData!$D:$D, Z$6)</f>
        <v>1.7912592346090399</v>
      </c>
      <c r="AA22" s="1111">
        <f>SUMIFS(NewEmisData!K:K, NewEmisData!$A:$A, $G22, NewEmisData!$B:$B, $A22, NewEmisData!$C:$C, $H22, NewEmisData!$D:$D, AA$6)</f>
        <v>1.6389959510055401</v>
      </c>
      <c r="AB22" s="1111">
        <f>SUMIFS(NewEmisData!L:L, NewEmisData!$A:$A, $G22, NewEmisData!$B:$B, $A22, NewEmisData!$C:$C, $H22, NewEmisData!$D:$D, AB$6)</f>
        <v>1.6389971437373501</v>
      </c>
      <c r="AC22" s="1111">
        <f>SUMIFS(NewEmisData!M:M, NewEmisData!$A:$A, $G22, NewEmisData!$B:$B, $A22, NewEmisData!$C:$C, $H22, NewEmisData!$D:$D, AC$6)</f>
        <v>1.6413497936376999</v>
      </c>
      <c r="AD22" s="1111">
        <f t="shared" si="18"/>
        <v>1.6413497936376999</v>
      </c>
      <c r="AE22" s="1111">
        <f>AF22</f>
        <v>7.5181123500885298E-3</v>
      </c>
      <c r="AF22" s="1111">
        <f>SUMIFS(NewEmisData!E:E, NewEmisData!$A:$A, $G22, NewEmisData!$B:$B, $A22, NewEmisData!$C:$C, $H22, NewEmisData!$D:$D, AF$6)</f>
        <v>7.5181123500885298E-3</v>
      </c>
      <c r="AG22" s="1111">
        <f>SUMIFS(NewEmisData!F:F, NewEmisData!$A:$A, $G22, NewEmisData!$B:$B, $A22, NewEmisData!$C:$C, $H22, NewEmisData!$D:$D, AG$6)</f>
        <v>6.72193717894523E-3</v>
      </c>
      <c r="AH22" s="1111">
        <f>SUMIFS(NewEmisData!G:G, NewEmisData!$A:$A, $G22, NewEmisData!$B:$B, $A22, NewEmisData!$C:$C, $H22, NewEmisData!$D:$D, AH$6)</f>
        <v>7.7424633042752298E-3</v>
      </c>
      <c r="AI22" s="1111">
        <f>SUMIFS(NewEmisData!H:H, NewEmisData!$A:$A, $G22, NewEmisData!$B:$B, $A22, NewEmisData!$C:$C, $H22, NewEmisData!$D:$D, AI$6)</f>
        <v>7.5862031517122301E-3</v>
      </c>
      <c r="AJ22" s="1111">
        <f>SUMIFS(NewEmisData!I:I, NewEmisData!$A:$A, $G22, NewEmisData!$B:$B, $A22, NewEmisData!$C:$C, $H22, NewEmisData!$D:$D, AJ$6)</f>
        <v>7.5462363983801496E-3</v>
      </c>
      <c r="AK22" s="1111">
        <f>SUMIFS(NewEmisData!J:J, NewEmisData!$A:$A, $G22, NewEmisData!$B:$B, $A22, NewEmisData!$C:$C, $H22, NewEmisData!$D:$D, AK$6)</f>
        <v>7.4743875655051799E-3</v>
      </c>
      <c r="AL22" s="1111">
        <f>SUMIFS(NewEmisData!K:K, NewEmisData!$A:$A, $G22, NewEmisData!$B:$B, $A22, NewEmisData!$C:$C, $H22, NewEmisData!$D:$D, AL$6)</f>
        <v>7.4593805624821796E-3</v>
      </c>
      <c r="AM22" s="1111">
        <f>SUMIFS(NewEmisData!L:L, NewEmisData!$A:$A, $G22, NewEmisData!$B:$B, $A22, NewEmisData!$C:$C, $H22, NewEmisData!$D:$D, AM$6)</f>
        <v>7.4591468383354304E-3</v>
      </c>
      <c r="AN22" s="1111">
        <f>SUMIFS(NewEmisData!M:M, NewEmisData!$A:$A, $G22, NewEmisData!$B:$B, $A22, NewEmisData!$C:$C, $H22, NewEmisData!$D:$D, AN$6)</f>
        <v>7.4594296654913296E-3</v>
      </c>
      <c r="AO22" s="1111">
        <f t="shared" si="19"/>
        <v>7.4594296654913296E-3</v>
      </c>
      <c r="AP22" s="1111">
        <f t="shared" si="2"/>
        <v>0.39638833463587397</v>
      </c>
      <c r="AQ22" s="1111">
        <f>SUMIFS(NewEmisData!E:E, NewEmisData!$A:$A, $G22, NewEmisData!$B:$B, $A22, NewEmisData!$C:$C, $H22, NewEmisData!$D:$D, AQ$6)</f>
        <v>0.39638833463587397</v>
      </c>
      <c r="AR22" s="1111">
        <f>SUMIFS(NewEmisData!F:F, NewEmisData!$A:$A, $G22, NewEmisData!$B:$B, $A22, NewEmisData!$C:$C, $H22, NewEmisData!$D:$D, AR$6)</f>
        <v>0.29090093127093197</v>
      </c>
      <c r="AS22" s="1111">
        <f>SUMIFS(NewEmisData!G:G, NewEmisData!$A:$A, $G22, NewEmisData!$B:$B, $A22, NewEmisData!$C:$C, $H22, NewEmisData!$D:$D, AS$6)</f>
        <v>0.30512480081238003</v>
      </c>
      <c r="AT22" s="1111">
        <f>SUMIFS(NewEmisData!H:H, NewEmisData!$A:$A, $G22, NewEmisData!$B:$B, $A22, NewEmisData!$C:$C, $H22, NewEmisData!$D:$D, AT$6)</f>
        <v>0.30228358490423202</v>
      </c>
      <c r="AU22" s="1111">
        <f>SUMIFS(NewEmisData!I:I, NewEmisData!$A:$A, $G22, NewEmisData!$B:$B, $A22, NewEmisData!$C:$C, $H22, NewEmisData!$D:$D, AU$6)</f>
        <v>0.30366691295985598</v>
      </c>
      <c r="AV22" s="1111">
        <f>SUMIFS(NewEmisData!J:J, NewEmisData!$A:$A, $G22, NewEmisData!$B:$B, $A22, NewEmisData!$C:$C, $H22, NewEmisData!$D:$D, AV$6)</f>
        <v>0.30208997800131698</v>
      </c>
      <c r="AW22" s="1111">
        <f>SUMIFS(NewEmisData!K:K, NewEmisData!$A:$A, $G22, NewEmisData!$B:$B, $A22, NewEmisData!$C:$C, $H22, NewEmisData!$D:$D, AW$6)</f>
        <v>0.30173562336722598</v>
      </c>
      <c r="AX22" s="1111">
        <f>SUMIFS(NewEmisData!L:L, NewEmisData!$A:$A, $G22, NewEmisData!$B:$B, $A22, NewEmisData!$C:$C, $H22, NewEmisData!$D:$D, AX$6)</f>
        <v>0.30173549102415298</v>
      </c>
      <c r="AY22" s="1111">
        <f>SUMIFS(NewEmisData!M:M, NewEmisData!$A:$A, $G22, NewEmisData!$B:$B, $A22, NewEmisData!$C:$C, $H22, NewEmisData!$D:$D, AY$6)</f>
        <v>0.301808555330837</v>
      </c>
      <c r="AZ22" s="1111">
        <f t="shared" si="20"/>
        <v>0.301808555330837</v>
      </c>
      <c r="BA22" s="1111">
        <f t="shared" si="3"/>
        <v>0.16760085093958199</v>
      </c>
      <c r="BB22" s="1111">
        <f>SUMIFS(NewEmisData!E:E, NewEmisData!$A:$A, $G22, NewEmisData!$B:$B, $A22, NewEmisData!$C:$C, $H22, NewEmisData!$D:$D, BB$6)</f>
        <v>0.16760085093958199</v>
      </c>
      <c r="BC22" s="1111">
        <f>SUMIFS(NewEmisData!F:F, NewEmisData!$A:$A, $G22, NewEmisData!$B:$B, $A22, NewEmisData!$C:$C, $H22, NewEmisData!$D:$D, BC$6)</f>
        <v>7.4285465319141195E-2</v>
      </c>
      <c r="BD22" s="1111">
        <f>SUMIFS(NewEmisData!G:G, NewEmisData!$A:$A, $G22, NewEmisData!$B:$B, $A22, NewEmisData!$C:$C, $H22, NewEmisData!$D:$D, BD$6)</f>
        <v>4.3481827085775297E-2</v>
      </c>
      <c r="BE22" s="1111">
        <f>SUMIFS(NewEmisData!H:H, NewEmisData!$A:$A, $G22, NewEmisData!$B:$B, $A22, NewEmisData!$C:$C, $H22, NewEmisData!$D:$D, BE$6)</f>
        <v>4.0968421942404701E-2</v>
      </c>
      <c r="BF22" s="1111">
        <f>SUMIFS(NewEmisData!I:I, NewEmisData!$A:$A, $G22, NewEmisData!$B:$B, $A22, NewEmisData!$C:$C, $H22, NewEmisData!$D:$D, BF$6)</f>
        <v>4.21915697435057E-2</v>
      </c>
      <c r="BG22" s="1111">
        <f>SUMIFS(NewEmisData!J:J, NewEmisData!$A:$A, $G22, NewEmisData!$B:$B, $A22, NewEmisData!$C:$C, $H22, NewEmisData!$D:$D, BG$6)</f>
        <v>4.0796629114503602E-2</v>
      </c>
      <c r="BH22" s="1111">
        <f>SUMIFS(NewEmisData!K:K, NewEmisData!$A:$A, $G22, NewEmisData!$B:$B, $A22, NewEmisData!$C:$C, $H22, NewEmisData!$D:$D, BH$6)</f>
        <v>4.0483008408731903E-2</v>
      </c>
      <c r="BI22" s="1111">
        <f>SUMIFS(NewEmisData!L:L, NewEmisData!$A:$A, $G22, NewEmisData!$B:$B, $A22, NewEmisData!$C:$C, $H22, NewEmisData!$D:$D, BI$6)</f>
        <v>4.0483108528960102E-2</v>
      </c>
      <c r="BJ22" s="1111">
        <f>SUMIFS(NewEmisData!M:M, NewEmisData!$A:$A, $G22, NewEmisData!$B:$B, $A22, NewEmisData!$C:$C, $H22, NewEmisData!$D:$D, BJ$6)</f>
        <v>4.0547746759359002E-2</v>
      </c>
      <c r="BK22" s="1111">
        <f>BJ22</f>
        <v>4.0547746759359002E-2</v>
      </c>
      <c r="BL22" s="1111">
        <f t="shared" si="4"/>
        <v>17.990411200770101</v>
      </c>
      <c r="BM22" s="1111">
        <f>SUMIFS(NewEmisData!E:E, NewEmisData!$A:$A, $G22, NewEmisData!$B:$B, $A22, NewEmisData!$C:$C, $H22, NewEmisData!$D:$D, BM$6)</f>
        <v>17.990411200770101</v>
      </c>
      <c r="BN22" s="1111">
        <f>SUMIFS(NewEmisData!F:F, NewEmisData!$A:$A, $G22, NewEmisData!$B:$B, $A22, NewEmisData!$C:$C, $H22, NewEmisData!$D:$D, BN$6)</f>
        <v>7.2585459848305502</v>
      </c>
      <c r="BO22" s="1111">
        <f>SUMIFS(NewEmisData!G:G, NewEmisData!$A:$A, $G22, NewEmisData!$B:$B, $A22, NewEmisData!$C:$C, $H22, NewEmisData!$D:$D, BO$6)</f>
        <v>6.1426523915957798</v>
      </c>
      <c r="BP22" s="1111">
        <f>SUMIFS(NewEmisData!H:H, NewEmisData!$A:$A, $G22, NewEmisData!$B:$B, $A22, NewEmisData!$C:$C, $H22, NewEmisData!$D:$D, BP$6)</f>
        <v>7.1691238003443596</v>
      </c>
      <c r="BQ22" s="1111">
        <f>SUMIFS(NewEmisData!I:I, NewEmisData!$A:$A, $G22, NewEmisData!$B:$B, $A22, NewEmisData!$C:$C, $H22, NewEmisData!$D:$D, BQ$6)</f>
        <v>7.4337921877774802</v>
      </c>
      <c r="BR22" s="1111">
        <f>SUMIFS(NewEmisData!J:J, NewEmisData!$A:$A, $G22, NewEmisData!$B:$B, $A22, NewEmisData!$C:$C, $H22, NewEmisData!$D:$D, BR$6)</f>
        <v>7.1994411397323903</v>
      </c>
      <c r="BS22" s="1111">
        <f>SUMIFS(NewEmisData!K:K, NewEmisData!$A:$A, $G22, NewEmisData!$B:$B, $A22, NewEmisData!$C:$C, $H22, NewEmisData!$D:$D, BS$6)</f>
        <v>7.2709849110611904</v>
      </c>
      <c r="BT22" s="1111">
        <f>SUMIFS(NewEmisData!L:L, NewEmisData!$A:$A, $G22, NewEmisData!$B:$B, $A22, NewEmisData!$C:$C, $H22, NewEmisData!$D:$D, BT$6)</f>
        <v>7.2710279922364496</v>
      </c>
      <c r="BU22" s="1111">
        <f>SUMIFS(NewEmisData!M:M, NewEmisData!$A:$A, $G22, NewEmisData!$B:$B, $A22, NewEmisData!$C:$C, $H22, NewEmisData!$D:$D, BU$6)</f>
        <v>7.3149803043521597</v>
      </c>
      <c r="BV22" s="1111">
        <f>BU22</f>
        <v>7.3149803043521597</v>
      </c>
      <c r="BW22" s="1111">
        <f t="shared" si="5"/>
        <v>2.9430592441144499</v>
      </c>
      <c r="BX22" s="1111">
        <f>SUMIFS(NewEmisData!E:E, NewEmisData!$A:$A, $G22, NewEmisData!$B:$B, $A22, NewEmisData!$C:$C, $H22, NewEmisData!$D:$D, BX$6)</f>
        <v>2.9430592441144499</v>
      </c>
      <c r="BY22" s="1111">
        <f>SUMIFS(NewEmisData!F:F, NewEmisData!$A:$A, $G22, NewEmisData!$B:$B, $A22, NewEmisData!$C:$C, $H22, NewEmisData!$D:$D, BY$6)</f>
        <v>0.85648765894271195</v>
      </c>
      <c r="BZ22" s="1111">
        <f>SUMIFS(NewEmisData!G:G, NewEmisData!$A:$A, $G22, NewEmisData!$B:$B, $A22, NewEmisData!$C:$C, $H22, NewEmisData!$D:$D, BZ$6)</f>
        <v>0.36361632063642702</v>
      </c>
      <c r="CA22" s="1111">
        <f>SUMIFS(NewEmisData!H:H, NewEmisData!$A:$A, $G22, NewEmisData!$B:$B, $A22, NewEmisData!$C:$C, $H22, NewEmisData!$D:$D, CA$6)</f>
        <v>0.27169020086571199</v>
      </c>
      <c r="CB22" s="1111">
        <f>SUMIFS(NewEmisData!I:I, NewEmisData!$A:$A, $G22, NewEmisData!$B:$B, $A22, NewEmisData!$C:$C, $H22, NewEmisData!$D:$D, CB$6)</f>
        <v>0.25980348368640299</v>
      </c>
      <c r="CC22" s="1111">
        <f>SUMIFS(NewEmisData!J:J, NewEmisData!$A:$A, $G22, NewEmisData!$B:$B, $A22, NewEmisData!$C:$C, $H22, NewEmisData!$D:$D, CC$6)</f>
        <v>0.24951146113875</v>
      </c>
      <c r="CD22" s="1111">
        <f>SUMIFS(NewEmisData!K:K, NewEmisData!$A:$A, $G22, NewEmisData!$B:$B, $A22, NewEmisData!$C:$C, $H22, NewEmisData!$D:$D, CD$6)</f>
        <v>0.23278809859364299</v>
      </c>
      <c r="CE22" s="1111">
        <f>SUMIFS(NewEmisData!L:L, NewEmisData!$A:$A, $G22, NewEmisData!$B:$B, $A22, NewEmisData!$C:$C, $H22, NewEmisData!$D:$D, CE$6)</f>
        <v>0.23279061475395799</v>
      </c>
      <c r="CF22" s="1111">
        <f>SUMIFS(NewEmisData!M:M, NewEmisData!$A:$A, $G22, NewEmisData!$B:$B, $A22, NewEmisData!$C:$C, $H22, NewEmisData!$D:$D, CF$6)</f>
        <v>0.23440507280589101</v>
      </c>
      <c r="CG22" s="1111">
        <f t="shared" si="6"/>
        <v>0.23440507280589101</v>
      </c>
      <c r="CH22" s="1111">
        <f t="shared" si="7"/>
        <v>4.2845431807355498E-2</v>
      </c>
      <c r="CI22" s="1111">
        <f>SUMIFS(NewEmisData!E:E, NewEmisData!$A:$A, $G22, NewEmisData!$B:$B, $A22, NewEmisData!$C:$C, $H22, NewEmisData!$D:$D, CI$6)</f>
        <v>4.2845431807355498E-2</v>
      </c>
      <c r="CJ22" s="1111">
        <f>SUMIFS(NewEmisData!F:F, NewEmisData!$A:$A, $G22, NewEmisData!$B:$B, $A22, NewEmisData!$C:$C, $H22, NewEmisData!$D:$D, CJ$6)</f>
        <v>4.2845229082484199E-2</v>
      </c>
      <c r="CK22" s="1111">
        <f>SUMIFS(NewEmisData!G:G, NewEmisData!$A:$A, $G22, NewEmisData!$B:$B, $A22, NewEmisData!$C:$C, $H22, NewEmisData!$D:$D, CK$6)</f>
        <v>4.9324427827802997E-2</v>
      </c>
      <c r="CL22" s="1111">
        <f>SUMIFS(NewEmisData!H:H, NewEmisData!$A:$A, $G22, NewEmisData!$B:$B, $A22, NewEmisData!$C:$C, $H22, NewEmisData!$D:$D, CL$6)</f>
        <v>4.9316373839858499E-2</v>
      </c>
      <c r="CM22" s="1111">
        <f>SUMIFS(NewEmisData!I:I, NewEmisData!$A:$A, $G22, NewEmisData!$B:$B, $A22, NewEmisData!$C:$C, $H22, NewEmisData!$D:$D, CM$6)</f>
        <v>4.9313565182193903E-2</v>
      </c>
      <c r="CN22" s="1111">
        <f>SUMIFS(NewEmisData!J:J, NewEmisData!$A:$A, $G22, NewEmisData!$B:$B, $A22, NewEmisData!$C:$C, $H22, NewEmisData!$D:$D, CN$6)</f>
        <v>4.9310010478126401E-2</v>
      </c>
      <c r="CO22" s="1111">
        <f>SUMIFS(NewEmisData!K:K, NewEmisData!$A:$A, $G22, NewEmisData!$B:$B, $A22, NewEmisData!$C:$C, $H22, NewEmisData!$D:$D, CO$6)</f>
        <v>4.9309269691000898E-2</v>
      </c>
      <c r="CP22" s="1111">
        <f>SUMIFS(NewEmisData!L:L, NewEmisData!$A:$A, $G22, NewEmisData!$B:$B, $A22, NewEmisData!$C:$C, $H22, NewEmisData!$D:$D, CP$6)</f>
        <v>4.9309246414996899E-2</v>
      </c>
      <c r="CQ22" s="1111">
        <f>SUMIFS(NewEmisData!M:M, NewEmisData!$A:$A, $G22, NewEmisData!$B:$B, $A22, NewEmisData!$C:$C, $H22, NewEmisData!$D:$D, CQ$6)</f>
        <v>4.93092310618925E-2</v>
      </c>
      <c r="CR22" s="1111">
        <f t="shared" si="8"/>
        <v>4.93092310618925E-2</v>
      </c>
      <c r="CS22" s="1111">
        <f t="shared" si="9"/>
        <v>9.5022001966096004E-2</v>
      </c>
      <c r="CT22" s="1111">
        <f>SUMIFS(NewEmisData!E:E, NewEmisData!$A:$A, $G22, NewEmisData!$B:$B, $A22, NewEmisData!$C:$C, $H22, NewEmisData!$D:$D, CT$6)</f>
        <v>9.5022001966096004E-2</v>
      </c>
      <c r="CU22" s="1111">
        <f>SUMIFS(NewEmisData!F:F, NewEmisData!$A:$A, $G22, NewEmisData!$B:$B, $A22, NewEmisData!$C:$C, $H22, NewEmisData!$D:$D, CU$6)</f>
        <v>9.4153576596088001E-2</v>
      </c>
      <c r="CV22" s="1111">
        <f>SUMIFS(NewEmisData!G:G, NewEmisData!$A:$A, $G22, NewEmisData!$B:$B, $A22, NewEmisData!$C:$C, $H22, NewEmisData!$D:$D, CV$6)</f>
        <v>0.116196244904277</v>
      </c>
      <c r="CW22" s="1111">
        <f>SUMIFS(NewEmisData!H:H, NewEmisData!$A:$A, $G22, NewEmisData!$B:$B, $A22, NewEmisData!$C:$C, $H22, NewEmisData!$D:$D, CW$6)</f>
        <v>0.117032953911949</v>
      </c>
      <c r="CX22" s="1111">
        <f>SUMIFS(NewEmisData!I:I, NewEmisData!$A:$A, $G22, NewEmisData!$B:$B, $A22, NewEmisData!$C:$C, $H22, NewEmisData!$D:$D, CX$6)</f>
        <v>0.11743259561145999</v>
      </c>
      <c r="CY22" s="1111">
        <f>SUMIFS(NewEmisData!J:J, NewEmisData!$A:$A, $G22, NewEmisData!$B:$B, $A22, NewEmisData!$C:$C, $H22, NewEmisData!$D:$D, CY$6)</f>
        <v>0.117601803127102</v>
      </c>
      <c r="CZ22" s="1111">
        <f>SUMIFS(NewEmisData!K:K, NewEmisData!$A:$A, $G22, NewEmisData!$B:$B, $A22, NewEmisData!$C:$C, $H22, NewEmisData!$D:$D, CZ$6)</f>
        <v>0.11701285490505001</v>
      </c>
      <c r="DA22" s="1111">
        <f>SUMIFS(NewEmisData!L:L, NewEmisData!$A:$A, $G22, NewEmisData!$B:$B, $A22, NewEmisData!$C:$C, $H22, NewEmisData!$D:$D, DA$6)</f>
        <v>0.117012223650427</v>
      </c>
      <c r="DB22" s="1111">
        <f>SUMIFS(NewEmisData!M:M, NewEmisData!$A:$A, $G22, NewEmisData!$B:$B, $A22, NewEmisData!$C:$C, $H22, NewEmisData!$D:$D, DB$6)</f>
        <v>0.117462182372974</v>
      </c>
      <c r="DC22" s="1111">
        <f>DB22</f>
        <v>0.117462182372974</v>
      </c>
      <c r="DD22" s="1082"/>
      <c r="DE22" s="1082"/>
      <c r="DF22" s="1082"/>
      <c r="DG22" s="1082"/>
      <c r="DH22" s="1082"/>
      <c r="DI22" s="1082"/>
      <c r="DJ22" s="1082"/>
      <c r="DK22" s="1082"/>
      <c r="DL22" s="1082"/>
      <c r="DM22" s="1082"/>
      <c r="DN22" s="1082"/>
      <c r="DO22" s="1082"/>
      <c r="DP22" s="1082"/>
      <c r="DQ22" s="1082"/>
      <c r="DR22" s="1082"/>
      <c r="DS22" s="1082"/>
      <c r="DT22" s="1082"/>
      <c r="DU22" s="1082"/>
      <c r="DV22" s="1082"/>
      <c r="DW22" s="1082"/>
      <c r="DX22" s="1082"/>
      <c r="DY22" s="1082"/>
      <c r="DZ22" s="1111">
        <f>EA22</f>
        <v>20.8218887386315</v>
      </c>
      <c r="EA22" s="1111">
        <f>SUMIFS(NewEmisData!E:E, NewEmisData!$A:$A, $G22, NewEmisData!$B:$B, $A22, NewEmisData!$C:$C, $H22, NewEmisData!$D:$D, EA$6)</f>
        <v>20.8218887386315</v>
      </c>
      <c r="EB22" s="1111">
        <f>SUMIFS(NewEmisData!F:F, NewEmisData!$A:$A, $G22, NewEmisData!$B:$B, $A22, NewEmisData!$C:$C, $H22, NewEmisData!$D:$D, EB$6)</f>
        <v>7.3439936033795297</v>
      </c>
      <c r="EC22" s="1111">
        <f>SUMIFS(NewEmisData!G:G, NewEmisData!$A:$A, $G22, NewEmisData!$B:$B, $A22, NewEmisData!$C:$C, $H22, NewEmisData!$D:$D, EC$6)</f>
        <v>6.0356206369280203</v>
      </c>
      <c r="ED22" s="1111">
        <f>SUMIFS(NewEmisData!H:H, NewEmisData!$A:$A, $G22, NewEmisData!$B:$B, $A22, NewEmisData!$C:$C, $H22, NewEmisData!$D:$D, ED$6)</f>
        <v>5.5823600108493201</v>
      </c>
      <c r="EE22" s="1111">
        <f>SUMIFS(NewEmisData!I:I, NewEmisData!$A:$A, $G22, NewEmisData!$B:$B, $A22, NewEmisData!$C:$C, $H22, NewEmisData!$D:$D, EE$6)</f>
        <v>5.0088319269148096</v>
      </c>
      <c r="EF22" s="1111">
        <f>SUMIFS(NewEmisData!J:J, NewEmisData!$A:$A, $G22, NewEmisData!$B:$B, $A22, NewEmisData!$C:$C, $H22, NewEmisData!$D:$D, EF$6)</f>
        <v>5.15226788375083</v>
      </c>
      <c r="EG22" s="1111">
        <f>SUMIFS(NewEmisData!K:K, NewEmisData!$A:$A, $G22, NewEmisData!$B:$B, $A22, NewEmisData!$C:$C, $H22, NewEmisData!$D:$D, EG$6)</f>
        <v>4.8220433630077002</v>
      </c>
      <c r="EH22" s="1111">
        <f>SUMIFS(NewEmisData!L:L, NewEmisData!$A:$A, $G22, NewEmisData!$B:$B, $A22, NewEmisData!$C:$C, $H22, NewEmisData!$D:$D, EH$6)</f>
        <v>4.8220933526120904</v>
      </c>
      <c r="EI22" s="1111">
        <f>SUMIFS(NewEmisData!M:M, NewEmisData!$A:$A, $G22, NewEmisData!$B:$B, $A22, NewEmisData!$C:$C, $H22, NewEmisData!$D:$D, EI$6)</f>
        <v>4.8555390504961302</v>
      </c>
      <c r="EJ22" s="1111">
        <f>EI22</f>
        <v>4.8555390504961302</v>
      </c>
      <c r="EK22" s="1111">
        <f>EL22</f>
        <v>1553.5210990931</v>
      </c>
      <c r="EL22" s="1111">
        <f t="shared" si="48"/>
        <v>1553.5210990931</v>
      </c>
      <c r="EM22" s="1111">
        <f t="shared" si="49"/>
        <v>1408.88496713674</v>
      </c>
      <c r="EN22" s="1111">
        <f t="shared" si="50"/>
        <v>1462.3627813248299</v>
      </c>
      <c r="EO22" s="1111">
        <f t="shared" si="51"/>
        <v>1432.84931920791</v>
      </c>
      <c r="EP22" s="1111">
        <f t="shared" si="52"/>
        <v>1425.2997832645599</v>
      </c>
      <c r="EQ22" s="1111">
        <f t="shared" si="53"/>
        <v>1411.72897391071</v>
      </c>
      <c r="ER22" s="1111">
        <f t="shared" si="54"/>
        <v>1408.8954231452899</v>
      </c>
      <c r="ES22" s="1111">
        <f t="shared" si="55"/>
        <v>1408.8503496293499</v>
      </c>
      <c r="ET22" s="1111">
        <f t="shared" si="56"/>
        <v>1408.9043821590301</v>
      </c>
      <c r="EU22" s="1111">
        <f t="shared" si="57"/>
        <v>1408.9043821590301</v>
      </c>
      <c r="EV22" s="1111">
        <f>EW22</f>
        <v>12.243629501244</v>
      </c>
      <c r="EW22" s="1111">
        <f t="shared" si="38"/>
        <v>12.243629501244</v>
      </c>
      <c r="EX22" s="1111">
        <f t="shared" si="39"/>
        <v>4.4057269822849499</v>
      </c>
      <c r="EY22" s="1111">
        <f t="shared" si="40"/>
        <v>2.5338719659062199</v>
      </c>
      <c r="EZ22" s="1111">
        <f t="shared" si="41"/>
        <v>1.97053635775459</v>
      </c>
      <c r="FA22" s="1111">
        <f t="shared" si="42"/>
        <v>1.73288574795435</v>
      </c>
      <c r="FB22" s="1111">
        <f t="shared" si="43"/>
        <v>1.7912592346090399</v>
      </c>
      <c r="FC22" s="1111">
        <f t="shared" si="44"/>
        <v>1.6389959510055401</v>
      </c>
      <c r="FD22" s="1111">
        <f t="shared" si="45"/>
        <v>1.6389971437373501</v>
      </c>
      <c r="FE22" s="1111">
        <f t="shared" si="46"/>
        <v>1.6413497936376999</v>
      </c>
      <c r="FF22" s="1111">
        <f t="shared" si="47"/>
        <v>1.6413497936376999</v>
      </c>
      <c r="FG22" s="1111">
        <f>AE22</f>
        <v>7.5181123500885298E-3</v>
      </c>
      <c r="FH22" s="1111">
        <f t="shared" si="58"/>
        <v>7.5181123500885298E-3</v>
      </c>
      <c r="FI22" s="1111">
        <f t="shared" si="58"/>
        <v>6.72193717894523E-3</v>
      </c>
      <c r="FJ22" s="1111">
        <f t="shared" si="58"/>
        <v>7.7424633042752298E-3</v>
      </c>
      <c r="FK22" s="1111">
        <f t="shared" si="58"/>
        <v>7.5862031517122301E-3</v>
      </c>
      <c r="FL22" s="1111">
        <f t="shared" si="58"/>
        <v>7.5462363983801496E-3</v>
      </c>
      <c r="FM22" s="1111">
        <f t="shared" si="58"/>
        <v>7.4743875655051799E-3</v>
      </c>
      <c r="FN22" s="1111">
        <f t="shared" si="58"/>
        <v>7.4593805624821796E-3</v>
      </c>
      <c r="FO22" s="1111">
        <f t="shared" si="58"/>
        <v>7.4591468383354304E-3</v>
      </c>
      <c r="FP22" s="1111">
        <f t="shared" si="58"/>
        <v>7.4594296654913296E-3</v>
      </c>
      <c r="FQ22" s="1111">
        <f t="shared" si="58"/>
        <v>7.4594296654913296E-3</v>
      </c>
      <c r="FR22" s="1111">
        <f t="shared" si="25"/>
        <v>0.39638833463587397</v>
      </c>
      <c r="FS22" s="1111">
        <f t="shared" si="26"/>
        <v>0.39638833463587397</v>
      </c>
      <c r="FT22" s="1111">
        <f t="shared" si="27"/>
        <v>0.29090093127093197</v>
      </c>
      <c r="FU22" s="1111">
        <f t="shared" si="28"/>
        <v>0.30512480081238003</v>
      </c>
      <c r="FV22" s="1111">
        <f t="shared" si="29"/>
        <v>0.30228358490423202</v>
      </c>
      <c r="FW22" s="1111">
        <f t="shared" si="30"/>
        <v>0.30366691295985598</v>
      </c>
      <c r="FX22" s="1111">
        <f t="shared" si="31"/>
        <v>0.30208997800131698</v>
      </c>
      <c r="FY22" s="1111">
        <f t="shared" si="32"/>
        <v>0.30173562336722598</v>
      </c>
      <c r="FZ22" s="1111">
        <f t="shared" si="33"/>
        <v>0.30173549102415298</v>
      </c>
      <c r="GA22" s="1111">
        <f t="shared" si="34"/>
        <v>0.301808555330837</v>
      </c>
      <c r="GB22" s="1111">
        <f t="shared" si="35"/>
        <v>0.301808555330837</v>
      </c>
      <c r="GC22" s="1111">
        <f t="shared" si="59"/>
        <v>0.16760085093958199</v>
      </c>
      <c r="GD22" s="1111">
        <f t="shared" si="60"/>
        <v>0.16760085093958199</v>
      </c>
      <c r="GE22" s="1111">
        <f t="shared" si="61"/>
        <v>7.4285465319141195E-2</v>
      </c>
      <c r="GF22" s="1111">
        <f t="shared" si="62"/>
        <v>4.3481827085775297E-2</v>
      </c>
      <c r="GG22" s="1111">
        <f t="shared" si="63"/>
        <v>4.0968421942404701E-2</v>
      </c>
      <c r="GH22" s="1111">
        <f t="shared" si="64"/>
        <v>4.21915697435057E-2</v>
      </c>
      <c r="GI22" s="1111">
        <f t="shared" si="65"/>
        <v>4.0796629114503602E-2</v>
      </c>
      <c r="GJ22" s="1111">
        <f t="shared" si="66"/>
        <v>4.0483008408731903E-2</v>
      </c>
      <c r="GK22" s="1111">
        <f t="shared" si="67"/>
        <v>4.0483108528960102E-2</v>
      </c>
      <c r="GL22" s="1111">
        <f t="shared" si="68"/>
        <v>4.0547746759359002E-2</v>
      </c>
      <c r="GM22" s="1111">
        <f t="shared" si="69"/>
        <v>4.0547746759359002E-2</v>
      </c>
    </row>
    <row r="23" spans="1:195" s="265" customFormat="1" x14ac:dyDescent="0.2">
      <c r="A23" s="1071" t="s">
        <v>115</v>
      </c>
      <c r="B23" s="1071" t="str">
        <f>Technologies!C79</f>
        <v>TCGSLE</v>
      </c>
      <c r="C23" s="1071" t="str">
        <f>Technologies!D79</f>
        <v>Truck, Commerical, Exisiting Gasoline</v>
      </c>
      <c r="D23" s="1071" t="str">
        <f>TechData!D15</f>
        <v>bn-vmt, bn-vmt/a</v>
      </c>
      <c r="E23" s="1071" t="str">
        <f>TechData!E15</f>
        <v>TCGSL</v>
      </c>
      <c r="F23" s="1071" t="str">
        <f>TechData!F15</f>
        <v>TC</v>
      </c>
      <c r="G23" s="1113" t="s">
        <v>502</v>
      </c>
      <c r="H23" s="1082" t="s">
        <v>500</v>
      </c>
      <c r="I23" s="1114">
        <v>1</v>
      </c>
      <c r="J23" s="1082" t="str">
        <f t="shared" si="37"/>
        <v>Commercial Truck-GSL</v>
      </c>
      <c r="K23" s="1082">
        <v>675.7587082465601</v>
      </c>
      <c r="L23" s="1082">
        <v>677.82983375495814</v>
      </c>
      <c r="M23" s="1082">
        <v>676.68894152470091</v>
      </c>
      <c r="N23" s="1082">
        <v>667.43672196505167</v>
      </c>
      <c r="O23" s="1082">
        <v>656.55522929934136</v>
      </c>
      <c r="P23" s="1082">
        <v>655.85666014860146</v>
      </c>
      <c r="Q23" s="1082">
        <v>656.96776144118667</v>
      </c>
      <c r="R23" s="1082">
        <v>657.30093393525215</v>
      </c>
      <c r="S23" s="1082">
        <v>657.39422616607737</v>
      </c>
      <c r="T23" s="1111">
        <f t="shared" si="17"/>
        <v>657.39422616607737</v>
      </c>
      <c r="U23" s="1082">
        <v>3.0146799475978656</v>
      </c>
      <c r="V23" s="1082">
        <v>2.0259159468403549</v>
      </c>
      <c r="W23" s="1082">
        <v>0.66734524578597576</v>
      </c>
      <c r="X23" s="1082">
        <v>0.36217078539327052</v>
      </c>
      <c r="Y23" s="1082">
        <v>0.25114699781709454</v>
      </c>
      <c r="Z23" s="1082">
        <v>0.16536905533109436</v>
      </c>
      <c r="AA23" s="1082">
        <v>0.16189701041139437</v>
      </c>
      <c r="AB23" s="1082">
        <v>0.16189513115752818</v>
      </c>
      <c r="AC23" s="1082">
        <v>0.16200686143225332</v>
      </c>
      <c r="AD23" s="1111">
        <f t="shared" si="18"/>
        <v>0.16200686143225332</v>
      </c>
      <c r="AE23" s="1082">
        <v>3.8602417788471399E-2</v>
      </c>
      <c r="AF23" s="1082">
        <v>1.6293540189000952E-2</v>
      </c>
      <c r="AG23" s="1082">
        <v>1.2607766000449017E-2</v>
      </c>
      <c r="AH23" s="1082">
        <v>4.2995409537388198E-3</v>
      </c>
      <c r="AI23" s="1082">
        <v>4.2407543577426049E-3</v>
      </c>
      <c r="AJ23" s="1082">
        <v>4.1716160773794028E-3</v>
      </c>
      <c r="AK23" s="1082">
        <v>4.1671772168818755E-3</v>
      </c>
      <c r="AL23" s="1082">
        <v>4.1742371332771141E-3</v>
      </c>
      <c r="AM23" s="1082">
        <v>4.1763537358555716E-3</v>
      </c>
      <c r="AN23" s="1082">
        <v>4.1769466648616457E-3</v>
      </c>
      <c r="AO23" s="1082">
        <v>4.1769466648616457E-3</v>
      </c>
      <c r="AP23" s="1082">
        <v>8.727492913685049E-2</v>
      </c>
      <c r="AQ23" s="1082">
        <v>7.015073145379426E-2</v>
      </c>
      <c r="AR23" s="1082">
        <v>5.877132747913956E-2</v>
      </c>
      <c r="AS23" s="1082">
        <v>5.6522642539992611E-2</v>
      </c>
      <c r="AT23" s="1082">
        <v>5.6362718994972472E-2</v>
      </c>
      <c r="AU23" s="1082">
        <v>5.6376663115799121E-2</v>
      </c>
      <c r="AV23" s="1082">
        <v>5.6378624711601363E-2</v>
      </c>
      <c r="AW23" s="1082">
        <v>5.6340954300596761E-2</v>
      </c>
      <c r="AX23" s="1082">
        <v>5.6378129355050093E-2</v>
      </c>
      <c r="AY23" s="1082">
        <v>5.6415925595989402E-2</v>
      </c>
      <c r="AZ23" s="1082">
        <v>5.6415925595989402E-2</v>
      </c>
      <c r="BA23" s="1082">
        <v>4.4681436880471256E-2</v>
      </c>
      <c r="BB23" s="1082">
        <v>2.9644053644229885E-2</v>
      </c>
      <c r="BC23" s="1082">
        <v>1.9594132544732738E-2</v>
      </c>
      <c r="BD23" s="1082">
        <v>1.7509991601039152E-2</v>
      </c>
      <c r="BE23" s="1082">
        <v>1.7310524600574615E-2</v>
      </c>
      <c r="BF23" s="1082">
        <v>1.730789111118081E-2</v>
      </c>
      <c r="BG23" s="1082">
        <v>1.7304225903278164E-2</v>
      </c>
      <c r="BH23" s="1082">
        <v>1.7264845151229263E-2</v>
      </c>
      <c r="BI23" s="1082">
        <v>1.7295887539286715E-2</v>
      </c>
      <c r="BJ23" s="1082">
        <v>1.7328851499837167E-2</v>
      </c>
      <c r="BK23" s="1082">
        <v>1.7328851499837167E-2</v>
      </c>
      <c r="BL23" s="1082">
        <v>35.860741327218626</v>
      </c>
      <c r="BM23" s="1082">
        <v>24.844804072005953</v>
      </c>
      <c r="BN23" s="1082">
        <v>18.593181066520113</v>
      </c>
      <c r="BO23" s="1082">
        <v>11.393031232037009</v>
      </c>
      <c r="BP23" s="1082">
        <v>6.6125965074099637</v>
      </c>
      <c r="BQ23" s="1082">
        <v>4.0821013526340781</v>
      </c>
      <c r="BR23" s="1082">
        <v>2.7736950914505889</v>
      </c>
      <c r="BS23" s="1082">
        <v>2.7302522968900904</v>
      </c>
      <c r="BT23" s="1082">
        <v>2.7268197183978109</v>
      </c>
      <c r="BU23" s="1082">
        <v>2.7248567550504017</v>
      </c>
      <c r="BV23" s="1082">
        <v>2.7248567550504017</v>
      </c>
      <c r="BW23" s="1082">
        <v>1.7098618747055716</v>
      </c>
      <c r="BX23" s="1082">
        <v>1.0620496125987395</v>
      </c>
      <c r="BY23" s="1082">
        <v>0.64803383961976424</v>
      </c>
      <c r="BZ23" s="1082">
        <v>0.32949891749870192</v>
      </c>
      <c r="CA23" s="1082">
        <v>0.2604317132865766</v>
      </c>
      <c r="CB23" s="1082">
        <v>0.23207204924695546</v>
      </c>
      <c r="CC23" s="1082">
        <v>0.21284810732173418</v>
      </c>
      <c r="CD23" s="1082">
        <v>0.21161706051523629</v>
      </c>
      <c r="CE23" s="1082">
        <v>0.21215029904156887</v>
      </c>
      <c r="CF23" s="1082">
        <v>0.21276144651818038</v>
      </c>
      <c r="CG23" s="1082">
        <v>0.21276144651818038</v>
      </c>
      <c r="CH23" s="1082">
        <v>4.7302164924460807E-2</v>
      </c>
      <c r="CI23" s="1082">
        <v>4.7832496091056095E-2</v>
      </c>
      <c r="CJ23" s="1082">
        <v>4.7904483628421181E-2</v>
      </c>
      <c r="CK23" s="1082">
        <v>4.7451411751592183E-2</v>
      </c>
      <c r="CL23" s="1082">
        <v>4.7174477093298743E-2</v>
      </c>
      <c r="CM23" s="1082">
        <v>4.7102731250251599E-2</v>
      </c>
      <c r="CN23" s="1082">
        <v>4.7076661142115006E-2</v>
      </c>
      <c r="CO23" s="1082">
        <v>4.7047405355450787E-2</v>
      </c>
      <c r="CP23" s="1082">
        <v>4.7038486893523253E-2</v>
      </c>
      <c r="CQ23" s="1082">
        <v>4.7036236063411889E-2</v>
      </c>
      <c r="CR23" s="1082">
        <v>4.7036236063411889E-2</v>
      </c>
      <c r="CS23" s="1082">
        <v>3.8087852047407287</v>
      </c>
      <c r="CT23" s="1082">
        <v>3.0146799475978656</v>
      </c>
      <c r="CU23" s="1082">
        <v>2.0259159468403549</v>
      </c>
      <c r="CV23" s="1082">
        <v>0.66734524578597576</v>
      </c>
      <c r="CW23" s="1082">
        <v>0.36217078539327052</v>
      </c>
      <c r="CX23" s="1082">
        <v>0.25114699781709454</v>
      </c>
      <c r="CY23" s="1082">
        <v>0.16536905533109436</v>
      </c>
      <c r="CZ23" s="1082">
        <v>0.16189701041139437</v>
      </c>
      <c r="DA23" s="1082">
        <v>0.16189513115752818</v>
      </c>
      <c r="DB23" s="1082">
        <v>0.16200686143225332</v>
      </c>
      <c r="DC23" s="1082">
        <v>0.16200686143225332</v>
      </c>
      <c r="DD23" s="1082">
        <v>7.984361772561635E-3</v>
      </c>
      <c r="DE23" s="1082">
        <v>5.0212006967350854E-3</v>
      </c>
      <c r="DF23" s="1082">
        <v>3.1208300442598759E-3</v>
      </c>
      <c r="DG23" s="1082">
        <v>2.7536971677900967E-3</v>
      </c>
      <c r="DH23" s="1082">
        <v>2.6062101252931269E-3</v>
      </c>
      <c r="DI23" s="1082">
        <v>2.5990089403284144E-3</v>
      </c>
      <c r="DJ23" s="1082">
        <v>2.5947876308756715E-3</v>
      </c>
      <c r="DK23" s="1082">
        <v>2.5793453985640011E-3</v>
      </c>
      <c r="DL23" s="1082">
        <v>2.5878215177950322E-3</v>
      </c>
      <c r="DM23" s="1082">
        <v>2.5981229820993463E-3</v>
      </c>
      <c r="DN23" s="1082">
        <v>2.5981229820993463E-3</v>
      </c>
      <c r="DO23" s="1082">
        <v>2.1123708176915917E-2</v>
      </c>
      <c r="DP23" s="1082">
        <v>1.311579808868692E-2</v>
      </c>
      <c r="DQ23" s="1082">
        <v>7.5227582987361808E-3</v>
      </c>
      <c r="DR23" s="1082">
        <v>6.3747699705046451E-3</v>
      </c>
      <c r="DS23" s="1082">
        <v>6.3139325183540294E-3</v>
      </c>
      <c r="DT23" s="1082">
        <v>6.3142587832010445E-3</v>
      </c>
      <c r="DU23" s="1082">
        <v>6.3133765031966049E-3</v>
      </c>
      <c r="DV23" s="1082">
        <v>6.2942626243971218E-3</v>
      </c>
      <c r="DW23" s="1082">
        <v>6.3103898501668367E-3</v>
      </c>
      <c r="DX23" s="1082">
        <v>6.3270201095389448E-3</v>
      </c>
      <c r="DY23" s="1082">
        <v>6.3270201095389448E-3</v>
      </c>
      <c r="DZ23" s="1082">
        <v>8.1857365138361657E-2</v>
      </c>
      <c r="EA23" s="1082">
        <v>5.6196969894271621E-2</v>
      </c>
      <c r="EB23" s="1082">
        <v>4.1986170719416738E-2</v>
      </c>
      <c r="EC23" s="1082">
        <v>2.1449467573886532E-2</v>
      </c>
      <c r="ED23" s="1082">
        <v>1.5984380973041973E-2</v>
      </c>
      <c r="EE23" s="1082">
        <v>1.418603159638844E-2</v>
      </c>
      <c r="EF23" s="1082">
        <v>1.2904237852387181E-2</v>
      </c>
      <c r="EG23" s="1082">
        <v>1.292780974994698E-2</v>
      </c>
      <c r="EH23" s="1082">
        <v>1.2933542239182286E-2</v>
      </c>
      <c r="EI23" s="1082">
        <v>1.2942194004542353E-2</v>
      </c>
      <c r="EJ23" s="1082">
        <v>1.2942194004542353E-2</v>
      </c>
      <c r="EK23" s="1082">
        <v>682.37093556210789</v>
      </c>
      <c r="EL23" s="1111">
        <f t="shared" si="48"/>
        <v>675.7587082465601</v>
      </c>
      <c r="EM23" s="1111">
        <f t="shared" si="49"/>
        <v>677.82983375495814</v>
      </c>
      <c r="EN23" s="1111">
        <f t="shared" si="50"/>
        <v>676.68894152470091</v>
      </c>
      <c r="EO23" s="1111">
        <f t="shared" si="51"/>
        <v>667.43672196505167</v>
      </c>
      <c r="EP23" s="1111">
        <f t="shared" si="52"/>
        <v>656.55522929934136</v>
      </c>
      <c r="EQ23" s="1111">
        <f t="shared" si="53"/>
        <v>655.85666014860146</v>
      </c>
      <c r="ER23" s="1111">
        <f t="shared" si="54"/>
        <v>656.96776144118667</v>
      </c>
      <c r="ES23" s="1111">
        <f t="shared" si="55"/>
        <v>657.30093393525215</v>
      </c>
      <c r="ET23" s="1111">
        <f t="shared" si="56"/>
        <v>657.39422616607737</v>
      </c>
      <c r="EU23" s="1111">
        <f t="shared" si="57"/>
        <v>657.39422616607737</v>
      </c>
      <c r="EV23" s="1082">
        <v>3.8087852047407287</v>
      </c>
      <c r="EW23" s="1111">
        <f t="shared" si="38"/>
        <v>3.0146799475978656</v>
      </c>
      <c r="EX23" s="1111">
        <f t="shared" si="39"/>
        <v>2.0259159468403549</v>
      </c>
      <c r="EY23" s="1111">
        <f t="shared" si="40"/>
        <v>0.66734524578597576</v>
      </c>
      <c r="EZ23" s="1111">
        <f t="shared" si="41"/>
        <v>0.36217078539327052</v>
      </c>
      <c r="FA23" s="1111">
        <f t="shared" si="42"/>
        <v>0.25114699781709454</v>
      </c>
      <c r="FB23" s="1111">
        <f t="shared" si="43"/>
        <v>0.16536905533109436</v>
      </c>
      <c r="FC23" s="1111">
        <f t="shared" si="44"/>
        <v>0.16189701041139437</v>
      </c>
      <c r="FD23" s="1111">
        <f t="shared" si="45"/>
        <v>0.16189513115752818</v>
      </c>
      <c r="FE23" s="1111">
        <f t="shared" si="46"/>
        <v>0.16200686143225332</v>
      </c>
      <c r="FF23" s="1111">
        <f t="shared" si="47"/>
        <v>0.16200686143225332</v>
      </c>
      <c r="FG23" s="1082">
        <v>3.8602417788471399E-2</v>
      </c>
      <c r="FH23" s="1082">
        <v>1.6293540189000952E-2</v>
      </c>
      <c r="FI23" s="1082">
        <v>1.2607766000449017E-2</v>
      </c>
      <c r="FJ23" s="1082">
        <v>4.2995409537388198E-3</v>
      </c>
      <c r="FK23" s="1082">
        <v>4.2407543577426049E-3</v>
      </c>
      <c r="FL23" s="1082">
        <v>4.1716160773794028E-3</v>
      </c>
      <c r="FM23" s="1082">
        <v>4.1671772168818755E-3</v>
      </c>
      <c r="FN23" s="1082">
        <v>4.1742371332771141E-3</v>
      </c>
      <c r="FO23" s="1082">
        <v>4.1763537358555716E-3</v>
      </c>
      <c r="FP23" s="1082">
        <v>4.1769466648616457E-3</v>
      </c>
      <c r="FQ23" s="1082">
        <v>4.1769466648616457E-3</v>
      </c>
      <c r="FR23" s="1111">
        <f t="shared" si="25"/>
        <v>8.727492913685049E-2</v>
      </c>
      <c r="FS23" s="1111">
        <f t="shared" si="26"/>
        <v>7.015073145379426E-2</v>
      </c>
      <c r="FT23" s="1111">
        <f t="shared" si="27"/>
        <v>5.877132747913956E-2</v>
      </c>
      <c r="FU23" s="1111">
        <f t="shared" si="28"/>
        <v>5.6522642539992611E-2</v>
      </c>
      <c r="FV23" s="1111">
        <f t="shared" si="29"/>
        <v>5.6362718994972472E-2</v>
      </c>
      <c r="FW23" s="1111">
        <f t="shared" si="30"/>
        <v>5.6376663115799121E-2</v>
      </c>
      <c r="FX23" s="1111">
        <f t="shared" si="31"/>
        <v>5.6378624711601363E-2</v>
      </c>
      <c r="FY23" s="1111">
        <f t="shared" si="32"/>
        <v>5.6340954300596761E-2</v>
      </c>
      <c r="FZ23" s="1111">
        <f t="shared" si="33"/>
        <v>5.6378129355050093E-2</v>
      </c>
      <c r="GA23" s="1111">
        <f t="shared" si="34"/>
        <v>5.6415925595989402E-2</v>
      </c>
      <c r="GB23" s="1111">
        <f t="shared" si="35"/>
        <v>5.6415925595989402E-2</v>
      </c>
      <c r="GC23" s="1111">
        <f t="shared" si="59"/>
        <v>4.4681436880471256E-2</v>
      </c>
      <c r="GD23" s="1111">
        <f t="shared" si="60"/>
        <v>2.9644053644229885E-2</v>
      </c>
      <c r="GE23" s="1111">
        <f t="shared" si="61"/>
        <v>1.9594132544732738E-2</v>
      </c>
      <c r="GF23" s="1111">
        <f t="shared" si="62"/>
        <v>1.7509991601039152E-2</v>
      </c>
      <c r="GG23" s="1111">
        <f t="shared" si="63"/>
        <v>1.7310524600574615E-2</v>
      </c>
      <c r="GH23" s="1111">
        <f t="shared" si="64"/>
        <v>1.730789111118081E-2</v>
      </c>
      <c r="GI23" s="1111">
        <f t="shared" si="65"/>
        <v>1.7304225903278164E-2</v>
      </c>
      <c r="GJ23" s="1111">
        <f t="shared" si="66"/>
        <v>1.7264845151229263E-2</v>
      </c>
      <c r="GK23" s="1111">
        <f t="shared" si="67"/>
        <v>1.7295887539286715E-2</v>
      </c>
      <c r="GL23" s="1111">
        <f t="shared" si="68"/>
        <v>1.7328851499837167E-2</v>
      </c>
      <c r="GM23" s="1111">
        <f t="shared" si="69"/>
        <v>1.7328851499837167E-2</v>
      </c>
    </row>
    <row r="24" spans="1:195" s="265" customFormat="1" x14ac:dyDescent="0.2">
      <c r="A24" s="1071" t="s">
        <v>115</v>
      </c>
      <c r="B24" s="1071" t="str">
        <f>Technologies!C80</f>
        <v>TCDSLE</v>
      </c>
      <c r="C24" s="1071" t="str">
        <f>Technologies!D80</f>
        <v>Truck, Commerical, Existing Diesel</v>
      </c>
      <c r="D24" s="1071" t="str">
        <f>TechData!D16</f>
        <v>bn-vmt, bn-vmt/a</v>
      </c>
      <c r="E24" s="1071" t="str">
        <f>TechData!E16</f>
        <v>TCDSL</v>
      </c>
      <c r="F24" s="1071" t="str">
        <f>TechData!F16</f>
        <v>TC</v>
      </c>
      <c r="G24" s="1113" t="s">
        <v>502</v>
      </c>
      <c r="H24" s="1082" t="s">
        <v>499</v>
      </c>
      <c r="I24" s="1114">
        <v>1</v>
      </c>
      <c r="J24" s="1082" t="str">
        <f t="shared" si="37"/>
        <v>Commercial Truck-DSL</v>
      </c>
      <c r="K24" s="1082">
        <v>908.69783207209889</v>
      </c>
      <c r="L24" s="1082">
        <v>906.61489941339516</v>
      </c>
      <c r="M24" s="1082">
        <v>881.78957745737841</v>
      </c>
      <c r="N24" s="1082">
        <v>850.63725884797645</v>
      </c>
      <c r="O24" s="1082">
        <v>829.68121667825164</v>
      </c>
      <c r="P24" s="1082">
        <v>827.50086722650212</v>
      </c>
      <c r="Q24" s="1082">
        <v>828.50634553485077</v>
      </c>
      <c r="R24" s="1082">
        <v>828.87353106298963</v>
      </c>
      <c r="S24" s="1082">
        <v>829.07871983516236</v>
      </c>
      <c r="T24" s="1111">
        <f t="shared" si="17"/>
        <v>829.07871983516236</v>
      </c>
      <c r="U24" s="1082">
        <v>5.2139962727482114</v>
      </c>
      <c r="V24" s="1082">
        <v>2.7512017664812314</v>
      </c>
      <c r="W24" s="1082">
        <v>1.4168974870982729</v>
      </c>
      <c r="X24" s="1082">
        <v>0.70145312651502723</v>
      </c>
      <c r="Y24" s="1082">
        <v>0.50742778351018847</v>
      </c>
      <c r="Z24" s="1082">
        <v>0.41920635912374266</v>
      </c>
      <c r="AA24" s="1082">
        <v>0.416693455291543</v>
      </c>
      <c r="AB24" s="1082">
        <v>0.41681223009438972</v>
      </c>
      <c r="AC24" s="1082">
        <v>0.4169289722702062</v>
      </c>
      <c r="AD24" s="1111">
        <f t="shared" si="18"/>
        <v>0.4169289722702062</v>
      </c>
      <c r="AE24" s="1082">
        <v>6.8463897949922359E-2</v>
      </c>
      <c r="AF24" s="1082">
        <v>7.8371168577352004E-3</v>
      </c>
      <c r="AG24" s="1082">
        <v>7.6094356696856033E-3</v>
      </c>
      <c r="AH24" s="1082">
        <v>7.2454271019833146E-3</v>
      </c>
      <c r="AI24" s="1082">
        <v>6.9505048924161398E-3</v>
      </c>
      <c r="AJ24" s="1082">
        <v>6.7792745734326625E-3</v>
      </c>
      <c r="AK24" s="1082">
        <v>6.7614590436947796E-3</v>
      </c>
      <c r="AL24" s="1082">
        <v>6.7696746586270798E-3</v>
      </c>
      <c r="AM24" s="1082">
        <v>6.7726755635878367E-3</v>
      </c>
      <c r="AN24" s="1082">
        <v>6.7743517253202531E-3</v>
      </c>
      <c r="AO24" s="1082">
        <v>6.7743517253202531E-3</v>
      </c>
      <c r="AP24" s="1082">
        <v>0.61148267871181328</v>
      </c>
      <c r="AQ24" s="1082">
        <v>0.39117194880015232</v>
      </c>
      <c r="AR24" s="1082">
        <v>0.18975457969516704</v>
      </c>
      <c r="AS24" s="1082">
        <v>8.2885317171187856E-2</v>
      </c>
      <c r="AT24" s="1082">
        <v>5.7116966662940423E-2</v>
      </c>
      <c r="AU24" s="1082">
        <v>5.7153117613824606E-2</v>
      </c>
      <c r="AV24" s="1082">
        <v>5.7169598600272334E-2</v>
      </c>
      <c r="AW24" s="1082">
        <v>5.7183803872516599E-2</v>
      </c>
      <c r="AX24" s="1082">
        <v>5.7191439771356024E-2</v>
      </c>
      <c r="AY24" s="1082">
        <v>5.7193759057646294E-2</v>
      </c>
      <c r="AZ24" s="1082">
        <v>5.7193759057646294E-2</v>
      </c>
      <c r="BA24" s="1082">
        <v>0.52790357673411381</v>
      </c>
      <c r="BB24" s="1082">
        <v>0.32533157112020911</v>
      </c>
      <c r="BC24" s="1082">
        <v>0.14004218938055349</v>
      </c>
      <c r="BD24" s="1082">
        <v>4.1625850525441974E-2</v>
      </c>
      <c r="BE24" s="1082">
        <v>1.7845431213806467E-2</v>
      </c>
      <c r="BF24" s="1082">
        <v>1.786151134365236E-2</v>
      </c>
      <c r="BG24" s="1082">
        <v>1.7871496037663956E-2</v>
      </c>
      <c r="BH24" s="1082">
        <v>1.787787615460654E-2</v>
      </c>
      <c r="BI24" s="1082">
        <v>1.7882855546681935E-2</v>
      </c>
      <c r="BJ24" s="1082">
        <v>1.7884358785924939E-2</v>
      </c>
      <c r="BK24" s="1082">
        <v>1.7884358785924939E-2</v>
      </c>
      <c r="BL24" s="1082">
        <v>3.5974830741457904</v>
      </c>
      <c r="BM24" s="1082">
        <v>3.0750268451008234</v>
      </c>
      <c r="BN24" s="1082">
        <v>1.6146303554729917</v>
      </c>
      <c r="BO24" s="1082">
        <v>0.63426523602103568</v>
      </c>
      <c r="BP24" s="1082">
        <v>0.38711728873960771</v>
      </c>
      <c r="BQ24" s="1082">
        <v>0.38785544647202291</v>
      </c>
      <c r="BR24" s="1082">
        <v>0.38792567793249733</v>
      </c>
      <c r="BS24" s="1082">
        <v>0.38800892401614789</v>
      </c>
      <c r="BT24" s="1082">
        <v>0.38802100372153886</v>
      </c>
      <c r="BU24" s="1082">
        <v>0.38807032300021443</v>
      </c>
      <c r="BV24" s="1082">
        <v>0.38807032300021443</v>
      </c>
      <c r="BW24" s="1082">
        <v>1.2190046544990303</v>
      </c>
      <c r="BX24" s="1082">
        <v>0.93631185078121426</v>
      </c>
      <c r="BY24" s="1082">
        <v>0.44062981776208715</v>
      </c>
      <c r="BZ24" s="1082">
        <v>0.15783288647989238</v>
      </c>
      <c r="CA24" s="1082">
        <v>9.2631328054864404E-2</v>
      </c>
      <c r="CB24" s="1082">
        <v>9.291285787801859E-2</v>
      </c>
      <c r="CC24" s="1082">
        <v>9.2995513611799391E-2</v>
      </c>
      <c r="CD24" s="1082">
        <v>9.3160535241501252E-2</v>
      </c>
      <c r="CE24" s="1082">
        <v>9.3202964162877613E-2</v>
      </c>
      <c r="CF24" s="1082">
        <v>9.325018215317854E-2</v>
      </c>
      <c r="CG24" s="1082">
        <v>9.325018215317854E-2</v>
      </c>
      <c r="CH24" s="1082">
        <v>2.661098514978626E-2</v>
      </c>
      <c r="CI24" s="1082">
        <v>2.6939622846400731E-2</v>
      </c>
      <c r="CJ24" s="1082">
        <v>2.702747651183203E-2</v>
      </c>
      <c r="CK24" s="1082">
        <v>2.6765223957059211E-2</v>
      </c>
      <c r="CL24" s="1082">
        <v>2.6571897307438173E-2</v>
      </c>
      <c r="CM24" s="1082">
        <v>2.6521903997847492E-2</v>
      </c>
      <c r="CN24" s="1082">
        <v>2.6505066621953566E-2</v>
      </c>
      <c r="CO24" s="1082">
        <v>2.6484451280636884E-2</v>
      </c>
      <c r="CP24" s="1082">
        <v>2.6477614550331839E-2</v>
      </c>
      <c r="CQ24" s="1082">
        <v>2.6474843409717168E-2</v>
      </c>
      <c r="CR24" s="1082">
        <v>2.6474843409717168E-2</v>
      </c>
      <c r="CS24" s="1082">
        <v>7.9929049386421758</v>
      </c>
      <c r="CT24" s="1082">
        <v>5.2139962727482114</v>
      </c>
      <c r="CU24" s="1082">
        <v>2.7512017664812314</v>
      </c>
      <c r="CV24" s="1082">
        <v>1.4168974870982729</v>
      </c>
      <c r="CW24" s="1082">
        <v>0.70145312651502723</v>
      </c>
      <c r="CX24" s="1082">
        <v>0.50742778351018847</v>
      </c>
      <c r="CY24" s="1082">
        <v>0.41920635912374266</v>
      </c>
      <c r="CZ24" s="1082">
        <v>0.416693455291543</v>
      </c>
      <c r="DA24" s="1082">
        <v>0.41681223009438972</v>
      </c>
      <c r="DB24" s="1082">
        <v>0.4169289722702062</v>
      </c>
      <c r="DC24" s="1082">
        <v>0.4169289722702062</v>
      </c>
      <c r="DD24" s="1082">
        <v>0.25873294909838251</v>
      </c>
      <c r="DE24" s="1082">
        <v>0.16634522711189528</v>
      </c>
      <c r="DF24" s="1082">
        <v>6.8973280441623402E-2</v>
      </c>
      <c r="DG24" s="1082">
        <v>1.4120711914901326E-2</v>
      </c>
      <c r="DH24" s="1082">
        <v>1.0786154126645024E-3</v>
      </c>
      <c r="DI24" s="1082">
        <v>1.0798206480206708E-3</v>
      </c>
      <c r="DJ24" s="1082">
        <v>1.0806436140692415E-3</v>
      </c>
      <c r="DK24" s="1082">
        <v>1.0811237394477437E-3</v>
      </c>
      <c r="DL24" s="1082">
        <v>1.0815414578773603E-3</v>
      </c>
      <c r="DM24" s="1082">
        <v>1.0816675000683419E-3</v>
      </c>
      <c r="DN24" s="1082">
        <v>1.0816675000683419E-3</v>
      </c>
      <c r="DO24" s="1082">
        <v>0.18317933376405696</v>
      </c>
      <c r="DP24" s="1082">
        <v>0.10817226425131846</v>
      </c>
      <c r="DQ24" s="1082">
        <v>4.2897509083896078E-2</v>
      </c>
      <c r="DR24" s="1082">
        <v>9.8427764521391691E-3</v>
      </c>
      <c r="DS24" s="1082">
        <v>1.8753217886179215E-3</v>
      </c>
      <c r="DT24" s="1082">
        <v>1.8774174016461178E-3</v>
      </c>
      <c r="DU24" s="1082">
        <v>1.8788482002027062E-3</v>
      </c>
      <c r="DV24" s="1082">
        <v>1.8796829497760693E-3</v>
      </c>
      <c r="DW24" s="1082">
        <v>1.8804092326395766E-3</v>
      </c>
      <c r="DX24" s="1082">
        <v>1.8806282411271804E-3</v>
      </c>
      <c r="DY24" s="1082">
        <v>1.8806282411271804E-3</v>
      </c>
      <c r="DZ24" s="1082">
        <v>2.990484748962271E-3</v>
      </c>
      <c r="EA24" s="1082">
        <v>2.0041319027002614E-2</v>
      </c>
      <c r="EB24" s="1082">
        <v>5.5154555326277478E-2</v>
      </c>
      <c r="EC24" s="1082">
        <v>7.9842035131440711E-2</v>
      </c>
      <c r="ED24" s="1082">
        <v>8.207820883427723E-2</v>
      </c>
      <c r="EE24" s="1082">
        <v>8.2736327421338809E-2</v>
      </c>
      <c r="EF24" s="1082">
        <v>8.284453674681673E-2</v>
      </c>
      <c r="EG24" s="1082">
        <v>8.2980744666497547E-2</v>
      </c>
      <c r="EH24" s="1082">
        <v>8.3010694108555369E-2</v>
      </c>
      <c r="EI24" s="1082">
        <v>8.3052501766220296E-2</v>
      </c>
      <c r="EJ24" s="1082">
        <v>8.3052501766220296E-2</v>
      </c>
      <c r="EK24" s="1082">
        <v>898.33328538410353</v>
      </c>
      <c r="EL24" s="1111">
        <f t="shared" si="48"/>
        <v>908.69783207209889</v>
      </c>
      <c r="EM24" s="1111">
        <f t="shared" si="49"/>
        <v>906.61489941339516</v>
      </c>
      <c r="EN24" s="1111">
        <f t="shared" si="50"/>
        <v>881.78957745737841</v>
      </c>
      <c r="EO24" s="1111">
        <f t="shared" si="51"/>
        <v>850.63725884797645</v>
      </c>
      <c r="EP24" s="1111">
        <f t="shared" si="52"/>
        <v>829.68121667825164</v>
      </c>
      <c r="EQ24" s="1111">
        <f t="shared" si="53"/>
        <v>827.50086722650212</v>
      </c>
      <c r="ER24" s="1111">
        <f t="shared" si="54"/>
        <v>828.50634553485077</v>
      </c>
      <c r="ES24" s="1111">
        <f t="shared" si="55"/>
        <v>828.87353106298963</v>
      </c>
      <c r="ET24" s="1111">
        <f t="shared" si="56"/>
        <v>829.07871983516236</v>
      </c>
      <c r="EU24" s="1111">
        <f t="shared" si="57"/>
        <v>829.07871983516236</v>
      </c>
      <c r="EV24" s="1082">
        <v>7.9929049386421758</v>
      </c>
      <c r="EW24" s="1111">
        <f t="shared" si="38"/>
        <v>5.2139962727482114</v>
      </c>
      <c r="EX24" s="1111">
        <f t="shared" si="39"/>
        <v>2.7512017664812314</v>
      </c>
      <c r="EY24" s="1111">
        <f t="shared" si="40"/>
        <v>1.4168974870982729</v>
      </c>
      <c r="EZ24" s="1111">
        <f t="shared" si="41"/>
        <v>0.70145312651502723</v>
      </c>
      <c r="FA24" s="1111">
        <f t="shared" si="42"/>
        <v>0.50742778351018847</v>
      </c>
      <c r="FB24" s="1111">
        <f t="shared" si="43"/>
        <v>0.41920635912374266</v>
      </c>
      <c r="FC24" s="1111">
        <f t="shared" si="44"/>
        <v>0.416693455291543</v>
      </c>
      <c r="FD24" s="1111">
        <f t="shared" si="45"/>
        <v>0.41681223009438972</v>
      </c>
      <c r="FE24" s="1111">
        <f t="shared" si="46"/>
        <v>0.4169289722702062</v>
      </c>
      <c r="FF24" s="1111">
        <f t="shared" si="47"/>
        <v>0.4169289722702062</v>
      </c>
      <c r="FG24" s="1082">
        <v>6.8463897949922359E-2</v>
      </c>
      <c r="FH24" s="1082">
        <v>7.8371168577352004E-3</v>
      </c>
      <c r="FI24" s="1082">
        <v>7.6094356696856033E-3</v>
      </c>
      <c r="FJ24" s="1082">
        <v>7.2454271019833146E-3</v>
      </c>
      <c r="FK24" s="1082">
        <v>6.9505048924161398E-3</v>
      </c>
      <c r="FL24" s="1082">
        <v>6.7792745734326625E-3</v>
      </c>
      <c r="FM24" s="1082">
        <v>6.7614590436947796E-3</v>
      </c>
      <c r="FN24" s="1082">
        <v>6.7696746586270798E-3</v>
      </c>
      <c r="FO24" s="1082">
        <v>6.7726755635878367E-3</v>
      </c>
      <c r="FP24" s="1082">
        <v>6.7743517253202531E-3</v>
      </c>
      <c r="FQ24" s="1082">
        <v>6.7743517253202531E-3</v>
      </c>
      <c r="FR24" s="1111">
        <f t="shared" si="25"/>
        <v>0.61148267871181328</v>
      </c>
      <c r="FS24" s="1111">
        <f t="shared" si="26"/>
        <v>0.39117194880015232</v>
      </c>
      <c r="FT24" s="1111">
        <f t="shared" si="27"/>
        <v>0.18975457969516704</v>
      </c>
      <c r="FU24" s="1111">
        <f t="shared" si="28"/>
        <v>8.2885317171187856E-2</v>
      </c>
      <c r="FV24" s="1111">
        <f t="shared" si="29"/>
        <v>5.7116966662940423E-2</v>
      </c>
      <c r="FW24" s="1111">
        <f t="shared" si="30"/>
        <v>5.7153117613824606E-2</v>
      </c>
      <c r="FX24" s="1111">
        <f t="shared" si="31"/>
        <v>5.7169598600272334E-2</v>
      </c>
      <c r="FY24" s="1111">
        <f t="shared" si="32"/>
        <v>5.7183803872516599E-2</v>
      </c>
      <c r="FZ24" s="1111">
        <f t="shared" si="33"/>
        <v>5.7191439771356024E-2</v>
      </c>
      <c r="GA24" s="1111">
        <f t="shared" si="34"/>
        <v>5.7193759057646294E-2</v>
      </c>
      <c r="GB24" s="1111">
        <f t="shared" si="35"/>
        <v>5.7193759057646294E-2</v>
      </c>
      <c r="GC24" s="1111">
        <f t="shared" si="59"/>
        <v>0.52790357673411381</v>
      </c>
      <c r="GD24" s="1111">
        <f t="shared" si="60"/>
        <v>0.32533157112020911</v>
      </c>
      <c r="GE24" s="1111">
        <f t="shared" si="61"/>
        <v>0.14004218938055349</v>
      </c>
      <c r="GF24" s="1111">
        <f t="shared" si="62"/>
        <v>4.1625850525441974E-2</v>
      </c>
      <c r="GG24" s="1111">
        <f t="shared" si="63"/>
        <v>1.7845431213806467E-2</v>
      </c>
      <c r="GH24" s="1111">
        <f t="shared" si="64"/>
        <v>1.786151134365236E-2</v>
      </c>
      <c r="GI24" s="1111">
        <f t="shared" si="65"/>
        <v>1.7871496037663956E-2</v>
      </c>
      <c r="GJ24" s="1111">
        <f t="shared" si="66"/>
        <v>1.787787615460654E-2</v>
      </c>
      <c r="GK24" s="1111">
        <f t="shared" si="67"/>
        <v>1.7882855546681935E-2</v>
      </c>
      <c r="GL24" s="1111">
        <f t="shared" si="68"/>
        <v>1.7884358785924939E-2</v>
      </c>
      <c r="GM24" s="1111">
        <f t="shared" si="69"/>
        <v>1.7884358785924939E-2</v>
      </c>
    </row>
    <row r="25" spans="1:195" x14ac:dyDescent="0.2">
      <c r="A25" s="1071" t="s">
        <v>182</v>
      </c>
      <c r="B25" s="1071" t="str">
        <f>Technologies!C110</f>
        <v>TMGSLE</v>
      </c>
      <c r="C25" s="1071" t="str">
        <f>Technologies!D110</f>
        <v>Medium Duty Truck, Existing Gasoline</v>
      </c>
      <c r="D25" s="1071" t="str">
        <f>NewTech!D65</f>
        <v>bn-vmt, bn-vmt/a</v>
      </c>
      <c r="E25" s="1071" t="str">
        <f>TechData!E18</f>
        <v>TMGSL</v>
      </c>
      <c r="F25" s="1071" t="str">
        <f>TechData!F18</f>
        <v>TM</v>
      </c>
      <c r="G25" s="1110" t="s">
        <v>503</v>
      </c>
      <c r="H25" s="1111" t="s">
        <v>500</v>
      </c>
      <c r="I25" s="1112">
        <v>1</v>
      </c>
      <c r="J25" s="1111" t="str">
        <f t="shared" si="37"/>
        <v>Medium duty-GSL</v>
      </c>
      <c r="K25" s="1111">
        <f>SUMIFS(NewEmisData!E:E, NewEmisData!$A:$A, $G25, NewEmisData!$B:$B, $A25, NewEmisData!$C:$C, $H25, NewEmisData!$D:$D, K$6)</f>
        <v>1241.60800343195</v>
      </c>
      <c r="L25" s="1111">
        <f>SUMIFS(NewEmisData!F:F, NewEmisData!$A:$A, $G25, NewEmisData!$B:$B, $A25, NewEmisData!$C:$C, $H25, NewEmisData!$D:$D, L$6)</f>
        <v>1243.08928499321</v>
      </c>
      <c r="M25" s="1111">
        <f>SUMIFS(NewEmisData!G:G, NewEmisData!$A:$A, $G25, NewEmisData!$B:$B, $A25, NewEmisData!$C:$C, $H25, NewEmisData!$D:$D, M$6)</f>
        <v>1559.7377784626201</v>
      </c>
      <c r="N25" s="1111">
        <f>SUMIFS(NewEmisData!H:H, NewEmisData!$A:$A, $G25, NewEmisData!$B:$B, $A25, NewEmisData!$C:$C, $H25, NewEmisData!$D:$D, N$6)</f>
        <v>1531.1148438857699</v>
      </c>
      <c r="O25" s="1111">
        <f>SUMIFS(NewEmisData!I:I, NewEmisData!$A:$A, $G25, NewEmisData!$B:$B, $A25, NewEmisData!$C:$C, $H25, NewEmisData!$D:$D, O$6)</f>
        <v>1508.7877657548299</v>
      </c>
      <c r="P25" s="1111">
        <f>SUMIFS(NewEmisData!J:J, NewEmisData!$A:$A, $G25, NewEmisData!$B:$B, $A25, NewEmisData!$C:$C, $H25, NewEmisData!$D:$D, P$6)</f>
        <v>1502.9671636844901</v>
      </c>
      <c r="Q25" s="1111">
        <f>SUMIFS(NewEmisData!K:K, NewEmisData!$A:$A, $G25, NewEmisData!$B:$B, $A25, NewEmisData!$C:$C, $H25, NewEmisData!$D:$D, Q$6)</f>
        <v>1501.4395842993699</v>
      </c>
      <c r="R25" s="1111">
        <f>SUMIFS(NewEmisData!L:L, NewEmisData!$A:$A, $G25, NewEmisData!$B:$B, $A25, NewEmisData!$C:$C, $H25, NewEmisData!$D:$D, R$6)</f>
        <v>1501.15044041939</v>
      </c>
      <c r="S25" s="1111">
        <f>SUMIFS(NewEmisData!M:M, NewEmisData!$A:$A, $G25, NewEmisData!$B:$B, $A25, NewEmisData!$C:$C, $H25, NewEmisData!$D:$D, S$6)</f>
        <v>1501.0860905019599</v>
      </c>
      <c r="T25" s="1111">
        <f t="shared" si="17"/>
        <v>1501.0860905019599</v>
      </c>
      <c r="U25" s="1111">
        <f>SUMIFS(NewEmisData!E:E, NewEmisData!$A:$A, $G25, NewEmisData!$B:$B, $A25, NewEmisData!$C:$C, $H25, NewEmisData!$D:$D, U$6)</f>
        <v>4.1625657526614797</v>
      </c>
      <c r="V25" s="1111">
        <f>SUMIFS(NewEmisData!F:F, NewEmisData!$A:$A, $G25, NewEmisData!$B:$B, $A25, NewEmisData!$C:$C, $H25, NewEmisData!$D:$D, V$6)</f>
        <v>2.1578815518962502</v>
      </c>
      <c r="W25" s="1111">
        <f>SUMIFS(NewEmisData!G:G, NewEmisData!$A:$A, $G25, NewEmisData!$B:$B, $A25, NewEmisData!$C:$C, $H25, NewEmisData!$D:$D, W$6)</f>
        <v>1.30274636086792</v>
      </c>
      <c r="X25" s="1111">
        <f>SUMIFS(NewEmisData!H:H, NewEmisData!$A:$A, $G25, NewEmisData!$B:$B, $A25, NewEmisData!$C:$C, $H25, NewEmisData!$D:$D, X$6)</f>
        <v>0.94297953696777803</v>
      </c>
      <c r="Y25" s="1111">
        <f>SUMIFS(NewEmisData!I:I, NewEmisData!$A:$A, $G25, NewEmisData!$B:$B, $A25, NewEmisData!$C:$C, $H25, NewEmisData!$D:$D, Y$6)</f>
        <v>0.78815258031283297</v>
      </c>
      <c r="Z25" s="1111">
        <f>SUMIFS(NewEmisData!J:J, NewEmisData!$A:$A, $G25, NewEmisData!$B:$B, $A25, NewEmisData!$C:$C, $H25, NewEmisData!$D:$D, Z$6)</f>
        <v>0.71799894873057002</v>
      </c>
      <c r="AA25" s="1111">
        <f>SUMIFS(NewEmisData!K:K, NewEmisData!$A:$A, $G25, NewEmisData!$B:$B, $A25, NewEmisData!$C:$C, $H25, NewEmisData!$D:$D, AA$6)</f>
        <v>0.69737659475245495</v>
      </c>
      <c r="AB25" s="1111">
        <f>SUMIFS(NewEmisData!L:L, NewEmisData!$A:$A, $G25, NewEmisData!$B:$B, $A25, NewEmisData!$C:$C, $H25, NewEmisData!$D:$D, AB$6)</f>
        <v>0.69289982108465797</v>
      </c>
      <c r="AC25" s="1111">
        <f>SUMIFS(NewEmisData!M:M, NewEmisData!$A:$A, $G25, NewEmisData!$B:$B, $A25, NewEmisData!$C:$C, $H25, NewEmisData!$D:$D, AC$6)</f>
        <v>0.69155412460857602</v>
      </c>
      <c r="AD25" s="1111">
        <f t="shared" si="18"/>
        <v>0.69155412460857602</v>
      </c>
      <c r="AE25" s="1111">
        <f t="shared" ref="AE25:AE56" si="70">AF25</f>
        <v>2.1484176158971701E-2</v>
      </c>
      <c r="AF25" s="1111">
        <f>SUMIFS(NewEmisData!E:E, NewEmisData!$A:$A, $G25, NewEmisData!$B:$B, $A25, NewEmisData!$C:$C, $H25, NewEmisData!$D:$D, AF$6)</f>
        <v>2.1484176158971701E-2</v>
      </c>
      <c r="AG25" s="1111">
        <f>SUMIFS(NewEmisData!F:F, NewEmisData!$A:$A, $G25, NewEmisData!$B:$B, $A25, NewEmisData!$C:$C, $H25, NewEmisData!$D:$D, AG$6)</f>
        <v>2.1509817808633099E-2</v>
      </c>
      <c r="AH25" s="1111">
        <f>SUMIFS(NewEmisData!G:G, NewEmisData!$A:$A, $G25, NewEmisData!$B:$B, $A25, NewEmisData!$C:$C, $H25, NewEmisData!$D:$D, AH$6)</f>
        <v>2.2375249866597498E-2</v>
      </c>
      <c r="AI25" s="1111">
        <f>SUMIFS(NewEmisData!H:H, NewEmisData!$A:$A, $G25, NewEmisData!$B:$B, $A25, NewEmisData!$C:$C, $H25, NewEmisData!$D:$D, AI$6)</f>
        <v>2.1964641718838499E-2</v>
      </c>
      <c r="AJ25" s="1111">
        <f>SUMIFS(NewEmisData!I:I, NewEmisData!$A:$A, $G25, NewEmisData!$B:$B, $A25, NewEmisData!$C:$C, $H25, NewEmisData!$D:$D, AJ$6)</f>
        <v>2.1644351533378101E-2</v>
      </c>
      <c r="AK25" s="1111">
        <f>SUMIFS(NewEmisData!J:J, NewEmisData!$A:$A, $G25, NewEmisData!$B:$B, $A25, NewEmisData!$C:$C, $H25, NewEmisData!$D:$D, AK$6)</f>
        <v>2.1560851881015301E-2</v>
      </c>
      <c r="AL25" s="1111">
        <f>SUMIFS(NewEmisData!K:K, NewEmisData!$A:$A, $G25, NewEmisData!$B:$B, $A25, NewEmisData!$C:$C, $H25, NewEmisData!$D:$D, AL$6)</f>
        <v>2.1538927343366401E-2</v>
      </c>
      <c r="AM25" s="1111">
        <f>SUMIFS(NewEmisData!L:L, NewEmisData!$A:$A, $G25, NewEmisData!$B:$B, $A25, NewEmisData!$C:$C, $H25, NewEmisData!$D:$D, AM$6)</f>
        <v>2.1534775827773901E-2</v>
      </c>
      <c r="AN25" s="1111">
        <f>SUMIFS(NewEmisData!M:M, NewEmisData!$A:$A, $G25, NewEmisData!$B:$B, $A25, NewEmisData!$C:$C, $H25, NewEmisData!$D:$D, AN$6)</f>
        <v>2.15338577914834E-2</v>
      </c>
      <c r="AO25" s="1111">
        <f t="shared" ref="AO25:AO56" si="71">AN25</f>
        <v>2.15338577914834E-2</v>
      </c>
      <c r="AP25" s="1111">
        <f t="shared" ref="AP25:AP56" si="72">AQ25</f>
        <v>0.205584171442245</v>
      </c>
      <c r="AQ25" s="1111">
        <f>SUMIFS(NewEmisData!E:E, NewEmisData!$A:$A, $G25, NewEmisData!$B:$B, $A25, NewEmisData!$C:$C, $H25, NewEmisData!$D:$D, AQ$6)</f>
        <v>0.205584171442245</v>
      </c>
      <c r="AR25" s="1111">
        <f>SUMIFS(NewEmisData!F:F, NewEmisData!$A:$A, $G25, NewEmisData!$B:$B, $A25, NewEmisData!$C:$C, $H25, NewEmisData!$D:$D, AR$6)</f>
        <v>0.200703686535146</v>
      </c>
      <c r="AS25" s="1111">
        <f>SUMIFS(NewEmisData!G:G, NewEmisData!$A:$A, $G25, NewEmisData!$B:$B, $A25, NewEmisData!$C:$C, $H25, NewEmisData!$D:$D, AS$6)</f>
        <v>0.298432150084874</v>
      </c>
      <c r="AT25" s="1111">
        <f>SUMIFS(NewEmisData!H:H, NewEmisData!$A:$A, $G25, NewEmisData!$B:$B, $A25, NewEmisData!$C:$C, $H25, NewEmisData!$D:$D, AT$6)</f>
        <v>0.29892439751761801</v>
      </c>
      <c r="AU25" s="1111">
        <f>SUMIFS(NewEmisData!I:I, NewEmisData!$A:$A, $G25, NewEmisData!$B:$B, $A25, NewEmisData!$C:$C, $H25, NewEmisData!$D:$D, AU$6)</f>
        <v>0.29942291421429901</v>
      </c>
      <c r="AV25" s="1111">
        <f>SUMIFS(NewEmisData!J:J, NewEmisData!$A:$A, $G25, NewEmisData!$B:$B, $A25, NewEmisData!$C:$C, $H25, NewEmisData!$D:$D, AV$6)</f>
        <v>0.29972619462258399</v>
      </c>
      <c r="AW25" s="1111">
        <f>SUMIFS(NewEmisData!K:K, NewEmisData!$A:$A, $G25, NewEmisData!$B:$B, $A25, NewEmisData!$C:$C, $H25, NewEmisData!$D:$D, AW$6)</f>
        <v>0.29988559432946199</v>
      </c>
      <c r="AX25" s="1111">
        <f>SUMIFS(NewEmisData!L:L, NewEmisData!$A:$A, $G25, NewEmisData!$B:$B, $A25, NewEmisData!$C:$C, $H25, NewEmisData!$D:$D, AX$6)</f>
        <v>0.29993582308119998</v>
      </c>
      <c r="AY25" s="1111">
        <f>SUMIFS(NewEmisData!M:M, NewEmisData!$A:$A, $G25, NewEmisData!$B:$B, $A25, NewEmisData!$C:$C, $H25, NewEmisData!$D:$D, AY$6)</f>
        <v>0.299955436334361</v>
      </c>
      <c r="AZ25" s="1111">
        <f t="shared" ref="AZ25:AZ56" si="73">AY25</f>
        <v>0.299955436334361</v>
      </c>
      <c r="BA25" s="1111">
        <f t="shared" ref="BA25:BA56" si="74">BB25</f>
        <v>3.9334690996451198E-2</v>
      </c>
      <c r="BB25" s="1111">
        <f>SUMIFS(NewEmisData!E:E, NewEmisData!$A:$A, $G25, NewEmisData!$B:$B, $A25, NewEmisData!$C:$C, $H25, NewEmisData!$D:$D, BB$6)</f>
        <v>3.9334690996451198E-2</v>
      </c>
      <c r="BC25" s="1111">
        <f>SUMIFS(NewEmisData!F:F, NewEmisData!$A:$A, $G25, NewEmisData!$B:$B, $A25, NewEmisData!$C:$C, $H25, NewEmisData!$D:$D, BC$6)</f>
        <v>3.4631534960308699E-2</v>
      </c>
      <c r="BD25" s="1111">
        <f>SUMIFS(NewEmisData!G:G, NewEmisData!$A:$A, $G25, NewEmisData!$B:$B, $A25, NewEmisData!$C:$C, $H25, NewEmisData!$D:$D, BD$6)</f>
        <v>4.5448906099466301E-2</v>
      </c>
      <c r="BE25" s="1111">
        <f>SUMIFS(NewEmisData!H:H, NewEmisData!$A:$A, $G25, NewEmisData!$B:$B, $A25, NewEmisData!$C:$C, $H25, NewEmisData!$D:$D, BE$6)</f>
        <v>4.5413592229635001E-2</v>
      </c>
      <c r="BF25" s="1111">
        <f>SUMIFS(NewEmisData!I:I, NewEmisData!$A:$A, $G25, NewEmisData!$B:$B, $A25, NewEmisData!$C:$C, $H25, NewEmisData!$D:$D, BF$6)</f>
        <v>4.5762266359602698E-2</v>
      </c>
      <c r="BG25" s="1111">
        <f>SUMIFS(NewEmisData!J:J, NewEmisData!$A:$A, $G25, NewEmisData!$B:$B, $A25, NewEmisData!$C:$C, $H25, NewEmisData!$D:$D, BG$6)</f>
        <v>4.6004282113656897E-2</v>
      </c>
      <c r="BH25" s="1111">
        <f>SUMIFS(NewEmisData!K:K, NewEmisData!$A:$A, $G25, NewEmisData!$B:$B, $A25, NewEmisData!$C:$C, $H25, NewEmisData!$D:$D, BH$6)</f>
        <v>4.6139436899626303E-2</v>
      </c>
      <c r="BI25" s="1111">
        <f>SUMIFS(NewEmisData!L:L, NewEmisData!$A:$A, $G25, NewEmisData!$B:$B, $A25, NewEmisData!$C:$C, $H25, NewEmisData!$D:$D, BI$6)</f>
        <v>4.6182051454262997E-2</v>
      </c>
      <c r="BJ25" s="1111">
        <f>SUMIFS(NewEmisData!M:M, NewEmisData!$A:$A, $G25, NewEmisData!$B:$B, $A25, NewEmisData!$C:$C, $H25, NewEmisData!$D:$D, BJ$6)</f>
        <v>4.6199279391049702E-2</v>
      </c>
      <c r="BK25" s="1111">
        <f t="shared" ref="BK25:BK56" si="75">BJ25</f>
        <v>4.6199279391049702E-2</v>
      </c>
      <c r="BL25" s="1111">
        <f t="shared" ref="BL25:BL56" si="76">BM25</f>
        <v>35.379082211376598</v>
      </c>
      <c r="BM25" s="1111">
        <f>SUMIFS(NewEmisData!E:E, NewEmisData!$A:$A, $G25, NewEmisData!$B:$B, $A25, NewEmisData!$C:$C, $H25, NewEmisData!$D:$D, BM$6)</f>
        <v>35.379082211376598</v>
      </c>
      <c r="BN25" s="1111">
        <f>SUMIFS(NewEmisData!F:F, NewEmisData!$A:$A, $G25, NewEmisData!$B:$B, $A25, NewEmisData!$C:$C, $H25, NewEmisData!$D:$D, BN$6)</f>
        <v>20.9802918509032</v>
      </c>
      <c r="BO25" s="1111">
        <f>SUMIFS(NewEmisData!G:G, NewEmisData!$A:$A, $G25, NewEmisData!$B:$B, $A25, NewEmisData!$C:$C, $H25, NewEmisData!$D:$D, BO$6)</f>
        <v>14.8071744303823</v>
      </c>
      <c r="BP25" s="1111">
        <f>SUMIFS(NewEmisData!H:H, NewEmisData!$A:$A, $G25, NewEmisData!$B:$B, $A25, NewEmisData!$C:$C, $H25, NewEmisData!$D:$D, BP$6)</f>
        <v>12.7817736031308</v>
      </c>
      <c r="BQ25" s="1111">
        <f>SUMIFS(NewEmisData!I:I, NewEmisData!$A:$A, $G25, NewEmisData!$B:$B, $A25, NewEmisData!$C:$C, $H25, NewEmisData!$D:$D, BQ$6)</f>
        <v>12.249879427369301</v>
      </c>
      <c r="BR25" s="1111">
        <f>SUMIFS(NewEmisData!J:J, NewEmisData!$A:$A, $G25, NewEmisData!$B:$B, $A25, NewEmisData!$C:$C, $H25, NewEmisData!$D:$D, BR$6)</f>
        <v>12.1493449959291</v>
      </c>
      <c r="BS25" s="1111">
        <f>SUMIFS(NewEmisData!K:K, NewEmisData!$A:$A, $G25, NewEmisData!$B:$B, $A25, NewEmisData!$C:$C, $H25, NewEmisData!$D:$D, BS$6)</f>
        <v>12.229795867911401</v>
      </c>
      <c r="BT25" s="1111">
        <f>SUMIFS(NewEmisData!L:L, NewEmisData!$A:$A, $G25, NewEmisData!$B:$B, $A25, NewEmisData!$C:$C, $H25, NewEmisData!$D:$D, BT$6)</f>
        <v>12.2882488120452</v>
      </c>
      <c r="BU25" s="1111">
        <f>SUMIFS(NewEmisData!M:M, NewEmisData!$A:$A, $G25, NewEmisData!$B:$B, $A25, NewEmisData!$C:$C, $H25, NewEmisData!$D:$D, BU$6)</f>
        <v>12.321950956593</v>
      </c>
      <c r="BV25" s="1111">
        <f>BU25</f>
        <v>12.321950956593</v>
      </c>
      <c r="BW25" s="1111">
        <f t="shared" ref="BW25:BW56" si="77">BX25</f>
        <v>1.87362575135703</v>
      </c>
      <c r="BX25" s="1111">
        <f>SUMIFS(NewEmisData!E:E, NewEmisData!$A:$A, $G25, NewEmisData!$B:$B, $A25, NewEmisData!$C:$C, $H25, NewEmisData!$D:$D, BX$6)</f>
        <v>1.87362575135703</v>
      </c>
      <c r="BY25" s="1111">
        <f>SUMIFS(NewEmisData!F:F, NewEmisData!$A:$A, $G25, NewEmisData!$B:$B, $A25, NewEmisData!$C:$C, $H25, NewEmisData!$D:$D, BY$6)</f>
        <v>1.0527291712428299</v>
      </c>
      <c r="BZ25" s="1111">
        <f>SUMIFS(NewEmisData!G:G, NewEmisData!$A:$A, $G25, NewEmisData!$B:$B, $A25, NewEmisData!$C:$C, $H25, NewEmisData!$D:$D, BZ$6)</f>
        <v>0.690616026658735</v>
      </c>
      <c r="CA25" s="1111">
        <f>SUMIFS(NewEmisData!H:H, NewEmisData!$A:$A, $G25, NewEmisData!$B:$B, $A25, NewEmisData!$C:$C, $H25, NewEmisData!$D:$D, CA$6)</f>
        <v>0.54311164322371697</v>
      </c>
      <c r="CB25" s="1111">
        <f>SUMIFS(NewEmisData!I:I, NewEmisData!$A:$A, $G25, NewEmisData!$B:$B, $A25, NewEmisData!$C:$C, $H25, NewEmisData!$D:$D, CB$6)</f>
        <v>0.48887057427966502</v>
      </c>
      <c r="CC25" s="1111">
        <f>SUMIFS(NewEmisData!J:J, NewEmisData!$A:$A, $G25, NewEmisData!$B:$B, $A25, NewEmisData!$C:$C, $H25, NewEmisData!$D:$D, CC$6)</f>
        <v>0.46684418132935501</v>
      </c>
      <c r="CD25" s="1111">
        <f>SUMIFS(NewEmisData!K:K, NewEmisData!$A:$A, $G25, NewEmisData!$B:$B, $A25, NewEmisData!$C:$C, $H25, NewEmisData!$D:$D, CD$6)</f>
        <v>0.46389956383150999</v>
      </c>
      <c r="CE25" s="1111">
        <f>SUMIFS(NewEmisData!L:L, NewEmisData!$A:$A, $G25, NewEmisData!$B:$B, $A25, NewEmisData!$C:$C, $H25, NewEmisData!$D:$D, CE$6)</f>
        <v>0.46392493269586499</v>
      </c>
      <c r="CF25" s="1111">
        <f>SUMIFS(NewEmisData!M:M, NewEmisData!$A:$A, $G25, NewEmisData!$B:$B, $A25, NewEmisData!$C:$C, $H25, NewEmisData!$D:$D, CF$6)</f>
        <v>0.46396365606422402</v>
      </c>
      <c r="CG25" s="1111">
        <f t="shared" ref="CG25:CG56" si="78">CF25</f>
        <v>0.46396365606422402</v>
      </c>
      <c r="CH25" s="1111">
        <f t="shared" ref="CH25:CH56" si="79">CI25</f>
        <v>4.5385046654151703E-2</v>
      </c>
      <c r="CI25" s="1111">
        <f>SUMIFS(NewEmisData!E:E, NewEmisData!$A:$A, $G25, NewEmisData!$B:$B, $A25, NewEmisData!$C:$C, $H25, NewEmisData!$D:$D, CI$6)</f>
        <v>4.5385046654151703E-2</v>
      </c>
      <c r="CJ25" s="1111">
        <f>SUMIFS(NewEmisData!F:F, NewEmisData!$A:$A, $G25, NewEmisData!$B:$B, $A25, NewEmisData!$C:$C, $H25, NewEmisData!$D:$D, CJ$6)</f>
        <v>4.5393164724417102E-2</v>
      </c>
      <c r="CK25" s="1111">
        <f>SUMIFS(NewEmisData!G:G, NewEmisData!$A:$A, $G25, NewEmisData!$B:$B, $A25, NewEmisData!$C:$C, $H25, NewEmisData!$D:$D, CK$6)</f>
        <v>6.2513239349190994E-2</v>
      </c>
      <c r="CL25" s="1111">
        <f>SUMIFS(NewEmisData!H:H, NewEmisData!$A:$A, $G25, NewEmisData!$B:$B, $A25, NewEmisData!$C:$C, $H25, NewEmisData!$D:$D, CL$6)</f>
        <v>6.2512411846424906E-2</v>
      </c>
      <c r="CM25" s="1111">
        <f>SUMIFS(NewEmisData!I:I, NewEmisData!$A:$A, $G25, NewEmisData!$B:$B, $A25, NewEmisData!$C:$C, $H25, NewEmisData!$D:$D, CM$6)</f>
        <v>6.2512421474567897E-2</v>
      </c>
      <c r="CN25" s="1111">
        <f>SUMIFS(NewEmisData!J:J, NewEmisData!$A:$A, $G25, NewEmisData!$B:$B, $A25, NewEmisData!$C:$C, $H25, NewEmisData!$D:$D, CN$6)</f>
        <v>6.2512452306065502E-2</v>
      </c>
      <c r="CO25" s="1111">
        <f>SUMIFS(NewEmisData!K:K, NewEmisData!$A:$A, $G25, NewEmisData!$B:$B, $A25, NewEmisData!$C:$C, $H25, NewEmisData!$D:$D, CO$6)</f>
        <v>6.2512380916104907E-2</v>
      </c>
      <c r="CP25" s="1111">
        <f>SUMIFS(NewEmisData!L:L, NewEmisData!$A:$A, $G25, NewEmisData!$B:$B, $A25, NewEmisData!$C:$C, $H25, NewEmisData!$D:$D, CP$6)</f>
        <v>6.2512436309679606E-2</v>
      </c>
      <c r="CQ25" s="1111">
        <f>SUMIFS(NewEmisData!M:M, NewEmisData!$A:$A, $G25, NewEmisData!$B:$B, $A25, NewEmisData!$C:$C, $H25, NewEmisData!$D:$D, CQ$6)</f>
        <v>6.2512445317614407E-2</v>
      </c>
      <c r="CR25" s="1111">
        <f t="shared" ref="CR25:CR56" si="80">CQ25</f>
        <v>6.2512445317614407E-2</v>
      </c>
      <c r="CS25" s="1111">
        <f t="shared" ref="CS25:CS56" si="81">CT25</f>
        <v>6.7564687236939897E-2</v>
      </c>
      <c r="CT25" s="1111">
        <f>SUMIFS(NewEmisData!E:E, NewEmisData!$A:$A, $G25, NewEmisData!$B:$B, $A25, NewEmisData!$C:$C, $H25, NewEmisData!$D:$D, CT$6)</f>
        <v>6.7564687236939897E-2</v>
      </c>
      <c r="CU25" s="1111">
        <f>SUMIFS(NewEmisData!F:F, NewEmisData!$A:$A, $G25, NewEmisData!$B:$B, $A25, NewEmisData!$C:$C, $H25, NewEmisData!$D:$D, CU$6)</f>
        <v>3.8153498607861998E-2</v>
      </c>
      <c r="CV25" s="1111">
        <f>SUMIFS(NewEmisData!G:G, NewEmisData!$A:$A, $G25, NewEmisData!$B:$B, $A25, NewEmisData!$C:$C, $H25, NewEmisData!$D:$D, CV$6)</f>
        <v>2.81821158126641E-2</v>
      </c>
      <c r="CW25" s="1111">
        <f>SUMIFS(NewEmisData!H:H, NewEmisData!$A:$A, $G25, NewEmisData!$B:$B, $A25, NewEmisData!$C:$C, $H25, NewEmisData!$D:$D, CW$6)</f>
        <v>1.9443003989977701E-2</v>
      </c>
      <c r="CX25" s="1111">
        <f>SUMIFS(NewEmisData!I:I, NewEmisData!$A:$A, $G25, NewEmisData!$B:$B, $A25, NewEmisData!$C:$C, $H25, NewEmisData!$D:$D, CX$6)</f>
        <v>1.7080157869544602E-2</v>
      </c>
      <c r="CY25" s="1111">
        <f>SUMIFS(NewEmisData!J:J, NewEmisData!$A:$A, $G25, NewEmisData!$B:$B, $A25, NewEmisData!$C:$C, $H25, NewEmisData!$D:$D, CY$6)</f>
        <v>1.6424318186297401E-2</v>
      </c>
      <c r="CZ25" s="1111">
        <f>SUMIFS(NewEmisData!K:K, NewEmisData!$A:$A, $G25, NewEmisData!$B:$B, $A25, NewEmisData!$C:$C, $H25, NewEmisData!$D:$D, CZ$6)</f>
        <v>1.63466414048998E-2</v>
      </c>
      <c r="DA25" s="1111">
        <f>SUMIFS(NewEmisData!L:L, NewEmisData!$A:$A, $G25, NewEmisData!$B:$B, $A25, NewEmisData!$C:$C, $H25, NewEmisData!$D:$D, DA$6)</f>
        <v>1.6299016097018101E-2</v>
      </c>
      <c r="DB25" s="1111">
        <f>SUMIFS(NewEmisData!M:M, NewEmisData!$A:$A, $G25, NewEmisData!$B:$B, $A25, NewEmisData!$C:$C, $H25, NewEmisData!$D:$D, DB$6)</f>
        <v>1.6325096857781201E-2</v>
      </c>
      <c r="DC25" s="1111">
        <f>DB25</f>
        <v>1.6325096857781201E-2</v>
      </c>
      <c r="DD25" s="1111">
        <v>8.4892895966475739E-3</v>
      </c>
      <c r="DE25" s="1111">
        <v>5.6212986616763754E-3</v>
      </c>
      <c r="DF25" s="1111">
        <v>3.3463487561708246E-3</v>
      </c>
      <c r="DG25" s="1111">
        <v>2.7660430299124659E-3</v>
      </c>
      <c r="DH25" s="1111">
        <v>2.682529091392567E-3</v>
      </c>
      <c r="DI25" s="1111">
        <v>2.703528873173607E-3</v>
      </c>
      <c r="DJ25" s="1111">
        <v>2.7128611055472259E-3</v>
      </c>
      <c r="DK25" s="1111">
        <v>2.7072751179577333E-3</v>
      </c>
      <c r="DL25" s="1111">
        <v>2.7166296978826691E-3</v>
      </c>
      <c r="DM25" s="1111">
        <v>2.7267399324404202E-3</v>
      </c>
      <c r="DN25" s="1111">
        <v>2.7267399324404202E-3</v>
      </c>
      <c r="DO25" s="1111">
        <v>2.7529093789717789E-2</v>
      </c>
      <c r="DP25" s="1111">
        <v>1.8547410667972192E-2</v>
      </c>
      <c r="DQ25" s="1111">
        <v>1.0623092960258752E-2</v>
      </c>
      <c r="DR25" s="1111">
        <v>8.2487146441313514E-3</v>
      </c>
      <c r="DS25" s="1111">
        <v>8.1824854069421117E-3</v>
      </c>
      <c r="DT25" s="1111">
        <v>8.1902625366083396E-3</v>
      </c>
      <c r="DU25" s="1111">
        <v>8.1985958492518836E-3</v>
      </c>
      <c r="DV25" s="1111">
        <v>8.1775758900627226E-3</v>
      </c>
      <c r="DW25" s="1111">
        <v>8.1943266682995095E-3</v>
      </c>
      <c r="DX25" s="1111">
        <v>8.2124081867554939E-3</v>
      </c>
      <c r="DY25" s="1111">
        <v>8.2124081867554939E-3</v>
      </c>
      <c r="DZ25" s="1111">
        <f>EA25</f>
        <v>5.0339270700679999E-2</v>
      </c>
      <c r="EA25" s="1111">
        <f>SUMIFS(NewEmisData!E:E, NewEmisData!$A:$A, $G25, NewEmisData!$B:$B, $A25, NewEmisData!$C:$C, $H25, NewEmisData!$D:$D, EA$6)</f>
        <v>5.0339270700679999E-2</v>
      </c>
      <c r="EB25" s="1111">
        <f>SUMIFS(NewEmisData!F:F, NewEmisData!$A:$A, $G25, NewEmisData!$B:$B, $A25, NewEmisData!$C:$C, $H25, NewEmisData!$D:$D, EB$6)</f>
        <v>2.98546172534019E-2</v>
      </c>
      <c r="EC25" s="1111">
        <f>SUMIFS(NewEmisData!G:G, NewEmisData!$A:$A, $G25, NewEmisData!$B:$B, $A25, NewEmisData!$C:$C, $H25, NewEmisData!$D:$D, EC$6)</f>
        <v>1.7913674894860999E-2</v>
      </c>
      <c r="ED25" s="1111">
        <f>SUMIFS(NewEmisData!H:H, NewEmisData!$A:$A, $G25, NewEmisData!$B:$B, $A25, NewEmisData!$C:$C, $H25, NewEmisData!$D:$D, ED$6)</f>
        <v>1.54314271118329E-2</v>
      </c>
      <c r="EE25" s="1111">
        <f>SUMIFS(NewEmisData!I:I, NewEmisData!$A:$A, $G25, NewEmisData!$B:$B, $A25, NewEmisData!$C:$C, $H25, NewEmisData!$D:$D, EE$6)</f>
        <v>1.4729599669098301E-2</v>
      </c>
      <c r="EF25" s="1111">
        <f>SUMIFS(NewEmisData!J:J, NewEmisData!$A:$A, $G25, NewEmisData!$B:$B, $A25, NewEmisData!$C:$C, $H25, NewEmisData!$D:$D, EF$6)</f>
        <v>1.46060589575112E-2</v>
      </c>
      <c r="EG25" s="1111">
        <f>SUMIFS(NewEmisData!K:K, NewEmisData!$A:$A, $G25, NewEmisData!$B:$B, $A25, NewEmisData!$C:$C, $H25, NewEmisData!$D:$D, EG$6)</f>
        <v>1.4662699121929501E-2</v>
      </c>
      <c r="EH25" s="1111">
        <f>SUMIFS(NewEmisData!L:L, NewEmisData!$A:$A, $G25, NewEmisData!$B:$B, $A25, NewEmisData!$C:$C, $H25, NewEmisData!$D:$D, EH$6)</f>
        <v>1.46806856975942E-2</v>
      </c>
      <c r="EI25" s="1111">
        <f>SUMIFS(NewEmisData!M:M, NewEmisData!$A:$A, $G25, NewEmisData!$B:$B, $A25, NewEmisData!$C:$C, $H25, NewEmisData!$D:$D, EI$6)</f>
        <v>1.4680172285676999E-2</v>
      </c>
      <c r="EJ25" s="1111">
        <f>EI25</f>
        <v>1.4680172285676999E-2</v>
      </c>
      <c r="EK25" s="1111">
        <f>EL25</f>
        <v>1241.60800343195</v>
      </c>
      <c r="EL25" s="1111">
        <f t="shared" si="48"/>
        <v>1241.60800343195</v>
      </c>
      <c r="EM25" s="1111">
        <f t="shared" si="49"/>
        <v>1243.08928499321</v>
      </c>
      <c r="EN25" s="1111">
        <f t="shared" si="50"/>
        <v>1559.7377784626201</v>
      </c>
      <c r="EO25" s="1111">
        <f t="shared" si="51"/>
        <v>1531.1148438857699</v>
      </c>
      <c r="EP25" s="1111">
        <f t="shared" si="52"/>
        <v>1508.7877657548299</v>
      </c>
      <c r="EQ25" s="1111">
        <f t="shared" si="53"/>
        <v>1502.9671636844901</v>
      </c>
      <c r="ER25" s="1111">
        <f t="shared" si="54"/>
        <v>1501.4395842993699</v>
      </c>
      <c r="ES25" s="1111">
        <f t="shared" si="55"/>
        <v>1501.15044041939</v>
      </c>
      <c r="ET25" s="1111">
        <f t="shared" si="56"/>
        <v>1501.0860905019599</v>
      </c>
      <c r="EU25" s="1111">
        <f t="shared" si="57"/>
        <v>1501.0860905019599</v>
      </c>
      <c r="EV25" s="1111">
        <f>EW25</f>
        <v>4.1625657526614797</v>
      </c>
      <c r="EW25" s="1111">
        <f t="shared" si="38"/>
        <v>4.1625657526614797</v>
      </c>
      <c r="EX25" s="1111">
        <f t="shared" si="39"/>
        <v>2.1578815518962502</v>
      </c>
      <c r="EY25" s="1111">
        <f t="shared" si="40"/>
        <v>1.30274636086792</v>
      </c>
      <c r="EZ25" s="1111">
        <f t="shared" si="41"/>
        <v>0.94297953696777803</v>
      </c>
      <c r="FA25" s="1111">
        <f t="shared" si="42"/>
        <v>0.78815258031283297</v>
      </c>
      <c r="FB25" s="1111">
        <f t="shared" si="43"/>
        <v>0.71799894873057002</v>
      </c>
      <c r="FC25" s="1111">
        <f t="shared" si="44"/>
        <v>0.69737659475245495</v>
      </c>
      <c r="FD25" s="1111">
        <f t="shared" si="45"/>
        <v>0.69289982108465797</v>
      </c>
      <c r="FE25" s="1111">
        <f t="shared" si="46"/>
        <v>0.69155412460857602</v>
      </c>
      <c r="FF25" s="1111">
        <f t="shared" si="47"/>
        <v>0.69155412460857602</v>
      </c>
      <c r="FG25" s="1111">
        <f t="shared" ref="FG25:FQ25" si="82">AE25</f>
        <v>2.1484176158971701E-2</v>
      </c>
      <c r="FH25" s="1111">
        <f t="shared" si="82"/>
        <v>2.1484176158971701E-2</v>
      </c>
      <c r="FI25" s="1111">
        <f t="shared" si="82"/>
        <v>2.1509817808633099E-2</v>
      </c>
      <c r="FJ25" s="1111">
        <f t="shared" si="82"/>
        <v>2.2375249866597498E-2</v>
      </c>
      <c r="FK25" s="1111">
        <f t="shared" si="82"/>
        <v>2.1964641718838499E-2</v>
      </c>
      <c r="FL25" s="1111">
        <f t="shared" si="82"/>
        <v>2.1644351533378101E-2</v>
      </c>
      <c r="FM25" s="1111">
        <f t="shared" si="82"/>
        <v>2.1560851881015301E-2</v>
      </c>
      <c r="FN25" s="1111">
        <f t="shared" si="82"/>
        <v>2.1538927343366401E-2</v>
      </c>
      <c r="FO25" s="1111">
        <f t="shared" si="82"/>
        <v>2.1534775827773901E-2</v>
      </c>
      <c r="FP25" s="1111">
        <f t="shared" si="82"/>
        <v>2.15338577914834E-2</v>
      </c>
      <c r="FQ25" s="1111">
        <f t="shared" si="82"/>
        <v>2.15338577914834E-2</v>
      </c>
      <c r="FR25" s="1111">
        <f t="shared" si="25"/>
        <v>0.205584171442245</v>
      </c>
      <c r="FS25" s="1111">
        <f t="shared" si="26"/>
        <v>0.205584171442245</v>
      </c>
      <c r="FT25" s="1111">
        <f t="shared" si="27"/>
        <v>0.200703686535146</v>
      </c>
      <c r="FU25" s="1111">
        <f t="shared" si="28"/>
        <v>0.298432150084874</v>
      </c>
      <c r="FV25" s="1111">
        <f t="shared" si="29"/>
        <v>0.29892439751761801</v>
      </c>
      <c r="FW25" s="1111">
        <f t="shared" si="30"/>
        <v>0.29942291421429901</v>
      </c>
      <c r="FX25" s="1111">
        <f t="shared" si="31"/>
        <v>0.29972619462258399</v>
      </c>
      <c r="FY25" s="1111">
        <f t="shared" si="32"/>
        <v>0.29988559432946199</v>
      </c>
      <c r="FZ25" s="1111">
        <f t="shared" si="33"/>
        <v>0.29993582308119998</v>
      </c>
      <c r="GA25" s="1111">
        <f t="shared" si="34"/>
        <v>0.299955436334361</v>
      </c>
      <c r="GB25" s="1111">
        <f t="shared" si="35"/>
        <v>0.299955436334361</v>
      </c>
      <c r="GC25" s="1111">
        <f t="shared" si="59"/>
        <v>3.9334690996451198E-2</v>
      </c>
      <c r="GD25" s="1111">
        <f t="shared" si="60"/>
        <v>3.9334690996451198E-2</v>
      </c>
      <c r="GE25" s="1111">
        <f t="shared" si="61"/>
        <v>3.4631534960308699E-2</v>
      </c>
      <c r="GF25" s="1111">
        <f t="shared" si="62"/>
        <v>4.5448906099466301E-2</v>
      </c>
      <c r="GG25" s="1111">
        <f t="shared" si="63"/>
        <v>4.5413592229635001E-2</v>
      </c>
      <c r="GH25" s="1111">
        <f t="shared" si="64"/>
        <v>4.5762266359602698E-2</v>
      </c>
      <c r="GI25" s="1111">
        <f t="shared" si="65"/>
        <v>4.6004282113656897E-2</v>
      </c>
      <c r="GJ25" s="1111">
        <f t="shared" si="66"/>
        <v>4.6139436899626303E-2</v>
      </c>
      <c r="GK25" s="1111">
        <f t="shared" si="67"/>
        <v>4.6182051454262997E-2</v>
      </c>
      <c r="GL25" s="1111">
        <f t="shared" si="68"/>
        <v>4.6199279391049702E-2</v>
      </c>
      <c r="GM25" s="1111">
        <f t="shared" si="69"/>
        <v>4.6199279391049702E-2</v>
      </c>
    </row>
    <row r="26" spans="1:195" x14ac:dyDescent="0.2">
      <c r="A26" s="1071" t="s">
        <v>184</v>
      </c>
      <c r="B26" s="1071" t="str">
        <f>Technologies!C110</f>
        <v>TMGSLE</v>
      </c>
      <c r="C26" s="1071" t="str">
        <f>Technologies!D110</f>
        <v>Medium Duty Truck, Existing Gasoline</v>
      </c>
      <c r="D26" s="1071" t="str">
        <f>NewTech!D65</f>
        <v>bn-vmt, bn-vmt/a</v>
      </c>
      <c r="E26" s="1071" t="str">
        <f>TechData!E18</f>
        <v>TMGSL</v>
      </c>
      <c r="F26" s="1071" t="str">
        <f>TechData!F18</f>
        <v>TM</v>
      </c>
      <c r="G26" s="1110" t="s">
        <v>503</v>
      </c>
      <c r="H26" s="1111" t="s">
        <v>500</v>
      </c>
      <c r="I26" s="1112">
        <v>1</v>
      </c>
      <c r="J26" s="1111" t="str">
        <f t="shared" si="37"/>
        <v>Medium duty-GSL</v>
      </c>
      <c r="K26" s="1111">
        <f>SUMIFS(NewEmisData!E:E, NewEmisData!$A:$A, $G26, NewEmisData!$B:$B, $A26, NewEmisData!$C:$C, $H26, NewEmisData!$D:$D, K$6)</f>
        <v>1125.6531994791601</v>
      </c>
      <c r="L26" s="1111">
        <f>SUMIFS(NewEmisData!F:F, NewEmisData!$A:$A, $G26, NewEmisData!$B:$B, $A26, NewEmisData!$C:$C, $H26, NewEmisData!$D:$D, L$6)</f>
        <v>1129.51230354672</v>
      </c>
      <c r="M26" s="1111">
        <f>SUMIFS(NewEmisData!G:G, NewEmisData!$A:$A, $G26, NewEmisData!$B:$B, $A26, NewEmisData!$C:$C, $H26, NewEmisData!$D:$D, M$6)</f>
        <v>1334.28865010909</v>
      </c>
      <c r="N26" s="1111">
        <f>SUMIFS(NewEmisData!H:H, NewEmisData!$A:$A, $G26, NewEmisData!$B:$B, $A26, NewEmisData!$C:$C, $H26, NewEmisData!$D:$D, N$6)</f>
        <v>1309.4477161980601</v>
      </c>
      <c r="O26" s="1111">
        <f>SUMIFS(NewEmisData!I:I, NewEmisData!$A:$A, $G26, NewEmisData!$B:$B, $A26, NewEmisData!$C:$C, $H26, NewEmisData!$D:$D, O$6)</f>
        <v>1290.2789800169201</v>
      </c>
      <c r="P26" s="1111">
        <f>SUMIFS(NewEmisData!J:J, NewEmisData!$A:$A, $G26, NewEmisData!$B:$B, $A26, NewEmisData!$C:$C, $H26, NewEmisData!$D:$D, P$6)</f>
        <v>1285.24459420581</v>
      </c>
      <c r="Q26" s="1111">
        <f>SUMIFS(NewEmisData!K:K, NewEmisData!$A:$A, $G26, NewEmisData!$B:$B, $A26, NewEmisData!$C:$C, $H26, NewEmisData!$D:$D, Q$6)</f>
        <v>1283.9086141387199</v>
      </c>
      <c r="R26" s="1111">
        <f>SUMIFS(NewEmisData!L:L, NewEmisData!$A:$A, $G26, NewEmisData!$B:$B, $A26, NewEmisData!$C:$C, $H26, NewEmisData!$D:$D, R$6)</f>
        <v>1283.64917953798</v>
      </c>
      <c r="S26" s="1111">
        <f>SUMIFS(NewEmisData!M:M, NewEmisData!$A:$A, $G26, NewEmisData!$B:$B, $A26, NewEmisData!$C:$C, $H26, NewEmisData!$D:$D, S$6)</f>
        <v>1283.5882413572699</v>
      </c>
      <c r="T26" s="1111">
        <f t="shared" si="17"/>
        <v>1283.5882413572699</v>
      </c>
      <c r="U26" s="1111">
        <f>SUMIFS(NewEmisData!E:E, NewEmisData!$A:$A, $G26, NewEmisData!$B:$B, $A26, NewEmisData!$C:$C, $H26, NewEmisData!$D:$D, U$6)</f>
        <v>3.9696963814368802</v>
      </c>
      <c r="V26" s="1111">
        <f>SUMIFS(NewEmisData!F:F, NewEmisData!$A:$A, $G26, NewEmisData!$B:$B, $A26, NewEmisData!$C:$C, $H26, NewEmisData!$D:$D, V$6)</f>
        <v>2.1292045893653802</v>
      </c>
      <c r="W26" s="1111">
        <f>SUMIFS(NewEmisData!G:G, NewEmisData!$A:$A, $G26, NewEmisData!$B:$B, $A26, NewEmisData!$C:$C, $H26, NewEmisData!$D:$D, W$6)</f>
        <v>1.1780347139767999</v>
      </c>
      <c r="X26" s="1111">
        <f>SUMIFS(NewEmisData!H:H, NewEmisData!$A:$A, $G26, NewEmisData!$B:$B, $A26, NewEmisData!$C:$C, $H26, NewEmisData!$D:$D, X$6)</f>
        <v>0.85616837461707895</v>
      </c>
      <c r="Y26" s="1111">
        <f>SUMIFS(NewEmisData!I:I, NewEmisData!$A:$A, $G26, NewEmisData!$B:$B, $A26, NewEmisData!$C:$C, $H26, NewEmisData!$D:$D, Y$6)</f>
        <v>0.71679914036882397</v>
      </c>
      <c r="Z26" s="1111">
        <f>SUMIFS(NewEmisData!J:J, NewEmisData!$A:$A, $G26, NewEmisData!$B:$B, $A26, NewEmisData!$C:$C, $H26, NewEmisData!$D:$D, Z$6)</f>
        <v>0.653734873709785</v>
      </c>
      <c r="AA26" s="1111">
        <f>SUMIFS(NewEmisData!K:K, NewEmisData!$A:$A, $G26, NewEmisData!$B:$B, $A26, NewEmisData!$C:$C, $H26, NewEmisData!$D:$D, AA$6)</f>
        <v>0.63529466077774999</v>
      </c>
      <c r="AB26" s="1111">
        <f>SUMIFS(NewEmisData!L:L, NewEmisData!$A:$A, $G26, NewEmisData!$B:$B, $A26, NewEmisData!$C:$C, $H26, NewEmisData!$D:$D, AB$6)</f>
        <v>0.63126465139316401</v>
      </c>
      <c r="AC26" s="1111">
        <f>SUMIFS(NewEmisData!M:M, NewEmisData!$A:$A, $G26, NewEmisData!$B:$B, $A26, NewEmisData!$C:$C, $H26, NewEmisData!$D:$D, AC$6)</f>
        <v>0.63008499106767202</v>
      </c>
      <c r="AD26" s="1111">
        <f t="shared" si="18"/>
        <v>0.63008499106767202</v>
      </c>
      <c r="AE26" s="1111">
        <f t="shared" si="70"/>
        <v>1.94777471026268E-2</v>
      </c>
      <c r="AF26" s="1111">
        <f>SUMIFS(NewEmisData!E:E, NewEmisData!$A:$A, $G26, NewEmisData!$B:$B, $A26, NewEmisData!$C:$C, $H26, NewEmisData!$D:$D, AF$6)</f>
        <v>1.94777471026268E-2</v>
      </c>
      <c r="AG26" s="1111">
        <f>SUMIFS(NewEmisData!F:F, NewEmisData!$A:$A, $G26, NewEmisData!$B:$B, $A26, NewEmisData!$C:$C, $H26, NewEmisData!$D:$D, AG$6)</f>
        <v>1.95445323749391E-2</v>
      </c>
      <c r="AH26" s="1111">
        <f>SUMIFS(NewEmisData!G:G, NewEmisData!$A:$A, $G26, NewEmisData!$B:$B, $A26, NewEmisData!$C:$C, $H26, NewEmisData!$D:$D, AH$6)</f>
        <v>1.9141058004132301E-2</v>
      </c>
      <c r="AI26" s="1111">
        <f>SUMIFS(NewEmisData!H:H, NewEmisData!$A:$A, $G26, NewEmisData!$B:$B, $A26, NewEmisData!$C:$C, $H26, NewEmisData!$D:$D, AI$6)</f>
        <v>1.8784705993390102E-2</v>
      </c>
      <c r="AJ26" s="1111">
        <f>SUMIFS(NewEmisData!I:I, NewEmisData!$A:$A, $G26, NewEmisData!$B:$B, $A26, NewEmisData!$C:$C, $H26, NewEmisData!$D:$D, AJ$6)</f>
        <v>1.85097249042331E-2</v>
      </c>
      <c r="AK26" s="1111">
        <f>SUMIFS(NewEmisData!J:J, NewEmisData!$A:$A, $G26, NewEmisData!$B:$B, $A26, NewEmisData!$C:$C, $H26, NewEmisData!$D:$D, AK$6)</f>
        <v>1.8437510106673601E-2</v>
      </c>
      <c r="AL26" s="1111">
        <f>SUMIFS(NewEmisData!K:K, NewEmisData!$A:$A, $G26, NewEmisData!$B:$B, $A26, NewEmisData!$C:$C, $H26, NewEmisData!$D:$D, AL$6)</f>
        <v>1.8418333813220399E-2</v>
      </c>
      <c r="AM26" s="1111">
        <f>SUMIFS(NewEmisData!L:L, NewEmisData!$A:$A, $G26, NewEmisData!$B:$B, $A26, NewEmisData!$C:$C, $H26, NewEmisData!$D:$D, AM$6)</f>
        <v>1.8414616467845198E-2</v>
      </c>
      <c r="AN26" s="1111">
        <f>SUMIFS(NewEmisData!M:M, NewEmisData!$A:$A, $G26, NewEmisData!$B:$B, $A26, NewEmisData!$C:$C, $H26, NewEmisData!$D:$D, AN$6)</f>
        <v>1.84137339980028E-2</v>
      </c>
      <c r="AO26" s="1111">
        <f t="shared" si="71"/>
        <v>1.84137339980028E-2</v>
      </c>
      <c r="AP26" s="1111">
        <f t="shared" si="72"/>
        <v>0.16277138632680399</v>
      </c>
      <c r="AQ26" s="1111">
        <f>SUMIFS(NewEmisData!E:E, NewEmisData!$A:$A, $G26, NewEmisData!$B:$B, $A26, NewEmisData!$C:$C, $H26, NewEmisData!$D:$D, AQ$6)</f>
        <v>0.16277138632680399</v>
      </c>
      <c r="AR26" s="1111">
        <f>SUMIFS(NewEmisData!F:F, NewEmisData!$A:$A, $G26, NewEmisData!$B:$B, $A26, NewEmisData!$C:$C, $H26, NewEmisData!$D:$D, AR$6)</f>
        <v>0.15749210557477999</v>
      </c>
      <c r="AS26" s="1111">
        <f>SUMIFS(NewEmisData!G:G, NewEmisData!$A:$A, $G26, NewEmisData!$B:$B, $A26, NewEmisData!$C:$C, $H26, NewEmisData!$D:$D, AS$6)</f>
        <v>0.22213105998277299</v>
      </c>
      <c r="AT26" s="1111">
        <f>SUMIFS(NewEmisData!H:H, NewEmisData!$A:$A, $G26, NewEmisData!$B:$B, $A26, NewEmisData!$C:$C, $H26, NewEmisData!$D:$D, AT$6)</f>
        <v>0.22256905483131201</v>
      </c>
      <c r="AU26" s="1111">
        <f>SUMIFS(NewEmisData!I:I, NewEmisData!$A:$A, $G26, NewEmisData!$B:$B, $A26, NewEmisData!$C:$C, $H26, NewEmisData!$D:$D, AU$6)</f>
        <v>0.223017594102533</v>
      </c>
      <c r="AV26" s="1111">
        <f>SUMIFS(NewEmisData!J:J, NewEmisData!$A:$A, $G26, NewEmisData!$B:$B, $A26, NewEmisData!$C:$C, $H26, NewEmisData!$D:$D, AV$6)</f>
        <v>0.22328437261219899</v>
      </c>
      <c r="AW26" s="1111">
        <f>SUMIFS(NewEmisData!K:K, NewEmisData!$A:$A, $G26, NewEmisData!$B:$B, $A26, NewEmisData!$C:$C, $H26, NewEmisData!$D:$D, AW$6)</f>
        <v>0.22342028408578701</v>
      </c>
      <c r="AX26" s="1111">
        <f>SUMIFS(NewEmisData!L:L, NewEmisData!$A:$A, $G26, NewEmisData!$B:$B, $A26, NewEmisData!$C:$C, $H26, NewEmisData!$D:$D, AX$6)</f>
        <v>0.22346164064811899</v>
      </c>
      <c r="AY26" s="1111">
        <f>SUMIFS(NewEmisData!M:M, NewEmisData!$A:$A, $G26, NewEmisData!$B:$B, $A26, NewEmisData!$C:$C, $H26, NewEmisData!$D:$D, AY$6)</f>
        <v>0.22347689751407299</v>
      </c>
      <c r="AZ26" s="1111">
        <f t="shared" si="73"/>
        <v>0.22347689751407299</v>
      </c>
      <c r="BA26" s="1111">
        <f t="shared" si="74"/>
        <v>3.3085277901506199E-2</v>
      </c>
      <c r="BB26" s="1111">
        <f>SUMIFS(NewEmisData!E:E, NewEmisData!$A:$A, $G26, NewEmisData!$B:$B, $A26, NewEmisData!$C:$C, $H26, NewEmisData!$D:$D, BB$6)</f>
        <v>3.3085277901506199E-2</v>
      </c>
      <c r="BC26" s="1111">
        <f>SUMIFS(NewEmisData!F:F, NewEmisData!$A:$A, $G26, NewEmisData!$B:$B, $A26, NewEmisData!$C:$C, $H26, NewEmisData!$D:$D, BC$6)</f>
        <v>2.8088278695018499E-2</v>
      </c>
      <c r="BD26" s="1111">
        <f>SUMIFS(NewEmisData!G:G, NewEmisData!$A:$A, $G26, NewEmisData!$B:$B, $A26, NewEmisData!$C:$C, $H26, NewEmisData!$D:$D, BD$6)</f>
        <v>3.5249470703337199E-2</v>
      </c>
      <c r="BE26" s="1111">
        <f>SUMIFS(NewEmisData!H:H, NewEmisData!$A:$A, $G26, NewEmisData!$B:$B, $A26, NewEmisData!$C:$C, $H26, NewEmisData!$D:$D, BE$6)</f>
        <v>3.5278230321982601E-2</v>
      </c>
      <c r="BF26" s="1111">
        <f>SUMIFS(NewEmisData!I:I, NewEmisData!$A:$A, $G26, NewEmisData!$B:$B, $A26, NewEmisData!$C:$C, $H26, NewEmisData!$D:$D, BF$6)</f>
        <v>3.5607078221125799E-2</v>
      </c>
      <c r="BG26" s="1111">
        <f>SUMIFS(NewEmisData!J:J, NewEmisData!$A:$A, $G26, NewEmisData!$B:$B, $A26, NewEmisData!$C:$C, $H26, NewEmisData!$D:$D, BG$6)</f>
        <v>3.5823183054303799E-2</v>
      </c>
      <c r="BH26" s="1111">
        <f>SUMIFS(NewEmisData!K:K, NewEmisData!$A:$A, $G26, NewEmisData!$B:$B, $A26, NewEmisData!$C:$C, $H26, NewEmisData!$D:$D, BH$6)</f>
        <v>3.5938864982074499E-2</v>
      </c>
      <c r="BI26" s="1111">
        <f>SUMIFS(NewEmisData!L:L, NewEmisData!$A:$A, $G26, NewEmisData!$B:$B, $A26, NewEmisData!$C:$C, $H26, NewEmisData!$D:$D, BI$6)</f>
        <v>3.5974176634088799E-2</v>
      </c>
      <c r="BJ26" s="1111">
        <f>SUMIFS(NewEmisData!M:M, NewEmisData!$A:$A, $G26, NewEmisData!$B:$B, $A26, NewEmisData!$C:$C, $H26, NewEmisData!$D:$D, BJ$6)</f>
        <v>3.59876115686096E-2</v>
      </c>
      <c r="BK26" s="1111">
        <f t="shared" si="75"/>
        <v>3.59876115686096E-2</v>
      </c>
      <c r="BL26" s="1111">
        <f t="shared" si="76"/>
        <v>30.519264024443402</v>
      </c>
      <c r="BM26" s="1111">
        <f>SUMIFS(NewEmisData!E:E, NewEmisData!$A:$A, $G26, NewEmisData!$B:$B, $A26, NewEmisData!$C:$C, $H26, NewEmisData!$D:$D, BM$6)</f>
        <v>30.519264024443402</v>
      </c>
      <c r="BN26" s="1111">
        <f>SUMIFS(NewEmisData!F:F, NewEmisData!$A:$A, $G26, NewEmisData!$B:$B, $A26, NewEmisData!$C:$C, $H26, NewEmisData!$D:$D, BN$6)</f>
        <v>17.7548638520019</v>
      </c>
      <c r="BO26" s="1111">
        <f>SUMIFS(NewEmisData!G:G, NewEmisData!$A:$A, $G26, NewEmisData!$B:$B, $A26, NewEmisData!$C:$C, $H26, NewEmisData!$D:$D, BO$6)</f>
        <v>11.769795592664099</v>
      </c>
      <c r="BP26" s="1111">
        <f>SUMIFS(NewEmisData!H:H, NewEmisData!$A:$A, $G26, NewEmisData!$B:$B, $A26, NewEmisData!$C:$C, $H26, NewEmisData!$D:$D, BP$6)</f>
        <v>10.027249561844799</v>
      </c>
      <c r="BQ26" s="1111">
        <f>SUMIFS(NewEmisData!I:I, NewEmisData!$A:$A, $G26, NewEmisData!$B:$B, $A26, NewEmisData!$C:$C, $H26, NewEmisData!$D:$D, BQ$6)</f>
        <v>9.5164175607240296</v>
      </c>
      <c r="BR26" s="1111">
        <f>SUMIFS(NewEmisData!J:J, NewEmisData!$A:$A, $G26, NewEmisData!$B:$B, $A26, NewEmisData!$C:$C, $H26, NewEmisData!$D:$D, BR$6)</f>
        <v>9.3871226242105301</v>
      </c>
      <c r="BS26" s="1111">
        <f>SUMIFS(NewEmisData!K:K, NewEmisData!$A:$A, $G26, NewEmisData!$B:$B, $A26, NewEmisData!$C:$C, $H26, NewEmisData!$D:$D, BS$6)</f>
        <v>9.4290563886524001</v>
      </c>
      <c r="BT26" s="1111">
        <f>SUMIFS(NewEmisData!L:L, NewEmisData!$A:$A, $G26, NewEmisData!$B:$B, $A26, NewEmisData!$C:$C, $H26, NewEmisData!$D:$D, BT$6)</f>
        <v>9.4677016030619807</v>
      </c>
      <c r="BU26" s="1111">
        <f>SUMIFS(NewEmisData!M:M, NewEmisData!$A:$A, $G26, NewEmisData!$B:$B, $A26, NewEmisData!$C:$C, $H26, NewEmisData!$D:$D, BU$6)</f>
        <v>9.4911287930921109</v>
      </c>
      <c r="BV26" s="1111">
        <f t="shared" ref="BV26:BV56" si="83">BU26</f>
        <v>9.4911287930921109</v>
      </c>
      <c r="BW26" s="1111">
        <f t="shared" si="77"/>
        <v>1.4331518530549801</v>
      </c>
      <c r="BX26" s="1111">
        <f>SUMIFS(NewEmisData!E:E, NewEmisData!$A:$A, $G26, NewEmisData!$B:$B, $A26, NewEmisData!$C:$C, $H26, NewEmisData!$D:$D, BX$6)</f>
        <v>1.4331518530549801</v>
      </c>
      <c r="BY26" s="1111">
        <f>SUMIFS(NewEmisData!F:F, NewEmisData!$A:$A, $G26, NewEmisData!$B:$B, $A26, NewEmisData!$C:$C, $H26, NewEmisData!$D:$D, BY$6)</f>
        <v>0.82554141247932</v>
      </c>
      <c r="BZ26" s="1111">
        <f>SUMIFS(NewEmisData!G:G, NewEmisData!$A:$A, $G26, NewEmisData!$B:$B, $A26, NewEmisData!$C:$C, $H26, NewEmisData!$D:$D, BZ$6)</f>
        <v>0.52934059761176699</v>
      </c>
      <c r="CA26" s="1111">
        <f>SUMIFS(NewEmisData!H:H, NewEmisData!$A:$A, $G26, NewEmisData!$B:$B, $A26, NewEmisData!$C:$C, $H26, NewEmisData!$D:$D, CA$6)</f>
        <v>0.41820996508437402</v>
      </c>
      <c r="CB26" s="1111">
        <f>SUMIFS(NewEmisData!I:I, NewEmisData!$A:$A, $G26, NewEmisData!$B:$B, $A26, NewEmisData!$C:$C, $H26, NewEmisData!$D:$D, CB$6)</f>
        <v>0.37730109294103098</v>
      </c>
      <c r="CC26" s="1111">
        <f>SUMIFS(NewEmisData!J:J, NewEmisData!$A:$A, $G26, NewEmisData!$B:$B, $A26, NewEmisData!$C:$C, $H26, NewEmisData!$D:$D, CC$6)</f>
        <v>0.36080370260189998</v>
      </c>
      <c r="CD26" s="1111">
        <f>SUMIFS(NewEmisData!K:K, NewEmisData!$A:$A, $G26, NewEmisData!$B:$B, $A26, NewEmisData!$C:$C, $H26, NewEmisData!$D:$D, CD$6)</f>
        <v>0.35854771789443002</v>
      </c>
      <c r="CE26" s="1111">
        <f>SUMIFS(NewEmisData!L:L, NewEmisData!$A:$A, $G26, NewEmisData!$B:$B, $A26, NewEmisData!$C:$C, $H26, NewEmisData!$D:$D, CE$6)</f>
        <v>0.35854167304512202</v>
      </c>
      <c r="CF26" s="1111">
        <f>SUMIFS(NewEmisData!M:M, NewEmisData!$A:$A, $G26, NewEmisData!$B:$B, $A26, NewEmisData!$C:$C, $H26, NewEmisData!$D:$D, CF$6)</f>
        <v>0.35855864650360297</v>
      </c>
      <c r="CG26" s="1111">
        <f t="shared" si="78"/>
        <v>0.35855864650360297</v>
      </c>
      <c r="CH26" s="1111">
        <f t="shared" si="79"/>
        <v>4.3399426569524099E-2</v>
      </c>
      <c r="CI26" s="1111">
        <f>SUMIFS(NewEmisData!E:E, NewEmisData!$A:$A, $G26, NewEmisData!$B:$B, $A26, NewEmisData!$C:$C, $H26, NewEmisData!$D:$D, CI$6)</f>
        <v>4.3399426569524099E-2</v>
      </c>
      <c r="CJ26" s="1111">
        <f>SUMIFS(NewEmisData!F:F, NewEmisData!$A:$A, $G26, NewEmisData!$B:$B, $A26, NewEmisData!$C:$C, $H26, NewEmisData!$D:$D, CJ$6)</f>
        <v>4.3414607751202899E-2</v>
      </c>
      <c r="CK26" s="1111">
        <f>SUMIFS(NewEmisData!G:G, NewEmisData!$A:$A, $G26, NewEmisData!$B:$B, $A26, NewEmisData!$C:$C, $H26, NewEmisData!$D:$D, CK$6)</f>
        <v>5.4993981735290499E-2</v>
      </c>
      <c r="CL26" s="1111">
        <f>SUMIFS(NewEmisData!H:H, NewEmisData!$A:$A, $G26, NewEmisData!$B:$B, $A26, NewEmisData!$C:$C, $H26, NewEmisData!$D:$D, CL$6)</f>
        <v>5.4993786232210601E-2</v>
      </c>
      <c r="CM26" s="1111">
        <f>SUMIFS(NewEmisData!I:I, NewEmisData!$A:$A, $G26, NewEmisData!$B:$B, $A26, NewEmisData!$C:$C, $H26, NewEmisData!$D:$D, CM$6)</f>
        <v>5.49943755829881E-2</v>
      </c>
      <c r="CN26" s="1111">
        <f>SUMIFS(NewEmisData!J:J, NewEmisData!$A:$A, $G26, NewEmisData!$B:$B, $A26, NewEmisData!$C:$C, $H26, NewEmisData!$D:$D, CN$6)</f>
        <v>5.4994520767338101E-2</v>
      </c>
      <c r="CO26" s="1111">
        <f>SUMIFS(NewEmisData!K:K, NewEmisData!$A:$A, $G26, NewEmisData!$B:$B, $A26, NewEmisData!$C:$C, $H26, NewEmisData!$D:$D, CO$6)</f>
        <v>5.4994541597587002E-2</v>
      </c>
      <c r="CP26" s="1111">
        <f>SUMIFS(NewEmisData!L:L, NewEmisData!$A:$A, $G26, NewEmisData!$B:$B, $A26, NewEmisData!$C:$C, $H26, NewEmisData!$D:$D, CP$6)</f>
        <v>5.4994553673977098E-2</v>
      </c>
      <c r="CQ26" s="1111">
        <f>SUMIFS(NewEmisData!M:M, NewEmisData!$A:$A, $G26, NewEmisData!$B:$B, $A26, NewEmisData!$C:$C, $H26, NewEmisData!$D:$D, CQ$6)</f>
        <v>5.4994550577738499E-2</v>
      </c>
      <c r="CR26" s="1111">
        <f t="shared" si="80"/>
        <v>5.4994550577738499E-2</v>
      </c>
      <c r="CS26" s="1111">
        <f t="shared" si="81"/>
        <v>4.8977354146498502E-2</v>
      </c>
      <c r="CT26" s="1111">
        <f>SUMIFS(NewEmisData!E:E, NewEmisData!$A:$A, $G26, NewEmisData!$B:$B, $A26, NewEmisData!$C:$C, $H26, NewEmisData!$D:$D, CT$6)</f>
        <v>4.8977354146498502E-2</v>
      </c>
      <c r="CU26" s="1111">
        <f>SUMIFS(NewEmisData!F:F, NewEmisData!$A:$A, $G26, NewEmisData!$B:$B, $A26, NewEmisData!$C:$C, $H26, NewEmisData!$D:$D, CU$6)</f>
        <v>2.8470713504453099E-2</v>
      </c>
      <c r="CV26" s="1111">
        <f>SUMIFS(NewEmisData!G:G, NewEmisData!$A:$A, $G26, NewEmisData!$B:$B, $A26, NewEmisData!$C:$C, $H26, NewEmisData!$D:$D, CV$6)</f>
        <v>2.1189978152056602E-2</v>
      </c>
      <c r="CW26" s="1111">
        <f>SUMIFS(NewEmisData!H:H, NewEmisData!$A:$A, $G26, NewEmisData!$B:$B, $A26, NewEmisData!$C:$C, $H26, NewEmisData!$D:$D, CW$6)</f>
        <v>1.46389058287662E-2</v>
      </c>
      <c r="CX26" s="1111">
        <f>SUMIFS(NewEmisData!I:I, NewEmisData!$A:$A, $G26, NewEmisData!$B:$B, $A26, NewEmisData!$C:$C, $H26, NewEmisData!$D:$D, CX$6)</f>
        <v>1.28792587479717E-2</v>
      </c>
      <c r="CY26" s="1111">
        <f>SUMIFS(NewEmisData!J:J, NewEmisData!$A:$A, $G26, NewEmisData!$B:$B, $A26, NewEmisData!$C:$C, $H26, NewEmisData!$D:$D, CY$6)</f>
        <v>1.23921680979683E-2</v>
      </c>
      <c r="CZ26" s="1111">
        <f>SUMIFS(NewEmisData!K:K, NewEmisData!$A:$A, $G26, NewEmisData!$B:$B, $A26, NewEmisData!$C:$C, $H26, NewEmisData!$D:$D, CZ$6)</f>
        <v>1.23336041545112E-2</v>
      </c>
      <c r="DA26" s="1111">
        <f>SUMIFS(NewEmisData!L:L, NewEmisData!$A:$A, $G26, NewEmisData!$B:$B, $A26, NewEmisData!$C:$C, $H26, NewEmisData!$D:$D, DA$6)</f>
        <v>1.22985211601931E-2</v>
      </c>
      <c r="DB26" s="1111">
        <f>SUMIFS(NewEmisData!M:M, NewEmisData!$A:$A, $G26, NewEmisData!$B:$B, $A26, NewEmisData!$C:$C, $H26, NewEmisData!$D:$D, DB$6)</f>
        <v>1.2317402931661E-2</v>
      </c>
      <c r="DC26" s="1111">
        <f t="shared" ref="DC26:DC56" si="84">DB26</f>
        <v>1.2317402931661E-2</v>
      </c>
      <c r="DD26" s="1111"/>
      <c r="DE26" s="1111"/>
      <c r="DF26" s="1111"/>
      <c r="DG26" s="1111"/>
      <c r="DH26" s="1111"/>
      <c r="DI26" s="1111"/>
      <c r="DJ26" s="1111"/>
      <c r="DK26" s="1111"/>
      <c r="DL26" s="1111"/>
      <c r="DM26" s="1111"/>
      <c r="DN26" s="1111"/>
      <c r="DO26" s="1111"/>
      <c r="DP26" s="1111"/>
      <c r="DQ26" s="1111"/>
      <c r="DR26" s="1111"/>
      <c r="DS26" s="1111"/>
      <c r="DT26" s="1111"/>
      <c r="DU26" s="1111"/>
      <c r="DV26" s="1111"/>
      <c r="DW26" s="1111"/>
      <c r="DX26" s="1111"/>
      <c r="DY26" s="1111"/>
      <c r="DZ26" s="1111">
        <f t="shared" ref="DZ26:DZ56" si="85">EA26</f>
        <v>3.8110257804810699E-2</v>
      </c>
      <c r="EA26" s="1111">
        <f>SUMIFS(NewEmisData!E:E, NewEmisData!$A:$A, $G26, NewEmisData!$B:$B, $A26, NewEmisData!$C:$C, $H26, NewEmisData!$D:$D, EA$6)</f>
        <v>3.8110257804810699E-2</v>
      </c>
      <c r="EB26" s="1111">
        <f>SUMIFS(NewEmisData!F:F, NewEmisData!$A:$A, $G26, NewEmisData!$B:$B, $A26, NewEmisData!$C:$C, $H26, NewEmisData!$D:$D, EB$6)</f>
        <v>2.0417199912842899E-2</v>
      </c>
      <c r="EC26" s="1111">
        <f>SUMIFS(NewEmisData!G:G, NewEmisData!$A:$A, $G26, NewEmisData!$B:$B, $A26, NewEmisData!$C:$C, $H26, NewEmisData!$D:$D, EC$6)</f>
        <v>1.30642962548774E-2</v>
      </c>
      <c r="ED26" s="1111">
        <f>SUMIFS(NewEmisData!H:H, NewEmisData!$A:$A, $G26, NewEmisData!$B:$B, $A26, NewEmisData!$C:$C, $H26, NewEmisData!$D:$D, ED$6)</f>
        <v>1.11738363859457E-2</v>
      </c>
      <c r="EE26" s="1111">
        <f>SUMIFS(NewEmisData!I:I, NewEmisData!$A:$A, $G26, NewEmisData!$B:$B, $A26, NewEmisData!$C:$C, $H26, NewEmisData!$D:$D, EE$6)</f>
        <v>1.0636123173322E-2</v>
      </c>
      <c r="EF26" s="1111">
        <f>SUMIFS(NewEmisData!J:J, NewEmisData!$A:$A, $G26, NewEmisData!$B:$B, $A26, NewEmisData!$C:$C, $H26, NewEmisData!$D:$D, EF$6)</f>
        <v>1.0535248987316E-2</v>
      </c>
      <c r="EG26" s="1111">
        <f>SUMIFS(NewEmisData!K:K, NewEmisData!$A:$A, $G26, NewEmisData!$B:$B, $A26, NewEmisData!$C:$C, $H26, NewEmisData!$D:$D, EG$6)</f>
        <v>1.0571182579202899E-2</v>
      </c>
      <c r="EH26" s="1111">
        <f>SUMIFS(NewEmisData!L:L, NewEmisData!$A:$A, $G26, NewEmisData!$B:$B, $A26, NewEmisData!$C:$C, $H26, NewEmisData!$D:$D, EH$6)</f>
        <v>1.05827805921651E-2</v>
      </c>
      <c r="EI26" s="1111">
        <f>SUMIFS(NewEmisData!M:M, NewEmisData!$A:$A, $G26, NewEmisData!$B:$B, $A26, NewEmisData!$C:$C, $H26, NewEmisData!$D:$D, EI$6)</f>
        <v>1.05816969285468E-2</v>
      </c>
      <c r="EJ26" s="1111">
        <f t="shared" ref="EJ26:EJ56" si="86">EI26</f>
        <v>1.05816969285468E-2</v>
      </c>
      <c r="EK26" s="1111">
        <f t="shared" ref="EK26:EK56" si="87">EL26</f>
        <v>1125.6531994791601</v>
      </c>
      <c r="EL26" s="1111">
        <f t="shared" si="48"/>
        <v>1125.6531994791601</v>
      </c>
      <c r="EM26" s="1111">
        <f t="shared" si="49"/>
        <v>1129.51230354672</v>
      </c>
      <c r="EN26" s="1111">
        <f t="shared" si="50"/>
        <v>1334.28865010909</v>
      </c>
      <c r="EO26" s="1111">
        <f t="shared" si="51"/>
        <v>1309.4477161980601</v>
      </c>
      <c r="EP26" s="1111">
        <f t="shared" si="52"/>
        <v>1290.2789800169201</v>
      </c>
      <c r="EQ26" s="1111">
        <f t="shared" si="53"/>
        <v>1285.24459420581</v>
      </c>
      <c r="ER26" s="1111">
        <f t="shared" si="54"/>
        <v>1283.9086141387199</v>
      </c>
      <c r="ES26" s="1111">
        <f t="shared" si="55"/>
        <v>1283.64917953798</v>
      </c>
      <c r="ET26" s="1111">
        <f t="shared" si="56"/>
        <v>1283.5882413572699</v>
      </c>
      <c r="EU26" s="1111">
        <f t="shared" si="57"/>
        <v>1283.5882413572699</v>
      </c>
      <c r="EV26" s="1111">
        <f t="shared" ref="EV26:EV56" si="88">EW26</f>
        <v>3.9696963814368802</v>
      </c>
      <c r="EW26" s="1111">
        <f t="shared" si="38"/>
        <v>3.9696963814368802</v>
      </c>
      <c r="EX26" s="1111">
        <f t="shared" si="39"/>
        <v>2.1292045893653802</v>
      </c>
      <c r="EY26" s="1111">
        <f t="shared" si="40"/>
        <v>1.1780347139767999</v>
      </c>
      <c r="EZ26" s="1111">
        <f t="shared" si="41"/>
        <v>0.85616837461707895</v>
      </c>
      <c r="FA26" s="1111">
        <f t="shared" si="42"/>
        <v>0.71679914036882397</v>
      </c>
      <c r="FB26" s="1111">
        <f t="shared" si="43"/>
        <v>0.653734873709785</v>
      </c>
      <c r="FC26" s="1111">
        <f t="shared" si="44"/>
        <v>0.63529466077774999</v>
      </c>
      <c r="FD26" s="1111">
        <f t="shared" si="45"/>
        <v>0.63126465139316401</v>
      </c>
      <c r="FE26" s="1111">
        <f t="shared" si="46"/>
        <v>0.63008499106767202</v>
      </c>
      <c r="FF26" s="1111">
        <f t="shared" si="47"/>
        <v>0.63008499106767202</v>
      </c>
      <c r="FG26" s="1111">
        <f t="shared" ref="FG26:FG39" si="89">AE26</f>
        <v>1.94777471026268E-2</v>
      </c>
      <c r="FH26" s="1111">
        <f t="shared" ref="FH26:FH39" si="90">AF26</f>
        <v>1.94777471026268E-2</v>
      </c>
      <c r="FI26" s="1111">
        <f t="shared" ref="FI26:FI39" si="91">AG26</f>
        <v>1.95445323749391E-2</v>
      </c>
      <c r="FJ26" s="1111">
        <f t="shared" ref="FJ26:FJ39" si="92">AH26</f>
        <v>1.9141058004132301E-2</v>
      </c>
      <c r="FK26" s="1111">
        <f t="shared" ref="FK26:FK39" si="93">AI26</f>
        <v>1.8784705993390102E-2</v>
      </c>
      <c r="FL26" s="1111">
        <f t="shared" ref="FL26:FL39" si="94">AJ26</f>
        <v>1.85097249042331E-2</v>
      </c>
      <c r="FM26" s="1111">
        <f t="shared" ref="FM26:FM39" si="95">AK26</f>
        <v>1.8437510106673601E-2</v>
      </c>
      <c r="FN26" s="1111">
        <f t="shared" ref="FN26:FN39" si="96">AL26</f>
        <v>1.8418333813220399E-2</v>
      </c>
      <c r="FO26" s="1111">
        <f t="shared" ref="FO26:FO39" si="97">AM26</f>
        <v>1.8414616467845198E-2</v>
      </c>
      <c r="FP26" s="1111">
        <f t="shared" ref="FP26:FP39" si="98">AN26</f>
        <v>1.84137339980028E-2</v>
      </c>
      <c r="FQ26" s="1111">
        <f t="shared" ref="FQ26:FQ39" si="99">AO26</f>
        <v>1.84137339980028E-2</v>
      </c>
      <c r="FR26" s="1111">
        <f t="shared" si="25"/>
        <v>0.16277138632680399</v>
      </c>
      <c r="FS26" s="1111">
        <f t="shared" si="26"/>
        <v>0.16277138632680399</v>
      </c>
      <c r="FT26" s="1111">
        <f t="shared" si="27"/>
        <v>0.15749210557477999</v>
      </c>
      <c r="FU26" s="1111">
        <f t="shared" si="28"/>
        <v>0.22213105998277299</v>
      </c>
      <c r="FV26" s="1111">
        <f t="shared" si="29"/>
        <v>0.22256905483131201</v>
      </c>
      <c r="FW26" s="1111">
        <f t="shared" si="30"/>
        <v>0.223017594102533</v>
      </c>
      <c r="FX26" s="1111">
        <f t="shared" si="31"/>
        <v>0.22328437261219899</v>
      </c>
      <c r="FY26" s="1111">
        <f t="shared" si="32"/>
        <v>0.22342028408578701</v>
      </c>
      <c r="FZ26" s="1111">
        <f t="shared" si="33"/>
        <v>0.22346164064811899</v>
      </c>
      <c r="GA26" s="1111">
        <f t="shared" si="34"/>
        <v>0.22347689751407299</v>
      </c>
      <c r="GB26" s="1111">
        <f t="shared" si="35"/>
        <v>0.22347689751407299</v>
      </c>
      <c r="GC26" s="1111">
        <f t="shared" si="59"/>
        <v>3.3085277901506199E-2</v>
      </c>
      <c r="GD26" s="1111">
        <f t="shared" si="60"/>
        <v>3.3085277901506199E-2</v>
      </c>
      <c r="GE26" s="1111">
        <f t="shared" si="61"/>
        <v>2.8088278695018499E-2</v>
      </c>
      <c r="GF26" s="1111">
        <f t="shared" si="62"/>
        <v>3.5249470703337199E-2</v>
      </c>
      <c r="GG26" s="1111">
        <f t="shared" si="63"/>
        <v>3.5278230321982601E-2</v>
      </c>
      <c r="GH26" s="1111">
        <f t="shared" si="64"/>
        <v>3.5607078221125799E-2</v>
      </c>
      <c r="GI26" s="1111">
        <f t="shared" si="65"/>
        <v>3.5823183054303799E-2</v>
      </c>
      <c r="GJ26" s="1111">
        <f t="shared" si="66"/>
        <v>3.5938864982074499E-2</v>
      </c>
      <c r="GK26" s="1111">
        <f t="shared" si="67"/>
        <v>3.5974176634088799E-2</v>
      </c>
      <c r="GL26" s="1111">
        <f t="shared" si="68"/>
        <v>3.59876115686096E-2</v>
      </c>
      <c r="GM26" s="1111">
        <f t="shared" si="69"/>
        <v>3.59876115686096E-2</v>
      </c>
    </row>
    <row r="27" spans="1:195" x14ac:dyDescent="0.2">
      <c r="A27" s="1071" t="s">
        <v>186</v>
      </c>
      <c r="B27" s="1071" t="str">
        <f>Technologies!C110</f>
        <v>TMGSLE</v>
      </c>
      <c r="C27" s="1071" t="str">
        <f>Technologies!D110</f>
        <v>Medium Duty Truck, Existing Gasoline</v>
      </c>
      <c r="D27" s="1071" t="str">
        <f>NewTech!D65</f>
        <v>bn-vmt, bn-vmt/a</v>
      </c>
      <c r="E27" s="1071" t="str">
        <f>TechData!E18</f>
        <v>TMGSL</v>
      </c>
      <c r="F27" s="1071" t="str">
        <f>TechData!F18</f>
        <v>TM</v>
      </c>
      <c r="G27" s="1110" t="s">
        <v>503</v>
      </c>
      <c r="H27" s="1111" t="s">
        <v>500</v>
      </c>
      <c r="I27" s="1112">
        <v>1</v>
      </c>
      <c r="J27" s="1111" t="str">
        <f t="shared" si="37"/>
        <v>Medium duty-GSL</v>
      </c>
      <c r="K27" s="1111">
        <f>SUMIFS(NewEmisData!E:E, NewEmisData!$A:$A, $G27, NewEmisData!$B:$B, $A27, NewEmisData!$C:$C, $H27, NewEmisData!$D:$D, K$6)</f>
        <v>1571.23838726393</v>
      </c>
      <c r="L27" s="1111">
        <f>SUMIFS(NewEmisData!F:F, NewEmisData!$A:$A, $G27, NewEmisData!$B:$B, $A27, NewEmisData!$C:$C, $H27, NewEmisData!$D:$D, L$6)</f>
        <v>1575.29652368133</v>
      </c>
      <c r="M27" s="1111">
        <f>SUMIFS(NewEmisData!G:G, NewEmisData!$A:$A, $G27, NewEmisData!$B:$B, $A27, NewEmisData!$C:$C, $H27, NewEmisData!$D:$D, M$6)</f>
        <v>1620.65726903051</v>
      </c>
      <c r="N27" s="1111">
        <f>SUMIFS(NewEmisData!H:H, NewEmisData!$A:$A, $G27, NewEmisData!$B:$B, $A27, NewEmisData!$C:$C, $H27, NewEmisData!$D:$D, N$6)</f>
        <v>1591.3958126743701</v>
      </c>
      <c r="O27" s="1111">
        <f>SUMIFS(NewEmisData!I:I, NewEmisData!$A:$A, $G27, NewEmisData!$B:$B, $A27, NewEmisData!$C:$C, $H27, NewEmisData!$D:$D, O$6)</f>
        <v>1568.18391586794</v>
      </c>
      <c r="P27" s="1111">
        <f>SUMIFS(NewEmisData!J:J, NewEmisData!$A:$A, $G27, NewEmisData!$B:$B, $A27, NewEmisData!$C:$C, $H27, NewEmisData!$D:$D, P$6)</f>
        <v>1562.10113018675</v>
      </c>
      <c r="Q27" s="1111">
        <f>SUMIFS(NewEmisData!K:K, NewEmisData!$A:$A, $G27, NewEmisData!$B:$B, $A27, NewEmisData!$C:$C, $H27, NewEmisData!$D:$D, Q$6)</f>
        <v>1560.4729957351501</v>
      </c>
      <c r="R27" s="1111">
        <f>SUMIFS(NewEmisData!L:L, NewEmisData!$A:$A, $G27, NewEmisData!$B:$B, $A27, NewEmisData!$C:$C, $H27, NewEmisData!$D:$D, R$6)</f>
        <v>1560.1538107035101</v>
      </c>
      <c r="S27" s="1111">
        <f>SUMIFS(NewEmisData!M:M, NewEmisData!$A:$A, $G27, NewEmisData!$B:$B, $A27, NewEmisData!$C:$C, $H27, NewEmisData!$D:$D, S$6)</f>
        <v>1560.07677043992</v>
      </c>
      <c r="T27" s="1111">
        <f t="shared" si="17"/>
        <v>1560.07677043992</v>
      </c>
      <c r="U27" s="1111">
        <f>SUMIFS(NewEmisData!E:E, NewEmisData!$A:$A, $G27, NewEmisData!$B:$B, $A27, NewEmisData!$C:$C, $H27, NewEmisData!$D:$D, U$6)</f>
        <v>4.4339350215429896</v>
      </c>
      <c r="V27" s="1111">
        <f>SUMIFS(NewEmisData!F:F, NewEmisData!$A:$A, $G27, NewEmisData!$B:$B, $A27, NewEmisData!$C:$C, $H27, NewEmisData!$D:$D, V$6)</f>
        <v>3.9615409236254</v>
      </c>
      <c r="W27" s="1111">
        <f>SUMIFS(NewEmisData!G:G, NewEmisData!$A:$A, $G27, NewEmisData!$B:$B, $A27, NewEmisData!$C:$C, $H27, NewEmisData!$D:$D, W$6)</f>
        <v>1.33028401660566</v>
      </c>
      <c r="X27" s="1111">
        <f>SUMIFS(NewEmisData!H:H, NewEmisData!$A:$A, $G27, NewEmisData!$B:$B, $A27, NewEmisData!$C:$C, $H27, NewEmisData!$D:$D, X$6)</f>
        <v>0.96801463367483198</v>
      </c>
      <c r="Y27" s="1111">
        <f>SUMIFS(NewEmisData!I:I, NewEmisData!$A:$A, $G27, NewEmisData!$B:$B, $A27, NewEmisData!$C:$C, $H27, NewEmisData!$D:$D, Y$6)</f>
        <v>0.810835029277582</v>
      </c>
      <c r="Z27" s="1111">
        <f>SUMIFS(NewEmisData!J:J, NewEmisData!$A:$A, $G27, NewEmisData!$B:$B, $A27, NewEmisData!$C:$C, $H27, NewEmisData!$D:$D, Z$6)</f>
        <v>0.73984590086297597</v>
      </c>
      <c r="AA27" s="1111">
        <f>SUMIFS(NewEmisData!K:K, NewEmisData!$A:$A, $G27, NewEmisData!$B:$B, $A27, NewEmisData!$C:$C, $H27, NewEmisData!$D:$D, AA$6)</f>
        <v>0.71912537608469196</v>
      </c>
      <c r="AB27" s="1111">
        <f>SUMIFS(NewEmisData!L:L, NewEmisData!$A:$A, $G27, NewEmisData!$B:$B, $A27, NewEmisData!$C:$C, $H27, NewEmisData!$D:$D, AB$6)</f>
        <v>0.71458926415217605</v>
      </c>
      <c r="AC27" s="1111">
        <f>SUMIFS(NewEmisData!M:M, NewEmisData!$A:$A, $G27, NewEmisData!$B:$B, $A27, NewEmisData!$C:$C, $H27, NewEmisData!$D:$D, AC$6)</f>
        <v>0.71327232452186995</v>
      </c>
      <c r="AD27" s="1111">
        <f t="shared" si="18"/>
        <v>0.71327232452186995</v>
      </c>
      <c r="AE27" s="1111">
        <f t="shared" si="70"/>
        <v>2.71879476544729E-2</v>
      </c>
      <c r="AF27" s="1111">
        <f>SUMIFS(NewEmisData!E:E, NewEmisData!$A:$A, $G27, NewEmisData!$B:$B, $A27, NewEmisData!$C:$C, $H27, NewEmisData!$D:$D, AF$6)</f>
        <v>2.71879476544729E-2</v>
      </c>
      <c r="AG27" s="1111">
        <f>SUMIFS(NewEmisData!F:F, NewEmisData!$A:$A, $G27, NewEmisData!$B:$B, $A27, NewEmisData!$C:$C, $H27, NewEmisData!$D:$D, AG$6)</f>
        <v>2.72581702920257E-2</v>
      </c>
      <c r="AH27" s="1111">
        <f>SUMIFS(NewEmisData!G:G, NewEmisData!$A:$A, $G27, NewEmisData!$B:$B, $A27, NewEmisData!$C:$C, $H27, NewEmisData!$D:$D, AH$6)</f>
        <v>2.32491676049662E-2</v>
      </c>
      <c r="AI27" s="1111">
        <f>SUMIFS(NewEmisData!H:H, NewEmisData!$A:$A, $G27, NewEmisData!$B:$B, $A27, NewEmisData!$C:$C, $H27, NewEmisData!$D:$D, AI$6)</f>
        <v>2.28294094185802E-2</v>
      </c>
      <c r="AJ27" s="1111">
        <f>SUMIFS(NewEmisData!I:I, NewEmisData!$A:$A, $G27, NewEmisData!$B:$B, $A27, NewEmisData!$C:$C, $H27, NewEmisData!$D:$D, AJ$6)</f>
        <v>2.2496411359683499E-2</v>
      </c>
      <c r="AK27" s="1111">
        <f>SUMIFS(NewEmisData!J:J, NewEmisData!$A:$A, $G27, NewEmisData!$B:$B, $A27, NewEmisData!$C:$C, $H27, NewEmisData!$D:$D, AK$6)</f>
        <v>2.24091575903414E-2</v>
      </c>
      <c r="AL27" s="1111">
        <f>SUMIFS(NewEmisData!K:K, NewEmisData!$A:$A, $G27, NewEmisData!$B:$B, $A27, NewEmisData!$C:$C, $H27, NewEmisData!$D:$D, AL$6)</f>
        <v>2.2385789717233699E-2</v>
      </c>
      <c r="AM27" s="1111">
        <f>SUMIFS(NewEmisData!L:L, NewEmisData!$A:$A, $G27, NewEmisData!$B:$B, $A27, NewEmisData!$C:$C, $H27, NewEmisData!$D:$D, AM$6)</f>
        <v>2.23812039581394E-2</v>
      </c>
      <c r="AN27" s="1111">
        <f>SUMIFS(NewEmisData!M:M, NewEmisData!$A:$A, $G27, NewEmisData!$B:$B, $A27, NewEmisData!$C:$C, $H27, NewEmisData!$D:$D, AN$6)</f>
        <v>2.2380112251842499E-2</v>
      </c>
      <c r="AO27" s="1111">
        <f t="shared" si="71"/>
        <v>2.2380112251842499E-2</v>
      </c>
      <c r="AP27" s="1111">
        <f t="shared" si="72"/>
        <v>0.29570181024604603</v>
      </c>
      <c r="AQ27" s="1111">
        <f>SUMIFS(NewEmisData!E:E, NewEmisData!$A:$A, $G27, NewEmisData!$B:$B, $A27, NewEmisData!$C:$C, $H27, NewEmisData!$D:$D, AQ$6)</f>
        <v>0.29570181024604603</v>
      </c>
      <c r="AR27" s="1111">
        <f>SUMIFS(NewEmisData!F:F, NewEmisData!$A:$A, $G27, NewEmisData!$B:$B, $A27, NewEmisData!$C:$C, $H27, NewEmisData!$D:$D, AR$6)</f>
        <v>0.31347002724777001</v>
      </c>
      <c r="AS27" s="1111">
        <f>SUMIFS(NewEmisData!G:G, NewEmisData!$A:$A, $G27, NewEmisData!$B:$B, $A27, NewEmisData!$C:$C, $H27, NewEmisData!$D:$D, AS$6)</f>
        <v>0.29348248729715698</v>
      </c>
      <c r="AT27" s="1111">
        <f>SUMIFS(NewEmisData!H:H, NewEmisData!$A:$A, $G27, NewEmisData!$B:$B, $A27, NewEmisData!$C:$C, $H27, NewEmisData!$D:$D, AT$6)</f>
        <v>0.29400895980241698</v>
      </c>
      <c r="AU27" s="1111">
        <f>SUMIFS(NewEmisData!I:I, NewEmisData!$A:$A, $G27, NewEmisData!$B:$B, $A27, NewEmisData!$C:$C, $H27, NewEmisData!$D:$D, AU$6)</f>
        <v>0.29451767447034</v>
      </c>
      <c r="AV27" s="1111">
        <f>SUMIFS(NewEmisData!J:J, NewEmisData!$A:$A, $G27, NewEmisData!$B:$B, $A27, NewEmisData!$C:$C, $H27, NewEmisData!$D:$D, AV$6)</f>
        <v>0.29481614241324999</v>
      </c>
      <c r="AW27" s="1111">
        <f>SUMIFS(NewEmisData!K:K, NewEmisData!$A:$A, $G27, NewEmisData!$B:$B, $A27, NewEmisData!$C:$C, $H27, NewEmisData!$D:$D, AW$6)</f>
        <v>0.29496671929746798</v>
      </c>
      <c r="AX27" s="1111">
        <f>SUMIFS(NewEmisData!L:L, NewEmisData!$A:$A, $G27, NewEmisData!$B:$B, $A27, NewEmisData!$C:$C, $H27, NewEmisData!$D:$D, AX$6)</f>
        <v>0.29501247169592298</v>
      </c>
      <c r="AY27" s="1111">
        <f>SUMIFS(NewEmisData!M:M, NewEmisData!$A:$A, $G27, NewEmisData!$B:$B, $A27, NewEmisData!$C:$C, $H27, NewEmisData!$D:$D, AY$6)</f>
        <v>0.29502934324841701</v>
      </c>
      <c r="AZ27" s="1111">
        <f t="shared" si="73"/>
        <v>0.29502934324841701</v>
      </c>
      <c r="BA27" s="1111">
        <f t="shared" si="74"/>
        <v>5.6205629802393201E-2</v>
      </c>
      <c r="BB27" s="1111">
        <f>SUMIFS(NewEmisData!E:E, NewEmisData!$A:$A, $G27, NewEmisData!$B:$B, $A27, NewEmisData!$C:$C, $H27, NewEmisData!$D:$D, BB$6)</f>
        <v>5.6205629802393201E-2</v>
      </c>
      <c r="BC27" s="1111">
        <f>SUMIFS(NewEmisData!F:F, NewEmisData!$A:$A, $G27, NewEmisData!$B:$B, $A27, NewEmisData!$C:$C, $H27, NewEmisData!$D:$D, BC$6)</f>
        <v>7.2194764578646903E-2</v>
      </c>
      <c r="BD27" s="1111">
        <f>SUMIFS(NewEmisData!G:G, NewEmisData!$A:$A, $G27, NewEmisData!$B:$B, $A27, NewEmisData!$C:$C, $H27, NewEmisData!$D:$D, BD$6)</f>
        <v>4.48839101088091E-2</v>
      </c>
      <c r="BE27" s="1111">
        <f>SUMIFS(NewEmisData!H:H, NewEmisData!$A:$A, $G27, NewEmisData!$B:$B, $A27, NewEmisData!$C:$C, $H27, NewEmisData!$D:$D, BE$6)</f>
        <v>4.4911356100480797E-2</v>
      </c>
      <c r="BF27" s="1111">
        <f>SUMIFS(NewEmisData!I:I, NewEmisData!$A:$A, $G27, NewEmisData!$B:$B, $A27, NewEmisData!$C:$C, $H27, NewEmisData!$D:$D, BF$6)</f>
        <v>4.52709454211217E-2</v>
      </c>
      <c r="BG27" s="1111">
        <f>SUMIFS(NewEmisData!J:J, NewEmisData!$A:$A, $G27, NewEmisData!$B:$B, $A27, NewEmisData!$C:$C, $H27, NewEmisData!$D:$D, BG$6)</f>
        <v>4.5510230108050102E-2</v>
      </c>
      <c r="BH27" s="1111">
        <f>SUMIFS(NewEmisData!K:K, NewEmisData!$A:$A, $G27, NewEmisData!$B:$B, $A27, NewEmisData!$C:$C, $H27, NewEmisData!$D:$D, BH$6)</f>
        <v>4.5637724556064498E-2</v>
      </c>
      <c r="BI27" s="1111">
        <f>SUMIFS(NewEmisData!L:L, NewEmisData!$A:$A, $G27, NewEmisData!$B:$B, $A27, NewEmisData!$C:$C, $H27, NewEmisData!$D:$D, BI$6)</f>
        <v>4.56765897746194E-2</v>
      </c>
      <c r="BJ27" s="1111">
        <f>SUMIFS(NewEmisData!M:M, NewEmisData!$A:$A, $G27, NewEmisData!$B:$B, $A27, NewEmisData!$C:$C, $H27, NewEmisData!$D:$D, BJ$6)</f>
        <v>4.5691464860186798E-2</v>
      </c>
      <c r="BK27" s="1111">
        <f t="shared" si="75"/>
        <v>4.5691464860186798E-2</v>
      </c>
      <c r="BL27" s="1111">
        <f t="shared" si="76"/>
        <v>36.177292371673602</v>
      </c>
      <c r="BM27" s="1111">
        <f>SUMIFS(NewEmisData!E:E, NewEmisData!$A:$A, $G27, NewEmisData!$B:$B, $A27, NewEmisData!$C:$C, $H27, NewEmisData!$D:$D, BM$6)</f>
        <v>36.177292371673602</v>
      </c>
      <c r="BN27" s="1111">
        <f>SUMIFS(NewEmisData!F:F, NewEmisData!$A:$A, $G27, NewEmisData!$B:$B, $A27, NewEmisData!$C:$C, $H27, NewEmisData!$D:$D, BN$6)</f>
        <v>37.664857731196101</v>
      </c>
      <c r="BO27" s="1111">
        <f>SUMIFS(NewEmisData!G:G, NewEmisData!$A:$A, $G27, NewEmisData!$B:$B, $A27, NewEmisData!$C:$C, $H27, NewEmisData!$D:$D, BO$6)</f>
        <v>13.345526144115</v>
      </c>
      <c r="BP27" s="1111">
        <f>SUMIFS(NewEmisData!H:H, NewEmisData!$A:$A, $G27, NewEmisData!$B:$B, $A27, NewEmisData!$C:$C, $H27, NewEmisData!$D:$D, BP$6)</f>
        <v>11.2726393432321</v>
      </c>
      <c r="BQ27" s="1111">
        <f>SUMIFS(NewEmisData!I:I, NewEmisData!$A:$A, $G27, NewEmisData!$B:$B, $A27, NewEmisData!$C:$C, $H27, NewEmisData!$D:$D, BQ$6)</f>
        <v>10.6231110988618</v>
      </c>
      <c r="BR27" s="1111">
        <f>SUMIFS(NewEmisData!J:J, NewEmisData!$A:$A, $G27, NewEmisData!$B:$B, $A27, NewEmisData!$C:$C, $H27, NewEmisData!$D:$D, BR$6)</f>
        <v>10.435587854097999</v>
      </c>
      <c r="BS27" s="1111">
        <f>SUMIFS(NewEmisData!K:K, NewEmisData!$A:$A, $G27, NewEmisData!$B:$B, $A27, NewEmisData!$C:$C, $H27, NewEmisData!$D:$D, BS$6)</f>
        <v>10.465169362167</v>
      </c>
      <c r="BT27" s="1111">
        <f>SUMIFS(NewEmisData!L:L, NewEmisData!$A:$A, $G27, NewEmisData!$B:$B, $A27, NewEmisData!$C:$C, $H27, NewEmisData!$D:$D, BT$6)</f>
        <v>10.5025719676633</v>
      </c>
      <c r="BU27" s="1111">
        <f>SUMIFS(NewEmisData!M:M, NewEmisData!$A:$A, $G27, NewEmisData!$B:$B, $A27, NewEmisData!$C:$C, $H27, NewEmisData!$D:$D, BU$6)</f>
        <v>10.526416150576599</v>
      </c>
      <c r="BV27" s="1111">
        <f t="shared" si="83"/>
        <v>10.526416150576599</v>
      </c>
      <c r="BW27" s="1111">
        <f t="shared" si="77"/>
        <v>2.2547746276717899</v>
      </c>
      <c r="BX27" s="1111">
        <f>SUMIFS(NewEmisData!E:E, NewEmisData!$A:$A, $G27, NewEmisData!$B:$B, $A27, NewEmisData!$C:$C, $H27, NewEmisData!$D:$D, BX$6)</f>
        <v>2.2547746276717899</v>
      </c>
      <c r="BY27" s="1111">
        <f>SUMIFS(NewEmisData!F:F, NewEmisData!$A:$A, $G27, NewEmisData!$B:$B, $A27, NewEmisData!$C:$C, $H27, NewEmisData!$D:$D, BY$6)</f>
        <v>2.8652548693587798</v>
      </c>
      <c r="BZ27" s="1111">
        <f>SUMIFS(NewEmisData!G:G, NewEmisData!$A:$A, $G27, NewEmisData!$B:$B, $A27, NewEmisData!$C:$C, $H27, NewEmisData!$D:$D, BZ$6)</f>
        <v>0.66453606773915896</v>
      </c>
      <c r="CA27" s="1111">
        <f>SUMIFS(NewEmisData!H:H, NewEmisData!$A:$A, $G27, NewEmisData!$B:$B, $A27, NewEmisData!$C:$C, $H27, NewEmisData!$D:$D, CA$6)</f>
        <v>0.52696134881096601</v>
      </c>
      <c r="CB27" s="1111">
        <f>SUMIFS(NewEmisData!I:I, NewEmisData!$A:$A, $G27, NewEmisData!$B:$B, $A27, NewEmisData!$C:$C, $H27, NewEmisData!$D:$D, CB$6)</f>
        <v>0.475085091842188</v>
      </c>
      <c r="CC27" s="1111">
        <f>SUMIFS(NewEmisData!J:J, NewEmisData!$A:$A, $G27, NewEmisData!$B:$B, $A27, NewEmisData!$C:$C, $H27, NewEmisData!$D:$D, CC$6)</f>
        <v>0.45399199428257297</v>
      </c>
      <c r="CD27" s="1111">
        <f>SUMIFS(NewEmisData!K:K, NewEmisData!$A:$A, $G27, NewEmisData!$B:$B, $A27, NewEmisData!$C:$C, $H27, NewEmisData!$D:$D, CD$6)</f>
        <v>0.45084584233142999</v>
      </c>
      <c r="CE27" s="1111">
        <f>SUMIFS(NewEmisData!L:L, NewEmisData!$A:$A, $G27, NewEmisData!$B:$B, $A27, NewEmisData!$C:$C, $H27, NewEmisData!$D:$D, CE$6)</f>
        <v>0.450741469309828</v>
      </c>
      <c r="CF27" s="1111">
        <f>SUMIFS(NewEmisData!M:M, NewEmisData!$A:$A, $G27, NewEmisData!$B:$B, $A27, NewEmisData!$C:$C, $H27, NewEmisData!$D:$D, CF$6)</f>
        <v>0.45074449890965201</v>
      </c>
      <c r="CG27" s="1111">
        <f t="shared" si="78"/>
        <v>0.45074449890965201</v>
      </c>
      <c r="CH27" s="1111">
        <f t="shared" si="79"/>
        <v>5.7867400606941198E-2</v>
      </c>
      <c r="CI27" s="1111">
        <f>SUMIFS(NewEmisData!E:E, NewEmisData!$A:$A, $G27, NewEmisData!$B:$B, $A27, NewEmisData!$C:$C, $H27, NewEmisData!$D:$D, CI$6)</f>
        <v>5.7867400606941198E-2</v>
      </c>
      <c r="CJ27" s="1111">
        <f>SUMIFS(NewEmisData!F:F, NewEmisData!$A:$A, $G27, NewEmisData!$B:$B, $A27, NewEmisData!$C:$C, $H27, NewEmisData!$D:$D, CJ$6)</f>
        <v>5.7868748340902797E-2</v>
      </c>
      <c r="CK27" s="1111">
        <f>SUMIFS(NewEmisData!G:G, NewEmisData!$A:$A, $G27, NewEmisData!$B:$B, $A27, NewEmisData!$C:$C, $H27, NewEmisData!$D:$D, CK$6)</f>
        <v>6.6009929070185699E-2</v>
      </c>
      <c r="CL27" s="1111">
        <f>SUMIFS(NewEmisData!H:H, NewEmisData!$A:$A, $G27, NewEmisData!$B:$B, $A27, NewEmisData!$C:$C, $H27, NewEmisData!$D:$D, CL$6)</f>
        <v>6.6010246689438001E-2</v>
      </c>
      <c r="CM27" s="1111">
        <f>SUMIFS(NewEmisData!I:I, NewEmisData!$A:$A, $G27, NewEmisData!$B:$B, $A27, NewEmisData!$C:$C, $H27, NewEmisData!$D:$D, CM$6)</f>
        <v>6.6010539794431194E-2</v>
      </c>
      <c r="CN27" s="1111">
        <f>SUMIFS(NewEmisData!J:J, NewEmisData!$A:$A, $G27, NewEmisData!$B:$B, $A27, NewEmisData!$C:$C, $H27, NewEmisData!$D:$D, CN$6)</f>
        <v>6.6010651142724794E-2</v>
      </c>
      <c r="CO27" s="1111">
        <f>SUMIFS(NewEmisData!K:K, NewEmisData!$A:$A, $G27, NewEmisData!$B:$B, $A27, NewEmisData!$C:$C, $H27, NewEmisData!$D:$D, CO$6)</f>
        <v>6.60106383420173E-2</v>
      </c>
      <c r="CP27" s="1111">
        <f>SUMIFS(NewEmisData!L:L, NewEmisData!$A:$A, $G27, NewEmisData!$B:$B, $A27, NewEmisData!$C:$C, $H27, NewEmisData!$D:$D, CP$6)</f>
        <v>6.6010618394000603E-2</v>
      </c>
      <c r="CQ27" s="1111">
        <f>SUMIFS(NewEmisData!M:M, NewEmisData!$A:$A, $G27, NewEmisData!$B:$B, $A27, NewEmisData!$C:$C, $H27, NewEmisData!$D:$D, CQ$6)</f>
        <v>6.6010633444598496E-2</v>
      </c>
      <c r="CR27" s="1111">
        <f t="shared" si="80"/>
        <v>6.6010633444598496E-2</v>
      </c>
      <c r="CS27" s="1111">
        <f t="shared" si="81"/>
        <v>7.2164995475767907E-2</v>
      </c>
      <c r="CT27" s="1111">
        <f>SUMIFS(NewEmisData!E:E, NewEmisData!$A:$A, $G27, NewEmisData!$B:$B, $A27, NewEmisData!$C:$C, $H27, NewEmisData!$D:$D, CT$6)</f>
        <v>7.2164995475767907E-2</v>
      </c>
      <c r="CU27" s="1111">
        <f>SUMIFS(NewEmisData!F:F, NewEmisData!$A:$A, $G27, NewEmisData!$B:$B, $A27, NewEmisData!$C:$C, $H27, NewEmisData!$D:$D, CU$6)</f>
        <v>6.4879251441518196E-2</v>
      </c>
      <c r="CV27" s="1111">
        <f>SUMIFS(NewEmisData!G:G, NewEmisData!$A:$A, $G27, NewEmisData!$B:$B, $A27, NewEmisData!$C:$C, $H27, NewEmisData!$D:$D, CV$6)</f>
        <v>2.6568003004939798E-2</v>
      </c>
      <c r="CW27" s="1111">
        <f>SUMIFS(NewEmisData!H:H, NewEmisData!$A:$A, $G27, NewEmisData!$B:$B, $A27, NewEmisData!$C:$C, $H27, NewEmisData!$D:$D, CW$6)</f>
        <v>1.84437934507856E-2</v>
      </c>
      <c r="CX27" s="1111">
        <f>SUMIFS(NewEmisData!I:I, NewEmisData!$A:$A, $G27, NewEmisData!$B:$B, $A27, NewEmisData!$C:$C, $H27, NewEmisData!$D:$D, CX$6)</f>
        <v>1.6327699656927399E-2</v>
      </c>
      <c r="CY27" s="1111">
        <f>SUMIFS(NewEmisData!J:J, NewEmisData!$A:$A, $G27, NewEmisData!$B:$B, $A27, NewEmisData!$C:$C, $H27, NewEmisData!$D:$D, CY$6)</f>
        <v>1.5748807787192998E-2</v>
      </c>
      <c r="CZ27" s="1111">
        <f>SUMIFS(NewEmisData!K:K, NewEmisData!$A:$A, $G27, NewEmisData!$B:$B, $A27, NewEmisData!$C:$C, $H27, NewEmisData!$D:$D, CZ$6)</f>
        <v>1.5674972697843501E-2</v>
      </c>
      <c r="DA27" s="1111">
        <f>SUMIFS(NewEmisData!L:L, NewEmisData!$A:$A, $G27, NewEmisData!$B:$B, $A27, NewEmisData!$C:$C, $H27, NewEmisData!$D:$D, DA$6)</f>
        <v>1.56348406818691E-2</v>
      </c>
      <c r="DB27" s="1111">
        <f>SUMIFS(NewEmisData!M:M, NewEmisData!$A:$A, $G27, NewEmisData!$B:$B, $A27, NewEmisData!$C:$C, $H27, NewEmisData!$D:$D, DB$6)</f>
        <v>1.5654725632317699E-2</v>
      </c>
      <c r="DC27" s="1111">
        <f t="shared" si="84"/>
        <v>1.5654725632317699E-2</v>
      </c>
      <c r="DD27" s="1111"/>
      <c r="DE27" s="1111"/>
      <c r="DF27" s="1111"/>
      <c r="DG27" s="1111"/>
      <c r="DH27" s="1111"/>
      <c r="DI27" s="1111"/>
      <c r="DJ27" s="1111"/>
      <c r="DK27" s="1111"/>
      <c r="DL27" s="1111"/>
      <c r="DM27" s="1111"/>
      <c r="DN27" s="1111"/>
      <c r="DO27" s="1111"/>
      <c r="DP27" s="1111"/>
      <c r="DQ27" s="1111"/>
      <c r="DR27" s="1111"/>
      <c r="DS27" s="1111"/>
      <c r="DT27" s="1111"/>
      <c r="DU27" s="1111"/>
      <c r="DV27" s="1111"/>
      <c r="DW27" s="1111"/>
      <c r="DX27" s="1111"/>
      <c r="DY27" s="1111"/>
      <c r="DZ27" s="1111">
        <f t="shared" si="85"/>
        <v>7.65679998253877E-2</v>
      </c>
      <c r="EA27" s="1111">
        <f>SUMIFS(NewEmisData!E:E, NewEmisData!$A:$A, $G27, NewEmisData!$B:$B, $A27, NewEmisData!$C:$C, $H27, NewEmisData!$D:$D, EA$6)</f>
        <v>7.65679998253877E-2</v>
      </c>
      <c r="EB27" s="1111">
        <f>SUMIFS(NewEmisData!F:F, NewEmisData!$A:$A, $G27, NewEmisData!$B:$B, $A27, NewEmisData!$C:$C, $H27, NewEmisData!$D:$D, EB$6)</f>
        <v>0.109010255412455</v>
      </c>
      <c r="EC27" s="1111">
        <f>SUMIFS(NewEmisData!G:G, NewEmisData!$A:$A, $G27, NewEmisData!$B:$B, $A27, NewEmisData!$C:$C, $H27, NewEmisData!$D:$D, EC$6)</f>
        <v>1.54277976093114E-2</v>
      </c>
      <c r="ED27" s="1111">
        <f>SUMIFS(NewEmisData!H:H, NewEmisData!$A:$A, $G27, NewEmisData!$B:$B, $A27, NewEmisData!$C:$C, $H27, NewEmisData!$D:$D, ED$6)</f>
        <v>1.2984971623169601E-2</v>
      </c>
      <c r="EE27" s="1111">
        <f>SUMIFS(NewEmisData!I:I, NewEmisData!$A:$A, $G27, NewEmisData!$B:$B, $A27, NewEmisData!$C:$C, $H27, NewEmisData!$D:$D, EE$6)</f>
        <v>1.22605780123332E-2</v>
      </c>
      <c r="EF27" s="1111">
        <f>SUMIFS(NewEmisData!J:J, NewEmisData!$A:$A, $G27, NewEmisData!$B:$B, $A27, NewEmisData!$C:$C, $H27, NewEmisData!$D:$D, EF$6)</f>
        <v>1.20992421043245E-2</v>
      </c>
      <c r="EG27" s="1111">
        <f>SUMIFS(NewEmisData!K:K, NewEmisData!$A:$A, $G27, NewEmisData!$B:$B, $A27, NewEmisData!$C:$C, $H27, NewEmisData!$D:$D, EG$6)</f>
        <v>1.2123397445436401E-2</v>
      </c>
      <c r="EH27" s="1111">
        <f>SUMIFS(NewEmisData!L:L, NewEmisData!$A:$A, $G27, NewEmisData!$B:$B, $A27, NewEmisData!$C:$C, $H27, NewEmisData!$D:$D, EH$6)</f>
        <v>1.2132958592882499E-2</v>
      </c>
      <c r="EI27" s="1111">
        <f>SUMIFS(NewEmisData!M:M, NewEmisData!$A:$A, $G27, NewEmisData!$B:$B, $A27, NewEmisData!$C:$C, $H27, NewEmisData!$D:$D, EI$6)</f>
        <v>1.21315180972552E-2</v>
      </c>
      <c r="EJ27" s="1111">
        <f t="shared" si="86"/>
        <v>1.21315180972552E-2</v>
      </c>
      <c r="EK27" s="1111">
        <f t="shared" si="87"/>
        <v>1571.23838726393</v>
      </c>
      <c r="EL27" s="1111">
        <f t="shared" si="48"/>
        <v>1571.23838726393</v>
      </c>
      <c r="EM27" s="1111">
        <f t="shared" si="49"/>
        <v>1575.29652368133</v>
      </c>
      <c r="EN27" s="1111">
        <f t="shared" si="50"/>
        <v>1620.65726903051</v>
      </c>
      <c r="EO27" s="1111">
        <f t="shared" si="51"/>
        <v>1591.3958126743701</v>
      </c>
      <c r="EP27" s="1111">
        <f t="shared" si="52"/>
        <v>1568.18391586794</v>
      </c>
      <c r="EQ27" s="1111">
        <f t="shared" si="53"/>
        <v>1562.10113018675</v>
      </c>
      <c r="ER27" s="1111">
        <f t="shared" si="54"/>
        <v>1560.4729957351501</v>
      </c>
      <c r="ES27" s="1111">
        <f t="shared" si="55"/>
        <v>1560.1538107035101</v>
      </c>
      <c r="ET27" s="1111">
        <f t="shared" si="56"/>
        <v>1560.07677043992</v>
      </c>
      <c r="EU27" s="1111">
        <f t="shared" si="57"/>
        <v>1560.07677043992</v>
      </c>
      <c r="EV27" s="1111">
        <f t="shared" si="88"/>
        <v>4.4339350215429896</v>
      </c>
      <c r="EW27" s="1111">
        <f t="shared" si="38"/>
        <v>4.4339350215429896</v>
      </c>
      <c r="EX27" s="1111">
        <f t="shared" si="39"/>
        <v>3.9615409236254</v>
      </c>
      <c r="EY27" s="1111">
        <f t="shared" si="40"/>
        <v>1.33028401660566</v>
      </c>
      <c r="EZ27" s="1111">
        <f t="shared" si="41"/>
        <v>0.96801463367483198</v>
      </c>
      <c r="FA27" s="1111">
        <f t="shared" si="42"/>
        <v>0.810835029277582</v>
      </c>
      <c r="FB27" s="1111">
        <f t="shared" si="43"/>
        <v>0.73984590086297597</v>
      </c>
      <c r="FC27" s="1111">
        <f t="shared" si="44"/>
        <v>0.71912537608469196</v>
      </c>
      <c r="FD27" s="1111">
        <f t="shared" si="45"/>
        <v>0.71458926415217605</v>
      </c>
      <c r="FE27" s="1111">
        <f t="shared" si="46"/>
        <v>0.71327232452186995</v>
      </c>
      <c r="FF27" s="1111">
        <f t="shared" si="47"/>
        <v>0.71327232452186995</v>
      </c>
      <c r="FG27" s="1111">
        <f t="shared" si="89"/>
        <v>2.71879476544729E-2</v>
      </c>
      <c r="FH27" s="1111">
        <f t="shared" si="90"/>
        <v>2.71879476544729E-2</v>
      </c>
      <c r="FI27" s="1111">
        <f t="shared" si="91"/>
        <v>2.72581702920257E-2</v>
      </c>
      <c r="FJ27" s="1111">
        <f t="shared" si="92"/>
        <v>2.32491676049662E-2</v>
      </c>
      <c r="FK27" s="1111">
        <f t="shared" si="93"/>
        <v>2.28294094185802E-2</v>
      </c>
      <c r="FL27" s="1111">
        <f t="shared" si="94"/>
        <v>2.2496411359683499E-2</v>
      </c>
      <c r="FM27" s="1111">
        <f t="shared" si="95"/>
        <v>2.24091575903414E-2</v>
      </c>
      <c r="FN27" s="1111">
        <f t="shared" si="96"/>
        <v>2.2385789717233699E-2</v>
      </c>
      <c r="FO27" s="1111">
        <f t="shared" si="97"/>
        <v>2.23812039581394E-2</v>
      </c>
      <c r="FP27" s="1111">
        <f t="shared" si="98"/>
        <v>2.2380112251842499E-2</v>
      </c>
      <c r="FQ27" s="1111">
        <f t="shared" si="99"/>
        <v>2.2380112251842499E-2</v>
      </c>
      <c r="FR27" s="1111">
        <f t="shared" si="25"/>
        <v>0.29570181024604603</v>
      </c>
      <c r="FS27" s="1111">
        <f t="shared" si="26"/>
        <v>0.29570181024604603</v>
      </c>
      <c r="FT27" s="1111">
        <f t="shared" si="27"/>
        <v>0.31347002724777001</v>
      </c>
      <c r="FU27" s="1111">
        <f t="shared" si="28"/>
        <v>0.29348248729715698</v>
      </c>
      <c r="FV27" s="1111">
        <f t="shared" si="29"/>
        <v>0.29400895980241698</v>
      </c>
      <c r="FW27" s="1111">
        <f t="shared" si="30"/>
        <v>0.29451767447034</v>
      </c>
      <c r="FX27" s="1111">
        <f t="shared" si="31"/>
        <v>0.29481614241324999</v>
      </c>
      <c r="FY27" s="1111">
        <f t="shared" si="32"/>
        <v>0.29496671929746798</v>
      </c>
      <c r="FZ27" s="1111">
        <f t="shared" si="33"/>
        <v>0.29501247169592298</v>
      </c>
      <c r="GA27" s="1111">
        <f t="shared" si="34"/>
        <v>0.29502934324841701</v>
      </c>
      <c r="GB27" s="1111">
        <f t="shared" si="35"/>
        <v>0.29502934324841701</v>
      </c>
      <c r="GC27" s="1111">
        <f t="shared" si="59"/>
        <v>5.6205629802393201E-2</v>
      </c>
      <c r="GD27" s="1111">
        <f t="shared" si="60"/>
        <v>5.6205629802393201E-2</v>
      </c>
      <c r="GE27" s="1111">
        <f t="shared" si="61"/>
        <v>7.2194764578646903E-2</v>
      </c>
      <c r="GF27" s="1111">
        <f t="shared" si="62"/>
        <v>4.48839101088091E-2</v>
      </c>
      <c r="GG27" s="1111">
        <f t="shared" si="63"/>
        <v>4.4911356100480797E-2</v>
      </c>
      <c r="GH27" s="1111">
        <f t="shared" si="64"/>
        <v>4.52709454211217E-2</v>
      </c>
      <c r="GI27" s="1111">
        <f t="shared" si="65"/>
        <v>4.5510230108050102E-2</v>
      </c>
      <c r="GJ27" s="1111">
        <f t="shared" si="66"/>
        <v>4.5637724556064498E-2</v>
      </c>
      <c r="GK27" s="1111">
        <f t="shared" si="67"/>
        <v>4.56765897746194E-2</v>
      </c>
      <c r="GL27" s="1111">
        <f t="shared" si="68"/>
        <v>4.5691464860186798E-2</v>
      </c>
      <c r="GM27" s="1111">
        <f t="shared" si="69"/>
        <v>4.5691464860186798E-2</v>
      </c>
    </row>
    <row r="28" spans="1:195" x14ac:dyDescent="0.2">
      <c r="A28" s="1071" t="s">
        <v>188</v>
      </c>
      <c r="B28" s="1071" t="str">
        <f>Technologies!C110</f>
        <v>TMGSLE</v>
      </c>
      <c r="C28" s="1071" t="str">
        <f>Technologies!D110</f>
        <v>Medium Duty Truck, Existing Gasoline</v>
      </c>
      <c r="D28" s="1071" t="str">
        <f>NewTech!D65</f>
        <v>bn-vmt, bn-vmt/a</v>
      </c>
      <c r="E28" s="1071" t="str">
        <f>TechData!E18</f>
        <v>TMGSL</v>
      </c>
      <c r="F28" s="1071" t="str">
        <f>TechData!F18</f>
        <v>TM</v>
      </c>
      <c r="G28" s="1110" t="s">
        <v>503</v>
      </c>
      <c r="H28" s="1111" t="s">
        <v>500</v>
      </c>
      <c r="I28" s="1112">
        <v>1</v>
      </c>
      <c r="J28" s="1111" t="str">
        <f t="shared" si="37"/>
        <v>Medium duty-GSL</v>
      </c>
      <c r="K28" s="1111">
        <f>SUMIFS(NewEmisData!E:E, NewEmisData!$A:$A, $G28, NewEmisData!$B:$B, $A28, NewEmisData!$C:$C, $H28, NewEmisData!$D:$D, K$6)</f>
        <v>1295.14987573646</v>
      </c>
      <c r="L28" s="1111">
        <f>SUMIFS(NewEmisData!F:F, NewEmisData!$A:$A, $G28, NewEmisData!$B:$B, $A28, NewEmisData!$C:$C, $H28, NewEmisData!$D:$D, L$6)</f>
        <v>1270.8053069328</v>
      </c>
      <c r="M28" s="1111">
        <f>SUMIFS(NewEmisData!G:G, NewEmisData!$A:$A, $G28, NewEmisData!$B:$B, $A28, NewEmisData!$C:$C, $H28, NewEmisData!$D:$D, M$6)</f>
        <v>1116.9310844665499</v>
      </c>
      <c r="N28" s="1111">
        <f>SUMIFS(NewEmisData!H:H, NewEmisData!$A:$A, $G28, NewEmisData!$B:$B, $A28, NewEmisData!$C:$C, $H28, NewEmisData!$D:$D, N$6)</f>
        <v>1096.47271752758</v>
      </c>
      <c r="O28" s="1111">
        <f>SUMIFS(NewEmisData!I:I, NewEmisData!$A:$A, $G28, NewEmisData!$B:$B, $A28, NewEmisData!$C:$C, $H28, NewEmisData!$D:$D, O$6)</f>
        <v>1080.35797958793</v>
      </c>
      <c r="P28" s="1111">
        <f>SUMIFS(NewEmisData!J:J, NewEmisData!$A:$A, $G28, NewEmisData!$B:$B, $A28, NewEmisData!$C:$C, $H28, NewEmisData!$D:$D, P$6)</f>
        <v>1076.1283631843501</v>
      </c>
      <c r="Q28" s="1111">
        <f>SUMIFS(NewEmisData!K:K, NewEmisData!$A:$A, $G28, NewEmisData!$B:$B, $A28, NewEmisData!$C:$C, $H28, NewEmisData!$D:$D, Q$6)</f>
        <v>1074.99841740493</v>
      </c>
      <c r="R28" s="1111">
        <f>SUMIFS(NewEmisData!L:L, NewEmisData!$A:$A, $G28, NewEmisData!$B:$B, $A28, NewEmisData!$C:$C, $H28, NewEmisData!$D:$D, R$6)</f>
        <v>1074.7768639159699</v>
      </c>
      <c r="S28" s="1111">
        <f>SUMIFS(NewEmisData!M:M, NewEmisData!$A:$A, $G28, NewEmisData!$B:$B, $A28, NewEmisData!$C:$C, $H28, NewEmisData!$D:$D, S$6)</f>
        <v>1074.7231317103101</v>
      </c>
      <c r="T28" s="1111">
        <f t="shared" si="17"/>
        <v>1074.7231317103101</v>
      </c>
      <c r="U28" s="1111">
        <f>SUMIFS(NewEmisData!E:E, NewEmisData!$A:$A, $G28, NewEmisData!$B:$B, $A28, NewEmisData!$C:$C, $H28, NewEmisData!$D:$D, U$6)</f>
        <v>4.7005442822918502</v>
      </c>
      <c r="V28" s="1111">
        <f>SUMIFS(NewEmisData!F:F, NewEmisData!$A:$A, $G28, NewEmisData!$B:$B, $A28, NewEmisData!$C:$C, $H28, NewEmisData!$D:$D, V$6)</f>
        <v>3.08259000861326</v>
      </c>
      <c r="W28" s="1111">
        <f>SUMIFS(NewEmisData!G:G, NewEmisData!$A:$A, $G28, NewEmisData!$B:$B, $A28, NewEmisData!$C:$C, $H28, NewEmisData!$D:$D, W$6)</f>
        <v>1.0390638212911101</v>
      </c>
      <c r="X28" s="1111">
        <f>SUMIFS(NewEmisData!H:H, NewEmisData!$A:$A, $G28, NewEmisData!$B:$B, $A28, NewEmisData!$C:$C, $H28, NewEmisData!$D:$D, X$6)</f>
        <v>0.75779261060598802</v>
      </c>
      <c r="Y28" s="1111">
        <f>SUMIFS(NewEmisData!I:I, NewEmisData!$A:$A, $G28, NewEmisData!$B:$B, $A28, NewEmisData!$C:$C, $H28, NewEmisData!$D:$D, Y$6)</f>
        <v>0.63538679073275195</v>
      </c>
      <c r="Z28" s="1111">
        <f>SUMIFS(NewEmisData!J:J, NewEmisData!$A:$A, $G28, NewEmisData!$B:$B, $A28, NewEmisData!$C:$C, $H28, NewEmisData!$D:$D, Z$6)</f>
        <v>0.580083255346031</v>
      </c>
      <c r="AA28" s="1111">
        <f>SUMIFS(NewEmisData!K:K, NewEmisData!$A:$A, $G28, NewEmisData!$B:$B, $A28, NewEmisData!$C:$C, $H28, NewEmisData!$D:$D, AA$6)</f>
        <v>0.56397155784451702</v>
      </c>
      <c r="AB28" s="1111">
        <f>SUMIFS(NewEmisData!L:L, NewEmisData!$A:$A, $G28, NewEmisData!$B:$B, $A28, NewEmisData!$C:$C, $H28, NewEmisData!$D:$D, AB$6)</f>
        <v>0.56043589289625795</v>
      </c>
      <c r="AC28" s="1111">
        <f>SUMIFS(NewEmisData!M:M, NewEmisData!$A:$A, $G28, NewEmisData!$B:$B, $A28, NewEmisData!$C:$C, $H28, NewEmisData!$D:$D, AC$6)</f>
        <v>0.55941898537579804</v>
      </c>
      <c r="AD28" s="1111">
        <f t="shared" si="18"/>
        <v>0.55941898537579804</v>
      </c>
      <c r="AE28" s="1111">
        <f t="shared" si="70"/>
        <v>2.4310232310109099E-2</v>
      </c>
      <c r="AF28" s="1111">
        <f>SUMIFS(NewEmisData!E:E, NewEmisData!$A:$A, $G28, NewEmisData!$B:$B, $A28, NewEmisData!$C:$C, $H28, NewEmisData!$D:$D, AF$6)</f>
        <v>2.4310232310109099E-2</v>
      </c>
      <c r="AG28" s="1111">
        <f>SUMIFS(NewEmisData!F:F, NewEmisData!$A:$A, $G28, NewEmisData!$B:$B, $A28, NewEmisData!$C:$C, $H28, NewEmisData!$D:$D, AG$6)</f>
        <v>2.26976790505827E-2</v>
      </c>
      <c r="AH28" s="1111">
        <f>SUMIFS(NewEmisData!G:G, NewEmisData!$A:$A, $G28, NewEmisData!$B:$B, $A28, NewEmisData!$C:$C, $H28, NewEmisData!$D:$D, AH$6)</f>
        <v>1.6022950426801401E-2</v>
      </c>
      <c r="AI28" s="1111">
        <f>SUMIFS(NewEmisData!H:H, NewEmisData!$A:$A, $G28, NewEmisData!$B:$B, $A28, NewEmisData!$C:$C, $H28, NewEmisData!$D:$D, AI$6)</f>
        <v>1.5729470038709299E-2</v>
      </c>
      <c r="AJ28" s="1111">
        <f>SUMIFS(NewEmisData!I:I, NewEmisData!$A:$A, $G28, NewEmisData!$B:$B, $A28, NewEmisData!$C:$C, $H28, NewEmisData!$D:$D, AJ$6)</f>
        <v>1.5498287302921E-2</v>
      </c>
      <c r="AK28" s="1111">
        <f>SUMIFS(NewEmisData!J:J, NewEmisData!$A:$A, $G28, NewEmisData!$B:$B, $A28, NewEmisData!$C:$C, $H28, NewEmisData!$D:$D, AK$6)</f>
        <v>1.5437619705180801E-2</v>
      </c>
      <c r="AL28" s="1111">
        <f>SUMIFS(NewEmisData!K:K, NewEmisData!$A:$A, $G28, NewEmisData!$B:$B, $A28, NewEmisData!$C:$C, $H28, NewEmisData!$D:$D, AL$6)</f>
        <v>1.5421408919953399E-2</v>
      </c>
      <c r="AM28" s="1111">
        <f>SUMIFS(NewEmisData!L:L, NewEmisData!$A:$A, $G28, NewEmisData!$B:$B, $A28, NewEmisData!$C:$C, $H28, NewEmisData!$D:$D, AM$6)</f>
        <v>1.5418227354463399E-2</v>
      </c>
      <c r="AN28" s="1111">
        <f>SUMIFS(NewEmisData!M:M, NewEmisData!$A:$A, $G28, NewEmisData!$B:$B, $A28, NewEmisData!$C:$C, $H28, NewEmisData!$D:$D, AN$6)</f>
        <v>1.54174639116704E-2</v>
      </c>
      <c r="AO28" s="1111">
        <f t="shared" si="71"/>
        <v>1.54174639116704E-2</v>
      </c>
      <c r="AP28" s="1111">
        <f t="shared" si="72"/>
        <v>0.19559792469321799</v>
      </c>
      <c r="AQ28" s="1111">
        <f>SUMIFS(NewEmisData!E:E, NewEmisData!$A:$A, $G28, NewEmisData!$B:$B, $A28, NewEmisData!$C:$C, $H28, NewEmisData!$D:$D, AQ$6)</f>
        <v>0.19559792469321799</v>
      </c>
      <c r="AR28" s="1111">
        <f>SUMIFS(NewEmisData!F:F, NewEmisData!$A:$A, $G28, NewEmisData!$B:$B, $A28, NewEmisData!$C:$C, $H28, NewEmisData!$D:$D, AR$6)</f>
        <v>0.195854498358668</v>
      </c>
      <c r="AS28" s="1111">
        <f>SUMIFS(NewEmisData!G:G, NewEmisData!$A:$A, $G28, NewEmisData!$B:$B, $A28, NewEmisData!$C:$C, $H28, NewEmisData!$D:$D, AS$6)</f>
        <v>0.158834423055883</v>
      </c>
      <c r="AT28" s="1111">
        <f>SUMIFS(NewEmisData!H:H, NewEmisData!$A:$A, $G28, NewEmisData!$B:$B, $A28, NewEmisData!$C:$C, $H28, NewEmisData!$D:$D, AT$6)</f>
        <v>0.15912944493902401</v>
      </c>
      <c r="AU28" s="1111">
        <f>SUMIFS(NewEmisData!I:I, NewEmisData!$A:$A, $G28, NewEmisData!$B:$B, $A28, NewEmisData!$C:$C, $H28, NewEmisData!$D:$D, AU$6)</f>
        <v>0.159508665245508</v>
      </c>
      <c r="AV28" s="1111">
        <f>SUMIFS(NewEmisData!J:J, NewEmisData!$A:$A, $G28, NewEmisData!$B:$B, $A28, NewEmisData!$C:$C, $H28, NewEmisData!$D:$D, AV$6)</f>
        <v>0.15973496976197599</v>
      </c>
      <c r="AW28" s="1111">
        <f>SUMIFS(NewEmisData!K:K, NewEmisData!$A:$A, $G28, NewEmisData!$B:$B, $A28, NewEmisData!$C:$C, $H28, NewEmisData!$D:$D, AW$6)</f>
        <v>0.15985029461774</v>
      </c>
      <c r="AX28" s="1111">
        <f>SUMIFS(NewEmisData!L:L, NewEmisData!$A:$A, $G28, NewEmisData!$B:$B, $A28, NewEmisData!$C:$C, $H28, NewEmisData!$D:$D, AX$6)</f>
        <v>0.159884874617258</v>
      </c>
      <c r="AY28" s="1111">
        <f>SUMIFS(NewEmisData!M:M, NewEmisData!$A:$A, $G28, NewEmisData!$B:$B, $A28, NewEmisData!$C:$C, $H28, NewEmisData!$D:$D, AY$6)</f>
        <v>0.15989716821268901</v>
      </c>
      <c r="AZ28" s="1111">
        <f t="shared" si="73"/>
        <v>0.15989716821268901</v>
      </c>
      <c r="BA28" s="1111">
        <f t="shared" si="74"/>
        <v>6.1407596132052197E-2</v>
      </c>
      <c r="BB28" s="1111">
        <f>SUMIFS(NewEmisData!E:E, NewEmisData!$A:$A, $G28, NewEmisData!$B:$B, $A28, NewEmisData!$C:$C, $H28, NewEmisData!$D:$D, BB$6)</f>
        <v>6.1407596132052197E-2</v>
      </c>
      <c r="BC28" s="1111">
        <f>SUMIFS(NewEmisData!F:F, NewEmisData!$A:$A, $G28, NewEmisData!$B:$B, $A28, NewEmisData!$C:$C, $H28, NewEmisData!$D:$D, BC$6)</f>
        <v>5.5619399593761901E-2</v>
      </c>
      <c r="BD28" s="1111">
        <f>SUMIFS(NewEmisData!G:G, NewEmisData!$A:$A, $G28, NewEmisData!$B:$B, $A28, NewEmisData!$C:$C, $H28, NewEmisData!$D:$D, BD$6)</f>
        <v>2.6501774627894398E-2</v>
      </c>
      <c r="BE28" s="1111">
        <f>SUMIFS(NewEmisData!H:H, NewEmisData!$A:$A, $G28, NewEmisData!$B:$B, $A28, NewEmisData!$C:$C, $H28, NewEmisData!$D:$D, BE$6)</f>
        <v>2.6535568582948001E-2</v>
      </c>
      <c r="BF28" s="1111">
        <f>SUMIFS(NewEmisData!I:I, NewEmisData!$A:$A, $G28, NewEmisData!$B:$B, $A28, NewEmisData!$C:$C, $H28, NewEmisData!$D:$D, BF$6)</f>
        <v>2.68240676450552E-2</v>
      </c>
      <c r="BG28" s="1111">
        <f>SUMIFS(NewEmisData!J:J, NewEmisData!$A:$A, $G28, NewEmisData!$B:$B, $A28, NewEmisData!$C:$C, $H28, NewEmisData!$D:$D, BG$6)</f>
        <v>2.7011500327140701E-2</v>
      </c>
      <c r="BH28" s="1111">
        <f>SUMIFS(NewEmisData!K:K, NewEmisData!$A:$A, $G28, NewEmisData!$B:$B, $A28, NewEmisData!$C:$C, $H28, NewEmisData!$D:$D, BH$6)</f>
        <v>2.71105372443806E-2</v>
      </c>
      <c r="BI28" s="1111">
        <f>SUMIFS(NewEmisData!L:L, NewEmisData!$A:$A, $G28, NewEmisData!$B:$B, $A28, NewEmisData!$C:$C, $H28, NewEmisData!$D:$D, BI$6)</f>
        <v>2.7140215075382799E-2</v>
      </c>
      <c r="BJ28" s="1111">
        <f>SUMIFS(NewEmisData!M:M, NewEmisData!$A:$A, $G28, NewEmisData!$B:$B, $A28, NewEmisData!$C:$C, $H28, NewEmisData!$D:$D, BJ$6)</f>
        <v>2.7151187263261201E-2</v>
      </c>
      <c r="BK28" s="1111">
        <f t="shared" si="75"/>
        <v>2.7151187263261201E-2</v>
      </c>
      <c r="BL28" s="1111">
        <f t="shared" si="76"/>
        <v>37.072387310679602</v>
      </c>
      <c r="BM28" s="1111">
        <f>SUMIFS(NewEmisData!E:E, NewEmisData!$A:$A, $G28, NewEmisData!$B:$B, $A28, NewEmisData!$C:$C, $H28, NewEmisData!$D:$D, BM$6)</f>
        <v>37.072387310679602</v>
      </c>
      <c r="BN28" s="1111">
        <f>SUMIFS(NewEmisData!F:F, NewEmisData!$A:$A, $G28, NewEmisData!$B:$B, $A28, NewEmisData!$C:$C, $H28, NewEmisData!$D:$D, BN$6)</f>
        <v>25.792665103532201</v>
      </c>
      <c r="BO28" s="1111">
        <f>SUMIFS(NewEmisData!G:G, NewEmisData!$A:$A, $G28, NewEmisData!$B:$B, $A28, NewEmisData!$C:$C, $H28, NewEmisData!$D:$D, BO$6)</f>
        <v>9.5462177561034594</v>
      </c>
      <c r="BP28" s="1111">
        <f>SUMIFS(NewEmisData!H:H, NewEmisData!$A:$A, $G28, NewEmisData!$B:$B, $A28, NewEmisData!$C:$C, $H28, NewEmisData!$D:$D, BP$6)</f>
        <v>8.0392699220412105</v>
      </c>
      <c r="BQ28" s="1111">
        <f>SUMIFS(NewEmisData!I:I, NewEmisData!$A:$A, $G28, NewEmisData!$B:$B, $A28, NewEmisData!$C:$C, $H28, NewEmisData!$D:$D, BQ$6)</f>
        <v>7.5629439516014001</v>
      </c>
      <c r="BR28" s="1111">
        <f>SUMIFS(NewEmisData!J:J, NewEmisData!$A:$A, $G28, NewEmisData!$B:$B, $A28, NewEmisData!$C:$C, $H28, NewEmisData!$D:$D, BR$6)</f>
        <v>7.42380058325005</v>
      </c>
      <c r="BS28" s="1111">
        <f>SUMIFS(NewEmisData!K:K, NewEmisData!$A:$A, $G28, NewEmisData!$B:$B, $A28, NewEmisData!$C:$C, $H28, NewEmisData!$D:$D, BS$6)</f>
        <v>7.4426275255201499</v>
      </c>
      <c r="BT28" s="1111">
        <f>SUMIFS(NewEmisData!L:L, NewEmisData!$A:$A, $G28, NewEmisData!$B:$B, $A28, NewEmisData!$C:$C, $H28, NewEmisData!$D:$D, BT$6)</f>
        <v>7.4685453226779002</v>
      </c>
      <c r="BU28" s="1111">
        <f>SUMIFS(NewEmisData!M:M, NewEmisData!$A:$A, $G28, NewEmisData!$B:$B, $A28, NewEmisData!$C:$C, $H28, NewEmisData!$D:$D, BU$6)</f>
        <v>7.4852296254001702</v>
      </c>
      <c r="BV28" s="1111">
        <f t="shared" si="83"/>
        <v>7.4852296254001702</v>
      </c>
      <c r="BW28" s="1111">
        <f t="shared" si="77"/>
        <v>1.81554554352594</v>
      </c>
      <c r="BX28" s="1111">
        <f>SUMIFS(NewEmisData!E:E, NewEmisData!$A:$A, $G28, NewEmisData!$B:$B, $A28, NewEmisData!$C:$C, $H28, NewEmisData!$D:$D, BX$6)</f>
        <v>1.81554554352594</v>
      </c>
      <c r="BY28" s="1111">
        <f>SUMIFS(NewEmisData!F:F, NewEmisData!$A:$A, $G28, NewEmisData!$B:$B, $A28, NewEmisData!$C:$C, $H28, NewEmisData!$D:$D, BY$6)</f>
        <v>1.3100717618514499</v>
      </c>
      <c r="BZ28" s="1111">
        <f>SUMIFS(NewEmisData!G:G, NewEmisData!$A:$A, $G28, NewEmisData!$B:$B, $A28, NewEmisData!$C:$C, $H28, NewEmisData!$D:$D, BZ$6)</f>
        <v>0.39370379160048102</v>
      </c>
      <c r="CA28" s="1111">
        <f>SUMIFS(NewEmisData!H:H, NewEmisData!$A:$A, $G28, NewEmisData!$B:$B, $A28, NewEmisData!$C:$C, $H28, NewEmisData!$D:$D, CA$6)</f>
        <v>0.31228113561307103</v>
      </c>
      <c r="CB28" s="1111">
        <f>SUMIFS(NewEmisData!I:I, NewEmisData!$A:$A, $G28, NewEmisData!$B:$B, $A28, NewEmisData!$C:$C, $H28, NewEmisData!$D:$D, CB$6)</f>
        <v>0.28237497464649203</v>
      </c>
      <c r="CC28" s="1111">
        <f>SUMIFS(NewEmisData!J:J, NewEmisData!$A:$A, $G28, NewEmisData!$B:$B, $A28, NewEmisData!$C:$C, $H28, NewEmisData!$D:$D, CC$6)</f>
        <v>0.27043603612734302</v>
      </c>
      <c r="CD28" s="1111">
        <f>SUMIFS(NewEmisData!K:K, NewEmisData!$A:$A, $G28, NewEmisData!$B:$B, $A28, NewEmisData!$C:$C, $H28, NewEmisData!$D:$D, CD$6)</f>
        <v>0.26884074434480698</v>
      </c>
      <c r="CE28" s="1111">
        <f>SUMIFS(NewEmisData!L:L, NewEmisData!$A:$A, $G28, NewEmisData!$B:$B, $A28, NewEmisData!$C:$C, $H28, NewEmisData!$D:$D, CE$6)</f>
        <v>0.268857395941977</v>
      </c>
      <c r="CF28" s="1111">
        <f>SUMIFS(NewEmisData!M:M, NewEmisData!$A:$A, $G28, NewEmisData!$B:$B, $A28, NewEmisData!$C:$C, $H28, NewEmisData!$D:$D, CF$6)</f>
        <v>0.26888130166281199</v>
      </c>
      <c r="CG28" s="1111">
        <f t="shared" si="78"/>
        <v>0.26888130166281199</v>
      </c>
      <c r="CH28" s="1111">
        <f t="shared" si="79"/>
        <v>4.4354850737075603E-2</v>
      </c>
      <c r="CI28" s="1111">
        <f>SUMIFS(NewEmisData!E:E, NewEmisData!$A:$A, $G28, NewEmisData!$B:$B, $A28, NewEmisData!$C:$C, $H28, NewEmisData!$D:$D, CI$6)</f>
        <v>4.4354850737075603E-2</v>
      </c>
      <c r="CJ28" s="1111">
        <f>SUMIFS(NewEmisData!F:F, NewEmisData!$A:$A, $G28, NewEmisData!$B:$B, $A28, NewEmisData!$C:$C, $H28, NewEmisData!$D:$D, CJ$6)</f>
        <v>4.4606421809548602E-2</v>
      </c>
      <c r="CK28" s="1111">
        <f>SUMIFS(NewEmisData!G:G, NewEmisData!$A:$A, $G28, NewEmisData!$B:$B, $A28, NewEmisData!$C:$C, $H28, NewEmisData!$D:$D, CK$6)</f>
        <v>4.5833727376490101E-2</v>
      </c>
      <c r="CL28" s="1111">
        <f>SUMIFS(NewEmisData!H:H, NewEmisData!$A:$A, $G28, NewEmisData!$B:$B, $A28, NewEmisData!$C:$C, $H28, NewEmisData!$D:$D, CL$6)</f>
        <v>4.5835915019940797E-2</v>
      </c>
      <c r="CM28" s="1111">
        <f>SUMIFS(NewEmisData!I:I, NewEmisData!$A:$A, $G28, NewEmisData!$B:$B, $A28, NewEmisData!$C:$C, $H28, NewEmisData!$D:$D, CM$6)</f>
        <v>4.5836924876248103E-2</v>
      </c>
      <c r="CN28" s="1111">
        <f>SUMIFS(NewEmisData!J:J, NewEmisData!$A:$A, $G28, NewEmisData!$B:$B, $A28, NewEmisData!$C:$C, $H28, NewEmisData!$D:$D, CN$6)</f>
        <v>4.5837206762828597E-2</v>
      </c>
      <c r="CO28" s="1111">
        <f>SUMIFS(NewEmisData!K:K, NewEmisData!$A:$A, $G28, NewEmisData!$B:$B, $A28, NewEmisData!$C:$C, $H28, NewEmisData!$D:$D, CO$6)</f>
        <v>4.5837285402718399E-2</v>
      </c>
      <c r="CP28" s="1111">
        <f>SUMIFS(NewEmisData!L:L, NewEmisData!$A:$A, $G28, NewEmisData!$B:$B, $A28, NewEmisData!$C:$C, $H28, NewEmisData!$D:$D, CP$6)</f>
        <v>4.5837327743812703E-2</v>
      </c>
      <c r="CQ28" s="1111">
        <f>SUMIFS(NewEmisData!M:M, NewEmisData!$A:$A, $G28, NewEmisData!$B:$B, $A28, NewEmisData!$C:$C, $H28, NewEmisData!$D:$D, CQ$6)</f>
        <v>4.5837305828443899E-2</v>
      </c>
      <c r="CR28" s="1111">
        <f t="shared" si="80"/>
        <v>4.5837305828443899E-2</v>
      </c>
      <c r="CS28" s="1111">
        <f t="shared" si="81"/>
        <v>4.9787516424166102E-2</v>
      </c>
      <c r="CT28" s="1111">
        <f>SUMIFS(NewEmisData!E:E, NewEmisData!$A:$A, $G28, NewEmisData!$B:$B, $A28, NewEmisData!$C:$C, $H28, NewEmisData!$D:$D, CT$6)</f>
        <v>4.9787516424166102E-2</v>
      </c>
      <c r="CU28" s="1111">
        <f>SUMIFS(NewEmisData!F:F, NewEmisData!$A:$A, $G28, NewEmisData!$B:$B, $A28, NewEmisData!$C:$C, $H28, NewEmisData!$D:$D, CU$6)</f>
        <v>4.0085775499257799E-2</v>
      </c>
      <c r="CV28" s="1111">
        <f>SUMIFS(NewEmisData!G:G, NewEmisData!$A:$A, $G28, NewEmisData!$B:$B, $A28, NewEmisData!$C:$C, $H28, NewEmisData!$D:$D, CV$6)</f>
        <v>1.5231093201386501E-2</v>
      </c>
      <c r="CW28" s="1111">
        <f>SUMIFS(NewEmisData!H:H, NewEmisData!$A:$A, $G28, NewEmisData!$B:$B, $A28, NewEmisData!$C:$C, $H28, NewEmisData!$D:$D, CW$6)</f>
        <v>1.05082390102391E-2</v>
      </c>
      <c r="CX28" s="1111">
        <f>SUMIFS(NewEmisData!I:I, NewEmisData!$A:$A, $G28, NewEmisData!$B:$B, $A28, NewEmisData!$C:$C, $H28, NewEmisData!$D:$D, CX$6)</f>
        <v>9.2332663114354004E-3</v>
      </c>
      <c r="CY28" s="1111">
        <f>SUMIFS(NewEmisData!J:J, NewEmisData!$A:$A, $G28, NewEmisData!$B:$B, $A28, NewEmisData!$C:$C, $H28, NewEmisData!$D:$D, CY$6)</f>
        <v>8.8795270887270794E-3</v>
      </c>
      <c r="CZ28" s="1111">
        <f>SUMIFS(NewEmisData!K:K, NewEmisData!$A:$A, $G28, NewEmisData!$B:$B, $A28, NewEmisData!$C:$C, $H28, NewEmisData!$D:$D, CZ$6)</f>
        <v>8.8375979409894192E-3</v>
      </c>
      <c r="DA28" s="1111">
        <f>SUMIFS(NewEmisData!L:L, NewEmisData!$A:$A, $G28, NewEmisData!$B:$B, $A28, NewEmisData!$C:$C, $H28, NewEmisData!$D:$D, DA$6)</f>
        <v>8.8119276303445203E-3</v>
      </c>
      <c r="DB28" s="1111">
        <f>SUMIFS(NewEmisData!M:M, NewEmisData!$A:$A, $G28, NewEmisData!$B:$B, $A28, NewEmisData!$C:$C, $H28, NewEmisData!$D:$D, DB$6)</f>
        <v>8.8259459804548995E-3</v>
      </c>
      <c r="DC28" s="1111">
        <f t="shared" si="84"/>
        <v>8.8259459804548995E-3</v>
      </c>
      <c r="DD28" s="1111"/>
      <c r="DE28" s="1111"/>
      <c r="DF28" s="1111"/>
      <c r="DG28" s="1111"/>
      <c r="DH28" s="1111"/>
      <c r="DI28" s="1111"/>
      <c r="DJ28" s="1111"/>
      <c r="DK28" s="1111"/>
      <c r="DL28" s="1111"/>
      <c r="DM28" s="1111"/>
      <c r="DN28" s="1111"/>
      <c r="DO28" s="1111"/>
      <c r="DP28" s="1111"/>
      <c r="DQ28" s="1111"/>
      <c r="DR28" s="1111"/>
      <c r="DS28" s="1111"/>
      <c r="DT28" s="1111"/>
      <c r="DU28" s="1111"/>
      <c r="DV28" s="1111"/>
      <c r="DW28" s="1111"/>
      <c r="DX28" s="1111"/>
      <c r="DY28" s="1111"/>
      <c r="DZ28" s="1111">
        <f t="shared" si="85"/>
        <v>4.44098100343151E-2</v>
      </c>
      <c r="EA28" s="1111">
        <f>SUMIFS(NewEmisData!E:E, NewEmisData!$A:$A, $G28, NewEmisData!$B:$B, $A28, NewEmisData!$C:$C, $H28, NewEmisData!$D:$D, EA$6)</f>
        <v>4.44098100343151E-2</v>
      </c>
      <c r="EB28" s="1111">
        <f>SUMIFS(NewEmisData!F:F, NewEmisData!$A:$A, $G28, NewEmisData!$B:$B, $A28, NewEmisData!$C:$C, $H28, NewEmisData!$D:$D, EB$6)</f>
        <v>2.9304673870380101E-2</v>
      </c>
      <c r="EC28" s="1111">
        <f>SUMIFS(NewEmisData!G:G, NewEmisData!$A:$A, $G28, NewEmisData!$B:$B, $A28, NewEmisData!$C:$C, $H28, NewEmisData!$D:$D, EC$6)</f>
        <v>9.6598752165466002E-3</v>
      </c>
      <c r="ED28" s="1111">
        <f>SUMIFS(NewEmisData!H:H, NewEmisData!$A:$A, $G28, NewEmisData!$B:$B, $A28, NewEmisData!$C:$C, $H28, NewEmisData!$D:$D, ED$6)</f>
        <v>8.2574531868545402E-3</v>
      </c>
      <c r="EE28" s="1111">
        <f>SUMIFS(NewEmisData!I:I, NewEmisData!$A:$A, $G28, NewEmisData!$B:$B, $A28, NewEmisData!$C:$C, $H28, NewEmisData!$D:$D, EE$6)</f>
        <v>7.8634646205182502E-3</v>
      </c>
      <c r="EF28" s="1111">
        <f>SUMIFS(NewEmisData!J:J, NewEmisData!$A:$A, $G28, NewEmisData!$B:$B, $A28, NewEmisData!$C:$C, $H28, NewEmisData!$D:$D, EF$6)</f>
        <v>7.7933832365119603E-3</v>
      </c>
      <c r="EG28" s="1111">
        <f>SUMIFS(NewEmisData!K:K, NewEmisData!$A:$A, $G28, NewEmisData!$B:$B, $A28, NewEmisData!$C:$C, $H28, NewEmisData!$D:$D, EG$6)</f>
        <v>7.8217032086275798E-3</v>
      </c>
      <c r="EH28" s="1111">
        <f>SUMIFS(NewEmisData!L:L, NewEmisData!$A:$A, $G28, NewEmisData!$B:$B, $A28, NewEmisData!$C:$C, $H28, NewEmisData!$D:$D, EH$6)</f>
        <v>7.8307139594945199E-3</v>
      </c>
      <c r="EI28" s="1111">
        <f>SUMIFS(NewEmisData!M:M, NewEmisData!$A:$A, $G28, NewEmisData!$B:$B, $A28, NewEmisData!$C:$C, $H28, NewEmisData!$D:$D, EI$6)</f>
        <v>7.8300628211082704E-3</v>
      </c>
      <c r="EJ28" s="1111">
        <f t="shared" si="86"/>
        <v>7.8300628211082704E-3</v>
      </c>
      <c r="EK28" s="1111">
        <f t="shared" si="87"/>
        <v>1295.14987573646</v>
      </c>
      <c r="EL28" s="1111">
        <f t="shared" si="48"/>
        <v>1295.14987573646</v>
      </c>
      <c r="EM28" s="1111">
        <f t="shared" si="49"/>
        <v>1270.8053069328</v>
      </c>
      <c r="EN28" s="1111">
        <f t="shared" si="50"/>
        <v>1116.9310844665499</v>
      </c>
      <c r="EO28" s="1111">
        <f t="shared" si="51"/>
        <v>1096.47271752758</v>
      </c>
      <c r="EP28" s="1111">
        <f t="shared" si="52"/>
        <v>1080.35797958793</v>
      </c>
      <c r="EQ28" s="1111">
        <f t="shared" si="53"/>
        <v>1076.1283631843501</v>
      </c>
      <c r="ER28" s="1111">
        <f t="shared" si="54"/>
        <v>1074.99841740493</v>
      </c>
      <c r="ES28" s="1111">
        <f t="shared" si="55"/>
        <v>1074.7768639159699</v>
      </c>
      <c r="ET28" s="1111">
        <f t="shared" si="56"/>
        <v>1074.7231317103101</v>
      </c>
      <c r="EU28" s="1111">
        <f t="shared" si="57"/>
        <v>1074.7231317103101</v>
      </c>
      <c r="EV28" s="1111">
        <f t="shared" si="88"/>
        <v>4.7005442822918502</v>
      </c>
      <c r="EW28" s="1111">
        <f t="shared" si="38"/>
        <v>4.7005442822918502</v>
      </c>
      <c r="EX28" s="1111">
        <f t="shared" si="39"/>
        <v>3.08259000861326</v>
      </c>
      <c r="EY28" s="1111">
        <f t="shared" si="40"/>
        <v>1.0390638212911101</v>
      </c>
      <c r="EZ28" s="1111">
        <f t="shared" si="41"/>
        <v>0.75779261060598802</v>
      </c>
      <c r="FA28" s="1111">
        <f t="shared" si="42"/>
        <v>0.63538679073275195</v>
      </c>
      <c r="FB28" s="1111">
        <f t="shared" si="43"/>
        <v>0.580083255346031</v>
      </c>
      <c r="FC28" s="1111">
        <f t="shared" si="44"/>
        <v>0.56397155784451702</v>
      </c>
      <c r="FD28" s="1111">
        <f t="shared" si="45"/>
        <v>0.56043589289625795</v>
      </c>
      <c r="FE28" s="1111">
        <f t="shared" si="46"/>
        <v>0.55941898537579804</v>
      </c>
      <c r="FF28" s="1111">
        <f t="shared" si="47"/>
        <v>0.55941898537579804</v>
      </c>
      <c r="FG28" s="1111">
        <f t="shared" si="89"/>
        <v>2.4310232310109099E-2</v>
      </c>
      <c r="FH28" s="1111">
        <f t="shared" si="90"/>
        <v>2.4310232310109099E-2</v>
      </c>
      <c r="FI28" s="1111">
        <f t="shared" si="91"/>
        <v>2.26976790505827E-2</v>
      </c>
      <c r="FJ28" s="1111">
        <f t="shared" si="92"/>
        <v>1.6022950426801401E-2</v>
      </c>
      <c r="FK28" s="1111">
        <f t="shared" si="93"/>
        <v>1.5729470038709299E-2</v>
      </c>
      <c r="FL28" s="1111">
        <f t="shared" si="94"/>
        <v>1.5498287302921E-2</v>
      </c>
      <c r="FM28" s="1111">
        <f t="shared" si="95"/>
        <v>1.5437619705180801E-2</v>
      </c>
      <c r="FN28" s="1111">
        <f t="shared" si="96"/>
        <v>1.5421408919953399E-2</v>
      </c>
      <c r="FO28" s="1111">
        <f t="shared" si="97"/>
        <v>1.5418227354463399E-2</v>
      </c>
      <c r="FP28" s="1111">
        <f t="shared" si="98"/>
        <v>1.54174639116704E-2</v>
      </c>
      <c r="FQ28" s="1111">
        <f t="shared" si="99"/>
        <v>1.54174639116704E-2</v>
      </c>
      <c r="FR28" s="1111">
        <f t="shared" si="25"/>
        <v>0.19559792469321799</v>
      </c>
      <c r="FS28" s="1111">
        <f t="shared" si="26"/>
        <v>0.19559792469321799</v>
      </c>
      <c r="FT28" s="1111">
        <f t="shared" si="27"/>
        <v>0.195854498358668</v>
      </c>
      <c r="FU28" s="1111">
        <f t="shared" si="28"/>
        <v>0.158834423055883</v>
      </c>
      <c r="FV28" s="1111">
        <f t="shared" si="29"/>
        <v>0.15912944493902401</v>
      </c>
      <c r="FW28" s="1111">
        <f t="shared" si="30"/>
        <v>0.159508665245508</v>
      </c>
      <c r="FX28" s="1111">
        <f t="shared" si="31"/>
        <v>0.15973496976197599</v>
      </c>
      <c r="FY28" s="1111">
        <f t="shared" si="32"/>
        <v>0.15985029461774</v>
      </c>
      <c r="FZ28" s="1111">
        <f t="shared" si="33"/>
        <v>0.159884874617258</v>
      </c>
      <c r="GA28" s="1111">
        <f t="shared" si="34"/>
        <v>0.15989716821268901</v>
      </c>
      <c r="GB28" s="1111">
        <f t="shared" si="35"/>
        <v>0.15989716821268901</v>
      </c>
      <c r="GC28" s="1111">
        <f t="shared" si="59"/>
        <v>6.1407596132052197E-2</v>
      </c>
      <c r="GD28" s="1111">
        <f t="shared" si="60"/>
        <v>6.1407596132052197E-2</v>
      </c>
      <c r="GE28" s="1111">
        <f t="shared" si="61"/>
        <v>5.5619399593761901E-2</v>
      </c>
      <c r="GF28" s="1111">
        <f t="shared" si="62"/>
        <v>2.6501774627894398E-2</v>
      </c>
      <c r="GG28" s="1111">
        <f t="shared" si="63"/>
        <v>2.6535568582948001E-2</v>
      </c>
      <c r="GH28" s="1111">
        <f t="shared" si="64"/>
        <v>2.68240676450552E-2</v>
      </c>
      <c r="GI28" s="1111">
        <f t="shared" si="65"/>
        <v>2.7011500327140701E-2</v>
      </c>
      <c r="GJ28" s="1111">
        <f t="shared" si="66"/>
        <v>2.71105372443806E-2</v>
      </c>
      <c r="GK28" s="1111">
        <f t="shared" si="67"/>
        <v>2.7140215075382799E-2</v>
      </c>
      <c r="GL28" s="1111">
        <f t="shared" si="68"/>
        <v>2.7151187263261201E-2</v>
      </c>
      <c r="GM28" s="1111">
        <f t="shared" si="69"/>
        <v>2.7151187263261201E-2</v>
      </c>
    </row>
    <row r="29" spans="1:195" x14ac:dyDescent="0.2">
      <c r="A29" s="1071" t="s">
        <v>190</v>
      </c>
      <c r="B29" s="1071" t="str">
        <f>Technologies!C110</f>
        <v>TMGSLE</v>
      </c>
      <c r="C29" s="1071" t="str">
        <f>Technologies!D110</f>
        <v>Medium Duty Truck, Existing Gasoline</v>
      </c>
      <c r="D29" s="1071" t="str">
        <f>NewTech!D65</f>
        <v>bn-vmt, bn-vmt/a</v>
      </c>
      <c r="E29" s="1071" t="str">
        <f>TechData!E18</f>
        <v>TMGSL</v>
      </c>
      <c r="F29" s="1071" t="str">
        <f>TechData!F18</f>
        <v>TM</v>
      </c>
      <c r="G29" s="1110" t="s">
        <v>503</v>
      </c>
      <c r="H29" s="1111" t="s">
        <v>500</v>
      </c>
      <c r="I29" s="1112">
        <v>1</v>
      </c>
      <c r="J29" s="1111" t="str">
        <f t="shared" si="37"/>
        <v>Medium duty-GSL</v>
      </c>
      <c r="K29" s="1111">
        <f>SUMIFS(NewEmisData!E:E, NewEmisData!$A:$A, $G29, NewEmisData!$B:$B, $A29, NewEmisData!$C:$C, $H29, NewEmisData!$D:$D, K$6)</f>
        <v>1204.2704996203399</v>
      </c>
      <c r="L29" s="1111">
        <f>SUMIFS(NewEmisData!F:F, NewEmisData!$A:$A, $G29, NewEmisData!$B:$B, $A29, NewEmisData!$C:$C, $H29, NewEmisData!$D:$D, L$6)</f>
        <v>1280.9014839137801</v>
      </c>
      <c r="M29" s="1111">
        <f>SUMIFS(NewEmisData!G:G, NewEmisData!$A:$A, $G29, NewEmisData!$B:$B, $A29, NewEmisData!$C:$C, $H29, NewEmisData!$D:$D, M$6)</f>
        <v>1309.1277572440899</v>
      </c>
      <c r="N29" s="1111">
        <f>SUMIFS(NewEmisData!H:H, NewEmisData!$A:$A, $G29, NewEmisData!$B:$B, $A29, NewEmisData!$C:$C, $H29, NewEmisData!$D:$D, N$6)</f>
        <v>1277.5848439676099</v>
      </c>
      <c r="O29" s="1111">
        <f>SUMIFS(NewEmisData!I:I, NewEmisData!$A:$A, $G29, NewEmisData!$B:$B, $A29, NewEmisData!$C:$C, $H29, NewEmisData!$D:$D, O$6)</f>
        <v>1259.05503169493</v>
      </c>
      <c r="P29" s="1111">
        <f>SUMIFS(NewEmisData!J:J, NewEmisData!$A:$A, $G29, NewEmisData!$B:$B, $A29, NewEmisData!$C:$C, $H29, NewEmisData!$D:$D, P$6)</f>
        <v>1254.08723086747</v>
      </c>
      <c r="Q29" s="1111">
        <f>SUMIFS(NewEmisData!K:K, NewEmisData!$A:$A, $G29, NewEmisData!$B:$B, $A29, NewEmisData!$C:$C, $H29, NewEmisData!$D:$D, Q$6)</f>
        <v>1252.90461894546</v>
      </c>
      <c r="R29" s="1111">
        <f>SUMIFS(NewEmisData!L:L, NewEmisData!$A:$A, $G29, NewEmisData!$B:$B, $A29, NewEmisData!$C:$C, $H29, NewEmisData!$D:$D, R$6)</f>
        <v>1252.7104430173399</v>
      </c>
      <c r="S29" s="1111">
        <f>SUMIFS(NewEmisData!M:M, NewEmisData!$A:$A, $G29, NewEmisData!$B:$B, $A29, NewEmisData!$C:$C, $H29, NewEmisData!$D:$D, S$6)</f>
        <v>1252.6870397442001</v>
      </c>
      <c r="T29" s="1111">
        <f t="shared" si="17"/>
        <v>1252.6870397442001</v>
      </c>
      <c r="U29" s="1111">
        <f>SUMIFS(NewEmisData!E:E, NewEmisData!$A:$A, $G29, NewEmisData!$B:$B, $A29, NewEmisData!$C:$C, $H29, NewEmisData!$D:$D, U$6)</f>
        <v>4.3448715610080901</v>
      </c>
      <c r="V29" s="1111">
        <f>SUMIFS(NewEmisData!F:F, NewEmisData!$A:$A, $G29, NewEmisData!$B:$B, $A29, NewEmisData!$C:$C, $H29, NewEmisData!$D:$D, V$6)</f>
        <v>2.68000771941229</v>
      </c>
      <c r="W29" s="1111">
        <f>SUMIFS(NewEmisData!G:G, NewEmisData!$A:$A, $G29, NewEmisData!$B:$B, $A29, NewEmisData!$C:$C, $H29, NewEmisData!$D:$D, W$6)</f>
        <v>1.2701406141530101</v>
      </c>
      <c r="X29" s="1111">
        <f>SUMIFS(NewEmisData!H:H, NewEmisData!$A:$A, $G29, NewEmisData!$B:$B, $A29, NewEmisData!$C:$C, $H29, NewEmisData!$D:$D, X$6)</f>
        <v>0.89637025450783203</v>
      </c>
      <c r="Y29" s="1111">
        <f>SUMIFS(NewEmisData!I:I, NewEmisData!$A:$A, $G29, NewEmisData!$B:$B, $A29, NewEmisData!$C:$C, $H29, NewEmisData!$D:$D, Y$6)</f>
        <v>0.74230586472414295</v>
      </c>
      <c r="Z29" s="1111">
        <f>SUMIFS(NewEmisData!J:J, NewEmisData!$A:$A, $G29, NewEmisData!$B:$B, $A29, NewEmisData!$C:$C, $H29, NewEmisData!$D:$D, Z$6)</f>
        <v>0.67198096175904998</v>
      </c>
      <c r="AA29" s="1111">
        <f>SUMIFS(NewEmisData!K:K, NewEmisData!$A:$A, $G29, NewEmisData!$B:$B, $A29, NewEmisData!$C:$C, $H29, NewEmisData!$D:$D, AA$6)</f>
        <v>0.65082523068374698</v>
      </c>
      <c r="AB29" s="1111">
        <f>SUMIFS(NewEmisData!L:L, NewEmisData!$A:$A, $G29, NewEmisData!$B:$B, $A29, NewEmisData!$C:$C, $H29, NewEmisData!$D:$D, AB$6)</f>
        <v>0.64636795436825401</v>
      </c>
      <c r="AC29" s="1111">
        <f>SUMIFS(NewEmisData!M:M, NewEmisData!$A:$A, $G29, NewEmisData!$B:$B, $A29, NewEmisData!$C:$C, $H29, NewEmisData!$D:$D, AC$6)</f>
        <v>0.64488416341078902</v>
      </c>
      <c r="AD29" s="1111">
        <f t="shared" si="18"/>
        <v>0.64488416341078902</v>
      </c>
      <c r="AE29" s="1111">
        <f t="shared" si="70"/>
        <v>2.08381055217347E-2</v>
      </c>
      <c r="AF29" s="1111">
        <f>SUMIFS(NewEmisData!E:E, NewEmisData!$A:$A, $G29, NewEmisData!$B:$B, $A29, NewEmisData!$C:$C, $H29, NewEmisData!$D:$D, AF$6)</f>
        <v>2.08381055217347E-2</v>
      </c>
      <c r="AG29" s="1111">
        <f>SUMIFS(NewEmisData!F:F, NewEmisData!$A:$A, $G29, NewEmisData!$B:$B, $A29, NewEmisData!$C:$C, $H29, NewEmisData!$D:$D, AG$6)</f>
        <v>2.2164087103621902E-2</v>
      </c>
      <c r="AH29" s="1111">
        <f>SUMIFS(NewEmisData!G:G, NewEmisData!$A:$A, $G29, NewEmisData!$B:$B, $A29, NewEmisData!$C:$C, $H29, NewEmisData!$D:$D, AH$6)</f>
        <v>1.8780122769194701E-2</v>
      </c>
      <c r="AI29" s="1111">
        <f>SUMIFS(NewEmisData!H:H, NewEmisData!$A:$A, $G29, NewEmisData!$B:$B, $A29, NewEmisData!$C:$C, $H29, NewEmisData!$D:$D, AI$6)</f>
        <v>1.8327610114874E-2</v>
      </c>
      <c r="AJ29" s="1111">
        <f>SUMIFS(NewEmisData!I:I, NewEmisData!$A:$A, $G29, NewEmisData!$B:$B, $A29, NewEmisData!$C:$C, $H29, NewEmisData!$D:$D, AJ$6)</f>
        <v>1.8061800865337901E-2</v>
      </c>
      <c r="AK29" s="1111">
        <f>SUMIFS(NewEmisData!J:J, NewEmisData!$A:$A, $G29, NewEmisData!$B:$B, $A29, NewEmisData!$C:$C, $H29, NewEmisData!$D:$D, AK$6)</f>
        <v>1.79905289884639E-2</v>
      </c>
      <c r="AL29" s="1111">
        <f>SUMIFS(NewEmisData!K:K, NewEmisData!$A:$A, $G29, NewEmisData!$B:$B, $A29, NewEmisData!$C:$C, $H29, NewEmisData!$D:$D, AL$6)</f>
        <v>1.7973564507445701E-2</v>
      </c>
      <c r="AM29" s="1111">
        <f>SUMIFS(NewEmisData!L:L, NewEmisData!$A:$A, $G29, NewEmisData!$B:$B, $A29, NewEmisData!$C:$C, $H29, NewEmisData!$D:$D, AM$6)</f>
        <v>1.7970784643505301E-2</v>
      </c>
      <c r="AN29" s="1111">
        <f>SUMIFS(NewEmisData!M:M, NewEmisData!$A:$A, $G29, NewEmisData!$B:$B, $A29, NewEmisData!$C:$C, $H29, NewEmisData!$D:$D, AN$6)</f>
        <v>1.7970446963254401E-2</v>
      </c>
      <c r="AO29" s="1111">
        <f t="shared" si="71"/>
        <v>1.7970446963254401E-2</v>
      </c>
      <c r="AP29" s="1111">
        <f t="shared" si="72"/>
        <v>0.19574828311834699</v>
      </c>
      <c r="AQ29" s="1111">
        <f>SUMIFS(NewEmisData!E:E, NewEmisData!$A:$A, $G29, NewEmisData!$B:$B, $A29, NewEmisData!$C:$C, $H29, NewEmisData!$D:$D, AQ$6)</f>
        <v>0.19574828311834699</v>
      </c>
      <c r="AR29" s="1111">
        <f>SUMIFS(NewEmisData!F:F, NewEmisData!$A:$A, $G29, NewEmisData!$B:$B, $A29, NewEmisData!$C:$C, $H29, NewEmisData!$D:$D, AR$6)</f>
        <v>0.191259101148397</v>
      </c>
      <c r="AS29" s="1111">
        <f>SUMIFS(NewEmisData!G:G, NewEmisData!$A:$A, $G29, NewEmisData!$B:$B, $A29, NewEmisData!$C:$C, $H29, NewEmisData!$D:$D, AS$6)</f>
        <v>0.21457849181088401</v>
      </c>
      <c r="AT29" s="1111">
        <f>SUMIFS(NewEmisData!H:H, NewEmisData!$A:$A, $G29, NewEmisData!$B:$B, $A29, NewEmisData!$C:$C, $H29, NewEmisData!$D:$D, AT$6)</f>
        <v>0.215053494777702</v>
      </c>
      <c r="AU29" s="1111">
        <f>SUMIFS(NewEmisData!I:I, NewEmisData!$A:$A, $G29, NewEmisData!$B:$B, $A29, NewEmisData!$C:$C, $H29, NewEmisData!$D:$D, AU$6)</f>
        <v>0.21551298465650401</v>
      </c>
      <c r="AV29" s="1111">
        <f>SUMIFS(NewEmisData!J:J, NewEmisData!$A:$A, $G29, NewEmisData!$B:$B, $A29, NewEmisData!$C:$C, $H29, NewEmisData!$D:$D, AV$6)</f>
        <v>0.215835472913527</v>
      </c>
      <c r="AW29" s="1111">
        <f>SUMIFS(NewEmisData!K:K, NewEmisData!$A:$A, $G29, NewEmisData!$B:$B, $A29, NewEmisData!$C:$C, $H29, NewEmisData!$D:$D, AW$6)</f>
        <v>0.21602305396888299</v>
      </c>
      <c r="AX29" s="1111">
        <f>SUMIFS(NewEmisData!L:L, NewEmisData!$A:$A, $G29, NewEmisData!$B:$B, $A29, NewEmisData!$C:$C, $H29, NewEmisData!$D:$D, AX$6)</f>
        <v>0.21608589786817001</v>
      </c>
      <c r="AY29" s="1111">
        <f>SUMIFS(NewEmisData!M:M, NewEmisData!$A:$A, $G29, NewEmisData!$B:$B, $A29, NewEmisData!$C:$C, $H29, NewEmisData!$D:$D, AY$6)</f>
        <v>0.216113244270948</v>
      </c>
      <c r="AZ29" s="1111">
        <f t="shared" si="73"/>
        <v>0.216113244270948</v>
      </c>
      <c r="BA29" s="1111">
        <f t="shared" si="74"/>
        <v>4.1988899098410401E-2</v>
      </c>
      <c r="BB29" s="1111">
        <f>SUMIFS(NewEmisData!E:E, NewEmisData!$A:$A, $G29, NewEmisData!$B:$B, $A29, NewEmisData!$C:$C, $H29, NewEmisData!$D:$D, BB$6)</f>
        <v>4.1988899098410401E-2</v>
      </c>
      <c r="BC29" s="1111">
        <f>SUMIFS(NewEmisData!F:F, NewEmisData!$A:$A, $G29, NewEmisData!$B:$B, $A29, NewEmisData!$C:$C, $H29, NewEmisData!$D:$D, BC$6)</f>
        <v>4.04221270662211E-2</v>
      </c>
      <c r="BD29" s="1111">
        <f>SUMIFS(NewEmisData!G:G, NewEmisData!$A:$A, $G29, NewEmisData!$B:$B, $A29, NewEmisData!$C:$C, $H29, NewEmisData!$D:$D, BD$6)</f>
        <v>3.5246180151429399E-2</v>
      </c>
      <c r="BE29" s="1111">
        <f>SUMIFS(NewEmisData!H:H, NewEmisData!$A:$A, $G29, NewEmisData!$B:$B, $A29, NewEmisData!$C:$C, $H29, NewEmisData!$D:$D, BE$6)</f>
        <v>3.4950821311789601E-2</v>
      </c>
      <c r="BF29" s="1111">
        <f>SUMIFS(NewEmisData!I:I, NewEmisData!$A:$A, $G29, NewEmisData!$B:$B, $A29, NewEmisData!$C:$C, $H29, NewEmisData!$D:$D, BF$6)</f>
        <v>3.5285067945859602E-2</v>
      </c>
      <c r="BG29" s="1111">
        <f>SUMIFS(NewEmisData!J:J, NewEmisData!$A:$A, $G29, NewEmisData!$B:$B, $A29, NewEmisData!$C:$C, $H29, NewEmisData!$D:$D, BG$6)</f>
        <v>3.55346528981796E-2</v>
      </c>
      <c r="BH29" s="1111">
        <f>SUMIFS(NewEmisData!K:K, NewEmisData!$A:$A, $G29, NewEmisData!$B:$B, $A29, NewEmisData!$C:$C, $H29, NewEmisData!$D:$D, BH$6)</f>
        <v>3.5692682330647998E-2</v>
      </c>
      <c r="BI29" s="1111">
        <f>SUMIFS(NewEmisData!L:L, NewEmisData!$A:$A, $G29, NewEmisData!$B:$B, $A29, NewEmisData!$C:$C, $H29, NewEmisData!$D:$D, BI$6)</f>
        <v>3.57464219039118E-2</v>
      </c>
      <c r="BJ29" s="1111">
        <f>SUMIFS(NewEmisData!M:M, NewEmisData!$A:$A, $G29, NewEmisData!$B:$B, $A29, NewEmisData!$C:$C, $H29, NewEmisData!$D:$D, BJ$6)</f>
        <v>3.5770424866643502E-2</v>
      </c>
      <c r="BK29" s="1111">
        <f t="shared" si="75"/>
        <v>3.5770424866643502E-2</v>
      </c>
      <c r="BL29" s="1111">
        <f t="shared" si="76"/>
        <v>39.441467642192301</v>
      </c>
      <c r="BM29" s="1111">
        <f>SUMIFS(NewEmisData!E:E, NewEmisData!$A:$A, $G29, NewEmisData!$B:$B, $A29, NewEmisData!$C:$C, $H29, NewEmisData!$D:$D, BM$6)</f>
        <v>39.441467642192301</v>
      </c>
      <c r="BN29" s="1111">
        <f>SUMIFS(NewEmisData!F:F, NewEmisData!$A:$A, $G29, NewEmisData!$B:$B, $A29, NewEmisData!$C:$C, $H29, NewEmisData!$D:$D, BN$6)</f>
        <v>29.135339922672099</v>
      </c>
      <c r="BO29" s="1111">
        <f>SUMIFS(NewEmisData!G:G, NewEmisData!$A:$A, $G29, NewEmisData!$B:$B, $A29, NewEmisData!$C:$C, $H29, NewEmisData!$D:$D, BO$6)</f>
        <v>19.258881049018001</v>
      </c>
      <c r="BP29" s="1111">
        <f>SUMIFS(NewEmisData!H:H, NewEmisData!$A:$A, $G29, NewEmisData!$B:$B, $A29, NewEmisData!$C:$C, $H29, NewEmisData!$D:$D, BP$6)</f>
        <v>17.4734501170478</v>
      </c>
      <c r="BQ29" s="1111">
        <f>SUMIFS(NewEmisData!I:I, NewEmisData!$A:$A, $G29, NewEmisData!$B:$B, $A29, NewEmisData!$C:$C, $H29, NewEmisData!$D:$D, BQ$6)</f>
        <v>17.337238430015301</v>
      </c>
      <c r="BR29" s="1111">
        <f>SUMIFS(NewEmisData!J:J, NewEmisData!$A:$A, $G29, NewEmisData!$B:$B, $A29, NewEmisData!$C:$C, $H29, NewEmisData!$D:$D, BR$6)</f>
        <v>17.524592153612701</v>
      </c>
      <c r="BS29" s="1111">
        <f>SUMIFS(NewEmisData!K:K, NewEmisData!$A:$A, $G29, NewEmisData!$B:$B, $A29, NewEmisData!$C:$C, $H29, NewEmisData!$D:$D, BS$6)</f>
        <v>17.768817804957902</v>
      </c>
      <c r="BT29" s="1111">
        <f>SUMIFS(NewEmisData!L:L, NewEmisData!$A:$A, $G29, NewEmisData!$B:$B, $A29, NewEmisData!$C:$C, $H29, NewEmisData!$D:$D, BT$6)</f>
        <v>17.8951685945812</v>
      </c>
      <c r="BU29" s="1111">
        <f>SUMIFS(NewEmisData!M:M, NewEmisData!$A:$A, $G29, NewEmisData!$B:$B, $A29, NewEmisData!$C:$C, $H29, NewEmisData!$D:$D, BU$6)</f>
        <v>17.960459006708199</v>
      </c>
      <c r="BV29" s="1111">
        <f t="shared" si="83"/>
        <v>17.960459006708199</v>
      </c>
      <c r="BW29" s="1111">
        <f t="shared" si="77"/>
        <v>2.13040906292176</v>
      </c>
      <c r="BX29" s="1111">
        <f>SUMIFS(NewEmisData!E:E, NewEmisData!$A:$A, $G29, NewEmisData!$B:$B, $A29, NewEmisData!$C:$C, $H29, NewEmisData!$D:$D, BX$6)</f>
        <v>2.13040906292176</v>
      </c>
      <c r="BY29" s="1111">
        <f>SUMIFS(NewEmisData!F:F, NewEmisData!$A:$A, $G29, NewEmisData!$B:$B, $A29, NewEmisData!$C:$C, $H29, NewEmisData!$D:$D, BY$6)</f>
        <v>1.66747382008761</v>
      </c>
      <c r="BZ29" s="1111">
        <f>SUMIFS(NewEmisData!G:G, NewEmisData!$A:$A, $G29, NewEmisData!$B:$B, $A29, NewEmisData!$C:$C, $H29, NewEmisData!$D:$D, BZ$6)</f>
        <v>0.70330303970302899</v>
      </c>
      <c r="CA29" s="1111">
        <f>SUMIFS(NewEmisData!H:H, NewEmisData!$A:$A, $G29, NewEmisData!$B:$B, $A29, NewEmisData!$C:$C, $H29, NewEmisData!$D:$D, CA$6)</f>
        <v>0.53546087421873401</v>
      </c>
      <c r="CB29" s="1111">
        <f>SUMIFS(NewEmisData!I:I, NewEmisData!$A:$A, $G29, NewEmisData!$B:$B, $A29, NewEmisData!$C:$C, $H29, NewEmisData!$D:$D, CB$6)</f>
        <v>0.48025579187888601</v>
      </c>
      <c r="CC29" s="1111">
        <f>SUMIFS(NewEmisData!J:J, NewEmisData!$A:$A, $G29, NewEmisData!$B:$B, $A29, NewEmisData!$C:$C, $H29, NewEmisData!$D:$D, CC$6)</f>
        <v>0.45829574772287202</v>
      </c>
      <c r="CD29" s="1111">
        <f>SUMIFS(NewEmisData!K:K, NewEmisData!$A:$A, $G29, NewEmisData!$B:$B, $A29, NewEmisData!$C:$C, $H29, NewEmisData!$D:$D, CD$6)</f>
        <v>0.45669528314480901</v>
      </c>
      <c r="CE29" s="1111">
        <f>SUMIFS(NewEmisData!L:L, NewEmisData!$A:$A, $G29, NewEmisData!$B:$B, $A29, NewEmisData!$C:$C, $H29, NewEmisData!$D:$D, CE$6)</f>
        <v>0.45728549159308601</v>
      </c>
      <c r="CF29" s="1111">
        <f>SUMIFS(NewEmisData!M:M, NewEmisData!$A:$A, $G29, NewEmisData!$B:$B, $A29, NewEmisData!$C:$C, $H29, NewEmisData!$D:$D, CF$6)</f>
        <v>0.457470611587183</v>
      </c>
      <c r="CG29" s="1111">
        <f t="shared" si="78"/>
        <v>0.457470611587183</v>
      </c>
      <c r="CH29" s="1111">
        <f t="shared" si="79"/>
        <v>4.4380144922912999E-2</v>
      </c>
      <c r="CI29" s="1111">
        <f>SUMIFS(NewEmisData!E:E, NewEmisData!$A:$A, $G29, NewEmisData!$B:$B, $A29, NewEmisData!$C:$C, $H29, NewEmisData!$D:$D, CI$6)</f>
        <v>4.4380144922912999E-2</v>
      </c>
      <c r="CJ29" s="1111">
        <f>SUMIFS(NewEmisData!F:F, NewEmisData!$A:$A, $G29, NewEmisData!$B:$B, $A29, NewEmisData!$C:$C, $H29, NewEmisData!$D:$D, CJ$6)</f>
        <v>4.4596792152345799E-2</v>
      </c>
      <c r="CK29" s="1111">
        <f>SUMIFS(NewEmisData!G:G, NewEmisData!$A:$A, $G29, NewEmisData!$B:$B, $A29, NewEmisData!$C:$C, $H29, NewEmisData!$D:$D, CK$6)</f>
        <v>5.2215385084052102E-2</v>
      </c>
      <c r="CL29" s="1111">
        <f>SUMIFS(NewEmisData!H:H, NewEmisData!$A:$A, $G29, NewEmisData!$B:$B, $A29, NewEmisData!$C:$C, $H29, NewEmisData!$D:$D, CL$6)</f>
        <v>5.2195799002688101E-2</v>
      </c>
      <c r="CM29" s="1111">
        <f>SUMIFS(NewEmisData!I:I, NewEmisData!$A:$A, $G29, NewEmisData!$B:$B, $A29, NewEmisData!$C:$C, $H29, NewEmisData!$D:$D, CM$6)</f>
        <v>5.2195910515594697E-2</v>
      </c>
      <c r="CN29" s="1111">
        <f>SUMIFS(NewEmisData!J:J, NewEmisData!$A:$A, $G29, NewEmisData!$B:$B, $A29, NewEmisData!$C:$C, $H29, NewEmisData!$D:$D, CN$6)</f>
        <v>5.2195169525564397E-2</v>
      </c>
      <c r="CO29" s="1111">
        <f>SUMIFS(NewEmisData!K:K, NewEmisData!$A:$A, $G29, NewEmisData!$B:$B, $A29, NewEmisData!$C:$C, $H29, NewEmisData!$D:$D, CO$6)</f>
        <v>5.21950010452591E-2</v>
      </c>
      <c r="CP29" s="1111">
        <f>SUMIFS(NewEmisData!L:L, NewEmisData!$A:$A, $G29, NewEmisData!$B:$B, $A29, NewEmisData!$C:$C, $H29, NewEmisData!$D:$D, CP$6)</f>
        <v>5.2194984268704697E-2</v>
      </c>
      <c r="CQ29" s="1111">
        <f>SUMIFS(NewEmisData!M:M, NewEmisData!$A:$A, $G29, NewEmisData!$B:$B, $A29, NewEmisData!$C:$C, $H29, NewEmisData!$D:$D, CQ$6)</f>
        <v>5.2195021896544298E-2</v>
      </c>
      <c r="CR29" s="1111">
        <f t="shared" si="80"/>
        <v>5.2195021896544298E-2</v>
      </c>
      <c r="CS29" s="1111">
        <f t="shared" si="81"/>
        <v>7.6133150476987599E-2</v>
      </c>
      <c r="CT29" s="1111">
        <f>SUMIFS(NewEmisData!E:E, NewEmisData!$A:$A, $G29, NewEmisData!$B:$B, $A29, NewEmisData!$C:$C, $H29, NewEmisData!$D:$D, CT$6)</f>
        <v>7.6133150476987599E-2</v>
      </c>
      <c r="CU29" s="1111">
        <f>SUMIFS(NewEmisData!F:F, NewEmisData!$A:$A, $G29, NewEmisData!$B:$B, $A29, NewEmisData!$C:$C, $H29, NewEmisData!$D:$D, CU$6)</f>
        <v>5.1439402812130802E-2</v>
      </c>
      <c r="CV29" s="1111">
        <f>SUMIFS(NewEmisData!G:G, NewEmisData!$A:$A, $G29, NewEmisData!$B:$B, $A29, NewEmisData!$C:$C, $H29, NewEmisData!$D:$D, CV$6)</f>
        <v>3.2083061737757199E-2</v>
      </c>
      <c r="CW29" s="1111">
        <f>SUMIFS(NewEmisData!H:H, NewEmisData!$A:$A, $G29, NewEmisData!$B:$B, $A29, NewEmisData!$C:$C, $H29, NewEmisData!$D:$D, CW$6)</f>
        <v>2.1832894937405999E-2</v>
      </c>
      <c r="CX29" s="1111">
        <f>SUMIFS(NewEmisData!I:I, NewEmisData!$A:$A, $G29, NewEmisData!$B:$B, $A29, NewEmisData!$C:$C, $H29, NewEmisData!$D:$D, CX$6)</f>
        <v>1.87474521093988E-2</v>
      </c>
      <c r="CY29" s="1111">
        <f>SUMIFS(NewEmisData!J:J, NewEmisData!$A:$A, $G29, NewEmisData!$B:$B, $A29, NewEmisData!$C:$C, $H29, NewEmisData!$D:$D, CY$6)</f>
        <v>1.78599084478736E-2</v>
      </c>
      <c r="CZ29" s="1111">
        <f>SUMIFS(NewEmisData!K:K, NewEmisData!$A:$A, $G29, NewEmisData!$B:$B, $A29, NewEmisData!$C:$C, $H29, NewEmisData!$D:$D, CZ$6)</f>
        <v>1.7770003763788299E-2</v>
      </c>
      <c r="DA29" s="1111">
        <f>SUMIFS(NewEmisData!L:L, NewEmisData!$A:$A, $G29, NewEmisData!$B:$B, $A29, NewEmisData!$C:$C, $H29, NewEmisData!$D:$D, DA$6)</f>
        <v>1.7699213019639601E-2</v>
      </c>
      <c r="DB29" s="1111">
        <f>SUMIFS(NewEmisData!M:M, NewEmisData!$A:$A, $G29, NewEmisData!$B:$B, $A29, NewEmisData!$C:$C, $H29, NewEmisData!$D:$D, DB$6)</f>
        <v>1.7745127181989399E-2</v>
      </c>
      <c r="DC29" s="1111">
        <f t="shared" si="84"/>
        <v>1.7745127181989399E-2</v>
      </c>
      <c r="DD29" s="1111"/>
      <c r="DE29" s="1111"/>
      <c r="DF29" s="1111"/>
      <c r="DG29" s="1111"/>
      <c r="DH29" s="1111"/>
      <c r="DI29" s="1111"/>
      <c r="DJ29" s="1111"/>
      <c r="DK29" s="1111"/>
      <c r="DL29" s="1111"/>
      <c r="DM29" s="1111"/>
      <c r="DN29" s="1111"/>
      <c r="DO29" s="1111"/>
      <c r="DP29" s="1111"/>
      <c r="DQ29" s="1111"/>
      <c r="DR29" s="1111"/>
      <c r="DS29" s="1111"/>
      <c r="DT29" s="1111"/>
      <c r="DU29" s="1111"/>
      <c r="DV29" s="1111"/>
      <c r="DW29" s="1111"/>
      <c r="DX29" s="1111"/>
      <c r="DY29" s="1111"/>
      <c r="DZ29" s="1111">
        <f t="shared" si="85"/>
        <v>6.6239633822982896E-2</v>
      </c>
      <c r="EA29" s="1111">
        <f>SUMIFS(NewEmisData!E:E, NewEmisData!$A:$A, $G29, NewEmisData!$B:$B, $A29, NewEmisData!$C:$C, $H29, NewEmisData!$D:$D, EA$6)</f>
        <v>6.6239633822982896E-2</v>
      </c>
      <c r="EB29" s="1111">
        <f>SUMIFS(NewEmisData!F:F, NewEmisData!$A:$A, $G29, NewEmisData!$B:$B, $A29, NewEmisData!$C:$C, $H29, NewEmisData!$D:$D, EB$6)</f>
        <v>6.0237802679566702E-2</v>
      </c>
      <c r="EC29" s="1111">
        <f>SUMIFS(NewEmisData!G:G, NewEmisData!$A:$A, $G29, NewEmisData!$B:$B, $A29, NewEmisData!$C:$C, $H29, NewEmisData!$D:$D, EC$6)</f>
        <v>2.4353204424718701E-2</v>
      </c>
      <c r="ED29" s="1111">
        <f>SUMIFS(NewEmisData!H:H, NewEmisData!$A:$A, $G29, NewEmisData!$B:$B, $A29, NewEmisData!$C:$C, $H29, NewEmisData!$D:$D, ED$6)</f>
        <v>2.2100119730100499E-2</v>
      </c>
      <c r="EE29" s="1111">
        <f>SUMIFS(NewEmisData!I:I, NewEmisData!$A:$A, $G29, NewEmisData!$B:$B, $A29, NewEmisData!$C:$C, $H29, NewEmisData!$D:$D, EE$6)</f>
        <v>2.1582561219103999E-2</v>
      </c>
      <c r="EF29" s="1111">
        <f>SUMIFS(NewEmisData!J:J, NewEmisData!$A:$A, $G29, NewEmisData!$B:$B, $A29, NewEmisData!$C:$C, $H29, NewEmisData!$D:$D, EF$6)</f>
        <v>2.1614176302122898E-2</v>
      </c>
      <c r="EG29" s="1111">
        <f>SUMIFS(NewEmisData!K:K, NewEmisData!$A:$A, $G29, NewEmisData!$B:$B, $A29, NewEmisData!$C:$C, $H29, NewEmisData!$D:$D, EG$6)</f>
        <v>2.1778598474770299E-2</v>
      </c>
      <c r="EH29" s="1111">
        <f>SUMIFS(NewEmisData!L:L, NewEmisData!$A:$A, $G29, NewEmisData!$B:$B, $A29, NewEmisData!$C:$C, $H29, NewEmisData!$D:$D, EH$6)</f>
        <v>2.1823465682415499E-2</v>
      </c>
      <c r="EI29" s="1111">
        <f>SUMIFS(NewEmisData!M:M, NewEmisData!$A:$A, $G29, NewEmisData!$B:$B, $A29, NewEmisData!$C:$C, $H29, NewEmisData!$D:$D, EI$6)</f>
        <v>2.1824961400636101E-2</v>
      </c>
      <c r="EJ29" s="1111">
        <f t="shared" si="86"/>
        <v>2.1824961400636101E-2</v>
      </c>
      <c r="EK29" s="1111">
        <f t="shared" si="87"/>
        <v>1204.2704996203399</v>
      </c>
      <c r="EL29" s="1111">
        <f t="shared" si="48"/>
        <v>1204.2704996203399</v>
      </c>
      <c r="EM29" s="1111">
        <f t="shared" si="49"/>
        <v>1280.9014839137801</v>
      </c>
      <c r="EN29" s="1111">
        <f t="shared" si="50"/>
        <v>1309.1277572440899</v>
      </c>
      <c r="EO29" s="1111">
        <f t="shared" si="51"/>
        <v>1277.5848439676099</v>
      </c>
      <c r="EP29" s="1111">
        <f t="shared" si="52"/>
        <v>1259.05503169493</v>
      </c>
      <c r="EQ29" s="1111">
        <f t="shared" si="53"/>
        <v>1254.08723086747</v>
      </c>
      <c r="ER29" s="1111">
        <f t="shared" si="54"/>
        <v>1252.90461894546</v>
      </c>
      <c r="ES29" s="1111">
        <f t="shared" si="55"/>
        <v>1252.7104430173399</v>
      </c>
      <c r="ET29" s="1111">
        <f t="shared" si="56"/>
        <v>1252.6870397442001</v>
      </c>
      <c r="EU29" s="1111">
        <f t="shared" si="57"/>
        <v>1252.6870397442001</v>
      </c>
      <c r="EV29" s="1111">
        <f t="shared" si="88"/>
        <v>4.3448715610080901</v>
      </c>
      <c r="EW29" s="1111">
        <f t="shared" si="38"/>
        <v>4.3448715610080901</v>
      </c>
      <c r="EX29" s="1111">
        <f t="shared" si="39"/>
        <v>2.68000771941229</v>
      </c>
      <c r="EY29" s="1111">
        <f t="shared" si="40"/>
        <v>1.2701406141530101</v>
      </c>
      <c r="EZ29" s="1111">
        <f t="shared" si="41"/>
        <v>0.89637025450783203</v>
      </c>
      <c r="FA29" s="1111">
        <f t="shared" si="42"/>
        <v>0.74230586472414295</v>
      </c>
      <c r="FB29" s="1111">
        <f t="shared" si="43"/>
        <v>0.67198096175904998</v>
      </c>
      <c r="FC29" s="1111">
        <f t="shared" si="44"/>
        <v>0.65082523068374698</v>
      </c>
      <c r="FD29" s="1111">
        <f t="shared" si="45"/>
        <v>0.64636795436825401</v>
      </c>
      <c r="FE29" s="1111">
        <f t="shared" si="46"/>
        <v>0.64488416341078902</v>
      </c>
      <c r="FF29" s="1111">
        <f t="shared" si="47"/>
        <v>0.64488416341078902</v>
      </c>
      <c r="FG29" s="1111">
        <f t="shared" si="89"/>
        <v>2.08381055217347E-2</v>
      </c>
      <c r="FH29" s="1111">
        <f t="shared" si="90"/>
        <v>2.08381055217347E-2</v>
      </c>
      <c r="FI29" s="1111">
        <f t="shared" si="91"/>
        <v>2.2164087103621902E-2</v>
      </c>
      <c r="FJ29" s="1111">
        <f t="shared" si="92"/>
        <v>1.8780122769194701E-2</v>
      </c>
      <c r="FK29" s="1111">
        <f t="shared" si="93"/>
        <v>1.8327610114874E-2</v>
      </c>
      <c r="FL29" s="1111">
        <f t="shared" si="94"/>
        <v>1.8061800865337901E-2</v>
      </c>
      <c r="FM29" s="1111">
        <f t="shared" si="95"/>
        <v>1.79905289884639E-2</v>
      </c>
      <c r="FN29" s="1111">
        <f t="shared" si="96"/>
        <v>1.7973564507445701E-2</v>
      </c>
      <c r="FO29" s="1111">
        <f t="shared" si="97"/>
        <v>1.7970784643505301E-2</v>
      </c>
      <c r="FP29" s="1111">
        <f t="shared" si="98"/>
        <v>1.7970446963254401E-2</v>
      </c>
      <c r="FQ29" s="1111">
        <f t="shared" si="99"/>
        <v>1.7970446963254401E-2</v>
      </c>
      <c r="FR29" s="1111">
        <f t="shared" si="25"/>
        <v>0.19574828311834699</v>
      </c>
      <c r="FS29" s="1111">
        <f t="shared" si="26"/>
        <v>0.19574828311834699</v>
      </c>
      <c r="FT29" s="1111">
        <f t="shared" si="27"/>
        <v>0.191259101148397</v>
      </c>
      <c r="FU29" s="1111">
        <f t="shared" si="28"/>
        <v>0.21457849181088401</v>
      </c>
      <c r="FV29" s="1111">
        <f t="shared" si="29"/>
        <v>0.215053494777702</v>
      </c>
      <c r="FW29" s="1111">
        <f t="shared" si="30"/>
        <v>0.21551298465650401</v>
      </c>
      <c r="FX29" s="1111">
        <f t="shared" si="31"/>
        <v>0.215835472913527</v>
      </c>
      <c r="FY29" s="1111">
        <f t="shared" si="32"/>
        <v>0.21602305396888299</v>
      </c>
      <c r="FZ29" s="1111">
        <f t="shared" si="33"/>
        <v>0.21608589786817001</v>
      </c>
      <c r="GA29" s="1111">
        <f t="shared" si="34"/>
        <v>0.216113244270948</v>
      </c>
      <c r="GB29" s="1111">
        <f t="shared" si="35"/>
        <v>0.216113244270948</v>
      </c>
      <c r="GC29" s="1111">
        <f t="shared" si="59"/>
        <v>4.1988899098410401E-2</v>
      </c>
      <c r="GD29" s="1111">
        <f t="shared" si="60"/>
        <v>4.1988899098410401E-2</v>
      </c>
      <c r="GE29" s="1111">
        <f t="shared" si="61"/>
        <v>4.04221270662211E-2</v>
      </c>
      <c r="GF29" s="1111">
        <f t="shared" si="62"/>
        <v>3.5246180151429399E-2</v>
      </c>
      <c r="GG29" s="1111">
        <f t="shared" si="63"/>
        <v>3.4950821311789601E-2</v>
      </c>
      <c r="GH29" s="1111">
        <f t="shared" si="64"/>
        <v>3.5285067945859602E-2</v>
      </c>
      <c r="GI29" s="1111">
        <f t="shared" si="65"/>
        <v>3.55346528981796E-2</v>
      </c>
      <c r="GJ29" s="1111">
        <f t="shared" si="66"/>
        <v>3.5692682330647998E-2</v>
      </c>
      <c r="GK29" s="1111">
        <f t="shared" si="67"/>
        <v>3.57464219039118E-2</v>
      </c>
      <c r="GL29" s="1111">
        <f t="shared" si="68"/>
        <v>3.5770424866643502E-2</v>
      </c>
      <c r="GM29" s="1111">
        <f t="shared" si="69"/>
        <v>3.5770424866643502E-2</v>
      </c>
    </row>
    <row r="30" spans="1:195" x14ac:dyDescent="0.2">
      <c r="A30" s="1071" t="s">
        <v>182</v>
      </c>
      <c r="B30" s="1071" t="str">
        <f>Technologies!C111</f>
        <v>TMDSLE</v>
      </c>
      <c r="C30" s="1071" t="str">
        <f>Technologies!D111</f>
        <v>Medium Duty Truck, Existing Diesel</v>
      </c>
      <c r="D30" s="1071" t="str">
        <f>TechData!D18</f>
        <v>bn-vmt, bn-vmt/a</v>
      </c>
      <c r="E30" s="1071" t="str">
        <f>TechData!E19</f>
        <v>TMDSL</v>
      </c>
      <c r="F30" s="1071" t="str">
        <f>TechData!F19</f>
        <v>TM</v>
      </c>
      <c r="G30" s="1110" t="s">
        <v>503</v>
      </c>
      <c r="H30" s="1111" t="s">
        <v>499</v>
      </c>
      <c r="I30" s="1112">
        <v>1</v>
      </c>
      <c r="J30" s="1111" t="str">
        <f t="shared" si="37"/>
        <v>Medium duty-DSL</v>
      </c>
      <c r="K30" s="1111">
        <f>SUMIFS(NewEmisData!E:E, NewEmisData!$A:$A, $G30, NewEmisData!$B:$B, $A30, NewEmisData!$C:$C, $H30, NewEmisData!$D:$D, K$6)</f>
        <v>1391.2693302299499</v>
      </c>
      <c r="L30" s="1111">
        <f>SUMIFS(NewEmisData!F:F, NewEmisData!$A:$A, $G30, NewEmisData!$B:$B, $A30, NewEmisData!$C:$C, $H30, NewEmisData!$D:$D, L$6)</f>
        <v>1387.81700695984</v>
      </c>
      <c r="M30" s="1111">
        <f>SUMIFS(NewEmisData!G:G, NewEmisData!$A:$A, $G30, NewEmisData!$B:$B, $A30, NewEmisData!$C:$C, $H30, NewEmisData!$D:$D, M$6)</f>
        <v>1800.2870719201501</v>
      </c>
      <c r="N30" s="1111">
        <f>SUMIFS(NewEmisData!H:H, NewEmisData!$A:$A, $G30, NewEmisData!$B:$B, $A30, NewEmisData!$C:$C, $H30, NewEmisData!$D:$D, N$6)</f>
        <v>1737.4132368119399</v>
      </c>
      <c r="O30" s="1111">
        <f>SUMIFS(NewEmisData!I:I, NewEmisData!$A:$A, $G30, NewEmisData!$B:$B, $A30, NewEmisData!$C:$C, $H30, NewEmisData!$D:$D, O$6)</f>
        <v>1684.8867050016099</v>
      </c>
      <c r="P30" s="1111">
        <f>SUMIFS(NewEmisData!J:J, NewEmisData!$A:$A, $G30, NewEmisData!$B:$B, $A30, NewEmisData!$C:$C, $H30, NewEmisData!$D:$D, P$6)</f>
        <v>1667.30888418872</v>
      </c>
      <c r="Q30" s="1111">
        <f>SUMIFS(NewEmisData!K:K, NewEmisData!$A:$A, $G30, NewEmisData!$B:$B, $A30, NewEmisData!$C:$C, $H30, NewEmisData!$D:$D, Q$6)</f>
        <v>1662.1204635085701</v>
      </c>
      <c r="R30" s="1111">
        <f>SUMIFS(NewEmisData!L:L, NewEmisData!$A:$A, $G30, NewEmisData!$B:$B, $A30, NewEmisData!$C:$C, $H30, NewEmisData!$D:$D, R$6)</f>
        <v>1660.97957279301</v>
      </c>
      <c r="S30" s="1111">
        <f>SUMIFS(NewEmisData!M:M, NewEmisData!$A:$A, $G30, NewEmisData!$B:$B, $A30, NewEmisData!$C:$C, $H30, NewEmisData!$D:$D, S$6)</f>
        <v>1660.69684286644</v>
      </c>
      <c r="T30" s="1111">
        <f t="shared" si="17"/>
        <v>1660.69684286644</v>
      </c>
      <c r="U30" s="1111">
        <f>SUMIFS(NewEmisData!E:E, NewEmisData!$A:$A, $G30, NewEmisData!$B:$B, $A30, NewEmisData!$C:$C, $H30, NewEmisData!$D:$D, U$6)</f>
        <v>9.0067562467577496</v>
      </c>
      <c r="V30" s="1111">
        <f>SUMIFS(NewEmisData!F:F, NewEmisData!$A:$A, $G30, NewEmisData!$B:$B, $A30, NewEmisData!$C:$C, $H30, NewEmisData!$D:$D, V$6)</f>
        <v>4.6343833495392097</v>
      </c>
      <c r="W30" s="1111">
        <f>SUMIFS(NewEmisData!G:G, NewEmisData!$A:$A, $G30, NewEmisData!$B:$B, $A30, NewEmisData!$C:$C, $H30, NewEmisData!$D:$D, W$6)</f>
        <v>3.60142958602064</v>
      </c>
      <c r="X30" s="1111">
        <f>SUMIFS(NewEmisData!H:H, NewEmisData!$A:$A, $G30, NewEmisData!$B:$B, $A30, NewEmisData!$C:$C, $H30, NewEmisData!$D:$D, X$6)</f>
        <v>2.1043869634005898</v>
      </c>
      <c r="Y30" s="1111">
        <f>SUMIFS(NewEmisData!I:I, NewEmisData!$A:$A, $G30, NewEmisData!$B:$B, $A30, NewEmisData!$C:$C, $H30, NewEmisData!$D:$D, Y$6)</f>
        <v>1.48367214909245</v>
      </c>
      <c r="Z30" s="1111">
        <f>SUMIFS(NewEmisData!J:J, NewEmisData!$A:$A, $G30, NewEmisData!$B:$B, $A30, NewEmisData!$C:$C, $H30, NewEmisData!$D:$D, Z$6)</f>
        <v>1.28531680721516</v>
      </c>
      <c r="AA30" s="1111">
        <f>SUMIFS(NewEmisData!K:K, NewEmisData!$A:$A, $G30, NewEmisData!$B:$B, $A30, NewEmisData!$C:$C, $H30, NewEmisData!$D:$D, AA$6)</f>
        <v>1.2244614015544699</v>
      </c>
      <c r="AB30" s="1111">
        <f>SUMIFS(NewEmisData!L:L, NewEmisData!$A:$A, $G30, NewEmisData!$B:$B, $A30, NewEmisData!$C:$C, $H30, NewEmisData!$D:$D, AB$6)</f>
        <v>1.2160626918277799</v>
      </c>
      <c r="AC30" s="1111">
        <f>SUMIFS(NewEmisData!M:M, NewEmisData!$A:$A, $G30, NewEmisData!$B:$B, $A30, NewEmisData!$C:$C, $H30, NewEmisData!$D:$D, AC$6)</f>
        <v>1.2135584327019699</v>
      </c>
      <c r="AD30" s="1111">
        <f t="shared" si="18"/>
        <v>1.2135584327019699</v>
      </c>
      <c r="AE30" s="1111">
        <f t="shared" si="70"/>
        <v>3.4517378580972299E-2</v>
      </c>
      <c r="AF30" s="1111">
        <f>SUMIFS(NewEmisData!E:E, NewEmisData!$A:$A, $G30, NewEmisData!$B:$B, $A30, NewEmisData!$C:$C, $H30, NewEmisData!$D:$D, AF$6)</f>
        <v>3.4517378580972299E-2</v>
      </c>
      <c r="AG30" s="1111">
        <f>SUMIFS(NewEmisData!F:F, NewEmisData!$A:$A, $G30, NewEmisData!$B:$B, $A30, NewEmisData!$C:$C, $H30, NewEmisData!$D:$D, AG$6)</f>
        <v>3.32138510088891E-2</v>
      </c>
      <c r="AH30" s="1111">
        <f>SUMIFS(NewEmisData!G:G, NewEmisData!$A:$A, $G30, NewEmisData!$B:$B, $A30, NewEmisData!$C:$C, $H30, NewEmisData!$D:$D, AH$6)</f>
        <v>1.51370239918269E-2</v>
      </c>
      <c r="AI30" s="1111">
        <f>SUMIFS(NewEmisData!H:H, NewEmisData!$A:$A, $G30, NewEmisData!$B:$B, $A30, NewEmisData!$C:$C, $H30, NewEmisData!$D:$D, AI$6)</f>
        <v>1.4522910664903899E-2</v>
      </c>
      <c r="AJ30" s="1111">
        <f>SUMIFS(NewEmisData!I:I, NewEmisData!$A:$A, $G30, NewEmisData!$B:$B, $A30, NewEmisData!$C:$C, $H30, NewEmisData!$D:$D, AJ$6)</f>
        <v>1.4055280493155501E-2</v>
      </c>
      <c r="AK30" s="1111">
        <f>SUMIFS(NewEmisData!J:J, NewEmisData!$A:$A, $G30, NewEmisData!$B:$B, $A30, NewEmisData!$C:$C, $H30, NewEmisData!$D:$D, AK$6)</f>
        <v>1.39025233464321E-2</v>
      </c>
      <c r="AL30" s="1111">
        <f>SUMIFS(NewEmisData!K:K, NewEmisData!$A:$A, $G30, NewEmisData!$B:$B, $A30, NewEmisData!$C:$C, $H30, NewEmisData!$D:$D, AL$6)</f>
        <v>1.3857298595630599E-2</v>
      </c>
      <c r="AM30" s="1111">
        <f>SUMIFS(NewEmisData!L:L, NewEmisData!$A:$A, $G30, NewEmisData!$B:$B, $A30, NewEmisData!$C:$C, $H30, NewEmisData!$D:$D, AM$6)</f>
        <v>1.3847788543629599E-2</v>
      </c>
      <c r="AN30" s="1111">
        <f>SUMIFS(NewEmisData!M:M, NewEmisData!$A:$A, $G30, NewEmisData!$B:$B, $A30, NewEmisData!$C:$C, $H30, NewEmisData!$D:$D, AN$6)</f>
        <v>1.38454338903831E-2</v>
      </c>
      <c r="AO30" s="1111">
        <f t="shared" si="71"/>
        <v>1.38454338903831E-2</v>
      </c>
      <c r="AP30" s="1111">
        <f t="shared" si="72"/>
        <v>0.88280589948548305</v>
      </c>
      <c r="AQ30" s="1111">
        <f>SUMIFS(NewEmisData!E:E, NewEmisData!$A:$A, $G30, NewEmisData!$B:$B, $A30, NewEmisData!$C:$C, $H30, NewEmisData!$D:$D, AQ$6)</f>
        <v>0.88280589948548305</v>
      </c>
      <c r="AR30" s="1111">
        <f>SUMIFS(NewEmisData!F:F, NewEmisData!$A:$A, $G30, NewEmisData!$B:$B, $A30, NewEmisData!$C:$C, $H30, NewEmisData!$D:$D, AR$6)</f>
        <v>0.45831592934321902</v>
      </c>
      <c r="AS30" s="1111">
        <f>SUMIFS(NewEmisData!G:G, NewEmisData!$A:$A, $G30, NewEmisData!$B:$B, $A30, NewEmisData!$C:$C, $H30, NewEmisData!$D:$D, AS$6)</f>
        <v>0.43734131963468098</v>
      </c>
      <c r="AT30" s="1111">
        <f>SUMIFS(NewEmisData!H:H, NewEmisData!$A:$A, $G30, NewEmisData!$B:$B, $A30, NewEmisData!$C:$C, $H30, NewEmisData!$D:$D, AT$6)</f>
        <v>0.34967637389988199</v>
      </c>
      <c r="AU30" s="1111">
        <f>SUMIFS(NewEmisData!I:I, NewEmisData!$A:$A, $G30, NewEmisData!$B:$B, $A30, NewEmisData!$C:$C, $H30, NewEmisData!$D:$D, AU$6)</f>
        <v>0.31983162808126298</v>
      </c>
      <c r="AV30" s="1111">
        <f>SUMIFS(NewEmisData!J:J, NewEmisData!$A:$A, $G30, NewEmisData!$B:$B, $A30, NewEmisData!$C:$C, $H30, NewEmisData!$D:$D, AV$6)</f>
        <v>0.31421718315917302</v>
      </c>
      <c r="AW30" s="1111">
        <f>SUMIFS(NewEmisData!K:K, NewEmisData!$A:$A, $G30, NewEmisData!$B:$B, $A30, NewEmisData!$C:$C, $H30, NewEmisData!$D:$D, AW$6)</f>
        <v>0.31256016773955603</v>
      </c>
      <c r="AX30" s="1111">
        <f>SUMIFS(NewEmisData!L:L, NewEmisData!$A:$A, $G30, NewEmisData!$B:$B, $A30, NewEmisData!$C:$C, $H30, NewEmisData!$D:$D, AX$6)</f>
        <v>0.31254542006524799</v>
      </c>
      <c r="AY30" s="1111">
        <f>SUMIFS(NewEmisData!M:M, NewEmisData!$A:$A, $G30, NewEmisData!$B:$B, $A30, NewEmisData!$C:$C, $H30, NewEmisData!$D:$D, AY$6)</f>
        <v>0.31254401073163601</v>
      </c>
      <c r="AZ30" s="1111">
        <f t="shared" si="73"/>
        <v>0.31254401073163601</v>
      </c>
      <c r="BA30" s="1111">
        <f t="shared" si="74"/>
        <v>0.66102414887226102</v>
      </c>
      <c r="BB30" s="1111">
        <f>SUMIFS(NewEmisData!E:E, NewEmisData!$A:$A, $G30, NewEmisData!$B:$B, $A30, NewEmisData!$C:$C, $H30, NewEmisData!$D:$D, BB$6)</f>
        <v>0.66102414887226102</v>
      </c>
      <c r="BC30" s="1111">
        <f>SUMIFS(NewEmisData!F:F, NewEmisData!$A:$A, $G30, NewEmisData!$B:$B, $A30, NewEmisData!$C:$C, $H30, NewEmisData!$D:$D, BC$6)</f>
        <v>0.27087694461251399</v>
      </c>
      <c r="BD30" s="1111">
        <f>SUMIFS(NewEmisData!G:G, NewEmisData!$A:$A, $G30, NewEmisData!$B:$B, $A30, NewEmisData!$C:$C, $H30, NewEmisData!$D:$D, BD$6)</f>
        <v>0.174468170082518</v>
      </c>
      <c r="BE30" s="1111">
        <f>SUMIFS(NewEmisData!H:H, NewEmisData!$A:$A, $G30, NewEmisData!$B:$B, $A30, NewEmisData!$C:$C, $H30, NewEmisData!$D:$D, BE$6)</f>
        <v>9.4926362989927404E-2</v>
      </c>
      <c r="BF30" s="1111">
        <f>SUMIFS(NewEmisData!I:I, NewEmisData!$A:$A, $G30, NewEmisData!$B:$B, $A30, NewEmisData!$C:$C, $H30, NewEmisData!$D:$D, BF$6)</f>
        <v>6.7801817056445293E-2</v>
      </c>
      <c r="BG30" s="1111">
        <f>SUMIFS(NewEmisData!J:J, NewEmisData!$A:$A, $G30, NewEmisData!$B:$B, $A30, NewEmisData!$C:$C, $H30, NewEmisData!$D:$D, BG$6)</f>
        <v>6.2731413619129706E-2</v>
      </c>
      <c r="BH30" s="1111">
        <f>SUMIFS(NewEmisData!K:K, NewEmisData!$A:$A, $G30, NewEmisData!$B:$B, $A30, NewEmisData!$C:$C, $H30, NewEmisData!$D:$D, BH$6)</f>
        <v>6.1230033876524703E-2</v>
      </c>
      <c r="BI30" s="1111">
        <f>SUMIFS(NewEmisData!L:L, NewEmisData!$A:$A, $G30, NewEmisData!$B:$B, $A30, NewEmisData!$C:$C, $H30, NewEmisData!$D:$D, BI$6)</f>
        <v>6.1220848871463299E-2</v>
      </c>
      <c r="BJ30" s="1111">
        <f>SUMIFS(NewEmisData!M:M, NewEmisData!$A:$A, $G30, NewEmisData!$B:$B, $A30, NewEmisData!$C:$C, $H30, NewEmisData!$D:$D, BJ$6)</f>
        <v>6.1219393619074997E-2</v>
      </c>
      <c r="BK30" s="1111">
        <f t="shared" si="75"/>
        <v>6.1219393619074997E-2</v>
      </c>
      <c r="BL30" s="1111">
        <f t="shared" si="76"/>
        <v>4.1982176614759501</v>
      </c>
      <c r="BM30" s="1111">
        <f>SUMIFS(NewEmisData!E:E, NewEmisData!$A:$A, $G30, NewEmisData!$B:$B, $A30, NewEmisData!$C:$C, $H30, NewEmisData!$D:$D, BM$6)</f>
        <v>4.1982176614759501</v>
      </c>
      <c r="BN30" s="1111">
        <f>SUMIFS(NewEmisData!F:F, NewEmisData!$A:$A, $G30, NewEmisData!$B:$B, $A30, NewEmisData!$C:$C, $H30, NewEmisData!$D:$D, BN$6)</f>
        <v>1.9296051000849399</v>
      </c>
      <c r="BO30" s="1111">
        <f>SUMIFS(NewEmisData!G:G, NewEmisData!$A:$A, $G30, NewEmisData!$B:$B, $A30, NewEmisData!$C:$C, $H30, NewEmisData!$D:$D, BO$6)</f>
        <v>1.40672397416939</v>
      </c>
      <c r="BP30" s="1111">
        <f>SUMIFS(NewEmisData!H:H, NewEmisData!$A:$A, $G30, NewEmisData!$B:$B, $A30, NewEmisData!$C:$C, $H30, NewEmisData!$D:$D, BP$6)</f>
        <v>0.88467467852096004</v>
      </c>
      <c r="BQ30" s="1111">
        <f>SUMIFS(NewEmisData!I:I, NewEmisData!$A:$A, $G30, NewEmisData!$B:$B, $A30, NewEmisData!$C:$C, $H30, NewEmisData!$D:$D, BQ$6)</f>
        <v>0.71808621559357599</v>
      </c>
      <c r="BR30" s="1111">
        <f>SUMIFS(NewEmisData!J:J, NewEmisData!$A:$A, $G30, NewEmisData!$B:$B, $A30, NewEmisData!$C:$C, $H30, NewEmisData!$D:$D, BR$6)</f>
        <v>0.67933532556158505</v>
      </c>
      <c r="BS30" s="1111">
        <f>SUMIFS(NewEmisData!K:K, NewEmisData!$A:$A, $G30, NewEmisData!$B:$B, $A30, NewEmisData!$C:$C, $H30, NewEmisData!$D:$D, BS$6)</f>
        <v>0.66869245935522403</v>
      </c>
      <c r="BT30" s="1111">
        <f>SUMIFS(NewEmisData!L:L, NewEmisData!$A:$A, $G30, NewEmisData!$B:$B, $A30, NewEmisData!$C:$C, $H30, NewEmisData!$D:$D, BT$6)</f>
        <v>0.66846478756515504</v>
      </c>
      <c r="BU30" s="1111">
        <f>SUMIFS(NewEmisData!M:M, NewEmisData!$A:$A, $G30, NewEmisData!$B:$B, $A30, NewEmisData!$C:$C, $H30, NewEmisData!$D:$D, BU$6)</f>
        <v>0.66834592579461805</v>
      </c>
      <c r="BV30" s="1111">
        <f t="shared" si="83"/>
        <v>0.66834592579461805</v>
      </c>
      <c r="BW30" s="1111">
        <f t="shared" si="77"/>
        <v>1.6997416060402699</v>
      </c>
      <c r="BX30" s="1111">
        <f>SUMIFS(NewEmisData!E:E, NewEmisData!$A:$A, $G30, NewEmisData!$B:$B, $A30, NewEmisData!$C:$C, $H30, NewEmisData!$D:$D, BX$6)</f>
        <v>1.6997416060402699</v>
      </c>
      <c r="BY30" s="1111">
        <f>SUMIFS(NewEmisData!F:F, NewEmisData!$A:$A, $G30, NewEmisData!$B:$B, $A30, NewEmisData!$C:$C, $H30, NewEmisData!$D:$D, BY$6)</f>
        <v>0.68631415040974197</v>
      </c>
      <c r="BZ30" s="1111">
        <f>SUMIFS(NewEmisData!G:G, NewEmisData!$A:$A, $G30, NewEmisData!$B:$B, $A30, NewEmisData!$C:$C, $H30, NewEmisData!$D:$D, BZ$6)</f>
        <v>0.48115827096559399</v>
      </c>
      <c r="CA30" s="1111">
        <f>SUMIFS(NewEmisData!H:H, NewEmisData!$A:$A, $G30, NewEmisData!$B:$B, $A30, NewEmisData!$C:$C, $H30, NewEmisData!$D:$D, CA$6)</f>
        <v>0.25065156408387401</v>
      </c>
      <c r="CB30" s="1111">
        <f>SUMIFS(NewEmisData!I:I, NewEmisData!$A:$A, $G30, NewEmisData!$B:$B, $A30, NewEmisData!$C:$C, $H30, NewEmisData!$D:$D, CB$6)</f>
        <v>0.17921885955178801</v>
      </c>
      <c r="CC30" s="1111">
        <f>SUMIFS(NewEmisData!J:J, NewEmisData!$A:$A, $G30, NewEmisData!$B:$B, $A30, NewEmisData!$C:$C, $H30, NewEmisData!$D:$D, CC$6)</f>
        <v>0.16195369632512899</v>
      </c>
      <c r="CD30" s="1111">
        <f>SUMIFS(NewEmisData!K:K, NewEmisData!$A:$A, $G30, NewEmisData!$B:$B, $A30, NewEmisData!$C:$C, $H30, NewEmisData!$D:$D, CD$6)</f>
        <v>0.15740433242174701</v>
      </c>
      <c r="CE30" s="1111">
        <f>SUMIFS(NewEmisData!L:L, NewEmisData!$A:$A, $G30, NewEmisData!$B:$B, $A30, NewEmisData!$C:$C, $H30, NewEmisData!$D:$D, CE$6)</f>
        <v>0.157307785457242</v>
      </c>
      <c r="CF30" s="1111">
        <f>SUMIFS(NewEmisData!M:M, NewEmisData!$A:$A, $G30, NewEmisData!$B:$B, $A30, NewEmisData!$C:$C, $H30, NewEmisData!$D:$D, CF$6)</f>
        <v>0.15725203081084399</v>
      </c>
      <c r="CG30" s="1111">
        <f t="shared" si="78"/>
        <v>0.15725203081084399</v>
      </c>
      <c r="CH30" s="1111">
        <f t="shared" si="79"/>
        <v>2.7231476481759501E-2</v>
      </c>
      <c r="CI30" s="1111">
        <f>SUMIFS(NewEmisData!E:E, NewEmisData!$A:$A, $G30, NewEmisData!$B:$B, $A30, NewEmisData!$C:$C, $H30, NewEmisData!$D:$D, CI$6)</f>
        <v>2.7231476481759501E-2</v>
      </c>
      <c r="CJ30" s="1111">
        <f>SUMIFS(NewEmisData!F:F, NewEmisData!$A:$A, $G30, NewEmisData!$B:$B, $A30, NewEmisData!$C:$C, $H30, NewEmisData!$D:$D, CJ$6)</f>
        <v>2.7231505502351299E-2</v>
      </c>
      <c r="CK30" s="1111">
        <f>SUMIFS(NewEmisData!G:G, NewEmisData!$A:$A, $G30, NewEmisData!$B:$B, $A30, NewEmisData!$C:$C, $H30, NewEmisData!$D:$D, CK$6)</f>
        <v>3.75087111104635E-2</v>
      </c>
      <c r="CL30" s="1111">
        <f>SUMIFS(NewEmisData!H:H, NewEmisData!$A:$A, $G30, NewEmisData!$B:$B, $A30, NewEmisData!$C:$C, $H30, NewEmisData!$D:$D, CL$6)</f>
        <v>3.7508856064657703E-2</v>
      </c>
      <c r="CM30" s="1111">
        <f>SUMIFS(NewEmisData!I:I, NewEmisData!$A:$A, $G30, NewEmisData!$B:$B, $A30, NewEmisData!$C:$C, $H30, NewEmisData!$D:$D, CM$6)</f>
        <v>3.7508894115090098E-2</v>
      </c>
      <c r="CN30" s="1111">
        <f>SUMIFS(NewEmisData!J:J, NewEmisData!$A:$A, $G30, NewEmisData!$B:$B, $A30, NewEmisData!$C:$C, $H30, NewEmisData!$D:$D, CN$6)</f>
        <v>3.75089026268779E-2</v>
      </c>
      <c r="CO30" s="1111">
        <f>SUMIFS(NewEmisData!K:K, NewEmisData!$A:$A, $G30, NewEmisData!$B:$B, $A30, NewEmisData!$C:$C, $H30, NewEmisData!$D:$D, CO$6)</f>
        <v>3.7508908078082499E-2</v>
      </c>
      <c r="CP30" s="1111">
        <f>SUMIFS(NewEmisData!L:L, NewEmisData!$A:$A, $G30, NewEmisData!$B:$B, $A30, NewEmisData!$C:$C, $H30, NewEmisData!$D:$D, CP$6)</f>
        <v>3.7508933890185198E-2</v>
      </c>
      <c r="CQ30" s="1111">
        <f>SUMIFS(NewEmisData!M:M, NewEmisData!$A:$A, $G30, NewEmisData!$B:$B, $A30, NewEmisData!$C:$C, $H30, NewEmisData!$D:$D, CQ$6)</f>
        <v>3.7508933881412299E-2</v>
      </c>
      <c r="CR30" s="1111">
        <f t="shared" si="80"/>
        <v>3.7508933881412299E-2</v>
      </c>
      <c r="CS30" s="1111">
        <f t="shared" si="81"/>
        <v>4.4439718651325903E-3</v>
      </c>
      <c r="CT30" s="1111">
        <f>SUMIFS(NewEmisData!E:E, NewEmisData!$A:$A, $G30, NewEmisData!$B:$B, $A30, NewEmisData!$C:$C, $H30, NewEmisData!$D:$D, CT$6)</f>
        <v>4.4439718651325903E-3</v>
      </c>
      <c r="CU30" s="1111">
        <f>SUMIFS(NewEmisData!F:F, NewEmisData!$A:$A, $G30, NewEmisData!$B:$B, $A30, NewEmisData!$C:$C, $H30, NewEmisData!$D:$D, CU$6)</f>
        <v>4.4840826707910003E-3</v>
      </c>
      <c r="CV30" s="1111">
        <f>SUMIFS(NewEmisData!G:G, NewEmisData!$A:$A, $G30, NewEmisData!$B:$B, $A30, NewEmisData!$C:$C, $H30, NewEmisData!$D:$D, CV$6)</f>
        <v>7.1142816082060099E-3</v>
      </c>
      <c r="CW30" s="1111">
        <f>SUMIFS(NewEmisData!H:H, NewEmisData!$A:$A, $G30, NewEmisData!$B:$B, $A30, NewEmisData!$C:$C, $H30, NewEmisData!$D:$D, CW$6)</f>
        <v>7.1281607170090603E-3</v>
      </c>
      <c r="CX30" s="1111">
        <f>SUMIFS(NewEmisData!I:I, NewEmisData!$A:$A, $G30, NewEmisData!$B:$B, $A30, NewEmisData!$C:$C, $H30, NewEmisData!$D:$D, CX$6)</f>
        <v>7.1288471049868697E-3</v>
      </c>
      <c r="CY30" s="1111">
        <f>SUMIFS(NewEmisData!J:J, NewEmisData!$A:$A, $G30, NewEmisData!$B:$B, $A30, NewEmisData!$C:$C, $H30, NewEmisData!$D:$D, CY$6)</f>
        <v>7.1224443338730398E-3</v>
      </c>
      <c r="CZ30" s="1111">
        <f>SUMIFS(NewEmisData!K:K, NewEmisData!$A:$A, $G30, NewEmisData!$B:$B, $A30, NewEmisData!$C:$C, $H30, NewEmisData!$D:$D, CZ$6)</f>
        <v>7.1174224218484104E-3</v>
      </c>
      <c r="DA30" s="1111">
        <f>SUMIFS(NewEmisData!L:L, NewEmisData!$A:$A, $G30, NewEmisData!$B:$B, $A30, NewEmisData!$C:$C, $H30, NewEmisData!$D:$D, DA$6)</f>
        <v>7.1156639835745503E-3</v>
      </c>
      <c r="DB30" s="1111">
        <f>SUMIFS(NewEmisData!M:M, NewEmisData!$A:$A, $G30, NewEmisData!$B:$B, $A30, NewEmisData!$C:$C, $H30, NewEmisData!$D:$D, DB$6)</f>
        <v>7.1143751431365504E-3</v>
      </c>
      <c r="DC30" s="1111">
        <f t="shared" si="84"/>
        <v>7.1143751431365504E-3</v>
      </c>
      <c r="DD30" s="1111">
        <v>0.27590359730377301</v>
      </c>
      <c r="DE30" s="1111">
        <v>0.16653461328025448</v>
      </c>
      <c r="DF30" s="1111">
        <v>7.0634013441740542E-2</v>
      </c>
      <c r="DG30" s="1111">
        <v>1.3465185741622277E-2</v>
      </c>
      <c r="DH30" s="1111">
        <v>1.3335902123626415E-3</v>
      </c>
      <c r="DI30" s="1111">
        <v>1.3333236123730993E-3</v>
      </c>
      <c r="DJ30" s="1111">
        <v>1.3411440493973604E-3</v>
      </c>
      <c r="DK30" s="1111">
        <v>1.346119573497251E-3</v>
      </c>
      <c r="DL30" s="1111">
        <v>1.34972147341348E-3</v>
      </c>
      <c r="DM30" s="1111">
        <v>1.3526876874025272E-3</v>
      </c>
      <c r="DN30" s="1111">
        <v>1.3526876874025272E-3</v>
      </c>
      <c r="DO30" s="1111">
        <v>0.25015732774214966</v>
      </c>
      <c r="DP30" s="1111">
        <v>0.16091587537237781</v>
      </c>
      <c r="DQ30" s="1111">
        <v>6.8950819100028288E-2</v>
      </c>
      <c r="DR30" s="1111">
        <v>1.3786722456098304E-2</v>
      </c>
      <c r="DS30" s="1111">
        <v>2.3415945439152265E-3</v>
      </c>
      <c r="DT30" s="1111">
        <v>2.3424752868533771E-3</v>
      </c>
      <c r="DU30" s="1111">
        <v>2.3572496284837057E-3</v>
      </c>
      <c r="DV30" s="1111">
        <v>2.366615384585016E-3</v>
      </c>
      <c r="DW30" s="1111">
        <v>2.3732649800659884E-3</v>
      </c>
      <c r="DX30" s="1111">
        <v>2.3787745892213E-3</v>
      </c>
      <c r="DY30" s="1111">
        <v>2.3787745892213E-3</v>
      </c>
      <c r="DZ30" s="1111">
        <f t="shared" si="85"/>
        <v>2.2941775537169001E-2</v>
      </c>
      <c r="EA30" s="1111">
        <f>SUMIFS(NewEmisData!E:E, NewEmisData!$A:$A, $G30, NewEmisData!$B:$B, $A30, NewEmisData!$C:$C, $H30, NewEmisData!$D:$D, EA$6)</f>
        <v>2.2941775537169001E-2</v>
      </c>
      <c r="EB30" s="1111">
        <f>SUMIFS(NewEmisData!F:F, NewEmisData!$A:$A, $G30, NewEmisData!$B:$B, $A30, NewEmisData!$C:$C, $H30, NewEmisData!$D:$D, EB$6)</f>
        <v>9.3917723641563006E-2</v>
      </c>
      <c r="EC30" s="1111">
        <f>SUMIFS(NewEmisData!G:G, NewEmisData!$A:$A, $G30, NewEmisData!$B:$B, $A30, NewEmisData!$C:$C, $H30, NewEmisData!$D:$D, EC$6)</f>
        <v>0.146461478377578</v>
      </c>
      <c r="ED30" s="1111">
        <f>SUMIFS(NewEmisData!H:H, NewEmisData!$A:$A, $G30, NewEmisData!$B:$B, $A30, NewEmisData!$C:$C, $H30, NewEmisData!$D:$D, ED$6)</f>
        <v>0.14857043025063399</v>
      </c>
      <c r="EE30" s="1111">
        <f>SUMIFS(NewEmisData!I:I, NewEmisData!$A:$A, $G30, NewEmisData!$B:$B, $A30, NewEmisData!$C:$C, $H30, NewEmisData!$D:$D, EE$6)</f>
        <v>0.14921098409112099</v>
      </c>
      <c r="EF30" s="1111">
        <f>SUMIFS(NewEmisData!J:J, NewEmisData!$A:$A, $G30, NewEmisData!$B:$B, $A30, NewEmisData!$C:$C, $H30, NewEmisData!$D:$D, EF$6)</f>
        <v>0.14903391288637999</v>
      </c>
      <c r="EG30" s="1111">
        <f>SUMIFS(NewEmisData!K:K, NewEmisData!$A:$A, $G30, NewEmisData!$B:$B, $A30, NewEmisData!$C:$C, $H30, NewEmisData!$D:$D, EG$6)</f>
        <v>0.149096656781327</v>
      </c>
      <c r="EH30" s="1111">
        <f>SUMIFS(NewEmisData!L:L, NewEmisData!$A:$A, $G30, NewEmisData!$B:$B, $A30, NewEmisData!$C:$C, $H30, NewEmisData!$D:$D, EH$6)</f>
        <v>0.14900669844887601</v>
      </c>
      <c r="EI30" s="1111">
        <f>SUMIFS(NewEmisData!M:M, NewEmisData!$A:$A, $G30, NewEmisData!$B:$B, $A30, NewEmisData!$C:$C, $H30, NewEmisData!$D:$D, EI$6)</f>
        <v>0.14895012544389</v>
      </c>
      <c r="EJ30" s="1111">
        <f t="shared" si="86"/>
        <v>0.14895012544389</v>
      </c>
      <c r="EK30" s="1111">
        <f t="shared" si="87"/>
        <v>1391.2693302299499</v>
      </c>
      <c r="EL30" s="1111">
        <f t="shared" si="48"/>
        <v>1391.2693302299499</v>
      </c>
      <c r="EM30" s="1111">
        <f t="shared" si="49"/>
        <v>1387.81700695984</v>
      </c>
      <c r="EN30" s="1111">
        <f t="shared" si="50"/>
        <v>1800.2870719201501</v>
      </c>
      <c r="EO30" s="1111">
        <f t="shared" si="51"/>
        <v>1737.4132368119399</v>
      </c>
      <c r="EP30" s="1111">
        <f t="shared" si="52"/>
        <v>1684.8867050016099</v>
      </c>
      <c r="EQ30" s="1111">
        <f t="shared" si="53"/>
        <v>1667.30888418872</v>
      </c>
      <c r="ER30" s="1111">
        <f t="shared" si="54"/>
        <v>1662.1204635085701</v>
      </c>
      <c r="ES30" s="1111">
        <f t="shared" si="55"/>
        <v>1660.97957279301</v>
      </c>
      <c r="ET30" s="1111">
        <f t="shared" si="56"/>
        <v>1660.69684286644</v>
      </c>
      <c r="EU30" s="1111">
        <f t="shared" si="57"/>
        <v>1660.69684286644</v>
      </c>
      <c r="EV30" s="1111">
        <f t="shared" si="88"/>
        <v>9.0067562467577496</v>
      </c>
      <c r="EW30" s="1111">
        <f t="shared" si="38"/>
        <v>9.0067562467577496</v>
      </c>
      <c r="EX30" s="1111">
        <f t="shared" si="39"/>
        <v>4.6343833495392097</v>
      </c>
      <c r="EY30" s="1111">
        <f t="shared" si="40"/>
        <v>3.60142958602064</v>
      </c>
      <c r="EZ30" s="1111">
        <f t="shared" si="41"/>
        <v>2.1043869634005898</v>
      </c>
      <c r="FA30" s="1111">
        <f t="shared" si="42"/>
        <v>1.48367214909245</v>
      </c>
      <c r="FB30" s="1111">
        <f t="shared" si="43"/>
        <v>1.28531680721516</v>
      </c>
      <c r="FC30" s="1111">
        <f t="shared" si="44"/>
        <v>1.2244614015544699</v>
      </c>
      <c r="FD30" s="1111">
        <f t="shared" si="45"/>
        <v>1.2160626918277799</v>
      </c>
      <c r="FE30" s="1111">
        <f t="shared" si="46"/>
        <v>1.2135584327019699</v>
      </c>
      <c r="FF30" s="1111">
        <f t="shared" si="47"/>
        <v>1.2135584327019699</v>
      </c>
      <c r="FG30" s="1111">
        <f t="shared" si="89"/>
        <v>3.4517378580972299E-2</v>
      </c>
      <c r="FH30" s="1111">
        <f t="shared" si="90"/>
        <v>3.4517378580972299E-2</v>
      </c>
      <c r="FI30" s="1111">
        <f t="shared" si="91"/>
        <v>3.32138510088891E-2</v>
      </c>
      <c r="FJ30" s="1111">
        <f t="shared" si="92"/>
        <v>1.51370239918269E-2</v>
      </c>
      <c r="FK30" s="1111">
        <f t="shared" si="93"/>
        <v>1.4522910664903899E-2</v>
      </c>
      <c r="FL30" s="1111">
        <f t="shared" si="94"/>
        <v>1.4055280493155501E-2</v>
      </c>
      <c r="FM30" s="1111">
        <f t="shared" si="95"/>
        <v>1.39025233464321E-2</v>
      </c>
      <c r="FN30" s="1111">
        <f t="shared" si="96"/>
        <v>1.3857298595630599E-2</v>
      </c>
      <c r="FO30" s="1111">
        <f t="shared" si="97"/>
        <v>1.3847788543629599E-2</v>
      </c>
      <c r="FP30" s="1111">
        <f t="shared" si="98"/>
        <v>1.38454338903831E-2</v>
      </c>
      <c r="FQ30" s="1111">
        <f t="shared" si="99"/>
        <v>1.38454338903831E-2</v>
      </c>
      <c r="FR30" s="1111">
        <f t="shared" si="25"/>
        <v>0.88280589948548305</v>
      </c>
      <c r="FS30" s="1111">
        <f t="shared" si="26"/>
        <v>0.88280589948548305</v>
      </c>
      <c r="FT30" s="1111">
        <f t="shared" si="27"/>
        <v>0.45831592934321902</v>
      </c>
      <c r="FU30" s="1111">
        <f t="shared" si="28"/>
        <v>0.43734131963468098</v>
      </c>
      <c r="FV30" s="1111">
        <f t="shared" si="29"/>
        <v>0.34967637389988199</v>
      </c>
      <c r="FW30" s="1111">
        <f t="shared" si="30"/>
        <v>0.31983162808126298</v>
      </c>
      <c r="FX30" s="1111">
        <f t="shared" si="31"/>
        <v>0.31421718315917302</v>
      </c>
      <c r="FY30" s="1111">
        <f t="shared" si="32"/>
        <v>0.31256016773955603</v>
      </c>
      <c r="FZ30" s="1111">
        <f t="shared" si="33"/>
        <v>0.31254542006524799</v>
      </c>
      <c r="GA30" s="1111">
        <f t="shared" si="34"/>
        <v>0.31254401073163601</v>
      </c>
      <c r="GB30" s="1111">
        <f t="shared" si="35"/>
        <v>0.31254401073163601</v>
      </c>
      <c r="GC30" s="1111">
        <f t="shared" si="59"/>
        <v>0.66102414887226102</v>
      </c>
      <c r="GD30" s="1111">
        <f t="shared" si="60"/>
        <v>0.66102414887226102</v>
      </c>
      <c r="GE30" s="1111">
        <f t="shared" si="61"/>
        <v>0.27087694461251399</v>
      </c>
      <c r="GF30" s="1111">
        <f t="shared" si="62"/>
        <v>0.174468170082518</v>
      </c>
      <c r="GG30" s="1111">
        <f t="shared" si="63"/>
        <v>9.4926362989927404E-2</v>
      </c>
      <c r="GH30" s="1111">
        <f t="shared" si="64"/>
        <v>6.7801817056445293E-2</v>
      </c>
      <c r="GI30" s="1111">
        <f t="shared" si="65"/>
        <v>6.2731413619129706E-2</v>
      </c>
      <c r="GJ30" s="1111">
        <f t="shared" si="66"/>
        <v>6.1230033876524703E-2</v>
      </c>
      <c r="GK30" s="1111">
        <f t="shared" si="67"/>
        <v>6.1220848871463299E-2</v>
      </c>
      <c r="GL30" s="1111">
        <f t="shared" si="68"/>
        <v>6.1219393619074997E-2</v>
      </c>
      <c r="GM30" s="1111">
        <f t="shared" si="69"/>
        <v>6.1219393619074997E-2</v>
      </c>
    </row>
    <row r="31" spans="1:195" x14ac:dyDescent="0.2">
      <c r="A31" s="1071" t="s">
        <v>184</v>
      </c>
      <c r="B31" s="1071" t="str">
        <f>Technologies!C111</f>
        <v>TMDSLE</v>
      </c>
      <c r="C31" s="1071" t="str">
        <f>Technologies!D111</f>
        <v>Medium Duty Truck, Existing Diesel</v>
      </c>
      <c r="D31" s="1071" t="str">
        <f>TechData!D18</f>
        <v>bn-vmt, bn-vmt/a</v>
      </c>
      <c r="E31" s="1071" t="str">
        <f>TechData!E19</f>
        <v>TMDSL</v>
      </c>
      <c r="F31" s="1071" t="str">
        <f>TechData!F19</f>
        <v>TM</v>
      </c>
      <c r="G31" s="1110" t="s">
        <v>503</v>
      </c>
      <c r="H31" s="1111" t="s">
        <v>499</v>
      </c>
      <c r="I31" s="1112">
        <v>1</v>
      </c>
      <c r="J31" s="1111" t="str">
        <f t="shared" si="37"/>
        <v>Medium duty-DSL</v>
      </c>
      <c r="K31" s="1111">
        <f>SUMIFS(NewEmisData!E:E, NewEmisData!$A:$A, $G31, NewEmisData!$B:$B, $A31, NewEmisData!$C:$C, $H31, NewEmisData!$D:$D, K$6)</f>
        <v>1227.122531812</v>
      </c>
      <c r="L31" s="1111">
        <f>SUMIFS(NewEmisData!F:F, NewEmisData!$A:$A, $G31, NewEmisData!$B:$B, $A31, NewEmisData!$C:$C, $H31, NewEmisData!$D:$D, L$6)</f>
        <v>1223.38293869125</v>
      </c>
      <c r="M31" s="1111">
        <f>SUMIFS(NewEmisData!G:G, NewEmisData!$A:$A, $G31, NewEmisData!$B:$B, $A31, NewEmisData!$C:$C, $H31, NewEmisData!$D:$D, M$6)</f>
        <v>1491.9167744443</v>
      </c>
      <c r="N31" s="1111">
        <f>SUMIFS(NewEmisData!H:H, NewEmisData!$A:$A, $G31, NewEmisData!$B:$B, $A31, NewEmisData!$C:$C, $H31, NewEmisData!$D:$D, N$6)</f>
        <v>1439.6290263866099</v>
      </c>
      <c r="O31" s="1111">
        <f>SUMIFS(NewEmisData!I:I, NewEmisData!$A:$A, $G31, NewEmisData!$B:$B, $A31, NewEmisData!$C:$C, $H31, NewEmisData!$D:$D, O$6)</f>
        <v>1396.0303655681701</v>
      </c>
      <c r="P31" s="1111">
        <f>SUMIFS(NewEmisData!J:J, NewEmisData!$A:$A, $G31, NewEmisData!$B:$B, $A31, NewEmisData!$C:$C, $H31, NewEmisData!$D:$D, P$6)</f>
        <v>1381.4572061837</v>
      </c>
      <c r="Q31" s="1111">
        <f>SUMIFS(NewEmisData!K:K, NewEmisData!$A:$A, $G31, NewEmisData!$B:$B, $A31, NewEmisData!$C:$C, $H31, NewEmisData!$D:$D, Q$6)</f>
        <v>1377.1647221724299</v>
      </c>
      <c r="R31" s="1111">
        <f>SUMIFS(NewEmisData!L:L, NewEmisData!$A:$A, $G31, NewEmisData!$B:$B, $A31, NewEmisData!$C:$C, $H31, NewEmisData!$D:$D, R$6)</f>
        <v>1376.2239115392599</v>
      </c>
      <c r="S31" s="1111">
        <f>SUMIFS(NewEmisData!M:M, NewEmisData!$A:$A, $G31, NewEmisData!$B:$B, $A31, NewEmisData!$C:$C, $H31, NewEmisData!$D:$D, S$6)</f>
        <v>1375.99238621115</v>
      </c>
      <c r="T31" s="1111">
        <f t="shared" si="17"/>
        <v>1375.99238621115</v>
      </c>
      <c r="U31" s="1111">
        <f>SUMIFS(NewEmisData!E:E, NewEmisData!$A:$A, $G31, NewEmisData!$B:$B, $A31, NewEmisData!$C:$C, $H31, NewEmisData!$D:$D, U$6)</f>
        <v>8.0193608379791392</v>
      </c>
      <c r="V31" s="1111">
        <f>SUMIFS(NewEmisData!F:F, NewEmisData!$A:$A, $G31, NewEmisData!$B:$B, $A31, NewEmisData!$C:$C, $H31, NewEmisData!$D:$D, V$6)</f>
        <v>4.1543590563126003</v>
      </c>
      <c r="W31" s="1111">
        <f>SUMIFS(NewEmisData!G:G, NewEmisData!$A:$A, $G31, NewEmisData!$B:$B, $A31, NewEmisData!$C:$C, $H31, NewEmisData!$D:$D, W$6)</f>
        <v>2.98133312137844</v>
      </c>
      <c r="X31" s="1111">
        <f>SUMIFS(NewEmisData!H:H, NewEmisData!$A:$A, $G31, NewEmisData!$B:$B, $A31, NewEmisData!$C:$C, $H31, NewEmisData!$D:$D, X$6)</f>
        <v>1.7381068783510201</v>
      </c>
      <c r="Y31" s="1111">
        <f>SUMIFS(NewEmisData!I:I, NewEmisData!$A:$A, $G31, NewEmisData!$B:$B, $A31, NewEmisData!$C:$C, $H31, NewEmisData!$D:$D, Y$6)</f>
        <v>1.2226706736775499</v>
      </c>
      <c r="Z31" s="1111">
        <f>SUMIFS(NewEmisData!J:J, NewEmisData!$A:$A, $G31, NewEmisData!$B:$B, $A31, NewEmisData!$C:$C, $H31, NewEmisData!$D:$D, Z$6)</f>
        <v>1.0580964689305701</v>
      </c>
      <c r="AA31" s="1111">
        <f>SUMIFS(NewEmisData!K:K, NewEmisData!$A:$A, $G31, NewEmisData!$B:$B, $A31, NewEmisData!$C:$C, $H31, NewEmisData!$D:$D, AA$6)</f>
        <v>1.00772008015349</v>
      </c>
      <c r="AB31" s="1111">
        <f>SUMIFS(NewEmisData!L:L, NewEmisData!$A:$A, $G31, NewEmisData!$B:$B, $A31, NewEmisData!$C:$C, $H31, NewEmisData!$D:$D, AB$6)</f>
        <v>1.0008292130083001</v>
      </c>
      <c r="AC31" s="1111">
        <f>SUMIFS(NewEmisData!M:M, NewEmisData!$A:$A, $G31, NewEmisData!$B:$B, $A31, NewEmisData!$C:$C, $H31, NewEmisData!$D:$D, AC$6)</f>
        <v>0.99880738384490098</v>
      </c>
      <c r="AD31" s="1111">
        <f t="shared" si="18"/>
        <v>0.99880738384490098</v>
      </c>
      <c r="AE31" s="1111">
        <f t="shared" si="70"/>
        <v>3.0399158238526399E-2</v>
      </c>
      <c r="AF31" s="1111">
        <f>SUMIFS(NewEmisData!E:E, NewEmisData!$A:$A, $G31, NewEmisData!$B:$B, $A31, NewEmisData!$C:$C, $H31, NewEmisData!$D:$D, AF$6)</f>
        <v>3.0399158238526399E-2</v>
      </c>
      <c r="AG31" s="1111">
        <f>SUMIFS(NewEmisData!F:F, NewEmisData!$A:$A, $G31, NewEmisData!$B:$B, $A31, NewEmisData!$C:$C, $H31, NewEmisData!$D:$D, AG$6)</f>
        <v>2.9335551037600001E-2</v>
      </c>
      <c r="AH31" s="1111">
        <f>SUMIFS(NewEmisData!G:G, NewEmisData!$A:$A, $G31, NewEmisData!$B:$B, $A31, NewEmisData!$C:$C, $H31, NewEmisData!$D:$D, AH$6)</f>
        <v>1.25441414050069E-2</v>
      </c>
      <c r="AI31" s="1111">
        <f>SUMIFS(NewEmisData!H:H, NewEmisData!$A:$A, $G31, NewEmisData!$B:$B, $A31, NewEmisData!$C:$C, $H31, NewEmisData!$D:$D, AI$6)</f>
        <v>1.2033715661617201E-2</v>
      </c>
      <c r="AJ31" s="1111">
        <f>SUMIFS(NewEmisData!I:I, NewEmisData!$A:$A, $G31, NewEmisData!$B:$B, $A31, NewEmisData!$C:$C, $H31, NewEmisData!$D:$D, AJ$6)</f>
        <v>1.1645627611560599E-2</v>
      </c>
      <c r="AK31" s="1111">
        <f>SUMIFS(NewEmisData!J:J, NewEmisData!$A:$A, $G31, NewEmisData!$B:$B, $A31, NewEmisData!$C:$C, $H31, NewEmisData!$D:$D, AK$6)</f>
        <v>1.15189928592382E-2</v>
      </c>
      <c r="AL31" s="1111">
        <f>SUMIFS(NewEmisData!K:K, NewEmisData!$A:$A, $G31, NewEmisData!$B:$B, $A31, NewEmisData!$C:$C, $H31, NewEmisData!$D:$D, AL$6)</f>
        <v>1.1481583994978299E-2</v>
      </c>
      <c r="AM31" s="1111">
        <f>SUMIFS(NewEmisData!L:L, NewEmisData!$A:$A, $G31, NewEmisData!$B:$B, $A31, NewEmisData!$C:$C, $H31, NewEmisData!$D:$D, AM$6)</f>
        <v>1.1473738052833899E-2</v>
      </c>
      <c r="AN31" s="1111">
        <f>SUMIFS(NewEmisData!M:M, NewEmisData!$A:$A, $G31, NewEmisData!$B:$B, $A31, NewEmisData!$C:$C, $H31, NewEmisData!$D:$D, AN$6)</f>
        <v>1.14718141652436E-2</v>
      </c>
      <c r="AO31" s="1111">
        <f t="shared" si="71"/>
        <v>1.14718141652436E-2</v>
      </c>
      <c r="AP31" s="1111">
        <f t="shared" si="72"/>
        <v>0.75675018821525997</v>
      </c>
      <c r="AQ31" s="1111">
        <f>SUMIFS(NewEmisData!E:E, NewEmisData!$A:$A, $G31, NewEmisData!$B:$B, $A31, NewEmisData!$C:$C, $H31, NewEmisData!$D:$D, AQ$6)</f>
        <v>0.75675018821525997</v>
      </c>
      <c r="AR31" s="1111">
        <f>SUMIFS(NewEmisData!F:F, NewEmisData!$A:$A, $G31, NewEmisData!$B:$B, $A31, NewEmisData!$C:$C, $H31, NewEmisData!$D:$D, AR$6)</f>
        <v>0.40133452537918501</v>
      </c>
      <c r="AS31" s="1111">
        <f>SUMIFS(NewEmisData!G:G, NewEmisData!$A:$A, $G31, NewEmisData!$B:$B, $A31, NewEmisData!$C:$C, $H31, NewEmisData!$D:$D, AS$6)</f>
        <v>0.33506910840269499</v>
      </c>
      <c r="AT31" s="1111">
        <f>SUMIFS(NewEmisData!H:H, NewEmisData!$A:$A, $G31, NewEmisData!$B:$B, $A31, NewEmisData!$C:$C, $H31, NewEmisData!$D:$D, AT$6)</f>
        <v>0.263570196116162</v>
      </c>
      <c r="AU31" s="1111">
        <f>SUMIFS(NewEmisData!I:I, NewEmisData!$A:$A, $G31, NewEmisData!$B:$B, $A31, NewEmisData!$C:$C, $H31, NewEmisData!$D:$D, AU$6)</f>
        <v>0.239317173689682</v>
      </c>
      <c r="AV31" s="1111">
        <f>SUMIFS(NewEmisData!J:J, NewEmisData!$A:$A, $G31, NewEmisData!$B:$B, $A31, NewEmisData!$C:$C, $H31, NewEmisData!$D:$D, AV$6)</f>
        <v>0.23470430578816801</v>
      </c>
      <c r="AW31" s="1111">
        <f>SUMIFS(NewEmisData!K:K, NewEmisData!$A:$A, $G31, NewEmisData!$B:$B, $A31, NewEmisData!$C:$C, $H31, NewEmisData!$D:$D, AW$6)</f>
        <v>0.23334423625159001</v>
      </c>
      <c r="AX31" s="1111">
        <f>SUMIFS(NewEmisData!L:L, NewEmisData!$A:$A, $G31, NewEmisData!$B:$B, $A31, NewEmisData!$C:$C, $H31, NewEmisData!$D:$D, AX$6)</f>
        <v>0.233332846550835</v>
      </c>
      <c r="AY31" s="1111">
        <f>SUMIFS(NewEmisData!M:M, NewEmisData!$A:$A, $G31, NewEmisData!$B:$B, $A31, NewEmisData!$C:$C, $H31, NewEmisData!$D:$D, AY$6)</f>
        <v>0.23333151026798801</v>
      </c>
      <c r="AZ31" s="1111">
        <f t="shared" si="73"/>
        <v>0.23333151026798801</v>
      </c>
      <c r="BA31" s="1111">
        <f t="shared" si="74"/>
        <v>0.57853809313457705</v>
      </c>
      <c r="BB31" s="1111">
        <f>SUMIFS(NewEmisData!E:E, NewEmisData!$A:$A, $G31, NewEmisData!$B:$B, $A31, NewEmisData!$C:$C, $H31, NewEmisData!$D:$D, BB$6)</f>
        <v>0.57853809313457705</v>
      </c>
      <c r="BC31" s="1111">
        <f>SUMIFS(NewEmisData!F:F, NewEmisData!$A:$A, $G31, NewEmisData!$B:$B, $A31, NewEmisData!$C:$C, $H31, NewEmisData!$D:$D, BC$6)</f>
        <v>0.252003695301314</v>
      </c>
      <c r="BD31" s="1111">
        <f>SUMIFS(NewEmisData!G:G, NewEmisData!$A:$A, $G31, NewEmisData!$B:$B, $A31, NewEmisData!$C:$C, $H31, NewEmisData!$D:$D, BD$6)</f>
        <v>0.14009339529863701</v>
      </c>
      <c r="BE31" s="1111">
        <f>SUMIFS(NewEmisData!H:H, NewEmisData!$A:$A, $G31, NewEmisData!$B:$B, $A31, NewEmisData!$C:$C, $H31, NewEmisData!$D:$D, BE$6)</f>
        <v>7.5128307357895593E-2</v>
      </c>
      <c r="BF31" s="1111">
        <f>SUMIFS(NewEmisData!I:I, NewEmisData!$A:$A, $G31, NewEmisData!$B:$B, $A31, NewEmisData!$C:$C, $H31, NewEmisData!$D:$D, BF$6)</f>
        <v>5.3059643460613801E-2</v>
      </c>
      <c r="BG31" s="1111">
        <f>SUMIFS(NewEmisData!J:J, NewEmisData!$A:$A, $G31, NewEmisData!$B:$B, $A31, NewEmisData!$C:$C, $H31, NewEmisData!$D:$D, BG$6)</f>
        <v>4.8885273229585302E-2</v>
      </c>
      <c r="BH31" s="1111">
        <f>SUMIFS(NewEmisData!K:K, NewEmisData!$A:$A, $G31, NewEmisData!$B:$B, $A31, NewEmisData!$C:$C, $H31, NewEmisData!$D:$D, BH$6)</f>
        <v>4.7651037372409798E-2</v>
      </c>
      <c r="BI31" s="1111">
        <f>SUMIFS(NewEmisData!L:L, NewEmisData!$A:$A, $G31, NewEmisData!$B:$B, $A31, NewEmisData!$C:$C, $H31, NewEmisData!$D:$D, BI$6)</f>
        <v>4.7643536740020302E-2</v>
      </c>
      <c r="BJ31" s="1111">
        <f>SUMIFS(NewEmisData!M:M, NewEmisData!$A:$A, $G31, NewEmisData!$B:$B, $A31, NewEmisData!$C:$C, $H31, NewEmisData!$D:$D, BJ$6)</f>
        <v>4.7642334168564497E-2</v>
      </c>
      <c r="BK31" s="1111">
        <f t="shared" si="75"/>
        <v>4.7642334168564497E-2</v>
      </c>
      <c r="BL31" s="1111">
        <f t="shared" si="76"/>
        <v>3.66291528795528</v>
      </c>
      <c r="BM31" s="1111">
        <f>SUMIFS(NewEmisData!E:E, NewEmisData!$A:$A, $G31, NewEmisData!$B:$B, $A31, NewEmisData!$C:$C, $H31, NewEmisData!$D:$D, BM$6)</f>
        <v>3.66291528795528</v>
      </c>
      <c r="BN31" s="1111">
        <f>SUMIFS(NewEmisData!F:F, NewEmisData!$A:$A, $G31, NewEmisData!$B:$B, $A31, NewEmisData!$C:$C, $H31, NewEmisData!$D:$D, BN$6)</f>
        <v>1.81110834429754</v>
      </c>
      <c r="BO31" s="1111">
        <f>SUMIFS(NewEmisData!G:G, NewEmisData!$A:$A, $G31, NewEmisData!$B:$B, $A31, NewEmisData!$C:$C, $H31, NewEmisData!$D:$D, BO$6)</f>
        <v>1.17052618624317</v>
      </c>
      <c r="BP31" s="1111">
        <f>SUMIFS(NewEmisData!H:H, NewEmisData!$A:$A, $G31, NewEmisData!$B:$B, $A31, NewEmisData!$C:$C, $H31, NewEmisData!$D:$D, BP$6)</f>
        <v>0.73614531651374404</v>
      </c>
      <c r="BQ31" s="1111">
        <f>SUMIFS(NewEmisData!I:I, NewEmisData!$A:$A, $G31, NewEmisData!$B:$B, $A31, NewEmisData!$C:$C, $H31, NewEmisData!$D:$D, BQ$6)</f>
        <v>0.597052259804708</v>
      </c>
      <c r="BR31" s="1111">
        <f>SUMIFS(NewEmisData!J:J, NewEmisData!$A:$A, $G31, NewEmisData!$B:$B, $A31, NewEmisData!$C:$C, $H31, NewEmisData!$D:$D, BR$6)</f>
        <v>0.56487776147618596</v>
      </c>
      <c r="BS31" s="1111">
        <f>SUMIFS(NewEmisData!K:K, NewEmisData!$A:$A, $G31, NewEmisData!$B:$B, $A31, NewEmisData!$C:$C, $H31, NewEmisData!$D:$D, BS$6)</f>
        <v>0.55598119154160697</v>
      </c>
      <c r="BT31" s="1111">
        <f>SUMIFS(NewEmisData!L:L, NewEmisData!$A:$A, $G31, NewEmisData!$B:$B, $A31, NewEmisData!$C:$C, $H31, NewEmisData!$D:$D, BT$6)</f>
        <v>0.55580702712140895</v>
      </c>
      <c r="BU31" s="1111">
        <f>SUMIFS(NewEmisData!M:M, NewEmisData!$A:$A, $G31, NewEmisData!$B:$B, $A31, NewEmisData!$C:$C, $H31, NewEmisData!$D:$D, BU$6)</f>
        <v>0.55571945282790103</v>
      </c>
      <c r="BV31" s="1111">
        <f t="shared" si="83"/>
        <v>0.55571945282790103</v>
      </c>
      <c r="BW31" s="1111">
        <f t="shared" si="77"/>
        <v>1.43661852797596</v>
      </c>
      <c r="BX31" s="1111">
        <f>SUMIFS(NewEmisData!E:E, NewEmisData!$A:$A, $G31, NewEmisData!$B:$B, $A31, NewEmisData!$C:$C, $H31, NewEmisData!$D:$D, BX$6)</f>
        <v>1.43661852797596</v>
      </c>
      <c r="BY31" s="1111">
        <f>SUMIFS(NewEmisData!F:F, NewEmisData!$A:$A, $G31, NewEmisData!$B:$B, $A31, NewEmisData!$C:$C, $H31, NewEmisData!$D:$D, BY$6)</f>
        <v>0.62875879312815397</v>
      </c>
      <c r="BZ31" s="1111">
        <f>SUMIFS(NewEmisData!G:G, NewEmisData!$A:$A, $G31, NewEmisData!$B:$B, $A31, NewEmisData!$C:$C, $H31, NewEmisData!$D:$D, BZ$6)</f>
        <v>0.38012488858052901</v>
      </c>
      <c r="CA31" s="1111">
        <f>SUMIFS(NewEmisData!H:H, NewEmisData!$A:$A, $G31, NewEmisData!$B:$B, $A31, NewEmisData!$C:$C, $H31, NewEmisData!$D:$D, CA$6)</f>
        <v>0.19661280267353801</v>
      </c>
      <c r="CB31" s="1111">
        <f>SUMIFS(NewEmisData!I:I, NewEmisData!$A:$A, $G31, NewEmisData!$B:$B, $A31, NewEmisData!$C:$C, $H31, NewEmisData!$D:$D, CB$6)</f>
        <v>0.139914566708539</v>
      </c>
      <c r="CC31" s="1111">
        <f>SUMIFS(NewEmisData!J:J, NewEmisData!$A:$A, $G31, NewEmisData!$B:$B, $A31, NewEmisData!$C:$C, $H31, NewEmisData!$D:$D, CC$6)</f>
        <v>0.126251922379787</v>
      </c>
      <c r="CD31" s="1111">
        <f>SUMIFS(NewEmisData!K:K, NewEmisData!$A:$A, $G31, NewEmisData!$B:$B, $A31, NewEmisData!$C:$C, $H31, NewEmisData!$D:$D, CD$6)</f>
        <v>0.122717084606958</v>
      </c>
      <c r="CE31" s="1111">
        <f>SUMIFS(NewEmisData!L:L, NewEmisData!$A:$A, $G31, NewEmisData!$B:$B, $A31, NewEmisData!$C:$C, $H31, NewEmisData!$D:$D, CE$6)</f>
        <v>0.122648698331061</v>
      </c>
      <c r="CF31" s="1111">
        <f>SUMIFS(NewEmisData!M:M, NewEmisData!$A:$A, $G31, NewEmisData!$B:$B, $A31, NewEmisData!$C:$C, $H31, NewEmisData!$D:$D, CF$6)</f>
        <v>0.12261069478738</v>
      </c>
      <c r="CG31" s="1111">
        <f t="shared" si="78"/>
        <v>0.12261069478738</v>
      </c>
      <c r="CH31" s="1111">
        <f t="shared" si="79"/>
        <v>2.6039509433426099E-2</v>
      </c>
      <c r="CI31" s="1111">
        <f>SUMIFS(NewEmisData!E:E, NewEmisData!$A:$A, $G31, NewEmisData!$B:$B, $A31, NewEmisData!$C:$C, $H31, NewEmisData!$D:$D, CI$6)</f>
        <v>2.6039509433426099E-2</v>
      </c>
      <c r="CJ31" s="1111">
        <f>SUMIFS(NewEmisData!F:F, NewEmisData!$A:$A, $G31, NewEmisData!$B:$B, $A31, NewEmisData!$C:$C, $H31, NewEmisData!$D:$D, CJ$6)</f>
        <v>2.6040008346974602E-2</v>
      </c>
      <c r="CK31" s="1111">
        <f>SUMIFS(NewEmisData!G:G, NewEmisData!$A:$A, $G31, NewEmisData!$B:$B, $A31, NewEmisData!$C:$C, $H31, NewEmisData!$D:$D, CK$6)</f>
        <v>3.2995536073936203E-2</v>
      </c>
      <c r="CL31" s="1111">
        <f>SUMIFS(NewEmisData!H:H, NewEmisData!$A:$A, $G31, NewEmisData!$B:$B, $A31, NewEmisData!$C:$C, $H31, NewEmisData!$D:$D, CL$6)</f>
        <v>3.2996708039722003E-2</v>
      </c>
      <c r="CM31" s="1111">
        <f>SUMIFS(NewEmisData!I:I, NewEmisData!$A:$A, $G31, NewEmisData!$B:$B, $A31, NewEmisData!$C:$C, $H31, NewEmisData!$D:$D, CM$6)</f>
        <v>3.2997215949732303E-2</v>
      </c>
      <c r="CN31" s="1111">
        <f>SUMIFS(NewEmisData!J:J, NewEmisData!$A:$A, $G31, NewEmisData!$B:$B, $A31, NewEmisData!$C:$C, $H31, NewEmisData!$D:$D, CN$6)</f>
        <v>3.29974176943355E-2</v>
      </c>
      <c r="CO31" s="1111">
        <f>SUMIFS(NewEmisData!K:K, NewEmisData!$A:$A, $G31, NewEmisData!$B:$B, $A31, NewEmisData!$C:$C, $H31, NewEmisData!$D:$D, CO$6)</f>
        <v>3.2997465645541797E-2</v>
      </c>
      <c r="CP31" s="1111">
        <f>SUMIFS(NewEmisData!L:L, NewEmisData!$A:$A, $G31, NewEmisData!$B:$B, $A31, NewEmisData!$C:$C, $H31, NewEmisData!$D:$D, CP$6)</f>
        <v>3.29975034492105E-2</v>
      </c>
      <c r="CQ31" s="1111">
        <f>SUMIFS(NewEmisData!M:M, NewEmisData!$A:$A, $G31, NewEmisData!$B:$B, $A31, NewEmisData!$C:$C, $H31, NewEmisData!$D:$D, CQ$6)</f>
        <v>3.2997507472943201E-2</v>
      </c>
      <c r="CR31" s="1111">
        <f t="shared" si="80"/>
        <v>3.2997507472943201E-2</v>
      </c>
      <c r="CS31" s="1111">
        <f t="shared" si="81"/>
        <v>3.5409431722048901E-3</v>
      </c>
      <c r="CT31" s="1111">
        <f>SUMIFS(NewEmisData!E:E, NewEmisData!$A:$A, $G31, NewEmisData!$B:$B, $A31, NewEmisData!$C:$C, $H31, NewEmisData!$D:$D, CT$6)</f>
        <v>3.5409431722048901E-3</v>
      </c>
      <c r="CU31" s="1111">
        <f>SUMIFS(NewEmisData!F:F, NewEmisData!$A:$A, $G31, NewEmisData!$B:$B, $A31, NewEmisData!$C:$C, $H31, NewEmisData!$D:$D, CU$6)</f>
        <v>3.63890781693205E-3</v>
      </c>
      <c r="CV31" s="1111">
        <f>SUMIFS(NewEmisData!G:G, NewEmisData!$A:$A, $G31, NewEmisData!$B:$B, $A31, NewEmisData!$C:$C, $H31, NewEmisData!$D:$D, CV$6)</f>
        <v>5.4574768642476996E-3</v>
      </c>
      <c r="CW31" s="1111">
        <f>SUMIFS(NewEmisData!H:H, NewEmisData!$A:$A, $G31, NewEmisData!$B:$B, $A31, NewEmisData!$C:$C, $H31, NewEmisData!$D:$D, CW$6)</f>
        <v>5.4675414672760402E-3</v>
      </c>
      <c r="CX31" s="1111">
        <f>SUMIFS(NewEmisData!I:I, NewEmisData!$A:$A, $G31, NewEmisData!$B:$B, $A31, NewEmisData!$C:$C, $H31, NewEmisData!$D:$D, CX$6)</f>
        <v>5.4680384341553E-3</v>
      </c>
      <c r="CY31" s="1111">
        <f>SUMIFS(NewEmisData!J:J, NewEmisData!$A:$A, $G31, NewEmisData!$B:$B, $A31, NewEmisData!$C:$C, $H31, NewEmisData!$D:$D, CY$6)</f>
        <v>5.4634019579347104E-3</v>
      </c>
      <c r="CZ31" s="1111">
        <f>SUMIFS(NewEmisData!K:K, NewEmisData!$A:$A, $G31, NewEmisData!$B:$B, $A31, NewEmisData!$C:$C, $H31, NewEmisData!$D:$D, CZ$6)</f>
        <v>5.4597660152292298E-3</v>
      </c>
      <c r="DA31" s="1111">
        <f>SUMIFS(NewEmisData!L:L, NewEmisData!$A:$A, $G31, NewEmisData!$B:$B, $A31, NewEmisData!$C:$C, $H31, NewEmisData!$D:$D, DA$6)</f>
        <v>5.4584958414238298E-3</v>
      </c>
      <c r="DB31" s="1111">
        <f>SUMIFS(NewEmisData!M:M, NewEmisData!$A:$A, $G31, NewEmisData!$B:$B, $A31, NewEmisData!$C:$C, $H31, NewEmisData!$D:$D, DB$6)</f>
        <v>5.45755956631585E-3</v>
      </c>
      <c r="DC31" s="1111">
        <f t="shared" si="84"/>
        <v>5.45755956631585E-3</v>
      </c>
      <c r="DD31" s="1111"/>
      <c r="DE31" s="1111"/>
      <c r="DF31" s="1111"/>
      <c r="DG31" s="1111"/>
      <c r="DH31" s="1111"/>
      <c r="DI31" s="1111"/>
      <c r="DJ31" s="1111"/>
      <c r="DK31" s="1111"/>
      <c r="DL31" s="1111"/>
      <c r="DM31" s="1111"/>
      <c r="DN31" s="1111"/>
      <c r="DO31" s="1111"/>
      <c r="DP31" s="1111"/>
      <c r="DQ31" s="1111"/>
      <c r="DR31" s="1111"/>
      <c r="DS31" s="1111"/>
      <c r="DT31" s="1111"/>
      <c r="DU31" s="1111"/>
      <c r="DV31" s="1111"/>
      <c r="DW31" s="1111"/>
      <c r="DX31" s="1111"/>
      <c r="DY31" s="1111"/>
      <c r="DZ31" s="1111">
        <f t="shared" si="85"/>
        <v>1.97747867706301E-2</v>
      </c>
      <c r="EA31" s="1111">
        <f>SUMIFS(NewEmisData!E:E, NewEmisData!$A:$A, $G31, NewEmisData!$B:$B, $A31, NewEmisData!$C:$C, $H31, NewEmisData!$D:$D, EA$6)</f>
        <v>1.97747867706301E-2</v>
      </c>
      <c r="EB31" s="1111">
        <f>SUMIFS(NewEmisData!F:F, NewEmisData!$A:$A, $G31, NewEmisData!$B:$B, $A31, NewEmisData!$C:$C, $H31, NewEmisData!$D:$D, EB$6)</f>
        <v>7.2363688705741003E-2</v>
      </c>
      <c r="EC31" s="1111">
        <f>SUMIFS(NewEmisData!G:G, NewEmisData!$A:$A, $G31, NewEmisData!$B:$B, $A31, NewEmisData!$C:$C, $H31, NewEmisData!$D:$D, EC$6)</f>
        <v>0.113967833470033</v>
      </c>
      <c r="ED31" s="1111">
        <f>SUMIFS(NewEmisData!H:H, NewEmisData!$A:$A, $G31, NewEmisData!$B:$B, $A31, NewEmisData!$C:$C, $H31, NewEmisData!$D:$D, ED$6)</f>
        <v>0.115112826964947</v>
      </c>
      <c r="EE31" s="1111">
        <f>SUMIFS(NewEmisData!I:I, NewEmisData!$A:$A, $G31, NewEmisData!$B:$B, $A31, NewEmisData!$C:$C, $H31, NewEmisData!$D:$D, EE$6)</f>
        <v>0.11539118025805099</v>
      </c>
      <c r="EF31" s="1111">
        <f>SUMIFS(NewEmisData!J:J, NewEmisData!$A:$A, $G31, NewEmisData!$B:$B, $A31, NewEmisData!$C:$C, $H31, NewEmisData!$D:$D, EF$6)</f>
        <v>0.115199325520795</v>
      </c>
      <c r="EG31" s="1111">
        <f>SUMIFS(NewEmisData!K:K, NewEmisData!$A:$A, $G31, NewEmisData!$B:$B, $A31, NewEmisData!$C:$C, $H31, NewEmisData!$D:$D, EG$6)</f>
        <v>0.115220036803385</v>
      </c>
      <c r="EH31" s="1111">
        <f>SUMIFS(NewEmisData!L:L, NewEmisData!$A:$A, $G31, NewEmisData!$B:$B, $A31, NewEmisData!$C:$C, $H31, NewEmisData!$D:$D, EH$6)</f>
        <v>0.115157957606922</v>
      </c>
      <c r="EI31" s="1111">
        <f>SUMIFS(NewEmisData!M:M, NewEmisData!$A:$A, $G31, NewEmisData!$B:$B, $A31, NewEmisData!$C:$C, $H31, NewEmisData!$D:$D, EI$6)</f>
        <v>0.115119875491087</v>
      </c>
      <c r="EJ31" s="1111">
        <f t="shared" si="86"/>
        <v>0.115119875491087</v>
      </c>
      <c r="EK31" s="1111">
        <f t="shared" si="87"/>
        <v>1227.122531812</v>
      </c>
      <c r="EL31" s="1111">
        <f t="shared" si="48"/>
        <v>1227.122531812</v>
      </c>
      <c r="EM31" s="1111">
        <f t="shared" si="49"/>
        <v>1223.38293869125</v>
      </c>
      <c r="EN31" s="1111">
        <f t="shared" si="50"/>
        <v>1491.9167744443</v>
      </c>
      <c r="EO31" s="1111">
        <f t="shared" si="51"/>
        <v>1439.6290263866099</v>
      </c>
      <c r="EP31" s="1111">
        <f t="shared" si="52"/>
        <v>1396.0303655681701</v>
      </c>
      <c r="EQ31" s="1111">
        <f t="shared" si="53"/>
        <v>1381.4572061837</v>
      </c>
      <c r="ER31" s="1111">
        <f t="shared" si="54"/>
        <v>1377.1647221724299</v>
      </c>
      <c r="ES31" s="1111">
        <f t="shared" si="55"/>
        <v>1376.2239115392599</v>
      </c>
      <c r="ET31" s="1111">
        <f t="shared" si="56"/>
        <v>1375.99238621115</v>
      </c>
      <c r="EU31" s="1111">
        <f t="shared" si="57"/>
        <v>1375.99238621115</v>
      </c>
      <c r="EV31" s="1111">
        <f t="shared" si="88"/>
        <v>8.0193608379791392</v>
      </c>
      <c r="EW31" s="1111">
        <f t="shared" si="38"/>
        <v>8.0193608379791392</v>
      </c>
      <c r="EX31" s="1111">
        <f t="shared" si="39"/>
        <v>4.1543590563126003</v>
      </c>
      <c r="EY31" s="1111">
        <f t="shared" si="40"/>
        <v>2.98133312137844</v>
      </c>
      <c r="EZ31" s="1111">
        <f t="shared" si="41"/>
        <v>1.7381068783510201</v>
      </c>
      <c r="FA31" s="1111">
        <f t="shared" si="42"/>
        <v>1.2226706736775499</v>
      </c>
      <c r="FB31" s="1111">
        <f t="shared" si="43"/>
        <v>1.0580964689305701</v>
      </c>
      <c r="FC31" s="1111">
        <f t="shared" si="44"/>
        <v>1.00772008015349</v>
      </c>
      <c r="FD31" s="1111">
        <f t="shared" si="45"/>
        <v>1.0008292130083001</v>
      </c>
      <c r="FE31" s="1111">
        <f t="shared" si="46"/>
        <v>0.99880738384490098</v>
      </c>
      <c r="FF31" s="1111">
        <f t="shared" si="47"/>
        <v>0.99880738384490098</v>
      </c>
      <c r="FG31" s="1111">
        <f t="shared" si="89"/>
        <v>3.0399158238526399E-2</v>
      </c>
      <c r="FH31" s="1111">
        <f t="shared" si="90"/>
        <v>3.0399158238526399E-2</v>
      </c>
      <c r="FI31" s="1111">
        <f t="shared" si="91"/>
        <v>2.9335551037600001E-2</v>
      </c>
      <c r="FJ31" s="1111">
        <f t="shared" si="92"/>
        <v>1.25441414050069E-2</v>
      </c>
      <c r="FK31" s="1111">
        <f t="shared" si="93"/>
        <v>1.2033715661617201E-2</v>
      </c>
      <c r="FL31" s="1111">
        <f t="shared" si="94"/>
        <v>1.1645627611560599E-2</v>
      </c>
      <c r="FM31" s="1111">
        <f t="shared" si="95"/>
        <v>1.15189928592382E-2</v>
      </c>
      <c r="FN31" s="1111">
        <f t="shared" si="96"/>
        <v>1.1481583994978299E-2</v>
      </c>
      <c r="FO31" s="1111">
        <f t="shared" si="97"/>
        <v>1.1473738052833899E-2</v>
      </c>
      <c r="FP31" s="1111">
        <f t="shared" si="98"/>
        <v>1.14718141652436E-2</v>
      </c>
      <c r="FQ31" s="1111">
        <f t="shared" si="99"/>
        <v>1.14718141652436E-2</v>
      </c>
      <c r="FR31" s="1111">
        <f t="shared" si="25"/>
        <v>0.75675018821525997</v>
      </c>
      <c r="FS31" s="1111">
        <f t="shared" si="26"/>
        <v>0.75675018821525997</v>
      </c>
      <c r="FT31" s="1111">
        <f t="shared" si="27"/>
        <v>0.40133452537918501</v>
      </c>
      <c r="FU31" s="1111">
        <f t="shared" si="28"/>
        <v>0.33506910840269499</v>
      </c>
      <c r="FV31" s="1111">
        <f t="shared" si="29"/>
        <v>0.263570196116162</v>
      </c>
      <c r="FW31" s="1111">
        <f t="shared" si="30"/>
        <v>0.239317173689682</v>
      </c>
      <c r="FX31" s="1111">
        <f t="shared" si="31"/>
        <v>0.23470430578816801</v>
      </c>
      <c r="FY31" s="1111">
        <f t="shared" si="32"/>
        <v>0.23334423625159001</v>
      </c>
      <c r="FZ31" s="1111">
        <f t="shared" si="33"/>
        <v>0.233332846550835</v>
      </c>
      <c r="GA31" s="1111">
        <f t="shared" si="34"/>
        <v>0.23333151026798801</v>
      </c>
      <c r="GB31" s="1111">
        <f t="shared" si="35"/>
        <v>0.23333151026798801</v>
      </c>
      <c r="GC31" s="1111">
        <f t="shared" si="59"/>
        <v>0.57853809313457705</v>
      </c>
      <c r="GD31" s="1111">
        <f t="shared" si="60"/>
        <v>0.57853809313457705</v>
      </c>
      <c r="GE31" s="1111">
        <f t="shared" si="61"/>
        <v>0.252003695301314</v>
      </c>
      <c r="GF31" s="1111">
        <f t="shared" si="62"/>
        <v>0.14009339529863701</v>
      </c>
      <c r="GG31" s="1111">
        <f t="shared" si="63"/>
        <v>7.5128307357895593E-2</v>
      </c>
      <c r="GH31" s="1111">
        <f t="shared" si="64"/>
        <v>5.3059643460613801E-2</v>
      </c>
      <c r="GI31" s="1111">
        <f t="shared" si="65"/>
        <v>4.8885273229585302E-2</v>
      </c>
      <c r="GJ31" s="1111">
        <f t="shared" si="66"/>
        <v>4.7651037372409798E-2</v>
      </c>
      <c r="GK31" s="1111">
        <f t="shared" si="67"/>
        <v>4.7643536740020302E-2</v>
      </c>
      <c r="GL31" s="1111">
        <f t="shared" si="68"/>
        <v>4.7642334168564497E-2</v>
      </c>
      <c r="GM31" s="1111">
        <f t="shared" si="69"/>
        <v>4.7642334168564497E-2</v>
      </c>
    </row>
    <row r="32" spans="1:195" x14ac:dyDescent="0.2">
      <c r="A32" s="1071" t="s">
        <v>186</v>
      </c>
      <c r="B32" s="1071" t="str">
        <f>Technologies!C111</f>
        <v>TMDSLE</v>
      </c>
      <c r="C32" s="1071" t="str">
        <f>Technologies!D111</f>
        <v>Medium Duty Truck, Existing Diesel</v>
      </c>
      <c r="D32" s="1071" t="str">
        <f>TechData!D18</f>
        <v>bn-vmt, bn-vmt/a</v>
      </c>
      <c r="E32" s="1071" t="str">
        <f>TechData!E19</f>
        <v>TMDSL</v>
      </c>
      <c r="F32" s="1071" t="str">
        <f>TechData!F19</f>
        <v>TM</v>
      </c>
      <c r="G32" s="1110" t="s">
        <v>503</v>
      </c>
      <c r="H32" s="1111" t="s">
        <v>499</v>
      </c>
      <c r="I32" s="1112">
        <v>1</v>
      </c>
      <c r="J32" s="1111" t="str">
        <f t="shared" si="37"/>
        <v>Medium duty-DSL</v>
      </c>
      <c r="K32" s="1111">
        <f>SUMIFS(NewEmisData!E:E, NewEmisData!$A:$A, $G32, NewEmisData!$B:$B, $A32, NewEmisData!$C:$C, $H32, NewEmisData!$D:$D, K$6)</f>
        <v>1844.7083010230299</v>
      </c>
      <c r="L32" s="1111">
        <f>SUMIFS(NewEmisData!F:F, NewEmisData!$A:$A, $G32, NewEmisData!$B:$B, $A32, NewEmisData!$C:$C, $H32, NewEmisData!$D:$D, L$6)</f>
        <v>1832.6045194358301</v>
      </c>
      <c r="M32" s="1111">
        <f>SUMIFS(NewEmisData!G:G, NewEmisData!$A:$A, $G32, NewEmisData!$B:$B, $A32, NewEmisData!$C:$C, $H32, NewEmisData!$D:$D, M$6)</f>
        <v>1884.2537986570301</v>
      </c>
      <c r="N32" s="1111">
        <f>SUMIFS(NewEmisData!H:H, NewEmisData!$A:$A, $G32, NewEmisData!$B:$B, $A32, NewEmisData!$C:$C, $H32, NewEmisData!$D:$D, N$6)</f>
        <v>1818.5727784503399</v>
      </c>
      <c r="O32" s="1111">
        <f>SUMIFS(NewEmisData!I:I, NewEmisData!$A:$A, $G32, NewEmisData!$B:$B, $A32, NewEmisData!$C:$C, $H32, NewEmisData!$D:$D, O$6)</f>
        <v>1763.6996289860999</v>
      </c>
      <c r="P32" s="1111">
        <f>SUMIFS(NewEmisData!J:J, NewEmisData!$A:$A, $G32, NewEmisData!$B:$B, $A32, NewEmisData!$C:$C, $H32, NewEmisData!$D:$D, P$6)</f>
        <v>1745.38280930633</v>
      </c>
      <c r="Q32" s="1111">
        <f>SUMIFS(NewEmisData!K:K, NewEmisData!$A:$A, $G32, NewEmisData!$B:$B, $A32, NewEmisData!$C:$C, $H32, NewEmisData!$D:$D, Q$6)</f>
        <v>1739.98947678168</v>
      </c>
      <c r="R32" s="1111">
        <f>SUMIFS(NewEmisData!L:L, NewEmisData!$A:$A, $G32, NewEmisData!$B:$B, $A32, NewEmisData!$C:$C, $H32, NewEmisData!$D:$D, R$6)</f>
        <v>1738.81123596359</v>
      </c>
      <c r="S32" s="1111">
        <f>SUMIFS(NewEmisData!M:M, NewEmisData!$A:$A, $G32, NewEmisData!$B:$B, $A32, NewEmisData!$C:$C, $H32, NewEmisData!$D:$D, S$6)</f>
        <v>1738.5227113911701</v>
      </c>
      <c r="T32" s="1111">
        <f t="shared" si="17"/>
        <v>1738.5227113911701</v>
      </c>
      <c r="U32" s="1111">
        <f>SUMIFS(NewEmisData!E:E, NewEmisData!$A:$A, $G32, NewEmisData!$B:$B, $A32, NewEmisData!$C:$C, $H32, NewEmisData!$D:$D, U$6)</f>
        <v>11.3242694436207</v>
      </c>
      <c r="V32" s="1111">
        <f>SUMIFS(NewEmisData!F:F, NewEmisData!$A:$A, $G32, NewEmisData!$B:$B, $A32, NewEmisData!$C:$C, $H32, NewEmisData!$D:$D, V$6)</f>
        <v>5.2798482437774998</v>
      </c>
      <c r="W32" s="1111">
        <f>SUMIFS(NewEmisData!G:G, NewEmisData!$A:$A, $G32, NewEmisData!$B:$B, $A32, NewEmisData!$C:$C, $H32, NewEmisData!$D:$D, W$6)</f>
        <v>3.78642260339578</v>
      </c>
      <c r="X32" s="1111">
        <f>SUMIFS(NewEmisData!H:H, NewEmisData!$A:$A, $G32, NewEmisData!$B:$B, $A32, NewEmisData!$C:$C, $H32, NewEmisData!$D:$D, X$6)</f>
        <v>2.1972961679722198</v>
      </c>
      <c r="Y32" s="1111">
        <f>SUMIFS(NewEmisData!I:I, NewEmisData!$A:$A, $G32, NewEmisData!$B:$B, $A32, NewEmisData!$C:$C, $H32, NewEmisData!$D:$D, Y$6)</f>
        <v>1.5398620814352</v>
      </c>
      <c r="Z32" s="1111">
        <f>SUMIFS(NewEmisData!J:J, NewEmisData!$A:$A, $G32, NewEmisData!$B:$B, $A32, NewEmisData!$C:$C, $H32, NewEmisData!$D:$D, Z$6)</f>
        <v>1.33073738385153</v>
      </c>
      <c r="AA32" s="1111">
        <f>SUMIFS(NewEmisData!K:K, NewEmisData!$A:$A, $G32, NewEmisData!$B:$B, $A32, NewEmisData!$C:$C, $H32, NewEmisData!$D:$D, AA$6)</f>
        <v>1.2670046042829299</v>
      </c>
      <c r="AB32" s="1111">
        <f>SUMIFS(NewEmisData!L:L, NewEmisData!$A:$A, $G32, NewEmisData!$B:$B, $A32, NewEmisData!$C:$C, $H32, NewEmisData!$D:$D, AB$6)</f>
        <v>1.25837731661006</v>
      </c>
      <c r="AC32" s="1111">
        <f>SUMIFS(NewEmisData!M:M, NewEmisData!$A:$A, $G32, NewEmisData!$B:$B, $A32, NewEmisData!$C:$C, $H32, NewEmisData!$D:$D, AC$6)</f>
        <v>1.2558936064742501</v>
      </c>
      <c r="AD32" s="1111">
        <f t="shared" si="18"/>
        <v>1.2558936064742501</v>
      </c>
      <c r="AE32" s="1111">
        <f t="shared" si="70"/>
        <v>4.5365869728215401E-2</v>
      </c>
      <c r="AF32" s="1111">
        <f>SUMIFS(NewEmisData!E:E, NewEmisData!$A:$A, $G32, NewEmisData!$B:$B, $A32, NewEmisData!$C:$C, $H32, NewEmisData!$D:$D, AF$6)</f>
        <v>4.5365869728215401E-2</v>
      </c>
      <c r="AG32" s="1111">
        <f>SUMIFS(NewEmisData!F:F, NewEmisData!$A:$A, $G32, NewEmisData!$B:$B, $A32, NewEmisData!$C:$C, $H32, NewEmisData!$D:$D, AG$6)</f>
        <v>4.3660344033601299E-2</v>
      </c>
      <c r="AH32" s="1111">
        <f>SUMIFS(NewEmisData!G:G, NewEmisData!$A:$A, $G32, NewEmisData!$B:$B, $A32, NewEmisData!$C:$C, $H32, NewEmisData!$D:$D, AH$6)</f>
        <v>1.5842755870111001E-2</v>
      </c>
      <c r="AI32" s="1111">
        <f>SUMIFS(NewEmisData!H:H, NewEmisData!$A:$A, $G32, NewEmisData!$B:$B, $A32, NewEmisData!$C:$C, $H32, NewEmisData!$D:$D, AI$6)</f>
        <v>1.52011817179993E-2</v>
      </c>
      <c r="AJ32" s="1111">
        <f>SUMIFS(NewEmisData!I:I, NewEmisData!$A:$A, $G32, NewEmisData!$B:$B, $A32, NewEmisData!$C:$C, $H32, NewEmisData!$D:$D, AJ$6)</f>
        <v>1.47126837043844E-2</v>
      </c>
      <c r="AK32" s="1111">
        <f>SUMIFS(NewEmisData!J:J, NewEmisData!$A:$A, $G32, NewEmisData!$B:$B, $A32, NewEmisData!$C:$C, $H32, NewEmisData!$D:$D, AK$6)</f>
        <v>1.45535009771615E-2</v>
      </c>
      <c r="AL32" s="1111">
        <f>SUMIFS(NewEmisData!K:K, NewEmisData!$A:$A, $G32, NewEmisData!$B:$B, $A32, NewEmisData!$C:$C, $H32, NewEmisData!$D:$D, AL$6)</f>
        <v>1.4506508977964299E-2</v>
      </c>
      <c r="AM32" s="1111">
        <f>SUMIFS(NewEmisData!L:L, NewEmisData!$A:$A, $G32, NewEmisData!$B:$B, $A32, NewEmisData!$C:$C, $H32, NewEmisData!$D:$D, AM$6)</f>
        <v>1.44966873739067E-2</v>
      </c>
      <c r="AN32" s="1111">
        <f>SUMIFS(NewEmisData!M:M, NewEmisData!$A:$A, $G32, NewEmisData!$B:$B, $A32, NewEmisData!$C:$C, $H32, NewEmisData!$D:$D, AN$6)</f>
        <v>1.4494279129535799E-2</v>
      </c>
      <c r="AO32" s="1111">
        <f t="shared" si="71"/>
        <v>1.4494279129535799E-2</v>
      </c>
      <c r="AP32" s="1111">
        <f t="shared" si="72"/>
        <v>1.1349607828839201</v>
      </c>
      <c r="AQ32" s="1111">
        <f>SUMIFS(NewEmisData!E:E, NewEmisData!$A:$A, $G32, NewEmisData!$B:$B, $A32, NewEmisData!$C:$C, $H32, NewEmisData!$D:$D, AQ$6)</f>
        <v>1.1349607828839201</v>
      </c>
      <c r="AR32" s="1111">
        <f>SUMIFS(NewEmisData!F:F, NewEmisData!$A:$A, $G32, NewEmisData!$B:$B, $A32, NewEmisData!$C:$C, $H32, NewEmisData!$D:$D, AR$6)</f>
        <v>0.61030408012734905</v>
      </c>
      <c r="AS32" s="1111">
        <f>SUMIFS(NewEmisData!G:G, NewEmisData!$A:$A, $G32, NewEmisData!$B:$B, $A32, NewEmisData!$C:$C, $H32, NewEmisData!$D:$D, AS$6)</f>
        <v>0.44031388127967303</v>
      </c>
      <c r="AT32" s="1111">
        <f>SUMIFS(NewEmisData!H:H, NewEmisData!$A:$A, $G32, NewEmisData!$B:$B, $A32, NewEmisData!$C:$C, $H32, NewEmisData!$D:$D, AT$6)</f>
        <v>0.34801512923671002</v>
      </c>
      <c r="AU32" s="1111">
        <f>SUMIFS(NewEmisData!I:I, NewEmisData!$A:$A, $G32, NewEmisData!$B:$B, $A32, NewEmisData!$C:$C, $H32, NewEmisData!$D:$D, AU$6)</f>
        <v>0.316619673688259</v>
      </c>
      <c r="AV32" s="1111">
        <f>SUMIFS(NewEmisData!J:J, NewEmisData!$A:$A, $G32, NewEmisData!$B:$B, $A32, NewEmisData!$C:$C, $H32, NewEmisData!$D:$D, AV$6)</f>
        <v>0.310711543242081</v>
      </c>
      <c r="AW32" s="1111">
        <f>SUMIFS(NewEmisData!K:K, NewEmisData!$A:$A, $G32, NewEmisData!$B:$B, $A32, NewEmisData!$C:$C, $H32, NewEmisData!$D:$D, AW$6)</f>
        <v>0.30897246291541097</v>
      </c>
      <c r="AX32" s="1111">
        <f>SUMIFS(NewEmisData!L:L, NewEmisData!$A:$A, $G32, NewEmisData!$B:$B, $A32, NewEmisData!$C:$C, $H32, NewEmisData!$D:$D, AX$6)</f>
        <v>0.308957597755115</v>
      </c>
      <c r="AY32" s="1111">
        <f>SUMIFS(NewEmisData!M:M, NewEmisData!$A:$A, $G32, NewEmisData!$B:$B, $A32, NewEmisData!$C:$C, $H32, NewEmisData!$D:$D, AY$6)</f>
        <v>0.30895604079919098</v>
      </c>
      <c r="AZ32" s="1111">
        <f t="shared" si="73"/>
        <v>0.30895604079919098</v>
      </c>
      <c r="BA32" s="1111">
        <f t="shared" si="74"/>
        <v>0.82460782978682501</v>
      </c>
      <c r="BB32" s="1111">
        <f>SUMIFS(NewEmisData!E:E, NewEmisData!$A:$A, $G32, NewEmisData!$B:$B, $A32, NewEmisData!$C:$C, $H32, NewEmisData!$D:$D, BB$6)</f>
        <v>0.82460782978682501</v>
      </c>
      <c r="BC32" s="1111">
        <f>SUMIFS(NewEmisData!F:F, NewEmisData!$A:$A, $G32, NewEmisData!$B:$B, $A32, NewEmisData!$C:$C, $H32, NewEmisData!$D:$D, BC$6)</f>
        <v>0.34373570942234799</v>
      </c>
      <c r="BD32" s="1111">
        <f>SUMIFS(NewEmisData!G:G, NewEmisData!$A:$A, $G32, NewEmisData!$B:$B, $A32, NewEmisData!$C:$C, $H32, NewEmisData!$D:$D, BD$6)</f>
        <v>0.18121898411016099</v>
      </c>
      <c r="BE32" s="1111">
        <f>SUMIFS(NewEmisData!H:H, NewEmisData!$A:$A, $G32, NewEmisData!$B:$B, $A32, NewEmisData!$C:$C, $H32, NewEmisData!$D:$D, BE$6)</f>
        <v>9.7394815729633696E-2</v>
      </c>
      <c r="BF32" s="1111">
        <f>SUMIFS(NewEmisData!I:I, NewEmisData!$A:$A, $G32, NewEmisData!$B:$B, $A32, NewEmisData!$C:$C, $H32, NewEmisData!$D:$D, BF$6)</f>
        <v>6.8837534672911399E-2</v>
      </c>
      <c r="BG32" s="1111">
        <f>SUMIFS(NewEmisData!J:J, NewEmisData!$A:$A, $G32, NewEmisData!$B:$B, $A32, NewEmisData!$C:$C, $H32, NewEmisData!$D:$D, BG$6)</f>
        <v>6.3495189038770203E-2</v>
      </c>
      <c r="BH32" s="1111">
        <f>SUMIFS(NewEmisData!K:K, NewEmisData!$A:$A, $G32, NewEmisData!$B:$B, $A32, NewEmisData!$C:$C, $H32, NewEmisData!$D:$D, BH$6)</f>
        <v>6.1918142257759601E-2</v>
      </c>
      <c r="BI32" s="1111">
        <f>SUMIFS(NewEmisData!L:L, NewEmisData!$A:$A, $G32, NewEmisData!$B:$B, $A32, NewEmisData!$C:$C, $H32, NewEmisData!$D:$D, BI$6)</f>
        <v>6.1908718128838802E-2</v>
      </c>
      <c r="BJ32" s="1111">
        <f>SUMIFS(NewEmisData!M:M, NewEmisData!$A:$A, $G32, NewEmisData!$B:$B, $A32, NewEmisData!$C:$C, $H32, NewEmisData!$D:$D, BJ$6)</f>
        <v>6.1907262020399603E-2</v>
      </c>
      <c r="BK32" s="1111">
        <f t="shared" si="75"/>
        <v>6.1907262020399603E-2</v>
      </c>
      <c r="BL32" s="1111">
        <f t="shared" si="76"/>
        <v>4.8199473877118004</v>
      </c>
      <c r="BM32" s="1111">
        <f>SUMIFS(NewEmisData!E:E, NewEmisData!$A:$A, $G32, NewEmisData!$B:$B, $A32, NewEmisData!$C:$C, $H32, NewEmisData!$D:$D, BM$6)</f>
        <v>4.8199473877118004</v>
      </c>
      <c r="BN32" s="1111">
        <f>SUMIFS(NewEmisData!F:F, NewEmisData!$A:$A, $G32, NewEmisData!$B:$B, $A32, NewEmisData!$C:$C, $H32, NewEmisData!$D:$D, BN$6)</f>
        <v>2.13606006571157</v>
      </c>
      <c r="BO32" s="1111">
        <f>SUMIFS(NewEmisData!G:G, NewEmisData!$A:$A, $G32, NewEmisData!$B:$B, $A32, NewEmisData!$C:$C, $H32, NewEmisData!$D:$D, BO$6)</f>
        <v>1.4626606870508201</v>
      </c>
      <c r="BP32" s="1111">
        <f>SUMIFS(NewEmisData!H:H, NewEmisData!$A:$A, $G32, NewEmisData!$B:$B, $A32, NewEmisData!$C:$C, $H32, NewEmisData!$D:$D, BP$6)</f>
        <v>0.91632051356289601</v>
      </c>
      <c r="BQ32" s="1111">
        <f>SUMIFS(NewEmisData!I:I, NewEmisData!$A:$A, $G32, NewEmisData!$B:$B, $A32, NewEmisData!$C:$C, $H32, NewEmisData!$D:$D, BQ$6)</f>
        <v>0.74159278245313098</v>
      </c>
      <c r="BR32" s="1111">
        <f>SUMIFS(NewEmisData!J:J, NewEmisData!$A:$A, $G32, NewEmisData!$B:$B, $A32, NewEmisData!$C:$C, $H32, NewEmisData!$D:$D, BR$6)</f>
        <v>0.70121666030394803</v>
      </c>
      <c r="BS32" s="1111">
        <f>SUMIFS(NewEmisData!K:K, NewEmisData!$A:$A, $G32, NewEmisData!$B:$B, $A32, NewEmisData!$C:$C, $H32, NewEmisData!$D:$D, BS$6)</f>
        <v>0.69011658725035796</v>
      </c>
      <c r="BT32" s="1111">
        <f>SUMIFS(NewEmisData!L:L, NewEmisData!$A:$A, $G32, NewEmisData!$B:$B, $A32, NewEmisData!$C:$C, $H32, NewEmisData!$D:$D, BT$6)</f>
        <v>0.68991923636254204</v>
      </c>
      <c r="BU32" s="1111">
        <f>SUMIFS(NewEmisData!M:M, NewEmisData!$A:$A, $G32, NewEmisData!$B:$B, $A32, NewEmisData!$C:$C, $H32, NewEmisData!$D:$D, BU$6)</f>
        <v>0.68982544184786598</v>
      </c>
      <c r="BV32" s="1111">
        <f t="shared" si="83"/>
        <v>0.68982544184786598</v>
      </c>
      <c r="BW32" s="1111">
        <f t="shared" si="77"/>
        <v>2.0873450951181098</v>
      </c>
      <c r="BX32" s="1111">
        <f>SUMIFS(NewEmisData!E:E, NewEmisData!$A:$A, $G32, NewEmisData!$B:$B, $A32, NewEmisData!$C:$C, $H32, NewEmisData!$D:$D, BX$6)</f>
        <v>2.0873450951181098</v>
      </c>
      <c r="BY32" s="1111">
        <f>SUMIFS(NewEmisData!F:F, NewEmisData!$A:$A, $G32, NewEmisData!$B:$B, $A32, NewEmisData!$C:$C, $H32, NewEmisData!$D:$D, BY$6)</f>
        <v>0.82818205887879504</v>
      </c>
      <c r="BZ32" s="1111">
        <f>SUMIFS(NewEmisData!G:G, NewEmisData!$A:$A, $G32, NewEmisData!$B:$B, $A32, NewEmisData!$C:$C, $H32, NewEmisData!$D:$D, BZ$6)</f>
        <v>0.49677177359374097</v>
      </c>
      <c r="CA32" s="1111">
        <f>SUMIFS(NewEmisData!H:H, NewEmisData!$A:$A, $G32, NewEmisData!$B:$B, $A32, NewEmisData!$C:$C, $H32, NewEmisData!$D:$D, CA$6)</f>
        <v>0.255767592675607</v>
      </c>
      <c r="CB32" s="1111">
        <f>SUMIFS(NewEmisData!I:I, NewEmisData!$A:$A, $G32, NewEmisData!$B:$B, $A32, NewEmisData!$C:$C, $H32, NewEmisData!$D:$D, CB$6)</f>
        <v>0.18123851738744101</v>
      </c>
      <c r="CC32" s="1111">
        <f>SUMIFS(NewEmisData!J:J, NewEmisData!$A:$A, $G32, NewEmisData!$B:$B, $A32, NewEmisData!$C:$C, $H32, NewEmisData!$D:$D, CC$6)</f>
        <v>0.16339043238474099</v>
      </c>
      <c r="CD32" s="1111">
        <f>SUMIFS(NewEmisData!K:K, NewEmisData!$A:$A, $G32, NewEmisData!$B:$B, $A32, NewEmisData!$C:$C, $H32, NewEmisData!$D:$D, CD$6)</f>
        <v>0.15878537340132501</v>
      </c>
      <c r="CE32" s="1111">
        <f>SUMIFS(NewEmisData!L:L, NewEmisData!$A:$A, $G32, NewEmisData!$B:$B, $A32, NewEmisData!$C:$C, $H32, NewEmisData!$D:$D, CE$6)</f>
        <v>0.158704013950277</v>
      </c>
      <c r="CF32" s="1111">
        <f>SUMIFS(NewEmisData!M:M, NewEmisData!$A:$A, $G32, NewEmisData!$B:$B, $A32, NewEmisData!$C:$C, $H32, NewEmisData!$D:$D, CF$6)</f>
        <v>0.15866010461272401</v>
      </c>
      <c r="CG32" s="1111">
        <f t="shared" si="78"/>
        <v>0.15866010461272401</v>
      </c>
      <c r="CH32" s="1111">
        <f t="shared" si="79"/>
        <v>3.4721835377985802E-2</v>
      </c>
      <c r="CI32" s="1111">
        <f>SUMIFS(NewEmisData!E:E, NewEmisData!$A:$A, $G32, NewEmisData!$B:$B, $A32, NewEmisData!$C:$C, $H32, NewEmisData!$D:$D, CI$6)</f>
        <v>3.4721835377985802E-2</v>
      </c>
      <c r="CJ32" s="1111">
        <f>SUMIFS(NewEmisData!F:F, NewEmisData!$A:$A, $G32, NewEmisData!$B:$B, $A32, NewEmisData!$C:$C, $H32, NewEmisData!$D:$D, CJ$6)</f>
        <v>3.4721918500933702E-2</v>
      </c>
      <c r="CK32" s="1111">
        <f>SUMIFS(NewEmisData!G:G, NewEmisData!$A:$A, $G32, NewEmisData!$B:$B, $A32, NewEmisData!$C:$C, $H32, NewEmisData!$D:$D, CK$6)</f>
        <v>3.9607483836340801E-2</v>
      </c>
      <c r="CL32" s="1111">
        <f>SUMIFS(NewEmisData!H:H, NewEmisData!$A:$A, $G32, NewEmisData!$B:$B, $A32, NewEmisData!$C:$C, $H32, NewEmisData!$D:$D, CL$6)</f>
        <v>3.9607942764627597E-2</v>
      </c>
      <c r="CM32" s="1111">
        <f>SUMIFS(NewEmisData!I:I, NewEmisData!$A:$A, $G32, NewEmisData!$B:$B, $A32, NewEmisData!$C:$C, $H32, NewEmisData!$D:$D, CM$6)</f>
        <v>3.9608185476154502E-2</v>
      </c>
      <c r="CN32" s="1111">
        <f>SUMIFS(NewEmisData!J:J, NewEmisData!$A:$A, $G32, NewEmisData!$B:$B, $A32, NewEmisData!$C:$C, $H32, NewEmisData!$D:$D, CN$6)</f>
        <v>3.9608266206743202E-2</v>
      </c>
      <c r="CO32" s="1111">
        <f>SUMIFS(NewEmisData!K:K, NewEmisData!$A:$A, $G32, NewEmisData!$B:$B, $A32, NewEmisData!$C:$C, $H32, NewEmisData!$D:$D, CO$6)</f>
        <v>3.96082447188153E-2</v>
      </c>
      <c r="CP32" s="1111">
        <f>SUMIFS(NewEmisData!L:L, NewEmisData!$A:$A, $G32, NewEmisData!$B:$B, $A32, NewEmisData!$C:$C, $H32, NewEmisData!$D:$D, CP$6)</f>
        <v>3.96082633707312E-2</v>
      </c>
      <c r="CQ32" s="1111">
        <f>SUMIFS(NewEmisData!M:M, NewEmisData!$A:$A, $G32, NewEmisData!$B:$B, $A32, NewEmisData!$C:$C, $H32, NewEmisData!$D:$D, CQ$6)</f>
        <v>3.9608260132730701E-2</v>
      </c>
      <c r="CR32" s="1111">
        <f t="shared" si="80"/>
        <v>3.9608260132730701E-2</v>
      </c>
      <c r="CS32" s="1111">
        <f t="shared" si="81"/>
        <v>6.5007561655818502E-3</v>
      </c>
      <c r="CT32" s="1111">
        <f>SUMIFS(NewEmisData!E:E, NewEmisData!$A:$A, $G32, NewEmisData!$B:$B, $A32, NewEmisData!$C:$C, $H32, NewEmisData!$D:$D, CT$6)</f>
        <v>6.5007561655818502E-3</v>
      </c>
      <c r="CU32" s="1111">
        <f>SUMIFS(NewEmisData!F:F, NewEmisData!$A:$A, $G32, NewEmisData!$B:$B, $A32, NewEmisData!$C:$C, $H32, NewEmisData!$D:$D, CU$6)</f>
        <v>6.4232890684132399E-3</v>
      </c>
      <c r="CV32" s="1111">
        <f>SUMIFS(NewEmisData!G:G, NewEmisData!$A:$A, $G32, NewEmisData!$B:$B, $A32, NewEmisData!$C:$C, $H32, NewEmisData!$D:$D, CV$6)</f>
        <v>7.3982049149974903E-3</v>
      </c>
      <c r="CW32" s="1111">
        <f>SUMIFS(NewEmisData!H:H, NewEmisData!$A:$A, $G32, NewEmisData!$B:$B, $A32, NewEmisData!$C:$C, $H32, NewEmisData!$D:$D, CW$6)</f>
        <v>7.4088773394752599E-3</v>
      </c>
      <c r="CX32" s="1111">
        <f>SUMIFS(NewEmisData!I:I, NewEmisData!$A:$A, $G32, NewEmisData!$B:$B, $A32, NewEmisData!$C:$C, $H32, NewEmisData!$D:$D, CX$6)</f>
        <v>7.4094538759446396E-3</v>
      </c>
      <c r="CY32" s="1111">
        <f>SUMIFS(NewEmisData!J:J, NewEmisData!$A:$A, $G32, NewEmisData!$B:$B, $A32, NewEmisData!$C:$C, $H32, NewEmisData!$D:$D, CY$6)</f>
        <v>7.4045671468592096E-3</v>
      </c>
      <c r="CZ32" s="1111">
        <f>SUMIFS(NewEmisData!K:K, NewEmisData!$A:$A, $G32, NewEmisData!$B:$B, $A32, NewEmisData!$C:$C, $H32, NewEmisData!$D:$D, CZ$6)</f>
        <v>7.4007369137275699E-3</v>
      </c>
      <c r="DA32" s="1111">
        <f>SUMIFS(NewEmisData!L:L, NewEmisData!$A:$A, $G32, NewEmisData!$B:$B, $A32, NewEmisData!$C:$C, $H32, NewEmisData!$D:$D, DA$6)</f>
        <v>7.3993983540755204E-3</v>
      </c>
      <c r="DB32" s="1111">
        <f>SUMIFS(NewEmisData!M:M, NewEmisData!$A:$A, $G32, NewEmisData!$B:$B, $A32, NewEmisData!$C:$C, $H32, NewEmisData!$D:$D, DB$6)</f>
        <v>7.3984107449231598E-3</v>
      </c>
      <c r="DC32" s="1111">
        <f t="shared" si="84"/>
        <v>7.3984107449231598E-3</v>
      </c>
      <c r="DD32" s="1111"/>
      <c r="DE32" s="1111"/>
      <c r="DF32" s="1111"/>
      <c r="DG32" s="1111"/>
      <c r="DH32" s="1111"/>
      <c r="DI32" s="1111"/>
      <c r="DJ32" s="1111"/>
      <c r="DK32" s="1111"/>
      <c r="DL32" s="1111"/>
      <c r="DM32" s="1111"/>
      <c r="DN32" s="1111"/>
      <c r="DO32" s="1111"/>
      <c r="DP32" s="1111"/>
      <c r="DQ32" s="1111"/>
      <c r="DR32" s="1111"/>
      <c r="DS32" s="1111"/>
      <c r="DT32" s="1111"/>
      <c r="DU32" s="1111"/>
      <c r="DV32" s="1111"/>
      <c r="DW32" s="1111"/>
      <c r="DX32" s="1111"/>
      <c r="DY32" s="1111"/>
      <c r="DZ32" s="1111">
        <f t="shared" si="85"/>
        <v>4.41589904201058E-2</v>
      </c>
      <c r="EA32" s="1111">
        <f>SUMIFS(NewEmisData!E:E, NewEmisData!$A:$A, $G32, NewEmisData!$B:$B, $A32, NewEmisData!$C:$C, $H32, NewEmisData!$D:$D, EA$6)</f>
        <v>4.41589904201058E-2</v>
      </c>
      <c r="EB32" s="1111">
        <f>SUMIFS(NewEmisData!F:F, NewEmisData!$A:$A, $G32, NewEmisData!$B:$B, $A32, NewEmisData!$C:$C, $H32, NewEmisData!$D:$D, EB$6)</f>
        <v>0.113476815309018</v>
      </c>
      <c r="EC32" s="1111">
        <f>SUMIFS(NewEmisData!G:G, NewEmisData!$A:$A, $G32, NewEmisData!$B:$B, $A32, NewEmisData!$C:$C, $H32, NewEmisData!$D:$D, EC$6)</f>
        <v>0.148804284105474</v>
      </c>
      <c r="ED32" s="1111">
        <f>SUMIFS(NewEmisData!H:H, NewEmisData!$A:$A, $G32, NewEmisData!$B:$B, $A32, NewEmisData!$C:$C, $H32, NewEmisData!$D:$D, ED$6)</f>
        <v>0.149805777267462</v>
      </c>
      <c r="EE32" s="1111">
        <f>SUMIFS(NewEmisData!I:I, NewEmisData!$A:$A, $G32, NewEmisData!$B:$B, $A32, NewEmisData!$C:$C, $H32, NewEmisData!$D:$D, EE$6)</f>
        <v>0.14994983513978</v>
      </c>
      <c r="EF32" s="1111">
        <f>SUMIFS(NewEmisData!J:J, NewEmisData!$A:$A, $G32, NewEmisData!$B:$B, $A32, NewEmisData!$C:$C, $H32, NewEmisData!$D:$D, EF$6)</f>
        <v>0.14964505772550801</v>
      </c>
      <c r="EG32" s="1111">
        <f>SUMIFS(NewEmisData!K:K, NewEmisData!$A:$A, $G32, NewEmisData!$B:$B, $A32, NewEmisData!$C:$C, $H32, NewEmisData!$D:$D, EG$6)</f>
        <v>0.149643881204473</v>
      </c>
      <c r="EH32" s="1111">
        <f>SUMIFS(NewEmisData!L:L, NewEmisData!$A:$A, $G32, NewEmisData!$B:$B, $A32, NewEmisData!$C:$C, $H32, NewEmisData!$D:$D, EH$6)</f>
        <v>0.14957074940992099</v>
      </c>
      <c r="EI32" s="1111">
        <f>SUMIFS(NewEmisData!M:M, NewEmisData!$A:$A, $G32, NewEmisData!$B:$B, $A32, NewEmisData!$C:$C, $H32, NewEmisData!$D:$D, EI$6)</f>
        <v>0.149527028885417</v>
      </c>
      <c r="EJ32" s="1111">
        <f t="shared" si="86"/>
        <v>0.149527028885417</v>
      </c>
      <c r="EK32" s="1111">
        <f t="shared" si="87"/>
        <v>1844.7083010230299</v>
      </c>
      <c r="EL32" s="1111">
        <f t="shared" si="48"/>
        <v>1844.7083010230299</v>
      </c>
      <c r="EM32" s="1111">
        <f t="shared" si="49"/>
        <v>1832.6045194358301</v>
      </c>
      <c r="EN32" s="1111">
        <f t="shared" si="50"/>
        <v>1884.2537986570301</v>
      </c>
      <c r="EO32" s="1111">
        <f t="shared" si="51"/>
        <v>1818.5727784503399</v>
      </c>
      <c r="EP32" s="1111">
        <f t="shared" si="52"/>
        <v>1763.6996289860999</v>
      </c>
      <c r="EQ32" s="1111">
        <f t="shared" si="53"/>
        <v>1745.38280930633</v>
      </c>
      <c r="ER32" s="1111">
        <f t="shared" si="54"/>
        <v>1739.98947678168</v>
      </c>
      <c r="ES32" s="1111">
        <f t="shared" si="55"/>
        <v>1738.81123596359</v>
      </c>
      <c r="ET32" s="1111">
        <f t="shared" si="56"/>
        <v>1738.5227113911701</v>
      </c>
      <c r="EU32" s="1111">
        <f t="shared" si="57"/>
        <v>1738.5227113911701</v>
      </c>
      <c r="EV32" s="1111">
        <f t="shared" si="88"/>
        <v>11.3242694436207</v>
      </c>
      <c r="EW32" s="1111">
        <f t="shared" si="38"/>
        <v>11.3242694436207</v>
      </c>
      <c r="EX32" s="1111">
        <f t="shared" si="39"/>
        <v>5.2798482437774998</v>
      </c>
      <c r="EY32" s="1111">
        <f t="shared" si="40"/>
        <v>3.78642260339578</v>
      </c>
      <c r="EZ32" s="1111">
        <f t="shared" si="41"/>
        <v>2.1972961679722198</v>
      </c>
      <c r="FA32" s="1111">
        <f t="shared" si="42"/>
        <v>1.5398620814352</v>
      </c>
      <c r="FB32" s="1111">
        <f t="shared" si="43"/>
        <v>1.33073738385153</v>
      </c>
      <c r="FC32" s="1111">
        <f t="shared" si="44"/>
        <v>1.2670046042829299</v>
      </c>
      <c r="FD32" s="1111">
        <f t="shared" si="45"/>
        <v>1.25837731661006</v>
      </c>
      <c r="FE32" s="1111">
        <f t="shared" si="46"/>
        <v>1.2558936064742501</v>
      </c>
      <c r="FF32" s="1111">
        <f t="shared" si="47"/>
        <v>1.2558936064742501</v>
      </c>
      <c r="FG32" s="1111">
        <f t="shared" si="89"/>
        <v>4.5365869728215401E-2</v>
      </c>
      <c r="FH32" s="1111">
        <f t="shared" si="90"/>
        <v>4.5365869728215401E-2</v>
      </c>
      <c r="FI32" s="1111">
        <f t="shared" si="91"/>
        <v>4.3660344033601299E-2</v>
      </c>
      <c r="FJ32" s="1111">
        <f t="shared" si="92"/>
        <v>1.5842755870111001E-2</v>
      </c>
      <c r="FK32" s="1111">
        <f t="shared" si="93"/>
        <v>1.52011817179993E-2</v>
      </c>
      <c r="FL32" s="1111">
        <f t="shared" si="94"/>
        <v>1.47126837043844E-2</v>
      </c>
      <c r="FM32" s="1111">
        <f t="shared" si="95"/>
        <v>1.45535009771615E-2</v>
      </c>
      <c r="FN32" s="1111">
        <f t="shared" si="96"/>
        <v>1.4506508977964299E-2</v>
      </c>
      <c r="FO32" s="1111">
        <f t="shared" si="97"/>
        <v>1.44966873739067E-2</v>
      </c>
      <c r="FP32" s="1111">
        <f t="shared" si="98"/>
        <v>1.4494279129535799E-2</v>
      </c>
      <c r="FQ32" s="1111">
        <f t="shared" si="99"/>
        <v>1.4494279129535799E-2</v>
      </c>
      <c r="FR32" s="1111">
        <f t="shared" si="25"/>
        <v>1.1349607828839201</v>
      </c>
      <c r="FS32" s="1111">
        <f t="shared" si="26"/>
        <v>1.1349607828839201</v>
      </c>
      <c r="FT32" s="1111">
        <f t="shared" si="27"/>
        <v>0.61030408012734905</v>
      </c>
      <c r="FU32" s="1111">
        <f t="shared" si="28"/>
        <v>0.44031388127967303</v>
      </c>
      <c r="FV32" s="1111">
        <f t="shared" si="29"/>
        <v>0.34801512923671002</v>
      </c>
      <c r="FW32" s="1111">
        <f t="shared" si="30"/>
        <v>0.316619673688259</v>
      </c>
      <c r="FX32" s="1111">
        <f t="shared" si="31"/>
        <v>0.310711543242081</v>
      </c>
      <c r="FY32" s="1111">
        <f t="shared" si="32"/>
        <v>0.30897246291541097</v>
      </c>
      <c r="FZ32" s="1111">
        <f t="shared" si="33"/>
        <v>0.308957597755115</v>
      </c>
      <c r="GA32" s="1111">
        <f t="shared" si="34"/>
        <v>0.30895604079919098</v>
      </c>
      <c r="GB32" s="1111">
        <f t="shared" si="35"/>
        <v>0.30895604079919098</v>
      </c>
      <c r="GC32" s="1111">
        <f t="shared" si="59"/>
        <v>0.82460782978682501</v>
      </c>
      <c r="GD32" s="1111">
        <f t="shared" si="60"/>
        <v>0.82460782978682501</v>
      </c>
      <c r="GE32" s="1111">
        <f t="shared" si="61"/>
        <v>0.34373570942234799</v>
      </c>
      <c r="GF32" s="1111">
        <f t="shared" si="62"/>
        <v>0.18121898411016099</v>
      </c>
      <c r="GG32" s="1111">
        <f t="shared" si="63"/>
        <v>9.7394815729633696E-2</v>
      </c>
      <c r="GH32" s="1111">
        <f t="shared" si="64"/>
        <v>6.8837534672911399E-2</v>
      </c>
      <c r="GI32" s="1111">
        <f t="shared" si="65"/>
        <v>6.3495189038770203E-2</v>
      </c>
      <c r="GJ32" s="1111">
        <f t="shared" si="66"/>
        <v>6.1918142257759601E-2</v>
      </c>
      <c r="GK32" s="1111">
        <f t="shared" si="67"/>
        <v>6.1908718128838802E-2</v>
      </c>
      <c r="GL32" s="1111">
        <f t="shared" si="68"/>
        <v>6.1907262020399603E-2</v>
      </c>
      <c r="GM32" s="1111">
        <f t="shared" si="69"/>
        <v>6.1907262020399603E-2</v>
      </c>
    </row>
    <row r="33" spans="1:195" x14ac:dyDescent="0.2">
      <c r="A33" s="1071" t="s">
        <v>188</v>
      </c>
      <c r="B33" s="1071" t="str">
        <f>Technologies!C111</f>
        <v>TMDSLE</v>
      </c>
      <c r="C33" s="1071" t="str">
        <f>Technologies!D111</f>
        <v>Medium Duty Truck, Existing Diesel</v>
      </c>
      <c r="D33" s="1071" t="str">
        <f>TechData!D18</f>
        <v>bn-vmt, bn-vmt/a</v>
      </c>
      <c r="E33" s="1071" t="str">
        <f>TechData!E19</f>
        <v>TMDSL</v>
      </c>
      <c r="F33" s="1071" t="str">
        <f>TechData!F19</f>
        <v>TM</v>
      </c>
      <c r="G33" s="1110" t="s">
        <v>503</v>
      </c>
      <c r="H33" s="1111" t="s">
        <v>499</v>
      </c>
      <c r="I33" s="1112">
        <v>1</v>
      </c>
      <c r="J33" s="1111" t="str">
        <f t="shared" si="37"/>
        <v>Medium duty-DSL</v>
      </c>
      <c r="K33" s="1111">
        <f>SUMIFS(NewEmisData!E:E, NewEmisData!$A:$A, $G33, NewEmisData!$B:$B, $A33, NewEmisData!$C:$C, $H33, NewEmisData!$D:$D, K$6)</f>
        <v>1359.24651399801</v>
      </c>
      <c r="L33" s="1111">
        <f>SUMIFS(NewEmisData!F:F, NewEmisData!$A:$A, $G33, NewEmisData!$B:$B, $A33, NewEmisData!$C:$C, $H33, NewEmisData!$D:$D, L$6)</f>
        <v>1349.4553811456799</v>
      </c>
      <c r="M33" s="1111">
        <f>SUMIFS(NewEmisData!G:G, NewEmisData!$A:$A, $G33, NewEmisData!$B:$B, $A33, NewEmisData!$C:$C, $H33, NewEmisData!$D:$D, M$6)</f>
        <v>1201.7753721342699</v>
      </c>
      <c r="N33" s="1111">
        <f>SUMIFS(NewEmisData!H:H, NewEmisData!$A:$A, $G33, NewEmisData!$B:$B, $A33, NewEmisData!$C:$C, $H33, NewEmisData!$D:$D, N$6)</f>
        <v>1159.4102608457299</v>
      </c>
      <c r="O33" s="1111">
        <f>SUMIFS(NewEmisData!I:I, NewEmisData!$A:$A, $G33, NewEmisData!$B:$B, $A33, NewEmisData!$C:$C, $H33, NewEmisData!$D:$D, O$6)</f>
        <v>1124.18143975774</v>
      </c>
      <c r="P33" s="1111">
        <f>SUMIFS(NewEmisData!J:J, NewEmisData!$A:$A, $G33, NewEmisData!$B:$B, $A33, NewEmisData!$C:$C, $H33, NewEmisData!$D:$D, P$6)</f>
        <v>1112.41123305204</v>
      </c>
      <c r="Q33" s="1111">
        <f>SUMIFS(NewEmisData!K:K, NewEmisData!$A:$A, $G33, NewEmisData!$B:$B, $A33, NewEmisData!$C:$C, $H33, NewEmisData!$D:$D, Q$6)</f>
        <v>1108.9495585776399</v>
      </c>
      <c r="R33" s="1111">
        <f>SUMIFS(NewEmisData!L:L, NewEmisData!$A:$A, $G33, NewEmisData!$B:$B, $A33, NewEmisData!$C:$C, $H33, NewEmisData!$D:$D, R$6)</f>
        <v>1108.1911650136201</v>
      </c>
      <c r="S33" s="1111">
        <f>SUMIFS(NewEmisData!M:M, NewEmisData!$A:$A, $G33, NewEmisData!$B:$B, $A33, NewEmisData!$C:$C, $H33, NewEmisData!$D:$D, S$6)</f>
        <v>1108.0051090873801</v>
      </c>
      <c r="T33" s="1111">
        <f t="shared" si="17"/>
        <v>1108.0051090873801</v>
      </c>
      <c r="U33" s="1111">
        <f>SUMIFS(NewEmisData!E:E, NewEmisData!$A:$A, $G33, NewEmisData!$B:$B, $A33, NewEmisData!$C:$C, $H33, NewEmisData!$D:$D, U$6)</f>
        <v>9.9935080505540999</v>
      </c>
      <c r="V33" s="1111">
        <f>SUMIFS(NewEmisData!F:F, NewEmisData!$A:$A, $G33, NewEmisData!$B:$B, $A33, NewEmisData!$C:$C, $H33, NewEmisData!$D:$D, V$6)</f>
        <v>5.4019505037215803</v>
      </c>
      <c r="W33" s="1111">
        <f>SUMIFS(NewEmisData!G:G, NewEmisData!$A:$A, $G33, NewEmisData!$B:$B, $A33, NewEmisData!$C:$C, $H33, NewEmisData!$D:$D, W$6)</f>
        <v>2.3680454032681002</v>
      </c>
      <c r="X33" s="1111">
        <f>SUMIFS(NewEmisData!H:H, NewEmisData!$A:$A, $G33, NewEmisData!$B:$B, $A33, NewEmisData!$C:$C, $H33, NewEmisData!$D:$D, X$6)</f>
        <v>1.37960112387871</v>
      </c>
      <c r="Y33" s="1111">
        <f>SUMIFS(NewEmisData!I:I, NewEmisData!$A:$A, $G33, NewEmisData!$B:$B, $A33, NewEmisData!$C:$C, $H33, NewEmisData!$D:$D, Y$6)</f>
        <v>0.96959264343873697</v>
      </c>
      <c r="Z33" s="1111">
        <f>SUMIFS(NewEmisData!J:J, NewEmisData!$A:$A, $G33, NewEmisData!$B:$B, $A33, NewEmisData!$C:$C, $H33, NewEmisData!$D:$D, Z$6)</f>
        <v>0.83872679442891696</v>
      </c>
      <c r="AA33" s="1111">
        <f>SUMIFS(NewEmisData!K:K, NewEmisData!$A:$A, $G33, NewEmisData!$B:$B, $A33, NewEmisData!$C:$C, $H33, NewEmisData!$D:$D, AA$6)</f>
        <v>0.79867865097523805</v>
      </c>
      <c r="AB33" s="1111">
        <f>SUMIFS(NewEmisData!L:L, NewEmisData!$A:$A, $G33, NewEmisData!$B:$B, $A33, NewEmisData!$C:$C, $H33, NewEmisData!$D:$D, AB$6)</f>
        <v>0.79322284274622901</v>
      </c>
      <c r="AC33" s="1111">
        <f>SUMIFS(NewEmisData!M:M, NewEmisData!$A:$A, $G33, NewEmisData!$B:$B, $A33, NewEmisData!$C:$C, $H33, NewEmisData!$D:$D, AC$6)</f>
        <v>0.79163411205103495</v>
      </c>
      <c r="AD33" s="1111">
        <f t="shared" si="18"/>
        <v>0.79163411205103495</v>
      </c>
      <c r="AE33" s="1111">
        <f t="shared" si="70"/>
        <v>3.2609020112497403E-2</v>
      </c>
      <c r="AF33" s="1111">
        <f>SUMIFS(NewEmisData!E:E, NewEmisData!$A:$A, $G33, NewEmisData!$B:$B, $A33, NewEmisData!$C:$C, $H33, NewEmisData!$D:$D, AF$6)</f>
        <v>3.2609020112497403E-2</v>
      </c>
      <c r="AG33" s="1111">
        <f>SUMIFS(NewEmisData!F:F, NewEmisData!$A:$A, $G33, NewEmisData!$B:$B, $A33, NewEmisData!$C:$C, $H33, NewEmisData!$D:$D, AG$6)</f>
        <v>3.17571573502895E-2</v>
      </c>
      <c r="AH33" s="1111">
        <f>SUMIFS(NewEmisData!G:G, NewEmisData!$A:$A, $G33, NewEmisData!$B:$B, $A33, NewEmisData!$C:$C, $H33, NewEmisData!$D:$D, AH$6)</f>
        <v>1.01046015527187E-2</v>
      </c>
      <c r="AI33" s="1111">
        <f>SUMIFS(NewEmisData!H:H, NewEmisData!$A:$A, $G33, NewEmisData!$B:$B, $A33, NewEmisData!$C:$C, $H33, NewEmisData!$D:$D, AI$6)</f>
        <v>9.6913827425881005E-3</v>
      </c>
      <c r="AJ33" s="1111">
        <f>SUMIFS(NewEmisData!I:I, NewEmisData!$A:$A, $G33, NewEmisData!$B:$B, $A33, NewEmisData!$C:$C, $H33, NewEmisData!$D:$D, AJ$6)</f>
        <v>9.3778737694311005E-3</v>
      </c>
      <c r="AK33" s="1111">
        <f>SUMIFS(NewEmisData!J:J, NewEmisData!$A:$A, $G33, NewEmisData!$B:$B, $A33, NewEmisData!$C:$C, $H33, NewEmisData!$D:$D, AK$6)</f>
        <v>9.2756075273223108E-3</v>
      </c>
      <c r="AL33" s="1111">
        <f>SUMIFS(NewEmisData!K:K, NewEmisData!$A:$A, $G33, NewEmisData!$B:$B, $A33, NewEmisData!$C:$C, $H33, NewEmisData!$D:$D, AL$6)</f>
        <v>9.2454491450441392E-3</v>
      </c>
      <c r="AM33" s="1111">
        <f>SUMIFS(NewEmisData!L:L, NewEmisData!$A:$A, $G33, NewEmisData!$B:$B, $A33, NewEmisData!$C:$C, $H33, NewEmisData!$D:$D, AM$6)</f>
        <v>9.2391217629996109E-3</v>
      </c>
      <c r="AN33" s="1111">
        <f>SUMIFS(NewEmisData!M:M, NewEmisData!$A:$A, $G33, NewEmisData!$B:$B, $A33, NewEmisData!$C:$C, $H33, NewEmisData!$D:$D, AN$6)</f>
        <v>9.2375739351750405E-3</v>
      </c>
      <c r="AO33" s="1111">
        <f t="shared" si="71"/>
        <v>9.2375739351750405E-3</v>
      </c>
      <c r="AP33" s="1111">
        <f t="shared" si="72"/>
        <v>0.92068922490925897</v>
      </c>
      <c r="AQ33" s="1111">
        <f>SUMIFS(NewEmisData!E:E, NewEmisData!$A:$A, $G33, NewEmisData!$B:$B, $A33, NewEmisData!$C:$C, $H33, NewEmisData!$D:$D, AQ$6)</f>
        <v>0.92068922490925897</v>
      </c>
      <c r="AR33" s="1111">
        <f>SUMIFS(NewEmisData!F:F, NewEmisData!$A:$A, $G33, NewEmisData!$B:$B, $A33, NewEmisData!$C:$C, $H33, NewEmisData!$D:$D, AR$6)</f>
        <v>0.49332051927640103</v>
      </c>
      <c r="AS33" s="1111">
        <f>SUMIFS(NewEmisData!G:G, NewEmisData!$A:$A, $G33, NewEmisData!$B:$B, $A33, NewEmisData!$C:$C, $H33, NewEmisData!$D:$D, AS$6)</f>
        <v>0.24551244923642301</v>
      </c>
      <c r="AT33" s="1111">
        <f>SUMIFS(NewEmisData!H:H, NewEmisData!$A:$A, $G33, NewEmisData!$B:$B, $A33, NewEmisData!$C:$C, $H33, NewEmisData!$D:$D, AT$6)</f>
        <v>0.19029699336139799</v>
      </c>
      <c r="AU33" s="1111">
        <f>SUMIFS(NewEmisData!I:I, NewEmisData!$A:$A, $G33, NewEmisData!$B:$B, $A33, NewEmisData!$C:$C, $H33, NewEmisData!$D:$D, AU$6)</f>
        <v>0.171654581016567</v>
      </c>
      <c r="AV33" s="1111">
        <f>SUMIFS(NewEmisData!J:J, NewEmisData!$A:$A, $G33, NewEmisData!$B:$B, $A33, NewEmisData!$C:$C, $H33, NewEmisData!$D:$D, AV$6)</f>
        <v>0.168061002565252</v>
      </c>
      <c r="AW33" s="1111">
        <f>SUMIFS(NewEmisData!K:K, NewEmisData!$A:$A, $G33, NewEmisData!$B:$B, $A33, NewEmisData!$C:$C, $H33, NewEmisData!$D:$D, AW$6)</f>
        <v>0.167001709815503</v>
      </c>
      <c r="AX33" s="1111">
        <f>SUMIFS(NewEmisData!L:L, NewEmisData!$A:$A, $G33, NewEmisData!$B:$B, $A33, NewEmisData!$C:$C, $H33, NewEmisData!$D:$D, AX$6)</f>
        <v>0.16699297497215901</v>
      </c>
      <c r="AY33" s="1111">
        <f>SUMIFS(NewEmisData!M:M, NewEmisData!$A:$A, $G33, NewEmisData!$B:$B, $A33, NewEmisData!$C:$C, $H33, NewEmisData!$D:$D, AY$6)</f>
        <v>0.16699184457612301</v>
      </c>
      <c r="AZ33" s="1111">
        <f t="shared" si="73"/>
        <v>0.16699184457612301</v>
      </c>
      <c r="BA33" s="1111">
        <f t="shared" si="74"/>
        <v>0.71010379978724403</v>
      </c>
      <c r="BB33" s="1111">
        <f>SUMIFS(NewEmisData!E:E, NewEmisData!$A:$A, $G33, NewEmisData!$B:$B, $A33, NewEmisData!$C:$C, $H33, NewEmisData!$D:$D, BB$6)</f>
        <v>0.71010379978724403</v>
      </c>
      <c r="BC33" s="1111">
        <f>SUMIFS(NewEmisData!F:F, NewEmisData!$A:$A, $G33, NewEmisData!$B:$B, $A33, NewEmisData!$C:$C, $H33, NewEmisData!$D:$D, BC$6)</f>
        <v>0.31539716063004603</v>
      </c>
      <c r="BD33" s="1111">
        <f>SUMIFS(NewEmisData!G:G, NewEmisData!$A:$A, $G33, NewEmisData!$B:$B, $A33, NewEmisData!$C:$C, $H33, NewEmisData!$D:$D, BD$6)</f>
        <v>0.10700307974279601</v>
      </c>
      <c r="BE33" s="1111">
        <f>SUMIFS(NewEmisData!H:H, NewEmisData!$A:$A, $G33, NewEmisData!$B:$B, $A33, NewEmisData!$C:$C, $H33, NewEmisData!$D:$D, BE$6)</f>
        <v>5.6773062835599797E-2</v>
      </c>
      <c r="BF33" s="1111">
        <f>SUMIFS(NewEmisData!I:I, NewEmisData!$A:$A, $G33, NewEmisData!$B:$B, $A33, NewEmisData!$C:$C, $H33, NewEmisData!$D:$D, BF$6)</f>
        <v>3.9792368333530698E-2</v>
      </c>
      <c r="BG33" s="1111">
        <f>SUMIFS(NewEmisData!J:J, NewEmisData!$A:$A, $G33, NewEmisData!$B:$B, $A33, NewEmisData!$C:$C, $H33, NewEmisData!$D:$D, BG$6)</f>
        <v>3.6534861023721103E-2</v>
      </c>
      <c r="BH33" s="1111">
        <f>SUMIFS(NewEmisData!K:K, NewEmisData!$A:$A, $G33, NewEmisData!$B:$B, $A33, NewEmisData!$C:$C, $H33, NewEmisData!$D:$D, BH$6)</f>
        <v>3.5572117087596597E-2</v>
      </c>
      <c r="BI33" s="1111">
        <f>SUMIFS(NewEmisData!L:L, NewEmisData!$A:$A, $G33, NewEmisData!$B:$B, $A33, NewEmisData!$C:$C, $H33, NewEmisData!$D:$D, BI$6)</f>
        <v>3.556620106866E-2</v>
      </c>
      <c r="BJ33" s="1111">
        <f>SUMIFS(NewEmisData!M:M, NewEmisData!$A:$A, $G33, NewEmisData!$B:$B, $A33, NewEmisData!$C:$C, $H33, NewEmisData!$D:$D, BJ$6)</f>
        <v>3.5565244855547698E-2</v>
      </c>
      <c r="BK33" s="1111">
        <f t="shared" si="75"/>
        <v>3.5565244855547698E-2</v>
      </c>
      <c r="BL33" s="1111">
        <f t="shared" si="76"/>
        <v>4.3150452160613399</v>
      </c>
      <c r="BM33" s="1111">
        <f>SUMIFS(NewEmisData!E:E, NewEmisData!$A:$A, $G33, NewEmisData!$B:$B, $A33, NewEmisData!$C:$C, $H33, NewEmisData!$D:$D, BM$6)</f>
        <v>4.3150452160613399</v>
      </c>
      <c r="BN33" s="1111">
        <f>SUMIFS(NewEmisData!F:F, NewEmisData!$A:$A, $G33, NewEmisData!$B:$B, $A33, NewEmisData!$C:$C, $H33, NewEmisData!$D:$D, BN$6)</f>
        <v>2.1245169733868399</v>
      </c>
      <c r="BO33" s="1111">
        <f>SUMIFS(NewEmisData!G:G, NewEmisData!$A:$A, $G33, NewEmisData!$B:$B, $A33, NewEmisData!$C:$C, $H33, NewEmisData!$D:$D, BO$6)</f>
        <v>0.94068181429637499</v>
      </c>
      <c r="BP33" s="1111">
        <f>SUMIFS(NewEmisData!H:H, NewEmisData!$A:$A, $G33, NewEmisData!$B:$B, $A33, NewEmisData!$C:$C, $H33, NewEmisData!$D:$D, BP$6)</f>
        <v>0.59128118339828695</v>
      </c>
      <c r="BQ33" s="1111">
        <f>SUMIFS(NewEmisData!I:I, NewEmisData!$A:$A, $G33, NewEmisData!$B:$B, $A33, NewEmisData!$C:$C, $H33, NewEmisData!$D:$D, BQ$6)</f>
        <v>0.47927194222425401</v>
      </c>
      <c r="BR33" s="1111">
        <f>SUMIFS(NewEmisData!J:J, NewEmisData!$A:$A, $G33, NewEmisData!$B:$B, $A33, NewEmisData!$C:$C, $H33, NewEmisData!$D:$D, BR$6)</f>
        <v>0.45341859187278799</v>
      </c>
      <c r="BS33" s="1111">
        <f>SUMIFS(NewEmisData!K:K, NewEmisData!$A:$A, $G33, NewEmisData!$B:$B, $A33, NewEmisData!$C:$C, $H33, NewEmisData!$D:$D, BS$6)</f>
        <v>0.446256256758017</v>
      </c>
      <c r="BT33" s="1111">
        <f>SUMIFS(NewEmisData!L:L, NewEmisData!$A:$A, $G33, NewEmisData!$B:$B, $A33, NewEmisData!$C:$C, $H33, NewEmisData!$D:$D, BT$6)</f>
        <v>0.44612206557733602</v>
      </c>
      <c r="BU33" s="1111">
        <f>SUMIFS(NewEmisData!M:M, NewEmisData!$A:$A, $G33, NewEmisData!$B:$B, $A33, NewEmisData!$C:$C, $H33, NewEmisData!$D:$D, BU$6)</f>
        <v>0.44605643597918299</v>
      </c>
      <c r="BV33" s="1111">
        <f t="shared" si="83"/>
        <v>0.44605643597918299</v>
      </c>
      <c r="BW33" s="1111">
        <f t="shared" si="77"/>
        <v>1.7526352760541399</v>
      </c>
      <c r="BX33" s="1111">
        <f>SUMIFS(NewEmisData!E:E, NewEmisData!$A:$A, $G33, NewEmisData!$B:$B, $A33, NewEmisData!$C:$C, $H33, NewEmisData!$D:$D, BX$6)</f>
        <v>1.7526352760541399</v>
      </c>
      <c r="BY33" s="1111">
        <f>SUMIFS(NewEmisData!F:F, NewEmisData!$A:$A, $G33, NewEmisData!$B:$B, $A33, NewEmisData!$C:$C, $H33, NewEmisData!$D:$D, BY$6)</f>
        <v>0.76319496140940501</v>
      </c>
      <c r="BZ33" s="1111">
        <f>SUMIFS(NewEmisData!G:G, NewEmisData!$A:$A, $G33, NewEmisData!$B:$B, $A33, NewEmisData!$C:$C, $H33, NewEmisData!$D:$D, BZ$6)</f>
        <v>0.28613534772152999</v>
      </c>
      <c r="CA33" s="1111">
        <f>SUMIFS(NewEmisData!H:H, NewEmisData!$A:$A, $G33, NewEmisData!$B:$B, $A33, NewEmisData!$C:$C, $H33, NewEmisData!$D:$D, CA$6)</f>
        <v>0.14791681955889299</v>
      </c>
      <c r="CB33" s="1111">
        <f>SUMIFS(NewEmisData!I:I, NewEmisData!$A:$A, $G33, NewEmisData!$B:$B, $A33, NewEmisData!$C:$C, $H33, NewEmisData!$D:$D, CB$6)</f>
        <v>0.105362725656792</v>
      </c>
      <c r="CC33" s="1111">
        <f>SUMIFS(NewEmisData!J:J, NewEmisData!$A:$A, $G33, NewEmisData!$B:$B, $A33, NewEmisData!$C:$C, $H33, NewEmisData!$D:$D, CC$6)</f>
        <v>9.5060988557020901E-2</v>
      </c>
      <c r="CD33" s="1111">
        <f>SUMIFS(NewEmisData!K:K, NewEmisData!$A:$A, $G33, NewEmisData!$B:$B, $A33, NewEmisData!$C:$C, $H33, NewEmisData!$D:$D, CD$6)</f>
        <v>9.2424289509125304E-2</v>
      </c>
      <c r="CE33" s="1111">
        <f>SUMIFS(NewEmisData!L:L, NewEmisData!$A:$A, $G33, NewEmisData!$B:$B, $A33, NewEmisData!$C:$C, $H33, NewEmisData!$D:$D, CE$6)</f>
        <v>9.23723223995183E-2</v>
      </c>
      <c r="CF33" s="1111">
        <f>SUMIFS(NewEmisData!M:M, NewEmisData!$A:$A, $G33, NewEmisData!$B:$B, $A33, NewEmisData!$C:$C, $H33, NewEmisData!$D:$D, CF$6)</f>
        <v>9.2343531240566795E-2</v>
      </c>
      <c r="CG33" s="1111">
        <f t="shared" si="78"/>
        <v>9.2343531240566795E-2</v>
      </c>
      <c r="CH33" s="1111">
        <f t="shared" si="79"/>
        <v>2.7055218991672101E-2</v>
      </c>
      <c r="CI33" s="1111">
        <f>SUMIFS(NewEmisData!E:E, NewEmisData!$A:$A, $G33, NewEmisData!$B:$B, $A33, NewEmisData!$C:$C, $H33, NewEmisData!$D:$D, CI$6)</f>
        <v>2.7055218991672101E-2</v>
      </c>
      <c r="CJ33" s="1111">
        <f>SUMIFS(NewEmisData!F:F, NewEmisData!$A:$A, $G33, NewEmisData!$B:$B, $A33, NewEmisData!$C:$C, $H33, NewEmisData!$D:$D, CJ$6)</f>
        <v>2.7097811202849698E-2</v>
      </c>
      <c r="CK33" s="1111">
        <f>SUMIFS(NewEmisData!G:G, NewEmisData!$A:$A, $G33, NewEmisData!$B:$B, $A33, NewEmisData!$C:$C, $H33, NewEmisData!$D:$D, CK$6)</f>
        <v>2.7499989724317601E-2</v>
      </c>
      <c r="CL33" s="1111">
        <f>SUMIFS(NewEmisData!H:H, NewEmisData!$A:$A, $G33, NewEmisData!$B:$B, $A33, NewEmisData!$C:$C, $H33, NewEmisData!$D:$D, CL$6)</f>
        <v>2.7501820283735001E-2</v>
      </c>
      <c r="CM33" s="1111">
        <f>SUMIFS(NewEmisData!I:I, NewEmisData!$A:$A, $G33, NewEmisData!$B:$B, $A33, NewEmisData!$C:$C, $H33, NewEmisData!$D:$D, CM$6)</f>
        <v>2.7502699986778598E-2</v>
      </c>
      <c r="CN33" s="1111">
        <f>SUMIFS(NewEmisData!J:J, NewEmisData!$A:$A, $G33, NewEmisData!$B:$B, $A33, NewEmisData!$C:$C, $H33, NewEmisData!$D:$D, CN$6)</f>
        <v>2.7503009963342099E-2</v>
      </c>
      <c r="CO33" s="1111">
        <f>SUMIFS(NewEmisData!K:K, NewEmisData!$A:$A, $G33, NewEmisData!$B:$B, $A33, NewEmisData!$C:$C, $H33, NewEmisData!$D:$D, CO$6)</f>
        <v>2.75030807344766E-2</v>
      </c>
      <c r="CP33" s="1111">
        <f>SUMIFS(NewEmisData!L:L, NewEmisData!$A:$A, $G33, NewEmisData!$B:$B, $A33, NewEmisData!$C:$C, $H33, NewEmisData!$D:$D, CP$6)</f>
        <v>2.75031193176942E-2</v>
      </c>
      <c r="CQ33" s="1111">
        <f>SUMIFS(NewEmisData!M:M, NewEmisData!$A:$A, $G33, NewEmisData!$B:$B, $A33, NewEmisData!$C:$C, $H33, NewEmisData!$D:$D, CQ$6)</f>
        <v>2.7503100293147099E-2</v>
      </c>
      <c r="CR33" s="1111">
        <f t="shared" si="80"/>
        <v>2.7503100293147099E-2</v>
      </c>
      <c r="CS33" s="1111">
        <f t="shared" si="81"/>
        <v>3.9349904375135403E-3</v>
      </c>
      <c r="CT33" s="1111">
        <f>SUMIFS(NewEmisData!E:E, NewEmisData!$A:$A, $G33, NewEmisData!$B:$B, $A33, NewEmisData!$C:$C, $H33, NewEmisData!$D:$D, CT$6)</f>
        <v>3.9349904375135403E-3</v>
      </c>
      <c r="CU33" s="1111">
        <f>SUMIFS(NewEmisData!F:F, NewEmisData!$A:$A, $G33, NewEmisData!$B:$B, $A33, NewEmisData!$C:$C, $H33, NewEmisData!$D:$D, CU$6)</f>
        <v>4.0144188046577697E-3</v>
      </c>
      <c r="CV33" s="1111">
        <f>SUMIFS(NewEmisData!G:G, NewEmisData!$A:$A, $G33, NewEmisData!$B:$B, $A33, NewEmisData!$C:$C, $H33, NewEmisData!$D:$D, CV$6)</f>
        <v>3.85532676774381E-3</v>
      </c>
      <c r="CW33" s="1111">
        <f>SUMIFS(NewEmisData!H:H, NewEmisData!$A:$A, $G33, NewEmisData!$B:$B, $A33, NewEmisData!$C:$C, $H33, NewEmisData!$D:$D, CW$6)</f>
        <v>3.86278277523287E-3</v>
      </c>
      <c r="CX33" s="1111">
        <f>SUMIFS(NewEmisData!I:I, NewEmisData!$A:$A, $G33, NewEmisData!$B:$B, $A33, NewEmisData!$C:$C, $H33, NewEmisData!$D:$D, CX$6)</f>
        <v>3.8631569663602201E-3</v>
      </c>
      <c r="CY33" s="1111">
        <f>SUMIFS(NewEmisData!J:J, NewEmisData!$A:$A, $G33, NewEmisData!$B:$B, $A33, NewEmisData!$C:$C, $H33, NewEmisData!$D:$D, CY$6)</f>
        <v>3.8597143652261199E-3</v>
      </c>
      <c r="CZ33" s="1111">
        <f>SUMIFS(NewEmisData!K:K, NewEmisData!$A:$A, $G33, NewEmisData!$B:$B, $A33, NewEmisData!$C:$C, $H33, NewEmisData!$D:$D, CZ$6)</f>
        <v>3.8570170955670299E-3</v>
      </c>
      <c r="DA33" s="1111">
        <f>SUMIFS(NewEmisData!L:L, NewEmisData!$A:$A, $G33, NewEmisData!$B:$B, $A33, NewEmisData!$C:$C, $H33, NewEmisData!$D:$D, DA$6)</f>
        <v>3.8560726634583298E-3</v>
      </c>
      <c r="DB33" s="1111">
        <f>SUMIFS(NewEmisData!M:M, NewEmisData!$A:$A, $G33, NewEmisData!$B:$B, $A33, NewEmisData!$C:$C, $H33, NewEmisData!$D:$D, DB$6)</f>
        <v>3.8553758260127901E-3</v>
      </c>
      <c r="DC33" s="1111">
        <f t="shared" si="84"/>
        <v>3.8553758260127901E-3</v>
      </c>
      <c r="DD33" s="1111"/>
      <c r="DE33" s="1111"/>
      <c r="DF33" s="1111"/>
      <c r="DG33" s="1111"/>
      <c r="DH33" s="1111"/>
      <c r="DI33" s="1111"/>
      <c r="DJ33" s="1111"/>
      <c r="DK33" s="1111"/>
      <c r="DL33" s="1111"/>
      <c r="DM33" s="1111"/>
      <c r="DN33" s="1111"/>
      <c r="DO33" s="1111"/>
      <c r="DP33" s="1111"/>
      <c r="DQ33" s="1111"/>
      <c r="DR33" s="1111"/>
      <c r="DS33" s="1111"/>
      <c r="DT33" s="1111"/>
      <c r="DU33" s="1111"/>
      <c r="DV33" s="1111"/>
      <c r="DW33" s="1111"/>
      <c r="DX33" s="1111"/>
      <c r="DY33" s="1111"/>
      <c r="DZ33" s="1111">
        <f t="shared" si="85"/>
        <v>1.6945041867018E-2</v>
      </c>
      <c r="EA33" s="1111">
        <f>SUMIFS(NewEmisData!E:E, NewEmisData!$A:$A, $G33, NewEmisData!$B:$B, $A33, NewEmisData!$C:$C, $H33, NewEmisData!$D:$D, EA$6)</f>
        <v>1.6945041867018E-2</v>
      </c>
      <c r="EB33" s="1111">
        <f>SUMIFS(NewEmisData!F:F, NewEmisData!$A:$A, $G33, NewEmisData!$B:$B, $A33, NewEmisData!$C:$C, $H33, NewEmisData!$D:$D, EB$6)</f>
        <v>7.8276884254222703E-2</v>
      </c>
      <c r="EC33" s="1111">
        <f>SUMIFS(NewEmisData!G:G, NewEmisData!$A:$A, $G33, NewEmisData!$B:$B, $A33, NewEmisData!$C:$C, $H33, NewEmisData!$D:$D, EC$6)</f>
        <v>8.4900351611377101E-2</v>
      </c>
      <c r="ED33" s="1111">
        <f>SUMIFS(NewEmisData!H:H, NewEmisData!$A:$A, $G33, NewEmisData!$B:$B, $A33, NewEmisData!$C:$C, $H33, NewEmisData!$D:$D, ED$6)</f>
        <v>8.5774709001773697E-2</v>
      </c>
      <c r="EE33" s="1111">
        <f>SUMIFS(NewEmisData!I:I, NewEmisData!$A:$A, $G33, NewEmisData!$B:$B, $A33, NewEmisData!$C:$C, $H33, NewEmisData!$D:$D, EE$6)</f>
        <v>8.5992272513838397E-2</v>
      </c>
      <c r="EF33" s="1111">
        <f>SUMIFS(NewEmisData!J:J, NewEmisData!$A:$A, $G33, NewEmisData!$B:$B, $A33, NewEmisData!$C:$C, $H33, NewEmisData!$D:$D, EF$6)</f>
        <v>8.5851695810059206E-2</v>
      </c>
      <c r="EG33" s="1111">
        <f>SUMIFS(NewEmisData!K:K, NewEmisData!$A:$A, $G33, NewEmisData!$B:$B, $A33, NewEmisData!$C:$C, $H33, NewEmisData!$D:$D, EG$6)</f>
        <v>8.5868499327711095E-2</v>
      </c>
      <c r="EH33" s="1111">
        <f>SUMIFS(NewEmisData!L:L, NewEmisData!$A:$A, $G33, NewEmisData!$B:$B, $A33, NewEmisData!$C:$C, $H33, NewEmisData!$D:$D, EH$6)</f>
        <v>8.5821898568060301E-2</v>
      </c>
      <c r="EI33" s="1111">
        <f>SUMIFS(NewEmisData!M:M, NewEmisData!$A:$A, $G33, NewEmisData!$B:$B, $A33, NewEmisData!$C:$C, $H33, NewEmisData!$D:$D, EI$6)</f>
        <v>8.5793172972528697E-2</v>
      </c>
      <c r="EJ33" s="1111">
        <f t="shared" si="86"/>
        <v>8.5793172972528697E-2</v>
      </c>
      <c r="EK33" s="1111">
        <f t="shared" si="87"/>
        <v>1359.24651399801</v>
      </c>
      <c r="EL33" s="1111">
        <f t="shared" si="48"/>
        <v>1359.24651399801</v>
      </c>
      <c r="EM33" s="1111">
        <f t="shared" si="49"/>
        <v>1349.4553811456799</v>
      </c>
      <c r="EN33" s="1111">
        <f t="shared" si="50"/>
        <v>1201.7753721342699</v>
      </c>
      <c r="EO33" s="1111">
        <f t="shared" si="51"/>
        <v>1159.4102608457299</v>
      </c>
      <c r="EP33" s="1111">
        <f t="shared" si="52"/>
        <v>1124.18143975774</v>
      </c>
      <c r="EQ33" s="1111">
        <f t="shared" si="53"/>
        <v>1112.41123305204</v>
      </c>
      <c r="ER33" s="1111">
        <f t="shared" si="54"/>
        <v>1108.9495585776399</v>
      </c>
      <c r="ES33" s="1111">
        <f t="shared" si="55"/>
        <v>1108.1911650136201</v>
      </c>
      <c r="ET33" s="1111">
        <f t="shared" si="56"/>
        <v>1108.0051090873801</v>
      </c>
      <c r="EU33" s="1111">
        <f t="shared" si="57"/>
        <v>1108.0051090873801</v>
      </c>
      <c r="EV33" s="1111">
        <f t="shared" si="88"/>
        <v>9.9935080505540999</v>
      </c>
      <c r="EW33" s="1111">
        <f t="shared" si="38"/>
        <v>9.9935080505540999</v>
      </c>
      <c r="EX33" s="1111">
        <f t="shared" si="39"/>
        <v>5.4019505037215803</v>
      </c>
      <c r="EY33" s="1111">
        <f t="shared" si="40"/>
        <v>2.3680454032681002</v>
      </c>
      <c r="EZ33" s="1111">
        <f t="shared" si="41"/>
        <v>1.37960112387871</v>
      </c>
      <c r="FA33" s="1111">
        <f t="shared" si="42"/>
        <v>0.96959264343873697</v>
      </c>
      <c r="FB33" s="1111">
        <f t="shared" si="43"/>
        <v>0.83872679442891696</v>
      </c>
      <c r="FC33" s="1111">
        <f t="shared" si="44"/>
        <v>0.79867865097523805</v>
      </c>
      <c r="FD33" s="1111">
        <f t="shared" si="45"/>
        <v>0.79322284274622901</v>
      </c>
      <c r="FE33" s="1111">
        <f t="shared" si="46"/>
        <v>0.79163411205103495</v>
      </c>
      <c r="FF33" s="1111">
        <f t="shared" si="47"/>
        <v>0.79163411205103495</v>
      </c>
      <c r="FG33" s="1111">
        <f t="shared" si="89"/>
        <v>3.2609020112497403E-2</v>
      </c>
      <c r="FH33" s="1111">
        <f t="shared" si="90"/>
        <v>3.2609020112497403E-2</v>
      </c>
      <c r="FI33" s="1111">
        <f t="shared" si="91"/>
        <v>3.17571573502895E-2</v>
      </c>
      <c r="FJ33" s="1111">
        <f t="shared" si="92"/>
        <v>1.01046015527187E-2</v>
      </c>
      <c r="FK33" s="1111">
        <f t="shared" si="93"/>
        <v>9.6913827425881005E-3</v>
      </c>
      <c r="FL33" s="1111">
        <f t="shared" si="94"/>
        <v>9.3778737694311005E-3</v>
      </c>
      <c r="FM33" s="1111">
        <f t="shared" si="95"/>
        <v>9.2756075273223108E-3</v>
      </c>
      <c r="FN33" s="1111">
        <f t="shared" si="96"/>
        <v>9.2454491450441392E-3</v>
      </c>
      <c r="FO33" s="1111">
        <f t="shared" si="97"/>
        <v>9.2391217629996109E-3</v>
      </c>
      <c r="FP33" s="1111">
        <f t="shared" si="98"/>
        <v>9.2375739351750405E-3</v>
      </c>
      <c r="FQ33" s="1111">
        <f t="shared" si="99"/>
        <v>9.2375739351750405E-3</v>
      </c>
      <c r="FR33" s="1111">
        <f t="shared" si="25"/>
        <v>0.92068922490925897</v>
      </c>
      <c r="FS33" s="1111">
        <f t="shared" si="26"/>
        <v>0.92068922490925897</v>
      </c>
      <c r="FT33" s="1111">
        <f t="shared" si="27"/>
        <v>0.49332051927640103</v>
      </c>
      <c r="FU33" s="1111">
        <f t="shared" si="28"/>
        <v>0.24551244923642301</v>
      </c>
      <c r="FV33" s="1111">
        <f t="shared" si="29"/>
        <v>0.19029699336139799</v>
      </c>
      <c r="FW33" s="1111">
        <f t="shared" si="30"/>
        <v>0.171654581016567</v>
      </c>
      <c r="FX33" s="1111">
        <f t="shared" si="31"/>
        <v>0.168061002565252</v>
      </c>
      <c r="FY33" s="1111">
        <f t="shared" si="32"/>
        <v>0.167001709815503</v>
      </c>
      <c r="FZ33" s="1111">
        <f t="shared" si="33"/>
        <v>0.16699297497215901</v>
      </c>
      <c r="GA33" s="1111">
        <f t="shared" si="34"/>
        <v>0.16699184457612301</v>
      </c>
      <c r="GB33" s="1111">
        <f t="shared" si="35"/>
        <v>0.16699184457612301</v>
      </c>
      <c r="GC33" s="1111">
        <f t="shared" si="59"/>
        <v>0.71010379978724403</v>
      </c>
      <c r="GD33" s="1111">
        <f t="shared" si="60"/>
        <v>0.71010379978724403</v>
      </c>
      <c r="GE33" s="1111">
        <f t="shared" si="61"/>
        <v>0.31539716063004603</v>
      </c>
      <c r="GF33" s="1111">
        <f t="shared" si="62"/>
        <v>0.10700307974279601</v>
      </c>
      <c r="GG33" s="1111">
        <f t="shared" si="63"/>
        <v>5.6773062835599797E-2</v>
      </c>
      <c r="GH33" s="1111">
        <f t="shared" si="64"/>
        <v>3.9792368333530698E-2</v>
      </c>
      <c r="GI33" s="1111">
        <f t="shared" si="65"/>
        <v>3.6534861023721103E-2</v>
      </c>
      <c r="GJ33" s="1111">
        <f t="shared" si="66"/>
        <v>3.5572117087596597E-2</v>
      </c>
      <c r="GK33" s="1111">
        <f t="shared" si="67"/>
        <v>3.556620106866E-2</v>
      </c>
      <c r="GL33" s="1111">
        <f t="shared" si="68"/>
        <v>3.5565244855547698E-2</v>
      </c>
      <c r="GM33" s="1111">
        <f t="shared" si="69"/>
        <v>3.5565244855547698E-2</v>
      </c>
    </row>
    <row r="34" spans="1:195" x14ac:dyDescent="0.2">
      <c r="A34" s="1071" t="s">
        <v>190</v>
      </c>
      <c r="B34" s="1071" t="str">
        <f>Technologies!C111</f>
        <v>TMDSLE</v>
      </c>
      <c r="C34" s="1071" t="str">
        <f>Technologies!D111</f>
        <v>Medium Duty Truck, Existing Diesel</v>
      </c>
      <c r="D34" s="1071" t="str">
        <f>TechData!D18</f>
        <v>bn-vmt, bn-vmt/a</v>
      </c>
      <c r="E34" s="1071" t="str">
        <f>TechData!E19</f>
        <v>TMDSL</v>
      </c>
      <c r="F34" s="1071" t="str">
        <f>TechData!F19</f>
        <v>TM</v>
      </c>
      <c r="G34" s="1110" t="s">
        <v>503</v>
      </c>
      <c r="H34" s="1111" t="s">
        <v>499</v>
      </c>
      <c r="I34" s="1112">
        <v>1</v>
      </c>
      <c r="J34" s="1111" t="str">
        <f t="shared" si="37"/>
        <v>Medium duty-DSL</v>
      </c>
      <c r="K34" s="1111">
        <f>SUMIFS(NewEmisData!E:E, NewEmisData!$A:$A, $G34, NewEmisData!$B:$B, $A34, NewEmisData!$C:$C, $H34, NewEmisData!$D:$D, K$6)</f>
        <v>1336.71780257008</v>
      </c>
      <c r="L34" s="1111">
        <f>SUMIFS(NewEmisData!F:F, NewEmisData!$A:$A, $G34, NewEmisData!$B:$B, $A34, NewEmisData!$C:$C, $H34, NewEmisData!$D:$D, L$6)</f>
        <v>1334.1180611544301</v>
      </c>
      <c r="M34" s="1111">
        <f>SUMIFS(NewEmisData!G:G, NewEmisData!$A:$A, $G34, NewEmisData!$B:$B, $A34, NewEmisData!$C:$C, $H34, NewEmisData!$D:$D, M$6)</f>
        <v>1445.04089230315</v>
      </c>
      <c r="N34" s="1111">
        <f>SUMIFS(NewEmisData!H:H, NewEmisData!$A:$A, $G34, NewEmisData!$B:$B, $A34, NewEmisData!$C:$C, $H34, NewEmisData!$D:$D, N$6)</f>
        <v>1394.56782788027</v>
      </c>
      <c r="O34" s="1111">
        <f>SUMIFS(NewEmisData!I:I, NewEmisData!$A:$A, $G34, NewEmisData!$B:$B, $A34, NewEmisData!$C:$C, $H34, NewEmisData!$D:$D, O$6)</f>
        <v>1352.2640605745901</v>
      </c>
      <c r="P34" s="1111">
        <f>SUMIFS(NewEmisData!J:J, NewEmisData!$A:$A, $G34, NewEmisData!$B:$B, $A34, NewEmisData!$C:$C, $H34, NewEmisData!$D:$D, P$6)</f>
        <v>1337.95858730856</v>
      </c>
      <c r="Q34" s="1111">
        <f>SUMIFS(NewEmisData!K:K, NewEmisData!$A:$A, $G34, NewEmisData!$B:$B, $A34, NewEmisData!$C:$C, $H34, NewEmisData!$D:$D, Q$6)</f>
        <v>1333.6808792868501</v>
      </c>
      <c r="R34" s="1111">
        <f>SUMIFS(NewEmisData!L:L, NewEmisData!$A:$A, $G34, NewEmisData!$B:$B, $A34, NewEmisData!$C:$C, $H34, NewEmisData!$D:$D, R$6)</f>
        <v>1332.71889531121</v>
      </c>
      <c r="S34" s="1111">
        <f>SUMIFS(NewEmisData!M:M, NewEmisData!$A:$A, $G34, NewEmisData!$B:$B, $A34, NewEmisData!$C:$C, $H34, NewEmisData!$D:$D, S$6)</f>
        <v>1332.4669517233399</v>
      </c>
      <c r="T34" s="1111">
        <f t="shared" si="17"/>
        <v>1332.4669517233399</v>
      </c>
      <c r="U34" s="1111">
        <f>SUMIFS(NewEmisData!E:E, NewEmisData!$A:$A, $G34, NewEmisData!$B:$B, $A34, NewEmisData!$C:$C, $H34, NewEmisData!$D:$D, U$6)</f>
        <v>8.1159705197746597</v>
      </c>
      <c r="V34" s="1111">
        <f>SUMIFS(NewEmisData!F:F, NewEmisData!$A:$A, $G34, NewEmisData!$B:$B, $A34, NewEmisData!$C:$C, $H34, NewEmisData!$D:$D, V$6)</f>
        <v>4.1902678747381499</v>
      </c>
      <c r="W34" s="1111">
        <f>SUMIFS(NewEmisData!G:G, NewEmisData!$A:$A, $G34, NewEmisData!$B:$B, $A34, NewEmisData!$C:$C, $H34, NewEmisData!$D:$D, W$6)</f>
        <v>2.9831671777909299</v>
      </c>
      <c r="X34" s="1111">
        <f>SUMIFS(NewEmisData!H:H, NewEmisData!$A:$A, $G34, NewEmisData!$B:$B, $A34, NewEmisData!$C:$C, $H34, NewEmisData!$D:$D, X$6)</f>
        <v>1.79071707308598</v>
      </c>
      <c r="Y34" s="1111">
        <f>SUMIFS(NewEmisData!I:I, NewEmisData!$A:$A, $G34, NewEmisData!$B:$B, $A34, NewEmisData!$C:$C, $H34, NewEmisData!$D:$D, Y$6)</f>
        <v>1.29214834991715</v>
      </c>
      <c r="Z34" s="1111">
        <f>SUMIFS(NewEmisData!J:J, NewEmisData!$A:$A, $G34, NewEmisData!$B:$B, $A34, NewEmisData!$C:$C, $H34, NewEmisData!$D:$D, Z$6)</f>
        <v>1.1297597092685201</v>
      </c>
      <c r="AA34" s="1111">
        <f>SUMIFS(NewEmisData!K:K, NewEmisData!$A:$A, $G34, NewEmisData!$B:$B, $A34, NewEmisData!$C:$C, $H34, NewEmisData!$D:$D, AA$6)</f>
        <v>1.07869334628427</v>
      </c>
      <c r="AB34" s="1111">
        <f>SUMIFS(NewEmisData!L:L, NewEmisData!$A:$A, $G34, NewEmisData!$B:$B, $A34, NewEmisData!$C:$C, $H34, NewEmisData!$D:$D, AB$6)</f>
        <v>1.0710961293157399</v>
      </c>
      <c r="AC34" s="1111">
        <f>SUMIFS(NewEmisData!M:M, NewEmisData!$A:$A, $G34, NewEmisData!$B:$B, $A34, NewEmisData!$C:$C, $H34, NewEmisData!$D:$D, AC$6)</f>
        <v>1.06853485047457</v>
      </c>
      <c r="AD34" s="1111">
        <f t="shared" si="18"/>
        <v>1.06853485047457</v>
      </c>
      <c r="AE34" s="1111">
        <f t="shared" si="70"/>
        <v>3.2903787292919401E-2</v>
      </c>
      <c r="AF34" s="1111">
        <f>SUMIFS(NewEmisData!E:E, NewEmisData!$A:$A, $G34, NewEmisData!$B:$B, $A34, NewEmisData!$C:$C, $H34, NewEmisData!$D:$D, AF$6)</f>
        <v>3.2903787292919401E-2</v>
      </c>
      <c r="AG34" s="1111">
        <f>SUMIFS(NewEmisData!F:F, NewEmisData!$A:$A, $G34, NewEmisData!$B:$B, $A34, NewEmisData!$C:$C, $H34, NewEmisData!$D:$D, AG$6)</f>
        <v>3.1887226466035201E-2</v>
      </c>
      <c r="AH34" s="1111">
        <f>SUMIFS(NewEmisData!G:G, NewEmisData!$A:$A, $G34, NewEmisData!$B:$B, $A34, NewEmisData!$C:$C, $H34, NewEmisData!$D:$D, AH$6)</f>
        <v>1.2151036280147199E-2</v>
      </c>
      <c r="AI34" s="1111">
        <f>SUMIFS(NewEmisData!H:H, NewEmisData!$A:$A, $G34, NewEmisData!$B:$B, $A34, NewEmisData!$C:$C, $H34, NewEmisData!$D:$D, AI$6)</f>
        <v>1.16575948327503E-2</v>
      </c>
      <c r="AJ34" s="1111">
        <f>SUMIFS(NewEmisData!I:I, NewEmisData!$A:$A, $G34, NewEmisData!$B:$B, $A34, NewEmisData!$C:$C, $H34, NewEmisData!$D:$D, AJ$6)</f>
        <v>1.12807608208042E-2</v>
      </c>
      <c r="AK34" s="1111">
        <f>SUMIFS(NewEmisData!J:J, NewEmisData!$A:$A, $G34, NewEmisData!$B:$B, $A34, NewEmisData!$C:$C, $H34, NewEmisData!$D:$D, AK$6)</f>
        <v>1.11563832836782E-2</v>
      </c>
      <c r="AL34" s="1111">
        <f>SUMIFS(NewEmisData!K:K, NewEmisData!$A:$A, $G34, NewEmisData!$B:$B, $A34, NewEmisData!$C:$C, $H34, NewEmisData!$D:$D, AL$6)</f>
        <v>1.11190596779358E-2</v>
      </c>
      <c r="AM34" s="1111">
        <f>SUMIFS(NewEmisData!L:L, NewEmisData!$A:$A, $G34, NewEmisData!$B:$B, $A34, NewEmisData!$C:$C, $H34, NewEmisData!$D:$D, AM$6)</f>
        <v>1.1111041090770501E-2</v>
      </c>
      <c r="AN34" s="1111">
        <f>SUMIFS(NewEmisData!M:M, NewEmisData!$A:$A, $G34, NewEmisData!$B:$B, $A34, NewEmisData!$C:$C, $H34, NewEmisData!$D:$D, AN$6)</f>
        <v>1.11089391742305E-2</v>
      </c>
      <c r="AO34" s="1111">
        <f t="shared" si="71"/>
        <v>1.11089391742305E-2</v>
      </c>
      <c r="AP34" s="1111">
        <f t="shared" si="72"/>
        <v>0.75470063690720102</v>
      </c>
      <c r="AQ34" s="1111">
        <f>SUMIFS(NewEmisData!E:E, NewEmisData!$A:$A, $G34, NewEmisData!$B:$B, $A34, NewEmisData!$C:$C, $H34, NewEmisData!$D:$D, AQ$6)</f>
        <v>0.75470063690720102</v>
      </c>
      <c r="AR34" s="1111">
        <f>SUMIFS(NewEmisData!F:F, NewEmisData!$A:$A, $G34, NewEmisData!$B:$B, $A34, NewEmisData!$C:$C, $H34, NewEmisData!$D:$D, AR$6)</f>
        <v>0.41452815930639098</v>
      </c>
      <c r="AS34" s="1111">
        <f>SUMIFS(NewEmisData!G:G, NewEmisData!$A:$A, $G34, NewEmisData!$B:$B, $A34, NewEmisData!$C:$C, $H34, NewEmisData!$D:$D, AS$6)</f>
        <v>0.32175493237955199</v>
      </c>
      <c r="AT34" s="1111">
        <f>SUMIFS(NewEmisData!H:H, NewEmisData!$A:$A, $G34, NewEmisData!$B:$B, $A34, NewEmisData!$C:$C, $H34, NewEmisData!$D:$D, AT$6)</f>
        <v>0.25352921702854198</v>
      </c>
      <c r="AU34" s="1111">
        <f>SUMIFS(NewEmisData!I:I, NewEmisData!$A:$A, $G34, NewEmisData!$B:$B, $A34, NewEmisData!$C:$C, $H34, NewEmisData!$D:$D, AU$6)</f>
        <v>0.23028919647026699</v>
      </c>
      <c r="AV34" s="1111">
        <f>SUMIFS(NewEmisData!J:J, NewEmisData!$A:$A, $G34, NewEmisData!$B:$B, $A34, NewEmisData!$C:$C, $H34, NewEmisData!$D:$D, AV$6)</f>
        <v>0.22584791810744101</v>
      </c>
      <c r="AW34" s="1111">
        <f>SUMIFS(NewEmisData!K:K, NewEmisData!$A:$A, $G34, NewEmisData!$B:$B, $A34, NewEmisData!$C:$C, $H34, NewEmisData!$D:$D, AW$6)</f>
        <v>0.22452045938839199</v>
      </c>
      <c r="AX34" s="1111">
        <f>SUMIFS(NewEmisData!L:L, NewEmisData!$A:$A, $G34, NewEmisData!$B:$B, $A34, NewEmisData!$C:$C, $H34, NewEmisData!$D:$D, AX$6)</f>
        <v>0.22450852256822901</v>
      </c>
      <c r="AY34" s="1111">
        <f>SUMIFS(NewEmisData!M:M, NewEmisData!$A:$A, $G34, NewEmisData!$B:$B, $A34, NewEmisData!$C:$C, $H34, NewEmisData!$D:$D, AY$6)</f>
        <v>0.22450708090135699</v>
      </c>
      <c r="AZ34" s="1111">
        <f t="shared" si="73"/>
        <v>0.22450708090135699</v>
      </c>
      <c r="BA34" s="1111">
        <f t="shared" si="74"/>
        <v>0.55462986472983</v>
      </c>
      <c r="BB34" s="1111">
        <f>SUMIFS(NewEmisData!E:E, NewEmisData!$A:$A, $G34, NewEmisData!$B:$B, $A34, NewEmisData!$C:$C, $H34, NewEmisData!$D:$D, BB$6)</f>
        <v>0.55462986472983</v>
      </c>
      <c r="BC34" s="1111">
        <f>SUMIFS(NewEmisData!F:F, NewEmisData!$A:$A, $G34, NewEmisData!$B:$B, $A34, NewEmisData!$C:$C, $H34, NewEmisData!$D:$D, BC$6)</f>
        <v>0.24248413763726101</v>
      </c>
      <c r="BD34" s="1111">
        <f>SUMIFS(NewEmisData!G:G, NewEmisData!$A:$A, $G34, NewEmisData!$B:$B, $A34, NewEmisData!$C:$C, $H34, NewEmisData!$D:$D, BD$6)</f>
        <v>0.134184167736455</v>
      </c>
      <c r="BE34" s="1111">
        <f>SUMIFS(NewEmisData!H:H, NewEmisData!$A:$A, $G34, NewEmisData!$B:$B, $A34, NewEmisData!$C:$C, $H34, NewEmisData!$D:$D, BE$6)</f>
        <v>7.2197035661159606E-2</v>
      </c>
      <c r="BF34" s="1111">
        <f>SUMIFS(NewEmisData!I:I, NewEmisData!$A:$A, $G34, NewEmisData!$B:$B, $A34, NewEmisData!$C:$C, $H34, NewEmisData!$D:$D, BF$6)</f>
        <v>5.1049978127363498E-2</v>
      </c>
      <c r="BG34" s="1111">
        <f>SUMIFS(NewEmisData!J:J, NewEmisData!$A:$A, $G34, NewEmisData!$B:$B, $A34, NewEmisData!$C:$C, $H34, NewEmisData!$D:$D, BG$6)</f>
        <v>4.7030670986268203E-2</v>
      </c>
      <c r="BH34" s="1111">
        <f>SUMIFS(NewEmisData!K:K, NewEmisData!$A:$A, $G34, NewEmisData!$B:$B, $A34, NewEmisData!$C:$C, $H34, NewEmisData!$D:$D, BH$6)</f>
        <v>4.5825605278403299E-2</v>
      </c>
      <c r="BI34" s="1111">
        <f>SUMIFS(NewEmisData!L:L, NewEmisData!$A:$A, $G34, NewEmisData!$B:$B, $A34, NewEmisData!$C:$C, $H34, NewEmisData!$D:$D, BI$6)</f>
        <v>4.58177973162801E-2</v>
      </c>
      <c r="BJ34" s="1111">
        <f>SUMIFS(NewEmisData!M:M, NewEmisData!$A:$A, $G34, NewEmisData!$B:$B, $A34, NewEmisData!$C:$C, $H34, NewEmisData!$D:$D, BJ$6)</f>
        <v>4.5816229295905703E-2</v>
      </c>
      <c r="BK34" s="1111">
        <f t="shared" si="75"/>
        <v>4.5816229295905703E-2</v>
      </c>
      <c r="BL34" s="1111">
        <f t="shared" si="76"/>
        <v>3.60214748610194</v>
      </c>
      <c r="BM34" s="1111">
        <f>SUMIFS(NewEmisData!E:E, NewEmisData!$A:$A, $G34, NewEmisData!$B:$B, $A34, NewEmisData!$C:$C, $H34, NewEmisData!$D:$D, BM$6)</f>
        <v>3.60214748610194</v>
      </c>
      <c r="BN34" s="1111">
        <f>SUMIFS(NewEmisData!F:F, NewEmisData!$A:$A, $G34, NewEmisData!$B:$B, $A34, NewEmisData!$C:$C, $H34, NewEmisData!$D:$D, BN$6)</f>
        <v>1.77624524860446</v>
      </c>
      <c r="BO34" s="1111">
        <f>SUMIFS(NewEmisData!G:G, NewEmisData!$A:$A, $G34, NewEmisData!$B:$B, $A34, NewEmisData!$C:$C, $H34, NewEmisData!$D:$D, BO$6)</f>
        <v>1.1776035653010599</v>
      </c>
      <c r="BP34" s="1111">
        <f>SUMIFS(NewEmisData!H:H, NewEmisData!$A:$A, $G34, NewEmisData!$B:$B, $A34, NewEmisData!$C:$C, $H34, NewEmisData!$D:$D, BP$6)</f>
        <v>0.76085446661730005</v>
      </c>
      <c r="BQ34" s="1111">
        <f>SUMIFS(NewEmisData!I:I, NewEmisData!$A:$A, $G34, NewEmisData!$B:$B, $A34, NewEmisData!$C:$C, $H34, NewEmisData!$D:$D, BQ$6)</f>
        <v>0.62715484825252399</v>
      </c>
      <c r="BR34" s="1111">
        <f>SUMIFS(NewEmisData!J:J, NewEmisData!$A:$A, $G34, NewEmisData!$B:$B, $A34, NewEmisData!$C:$C, $H34, NewEmisData!$D:$D, BR$6)</f>
        <v>0.59561161426405995</v>
      </c>
      <c r="BS34" s="1111">
        <f>SUMIFS(NewEmisData!K:K, NewEmisData!$A:$A, $G34, NewEmisData!$B:$B, $A34, NewEmisData!$C:$C, $H34, NewEmisData!$D:$D, BS$6)</f>
        <v>0.586656365437488</v>
      </c>
      <c r="BT34" s="1111">
        <f>SUMIFS(NewEmisData!L:L, NewEmisData!$A:$A, $G34, NewEmisData!$B:$B, $A34, NewEmisData!$C:$C, $H34, NewEmisData!$D:$D, BT$6)</f>
        <v>0.58633071433356998</v>
      </c>
      <c r="BU34" s="1111">
        <f>SUMIFS(NewEmisData!M:M, NewEmisData!$A:$A, $G34, NewEmisData!$B:$B, $A34, NewEmisData!$C:$C, $H34, NewEmisData!$D:$D, BU$6)</f>
        <v>0.58613150489673305</v>
      </c>
      <c r="BV34" s="1111">
        <f t="shared" si="83"/>
        <v>0.58613150489673305</v>
      </c>
      <c r="BW34" s="1111">
        <f t="shared" si="77"/>
        <v>1.4585878276819899</v>
      </c>
      <c r="BX34" s="1111">
        <f>SUMIFS(NewEmisData!E:E, NewEmisData!$A:$A, $G34, NewEmisData!$B:$B, $A34, NewEmisData!$C:$C, $H34, NewEmisData!$D:$D, BX$6)</f>
        <v>1.4585878276819899</v>
      </c>
      <c r="BY34" s="1111">
        <f>SUMIFS(NewEmisData!F:F, NewEmisData!$A:$A, $G34, NewEmisData!$B:$B, $A34, NewEmisData!$C:$C, $H34, NewEmisData!$D:$D, BY$6)</f>
        <v>0.63111024641351499</v>
      </c>
      <c r="BZ34" s="1111">
        <f>SUMIFS(NewEmisData!G:G, NewEmisData!$A:$A, $G34, NewEmisData!$B:$B, $A34, NewEmisData!$C:$C, $H34, NewEmisData!$D:$D, BZ$6)</f>
        <v>0.39101466332213902</v>
      </c>
      <c r="CA34" s="1111">
        <f>SUMIFS(NewEmisData!H:H, NewEmisData!$A:$A, $G34, NewEmisData!$B:$B, $A34, NewEmisData!$C:$C, $H34, NewEmisData!$D:$D, CA$6)</f>
        <v>0.213477846209017</v>
      </c>
      <c r="CB34" s="1111">
        <f>SUMIFS(NewEmisData!I:I, NewEmisData!$A:$A, $G34, NewEmisData!$B:$B, $A34, NewEmisData!$C:$C, $H34, NewEmisData!$D:$D, CB$6)</f>
        <v>0.15780661931724599</v>
      </c>
      <c r="CC34" s="1111">
        <f>SUMIFS(NewEmisData!J:J, NewEmisData!$A:$A, $G34, NewEmisData!$B:$B, $A34, NewEmisData!$C:$C, $H34, NewEmisData!$D:$D, CC$6)</f>
        <v>0.14387801609152001</v>
      </c>
      <c r="CD34" s="1111">
        <f>SUMIFS(NewEmisData!K:K, NewEmisData!$A:$A, $G34, NewEmisData!$B:$B, $A34, NewEmisData!$C:$C, $H34, NewEmisData!$D:$D, CD$6)</f>
        <v>0.13989697938435799</v>
      </c>
      <c r="CE34" s="1111">
        <f>SUMIFS(NewEmisData!L:L, NewEmisData!$A:$A, $G34, NewEmisData!$B:$B, $A34, NewEmisData!$C:$C, $H34, NewEmisData!$D:$D, CE$6)</f>
        <v>0.139762763737699</v>
      </c>
      <c r="CF34" s="1111">
        <f>SUMIFS(NewEmisData!M:M, NewEmisData!$A:$A, $G34, NewEmisData!$B:$B, $A34, NewEmisData!$C:$C, $H34, NewEmisData!$D:$D, CF$6)</f>
        <v>0.139676136968958</v>
      </c>
      <c r="CG34" s="1111">
        <f t="shared" si="78"/>
        <v>0.139676136968958</v>
      </c>
      <c r="CH34" s="1111">
        <f t="shared" si="79"/>
        <v>2.6625022112881199E-2</v>
      </c>
      <c r="CI34" s="1111">
        <f>SUMIFS(NewEmisData!E:E, NewEmisData!$A:$A, $G34, NewEmisData!$B:$B, $A34, NewEmisData!$C:$C, $H34, NewEmisData!$D:$D, CI$6)</f>
        <v>2.6625022112881199E-2</v>
      </c>
      <c r="CJ34" s="1111">
        <f>SUMIFS(NewEmisData!F:F, NewEmisData!$A:$A, $G34, NewEmisData!$B:$B, $A34, NewEmisData!$C:$C, $H34, NewEmisData!$D:$D, CJ$6)</f>
        <v>2.66250927216873E-2</v>
      </c>
      <c r="CK34" s="1111">
        <f>SUMIFS(NewEmisData!G:G, NewEmisData!$A:$A, $G34, NewEmisData!$B:$B, $A34, NewEmisData!$C:$C, $H34, NewEmisData!$D:$D, CK$6)</f>
        <v>3.1310131148303597E-2</v>
      </c>
      <c r="CL34" s="1111">
        <f>SUMIFS(NewEmisData!H:H, NewEmisData!$A:$A, $G34, NewEmisData!$B:$B, $A34, NewEmisData!$C:$C, $H34, NewEmisData!$D:$D, CL$6)</f>
        <v>3.13110567850386E-2</v>
      </c>
      <c r="CM34" s="1111">
        <f>SUMIFS(NewEmisData!I:I, NewEmisData!$A:$A, $G34, NewEmisData!$B:$B, $A34, NewEmisData!$C:$C, $H34, NewEmisData!$D:$D, CM$6)</f>
        <v>3.1311503593969003E-2</v>
      </c>
      <c r="CN34" s="1111">
        <f>SUMIFS(NewEmisData!J:J, NewEmisData!$A:$A, $G34, NewEmisData!$B:$B, $A34, NewEmisData!$C:$C, $H34, NewEmisData!$D:$D, CN$6)</f>
        <v>3.1311654335670597E-2</v>
      </c>
      <c r="CO34" s="1111">
        <f>SUMIFS(NewEmisData!K:K, NewEmisData!$A:$A, $G34, NewEmisData!$B:$B, $A34, NewEmisData!$C:$C, $H34, NewEmisData!$D:$D, CO$6)</f>
        <v>3.1311703141941503E-2</v>
      </c>
      <c r="CP34" s="1111">
        <f>SUMIFS(NewEmisData!L:L, NewEmisData!$A:$A, $G34, NewEmisData!$B:$B, $A34, NewEmisData!$C:$C, $H34, NewEmisData!$D:$D, CP$6)</f>
        <v>3.1311701226839898E-2</v>
      </c>
      <c r="CQ34" s="1111">
        <f>SUMIFS(NewEmisData!M:M, NewEmisData!$A:$A, $G34, NewEmisData!$B:$B, $A34, NewEmisData!$C:$C, $H34, NewEmisData!$D:$D, CQ$6)</f>
        <v>3.1311724606097602E-2</v>
      </c>
      <c r="CR34" s="1111">
        <f t="shared" si="80"/>
        <v>3.1311724606097602E-2</v>
      </c>
      <c r="CS34" s="1111">
        <f t="shared" si="81"/>
        <v>4.2942881221194997E-3</v>
      </c>
      <c r="CT34" s="1111">
        <f>SUMIFS(NewEmisData!E:E, NewEmisData!$A:$A, $G34, NewEmisData!$B:$B, $A34, NewEmisData!$C:$C, $H34, NewEmisData!$D:$D, CT$6)</f>
        <v>4.2942881221194997E-3</v>
      </c>
      <c r="CU34" s="1111">
        <f>SUMIFS(NewEmisData!F:F, NewEmisData!$A:$A, $G34, NewEmisData!$B:$B, $A34, NewEmisData!$C:$C, $H34, NewEmisData!$D:$D, CU$6)</f>
        <v>4.52609306007902E-3</v>
      </c>
      <c r="CV34" s="1111">
        <f>SUMIFS(NewEmisData!G:G, NewEmisData!$A:$A, $G34, NewEmisData!$B:$B, $A34, NewEmisData!$C:$C, $H34, NewEmisData!$D:$D, CV$6)</f>
        <v>5.7549154829870204E-3</v>
      </c>
      <c r="CW34" s="1111">
        <f>SUMIFS(NewEmisData!H:H, NewEmisData!$A:$A, $G34, NewEmisData!$B:$B, $A34, NewEmisData!$C:$C, $H34, NewEmisData!$D:$D, CW$6)</f>
        <v>5.7792428030713902E-3</v>
      </c>
      <c r="CX34" s="1111">
        <f>SUMIFS(NewEmisData!I:I, NewEmisData!$A:$A, $G34, NewEmisData!$B:$B, $A34, NewEmisData!$C:$C, $H34, NewEmisData!$D:$D, CX$6)</f>
        <v>5.7801666189186297E-3</v>
      </c>
      <c r="CY34" s="1111">
        <f>SUMIFS(NewEmisData!J:J, NewEmisData!$A:$A, $G34, NewEmisData!$B:$B, $A34, NewEmisData!$C:$C, $H34, NewEmisData!$D:$D, CY$6)</f>
        <v>5.7687673444275804E-3</v>
      </c>
      <c r="CZ34" s="1111">
        <f>SUMIFS(NewEmisData!K:K, NewEmisData!$A:$A, $G34, NewEmisData!$B:$B, $A34, NewEmisData!$C:$C, $H34, NewEmisData!$D:$D, CZ$6)</f>
        <v>5.7598889247671798E-3</v>
      </c>
      <c r="DA34" s="1111">
        <f>SUMIFS(NewEmisData!L:L, NewEmisData!$A:$A, $G34, NewEmisData!$B:$B, $A34, NewEmisData!$C:$C, $H34, NewEmisData!$D:$D, DA$6)</f>
        <v>5.7567706696684201E-3</v>
      </c>
      <c r="DB34" s="1111">
        <f>SUMIFS(NewEmisData!M:M, NewEmisData!$A:$A, $G34, NewEmisData!$B:$B, $A34, NewEmisData!$C:$C, $H34, NewEmisData!$D:$D, DB$6)</f>
        <v>5.7544893575928197E-3</v>
      </c>
      <c r="DC34" s="1111">
        <f t="shared" si="84"/>
        <v>5.7544893575928197E-3</v>
      </c>
      <c r="DD34" s="1111"/>
      <c r="DE34" s="1111"/>
      <c r="DF34" s="1111"/>
      <c r="DG34" s="1111"/>
      <c r="DH34" s="1111"/>
      <c r="DI34" s="1111"/>
      <c r="DJ34" s="1111"/>
      <c r="DK34" s="1111"/>
      <c r="DL34" s="1111"/>
      <c r="DM34" s="1111"/>
      <c r="DN34" s="1111"/>
      <c r="DO34" s="1111"/>
      <c r="DP34" s="1111"/>
      <c r="DQ34" s="1111"/>
      <c r="DR34" s="1111"/>
      <c r="DS34" s="1111"/>
      <c r="DT34" s="1111"/>
      <c r="DU34" s="1111"/>
      <c r="DV34" s="1111"/>
      <c r="DW34" s="1111"/>
      <c r="DX34" s="1111"/>
      <c r="DY34" s="1111"/>
      <c r="DZ34" s="1111">
        <f t="shared" si="85"/>
        <v>3.1443183076475298E-2</v>
      </c>
      <c r="EA34" s="1111">
        <f>SUMIFS(NewEmisData!E:E, NewEmisData!$A:$A, $G34, NewEmisData!$B:$B, $A34, NewEmisData!$C:$C, $H34, NewEmisData!$D:$D, EA$6)</f>
        <v>3.1443183076475298E-2</v>
      </c>
      <c r="EB34" s="1111">
        <f>SUMIFS(NewEmisData!F:F, NewEmisData!$A:$A, $G34, NewEmisData!$B:$B, $A34, NewEmisData!$C:$C, $H34, NewEmisData!$D:$D, EB$6)</f>
        <v>9.3142408370314803E-2</v>
      </c>
      <c r="EC34" s="1111">
        <f>SUMIFS(NewEmisData!G:G, NewEmisData!$A:$A, $G34, NewEmisData!$B:$B, $A34, NewEmisData!$C:$C, $H34, NewEmisData!$D:$D, EC$6)</f>
        <v>0.12640906725248399</v>
      </c>
      <c r="ED34" s="1111">
        <f>SUMIFS(NewEmisData!H:H, NewEmisData!$A:$A, $G34, NewEmisData!$B:$B, $A34, NewEmisData!$C:$C, $H34, NewEmisData!$D:$D, ED$6)</f>
        <v>0.13167273257883699</v>
      </c>
      <c r="EE34" s="1111">
        <f>SUMIFS(NewEmisData!I:I, NewEmisData!$A:$A, $G34, NewEmisData!$B:$B, $A34, NewEmisData!$C:$C, $H34, NewEmisData!$D:$D, EE$6)</f>
        <v>0.133754957639485</v>
      </c>
      <c r="EF34" s="1111">
        <f>SUMIFS(NewEmisData!J:J, NewEmisData!$A:$A, $G34, NewEmisData!$B:$B, $A34, NewEmisData!$C:$C, $H34, NewEmisData!$D:$D, EF$6)</f>
        <v>0.13397825833520099</v>
      </c>
      <c r="EG34" s="1111">
        <f>SUMIFS(NewEmisData!K:K, NewEmisData!$A:$A, $G34, NewEmisData!$B:$B, $A34, NewEmisData!$C:$C, $H34, NewEmisData!$D:$D, EG$6)</f>
        <v>0.13422755831628899</v>
      </c>
      <c r="EH34" s="1111">
        <f>SUMIFS(NewEmisData!L:L, NewEmisData!$A:$A, $G34, NewEmisData!$B:$B, $A34, NewEmisData!$C:$C, $H34, NewEmisData!$D:$D, EH$6)</f>
        <v>0.134094847635195</v>
      </c>
      <c r="EI34" s="1111">
        <f>SUMIFS(NewEmisData!M:M, NewEmisData!$A:$A, $G34, NewEmisData!$B:$B, $A34, NewEmisData!$C:$C, $H34, NewEmisData!$D:$D, EI$6)</f>
        <v>0.13400465943828599</v>
      </c>
      <c r="EJ34" s="1111">
        <f t="shared" si="86"/>
        <v>0.13400465943828599</v>
      </c>
      <c r="EK34" s="1111">
        <f t="shared" si="87"/>
        <v>1336.71780257008</v>
      </c>
      <c r="EL34" s="1111">
        <f t="shared" si="48"/>
        <v>1336.71780257008</v>
      </c>
      <c r="EM34" s="1111">
        <f t="shared" si="49"/>
        <v>1334.1180611544301</v>
      </c>
      <c r="EN34" s="1111">
        <f t="shared" si="50"/>
        <v>1445.04089230315</v>
      </c>
      <c r="EO34" s="1111">
        <f t="shared" si="51"/>
        <v>1394.56782788027</v>
      </c>
      <c r="EP34" s="1111">
        <f t="shared" si="52"/>
        <v>1352.2640605745901</v>
      </c>
      <c r="EQ34" s="1111">
        <f t="shared" si="53"/>
        <v>1337.95858730856</v>
      </c>
      <c r="ER34" s="1111">
        <f t="shared" si="54"/>
        <v>1333.6808792868501</v>
      </c>
      <c r="ES34" s="1111">
        <f t="shared" si="55"/>
        <v>1332.71889531121</v>
      </c>
      <c r="ET34" s="1111">
        <f t="shared" si="56"/>
        <v>1332.4669517233399</v>
      </c>
      <c r="EU34" s="1111">
        <f t="shared" si="57"/>
        <v>1332.4669517233399</v>
      </c>
      <c r="EV34" s="1111">
        <f t="shared" si="88"/>
        <v>8.1159705197746597</v>
      </c>
      <c r="EW34" s="1111">
        <f t="shared" si="38"/>
        <v>8.1159705197746597</v>
      </c>
      <c r="EX34" s="1111">
        <f t="shared" si="39"/>
        <v>4.1902678747381499</v>
      </c>
      <c r="EY34" s="1111">
        <f t="shared" si="40"/>
        <v>2.9831671777909299</v>
      </c>
      <c r="EZ34" s="1111">
        <f t="shared" si="41"/>
        <v>1.79071707308598</v>
      </c>
      <c r="FA34" s="1111">
        <f t="shared" si="42"/>
        <v>1.29214834991715</v>
      </c>
      <c r="FB34" s="1111">
        <f t="shared" si="43"/>
        <v>1.1297597092685201</v>
      </c>
      <c r="FC34" s="1111">
        <f t="shared" si="44"/>
        <v>1.07869334628427</v>
      </c>
      <c r="FD34" s="1111">
        <f t="shared" si="45"/>
        <v>1.0710961293157399</v>
      </c>
      <c r="FE34" s="1111">
        <f t="shared" si="46"/>
        <v>1.06853485047457</v>
      </c>
      <c r="FF34" s="1111">
        <f t="shared" si="47"/>
        <v>1.06853485047457</v>
      </c>
      <c r="FG34" s="1111">
        <f t="shared" si="89"/>
        <v>3.2903787292919401E-2</v>
      </c>
      <c r="FH34" s="1111">
        <f t="shared" si="90"/>
        <v>3.2903787292919401E-2</v>
      </c>
      <c r="FI34" s="1111">
        <f t="shared" si="91"/>
        <v>3.1887226466035201E-2</v>
      </c>
      <c r="FJ34" s="1111">
        <f t="shared" si="92"/>
        <v>1.2151036280147199E-2</v>
      </c>
      <c r="FK34" s="1111">
        <f t="shared" si="93"/>
        <v>1.16575948327503E-2</v>
      </c>
      <c r="FL34" s="1111">
        <f t="shared" si="94"/>
        <v>1.12807608208042E-2</v>
      </c>
      <c r="FM34" s="1111">
        <f t="shared" si="95"/>
        <v>1.11563832836782E-2</v>
      </c>
      <c r="FN34" s="1111">
        <f t="shared" si="96"/>
        <v>1.11190596779358E-2</v>
      </c>
      <c r="FO34" s="1111">
        <f t="shared" si="97"/>
        <v>1.1111041090770501E-2</v>
      </c>
      <c r="FP34" s="1111">
        <f t="shared" si="98"/>
        <v>1.11089391742305E-2</v>
      </c>
      <c r="FQ34" s="1111">
        <f t="shared" si="99"/>
        <v>1.11089391742305E-2</v>
      </c>
      <c r="FR34" s="1111">
        <f t="shared" si="25"/>
        <v>0.75470063690720102</v>
      </c>
      <c r="FS34" s="1111">
        <f t="shared" si="26"/>
        <v>0.75470063690720102</v>
      </c>
      <c r="FT34" s="1111">
        <f t="shared" si="27"/>
        <v>0.41452815930639098</v>
      </c>
      <c r="FU34" s="1111">
        <f t="shared" si="28"/>
        <v>0.32175493237955199</v>
      </c>
      <c r="FV34" s="1111">
        <f t="shared" si="29"/>
        <v>0.25352921702854198</v>
      </c>
      <c r="FW34" s="1111">
        <f t="shared" si="30"/>
        <v>0.23028919647026699</v>
      </c>
      <c r="FX34" s="1111">
        <f t="shared" si="31"/>
        <v>0.22584791810744101</v>
      </c>
      <c r="FY34" s="1111">
        <f t="shared" si="32"/>
        <v>0.22452045938839199</v>
      </c>
      <c r="FZ34" s="1111">
        <f t="shared" si="33"/>
        <v>0.22450852256822901</v>
      </c>
      <c r="GA34" s="1111">
        <f t="shared" si="34"/>
        <v>0.22450708090135699</v>
      </c>
      <c r="GB34" s="1111">
        <f t="shared" si="35"/>
        <v>0.22450708090135699</v>
      </c>
      <c r="GC34" s="1111">
        <f t="shared" si="59"/>
        <v>0.55462986472983</v>
      </c>
      <c r="GD34" s="1111">
        <f t="shared" si="60"/>
        <v>0.55462986472983</v>
      </c>
      <c r="GE34" s="1111">
        <f t="shared" si="61"/>
        <v>0.24248413763726101</v>
      </c>
      <c r="GF34" s="1111">
        <f t="shared" si="62"/>
        <v>0.134184167736455</v>
      </c>
      <c r="GG34" s="1111">
        <f t="shared" si="63"/>
        <v>7.2197035661159606E-2</v>
      </c>
      <c r="GH34" s="1111">
        <f t="shared" si="64"/>
        <v>5.1049978127363498E-2</v>
      </c>
      <c r="GI34" s="1111">
        <f t="shared" si="65"/>
        <v>4.7030670986268203E-2</v>
      </c>
      <c r="GJ34" s="1111">
        <f t="shared" si="66"/>
        <v>4.5825605278403299E-2</v>
      </c>
      <c r="GK34" s="1111">
        <f t="shared" si="67"/>
        <v>4.58177973162801E-2</v>
      </c>
      <c r="GL34" s="1111">
        <f t="shared" si="68"/>
        <v>4.5816229295905703E-2</v>
      </c>
      <c r="GM34" s="1111">
        <f t="shared" si="69"/>
        <v>4.5816229295905703E-2</v>
      </c>
    </row>
    <row r="35" spans="1:195" x14ac:dyDescent="0.2">
      <c r="A35" s="1071" t="s">
        <v>182</v>
      </c>
      <c r="B35" s="1071" t="str">
        <f>Technologies!C112</f>
        <v>TMCNGE</v>
      </c>
      <c r="C35" s="1071" t="str">
        <f>Technologies!D112</f>
        <v>Medium Duty Truck, Existing CNG</v>
      </c>
      <c r="D35" s="1071" t="str">
        <f>TechData!D19</f>
        <v>bn-vmt, bn-vmt/a</v>
      </c>
      <c r="E35" s="1071" t="str">
        <f>TechData!E20</f>
        <v>TMCNG</v>
      </c>
      <c r="F35" s="1071" t="str">
        <f>TechData!F20</f>
        <v>TM</v>
      </c>
      <c r="G35" s="1110" t="s">
        <v>503</v>
      </c>
      <c r="H35" s="1111" t="s">
        <v>500</v>
      </c>
      <c r="I35" s="1112">
        <v>1</v>
      </c>
      <c r="J35" s="1111" t="str">
        <f t="shared" si="37"/>
        <v>Medium duty-GSL</v>
      </c>
      <c r="K35" s="1111">
        <f>SUMIFS(NewEmisData!E:E, NewEmisData!$A:$A, $G35, NewEmisData!$B:$B, $A35, NewEmisData!$C:$C, $H35, NewEmisData!$D:$D, K$6)</f>
        <v>1241.60800343195</v>
      </c>
      <c r="L35" s="1111">
        <f>SUMIFS(NewEmisData!F:F, NewEmisData!$A:$A, $G35, NewEmisData!$B:$B, $A35, NewEmisData!$C:$C, $H35, NewEmisData!$D:$D, L$6)</f>
        <v>1243.08928499321</v>
      </c>
      <c r="M35" s="1111">
        <f>SUMIFS(NewEmisData!G:G, NewEmisData!$A:$A, $G35, NewEmisData!$B:$B, $A35, NewEmisData!$C:$C, $H35, NewEmisData!$D:$D, M$6)</f>
        <v>1559.7377784626201</v>
      </c>
      <c r="N35" s="1111">
        <f>SUMIFS(NewEmisData!H:H, NewEmisData!$A:$A, $G35, NewEmisData!$B:$B, $A35, NewEmisData!$C:$C, $H35, NewEmisData!$D:$D, N$6)</f>
        <v>1531.1148438857699</v>
      </c>
      <c r="O35" s="1111">
        <f>SUMIFS(NewEmisData!I:I, NewEmisData!$A:$A, $G35, NewEmisData!$B:$B, $A35, NewEmisData!$C:$C, $H35, NewEmisData!$D:$D, O$6)</f>
        <v>1508.7877657548299</v>
      </c>
      <c r="P35" s="1111">
        <f>SUMIFS(NewEmisData!J:J, NewEmisData!$A:$A, $G35, NewEmisData!$B:$B, $A35, NewEmisData!$C:$C, $H35, NewEmisData!$D:$D, P$6)</f>
        <v>1502.9671636844901</v>
      </c>
      <c r="Q35" s="1111">
        <f>SUMIFS(NewEmisData!K:K, NewEmisData!$A:$A, $G35, NewEmisData!$B:$B, $A35, NewEmisData!$C:$C, $H35, NewEmisData!$D:$D, Q$6)</f>
        <v>1501.4395842993699</v>
      </c>
      <c r="R35" s="1111">
        <f>SUMIFS(NewEmisData!L:L, NewEmisData!$A:$A, $G35, NewEmisData!$B:$B, $A35, NewEmisData!$C:$C, $H35, NewEmisData!$D:$D, R$6)</f>
        <v>1501.15044041939</v>
      </c>
      <c r="S35" s="1111">
        <f>SUMIFS(NewEmisData!M:M, NewEmisData!$A:$A, $G35, NewEmisData!$B:$B, $A35, NewEmisData!$C:$C, $H35, NewEmisData!$D:$D, S$6)</f>
        <v>1501.0860905019599</v>
      </c>
      <c r="T35" s="1111">
        <f t="shared" si="17"/>
        <v>1501.0860905019599</v>
      </c>
      <c r="U35" s="1111">
        <f>SUMIFS(NewEmisData!E:E, NewEmisData!$A:$A, $G35, NewEmisData!$B:$B, $A35, NewEmisData!$C:$C, $H35, NewEmisData!$D:$D, U$6)</f>
        <v>4.1625657526614797</v>
      </c>
      <c r="V35" s="1111">
        <f>SUMIFS(NewEmisData!F:F, NewEmisData!$A:$A, $G35, NewEmisData!$B:$B, $A35, NewEmisData!$C:$C, $H35, NewEmisData!$D:$D, V$6)</f>
        <v>2.1578815518962502</v>
      </c>
      <c r="W35" s="1111">
        <f>SUMIFS(NewEmisData!G:G, NewEmisData!$A:$A, $G35, NewEmisData!$B:$B, $A35, NewEmisData!$C:$C, $H35, NewEmisData!$D:$D, W$6)</f>
        <v>1.30274636086792</v>
      </c>
      <c r="X35" s="1111">
        <f>SUMIFS(NewEmisData!H:H, NewEmisData!$A:$A, $G35, NewEmisData!$B:$B, $A35, NewEmisData!$C:$C, $H35, NewEmisData!$D:$D, X$6)</f>
        <v>0.94297953696777803</v>
      </c>
      <c r="Y35" s="1111">
        <f>SUMIFS(NewEmisData!I:I, NewEmisData!$A:$A, $G35, NewEmisData!$B:$B, $A35, NewEmisData!$C:$C, $H35, NewEmisData!$D:$D, Y$6)</f>
        <v>0.78815258031283297</v>
      </c>
      <c r="Z35" s="1111">
        <f>SUMIFS(NewEmisData!J:J, NewEmisData!$A:$A, $G35, NewEmisData!$B:$B, $A35, NewEmisData!$C:$C, $H35, NewEmisData!$D:$D, Z$6)</f>
        <v>0.71799894873057002</v>
      </c>
      <c r="AA35" s="1111">
        <f>SUMIFS(NewEmisData!K:K, NewEmisData!$A:$A, $G35, NewEmisData!$B:$B, $A35, NewEmisData!$C:$C, $H35, NewEmisData!$D:$D, AA$6)</f>
        <v>0.69737659475245495</v>
      </c>
      <c r="AB35" s="1111">
        <f>SUMIFS(NewEmisData!L:L, NewEmisData!$A:$A, $G35, NewEmisData!$B:$B, $A35, NewEmisData!$C:$C, $H35, NewEmisData!$D:$D, AB$6)</f>
        <v>0.69289982108465797</v>
      </c>
      <c r="AC35" s="1111">
        <f>SUMIFS(NewEmisData!M:M, NewEmisData!$A:$A, $G35, NewEmisData!$B:$B, $A35, NewEmisData!$C:$C, $H35, NewEmisData!$D:$D, AC$6)</f>
        <v>0.69155412460857602</v>
      </c>
      <c r="AD35" s="1111">
        <f t="shared" si="18"/>
        <v>0.69155412460857602</v>
      </c>
      <c r="AE35" s="1111">
        <f t="shared" si="70"/>
        <v>2.1484176158971701E-2</v>
      </c>
      <c r="AF35" s="1111">
        <f>SUMIFS(NewEmisData!E:E, NewEmisData!$A:$A, $G35, NewEmisData!$B:$B, $A35, NewEmisData!$C:$C, $H35, NewEmisData!$D:$D, AF$6)</f>
        <v>2.1484176158971701E-2</v>
      </c>
      <c r="AG35" s="1111">
        <f>SUMIFS(NewEmisData!F:F, NewEmisData!$A:$A, $G35, NewEmisData!$B:$B, $A35, NewEmisData!$C:$C, $H35, NewEmisData!$D:$D, AG$6)</f>
        <v>2.1509817808633099E-2</v>
      </c>
      <c r="AH35" s="1111">
        <f>SUMIFS(NewEmisData!G:G, NewEmisData!$A:$A, $G35, NewEmisData!$B:$B, $A35, NewEmisData!$C:$C, $H35, NewEmisData!$D:$D, AH$6)</f>
        <v>2.2375249866597498E-2</v>
      </c>
      <c r="AI35" s="1111">
        <f>SUMIFS(NewEmisData!H:H, NewEmisData!$A:$A, $G35, NewEmisData!$B:$B, $A35, NewEmisData!$C:$C, $H35, NewEmisData!$D:$D, AI$6)</f>
        <v>2.1964641718838499E-2</v>
      </c>
      <c r="AJ35" s="1111">
        <f>SUMIFS(NewEmisData!I:I, NewEmisData!$A:$A, $G35, NewEmisData!$B:$B, $A35, NewEmisData!$C:$C, $H35, NewEmisData!$D:$D, AJ$6)</f>
        <v>2.1644351533378101E-2</v>
      </c>
      <c r="AK35" s="1111">
        <f>SUMIFS(NewEmisData!J:J, NewEmisData!$A:$A, $G35, NewEmisData!$B:$B, $A35, NewEmisData!$C:$C, $H35, NewEmisData!$D:$D, AK$6)</f>
        <v>2.1560851881015301E-2</v>
      </c>
      <c r="AL35" s="1111">
        <f>SUMIFS(NewEmisData!K:K, NewEmisData!$A:$A, $G35, NewEmisData!$B:$B, $A35, NewEmisData!$C:$C, $H35, NewEmisData!$D:$D, AL$6)</f>
        <v>2.1538927343366401E-2</v>
      </c>
      <c r="AM35" s="1111">
        <f>SUMIFS(NewEmisData!L:L, NewEmisData!$A:$A, $G35, NewEmisData!$B:$B, $A35, NewEmisData!$C:$C, $H35, NewEmisData!$D:$D, AM$6)</f>
        <v>2.1534775827773901E-2</v>
      </c>
      <c r="AN35" s="1111">
        <f>SUMIFS(NewEmisData!M:M, NewEmisData!$A:$A, $G35, NewEmisData!$B:$B, $A35, NewEmisData!$C:$C, $H35, NewEmisData!$D:$D, AN$6)</f>
        <v>2.15338577914834E-2</v>
      </c>
      <c r="AO35" s="1111">
        <f t="shared" si="71"/>
        <v>2.15338577914834E-2</v>
      </c>
      <c r="AP35" s="1111">
        <f t="shared" si="72"/>
        <v>0.205584171442245</v>
      </c>
      <c r="AQ35" s="1111">
        <f>SUMIFS(NewEmisData!E:E, NewEmisData!$A:$A, $G35, NewEmisData!$B:$B, $A35, NewEmisData!$C:$C, $H35, NewEmisData!$D:$D, AQ$6)</f>
        <v>0.205584171442245</v>
      </c>
      <c r="AR35" s="1111">
        <f>SUMIFS(NewEmisData!F:F, NewEmisData!$A:$A, $G35, NewEmisData!$B:$B, $A35, NewEmisData!$C:$C, $H35, NewEmisData!$D:$D, AR$6)</f>
        <v>0.200703686535146</v>
      </c>
      <c r="AS35" s="1111">
        <f>SUMIFS(NewEmisData!G:G, NewEmisData!$A:$A, $G35, NewEmisData!$B:$B, $A35, NewEmisData!$C:$C, $H35, NewEmisData!$D:$D, AS$6)</f>
        <v>0.298432150084874</v>
      </c>
      <c r="AT35" s="1111">
        <f>SUMIFS(NewEmisData!H:H, NewEmisData!$A:$A, $G35, NewEmisData!$B:$B, $A35, NewEmisData!$C:$C, $H35, NewEmisData!$D:$D, AT$6)</f>
        <v>0.29892439751761801</v>
      </c>
      <c r="AU35" s="1111">
        <f>SUMIFS(NewEmisData!I:I, NewEmisData!$A:$A, $G35, NewEmisData!$B:$B, $A35, NewEmisData!$C:$C, $H35, NewEmisData!$D:$D, AU$6)</f>
        <v>0.29942291421429901</v>
      </c>
      <c r="AV35" s="1111">
        <f>SUMIFS(NewEmisData!J:J, NewEmisData!$A:$A, $G35, NewEmisData!$B:$B, $A35, NewEmisData!$C:$C, $H35, NewEmisData!$D:$D, AV$6)</f>
        <v>0.29972619462258399</v>
      </c>
      <c r="AW35" s="1111">
        <f>SUMIFS(NewEmisData!K:K, NewEmisData!$A:$A, $G35, NewEmisData!$B:$B, $A35, NewEmisData!$C:$C, $H35, NewEmisData!$D:$D, AW$6)</f>
        <v>0.29988559432946199</v>
      </c>
      <c r="AX35" s="1111">
        <f>SUMIFS(NewEmisData!L:L, NewEmisData!$A:$A, $G35, NewEmisData!$B:$B, $A35, NewEmisData!$C:$C, $H35, NewEmisData!$D:$D, AX$6)</f>
        <v>0.29993582308119998</v>
      </c>
      <c r="AY35" s="1111">
        <f>SUMIFS(NewEmisData!M:M, NewEmisData!$A:$A, $G35, NewEmisData!$B:$B, $A35, NewEmisData!$C:$C, $H35, NewEmisData!$D:$D, AY$6)</f>
        <v>0.299955436334361</v>
      </c>
      <c r="AZ35" s="1111">
        <f t="shared" si="73"/>
        <v>0.299955436334361</v>
      </c>
      <c r="BA35" s="1111">
        <f t="shared" si="74"/>
        <v>3.9334690996451198E-2</v>
      </c>
      <c r="BB35" s="1111">
        <f>SUMIFS(NewEmisData!E:E, NewEmisData!$A:$A, $G35, NewEmisData!$B:$B, $A35, NewEmisData!$C:$C, $H35, NewEmisData!$D:$D, BB$6)</f>
        <v>3.9334690996451198E-2</v>
      </c>
      <c r="BC35" s="1111">
        <f>SUMIFS(NewEmisData!F:F, NewEmisData!$A:$A, $G35, NewEmisData!$B:$B, $A35, NewEmisData!$C:$C, $H35, NewEmisData!$D:$D, BC$6)</f>
        <v>3.4631534960308699E-2</v>
      </c>
      <c r="BD35" s="1111">
        <f>SUMIFS(NewEmisData!G:G, NewEmisData!$A:$A, $G35, NewEmisData!$B:$B, $A35, NewEmisData!$C:$C, $H35, NewEmisData!$D:$D, BD$6)</f>
        <v>4.5448906099466301E-2</v>
      </c>
      <c r="BE35" s="1111">
        <f>SUMIFS(NewEmisData!H:H, NewEmisData!$A:$A, $G35, NewEmisData!$B:$B, $A35, NewEmisData!$C:$C, $H35, NewEmisData!$D:$D, BE$6)</f>
        <v>4.5413592229635001E-2</v>
      </c>
      <c r="BF35" s="1111">
        <f>SUMIFS(NewEmisData!I:I, NewEmisData!$A:$A, $G35, NewEmisData!$B:$B, $A35, NewEmisData!$C:$C, $H35, NewEmisData!$D:$D, BF$6)</f>
        <v>4.5762266359602698E-2</v>
      </c>
      <c r="BG35" s="1111">
        <f>SUMIFS(NewEmisData!J:J, NewEmisData!$A:$A, $G35, NewEmisData!$B:$B, $A35, NewEmisData!$C:$C, $H35, NewEmisData!$D:$D, BG$6)</f>
        <v>4.6004282113656897E-2</v>
      </c>
      <c r="BH35" s="1111">
        <f>SUMIFS(NewEmisData!K:K, NewEmisData!$A:$A, $G35, NewEmisData!$B:$B, $A35, NewEmisData!$C:$C, $H35, NewEmisData!$D:$D, BH$6)</f>
        <v>4.6139436899626303E-2</v>
      </c>
      <c r="BI35" s="1111">
        <f>SUMIFS(NewEmisData!L:L, NewEmisData!$A:$A, $G35, NewEmisData!$B:$B, $A35, NewEmisData!$C:$C, $H35, NewEmisData!$D:$D, BI$6)</f>
        <v>4.6182051454262997E-2</v>
      </c>
      <c r="BJ35" s="1111">
        <f>SUMIFS(NewEmisData!M:M, NewEmisData!$A:$A, $G35, NewEmisData!$B:$B, $A35, NewEmisData!$C:$C, $H35, NewEmisData!$D:$D, BJ$6)</f>
        <v>4.6199279391049702E-2</v>
      </c>
      <c r="BK35" s="1111">
        <f t="shared" si="75"/>
        <v>4.6199279391049702E-2</v>
      </c>
      <c r="BL35" s="1111">
        <f t="shared" si="76"/>
        <v>35.379082211376598</v>
      </c>
      <c r="BM35" s="1111">
        <f>SUMIFS(NewEmisData!E:E, NewEmisData!$A:$A, $G35, NewEmisData!$B:$B, $A35, NewEmisData!$C:$C, $H35, NewEmisData!$D:$D, BM$6)</f>
        <v>35.379082211376598</v>
      </c>
      <c r="BN35" s="1111">
        <f>SUMIFS(NewEmisData!F:F, NewEmisData!$A:$A, $G35, NewEmisData!$B:$B, $A35, NewEmisData!$C:$C, $H35, NewEmisData!$D:$D, BN$6)</f>
        <v>20.9802918509032</v>
      </c>
      <c r="BO35" s="1111">
        <f>SUMIFS(NewEmisData!G:G, NewEmisData!$A:$A, $G35, NewEmisData!$B:$B, $A35, NewEmisData!$C:$C, $H35, NewEmisData!$D:$D, BO$6)</f>
        <v>14.8071744303823</v>
      </c>
      <c r="BP35" s="1111">
        <f>SUMIFS(NewEmisData!H:H, NewEmisData!$A:$A, $G35, NewEmisData!$B:$B, $A35, NewEmisData!$C:$C, $H35, NewEmisData!$D:$D, BP$6)</f>
        <v>12.7817736031308</v>
      </c>
      <c r="BQ35" s="1111">
        <f>SUMIFS(NewEmisData!I:I, NewEmisData!$A:$A, $G35, NewEmisData!$B:$B, $A35, NewEmisData!$C:$C, $H35, NewEmisData!$D:$D, BQ$6)</f>
        <v>12.249879427369301</v>
      </c>
      <c r="BR35" s="1111">
        <f>SUMIFS(NewEmisData!J:J, NewEmisData!$A:$A, $G35, NewEmisData!$B:$B, $A35, NewEmisData!$C:$C, $H35, NewEmisData!$D:$D, BR$6)</f>
        <v>12.1493449959291</v>
      </c>
      <c r="BS35" s="1111">
        <f>SUMIFS(NewEmisData!K:K, NewEmisData!$A:$A, $G35, NewEmisData!$B:$B, $A35, NewEmisData!$C:$C, $H35, NewEmisData!$D:$D, BS$6)</f>
        <v>12.229795867911401</v>
      </c>
      <c r="BT35" s="1111">
        <f>SUMIFS(NewEmisData!L:L, NewEmisData!$A:$A, $G35, NewEmisData!$B:$B, $A35, NewEmisData!$C:$C, $H35, NewEmisData!$D:$D, BT$6)</f>
        <v>12.2882488120452</v>
      </c>
      <c r="BU35" s="1111">
        <f>SUMIFS(NewEmisData!M:M, NewEmisData!$A:$A, $G35, NewEmisData!$B:$B, $A35, NewEmisData!$C:$C, $H35, NewEmisData!$D:$D, BU$6)</f>
        <v>12.321950956593</v>
      </c>
      <c r="BV35" s="1111">
        <f t="shared" si="83"/>
        <v>12.321950956593</v>
      </c>
      <c r="BW35" s="1111">
        <f t="shared" si="77"/>
        <v>1.87362575135703</v>
      </c>
      <c r="BX35" s="1111">
        <f>SUMIFS(NewEmisData!E:E, NewEmisData!$A:$A, $G35, NewEmisData!$B:$B, $A35, NewEmisData!$C:$C, $H35, NewEmisData!$D:$D, BX$6)</f>
        <v>1.87362575135703</v>
      </c>
      <c r="BY35" s="1111">
        <f>SUMIFS(NewEmisData!F:F, NewEmisData!$A:$A, $G35, NewEmisData!$B:$B, $A35, NewEmisData!$C:$C, $H35, NewEmisData!$D:$D, BY$6)</f>
        <v>1.0527291712428299</v>
      </c>
      <c r="BZ35" s="1111">
        <f>SUMIFS(NewEmisData!G:G, NewEmisData!$A:$A, $G35, NewEmisData!$B:$B, $A35, NewEmisData!$C:$C, $H35, NewEmisData!$D:$D, BZ$6)</f>
        <v>0.690616026658735</v>
      </c>
      <c r="CA35" s="1111">
        <f>SUMIFS(NewEmisData!H:H, NewEmisData!$A:$A, $G35, NewEmisData!$B:$B, $A35, NewEmisData!$C:$C, $H35, NewEmisData!$D:$D, CA$6)</f>
        <v>0.54311164322371697</v>
      </c>
      <c r="CB35" s="1111">
        <f>SUMIFS(NewEmisData!I:I, NewEmisData!$A:$A, $G35, NewEmisData!$B:$B, $A35, NewEmisData!$C:$C, $H35, NewEmisData!$D:$D, CB$6)</f>
        <v>0.48887057427966502</v>
      </c>
      <c r="CC35" s="1111">
        <f>SUMIFS(NewEmisData!J:J, NewEmisData!$A:$A, $G35, NewEmisData!$B:$B, $A35, NewEmisData!$C:$C, $H35, NewEmisData!$D:$D, CC$6)</f>
        <v>0.46684418132935501</v>
      </c>
      <c r="CD35" s="1111">
        <f>SUMIFS(NewEmisData!K:K, NewEmisData!$A:$A, $G35, NewEmisData!$B:$B, $A35, NewEmisData!$C:$C, $H35, NewEmisData!$D:$D, CD$6)</f>
        <v>0.46389956383150999</v>
      </c>
      <c r="CE35" s="1111">
        <f>SUMIFS(NewEmisData!L:L, NewEmisData!$A:$A, $G35, NewEmisData!$B:$B, $A35, NewEmisData!$C:$C, $H35, NewEmisData!$D:$D, CE$6)</f>
        <v>0.46392493269586499</v>
      </c>
      <c r="CF35" s="1111">
        <f>SUMIFS(NewEmisData!M:M, NewEmisData!$A:$A, $G35, NewEmisData!$B:$B, $A35, NewEmisData!$C:$C, $H35, NewEmisData!$D:$D, CF$6)</f>
        <v>0.46396365606422402</v>
      </c>
      <c r="CG35" s="1111">
        <f t="shared" si="78"/>
        <v>0.46396365606422402</v>
      </c>
      <c r="CH35" s="1111">
        <f t="shared" si="79"/>
        <v>4.5385046654151703E-2</v>
      </c>
      <c r="CI35" s="1111">
        <f>SUMIFS(NewEmisData!E:E, NewEmisData!$A:$A, $G35, NewEmisData!$B:$B, $A35, NewEmisData!$C:$C, $H35, NewEmisData!$D:$D, CI$6)</f>
        <v>4.5385046654151703E-2</v>
      </c>
      <c r="CJ35" s="1111">
        <f>SUMIFS(NewEmisData!F:F, NewEmisData!$A:$A, $G35, NewEmisData!$B:$B, $A35, NewEmisData!$C:$C, $H35, NewEmisData!$D:$D, CJ$6)</f>
        <v>4.5393164724417102E-2</v>
      </c>
      <c r="CK35" s="1111">
        <f>SUMIFS(NewEmisData!G:G, NewEmisData!$A:$A, $G35, NewEmisData!$B:$B, $A35, NewEmisData!$C:$C, $H35, NewEmisData!$D:$D, CK$6)</f>
        <v>6.2513239349190994E-2</v>
      </c>
      <c r="CL35" s="1111">
        <f>SUMIFS(NewEmisData!H:H, NewEmisData!$A:$A, $G35, NewEmisData!$B:$B, $A35, NewEmisData!$C:$C, $H35, NewEmisData!$D:$D, CL$6)</f>
        <v>6.2512411846424906E-2</v>
      </c>
      <c r="CM35" s="1111">
        <f>SUMIFS(NewEmisData!I:I, NewEmisData!$A:$A, $G35, NewEmisData!$B:$B, $A35, NewEmisData!$C:$C, $H35, NewEmisData!$D:$D, CM$6)</f>
        <v>6.2512421474567897E-2</v>
      </c>
      <c r="CN35" s="1111">
        <f>SUMIFS(NewEmisData!J:J, NewEmisData!$A:$A, $G35, NewEmisData!$B:$B, $A35, NewEmisData!$C:$C, $H35, NewEmisData!$D:$D, CN$6)</f>
        <v>6.2512452306065502E-2</v>
      </c>
      <c r="CO35" s="1111">
        <f>SUMIFS(NewEmisData!K:K, NewEmisData!$A:$A, $G35, NewEmisData!$B:$B, $A35, NewEmisData!$C:$C, $H35, NewEmisData!$D:$D, CO$6)</f>
        <v>6.2512380916104907E-2</v>
      </c>
      <c r="CP35" s="1111">
        <f>SUMIFS(NewEmisData!L:L, NewEmisData!$A:$A, $G35, NewEmisData!$B:$B, $A35, NewEmisData!$C:$C, $H35, NewEmisData!$D:$D, CP$6)</f>
        <v>6.2512436309679606E-2</v>
      </c>
      <c r="CQ35" s="1111">
        <f>SUMIFS(NewEmisData!M:M, NewEmisData!$A:$A, $G35, NewEmisData!$B:$B, $A35, NewEmisData!$C:$C, $H35, NewEmisData!$D:$D, CQ$6)</f>
        <v>6.2512445317614407E-2</v>
      </c>
      <c r="CR35" s="1111">
        <f t="shared" si="80"/>
        <v>6.2512445317614407E-2</v>
      </c>
      <c r="CS35" s="1111">
        <f t="shared" si="81"/>
        <v>6.7564687236939897E-2</v>
      </c>
      <c r="CT35" s="1111">
        <f>SUMIFS(NewEmisData!E:E, NewEmisData!$A:$A, $G35, NewEmisData!$B:$B, $A35, NewEmisData!$C:$C, $H35, NewEmisData!$D:$D, CT$6)</f>
        <v>6.7564687236939897E-2</v>
      </c>
      <c r="CU35" s="1111">
        <f>SUMIFS(NewEmisData!F:F, NewEmisData!$A:$A, $G35, NewEmisData!$B:$B, $A35, NewEmisData!$C:$C, $H35, NewEmisData!$D:$D, CU$6)</f>
        <v>3.8153498607861998E-2</v>
      </c>
      <c r="CV35" s="1111">
        <f>SUMIFS(NewEmisData!G:G, NewEmisData!$A:$A, $G35, NewEmisData!$B:$B, $A35, NewEmisData!$C:$C, $H35, NewEmisData!$D:$D, CV$6)</f>
        <v>2.81821158126641E-2</v>
      </c>
      <c r="CW35" s="1111">
        <f>SUMIFS(NewEmisData!H:H, NewEmisData!$A:$A, $G35, NewEmisData!$B:$B, $A35, NewEmisData!$C:$C, $H35, NewEmisData!$D:$D, CW$6)</f>
        <v>1.9443003989977701E-2</v>
      </c>
      <c r="CX35" s="1111">
        <f>SUMIFS(NewEmisData!I:I, NewEmisData!$A:$A, $G35, NewEmisData!$B:$B, $A35, NewEmisData!$C:$C, $H35, NewEmisData!$D:$D, CX$6)</f>
        <v>1.7080157869544602E-2</v>
      </c>
      <c r="CY35" s="1111">
        <f>SUMIFS(NewEmisData!J:J, NewEmisData!$A:$A, $G35, NewEmisData!$B:$B, $A35, NewEmisData!$C:$C, $H35, NewEmisData!$D:$D, CY$6)</f>
        <v>1.6424318186297401E-2</v>
      </c>
      <c r="CZ35" s="1111">
        <f>SUMIFS(NewEmisData!K:K, NewEmisData!$A:$A, $G35, NewEmisData!$B:$B, $A35, NewEmisData!$C:$C, $H35, NewEmisData!$D:$D, CZ$6)</f>
        <v>1.63466414048998E-2</v>
      </c>
      <c r="DA35" s="1111">
        <f>SUMIFS(NewEmisData!L:L, NewEmisData!$A:$A, $G35, NewEmisData!$B:$B, $A35, NewEmisData!$C:$C, $H35, NewEmisData!$D:$D, DA$6)</f>
        <v>1.6299016097018101E-2</v>
      </c>
      <c r="DB35" s="1111">
        <f>SUMIFS(NewEmisData!M:M, NewEmisData!$A:$A, $G35, NewEmisData!$B:$B, $A35, NewEmisData!$C:$C, $H35, NewEmisData!$D:$D, DB$6)</f>
        <v>1.6325096857781201E-2</v>
      </c>
      <c r="DC35" s="1111">
        <f t="shared" si="84"/>
        <v>1.6325096857781201E-2</v>
      </c>
      <c r="DD35" s="1111">
        <v>8.4892895966475739E-3</v>
      </c>
      <c r="DE35" s="1111">
        <v>5.6212986616763754E-3</v>
      </c>
      <c r="DF35" s="1111">
        <v>3.3463487561708246E-3</v>
      </c>
      <c r="DG35" s="1111">
        <v>2.7660430299124659E-3</v>
      </c>
      <c r="DH35" s="1111">
        <v>2.682529091392567E-3</v>
      </c>
      <c r="DI35" s="1111">
        <v>2.703528873173607E-3</v>
      </c>
      <c r="DJ35" s="1111">
        <v>2.7128611055472259E-3</v>
      </c>
      <c r="DK35" s="1111">
        <v>2.7072751179577333E-3</v>
      </c>
      <c r="DL35" s="1111">
        <v>2.7166296978826691E-3</v>
      </c>
      <c r="DM35" s="1111">
        <v>2.7267399324404202E-3</v>
      </c>
      <c r="DN35" s="1111">
        <v>2.7267399324404202E-3</v>
      </c>
      <c r="DO35" s="1111">
        <v>2.7529093789717789E-2</v>
      </c>
      <c r="DP35" s="1111">
        <v>1.8547410667972192E-2</v>
      </c>
      <c r="DQ35" s="1111">
        <v>1.0623092960258752E-2</v>
      </c>
      <c r="DR35" s="1111">
        <v>8.2487146441313514E-3</v>
      </c>
      <c r="DS35" s="1111">
        <v>8.1824854069421117E-3</v>
      </c>
      <c r="DT35" s="1111">
        <v>8.1902625366083396E-3</v>
      </c>
      <c r="DU35" s="1111">
        <v>8.1985958492518836E-3</v>
      </c>
      <c r="DV35" s="1111">
        <v>8.1775758900627226E-3</v>
      </c>
      <c r="DW35" s="1111">
        <v>8.1943266682995095E-3</v>
      </c>
      <c r="DX35" s="1111">
        <v>8.2124081867554939E-3</v>
      </c>
      <c r="DY35" s="1111">
        <v>8.2124081867554939E-3</v>
      </c>
      <c r="DZ35" s="1111">
        <f t="shared" si="85"/>
        <v>5.0339270700679999E-2</v>
      </c>
      <c r="EA35" s="1111">
        <f>SUMIFS(NewEmisData!E:E, NewEmisData!$A:$A, $G35, NewEmisData!$B:$B, $A35, NewEmisData!$C:$C, $H35, NewEmisData!$D:$D, EA$6)</f>
        <v>5.0339270700679999E-2</v>
      </c>
      <c r="EB35" s="1111">
        <f>SUMIFS(NewEmisData!F:F, NewEmisData!$A:$A, $G35, NewEmisData!$B:$B, $A35, NewEmisData!$C:$C, $H35, NewEmisData!$D:$D, EB$6)</f>
        <v>2.98546172534019E-2</v>
      </c>
      <c r="EC35" s="1111">
        <f>SUMIFS(NewEmisData!G:G, NewEmisData!$A:$A, $G35, NewEmisData!$B:$B, $A35, NewEmisData!$C:$C, $H35, NewEmisData!$D:$D, EC$6)</f>
        <v>1.7913674894860999E-2</v>
      </c>
      <c r="ED35" s="1111">
        <f>SUMIFS(NewEmisData!H:H, NewEmisData!$A:$A, $G35, NewEmisData!$B:$B, $A35, NewEmisData!$C:$C, $H35, NewEmisData!$D:$D, ED$6)</f>
        <v>1.54314271118329E-2</v>
      </c>
      <c r="EE35" s="1111">
        <f>SUMIFS(NewEmisData!I:I, NewEmisData!$A:$A, $G35, NewEmisData!$B:$B, $A35, NewEmisData!$C:$C, $H35, NewEmisData!$D:$D, EE$6)</f>
        <v>1.4729599669098301E-2</v>
      </c>
      <c r="EF35" s="1111">
        <f>SUMIFS(NewEmisData!J:J, NewEmisData!$A:$A, $G35, NewEmisData!$B:$B, $A35, NewEmisData!$C:$C, $H35, NewEmisData!$D:$D, EF$6)</f>
        <v>1.46060589575112E-2</v>
      </c>
      <c r="EG35" s="1111">
        <f>SUMIFS(NewEmisData!K:K, NewEmisData!$A:$A, $G35, NewEmisData!$B:$B, $A35, NewEmisData!$C:$C, $H35, NewEmisData!$D:$D, EG$6)</f>
        <v>1.4662699121929501E-2</v>
      </c>
      <c r="EH35" s="1111">
        <f>SUMIFS(NewEmisData!L:L, NewEmisData!$A:$A, $G35, NewEmisData!$B:$B, $A35, NewEmisData!$C:$C, $H35, NewEmisData!$D:$D, EH$6)</f>
        <v>1.46806856975942E-2</v>
      </c>
      <c r="EI35" s="1111">
        <f>SUMIFS(NewEmisData!M:M, NewEmisData!$A:$A, $G35, NewEmisData!$B:$B, $A35, NewEmisData!$C:$C, $H35, NewEmisData!$D:$D, EI$6)</f>
        <v>1.4680172285676999E-2</v>
      </c>
      <c r="EJ35" s="1111">
        <f t="shared" si="86"/>
        <v>1.4680172285676999E-2</v>
      </c>
      <c r="EK35" s="1111">
        <f t="shared" si="87"/>
        <v>1241.60800343195</v>
      </c>
      <c r="EL35" s="1111">
        <f t="shared" si="48"/>
        <v>1241.60800343195</v>
      </c>
      <c r="EM35" s="1111">
        <f t="shared" si="49"/>
        <v>1243.08928499321</v>
      </c>
      <c r="EN35" s="1111">
        <f t="shared" si="50"/>
        <v>1559.7377784626201</v>
      </c>
      <c r="EO35" s="1111">
        <f t="shared" si="51"/>
        <v>1531.1148438857699</v>
      </c>
      <c r="EP35" s="1111">
        <f t="shared" si="52"/>
        <v>1508.7877657548299</v>
      </c>
      <c r="EQ35" s="1111">
        <f t="shared" si="53"/>
        <v>1502.9671636844901</v>
      </c>
      <c r="ER35" s="1111">
        <f t="shared" si="54"/>
        <v>1501.4395842993699</v>
      </c>
      <c r="ES35" s="1111">
        <f t="shared" si="55"/>
        <v>1501.15044041939</v>
      </c>
      <c r="ET35" s="1111">
        <f t="shared" si="56"/>
        <v>1501.0860905019599</v>
      </c>
      <c r="EU35" s="1111">
        <f t="shared" si="57"/>
        <v>1501.0860905019599</v>
      </c>
      <c r="EV35" s="1111">
        <f t="shared" si="88"/>
        <v>4.1625657526614797</v>
      </c>
      <c r="EW35" s="1111">
        <f t="shared" si="38"/>
        <v>4.1625657526614797</v>
      </c>
      <c r="EX35" s="1111">
        <f t="shared" si="39"/>
        <v>2.1578815518962502</v>
      </c>
      <c r="EY35" s="1111">
        <f t="shared" si="40"/>
        <v>1.30274636086792</v>
      </c>
      <c r="EZ35" s="1111">
        <f t="shared" si="41"/>
        <v>0.94297953696777803</v>
      </c>
      <c r="FA35" s="1111">
        <f t="shared" si="42"/>
        <v>0.78815258031283297</v>
      </c>
      <c r="FB35" s="1111">
        <f t="shared" si="43"/>
        <v>0.71799894873057002</v>
      </c>
      <c r="FC35" s="1111">
        <f t="shared" si="44"/>
        <v>0.69737659475245495</v>
      </c>
      <c r="FD35" s="1111">
        <f t="shared" si="45"/>
        <v>0.69289982108465797</v>
      </c>
      <c r="FE35" s="1111">
        <f t="shared" si="46"/>
        <v>0.69155412460857602</v>
      </c>
      <c r="FF35" s="1111">
        <f t="shared" si="47"/>
        <v>0.69155412460857602</v>
      </c>
      <c r="FG35" s="1111">
        <f t="shared" si="89"/>
        <v>2.1484176158971701E-2</v>
      </c>
      <c r="FH35" s="1111">
        <f t="shared" si="90"/>
        <v>2.1484176158971701E-2</v>
      </c>
      <c r="FI35" s="1111">
        <f t="shared" si="91"/>
        <v>2.1509817808633099E-2</v>
      </c>
      <c r="FJ35" s="1111">
        <f t="shared" si="92"/>
        <v>2.2375249866597498E-2</v>
      </c>
      <c r="FK35" s="1111">
        <f t="shared" si="93"/>
        <v>2.1964641718838499E-2</v>
      </c>
      <c r="FL35" s="1111">
        <f t="shared" si="94"/>
        <v>2.1644351533378101E-2</v>
      </c>
      <c r="FM35" s="1111">
        <f t="shared" si="95"/>
        <v>2.1560851881015301E-2</v>
      </c>
      <c r="FN35" s="1111">
        <f t="shared" si="96"/>
        <v>2.1538927343366401E-2</v>
      </c>
      <c r="FO35" s="1111">
        <f t="shared" si="97"/>
        <v>2.1534775827773901E-2</v>
      </c>
      <c r="FP35" s="1111">
        <f t="shared" si="98"/>
        <v>2.15338577914834E-2</v>
      </c>
      <c r="FQ35" s="1111">
        <f t="shared" si="99"/>
        <v>2.15338577914834E-2</v>
      </c>
      <c r="FR35" s="1111">
        <f t="shared" si="25"/>
        <v>0.205584171442245</v>
      </c>
      <c r="FS35" s="1111">
        <f t="shared" si="26"/>
        <v>0.205584171442245</v>
      </c>
      <c r="FT35" s="1111">
        <f t="shared" si="27"/>
        <v>0.200703686535146</v>
      </c>
      <c r="FU35" s="1111">
        <f t="shared" si="28"/>
        <v>0.298432150084874</v>
      </c>
      <c r="FV35" s="1111">
        <f t="shared" si="29"/>
        <v>0.29892439751761801</v>
      </c>
      <c r="FW35" s="1111">
        <f t="shared" si="30"/>
        <v>0.29942291421429901</v>
      </c>
      <c r="FX35" s="1111">
        <f t="shared" si="31"/>
        <v>0.29972619462258399</v>
      </c>
      <c r="FY35" s="1111">
        <f t="shared" si="32"/>
        <v>0.29988559432946199</v>
      </c>
      <c r="FZ35" s="1111">
        <f t="shared" si="33"/>
        <v>0.29993582308119998</v>
      </c>
      <c r="GA35" s="1111">
        <f t="shared" si="34"/>
        <v>0.299955436334361</v>
      </c>
      <c r="GB35" s="1111">
        <f t="shared" si="35"/>
        <v>0.299955436334361</v>
      </c>
      <c r="GC35" s="1111">
        <f t="shared" si="59"/>
        <v>3.9334690996451198E-2</v>
      </c>
      <c r="GD35" s="1111">
        <f t="shared" si="60"/>
        <v>3.9334690996451198E-2</v>
      </c>
      <c r="GE35" s="1111">
        <f t="shared" si="61"/>
        <v>3.4631534960308699E-2</v>
      </c>
      <c r="GF35" s="1111">
        <f t="shared" si="62"/>
        <v>4.5448906099466301E-2</v>
      </c>
      <c r="GG35" s="1111">
        <f t="shared" si="63"/>
        <v>4.5413592229635001E-2</v>
      </c>
      <c r="GH35" s="1111">
        <f t="shared" si="64"/>
        <v>4.5762266359602698E-2</v>
      </c>
      <c r="GI35" s="1111">
        <f t="shared" si="65"/>
        <v>4.6004282113656897E-2</v>
      </c>
      <c r="GJ35" s="1111">
        <f t="shared" si="66"/>
        <v>4.6139436899626303E-2</v>
      </c>
      <c r="GK35" s="1111">
        <f t="shared" si="67"/>
        <v>4.6182051454262997E-2</v>
      </c>
      <c r="GL35" s="1111">
        <f t="shared" si="68"/>
        <v>4.6199279391049702E-2</v>
      </c>
      <c r="GM35" s="1111">
        <f t="shared" si="69"/>
        <v>4.6199279391049702E-2</v>
      </c>
    </row>
    <row r="36" spans="1:195" x14ac:dyDescent="0.2">
      <c r="A36" s="1071" t="s">
        <v>184</v>
      </c>
      <c r="B36" s="1071" t="str">
        <f>Technologies!C112</f>
        <v>TMCNGE</v>
      </c>
      <c r="C36" s="1071" t="str">
        <f>Technologies!D112</f>
        <v>Medium Duty Truck, Existing CNG</v>
      </c>
      <c r="D36" s="1071" t="str">
        <f>TechData!D19</f>
        <v>bn-vmt, bn-vmt/a</v>
      </c>
      <c r="E36" s="1071" t="str">
        <f>TechData!E20</f>
        <v>TMCNG</v>
      </c>
      <c r="F36" s="1071" t="str">
        <f>TechData!F20</f>
        <v>TM</v>
      </c>
      <c r="G36" s="1110" t="s">
        <v>503</v>
      </c>
      <c r="H36" s="1111" t="s">
        <v>500</v>
      </c>
      <c r="I36" s="1112">
        <v>1</v>
      </c>
      <c r="J36" s="1111" t="str">
        <f t="shared" si="37"/>
        <v>Medium duty-GSL</v>
      </c>
      <c r="K36" s="1111">
        <f>SUMIFS(NewEmisData!E:E, NewEmisData!$A:$A, $G36, NewEmisData!$B:$B, $A36, NewEmisData!$C:$C, $H36, NewEmisData!$D:$D, K$6)</f>
        <v>1125.6531994791601</v>
      </c>
      <c r="L36" s="1111">
        <f>SUMIFS(NewEmisData!F:F, NewEmisData!$A:$A, $G36, NewEmisData!$B:$B, $A36, NewEmisData!$C:$C, $H36, NewEmisData!$D:$D, L$6)</f>
        <v>1129.51230354672</v>
      </c>
      <c r="M36" s="1111">
        <f>SUMIFS(NewEmisData!G:G, NewEmisData!$A:$A, $G36, NewEmisData!$B:$B, $A36, NewEmisData!$C:$C, $H36, NewEmisData!$D:$D, M$6)</f>
        <v>1334.28865010909</v>
      </c>
      <c r="N36" s="1111">
        <f>SUMIFS(NewEmisData!H:H, NewEmisData!$A:$A, $G36, NewEmisData!$B:$B, $A36, NewEmisData!$C:$C, $H36, NewEmisData!$D:$D, N$6)</f>
        <v>1309.4477161980601</v>
      </c>
      <c r="O36" s="1111">
        <f>SUMIFS(NewEmisData!I:I, NewEmisData!$A:$A, $G36, NewEmisData!$B:$B, $A36, NewEmisData!$C:$C, $H36, NewEmisData!$D:$D, O$6)</f>
        <v>1290.2789800169201</v>
      </c>
      <c r="P36" s="1111">
        <f>SUMIFS(NewEmisData!J:J, NewEmisData!$A:$A, $G36, NewEmisData!$B:$B, $A36, NewEmisData!$C:$C, $H36, NewEmisData!$D:$D, P$6)</f>
        <v>1285.24459420581</v>
      </c>
      <c r="Q36" s="1111">
        <f>SUMIFS(NewEmisData!K:K, NewEmisData!$A:$A, $G36, NewEmisData!$B:$B, $A36, NewEmisData!$C:$C, $H36, NewEmisData!$D:$D, Q$6)</f>
        <v>1283.9086141387199</v>
      </c>
      <c r="R36" s="1111">
        <f>SUMIFS(NewEmisData!L:L, NewEmisData!$A:$A, $G36, NewEmisData!$B:$B, $A36, NewEmisData!$C:$C, $H36, NewEmisData!$D:$D, R$6)</f>
        <v>1283.64917953798</v>
      </c>
      <c r="S36" s="1111">
        <f>SUMIFS(NewEmisData!M:M, NewEmisData!$A:$A, $G36, NewEmisData!$B:$B, $A36, NewEmisData!$C:$C, $H36, NewEmisData!$D:$D, S$6)</f>
        <v>1283.5882413572699</v>
      </c>
      <c r="T36" s="1111">
        <f t="shared" si="17"/>
        <v>1283.5882413572699</v>
      </c>
      <c r="U36" s="1111">
        <f>SUMIFS(NewEmisData!E:E, NewEmisData!$A:$A, $G36, NewEmisData!$B:$B, $A36, NewEmisData!$C:$C, $H36, NewEmisData!$D:$D, U$6)</f>
        <v>3.9696963814368802</v>
      </c>
      <c r="V36" s="1111">
        <f>SUMIFS(NewEmisData!F:F, NewEmisData!$A:$A, $G36, NewEmisData!$B:$B, $A36, NewEmisData!$C:$C, $H36, NewEmisData!$D:$D, V$6)</f>
        <v>2.1292045893653802</v>
      </c>
      <c r="W36" s="1111">
        <f>SUMIFS(NewEmisData!G:G, NewEmisData!$A:$A, $G36, NewEmisData!$B:$B, $A36, NewEmisData!$C:$C, $H36, NewEmisData!$D:$D, W$6)</f>
        <v>1.1780347139767999</v>
      </c>
      <c r="X36" s="1111">
        <f>SUMIFS(NewEmisData!H:H, NewEmisData!$A:$A, $G36, NewEmisData!$B:$B, $A36, NewEmisData!$C:$C, $H36, NewEmisData!$D:$D, X$6)</f>
        <v>0.85616837461707895</v>
      </c>
      <c r="Y36" s="1111">
        <f>SUMIFS(NewEmisData!I:I, NewEmisData!$A:$A, $G36, NewEmisData!$B:$B, $A36, NewEmisData!$C:$C, $H36, NewEmisData!$D:$D, Y$6)</f>
        <v>0.71679914036882397</v>
      </c>
      <c r="Z36" s="1111">
        <f>SUMIFS(NewEmisData!J:J, NewEmisData!$A:$A, $G36, NewEmisData!$B:$B, $A36, NewEmisData!$C:$C, $H36, NewEmisData!$D:$D, Z$6)</f>
        <v>0.653734873709785</v>
      </c>
      <c r="AA36" s="1111">
        <f>SUMIFS(NewEmisData!K:K, NewEmisData!$A:$A, $G36, NewEmisData!$B:$B, $A36, NewEmisData!$C:$C, $H36, NewEmisData!$D:$D, AA$6)</f>
        <v>0.63529466077774999</v>
      </c>
      <c r="AB36" s="1111">
        <f>SUMIFS(NewEmisData!L:L, NewEmisData!$A:$A, $G36, NewEmisData!$B:$B, $A36, NewEmisData!$C:$C, $H36, NewEmisData!$D:$D, AB$6)</f>
        <v>0.63126465139316401</v>
      </c>
      <c r="AC36" s="1111">
        <f>SUMIFS(NewEmisData!M:M, NewEmisData!$A:$A, $G36, NewEmisData!$B:$B, $A36, NewEmisData!$C:$C, $H36, NewEmisData!$D:$D, AC$6)</f>
        <v>0.63008499106767202</v>
      </c>
      <c r="AD36" s="1111">
        <f t="shared" si="18"/>
        <v>0.63008499106767202</v>
      </c>
      <c r="AE36" s="1111">
        <f t="shared" si="70"/>
        <v>1.94777471026268E-2</v>
      </c>
      <c r="AF36" s="1111">
        <f>SUMIFS(NewEmisData!E:E, NewEmisData!$A:$A, $G36, NewEmisData!$B:$B, $A36, NewEmisData!$C:$C, $H36, NewEmisData!$D:$D, AF$6)</f>
        <v>1.94777471026268E-2</v>
      </c>
      <c r="AG36" s="1111">
        <f>SUMIFS(NewEmisData!F:F, NewEmisData!$A:$A, $G36, NewEmisData!$B:$B, $A36, NewEmisData!$C:$C, $H36, NewEmisData!$D:$D, AG$6)</f>
        <v>1.95445323749391E-2</v>
      </c>
      <c r="AH36" s="1111">
        <f>SUMIFS(NewEmisData!G:G, NewEmisData!$A:$A, $G36, NewEmisData!$B:$B, $A36, NewEmisData!$C:$C, $H36, NewEmisData!$D:$D, AH$6)</f>
        <v>1.9141058004132301E-2</v>
      </c>
      <c r="AI36" s="1111">
        <f>SUMIFS(NewEmisData!H:H, NewEmisData!$A:$A, $G36, NewEmisData!$B:$B, $A36, NewEmisData!$C:$C, $H36, NewEmisData!$D:$D, AI$6)</f>
        <v>1.8784705993390102E-2</v>
      </c>
      <c r="AJ36" s="1111">
        <f>SUMIFS(NewEmisData!I:I, NewEmisData!$A:$A, $G36, NewEmisData!$B:$B, $A36, NewEmisData!$C:$C, $H36, NewEmisData!$D:$D, AJ$6)</f>
        <v>1.85097249042331E-2</v>
      </c>
      <c r="AK36" s="1111">
        <f>SUMIFS(NewEmisData!J:J, NewEmisData!$A:$A, $G36, NewEmisData!$B:$B, $A36, NewEmisData!$C:$C, $H36, NewEmisData!$D:$D, AK$6)</f>
        <v>1.8437510106673601E-2</v>
      </c>
      <c r="AL36" s="1111">
        <f>SUMIFS(NewEmisData!K:K, NewEmisData!$A:$A, $G36, NewEmisData!$B:$B, $A36, NewEmisData!$C:$C, $H36, NewEmisData!$D:$D, AL$6)</f>
        <v>1.8418333813220399E-2</v>
      </c>
      <c r="AM36" s="1111">
        <f>SUMIFS(NewEmisData!L:L, NewEmisData!$A:$A, $G36, NewEmisData!$B:$B, $A36, NewEmisData!$C:$C, $H36, NewEmisData!$D:$D, AM$6)</f>
        <v>1.8414616467845198E-2</v>
      </c>
      <c r="AN36" s="1111">
        <f>SUMIFS(NewEmisData!M:M, NewEmisData!$A:$A, $G36, NewEmisData!$B:$B, $A36, NewEmisData!$C:$C, $H36, NewEmisData!$D:$D, AN$6)</f>
        <v>1.84137339980028E-2</v>
      </c>
      <c r="AO36" s="1111">
        <f t="shared" si="71"/>
        <v>1.84137339980028E-2</v>
      </c>
      <c r="AP36" s="1111">
        <f t="shared" si="72"/>
        <v>0.16277138632680399</v>
      </c>
      <c r="AQ36" s="1111">
        <f>SUMIFS(NewEmisData!E:E, NewEmisData!$A:$A, $G36, NewEmisData!$B:$B, $A36, NewEmisData!$C:$C, $H36, NewEmisData!$D:$D, AQ$6)</f>
        <v>0.16277138632680399</v>
      </c>
      <c r="AR36" s="1111">
        <f>SUMIFS(NewEmisData!F:F, NewEmisData!$A:$A, $G36, NewEmisData!$B:$B, $A36, NewEmisData!$C:$C, $H36, NewEmisData!$D:$D, AR$6)</f>
        <v>0.15749210557477999</v>
      </c>
      <c r="AS36" s="1111">
        <f>SUMIFS(NewEmisData!G:G, NewEmisData!$A:$A, $G36, NewEmisData!$B:$B, $A36, NewEmisData!$C:$C, $H36, NewEmisData!$D:$D, AS$6)</f>
        <v>0.22213105998277299</v>
      </c>
      <c r="AT36" s="1111">
        <f>SUMIFS(NewEmisData!H:H, NewEmisData!$A:$A, $G36, NewEmisData!$B:$B, $A36, NewEmisData!$C:$C, $H36, NewEmisData!$D:$D, AT$6)</f>
        <v>0.22256905483131201</v>
      </c>
      <c r="AU36" s="1111">
        <f>SUMIFS(NewEmisData!I:I, NewEmisData!$A:$A, $G36, NewEmisData!$B:$B, $A36, NewEmisData!$C:$C, $H36, NewEmisData!$D:$D, AU$6)</f>
        <v>0.223017594102533</v>
      </c>
      <c r="AV36" s="1111">
        <f>SUMIFS(NewEmisData!J:J, NewEmisData!$A:$A, $G36, NewEmisData!$B:$B, $A36, NewEmisData!$C:$C, $H36, NewEmisData!$D:$D, AV$6)</f>
        <v>0.22328437261219899</v>
      </c>
      <c r="AW36" s="1111">
        <f>SUMIFS(NewEmisData!K:K, NewEmisData!$A:$A, $G36, NewEmisData!$B:$B, $A36, NewEmisData!$C:$C, $H36, NewEmisData!$D:$D, AW$6)</f>
        <v>0.22342028408578701</v>
      </c>
      <c r="AX36" s="1111">
        <f>SUMIFS(NewEmisData!L:L, NewEmisData!$A:$A, $G36, NewEmisData!$B:$B, $A36, NewEmisData!$C:$C, $H36, NewEmisData!$D:$D, AX$6)</f>
        <v>0.22346164064811899</v>
      </c>
      <c r="AY36" s="1111">
        <f>SUMIFS(NewEmisData!M:M, NewEmisData!$A:$A, $G36, NewEmisData!$B:$B, $A36, NewEmisData!$C:$C, $H36, NewEmisData!$D:$D, AY$6)</f>
        <v>0.22347689751407299</v>
      </c>
      <c r="AZ36" s="1111">
        <f t="shared" si="73"/>
        <v>0.22347689751407299</v>
      </c>
      <c r="BA36" s="1111">
        <f t="shared" si="74"/>
        <v>3.3085277901506199E-2</v>
      </c>
      <c r="BB36" s="1111">
        <f>SUMIFS(NewEmisData!E:E, NewEmisData!$A:$A, $G36, NewEmisData!$B:$B, $A36, NewEmisData!$C:$C, $H36, NewEmisData!$D:$D, BB$6)</f>
        <v>3.3085277901506199E-2</v>
      </c>
      <c r="BC36" s="1111">
        <f>SUMIFS(NewEmisData!F:F, NewEmisData!$A:$A, $G36, NewEmisData!$B:$B, $A36, NewEmisData!$C:$C, $H36, NewEmisData!$D:$D, BC$6)</f>
        <v>2.8088278695018499E-2</v>
      </c>
      <c r="BD36" s="1111">
        <f>SUMIFS(NewEmisData!G:G, NewEmisData!$A:$A, $G36, NewEmisData!$B:$B, $A36, NewEmisData!$C:$C, $H36, NewEmisData!$D:$D, BD$6)</f>
        <v>3.5249470703337199E-2</v>
      </c>
      <c r="BE36" s="1111">
        <f>SUMIFS(NewEmisData!H:H, NewEmisData!$A:$A, $G36, NewEmisData!$B:$B, $A36, NewEmisData!$C:$C, $H36, NewEmisData!$D:$D, BE$6)</f>
        <v>3.5278230321982601E-2</v>
      </c>
      <c r="BF36" s="1111">
        <f>SUMIFS(NewEmisData!I:I, NewEmisData!$A:$A, $G36, NewEmisData!$B:$B, $A36, NewEmisData!$C:$C, $H36, NewEmisData!$D:$D, BF$6)</f>
        <v>3.5607078221125799E-2</v>
      </c>
      <c r="BG36" s="1111">
        <f>SUMIFS(NewEmisData!J:J, NewEmisData!$A:$A, $G36, NewEmisData!$B:$B, $A36, NewEmisData!$C:$C, $H36, NewEmisData!$D:$D, BG$6)</f>
        <v>3.5823183054303799E-2</v>
      </c>
      <c r="BH36" s="1111">
        <f>SUMIFS(NewEmisData!K:K, NewEmisData!$A:$A, $G36, NewEmisData!$B:$B, $A36, NewEmisData!$C:$C, $H36, NewEmisData!$D:$D, BH$6)</f>
        <v>3.5938864982074499E-2</v>
      </c>
      <c r="BI36" s="1111">
        <f>SUMIFS(NewEmisData!L:L, NewEmisData!$A:$A, $G36, NewEmisData!$B:$B, $A36, NewEmisData!$C:$C, $H36, NewEmisData!$D:$D, BI$6)</f>
        <v>3.5974176634088799E-2</v>
      </c>
      <c r="BJ36" s="1111">
        <f>SUMIFS(NewEmisData!M:M, NewEmisData!$A:$A, $G36, NewEmisData!$B:$B, $A36, NewEmisData!$C:$C, $H36, NewEmisData!$D:$D, BJ$6)</f>
        <v>3.59876115686096E-2</v>
      </c>
      <c r="BK36" s="1111">
        <f t="shared" si="75"/>
        <v>3.59876115686096E-2</v>
      </c>
      <c r="BL36" s="1111">
        <f t="shared" si="76"/>
        <v>30.519264024443402</v>
      </c>
      <c r="BM36" s="1111">
        <f>SUMIFS(NewEmisData!E:E, NewEmisData!$A:$A, $G36, NewEmisData!$B:$B, $A36, NewEmisData!$C:$C, $H36, NewEmisData!$D:$D, BM$6)</f>
        <v>30.519264024443402</v>
      </c>
      <c r="BN36" s="1111">
        <f>SUMIFS(NewEmisData!F:F, NewEmisData!$A:$A, $G36, NewEmisData!$B:$B, $A36, NewEmisData!$C:$C, $H36, NewEmisData!$D:$D, BN$6)</f>
        <v>17.7548638520019</v>
      </c>
      <c r="BO36" s="1111">
        <f>SUMIFS(NewEmisData!G:G, NewEmisData!$A:$A, $G36, NewEmisData!$B:$B, $A36, NewEmisData!$C:$C, $H36, NewEmisData!$D:$D, BO$6)</f>
        <v>11.769795592664099</v>
      </c>
      <c r="BP36" s="1111">
        <f>SUMIFS(NewEmisData!H:H, NewEmisData!$A:$A, $G36, NewEmisData!$B:$B, $A36, NewEmisData!$C:$C, $H36, NewEmisData!$D:$D, BP$6)</f>
        <v>10.027249561844799</v>
      </c>
      <c r="BQ36" s="1111">
        <f>SUMIFS(NewEmisData!I:I, NewEmisData!$A:$A, $G36, NewEmisData!$B:$B, $A36, NewEmisData!$C:$C, $H36, NewEmisData!$D:$D, BQ$6)</f>
        <v>9.5164175607240296</v>
      </c>
      <c r="BR36" s="1111">
        <f>SUMIFS(NewEmisData!J:J, NewEmisData!$A:$A, $G36, NewEmisData!$B:$B, $A36, NewEmisData!$C:$C, $H36, NewEmisData!$D:$D, BR$6)</f>
        <v>9.3871226242105301</v>
      </c>
      <c r="BS36" s="1111">
        <f>SUMIFS(NewEmisData!K:K, NewEmisData!$A:$A, $G36, NewEmisData!$B:$B, $A36, NewEmisData!$C:$C, $H36, NewEmisData!$D:$D, BS$6)</f>
        <v>9.4290563886524001</v>
      </c>
      <c r="BT36" s="1111">
        <f>SUMIFS(NewEmisData!L:L, NewEmisData!$A:$A, $G36, NewEmisData!$B:$B, $A36, NewEmisData!$C:$C, $H36, NewEmisData!$D:$D, BT$6)</f>
        <v>9.4677016030619807</v>
      </c>
      <c r="BU36" s="1111">
        <f>SUMIFS(NewEmisData!M:M, NewEmisData!$A:$A, $G36, NewEmisData!$B:$B, $A36, NewEmisData!$C:$C, $H36, NewEmisData!$D:$D, BU$6)</f>
        <v>9.4911287930921109</v>
      </c>
      <c r="BV36" s="1111">
        <f t="shared" si="83"/>
        <v>9.4911287930921109</v>
      </c>
      <c r="BW36" s="1111">
        <f t="shared" si="77"/>
        <v>1.4331518530549801</v>
      </c>
      <c r="BX36" s="1111">
        <f>SUMIFS(NewEmisData!E:E, NewEmisData!$A:$A, $G36, NewEmisData!$B:$B, $A36, NewEmisData!$C:$C, $H36, NewEmisData!$D:$D, BX$6)</f>
        <v>1.4331518530549801</v>
      </c>
      <c r="BY36" s="1111">
        <f>SUMIFS(NewEmisData!F:F, NewEmisData!$A:$A, $G36, NewEmisData!$B:$B, $A36, NewEmisData!$C:$C, $H36, NewEmisData!$D:$D, BY$6)</f>
        <v>0.82554141247932</v>
      </c>
      <c r="BZ36" s="1111">
        <f>SUMIFS(NewEmisData!G:G, NewEmisData!$A:$A, $G36, NewEmisData!$B:$B, $A36, NewEmisData!$C:$C, $H36, NewEmisData!$D:$D, BZ$6)</f>
        <v>0.52934059761176699</v>
      </c>
      <c r="CA36" s="1111">
        <f>SUMIFS(NewEmisData!H:H, NewEmisData!$A:$A, $G36, NewEmisData!$B:$B, $A36, NewEmisData!$C:$C, $H36, NewEmisData!$D:$D, CA$6)</f>
        <v>0.41820996508437402</v>
      </c>
      <c r="CB36" s="1111">
        <f>SUMIFS(NewEmisData!I:I, NewEmisData!$A:$A, $G36, NewEmisData!$B:$B, $A36, NewEmisData!$C:$C, $H36, NewEmisData!$D:$D, CB$6)</f>
        <v>0.37730109294103098</v>
      </c>
      <c r="CC36" s="1111">
        <f>SUMIFS(NewEmisData!J:J, NewEmisData!$A:$A, $G36, NewEmisData!$B:$B, $A36, NewEmisData!$C:$C, $H36, NewEmisData!$D:$D, CC$6)</f>
        <v>0.36080370260189998</v>
      </c>
      <c r="CD36" s="1111">
        <f>SUMIFS(NewEmisData!K:K, NewEmisData!$A:$A, $G36, NewEmisData!$B:$B, $A36, NewEmisData!$C:$C, $H36, NewEmisData!$D:$D, CD$6)</f>
        <v>0.35854771789443002</v>
      </c>
      <c r="CE36" s="1111">
        <f>SUMIFS(NewEmisData!L:L, NewEmisData!$A:$A, $G36, NewEmisData!$B:$B, $A36, NewEmisData!$C:$C, $H36, NewEmisData!$D:$D, CE$6)</f>
        <v>0.35854167304512202</v>
      </c>
      <c r="CF36" s="1111">
        <f>SUMIFS(NewEmisData!M:M, NewEmisData!$A:$A, $G36, NewEmisData!$B:$B, $A36, NewEmisData!$C:$C, $H36, NewEmisData!$D:$D, CF$6)</f>
        <v>0.35855864650360297</v>
      </c>
      <c r="CG36" s="1111">
        <f t="shared" si="78"/>
        <v>0.35855864650360297</v>
      </c>
      <c r="CH36" s="1111">
        <f t="shared" si="79"/>
        <v>4.3399426569524099E-2</v>
      </c>
      <c r="CI36" s="1111">
        <f>SUMIFS(NewEmisData!E:E, NewEmisData!$A:$A, $G36, NewEmisData!$B:$B, $A36, NewEmisData!$C:$C, $H36, NewEmisData!$D:$D, CI$6)</f>
        <v>4.3399426569524099E-2</v>
      </c>
      <c r="CJ36" s="1111">
        <f>SUMIFS(NewEmisData!F:F, NewEmisData!$A:$A, $G36, NewEmisData!$B:$B, $A36, NewEmisData!$C:$C, $H36, NewEmisData!$D:$D, CJ$6)</f>
        <v>4.3414607751202899E-2</v>
      </c>
      <c r="CK36" s="1111">
        <f>SUMIFS(NewEmisData!G:G, NewEmisData!$A:$A, $G36, NewEmisData!$B:$B, $A36, NewEmisData!$C:$C, $H36, NewEmisData!$D:$D, CK$6)</f>
        <v>5.4993981735290499E-2</v>
      </c>
      <c r="CL36" s="1111">
        <f>SUMIFS(NewEmisData!H:H, NewEmisData!$A:$A, $G36, NewEmisData!$B:$B, $A36, NewEmisData!$C:$C, $H36, NewEmisData!$D:$D, CL$6)</f>
        <v>5.4993786232210601E-2</v>
      </c>
      <c r="CM36" s="1111">
        <f>SUMIFS(NewEmisData!I:I, NewEmisData!$A:$A, $G36, NewEmisData!$B:$B, $A36, NewEmisData!$C:$C, $H36, NewEmisData!$D:$D, CM$6)</f>
        <v>5.49943755829881E-2</v>
      </c>
      <c r="CN36" s="1111">
        <f>SUMIFS(NewEmisData!J:J, NewEmisData!$A:$A, $G36, NewEmisData!$B:$B, $A36, NewEmisData!$C:$C, $H36, NewEmisData!$D:$D, CN$6)</f>
        <v>5.4994520767338101E-2</v>
      </c>
      <c r="CO36" s="1111">
        <f>SUMIFS(NewEmisData!K:K, NewEmisData!$A:$A, $G36, NewEmisData!$B:$B, $A36, NewEmisData!$C:$C, $H36, NewEmisData!$D:$D, CO$6)</f>
        <v>5.4994541597587002E-2</v>
      </c>
      <c r="CP36" s="1111">
        <f>SUMIFS(NewEmisData!L:L, NewEmisData!$A:$A, $G36, NewEmisData!$B:$B, $A36, NewEmisData!$C:$C, $H36, NewEmisData!$D:$D, CP$6)</f>
        <v>5.4994553673977098E-2</v>
      </c>
      <c r="CQ36" s="1111">
        <f>SUMIFS(NewEmisData!M:M, NewEmisData!$A:$A, $G36, NewEmisData!$B:$B, $A36, NewEmisData!$C:$C, $H36, NewEmisData!$D:$D, CQ$6)</f>
        <v>5.4994550577738499E-2</v>
      </c>
      <c r="CR36" s="1111">
        <f t="shared" si="80"/>
        <v>5.4994550577738499E-2</v>
      </c>
      <c r="CS36" s="1111">
        <f t="shared" si="81"/>
        <v>4.8977354146498502E-2</v>
      </c>
      <c r="CT36" s="1111">
        <f>SUMIFS(NewEmisData!E:E, NewEmisData!$A:$A, $G36, NewEmisData!$B:$B, $A36, NewEmisData!$C:$C, $H36, NewEmisData!$D:$D, CT$6)</f>
        <v>4.8977354146498502E-2</v>
      </c>
      <c r="CU36" s="1111">
        <f>SUMIFS(NewEmisData!F:F, NewEmisData!$A:$A, $G36, NewEmisData!$B:$B, $A36, NewEmisData!$C:$C, $H36, NewEmisData!$D:$D, CU$6)</f>
        <v>2.8470713504453099E-2</v>
      </c>
      <c r="CV36" s="1111">
        <f>SUMIFS(NewEmisData!G:G, NewEmisData!$A:$A, $G36, NewEmisData!$B:$B, $A36, NewEmisData!$C:$C, $H36, NewEmisData!$D:$D, CV$6)</f>
        <v>2.1189978152056602E-2</v>
      </c>
      <c r="CW36" s="1111">
        <f>SUMIFS(NewEmisData!H:H, NewEmisData!$A:$A, $G36, NewEmisData!$B:$B, $A36, NewEmisData!$C:$C, $H36, NewEmisData!$D:$D, CW$6)</f>
        <v>1.46389058287662E-2</v>
      </c>
      <c r="CX36" s="1111">
        <f>SUMIFS(NewEmisData!I:I, NewEmisData!$A:$A, $G36, NewEmisData!$B:$B, $A36, NewEmisData!$C:$C, $H36, NewEmisData!$D:$D, CX$6)</f>
        <v>1.28792587479717E-2</v>
      </c>
      <c r="CY36" s="1111">
        <f>SUMIFS(NewEmisData!J:J, NewEmisData!$A:$A, $G36, NewEmisData!$B:$B, $A36, NewEmisData!$C:$C, $H36, NewEmisData!$D:$D, CY$6)</f>
        <v>1.23921680979683E-2</v>
      </c>
      <c r="CZ36" s="1111">
        <f>SUMIFS(NewEmisData!K:K, NewEmisData!$A:$A, $G36, NewEmisData!$B:$B, $A36, NewEmisData!$C:$C, $H36, NewEmisData!$D:$D, CZ$6)</f>
        <v>1.23336041545112E-2</v>
      </c>
      <c r="DA36" s="1111">
        <f>SUMIFS(NewEmisData!L:L, NewEmisData!$A:$A, $G36, NewEmisData!$B:$B, $A36, NewEmisData!$C:$C, $H36, NewEmisData!$D:$D, DA$6)</f>
        <v>1.22985211601931E-2</v>
      </c>
      <c r="DB36" s="1111">
        <f>SUMIFS(NewEmisData!M:M, NewEmisData!$A:$A, $G36, NewEmisData!$B:$B, $A36, NewEmisData!$C:$C, $H36, NewEmisData!$D:$D, DB$6)</f>
        <v>1.2317402931661E-2</v>
      </c>
      <c r="DC36" s="1111">
        <f t="shared" si="84"/>
        <v>1.2317402931661E-2</v>
      </c>
      <c r="DD36" s="1111"/>
      <c r="DE36" s="1111"/>
      <c r="DF36" s="1111"/>
      <c r="DG36" s="1111"/>
      <c r="DH36" s="1111"/>
      <c r="DI36" s="1111"/>
      <c r="DJ36" s="1111"/>
      <c r="DK36" s="1111"/>
      <c r="DL36" s="1111"/>
      <c r="DM36" s="1111"/>
      <c r="DN36" s="1111"/>
      <c r="DO36" s="1111"/>
      <c r="DP36" s="1111"/>
      <c r="DQ36" s="1111"/>
      <c r="DR36" s="1111"/>
      <c r="DS36" s="1111"/>
      <c r="DT36" s="1111"/>
      <c r="DU36" s="1111"/>
      <c r="DV36" s="1111"/>
      <c r="DW36" s="1111"/>
      <c r="DX36" s="1111"/>
      <c r="DY36" s="1111"/>
      <c r="DZ36" s="1111">
        <f t="shared" si="85"/>
        <v>3.8110257804810699E-2</v>
      </c>
      <c r="EA36" s="1111">
        <f>SUMIFS(NewEmisData!E:E, NewEmisData!$A:$A, $G36, NewEmisData!$B:$B, $A36, NewEmisData!$C:$C, $H36, NewEmisData!$D:$D, EA$6)</f>
        <v>3.8110257804810699E-2</v>
      </c>
      <c r="EB36" s="1111">
        <f>SUMIFS(NewEmisData!F:F, NewEmisData!$A:$A, $G36, NewEmisData!$B:$B, $A36, NewEmisData!$C:$C, $H36, NewEmisData!$D:$D, EB$6)</f>
        <v>2.0417199912842899E-2</v>
      </c>
      <c r="EC36" s="1111">
        <f>SUMIFS(NewEmisData!G:G, NewEmisData!$A:$A, $G36, NewEmisData!$B:$B, $A36, NewEmisData!$C:$C, $H36, NewEmisData!$D:$D, EC$6)</f>
        <v>1.30642962548774E-2</v>
      </c>
      <c r="ED36" s="1111">
        <f>SUMIFS(NewEmisData!H:H, NewEmisData!$A:$A, $G36, NewEmisData!$B:$B, $A36, NewEmisData!$C:$C, $H36, NewEmisData!$D:$D, ED$6)</f>
        <v>1.11738363859457E-2</v>
      </c>
      <c r="EE36" s="1111">
        <f>SUMIFS(NewEmisData!I:I, NewEmisData!$A:$A, $G36, NewEmisData!$B:$B, $A36, NewEmisData!$C:$C, $H36, NewEmisData!$D:$D, EE$6)</f>
        <v>1.0636123173322E-2</v>
      </c>
      <c r="EF36" s="1111">
        <f>SUMIFS(NewEmisData!J:J, NewEmisData!$A:$A, $G36, NewEmisData!$B:$B, $A36, NewEmisData!$C:$C, $H36, NewEmisData!$D:$D, EF$6)</f>
        <v>1.0535248987316E-2</v>
      </c>
      <c r="EG36" s="1111">
        <f>SUMIFS(NewEmisData!K:K, NewEmisData!$A:$A, $G36, NewEmisData!$B:$B, $A36, NewEmisData!$C:$C, $H36, NewEmisData!$D:$D, EG$6)</f>
        <v>1.0571182579202899E-2</v>
      </c>
      <c r="EH36" s="1111">
        <f>SUMIFS(NewEmisData!L:L, NewEmisData!$A:$A, $G36, NewEmisData!$B:$B, $A36, NewEmisData!$C:$C, $H36, NewEmisData!$D:$D, EH$6)</f>
        <v>1.05827805921651E-2</v>
      </c>
      <c r="EI36" s="1111">
        <f>SUMIFS(NewEmisData!M:M, NewEmisData!$A:$A, $G36, NewEmisData!$B:$B, $A36, NewEmisData!$C:$C, $H36, NewEmisData!$D:$D, EI$6)</f>
        <v>1.05816969285468E-2</v>
      </c>
      <c r="EJ36" s="1111">
        <f t="shared" si="86"/>
        <v>1.05816969285468E-2</v>
      </c>
      <c r="EK36" s="1111">
        <f t="shared" si="87"/>
        <v>1125.6531994791601</v>
      </c>
      <c r="EL36" s="1111">
        <f t="shared" si="48"/>
        <v>1125.6531994791601</v>
      </c>
      <c r="EM36" s="1111">
        <f t="shared" si="49"/>
        <v>1129.51230354672</v>
      </c>
      <c r="EN36" s="1111">
        <f t="shared" si="50"/>
        <v>1334.28865010909</v>
      </c>
      <c r="EO36" s="1111">
        <f t="shared" si="51"/>
        <v>1309.4477161980601</v>
      </c>
      <c r="EP36" s="1111">
        <f t="shared" si="52"/>
        <v>1290.2789800169201</v>
      </c>
      <c r="EQ36" s="1111">
        <f t="shared" si="53"/>
        <v>1285.24459420581</v>
      </c>
      <c r="ER36" s="1111">
        <f t="shared" si="54"/>
        <v>1283.9086141387199</v>
      </c>
      <c r="ES36" s="1111">
        <f t="shared" si="55"/>
        <v>1283.64917953798</v>
      </c>
      <c r="ET36" s="1111">
        <f t="shared" si="56"/>
        <v>1283.5882413572699</v>
      </c>
      <c r="EU36" s="1111">
        <f t="shared" si="57"/>
        <v>1283.5882413572699</v>
      </c>
      <c r="EV36" s="1111">
        <f t="shared" si="88"/>
        <v>3.9696963814368802</v>
      </c>
      <c r="EW36" s="1111">
        <f t="shared" si="38"/>
        <v>3.9696963814368802</v>
      </c>
      <c r="EX36" s="1111">
        <f t="shared" si="39"/>
        <v>2.1292045893653802</v>
      </c>
      <c r="EY36" s="1111">
        <f t="shared" si="40"/>
        <v>1.1780347139767999</v>
      </c>
      <c r="EZ36" s="1111">
        <f t="shared" si="41"/>
        <v>0.85616837461707895</v>
      </c>
      <c r="FA36" s="1111">
        <f t="shared" si="42"/>
        <v>0.71679914036882397</v>
      </c>
      <c r="FB36" s="1111">
        <f t="shared" si="43"/>
        <v>0.653734873709785</v>
      </c>
      <c r="FC36" s="1111">
        <f t="shared" si="44"/>
        <v>0.63529466077774999</v>
      </c>
      <c r="FD36" s="1111">
        <f t="shared" si="45"/>
        <v>0.63126465139316401</v>
      </c>
      <c r="FE36" s="1111">
        <f t="shared" si="46"/>
        <v>0.63008499106767202</v>
      </c>
      <c r="FF36" s="1111">
        <f t="shared" si="47"/>
        <v>0.63008499106767202</v>
      </c>
      <c r="FG36" s="1111">
        <f t="shared" si="89"/>
        <v>1.94777471026268E-2</v>
      </c>
      <c r="FH36" s="1111">
        <f t="shared" si="90"/>
        <v>1.94777471026268E-2</v>
      </c>
      <c r="FI36" s="1111">
        <f t="shared" si="91"/>
        <v>1.95445323749391E-2</v>
      </c>
      <c r="FJ36" s="1111">
        <f t="shared" si="92"/>
        <v>1.9141058004132301E-2</v>
      </c>
      <c r="FK36" s="1111">
        <f t="shared" si="93"/>
        <v>1.8784705993390102E-2</v>
      </c>
      <c r="FL36" s="1111">
        <f t="shared" si="94"/>
        <v>1.85097249042331E-2</v>
      </c>
      <c r="FM36" s="1111">
        <f t="shared" si="95"/>
        <v>1.8437510106673601E-2</v>
      </c>
      <c r="FN36" s="1111">
        <f t="shared" si="96"/>
        <v>1.8418333813220399E-2</v>
      </c>
      <c r="FO36" s="1111">
        <f t="shared" si="97"/>
        <v>1.8414616467845198E-2</v>
      </c>
      <c r="FP36" s="1111">
        <f t="shared" si="98"/>
        <v>1.84137339980028E-2</v>
      </c>
      <c r="FQ36" s="1111">
        <f t="shared" si="99"/>
        <v>1.84137339980028E-2</v>
      </c>
      <c r="FR36" s="1111">
        <f t="shared" si="25"/>
        <v>0.16277138632680399</v>
      </c>
      <c r="FS36" s="1111">
        <f t="shared" si="26"/>
        <v>0.16277138632680399</v>
      </c>
      <c r="FT36" s="1111">
        <f t="shared" si="27"/>
        <v>0.15749210557477999</v>
      </c>
      <c r="FU36" s="1111">
        <f t="shared" si="28"/>
        <v>0.22213105998277299</v>
      </c>
      <c r="FV36" s="1111">
        <f t="shared" si="29"/>
        <v>0.22256905483131201</v>
      </c>
      <c r="FW36" s="1111">
        <f t="shared" si="30"/>
        <v>0.223017594102533</v>
      </c>
      <c r="FX36" s="1111">
        <f t="shared" si="31"/>
        <v>0.22328437261219899</v>
      </c>
      <c r="FY36" s="1111">
        <f t="shared" si="32"/>
        <v>0.22342028408578701</v>
      </c>
      <c r="FZ36" s="1111">
        <f t="shared" si="33"/>
        <v>0.22346164064811899</v>
      </c>
      <c r="GA36" s="1111">
        <f t="shared" si="34"/>
        <v>0.22347689751407299</v>
      </c>
      <c r="GB36" s="1111">
        <f t="shared" si="35"/>
        <v>0.22347689751407299</v>
      </c>
      <c r="GC36" s="1111">
        <f t="shared" si="59"/>
        <v>3.3085277901506199E-2</v>
      </c>
      <c r="GD36" s="1111">
        <f t="shared" si="60"/>
        <v>3.3085277901506199E-2</v>
      </c>
      <c r="GE36" s="1111">
        <f t="shared" si="61"/>
        <v>2.8088278695018499E-2</v>
      </c>
      <c r="GF36" s="1111">
        <f t="shared" si="62"/>
        <v>3.5249470703337199E-2</v>
      </c>
      <c r="GG36" s="1111">
        <f t="shared" si="63"/>
        <v>3.5278230321982601E-2</v>
      </c>
      <c r="GH36" s="1111">
        <f t="shared" si="64"/>
        <v>3.5607078221125799E-2</v>
      </c>
      <c r="GI36" s="1111">
        <f t="shared" si="65"/>
        <v>3.5823183054303799E-2</v>
      </c>
      <c r="GJ36" s="1111">
        <f t="shared" si="66"/>
        <v>3.5938864982074499E-2</v>
      </c>
      <c r="GK36" s="1111">
        <f t="shared" si="67"/>
        <v>3.5974176634088799E-2</v>
      </c>
      <c r="GL36" s="1111">
        <f t="shared" si="68"/>
        <v>3.59876115686096E-2</v>
      </c>
      <c r="GM36" s="1111">
        <f t="shared" si="69"/>
        <v>3.59876115686096E-2</v>
      </c>
    </row>
    <row r="37" spans="1:195" x14ac:dyDescent="0.2">
      <c r="A37" s="1071" t="s">
        <v>186</v>
      </c>
      <c r="B37" s="1071" t="str">
        <f>Technologies!C112</f>
        <v>TMCNGE</v>
      </c>
      <c r="C37" s="1071" t="str">
        <f>Technologies!D112</f>
        <v>Medium Duty Truck, Existing CNG</v>
      </c>
      <c r="D37" s="1071" t="str">
        <f>TechData!D19</f>
        <v>bn-vmt, bn-vmt/a</v>
      </c>
      <c r="E37" s="1071" t="str">
        <f>TechData!E20</f>
        <v>TMCNG</v>
      </c>
      <c r="F37" s="1071" t="str">
        <f>TechData!F20</f>
        <v>TM</v>
      </c>
      <c r="G37" s="1110" t="s">
        <v>503</v>
      </c>
      <c r="H37" s="1111" t="s">
        <v>500</v>
      </c>
      <c r="I37" s="1112">
        <v>1</v>
      </c>
      <c r="J37" s="1111" t="str">
        <f t="shared" si="37"/>
        <v>Medium duty-GSL</v>
      </c>
      <c r="K37" s="1111">
        <f>SUMIFS(NewEmisData!E:E, NewEmisData!$A:$A, $G37, NewEmisData!$B:$B, $A37, NewEmisData!$C:$C, $H37, NewEmisData!$D:$D, K$6)</f>
        <v>1571.23838726393</v>
      </c>
      <c r="L37" s="1111">
        <f>SUMIFS(NewEmisData!F:F, NewEmisData!$A:$A, $G37, NewEmisData!$B:$B, $A37, NewEmisData!$C:$C, $H37, NewEmisData!$D:$D, L$6)</f>
        <v>1575.29652368133</v>
      </c>
      <c r="M37" s="1111">
        <f>SUMIFS(NewEmisData!G:G, NewEmisData!$A:$A, $G37, NewEmisData!$B:$B, $A37, NewEmisData!$C:$C, $H37, NewEmisData!$D:$D, M$6)</f>
        <v>1620.65726903051</v>
      </c>
      <c r="N37" s="1111">
        <f>SUMIFS(NewEmisData!H:H, NewEmisData!$A:$A, $G37, NewEmisData!$B:$B, $A37, NewEmisData!$C:$C, $H37, NewEmisData!$D:$D, N$6)</f>
        <v>1591.3958126743701</v>
      </c>
      <c r="O37" s="1111">
        <f>SUMIFS(NewEmisData!I:I, NewEmisData!$A:$A, $G37, NewEmisData!$B:$B, $A37, NewEmisData!$C:$C, $H37, NewEmisData!$D:$D, O$6)</f>
        <v>1568.18391586794</v>
      </c>
      <c r="P37" s="1111">
        <f>SUMIFS(NewEmisData!J:J, NewEmisData!$A:$A, $G37, NewEmisData!$B:$B, $A37, NewEmisData!$C:$C, $H37, NewEmisData!$D:$D, P$6)</f>
        <v>1562.10113018675</v>
      </c>
      <c r="Q37" s="1111">
        <f>SUMIFS(NewEmisData!K:K, NewEmisData!$A:$A, $G37, NewEmisData!$B:$B, $A37, NewEmisData!$C:$C, $H37, NewEmisData!$D:$D, Q$6)</f>
        <v>1560.4729957351501</v>
      </c>
      <c r="R37" s="1111">
        <f>SUMIFS(NewEmisData!L:L, NewEmisData!$A:$A, $G37, NewEmisData!$B:$B, $A37, NewEmisData!$C:$C, $H37, NewEmisData!$D:$D, R$6)</f>
        <v>1560.1538107035101</v>
      </c>
      <c r="S37" s="1111">
        <f>SUMIFS(NewEmisData!M:M, NewEmisData!$A:$A, $G37, NewEmisData!$B:$B, $A37, NewEmisData!$C:$C, $H37, NewEmisData!$D:$D, S$6)</f>
        <v>1560.07677043992</v>
      </c>
      <c r="T37" s="1111">
        <f t="shared" si="17"/>
        <v>1560.07677043992</v>
      </c>
      <c r="U37" s="1111">
        <f>SUMIFS(NewEmisData!E:E, NewEmisData!$A:$A, $G37, NewEmisData!$B:$B, $A37, NewEmisData!$C:$C, $H37, NewEmisData!$D:$D, U$6)</f>
        <v>4.4339350215429896</v>
      </c>
      <c r="V37" s="1111">
        <f>SUMIFS(NewEmisData!F:F, NewEmisData!$A:$A, $G37, NewEmisData!$B:$B, $A37, NewEmisData!$C:$C, $H37, NewEmisData!$D:$D, V$6)</f>
        <v>3.9615409236254</v>
      </c>
      <c r="W37" s="1111">
        <f>SUMIFS(NewEmisData!G:G, NewEmisData!$A:$A, $G37, NewEmisData!$B:$B, $A37, NewEmisData!$C:$C, $H37, NewEmisData!$D:$D, W$6)</f>
        <v>1.33028401660566</v>
      </c>
      <c r="X37" s="1111">
        <f>SUMIFS(NewEmisData!H:H, NewEmisData!$A:$A, $G37, NewEmisData!$B:$B, $A37, NewEmisData!$C:$C, $H37, NewEmisData!$D:$D, X$6)</f>
        <v>0.96801463367483198</v>
      </c>
      <c r="Y37" s="1111">
        <f>SUMIFS(NewEmisData!I:I, NewEmisData!$A:$A, $G37, NewEmisData!$B:$B, $A37, NewEmisData!$C:$C, $H37, NewEmisData!$D:$D, Y$6)</f>
        <v>0.810835029277582</v>
      </c>
      <c r="Z37" s="1111">
        <f>SUMIFS(NewEmisData!J:J, NewEmisData!$A:$A, $G37, NewEmisData!$B:$B, $A37, NewEmisData!$C:$C, $H37, NewEmisData!$D:$D, Z$6)</f>
        <v>0.73984590086297597</v>
      </c>
      <c r="AA37" s="1111">
        <f>SUMIFS(NewEmisData!K:K, NewEmisData!$A:$A, $G37, NewEmisData!$B:$B, $A37, NewEmisData!$C:$C, $H37, NewEmisData!$D:$D, AA$6)</f>
        <v>0.71912537608469196</v>
      </c>
      <c r="AB37" s="1111">
        <f>SUMIFS(NewEmisData!L:L, NewEmisData!$A:$A, $G37, NewEmisData!$B:$B, $A37, NewEmisData!$C:$C, $H37, NewEmisData!$D:$D, AB$6)</f>
        <v>0.71458926415217605</v>
      </c>
      <c r="AC37" s="1111">
        <f>SUMIFS(NewEmisData!M:M, NewEmisData!$A:$A, $G37, NewEmisData!$B:$B, $A37, NewEmisData!$C:$C, $H37, NewEmisData!$D:$D, AC$6)</f>
        <v>0.71327232452186995</v>
      </c>
      <c r="AD37" s="1111">
        <f t="shared" si="18"/>
        <v>0.71327232452186995</v>
      </c>
      <c r="AE37" s="1111">
        <f t="shared" si="70"/>
        <v>2.71879476544729E-2</v>
      </c>
      <c r="AF37" s="1111">
        <f>SUMIFS(NewEmisData!E:E, NewEmisData!$A:$A, $G37, NewEmisData!$B:$B, $A37, NewEmisData!$C:$C, $H37, NewEmisData!$D:$D, AF$6)</f>
        <v>2.71879476544729E-2</v>
      </c>
      <c r="AG37" s="1111">
        <f>SUMIFS(NewEmisData!F:F, NewEmisData!$A:$A, $G37, NewEmisData!$B:$B, $A37, NewEmisData!$C:$C, $H37, NewEmisData!$D:$D, AG$6)</f>
        <v>2.72581702920257E-2</v>
      </c>
      <c r="AH37" s="1111">
        <f>SUMIFS(NewEmisData!G:G, NewEmisData!$A:$A, $G37, NewEmisData!$B:$B, $A37, NewEmisData!$C:$C, $H37, NewEmisData!$D:$D, AH$6)</f>
        <v>2.32491676049662E-2</v>
      </c>
      <c r="AI37" s="1111">
        <f>SUMIFS(NewEmisData!H:H, NewEmisData!$A:$A, $G37, NewEmisData!$B:$B, $A37, NewEmisData!$C:$C, $H37, NewEmisData!$D:$D, AI$6)</f>
        <v>2.28294094185802E-2</v>
      </c>
      <c r="AJ37" s="1111">
        <f>SUMIFS(NewEmisData!I:I, NewEmisData!$A:$A, $G37, NewEmisData!$B:$B, $A37, NewEmisData!$C:$C, $H37, NewEmisData!$D:$D, AJ$6)</f>
        <v>2.2496411359683499E-2</v>
      </c>
      <c r="AK37" s="1111">
        <f>SUMIFS(NewEmisData!J:J, NewEmisData!$A:$A, $G37, NewEmisData!$B:$B, $A37, NewEmisData!$C:$C, $H37, NewEmisData!$D:$D, AK$6)</f>
        <v>2.24091575903414E-2</v>
      </c>
      <c r="AL37" s="1111">
        <f>SUMIFS(NewEmisData!K:K, NewEmisData!$A:$A, $G37, NewEmisData!$B:$B, $A37, NewEmisData!$C:$C, $H37, NewEmisData!$D:$D, AL$6)</f>
        <v>2.2385789717233699E-2</v>
      </c>
      <c r="AM37" s="1111">
        <f>SUMIFS(NewEmisData!L:L, NewEmisData!$A:$A, $G37, NewEmisData!$B:$B, $A37, NewEmisData!$C:$C, $H37, NewEmisData!$D:$D, AM$6)</f>
        <v>2.23812039581394E-2</v>
      </c>
      <c r="AN37" s="1111">
        <f>SUMIFS(NewEmisData!M:M, NewEmisData!$A:$A, $G37, NewEmisData!$B:$B, $A37, NewEmisData!$C:$C, $H37, NewEmisData!$D:$D, AN$6)</f>
        <v>2.2380112251842499E-2</v>
      </c>
      <c r="AO37" s="1111">
        <f t="shared" si="71"/>
        <v>2.2380112251842499E-2</v>
      </c>
      <c r="AP37" s="1111">
        <f t="shared" si="72"/>
        <v>0.29570181024604603</v>
      </c>
      <c r="AQ37" s="1111">
        <f>SUMIFS(NewEmisData!E:E, NewEmisData!$A:$A, $G37, NewEmisData!$B:$B, $A37, NewEmisData!$C:$C, $H37, NewEmisData!$D:$D, AQ$6)</f>
        <v>0.29570181024604603</v>
      </c>
      <c r="AR37" s="1111">
        <f>SUMIFS(NewEmisData!F:F, NewEmisData!$A:$A, $G37, NewEmisData!$B:$B, $A37, NewEmisData!$C:$C, $H37, NewEmisData!$D:$D, AR$6)</f>
        <v>0.31347002724777001</v>
      </c>
      <c r="AS37" s="1111">
        <f>SUMIFS(NewEmisData!G:G, NewEmisData!$A:$A, $G37, NewEmisData!$B:$B, $A37, NewEmisData!$C:$C, $H37, NewEmisData!$D:$D, AS$6)</f>
        <v>0.29348248729715698</v>
      </c>
      <c r="AT37" s="1111">
        <f>SUMIFS(NewEmisData!H:H, NewEmisData!$A:$A, $G37, NewEmisData!$B:$B, $A37, NewEmisData!$C:$C, $H37, NewEmisData!$D:$D, AT$6)</f>
        <v>0.29400895980241698</v>
      </c>
      <c r="AU37" s="1111">
        <f>SUMIFS(NewEmisData!I:I, NewEmisData!$A:$A, $G37, NewEmisData!$B:$B, $A37, NewEmisData!$C:$C, $H37, NewEmisData!$D:$D, AU$6)</f>
        <v>0.29451767447034</v>
      </c>
      <c r="AV37" s="1111">
        <f>SUMIFS(NewEmisData!J:J, NewEmisData!$A:$A, $G37, NewEmisData!$B:$B, $A37, NewEmisData!$C:$C, $H37, NewEmisData!$D:$D, AV$6)</f>
        <v>0.29481614241324999</v>
      </c>
      <c r="AW37" s="1111">
        <f>SUMIFS(NewEmisData!K:K, NewEmisData!$A:$A, $G37, NewEmisData!$B:$B, $A37, NewEmisData!$C:$C, $H37, NewEmisData!$D:$D, AW$6)</f>
        <v>0.29496671929746798</v>
      </c>
      <c r="AX37" s="1111">
        <f>SUMIFS(NewEmisData!L:L, NewEmisData!$A:$A, $G37, NewEmisData!$B:$B, $A37, NewEmisData!$C:$C, $H37, NewEmisData!$D:$D, AX$6)</f>
        <v>0.29501247169592298</v>
      </c>
      <c r="AY37" s="1111">
        <f>SUMIFS(NewEmisData!M:M, NewEmisData!$A:$A, $G37, NewEmisData!$B:$B, $A37, NewEmisData!$C:$C, $H37, NewEmisData!$D:$D, AY$6)</f>
        <v>0.29502934324841701</v>
      </c>
      <c r="AZ37" s="1111">
        <f t="shared" si="73"/>
        <v>0.29502934324841701</v>
      </c>
      <c r="BA37" s="1111">
        <f t="shared" si="74"/>
        <v>5.6205629802393201E-2</v>
      </c>
      <c r="BB37" s="1111">
        <f>SUMIFS(NewEmisData!E:E, NewEmisData!$A:$A, $G37, NewEmisData!$B:$B, $A37, NewEmisData!$C:$C, $H37, NewEmisData!$D:$D, BB$6)</f>
        <v>5.6205629802393201E-2</v>
      </c>
      <c r="BC37" s="1111">
        <f>SUMIFS(NewEmisData!F:F, NewEmisData!$A:$A, $G37, NewEmisData!$B:$B, $A37, NewEmisData!$C:$C, $H37, NewEmisData!$D:$D, BC$6)</f>
        <v>7.2194764578646903E-2</v>
      </c>
      <c r="BD37" s="1111">
        <f>SUMIFS(NewEmisData!G:G, NewEmisData!$A:$A, $G37, NewEmisData!$B:$B, $A37, NewEmisData!$C:$C, $H37, NewEmisData!$D:$D, BD$6)</f>
        <v>4.48839101088091E-2</v>
      </c>
      <c r="BE37" s="1111">
        <f>SUMIFS(NewEmisData!H:H, NewEmisData!$A:$A, $G37, NewEmisData!$B:$B, $A37, NewEmisData!$C:$C, $H37, NewEmisData!$D:$D, BE$6)</f>
        <v>4.4911356100480797E-2</v>
      </c>
      <c r="BF37" s="1111">
        <f>SUMIFS(NewEmisData!I:I, NewEmisData!$A:$A, $G37, NewEmisData!$B:$B, $A37, NewEmisData!$C:$C, $H37, NewEmisData!$D:$D, BF$6)</f>
        <v>4.52709454211217E-2</v>
      </c>
      <c r="BG37" s="1111">
        <f>SUMIFS(NewEmisData!J:J, NewEmisData!$A:$A, $G37, NewEmisData!$B:$B, $A37, NewEmisData!$C:$C, $H37, NewEmisData!$D:$D, BG$6)</f>
        <v>4.5510230108050102E-2</v>
      </c>
      <c r="BH37" s="1111">
        <f>SUMIFS(NewEmisData!K:K, NewEmisData!$A:$A, $G37, NewEmisData!$B:$B, $A37, NewEmisData!$C:$C, $H37, NewEmisData!$D:$D, BH$6)</f>
        <v>4.5637724556064498E-2</v>
      </c>
      <c r="BI37" s="1111">
        <f>SUMIFS(NewEmisData!L:L, NewEmisData!$A:$A, $G37, NewEmisData!$B:$B, $A37, NewEmisData!$C:$C, $H37, NewEmisData!$D:$D, BI$6)</f>
        <v>4.56765897746194E-2</v>
      </c>
      <c r="BJ37" s="1111">
        <f>SUMIFS(NewEmisData!M:M, NewEmisData!$A:$A, $G37, NewEmisData!$B:$B, $A37, NewEmisData!$C:$C, $H37, NewEmisData!$D:$D, BJ$6)</f>
        <v>4.5691464860186798E-2</v>
      </c>
      <c r="BK37" s="1111">
        <f t="shared" si="75"/>
        <v>4.5691464860186798E-2</v>
      </c>
      <c r="BL37" s="1111">
        <f t="shared" si="76"/>
        <v>36.177292371673602</v>
      </c>
      <c r="BM37" s="1111">
        <f>SUMIFS(NewEmisData!E:E, NewEmisData!$A:$A, $G37, NewEmisData!$B:$B, $A37, NewEmisData!$C:$C, $H37, NewEmisData!$D:$D, BM$6)</f>
        <v>36.177292371673602</v>
      </c>
      <c r="BN37" s="1111">
        <f>SUMIFS(NewEmisData!F:F, NewEmisData!$A:$A, $G37, NewEmisData!$B:$B, $A37, NewEmisData!$C:$C, $H37, NewEmisData!$D:$D, BN$6)</f>
        <v>37.664857731196101</v>
      </c>
      <c r="BO37" s="1111">
        <f>SUMIFS(NewEmisData!G:G, NewEmisData!$A:$A, $G37, NewEmisData!$B:$B, $A37, NewEmisData!$C:$C, $H37, NewEmisData!$D:$D, BO$6)</f>
        <v>13.345526144115</v>
      </c>
      <c r="BP37" s="1111">
        <f>SUMIFS(NewEmisData!H:H, NewEmisData!$A:$A, $G37, NewEmisData!$B:$B, $A37, NewEmisData!$C:$C, $H37, NewEmisData!$D:$D, BP$6)</f>
        <v>11.2726393432321</v>
      </c>
      <c r="BQ37" s="1111">
        <f>SUMIFS(NewEmisData!I:I, NewEmisData!$A:$A, $G37, NewEmisData!$B:$B, $A37, NewEmisData!$C:$C, $H37, NewEmisData!$D:$D, BQ$6)</f>
        <v>10.6231110988618</v>
      </c>
      <c r="BR37" s="1111">
        <f>SUMIFS(NewEmisData!J:J, NewEmisData!$A:$A, $G37, NewEmisData!$B:$B, $A37, NewEmisData!$C:$C, $H37, NewEmisData!$D:$D, BR$6)</f>
        <v>10.435587854097999</v>
      </c>
      <c r="BS37" s="1111">
        <f>SUMIFS(NewEmisData!K:K, NewEmisData!$A:$A, $G37, NewEmisData!$B:$B, $A37, NewEmisData!$C:$C, $H37, NewEmisData!$D:$D, BS$6)</f>
        <v>10.465169362167</v>
      </c>
      <c r="BT37" s="1111">
        <f>SUMIFS(NewEmisData!L:L, NewEmisData!$A:$A, $G37, NewEmisData!$B:$B, $A37, NewEmisData!$C:$C, $H37, NewEmisData!$D:$D, BT$6)</f>
        <v>10.5025719676633</v>
      </c>
      <c r="BU37" s="1111">
        <f>SUMIFS(NewEmisData!M:M, NewEmisData!$A:$A, $G37, NewEmisData!$B:$B, $A37, NewEmisData!$C:$C, $H37, NewEmisData!$D:$D, BU$6)</f>
        <v>10.526416150576599</v>
      </c>
      <c r="BV37" s="1111">
        <f t="shared" si="83"/>
        <v>10.526416150576599</v>
      </c>
      <c r="BW37" s="1111">
        <f t="shared" si="77"/>
        <v>2.2547746276717899</v>
      </c>
      <c r="BX37" s="1111">
        <f>SUMIFS(NewEmisData!E:E, NewEmisData!$A:$A, $G37, NewEmisData!$B:$B, $A37, NewEmisData!$C:$C, $H37, NewEmisData!$D:$D, BX$6)</f>
        <v>2.2547746276717899</v>
      </c>
      <c r="BY37" s="1111">
        <f>SUMIFS(NewEmisData!F:F, NewEmisData!$A:$A, $G37, NewEmisData!$B:$B, $A37, NewEmisData!$C:$C, $H37, NewEmisData!$D:$D, BY$6)</f>
        <v>2.8652548693587798</v>
      </c>
      <c r="BZ37" s="1111">
        <f>SUMIFS(NewEmisData!G:G, NewEmisData!$A:$A, $G37, NewEmisData!$B:$B, $A37, NewEmisData!$C:$C, $H37, NewEmisData!$D:$D, BZ$6)</f>
        <v>0.66453606773915896</v>
      </c>
      <c r="CA37" s="1111">
        <f>SUMIFS(NewEmisData!H:H, NewEmisData!$A:$A, $G37, NewEmisData!$B:$B, $A37, NewEmisData!$C:$C, $H37, NewEmisData!$D:$D, CA$6)</f>
        <v>0.52696134881096601</v>
      </c>
      <c r="CB37" s="1111">
        <f>SUMIFS(NewEmisData!I:I, NewEmisData!$A:$A, $G37, NewEmisData!$B:$B, $A37, NewEmisData!$C:$C, $H37, NewEmisData!$D:$D, CB$6)</f>
        <v>0.475085091842188</v>
      </c>
      <c r="CC37" s="1111">
        <f>SUMIFS(NewEmisData!J:J, NewEmisData!$A:$A, $G37, NewEmisData!$B:$B, $A37, NewEmisData!$C:$C, $H37, NewEmisData!$D:$D, CC$6)</f>
        <v>0.45399199428257297</v>
      </c>
      <c r="CD37" s="1111">
        <f>SUMIFS(NewEmisData!K:K, NewEmisData!$A:$A, $G37, NewEmisData!$B:$B, $A37, NewEmisData!$C:$C, $H37, NewEmisData!$D:$D, CD$6)</f>
        <v>0.45084584233142999</v>
      </c>
      <c r="CE37" s="1111">
        <f>SUMIFS(NewEmisData!L:L, NewEmisData!$A:$A, $G37, NewEmisData!$B:$B, $A37, NewEmisData!$C:$C, $H37, NewEmisData!$D:$D, CE$6)</f>
        <v>0.450741469309828</v>
      </c>
      <c r="CF37" s="1111">
        <f>SUMIFS(NewEmisData!M:M, NewEmisData!$A:$A, $G37, NewEmisData!$B:$B, $A37, NewEmisData!$C:$C, $H37, NewEmisData!$D:$D, CF$6)</f>
        <v>0.45074449890965201</v>
      </c>
      <c r="CG37" s="1111">
        <f t="shared" si="78"/>
        <v>0.45074449890965201</v>
      </c>
      <c r="CH37" s="1111">
        <f t="shared" si="79"/>
        <v>5.7867400606941198E-2</v>
      </c>
      <c r="CI37" s="1111">
        <f>SUMIFS(NewEmisData!E:E, NewEmisData!$A:$A, $G37, NewEmisData!$B:$B, $A37, NewEmisData!$C:$C, $H37, NewEmisData!$D:$D, CI$6)</f>
        <v>5.7867400606941198E-2</v>
      </c>
      <c r="CJ37" s="1111">
        <f>SUMIFS(NewEmisData!F:F, NewEmisData!$A:$A, $G37, NewEmisData!$B:$B, $A37, NewEmisData!$C:$C, $H37, NewEmisData!$D:$D, CJ$6)</f>
        <v>5.7868748340902797E-2</v>
      </c>
      <c r="CK37" s="1111">
        <f>SUMIFS(NewEmisData!G:G, NewEmisData!$A:$A, $G37, NewEmisData!$B:$B, $A37, NewEmisData!$C:$C, $H37, NewEmisData!$D:$D, CK$6)</f>
        <v>6.6009929070185699E-2</v>
      </c>
      <c r="CL37" s="1111">
        <f>SUMIFS(NewEmisData!H:H, NewEmisData!$A:$A, $G37, NewEmisData!$B:$B, $A37, NewEmisData!$C:$C, $H37, NewEmisData!$D:$D, CL$6)</f>
        <v>6.6010246689438001E-2</v>
      </c>
      <c r="CM37" s="1111">
        <f>SUMIFS(NewEmisData!I:I, NewEmisData!$A:$A, $G37, NewEmisData!$B:$B, $A37, NewEmisData!$C:$C, $H37, NewEmisData!$D:$D, CM$6)</f>
        <v>6.6010539794431194E-2</v>
      </c>
      <c r="CN37" s="1111">
        <f>SUMIFS(NewEmisData!J:J, NewEmisData!$A:$A, $G37, NewEmisData!$B:$B, $A37, NewEmisData!$C:$C, $H37, NewEmisData!$D:$D, CN$6)</f>
        <v>6.6010651142724794E-2</v>
      </c>
      <c r="CO37" s="1111">
        <f>SUMIFS(NewEmisData!K:K, NewEmisData!$A:$A, $G37, NewEmisData!$B:$B, $A37, NewEmisData!$C:$C, $H37, NewEmisData!$D:$D, CO$6)</f>
        <v>6.60106383420173E-2</v>
      </c>
      <c r="CP37" s="1111">
        <f>SUMIFS(NewEmisData!L:L, NewEmisData!$A:$A, $G37, NewEmisData!$B:$B, $A37, NewEmisData!$C:$C, $H37, NewEmisData!$D:$D, CP$6)</f>
        <v>6.6010618394000603E-2</v>
      </c>
      <c r="CQ37" s="1111">
        <f>SUMIFS(NewEmisData!M:M, NewEmisData!$A:$A, $G37, NewEmisData!$B:$B, $A37, NewEmisData!$C:$C, $H37, NewEmisData!$D:$D, CQ$6)</f>
        <v>6.6010633444598496E-2</v>
      </c>
      <c r="CR37" s="1111">
        <f t="shared" si="80"/>
        <v>6.6010633444598496E-2</v>
      </c>
      <c r="CS37" s="1111">
        <f t="shared" si="81"/>
        <v>7.2164995475767907E-2</v>
      </c>
      <c r="CT37" s="1111">
        <f>SUMIFS(NewEmisData!E:E, NewEmisData!$A:$A, $G37, NewEmisData!$B:$B, $A37, NewEmisData!$C:$C, $H37, NewEmisData!$D:$D, CT$6)</f>
        <v>7.2164995475767907E-2</v>
      </c>
      <c r="CU37" s="1111">
        <f>SUMIFS(NewEmisData!F:F, NewEmisData!$A:$A, $G37, NewEmisData!$B:$B, $A37, NewEmisData!$C:$C, $H37, NewEmisData!$D:$D, CU$6)</f>
        <v>6.4879251441518196E-2</v>
      </c>
      <c r="CV37" s="1111">
        <f>SUMIFS(NewEmisData!G:G, NewEmisData!$A:$A, $G37, NewEmisData!$B:$B, $A37, NewEmisData!$C:$C, $H37, NewEmisData!$D:$D, CV$6)</f>
        <v>2.6568003004939798E-2</v>
      </c>
      <c r="CW37" s="1111">
        <f>SUMIFS(NewEmisData!H:H, NewEmisData!$A:$A, $G37, NewEmisData!$B:$B, $A37, NewEmisData!$C:$C, $H37, NewEmisData!$D:$D, CW$6)</f>
        <v>1.84437934507856E-2</v>
      </c>
      <c r="CX37" s="1111">
        <f>SUMIFS(NewEmisData!I:I, NewEmisData!$A:$A, $G37, NewEmisData!$B:$B, $A37, NewEmisData!$C:$C, $H37, NewEmisData!$D:$D, CX$6)</f>
        <v>1.6327699656927399E-2</v>
      </c>
      <c r="CY37" s="1111">
        <f>SUMIFS(NewEmisData!J:J, NewEmisData!$A:$A, $G37, NewEmisData!$B:$B, $A37, NewEmisData!$C:$C, $H37, NewEmisData!$D:$D, CY$6)</f>
        <v>1.5748807787192998E-2</v>
      </c>
      <c r="CZ37" s="1111">
        <f>SUMIFS(NewEmisData!K:K, NewEmisData!$A:$A, $G37, NewEmisData!$B:$B, $A37, NewEmisData!$C:$C, $H37, NewEmisData!$D:$D, CZ$6)</f>
        <v>1.5674972697843501E-2</v>
      </c>
      <c r="DA37" s="1111">
        <f>SUMIFS(NewEmisData!L:L, NewEmisData!$A:$A, $G37, NewEmisData!$B:$B, $A37, NewEmisData!$C:$C, $H37, NewEmisData!$D:$D, DA$6)</f>
        <v>1.56348406818691E-2</v>
      </c>
      <c r="DB37" s="1111">
        <f>SUMIFS(NewEmisData!M:M, NewEmisData!$A:$A, $G37, NewEmisData!$B:$B, $A37, NewEmisData!$C:$C, $H37, NewEmisData!$D:$D, DB$6)</f>
        <v>1.5654725632317699E-2</v>
      </c>
      <c r="DC37" s="1111">
        <f t="shared" si="84"/>
        <v>1.5654725632317699E-2</v>
      </c>
      <c r="DD37" s="1111"/>
      <c r="DE37" s="1111"/>
      <c r="DF37" s="1111"/>
      <c r="DG37" s="1111"/>
      <c r="DH37" s="1111"/>
      <c r="DI37" s="1111"/>
      <c r="DJ37" s="1111"/>
      <c r="DK37" s="1111"/>
      <c r="DL37" s="1111"/>
      <c r="DM37" s="1111"/>
      <c r="DN37" s="1111"/>
      <c r="DO37" s="1111"/>
      <c r="DP37" s="1111"/>
      <c r="DQ37" s="1111"/>
      <c r="DR37" s="1111"/>
      <c r="DS37" s="1111"/>
      <c r="DT37" s="1111"/>
      <c r="DU37" s="1111"/>
      <c r="DV37" s="1111"/>
      <c r="DW37" s="1111"/>
      <c r="DX37" s="1111"/>
      <c r="DY37" s="1111"/>
      <c r="DZ37" s="1111">
        <f t="shared" si="85"/>
        <v>7.65679998253877E-2</v>
      </c>
      <c r="EA37" s="1111">
        <f>SUMIFS(NewEmisData!E:E, NewEmisData!$A:$A, $G37, NewEmisData!$B:$B, $A37, NewEmisData!$C:$C, $H37, NewEmisData!$D:$D, EA$6)</f>
        <v>7.65679998253877E-2</v>
      </c>
      <c r="EB37" s="1111">
        <f>SUMIFS(NewEmisData!F:F, NewEmisData!$A:$A, $G37, NewEmisData!$B:$B, $A37, NewEmisData!$C:$C, $H37, NewEmisData!$D:$D, EB$6)</f>
        <v>0.109010255412455</v>
      </c>
      <c r="EC37" s="1111">
        <f>SUMIFS(NewEmisData!G:G, NewEmisData!$A:$A, $G37, NewEmisData!$B:$B, $A37, NewEmisData!$C:$C, $H37, NewEmisData!$D:$D, EC$6)</f>
        <v>1.54277976093114E-2</v>
      </c>
      <c r="ED37" s="1111">
        <f>SUMIFS(NewEmisData!H:H, NewEmisData!$A:$A, $G37, NewEmisData!$B:$B, $A37, NewEmisData!$C:$C, $H37, NewEmisData!$D:$D, ED$6)</f>
        <v>1.2984971623169601E-2</v>
      </c>
      <c r="EE37" s="1111">
        <f>SUMIFS(NewEmisData!I:I, NewEmisData!$A:$A, $G37, NewEmisData!$B:$B, $A37, NewEmisData!$C:$C, $H37, NewEmisData!$D:$D, EE$6)</f>
        <v>1.22605780123332E-2</v>
      </c>
      <c r="EF37" s="1111">
        <f>SUMIFS(NewEmisData!J:J, NewEmisData!$A:$A, $G37, NewEmisData!$B:$B, $A37, NewEmisData!$C:$C, $H37, NewEmisData!$D:$D, EF$6)</f>
        <v>1.20992421043245E-2</v>
      </c>
      <c r="EG37" s="1111">
        <f>SUMIFS(NewEmisData!K:K, NewEmisData!$A:$A, $G37, NewEmisData!$B:$B, $A37, NewEmisData!$C:$C, $H37, NewEmisData!$D:$D, EG$6)</f>
        <v>1.2123397445436401E-2</v>
      </c>
      <c r="EH37" s="1111">
        <f>SUMIFS(NewEmisData!L:L, NewEmisData!$A:$A, $G37, NewEmisData!$B:$B, $A37, NewEmisData!$C:$C, $H37, NewEmisData!$D:$D, EH$6)</f>
        <v>1.2132958592882499E-2</v>
      </c>
      <c r="EI37" s="1111">
        <f>SUMIFS(NewEmisData!M:M, NewEmisData!$A:$A, $G37, NewEmisData!$B:$B, $A37, NewEmisData!$C:$C, $H37, NewEmisData!$D:$D, EI$6)</f>
        <v>1.21315180972552E-2</v>
      </c>
      <c r="EJ37" s="1111">
        <f t="shared" si="86"/>
        <v>1.21315180972552E-2</v>
      </c>
      <c r="EK37" s="1111">
        <f t="shared" si="87"/>
        <v>1571.23838726393</v>
      </c>
      <c r="EL37" s="1111">
        <f t="shared" si="48"/>
        <v>1571.23838726393</v>
      </c>
      <c r="EM37" s="1111">
        <f t="shared" si="49"/>
        <v>1575.29652368133</v>
      </c>
      <c r="EN37" s="1111">
        <f t="shared" si="50"/>
        <v>1620.65726903051</v>
      </c>
      <c r="EO37" s="1111">
        <f t="shared" si="51"/>
        <v>1591.3958126743701</v>
      </c>
      <c r="EP37" s="1111">
        <f t="shared" si="52"/>
        <v>1568.18391586794</v>
      </c>
      <c r="EQ37" s="1111">
        <f t="shared" si="53"/>
        <v>1562.10113018675</v>
      </c>
      <c r="ER37" s="1111">
        <f t="shared" si="54"/>
        <v>1560.4729957351501</v>
      </c>
      <c r="ES37" s="1111">
        <f t="shared" si="55"/>
        <v>1560.1538107035101</v>
      </c>
      <c r="ET37" s="1111">
        <f t="shared" si="56"/>
        <v>1560.07677043992</v>
      </c>
      <c r="EU37" s="1111">
        <f t="shared" si="57"/>
        <v>1560.07677043992</v>
      </c>
      <c r="EV37" s="1111">
        <f t="shared" si="88"/>
        <v>4.4339350215429896</v>
      </c>
      <c r="EW37" s="1111">
        <f t="shared" si="38"/>
        <v>4.4339350215429896</v>
      </c>
      <c r="EX37" s="1111">
        <f t="shared" si="39"/>
        <v>3.9615409236254</v>
      </c>
      <c r="EY37" s="1111">
        <f t="shared" si="40"/>
        <v>1.33028401660566</v>
      </c>
      <c r="EZ37" s="1111">
        <f t="shared" si="41"/>
        <v>0.96801463367483198</v>
      </c>
      <c r="FA37" s="1111">
        <f t="shared" si="42"/>
        <v>0.810835029277582</v>
      </c>
      <c r="FB37" s="1111">
        <f t="shared" si="43"/>
        <v>0.73984590086297597</v>
      </c>
      <c r="FC37" s="1111">
        <f t="shared" si="44"/>
        <v>0.71912537608469196</v>
      </c>
      <c r="FD37" s="1111">
        <f t="shared" si="45"/>
        <v>0.71458926415217605</v>
      </c>
      <c r="FE37" s="1111">
        <f t="shared" si="46"/>
        <v>0.71327232452186995</v>
      </c>
      <c r="FF37" s="1111">
        <f t="shared" si="47"/>
        <v>0.71327232452186995</v>
      </c>
      <c r="FG37" s="1111">
        <f t="shared" si="89"/>
        <v>2.71879476544729E-2</v>
      </c>
      <c r="FH37" s="1111">
        <f t="shared" si="90"/>
        <v>2.71879476544729E-2</v>
      </c>
      <c r="FI37" s="1111">
        <f t="shared" si="91"/>
        <v>2.72581702920257E-2</v>
      </c>
      <c r="FJ37" s="1111">
        <f t="shared" si="92"/>
        <v>2.32491676049662E-2</v>
      </c>
      <c r="FK37" s="1111">
        <f t="shared" si="93"/>
        <v>2.28294094185802E-2</v>
      </c>
      <c r="FL37" s="1111">
        <f t="shared" si="94"/>
        <v>2.2496411359683499E-2</v>
      </c>
      <c r="FM37" s="1111">
        <f t="shared" si="95"/>
        <v>2.24091575903414E-2</v>
      </c>
      <c r="FN37" s="1111">
        <f t="shared" si="96"/>
        <v>2.2385789717233699E-2</v>
      </c>
      <c r="FO37" s="1111">
        <f t="shared" si="97"/>
        <v>2.23812039581394E-2</v>
      </c>
      <c r="FP37" s="1111">
        <f t="shared" si="98"/>
        <v>2.2380112251842499E-2</v>
      </c>
      <c r="FQ37" s="1111">
        <f t="shared" si="99"/>
        <v>2.2380112251842499E-2</v>
      </c>
      <c r="FR37" s="1111">
        <f t="shared" si="25"/>
        <v>0.29570181024604603</v>
      </c>
      <c r="FS37" s="1111">
        <f t="shared" si="26"/>
        <v>0.29570181024604603</v>
      </c>
      <c r="FT37" s="1111">
        <f t="shared" si="27"/>
        <v>0.31347002724777001</v>
      </c>
      <c r="FU37" s="1111">
        <f t="shared" si="28"/>
        <v>0.29348248729715698</v>
      </c>
      <c r="FV37" s="1111">
        <f t="shared" si="29"/>
        <v>0.29400895980241698</v>
      </c>
      <c r="FW37" s="1111">
        <f t="shared" si="30"/>
        <v>0.29451767447034</v>
      </c>
      <c r="FX37" s="1111">
        <f t="shared" si="31"/>
        <v>0.29481614241324999</v>
      </c>
      <c r="FY37" s="1111">
        <f t="shared" si="32"/>
        <v>0.29496671929746798</v>
      </c>
      <c r="FZ37" s="1111">
        <f t="shared" si="33"/>
        <v>0.29501247169592298</v>
      </c>
      <c r="GA37" s="1111">
        <f t="shared" si="34"/>
        <v>0.29502934324841701</v>
      </c>
      <c r="GB37" s="1111">
        <f t="shared" si="35"/>
        <v>0.29502934324841701</v>
      </c>
      <c r="GC37" s="1111">
        <f t="shared" si="59"/>
        <v>5.6205629802393201E-2</v>
      </c>
      <c r="GD37" s="1111">
        <f t="shared" si="60"/>
        <v>5.6205629802393201E-2</v>
      </c>
      <c r="GE37" s="1111">
        <f t="shared" si="61"/>
        <v>7.2194764578646903E-2</v>
      </c>
      <c r="GF37" s="1111">
        <f t="shared" si="62"/>
        <v>4.48839101088091E-2</v>
      </c>
      <c r="GG37" s="1111">
        <f t="shared" si="63"/>
        <v>4.4911356100480797E-2</v>
      </c>
      <c r="GH37" s="1111">
        <f t="shared" si="64"/>
        <v>4.52709454211217E-2</v>
      </c>
      <c r="GI37" s="1111">
        <f t="shared" si="65"/>
        <v>4.5510230108050102E-2</v>
      </c>
      <c r="GJ37" s="1111">
        <f t="shared" si="66"/>
        <v>4.5637724556064498E-2</v>
      </c>
      <c r="GK37" s="1111">
        <f t="shared" si="67"/>
        <v>4.56765897746194E-2</v>
      </c>
      <c r="GL37" s="1111">
        <f t="shared" si="68"/>
        <v>4.5691464860186798E-2</v>
      </c>
      <c r="GM37" s="1111">
        <f t="shared" si="69"/>
        <v>4.5691464860186798E-2</v>
      </c>
    </row>
    <row r="38" spans="1:195" x14ac:dyDescent="0.2">
      <c r="A38" s="1071" t="s">
        <v>188</v>
      </c>
      <c r="B38" s="1071" t="str">
        <f>Technologies!C112</f>
        <v>TMCNGE</v>
      </c>
      <c r="C38" s="1071" t="str">
        <f>Technologies!D112</f>
        <v>Medium Duty Truck, Existing CNG</v>
      </c>
      <c r="D38" s="1071" t="str">
        <f>TechData!D19</f>
        <v>bn-vmt, bn-vmt/a</v>
      </c>
      <c r="E38" s="1071" t="str">
        <f>TechData!E20</f>
        <v>TMCNG</v>
      </c>
      <c r="F38" s="1071" t="str">
        <f>TechData!F20</f>
        <v>TM</v>
      </c>
      <c r="G38" s="1110" t="s">
        <v>503</v>
      </c>
      <c r="H38" s="1111" t="s">
        <v>500</v>
      </c>
      <c r="I38" s="1112">
        <v>1</v>
      </c>
      <c r="J38" s="1111" t="str">
        <f t="shared" si="37"/>
        <v>Medium duty-GSL</v>
      </c>
      <c r="K38" s="1111">
        <f>SUMIFS(NewEmisData!E:E, NewEmisData!$A:$A, $G38, NewEmisData!$B:$B, $A38, NewEmisData!$C:$C, $H38, NewEmisData!$D:$D, K$6)</f>
        <v>1295.14987573646</v>
      </c>
      <c r="L38" s="1111">
        <f>SUMIFS(NewEmisData!F:F, NewEmisData!$A:$A, $G38, NewEmisData!$B:$B, $A38, NewEmisData!$C:$C, $H38, NewEmisData!$D:$D, L$6)</f>
        <v>1270.8053069328</v>
      </c>
      <c r="M38" s="1111">
        <f>SUMIFS(NewEmisData!G:G, NewEmisData!$A:$A, $G38, NewEmisData!$B:$B, $A38, NewEmisData!$C:$C, $H38, NewEmisData!$D:$D, M$6)</f>
        <v>1116.9310844665499</v>
      </c>
      <c r="N38" s="1111">
        <f>SUMIFS(NewEmisData!H:H, NewEmisData!$A:$A, $G38, NewEmisData!$B:$B, $A38, NewEmisData!$C:$C, $H38, NewEmisData!$D:$D, N$6)</f>
        <v>1096.47271752758</v>
      </c>
      <c r="O38" s="1111">
        <f>SUMIFS(NewEmisData!I:I, NewEmisData!$A:$A, $G38, NewEmisData!$B:$B, $A38, NewEmisData!$C:$C, $H38, NewEmisData!$D:$D, O$6)</f>
        <v>1080.35797958793</v>
      </c>
      <c r="P38" s="1111">
        <f>SUMIFS(NewEmisData!J:J, NewEmisData!$A:$A, $G38, NewEmisData!$B:$B, $A38, NewEmisData!$C:$C, $H38, NewEmisData!$D:$D, P$6)</f>
        <v>1076.1283631843501</v>
      </c>
      <c r="Q38" s="1111">
        <f>SUMIFS(NewEmisData!K:K, NewEmisData!$A:$A, $G38, NewEmisData!$B:$B, $A38, NewEmisData!$C:$C, $H38, NewEmisData!$D:$D, Q$6)</f>
        <v>1074.99841740493</v>
      </c>
      <c r="R38" s="1111">
        <f>SUMIFS(NewEmisData!L:L, NewEmisData!$A:$A, $G38, NewEmisData!$B:$B, $A38, NewEmisData!$C:$C, $H38, NewEmisData!$D:$D, R$6)</f>
        <v>1074.7768639159699</v>
      </c>
      <c r="S38" s="1111">
        <f>SUMIFS(NewEmisData!M:M, NewEmisData!$A:$A, $G38, NewEmisData!$B:$B, $A38, NewEmisData!$C:$C, $H38, NewEmisData!$D:$D, S$6)</f>
        <v>1074.7231317103101</v>
      </c>
      <c r="T38" s="1111">
        <f t="shared" si="17"/>
        <v>1074.7231317103101</v>
      </c>
      <c r="U38" s="1111">
        <f>SUMIFS(NewEmisData!E:E, NewEmisData!$A:$A, $G38, NewEmisData!$B:$B, $A38, NewEmisData!$C:$C, $H38, NewEmisData!$D:$D, U$6)</f>
        <v>4.7005442822918502</v>
      </c>
      <c r="V38" s="1111">
        <f>SUMIFS(NewEmisData!F:F, NewEmisData!$A:$A, $G38, NewEmisData!$B:$B, $A38, NewEmisData!$C:$C, $H38, NewEmisData!$D:$D, V$6)</f>
        <v>3.08259000861326</v>
      </c>
      <c r="W38" s="1111">
        <f>SUMIFS(NewEmisData!G:G, NewEmisData!$A:$A, $G38, NewEmisData!$B:$B, $A38, NewEmisData!$C:$C, $H38, NewEmisData!$D:$D, W$6)</f>
        <v>1.0390638212911101</v>
      </c>
      <c r="X38" s="1111">
        <f>SUMIFS(NewEmisData!H:H, NewEmisData!$A:$A, $G38, NewEmisData!$B:$B, $A38, NewEmisData!$C:$C, $H38, NewEmisData!$D:$D, X$6)</f>
        <v>0.75779261060598802</v>
      </c>
      <c r="Y38" s="1111">
        <f>SUMIFS(NewEmisData!I:I, NewEmisData!$A:$A, $G38, NewEmisData!$B:$B, $A38, NewEmisData!$C:$C, $H38, NewEmisData!$D:$D, Y$6)</f>
        <v>0.63538679073275195</v>
      </c>
      <c r="Z38" s="1111">
        <f>SUMIFS(NewEmisData!J:J, NewEmisData!$A:$A, $G38, NewEmisData!$B:$B, $A38, NewEmisData!$C:$C, $H38, NewEmisData!$D:$D, Z$6)</f>
        <v>0.580083255346031</v>
      </c>
      <c r="AA38" s="1111">
        <f>SUMIFS(NewEmisData!K:K, NewEmisData!$A:$A, $G38, NewEmisData!$B:$B, $A38, NewEmisData!$C:$C, $H38, NewEmisData!$D:$D, AA$6)</f>
        <v>0.56397155784451702</v>
      </c>
      <c r="AB38" s="1111">
        <f>SUMIFS(NewEmisData!L:L, NewEmisData!$A:$A, $G38, NewEmisData!$B:$B, $A38, NewEmisData!$C:$C, $H38, NewEmisData!$D:$D, AB$6)</f>
        <v>0.56043589289625795</v>
      </c>
      <c r="AC38" s="1111">
        <f>SUMIFS(NewEmisData!M:M, NewEmisData!$A:$A, $G38, NewEmisData!$B:$B, $A38, NewEmisData!$C:$C, $H38, NewEmisData!$D:$D, AC$6)</f>
        <v>0.55941898537579804</v>
      </c>
      <c r="AD38" s="1111">
        <f t="shared" si="18"/>
        <v>0.55941898537579804</v>
      </c>
      <c r="AE38" s="1111">
        <f t="shared" si="70"/>
        <v>2.4310232310109099E-2</v>
      </c>
      <c r="AF38" s="1111">
        <f>SUMIFS(NewEmisData!E:E, NewEmisData!$A:$A, $G38, NewEmisData!$B:$B, $A38, NewEmisData!$C:$C, $H38, NewEmisData!$D:$D, AF$6)</f>
        <v>2.4310232310109099E-2</v>
      </c>
      <c r="AG38" s="1111">
        <f>SUMIFS(NewEmisData!F:F, NewEmisData!$A:$A, $G38, NewEmisData!$B:$B, $A38, NewEmisData!$C:$C, $H38, NewEmisData!$D:$D, AG$6)</f>
        <v>2.26976790505827E-2</v>
      </c>
      <c r="AH38" s="1111">
        <f>SUMIFS(NewEmisData!G:G, NewEmisData!$A:$A, $G38, NewEmisData!$B:$B, $A38, NewEmisData!$C:$C, $H38, NewEmisData!$D:$D, AH$6)</f>
        <v>1.6022950426801401E-2</v>
      </c>
      <c r="AI38" s="1111">
        <f>SUMIFS(NewEmisData!H:H, NewEmisData!$A:$A, $G38, NewEmisData!$B:$B, $A38, NewEmisData!$C:$C, $H38, NewEmisData!$D:$D, AI$6)</f>
        <v>1.5729470038709299E-2</v>
      </c>
      <c r="AJ38" s="1111">
        <f>SUMIFS(NewEmisData!I:I, NewEmisData!$A:$A, $G38, NewEmisData!$B:$B, $A38, NewEmisData!$C:$C, $H38, NewEmisData!$D:$D, AJ$6)</f>
        <v>1.5498287302921E-2</v>
      </c>
      <c r="AK38" s="1111">
        <f>SUMIFS(NewEmisData!J:J, NewEmisData!$A:$A, $G38, NewEmisData!$B:$B, $A38, NewEmisData!$C:$C, $H38, NewEmisData!$D:$D, AK$6)</f>
        <v>1.5437619705180801E-2</v>
      </c>
      <c r="AL38" s="1111">
        <f>SUMIFS(NewEmisData!K:K, NewEmisData!$A:$A, $G38, NewEmisData!$B:$B, $A38, NewEmisData!$C:$C, $H38, NewEmisData!$D:$D, AL$6)</f>
        <v>1.5421408919953399E-2</v>
      </c>
      <c r="AM38" s="1111">
        <f>SUMIFS(NewEmisData!L:L, NewEmisData!$A:$A, $G38, NewEmisData!$B:$B, $A38, NewEmisData!$C:$C, $H38, NewEmisData!$D:$D, AM$6)</f>
        <v>1.5418227354463399E-2</v>
      </c>
      <c r="AN38" s="1111">
        <f>SUMIFS(NewEmisData!M:M, NewEmisData!$A:$A, $G38, NewEmisData!$B:$B, $A38, NewEmisData!$C:$C, $H38, NewEmisData!$D:$D, AN$6)</f>
        <v>1.54174639116704E-2</v>
      </c>
      <c r="AO38" s="1111">
        <f t="shared" si="71"/>
        <v>1.54174639116704E-2</v>
      </c>
      <c r="AP38" s="1111">
        <f t="shared" si="72"/>
        <v>0.19559792469321799</v>
      </c>
      <c r="AQ38" s="1111">
        <f>SUMIFS(NewEmisData!E:E, NewEmisData!$A:$A, $G38, NewEmisData!$B:$B, $A38, NewEmisData!$C:$C, $H38, NewEmisData!$D:$D, AQ$6)</f>
        <v>0.19559792469321799</v>
      </c>
      <c r="AR38" s="1111">
        <f>SUMIFS(NewEmisData!F:F, NewEmisData!$A:$A, $G38, NewEmisData!$B:$B, $A38, NewEmisData!$C:$C, $H38, NewEmisData!$D:$D, AR$6)</f>
        <v>0.195854498358668</v>
      </c>
      <c r="AS38" s="1111">
        <f>SUMIFS(NewEmisData!G:G, NewEmisData!$A:$A, $G38, NewEmisData!$B:$B, $A38, NewEmisData!$C:$C, $H38, NewEmisData!$D:$D, AS$6)</f>
        <v>0.158834423055883</v>
      </c>
      <c r="AT38" s="1111">
        <f>SUMIFS(NewEmisData!H:H, NewEmisData!$A:$A, $G38, NewEmisData!$B:$B, $A38, NewEmisData!$C:$C, $H38, NewEmisData!$D:$D, AT$6)</f>
        <v>0.15912944493902401</v>
      </c>
      <c r="AU38" s="1111">
        <f>SUMIFS(NewEmisData!I:I, NewEmisData!$A:$A, $G38, NewEmisData!$B:$B, $A38, NewEmisData!$C:$C, $H38, NewEmisData!$D:$D, AU$6)</f>
        <v>0.159508665245508</v>
      </c>
      <c r="AV38" s="1111">
        <f>SUMIFS(NewEmisData!J:J, NewEmisData!$A:$A, $G38, NewEmisData!$B:$B, $A38, NewEmisData!$C:$C, $H38, NewEmisData!$D:$D, AV$6)</f>
        <v>0.15973496976197599</v>
      </c>
      <c r="AW38" s="1111">
        <f>SUMIFS(NewEmisData!K:K, NewEmisData!$A:$A, $G38, NewEmisData!$B:$B, $A38, NewEmisData!$C:$C, $H38, NewEmisData!$D:$D, AW$6)</f>
        <v>0.15985029461774</v>
      </c>
      <c r="AX38" s="1111">
        <f>SUMIFS(NewEmisData!L:L, NewEmisData!$A:$A, $G38, NewEmisData!$B:$B, $A38, NewEmisData!$C:$C, $H38, NewEmisData!$D:$D, AX$6)</f>
        <v>0.159884874617258</v>
      </c>
      <c r="AY38" s="1111">
        <f>SUMIFS(NewEmisData!M:M, NewEmisData!$A:$A, $G38, NewEmisData!$B:$B, $A38, NewEmisData!$C:$C, $H38, NewEmisData!$D:$D, AY$6)</f>
        <v>0.15989716821268901</v>
      </c>
      <c r="AZ38" s="1111">
        <f t="shared" si="73"/>
        <v>0.15989716821268901</v>
      </c>
      <c r="BA38" s="1111">
        <f t="shared" si="74"/>
        <v>6.1407596132052197E-2</v>
      </c>
      <c r="BB38" s="1111">
        <f>SUMIFS(NewEmisData!E:E, NewEmisData!$A:$A, $G38, NewEmisData!$B:$B, $A38, NewEmisData!$C:$C, $H38, NewEmisData!$D:$D, BB$6)</f>
        <v>6.1407596132052197E-2</v>
      </c>
      <c r="BC38" s="1111">
        <f>SUMIFS(NewEmisData!F:F, NewEmisData!$A:$A, $G38, NewEmisData!$B:$B, $A38, NewEmisData!$C:$C, $H38, NewEmisData!$D:$D, BC$6)</f>
        <v>5.5619399593761901E-2</v>
      </c>
      <c r="BD38" s="1111">
        <f>SUMIFS(NewEmisData!G:G, NewEmisData!$A:$A, $G38, NewEmisData!$B:$B, $A38, NewEmisData!$C:$C, $H38, NewEmisData!$D:$D, BD$6)</f>
        <v>2.6501774627894398E-2</v>
      </c>
      <c r="BE38" s="1111">
        <f>SUMIFS(NewEmisData!H:H, NewEmisData!$A:$A, $G38, NewEmisData!$B:$B, $A38, NewEmisData!$C:$C, $H38, NewEmisData!$D:$D, BE$6)</f>
        <v>2.6535568582948001E-2</v>
      </c>
      <c r="BF38" s="1111">
        <f>SUMIFS(NewEmisData!I:I, NewEmisData!$A:$A, $G38, NewEmisData!$B:$B, $A38, NewEmisData!$C:$C, $H38, NewEmisData!$D:$D, BF$6)</f>
        <v>2.68240676450552E-2</v>
      </c>
      <c r="BG38" s="1111">
        <f>SUMIFS(NewEmisData!J:J, NewEmisData!$A:$A, $G38, NewEmisData!$B:$B, $A38, NewEmisData!$C:$C, $H38, NewEmisData!$D:$D, BG$6)</f>
        <v>2.7011500327140701E-2</v>
      </c>
      <c r="BH38" s="1111">
        <f>SUMIFS(NewEmisData!K:K, NewEmisData!$A:$A, $G38, NewEmisData!$B:$B, $A38, NewEmisData!$C:$C, $H38, NewEmisData!$D:$D, BH$6)</f>
        <v>2.71105372443806E-2</v>
      </c>
      <c r="BI38" s="1111">
        <f>SUMIFS(NewEmisData!L:L, NewEmisData!$A:$A, $G38, NewEmisData!$B:$B, $A38, NewEmisData!$C:$C, $H38, NewEmisData!$D:$D, BI$6)</f>
        <v>2.7140215075382799E-2</v>
      </c>
      <c r="BJ38" s="1111">
        <f>SUMIFS(NewEmisData!M:M, NewEmisData!$A:$A, $G38, NewEmisData!$B:$B, $A38, NewEmisData!$C:$C, $H38, NewEmisData!$D:$D, BJ$6)</f>
        <v>2.7151187263261201E-2</v>
      </c>
      <c r="BK38" s="1111">
        <f t="shared" si="75"/>
        <v>2.7151187263261201E-2</v>
      </c>
      <c r="BL38" s="1111">
        <f t="shared" si="76"/>
        <v>37.072387310679602</v>
      </c>
      <c r="BM38" s="1111">
        <f>SUMIFS(NewEmisData!E:E, NewEmisData!$A:$A, $G38, NewEmisData!$B:$B, $A38, NewEmisData!$C:$C, $H38, NewEmisData!$D:$D, BM$6)</f>
        <v>37.072387310679602</v>
      </c>
      <c r="BN38" s="1111">
        <f>SUMIFS(NewEmisData!F:F, NewEmisData!$A:$A, $G38, NewEmisData!$B:$B, $A38, NewEmisData!$C:$C, $H38, NewEmisData!$D:$D, BN$6)</f>
        <v>25.792665103532201</v>
      </c>
      <c r="BO38" s="1111">
        <f>SUMIFS(NewEmisData!G:G, NewEmisData!$A:$A, $G38, NewEmisData!$B:$B, $A38, NewEmisData!$C:$C, $H38, NewEmisData!$D:$D, BO$6)</f>
        <v>9.5462177561034594</v>
      </c>
      <c r="BP38" s="1111">
        <f>SUMIFS(NewEmisData!H:H, NewEmisData!$A:$A, $G38, NewEmisData!$B:$B, $A38, NewEmisData!$C:$C, $H38, NewEmisData!$D:$D, BP$6)</f>
        <v>8.0392699220412105</v>
      </c>
      <c r="BQ38" s="1111">
        <f>SUMIFS(NewEmisData!I:I, NewEmisData!$A:$A, $G38, NewEmisData!$B:$B, $A38, NewEmisData!$C:$C, $H38, NewEmisData!$D:$D, BQ$6)</f>
        <v>7.5629439516014001</v>
      </c>
      <c r="BR38" s="1111">
        <f>SUMIFS(NewEmisData!J:J, NewEmisData!$A:$A, $G38, NewEmisData!$B:$B, $A38, NewEmisData!$C:$C, $H38, NewEmisData!$D:$D, BR$6)</f>
        <v>7.42380058325005</v>
      </c>
      <c r="BS38" s="1111">
        <f>SUMIFS(NewEmisData!K:K, NewEmisData!$A:$A, $G38, NewEmisData!$B:$B, $A38, NewEmisData!$C:$C, $H38, NewEmisData!$D:$D, BS$6)</f>
        <v>7.4426275255201499</v>
      </c>
      <c r="BT38" s="1111">
        <f>SUMIFS(NewEmisData!L:L, NewEmisData!$A:$A, $G38, NewEmisData!$B:$B, $A38, NewEmisData!$C:$C, $H38, NewEmisData!$D:$D, BT$6)</f>
        <v>7.4685453226779002</v>
      </c>
      <c r="BU38" s="1111">
        <f>SUMIFS(NewEmisData!M:M, NewEmisData!$A:$A, $G38, NewEmisData!$B:$B, $A38, NewEmisData!$C:$C, $H38, NewEmisData!$D:$D, BU$6)</f>
        <v>7.4852296254001702</v>
      </c>
      <c r="BV38" s="1111">
        <f t="shared" si="83"/>
        <v>7.4852296254001702</v>
      </c>
      <c r="BW38" s="1111">
        <f t="shared" si="77"/>
        <v>1.81554554352594</v>
      </c>
      <c r="BX38" s="1111">
        <f>SUMIFS(NewEmisData!E:E, NewEmisData!$A:$A, $G38, NewEmisData!$B:$B, $A38, NewEmisData!$C:$C, $H38, NewEmisData!$D:$D, BX$6)</f>
        <v>1.81554554352594</v>
      </c>
      <c r="BY38" s="1111">
        <f>SUMIFS(NewEmisData!F:F, NewEmisData!$A:$A, $G38, NewEmisData!$B:$B, $A38, NewEmisData!$C:$C, $H38, NewEmisData!$D:$D, BY$6)</f>
        <v>1.3100717618514499</v>
      </c>
      <c r="BZ38" s="1111">
        <f>SUMIFS(NewEmisData!G:G, NewEmisData!$A:$A, $G38, NewEmisData!$B:$B, $A38, NewEmisData!$C:$C, $H38, NewEmisData!$D:$D, BZ$6)</f>
        <v>0.39370379160048102</v>
      </c>
      <c r="CA38" s="1111">
        <f>SUMIFS(NewEmisData!H:H, NewEmisData!$A:$A, $G38, NewEmisData!$B:$B, $A38, NewEmisData!$C:$C, $H38, NewEmisData!$D:$D, CA$6)</f>
        <v>0.31228113561307103</v>
      </c>
      <c r="CB38" s="1111">
        <f>SUMIFS(NewEmisData!I:I, NewEmisData!$A:$A, $G38, NewEmisData!$B:$B, $A38, NewEmisData!$C:$C, $H38, NewEmisData!$D:$D, CB$6)</f>
        <v>0.28237497464649203</v>
      </c>
      <c r="CC38" s="1111">
        <f>SUMIFS(NewEmisData!J:J, NewEmisData!$A:$A, $G38, NewEmisData!$B:$B, $A38, NewEmisData!$C:$C, $H38, NewEmisData!$D:$D, CC$6)</f>
        <v>0.27043603612734302</v>
      </c>
      <c r="CD38" s="1111">
        <f>SUMIFS(NewEmisData!K:K, NewEmisData!$A:$A, $G38, NewEmisData!$B:$B, $A38, NewEmisData!$C:$C, $H38, NewEmisData!$D:$D, CD$6)</f>
        <v>0.26884074434480698</v>
      </c>
      <c r="CE38" s="1111">
        <f>SUMIFS(NewEmisData!L:L, NewEmisData!$A:$A, $G38, NewEmisData!$B:$B, $A38, NewEmisData!$C:$C, $H38, NewEmisData!$D:$D, CE$6)</f>
        <v>0.268857395941977</v>
      </c>
      <c r="CF38" s="1111">
        <f>SUMIFS(NewEmisData!M:M, NewEmisData!$A:$A, $G38, NewEmisData!$B:$B, $A38, NewEmisData!$C:$C, $H38, NewEmisData!$D:$D, CF$6)</f>
        <v>0.26888130166281199</v>
      </c>
      <c r="CG38" s="1111">
        <f t="shared" si="78"/>
        <v>0.26888130166281199</v>
      </c>
      <c r="CH38" s="1111">
        <f t="shared" si="79"/>
        <v>4.4354850737075603E-2</v>
      </c>
      <c r="CI38" s="1111">
        <f>SUMIFS(NewEmisData!E:E, NewEmisData!$A:$A, $G38, NewEmisData!$B:$B, $A38, NewEmisData!$C:$C, $H38, NewEmisData!$D:$D, CI$6)</f>
        <v>4.4354850737075603E-2</v>
      </c>
      <c r="CJ38" s="1111">
        <f>SUMIFS(NewEmisData!F:F, NewEmisData!$A:$A, $G38, NewEmisData!$B:$B, $A38, NewEmisData!$C:$C, $H38, NewEmisData!$D:$D, CJ$6)</f>
        <v>4.4606421809548602E-2</v>
      </c>
      <c r="CK38" s="1111">
        <f>SUMIFS(NewEmisData!G:G, NewEmisData!$A:$A, $G38, NewEmisData!$B:$B, $A38, NewEmisData!$C:$C, $H38, NewEmisData!$D:$D, CK$6)</f>
        <v>4.5833727376490101E-2</v>
      </c>
      <c r="CL38" s="1111">
        <f>SUMIFS(NewEmisData!H:H, NewEmisData!$A:$A, $G38, NewEmisData!$B:$B, $A38, NewEmisData!$C:$C, $H38, NewEmisData!$D:$D, CL$6)</f>
        <v>4.5835915019940797E-2</v>
      </c>
      <c r="CM38" s="1111">
        <f>SUMIFS(NewEmisData!I:I, NewEmisData!$A:$A, $G38, NewEmisData!$B:$B, $A38, NewEmisData!$C:$C, $H38, NewEmisData!$D:$D, CM$6)</f>
        <v>4.5836924876248103E-2</v>
      </c>
      <c r="CN38" s="1111">
        <f>SUMIFS(NewEmisData!J:J, NewEmisData!$A:$A, $G38, NewEmisData!$B:$B, $A38, NewEmisData!$C:$C, $H38, NewEmisData!$D:$D, CN$6)</f>
        <v>4.5837206762828597E-2</v>
      </c>
      <c r="CO38" s="1111">
        <f>SUMIFS(NewEmisData!K:K, NewEmisData!$A:$A, $G38, NewEmisData!$B:$B, $A38, NewEmisData!$C:$C, $H38, NewEmisData!$D:$D, CO$6)</f>
        <v>4.5837285402718399E-2</v>
      </c>
      <c r="CP38" s="1111">
        <f>SUMIFS(NewEmisData!L:L, NewEmisData!$A:$A, $G38, NewEmisData!$B:$B, $A38, NewEmisData!$C:$C, $H38, NewEmisData!$D:$D, CP$6)</f>
        <v>4.5837327743812703E-2</v>
      </c>
      <c r="CQ38" s="1111">
        <f>SUMIFS(NewEmisData!M:M, NewEmisData!$A:$A, $G38, NewEmisData!$B:$B, $A38, NewEmisData!$C:$C, $H38, NewEmisData!$D:$D, CQ$6)</f>
        <v>4.5837305828443899E-2</v>
      </c>
      <c r="CR38" s="1111">
        <f t="shared" si="80"/>
        <v>4.5837305828443899E-2</v>
      </c>
      <c r="CS38" s="1111">
        <f t="shared" si="81"/>
        <v>4.9787516424166102E-2</v>
      </c>
      <c r="CT38" s="1111">
        <f>SUMIFS(NewEmisData!E:E, NewEmisData!$A:$A, $G38, NewEmisData!$B:$B, $A38, NewEmisData!$C:$C, $H38, NewEmisData!$D:$D, CT$6)</f>
        <v>4.9787516424166102E-2</v>
      </c>
      <c r="CU38" s="1111">
        <f>SUMIFS(NewEmisData!F:F, NewEmisData!$A:$A, $G38, NewEmisData!$B:$B, $A38, NewEmisData!$C:$C, $H38, NewEmisData!$D:$D, CU$6)</f>
        <v>4.0085775499257799E-2</v>
      </c>
      <c r="CV38" s="1111">
        <f>SUMIFS(NewEmisData!G:G, NewEmisData!$A:$A, $G38, NewEmisData!$B:$B, $A38, NewEmisData!$C:$C, $H38, NewEmisData!$D:$D, CV$6)</f>
        <v>1.5231093201386501E-2</v>
      </c>
      <c r="CW38" s="1111">
        <f>SUMIFS(NewEmisData!H:H, NewEmisData!$A:$A, $G38, NewEmisData!$B:$B, $A38, NewEmisData!$C:$C, $H38, NewEmisData!$D:$D, CW$6)</f>
        <v>1.05082390102391E-2</v>
      </c>
      <c r="CX38" s="1111">
        <f>SUMIFS(NewEmisData!I:I, NewEmisData!$A:$A, $G38, NewEmisData!$B:$B, $A38, NewEmisData!$C:$C, $H38, NewEmisData!$D:$D, CX$6)</f>
        <v>9.2332663114354004E-3</v>
      </c>
      <c r="CY38" s="1111">
        <f>SUMIFS(NewEmisData!J:J, NewEmisData!$A:$A, $G38, NewEmisData!$B:$B, $A38, NewEmisData!$C:$C, $H38, NewEmisData!$D:$D, CY$6)</f>
        <v>8.8795270887270794E-3</v>
      </c>
      <c r="CZ38" s="1111">
        <f>SUMIFS(NewEmisData!K:K, NewEmisData!$A:$A, $G38, NewEmisData!$B:$B, $A38, NewEmisData!$C:$C, $H38, NewEmisData!$D:$D, CZ$6)</f>
        <v>8.8375979409894192E-3</v>
      </c>
      <c r="DA38" s="1111">
        <f>SUMIFS(NewEmisData!L:L, NewEmisData!$A:$A, $G38, NewEmisData!$B:$B, $A38, NewEmisData!$C:$C, $H38, NewEmisData!$D:$D, DA$6)</f>
        <v>8.8119276303445203E-3</v>
      </c>
      <c r="DB38" s="1111">
        <f>SUMIFS(NewEmisData!M:M, NewEmisData!$A:$A, $G38, NewEmisData!$B:$B, $A38, NewEmisData!$C:$C, $H38, NewEmisData!$D:$D, DB$6)</f>
        <v>8.8259459804548995E-3</v>
      </c>
      <c r="DC38" s="1111">
        <f t="shared" si="84"/>
        <v>8.8259459804548995E-3</v>
      </c>
      <c r="DD38" s="1111"/>
      <c r="DE38" s="1111"/>
      <c r="DF38" s="1111"/>
      <c r="DG38" s="1111"/>
      <c r="DH38" s="1111"/>
      <c r="DI38" s="1111"/>
      <c r="DJ38" s="1111"/>
      <c r="DK38" s="1111"/>
      <c r="DL38" s="1111"/>
      <c r="DM38" s="1111"/>
      <c r="DN38" s="1111"/>
      <c r="DO38" s="1111"/>
      <c r="DP38" s="1111"/>
      <c r="DQ38" s="1111"/>
      <c r="DR38" s="1111"/>
      <c r="DS38" s="1111"/>
      <c r="DT38" s="1111"/>
      <c r="DU38" s="1111"/>
      <c r="DV38" s="1111"/>
      <c r="DW38" s="1111"/>
      <c r="DX38" s="1111"/>
      <c r="DY38" s="1111"/>
      <c r="DZ38" s="1111">
        <f t="shared" si="85"/>
        <v>4.44098100343151E-2</v>
      </c>
      <c r="EA38" s="1111">
        <f>SUMIFS(NewEmisData!E:E, NewEmisData!$A:$A, $G38, NewEmisData!$B:$B, $A38, NewEmisData!$C:$C, $H38, NewEmisData!$D:$D, EA$6)</f>
        <v>4.44098100343151E-2</v>
      </c>
      <c r="EB38" s="1111">
        <f>SUMIFS(NewEmisData!F:F, NewEmisData!$A:$A, $G38, NewEmisData!$B:$B, $A38, NewEmisData!$C:$C, $H38, NewEmisData!$D:$D, EB$6)</f>
        <v>2.9304673870380101E-2</v>
      </c>
      <c r="EC38" s="1111">
        <f>SUMIFS(NewEmisData!G:G, NewEmisData!$A:$A, $G38, NewEmisData!$B:$B, $A38, NewEmisData!$C:$C, $H38, NewEmisData!$D:$D, EC$6)</f>
        <v>9.6598752165466002E-3</v>
      </c>
      <c r="ED38" s="1111">
        <f>SUMIFS(NewEmisData!H:H, NewEmisData!$A:$A, $G38, NewEmisData!$B:$B, $A38, NewEmisData!$C:$C, $H38, NewEmisData!$D:$D, ED$6)</f>
        <v>8.2574531868545402E-3</v>
      </c>
      <c r="EE38" s="1111">
        <f>SUMIFS(NewEmisData!I:I, NewEmisData!$A:$A, $G38, NewEmisData!$B:$B, $A38, NewEmisData!$C:$C, $H38, NewEmisData!$D:$D, EE$6)</f>
        <v>7.8634646205182502E-3</v>
      </c>
      <c r="EF38" s="1111">
        <f>SUMIFS(NewEmisData!J:J, NewEmisData!$A:$A, $G38, NewEmisData!$B:$B, $A38, NewEmisData!$C:$C, $H38, NewEmisData!$D:$D, EF$6)</f>
        <v>7.7933832365119603E-3</v>
      </c>
      <c r="EG38" s="1111">
        <f>SUMIFS(NewEmisData!K:K, NewEmisData!$A:$A, $G38, NewEmisData!$B:$B, $A38, NewEmisData!$C:$C, $H38, NewEmisData!$D:$D, EG$6)</f>
        <v>7.8217032086275798E-3</v>
      </c>
      <c r="EH38" s="1111">
        <f>SUMIFS(NewEmisData!L:L, NewEmisData!$A:$A, $G38, NewEmisData!$B:$B, $A38, NewEmisData!$C:$C, $H38, NewEmisData!$D:$D, EH$6)</f>
        <v>7.8307139594945199E-3</v>
      </c>
      <c r="EI38" s="1111">
        <f>SUMIFS(NewEmisData!M:M, NewEmisData!$A:$A, $G38, NewEmisData!$B:$B, $A38, NewEmisData!$C:$C, $H38, NewEmisData!$D:$D, EI$6)</f>
        <v>7.8300628211082704E-3</v>
      </c>
      <c r="EJ38" s="1111">
        <f t="shared" si="86"/>
        <v>7.8300628211082704E-3</v>
      </c>
      <c r="EK38" s="1111">
        <f t="shared" si="87"/>
        <v>1295.14987573646</v>
      </c>
      <c r="EL38" s="1111">
        <f t="shared" si="48"/>
        <v>1295.14987573646</v>
      </c>
      <c r="EM38" s="1111">
        <f t="shared" si="49"/>
        <v>1270.8053069328</v>
      </c>
      <c r="EN38" s="1111">
        <f t="shared" si="50"/>
        <v>1116.9310844665499</v>
      </c>
      <c r="EO38" s="1111">
        <f t="shared" si="51"/>
        <v>1096.47271752758</v>
      </c>
      <c r="EP38" s="1111">
        <f t="shared" si="52"/>
        <v>1080.35797958793</v>
      </c>
      <c r="EQ38" s="1111">
        <f t="shared" si="53"/>
        <v>1076.1283631843501</v>
      </c>
      <c r="ER38" s="1111">
        <f t="shared" si="54"/>
        <v>1074.99841740493</v>
      </c>
      <c r="ES38" s="1111">
        <f t="shared" si="55"/>
        <v>1074.7768639159699</v>
      </c>
      <c r="ET38" s="1111">
        <f t="shared" si="56"/>
        <v>1074.7231317103101</v>
      </c>
      <c r="EU38" s="1111">
        <f t="shared" si="57"/>
        <v>1074.7231317103101</v>
      </c>
      <c r="EV38" s="1111">
        <f t="shared" si="88"/>
        <v>4.7005442822918502</v>
      </c>
      <c r="EW38" s="1111">
        <f t="shared" si="38"/>
        <v>4.7005442822918502</v>
      </c>
      <c r="EX38" s="1111">
        <f t="shared" si="39"/>
        <v>3.08259000861326</v>
      </c>
      <c r="EY38" s="1111">
        <f t="shared" si="40"/>
        <v>1.0390638212911101</v>
      </c>
      <c r="EZ38" s="1111">
        <f t="shared" si="41"/>
        <v>0.75779261060598802</v>
      </c>
      <c r="FA38" s="1111">
        <f t="shared" si="42"/>
        <v>0.63538679073275195</v>
      </c>
      <c r="FB38" s="1111">
        <f t="shared" si="43"/>
        <v>0.580083255346031</v>
      </c>
      <c r="FC38" s="1111">
        <f t="shared" si="44"/>
        <v>0.56397155784451702</v>
      </c>
      <c r="FD38" s="1111">
        <f t="shared" si="45"/>
        <v>0.56043589289625795</v>
      </c>
      <c r="FE38" s="1111">
        <f t="shared" si="46"/>
        <v>0.55941898537579804</v>
      </c>
      <c r="FF38" s="1111">
        <f t="shared" si="47"/>
        <v>0.55941898537579804</v>
      </c>
      <c r="FG38" s="1111">
        <f t="shared" si="89"/>
        <v>2.4310232310109099E-2</v>
      </c>
      <c r="FH38" s="1111">
        <f t="shared" si="90"/>
        <v>2.4310232310109099E-2</v>
      </c>
      <c r="FI38" s="1111">
        <f t="shared" si="91"/>
        <v>2.26976790505827E-2</v>
      </c>
      <c r="FJ38" s="1111">
        <f t="shared" si="92"/>
        <v>1.6022950426801401E-2</v>
      </c>
      <c r="FK38" s="1111">
        <f t="shared" si="93"/>
        <v>1.5729470038709299E-2</v>
      </c>
      <c r="FL38" s="1111">
        <f t="shared" si="94"/>
        <v>1.5498287302921E-2</v>
      </c>
      <c r="FM38" s="1111">
        <f t="shared" si="95"/>
        <v>1.5437619705180801E-2</v>
      </c>
      <c r="FN38" s="1111">
        <f t="shared" si="96"/>
        <v>1.5421408919953399E-2</v>
      </c>
      <c r="FO38" s="1111">
        <f t="shared" si="97"/>
        <v>1.5418227354463399E-2</v>
      </c>
      <c r="FP38" s="1111">
        <f t="shared" si="98"/>
        <v>1.54174639116704E-2</v>
      </c>
      <c r="FQ38" s="1111">
        <f t="shared" si="99"/>
        <v>1.54174639116704E-2</v>
      </c>
      <c r="FR38" s="1111">
        <f t="shared" si="25"/>
        <v>0.19559792469321799</v>
      </c>
      <c r="FS38" s="1111">
        <f t="shared" si="26"/>
        <v>0.19559792469321799</v>
      </c>
      <c r="FT38" s="1111">
        <f t="shared" si="27"/>
        <v>0.195854498358668</v>
      </c>
      <c r="FU38" s="1111">
        <f t="shared" si="28"/>
        <v>0.158834423055883</v>
      </c>
      <c r="FV38" s="1111">
        <f t="shared" si="29"/>
        <v>0.15912944493902401</v>
      </c>
      <c r="FW38" s="1111">
        <f t="shared" si="30"/>
        <v>0.159508665245508</v>
      </c>
      <c r="FX38" s="1111">
        <f t="shared" si="31"/>
        <v>0.15973496976197599</v>
      </c>
      <c r="FY38" s="1111">
        <f t="shared" si="32"/>
        <v>0.15985029461774</v>
      </c>
      <c r="FZ38" s="1111">
        <f t="shared" si="33"/>
        <v>0.159884874617258</v>
      </c>
      <c r="GA38" s="1111">
        <f t="shared" si="34"/>
        <v>0.15989716821268901</v>
      </c>
      <c r="GB38" s="1111">
        <f t="shared" si="35"/>
        <v>0.15989716821268901</v>
      </c>
      <c r="GC38" s="1111">
        <f t="shared" si="59"/>
        <v>6.1407596132052197E-2</v>
      </c>
      <c r="GD38" s="1111">
        <f t="shared" si="60"/>
        <v>6.1407596132052197E-2</v>
      </c>
      <c r="GE38" s="1111">
        <f t="shared" si="61"/>
        <v>5.5619399593761901E-2</v>
      </c>
      <c r="GF38" s="1111">
        <f t="shared" si="62"/>
        <v>2.6501774627894398E-2</v>
      </c>
      <c r="GG38" s="1111">
        <f t="shared" si="63"/>
        <v>2.6535568582948001E-2</v>
      </c>
      <c r="GH38" s="1111">
        <f t="shared" si="64"/>
        <v>2.68240676450552E-2</v>
      </c>
      <c r="GI38" s="1111">
        <f t="shared" si="65"/>
        <v>2.7011500327140701E-2</v>
      </c>
      <c r="GJ38" s="1111">
        <f t="shared" si="66"/>
        <v>2.71105372443806E-2</v>
      </c>
      <c r="GK38" s="1111">
        <f t="shared" si="67"/>
        <v>2.7140215075382799E-2</v>
      </c>
      <c r="GL38" s="1111">
        <f t="shared" si="68"/>
        <v>2.7151187263261201E-2</v>
      </c>
      <c r="GM38" s="1111">
        <f t="shared" si="69"/>
        <v>2.7151187263261201E-2</v>
      </c>
    </row>
    <row r="39" spans="1:195" x14ac:dyDescent="0.2">
      <c r="A39" s="1071" t="s">
        <v>190</v>
      </c>
      <c r="B39" s="1071" t="str">
        <f>Technologies!C112</f>
        <v>TMCNGE</v>
      </c>
      <c r="C39" s="1071" t="str">
        <f>Technologies!D112</f>
        <v>Medium Duty Truck, Existing CNG</v>
      </c>
      <c r="D39" s="1071" t="str">
        <f>TechData!D19</f>
        <v>bn-vmt, bn-vmt/a</v>
      </c>
      <c r="E39" s="1071" t="str">
        <f>TechData!E20</f>
        <v>TMCNG</v>
      </c>
      <c r="F39" s="1071" t="str">
        <f>TechData!F20</f>
        <v>TM</v>
      </c>
      <c r="G39" s="1110" t="s">
        <v>503</v>
      </c>
      <c r="H39" s="1111" t="s">
        <v>500</v>
      </c>
      <c r="I39" s="1112">
        <v>1</v>
      </c>
      <c r="J39" s="1111" t="str">
        <f t="shared" si="37"/>
        <v>Medium duty-GSL</v>
      </c>
      <c r="K39" s="1111">
        <f>SUMIFS(NewEmisData!E:E, NewEmisData!$A:$A, $G39, NewEmisData!$B:$B, $A39, NewEmisData!$C:$C, $H39, NewEmisData!$D:$D, K$6)</f>
        <v>1204.2704996203399</v>
      </c>
      <c r="L39" s="1111">
        <f>SUMIFS(NewEmisData!F:F, NewEmisData!$A:$A, $G39, NewEmisData!$B:$B, $A39, NewEmisData!$C:$C, $H39, NewEmisData!$D:$D, L$6)</f>
        <v>1280.9014839137801</v>
      </c>
      <c r="M39" s="1111">
        <f>SUMIFS(NewEmisData!G:G, NewEmisData!$A:$A, $G39, NewEmisData!$B:$B, $A39, NewEmisData!$C:$C, $H39, NewEmisData!$D:$D, M$6)</f>
        <v>1309.1277572440899</v>
      </c>
      <c r="N39" s="1111">
        <f>SUMIFS(NewEmisData!H:H, NewEmisData!$A:$A, $G39, NewEmisData!$B:$B, $A39, NewEmisData!$C:$C, $H39, NewEmisData!$D:$D, N$6)</f>
        <v>1277.5848439676099</v>
      </c>
      <c r="O39" s="1111">
        <f>SUMIFS(NewEmisData!I:I, NewEmisData!$A:$A, $G39, NewEmisData!$B:$B, $A39, NewEmisData!$C:$C, $H39, NewEmisData!$D:$D, O$6)</f>
        <v>1259.05503169493</v>
      </c>
      <c r="P39" s="1111">
        <f>SUMIFS(NewEmisData!J:J, NewEmisData!$A:$A, $G39, NewEmisData!$B:$B, $A39, NewEmisData!$C:$C, $H39, NewEmisData!$D:$D, P$6)</f>
        <v>1254.08723086747</v>
      </c>
      <c r="Q39" s="1111">
        <f>SUMIFS(NewEmisData!K:K, NewEmisData!$A:$A, $G39, NewEmisData!$B:$B, $A39, NewEmisData!$C:$C, $H39, NewEmisData!$D:$D, Q$6)</f>
        <v>1252.90461894546</v>
      </c>
      <c r="R39" s="1111">
        <f>SUMIFS(NewEmisData!L:L, NewEmisData!$A:$A, $G39, NewEmisData!$B:$B, $A39, NewEmisData!$C:$C, $H39, NewEmisData!$D:$D, R$6)</f>
        <v>1252.7104430173399</v>
      </c>
      <c r="S39" s="1111">
        <f>SUMIFS(NewEmisData!M:M, NewEmisData!$A:$A, $G39, NewEmisData!$B:$B, $A39, NewEmisData!$C:$C, $H39, NewEmisData!$D:$D, S$6)</f>
        <v>1252.6870397442001</v>
      </c>
      <c r="T39" s="1111">
        <f t="shared" si="17"/>
        <v>1252.6870397442001</v>
      </c>
      <c r="U39" s="1111">
        <f>SUMIFS(NewEmisData!E:E, NewEmisData!$A:$A, $G39, NewEmisData!$B:$B, $A39, NewEmisData!$C:$C, $H39, NewEmisData!$D:$D, U$6)</f>
        <v>4.3448715610080901</v>
      </c>
      <c r="V39" s="1111">
        <f>SUMIFS(NewEmisData!F:F, NewEmisData!$A:$A, $G39, NewEmisData!$B:$B, $A39, NewEmisData!$C:$C, $H39, NewEmisData!$D:$D, V$6)</f>
        <v>2.68000771941229</v>
      </c>
      <c r="W39" s="1111">
        <f>SUMIFS(NewEmisData!G:G, NewEmisData!$A:$A, $G39, NewEmisData!$B:$B, $A39, NewEmisData!$C:$C, $H39, NewEmisData!$D:$D, W$6)</f>
        <v>1.2701406141530101</v>
      </c>
      <c r="X39" s="1111">
        <f>SUMIFS(NewEmisData!H:H, NewEmisData!$A:$A, $G39, NewEmisData!$B:$B, $A39, NewEmisData!$C:$C, $H39, NewEmisData!$D:$D, X$6)</f>
        <v>0.89637025450783203</v>
      </c>
      <c r="Y39" s="1111">
        <f>SUMIFS(NewEmisData!I:I, NewEmisData!$A:$A, $G39, NewEmisData!$B:$B, $A39, NewEmisData!$C:$C, $H39, NewEmisData!$D:$D, Y$6)</f>
        <v>0.74230586472414295</v>
      </c>
      <c r="Z39" s="1111">
        <f>SUMIFS(NewEmisData!J:J, NewEmisData!$A:$A, $G39, NewEmisData!$B:$B, $A39, NewEmisData!$C:$C, $H39, NewEmisData!$D:$D, Z$6)</f>
        <v>0.67198096175904998</v>
      </c>
      <c r="AA39" s="1111">
        <f>SUMIFS(NewEmisData!K:K, NewEmisData!$A:$A, $G39, NewEmisData!$B:$B, $A39, NewEmisData!$C:$C, $H39, NewEmisData!$D:$D, AA$6)</f>
        <v>0.65082523068374698</v>
      </c>
      <c r="AB39" s="1111">
        <f>SUMIFS(NewEmisData!L:L, NewEmisData!$A:$A, $G39, NewEmisData!$B:$B, $A39, NewEmisData!$C:$C, $H39, NewEmisData!$D:$D, AB$6)</f>
        <v>0.64636795436825401</v>
      </c>
      <c r="AC39" s="1111">
        <f>SUMIFS(NewEmisData!M:M, NewEmisData!$A:$A, $G39, NewEmisData!$B:$B, $A39, NewEmisData!$C:$C, $H39, NewEmisData!$D:$D, AC$6)</f>
        <v>0.64488416341078902</v>
      </c>
      <c r="AD39" s="1111">
        <f t="shared" si="18"/>
        <v>0.64488416341078902</v>
      </c>
      <c r="AE39" s="1111">
        <f t="shared" si="70"/>
        <v>2.08381055217347E-2</v>
      </c>
      <c r="AF39" s="1111">
        <f>SUMIFS(NewEmisData!E:E, NewEmisData!$A:$A, $G39, NewEmisData!$B:$B, $A39, NewEmisData!$C:$C, $H39, NewEmisData!$D:$D, AF$6)</f>
        <v>2.08381055217347E-2</v>
      </c>
      <c r="AG39" s="1111">
        <f>SUMIFS(NewEmisData!F:F, NewEmisData!$A:$A, $G39, NewEmisData!$B:$B, $A39, NewEmisData!$C:$C, $H39, NewEmisData!$D:$D, AG$6)</f>
        <v>2.2164087103621902E-2</v>
      </c>
      <c r="AH39" s="1111">
        <f>SUMIFS(NewEmisData!G:G, NewEmisData!$A:$A, $G39, NewEmisData!$B:$B, $A39, NewEmisData!$C:$C, $H39, NewEmisData!$D:$D, AH$6)</f>
        <v>1.8780122769194701E-2</v>
      </c>
      <c r="AI39" s="1111">
        <f>SUMIFS(NewEmisData!H:H, NewEmisData!$A:$A, $G39, NewEmisData!$B:$B, $A39, NewEmisData!$C:$C, $H39, NewEmisData!$D:$D, AI$6)</f>
        <v>1.8327610114874E-2</v>
      </c>
      <c r="AJ39" s="1111">
        <f>SUMIFS(NewEmisData!I:I, NewEmisData!$A:$A, $G39, NewEmisData!$B:$B, $A39, NewEmisData!$C:$C, $H39, NewEmisData!$D:$D, AJ$6)</f>
        <v>1.8061800865337901E-2</v>
      </c>
      <c r="AK39" s="1111">
        <f>SUMIFS(NewEmisData!J:J, NewEmisData!$A:$A, $G39, NewEmisData!$B:$B, $A39, NewEmisData!$C:$C, $H39, NewEmisData!$D:$D, AK$6)</f>
        <v>1.79905289884639E-2</v>
      </c>
      <c r="AL39" s="1111">
        <f>SUMIFS(NewEmisData!K:K, NewEmisData!$A:$A, $G39, NewEmisData!$B:$B, $A39, NewEmisData!$C:$C, $H39, NewEmisData!$D:$D, AL$6)</f>
        <v>1.7973564507445701E-2</v>
      </c>
      <c r="AM39" s="1111">
        <f>SUMIFS(NewEmisData!L:L, NewEmisData!$A:$A, $G39, NewEmisData!$B:$B, $A39, NewEmisData!$C:$C, $H39, NewEmisData!$D:$D, AM$6)</f>
        <v>1.7970784643505301E-2</v>
      </c>
      <c r="AN39" s="1111">
        <f>SUMIFS(NewEmisData!M:M, NewEmisData!$A:$A, $G39, NewEmisData!$B:$B, $A39, NewEmisData!$C:$C, $H39, NewEmisData!$D:$D, AN$6)</f>
        <v>1.7970446963254401E-2</v>
      </c>
      <c r="AO39" s="1111">
        <f t="shared" si="71"/>
        <v>1.7970446963254401E-2</v>
      </c>
      <c r="AP39" s="1111">
        <f t="shared" si="72"/>
        <v>0.19574828311834699</v>
      </c>
      <c r="AQ39" s="1111">
        <f>SUMIFS(NewEmisData!E:E, NewEmisData!$A:$A, $G39, NewEmisData!$B:$B, $A39, NewEmisData!$C:$C, $H39, NewEmisData!$D:$D, AQ$6)</f>
        <v>0.19574828311834699</v>
      </c>
      <c r="AR39" s="1111">
        <f>SUMIFS(NewEmisData!F:F, NewEmisData!$A:$A, $G39, NewEmisData!$B:$B, $A39, NewEmisData!$C:$C, $H39, NewEmisData!$D:$D, AR$6)</f>
        <v>0.191259101148397</v>
      </c>
      <c r="AS39" s="1111">
        <f>SUMIFS(NewEmisData!G:G, NewEmisData!$A:$A, $G39, NewEmisData!$B:$B, $A39, NewEmisData!$C:$C, $H39, NewEmisData!$D:$D, AS$6)</f>
        <v>0.21457849181088401</v>
      </c>
      <c r="AT39" s="1111">
        <f>SUMIFS(NewEmisData!H:H, NewEmisData!$A:$A, $G39, NewEmisData!$B:$B, $A39, NewEmisData!$C:$C, $H39, NewEmisData!$D:$D, AT$6)</f>
        <v>0.215053494777702</v>
      </c>
      <c r="AU39" s="1111">
        <f>SUMIFS(NewEmisData!I:I, NewEmisData!$A:$A, $G39, NewEmisData!$B:$B, $A39, NewEmisData!$C:$C, $H39, NewEmisData!$D:$D, AU$6)</f>
        <v>0.21551298465650401</v>
      </c>
      <c r="AV39" s="1111">
        <f>SUMIFS(NewEmisData!J:J, NewEmisData!$A:$A, $G39, NewEmisData!$B:$B, $A39, NewEmisData!$C:$C, $H39, NewEmisData!$D:$D, AV$6)</f>
        <v>0.215835472913527</v>
      </c>
      <c r="AW39" s="1111">
        <f>SUMIFS(NewEmisData!K:K, NewEmisData!$A:$A, $G39, NewEmisData!$B:$B, $A39, NewEmisData!$C:$C, $H39, NewEmisData!$D:$D, AW$6)</f>
        <v>0.21602305396888299</v>
      </c>
      <c r="AX39" s="1111">
        <f>SUMIFS(NewEmisData!L:L, NewEmisData!$A:$A, $G39, NewEmisData!$B:$B, $A39, NewEmisData!$C:$C, $H39, NewEmisData!$D:$D, AX$6)</f>
        <v>0.21608589786817001</v>
      </c>
      <c r="AY39" s="1111">
        <f>SUMIFS(NewEmisData!M:M, NewEmisData!$A:$A, $G39, NewEmisData!$B:$B, $A39, NewEmisData!$C:$C, $H39, NewEmisData!$D:$D, AY$6)</f>
        <v>0.216113244270948</v>
      </c>
      <c r="AZ39" s="1111">
        <f t="shared" si="73"/>
        <v>0.216113244270948</v>
      </c>
      <c r="BA39" s="1111">
        <f t="shared" si="74"/>
        <v>4.1988899098410401E-2</v>
      </c>
      <c r="BB39" s="1111">
        <f>SUMIFS(NewEmisData!E:E, NewEmisData!$A:$A, $G39, NewEmisData!$B:$B, $A39, NewEmisData!$C:$C, $H39, NewEmisData!$D:$D, BB$6)</f>
        <v>4.1988899098410401E-2</v>
      </c>
      <c r="BC39" s="1111">
        <f>SUMIFS(NewEmisData!F:F, NewEmisData!$A:$A, $G39, NewEmisData!$B:$B, $A39, NewEmisData!$C:$C, $H39, NewEmisData!$D:$D, BC$6)</f>
        <v>4.04221270662211E-2</v>
      </c>
      <c r="BD39" s="1111">
        <f>SUMIFS(NewEmisData!G:G, NewEmisData!$A:$A, $G39, NewEmisData!$B:$B, $A39, NewEmisData!$C:$C, $H39, NewEmisData!$D:$D, BD$6)</f>
        <v>3.5246180151429399E-2</v>
      </c>
      <c r="BE39" s="1111">
        <f>SUMIFS(NewEmisData!H:H, NewEmisData!$A:$A, $G39, NewEmisData!$B:$B, $A39, NewEmisData!$C:$C, $H39, NewEmisData!$D:$D, BE$6)</f>
        <v>3.4950821311789601E-2</v>
      </c>
      <c r="BF39" s="1111">
        <f>SUMIFS(NewEmisData!I:I, NewEmisData!$A:$A, $G39, NewEmisData!$B:$B, $A39, NewEmisData!$C:$C, $H39, NewEmisData!$D:$D, BF$6)</f>
        <v>3.5285067945859602E-2</v>
      </c>
      <c r="BG39" s="1111">
        <f>SUMIFS(NewEmisData!J:J, NewEmisData!$A:$A, $G39, NewEmisData!$B:$B, $A39, NewEmisData!$C:$C, $H39, NewEmisData!$D:$D, BG$6)</f>
        <v>3.55346528981796E-2</v>
      </c>
      <c r="BH39" s="1111">
        <f>SUMIFS(NewEmisData!K:K, NewEmisData!$A:$A, $G39, NewEmisData!$B:$B, $A39, NewEmisData!$C:$C, $H39, NewEmisData!$D:$D, BH$6)</f>
        <v>3.5692682330647998E-2</v>
      </c>
      <c r="BI39" s="1111">
        <f>SUMIFS(NewEmisData!L:L, NewEmisData!$A:$A, $G39, NewEmisData!$B:$B, $A39, NewEmisData!$C:$C, $H39, NewEmisData!$D:$D, BI$6)</f>
        <v>3.57464219039118E-2</v>
      </c>
      <c r="BJ39" s="1111">
        <f>SUMIFS(NewEmisData!M:M, NewEmisData!$A:$A, $G39, NewEmisData!$B:$B, $A39, NewEmisData!$C:$C, $H39, NewEmisData!$D:$D, BJ$6)</f>
        <v>3.5770424866643502E-2</v>
      </c>
      <c r="BK39" s="1111">
        <f t="shared" si="75"/>
        <v>3.5770424866643502E-2</v>
      </c>
      <c r="BL39" s="1111">
        <f t="shared" si="76"/>
        <v>39.441467642192301</v>
      </c>
      <c r="BM39" s="1111">
        <f>SUMIFS(NewEmisData!E:E, NewEmisData!$A:$A, $G39, NewEmisData!$B:$B, $A39, NewEmisData!$C:$C, $H39, NewEmisData!$D:$D, BM$6)</f>
        <v>39.441467642192301</v>
      </c>
      <c r="BN39" s="1111">
        <f>SUMIFS(NewEmisData!F:F, NewEmisData!$A:$A, $G39, NewEmisData!$B:$B, $A39, NewEmisData!$C:$C, $H39, NewEmisData!$D:$D, BN$6)</f>
        <v>29.135339922672099</v>
      </c>
      <c r="BO39" s="1111">
        <f>SUMIFS(NewEmisData!G:G, NewEmisData!$A:$A, $G39, NewEmisData!$B:$B, $A39, NewEmisData!$C:$C, $H39, NewEmisData!$D:$D, BO$6)</f>
        <v>19.258881049018001</v>
      </c>
      <c r="BP39" s="1111">
        <f>SUMIFS(NewEmisData!H:H, NewEmisData!$A:$A, $G39, NewEmisData!$B:$B, $A39, NewEmisData!$C:$C, $H39, NewEmisData!$D:$D, BP$6)</f>
        <v>17.4734501170478</v>
      </c>
      <c r="BQ39" s="1111">
        <f>SUMIFS(NewEmisData!I:I, NewEmisData!$A:$A, $G39, NewEmisData!$B:$B, $A39, NewEmisData!$C:$C, $H39, NewEmisData!$D:$D, BQ$6)</f>
        <v>17.337238430015301</v>
      </c>
      <c r="BR39" s="1111">
        <f>SUMIFS(NewEmisData!J:J, NewEmisData!$A:$A, $G39, NewEmisData!$B:$B, $A39, NewEmisData!$C:$C, $H39, NewEmisData!$D:$D, BR$6)</f>
        <v>17.524592153612701</v>
      </c>
      <c r="BS39" s="1111">
        <f>SUMIFS(NewEmisData!K:K, NewEmisData!$A:$A, $G39, NewEmisData!$B:$B, $A39, NewEmisData!$C:$C, $H39, NewEmisData!$D:$D, BS$6)</f>
        <v>17.768817804957902</v>
      </c>
      <c r="BT39" s="1111">
        <f>SUMIFS(NewEmisData!L:L, NewEmisData!$A:$A, $G39, NewEmisData!$B:$B, $A39, NewEmisData!$C:$C, $H39, NewEmisData!$D:$D, BT$6)</f>
        <v>17.8951685945812</v>
      </c>
      <c r="BU39" s="1111">
        <f>SUMIFS(NewEmisData!M:M, NewEmisData!$A:$A, $G39, NewEmisData!$B:$B, $A39, NewEmisData!$C:$C, $H39, NewEmisData!$D:$D, BU$6)</f>
        <v>17.960459006708199</v>
      </c>
      <c r="BV39" s="1111">
        <f t="shared" si="83"/>
        <v>17.960459006708199</v>
      </c>
      <c r="BW39" s="1111">
        <f t="shared" si="77"/>
        <v>2.13040906292176</v>
      </c>
      <c r="BX39" s="1111">
        <f>SUMIFS(NewEmisData!E:E, NewEmisData!$A:$A, $G39, NewEmisData!$B:$B, $A39, NewEmisData!$C:$C, $H39, NewEmisData!$D:$D, BX$6)</f>
        <v>2.13040906292176</v>
      </c>
      <c r="BY39" s="1111">
        <f>SUMIFS(NewEmisData!F:F, NewEmisData!$A:$A, $G39, NewEmisData!$B:$B, $A39, NewEmisData!$C:$C, $H39, NewEmisData!$D:$D, BY$6)</f>
        <v>1.66747382008761</v>
      </c>
      <c r="BZ39" s="1111">
        <f>SUMIFS(NewEmisData!G:G, NewEmisData!$A:$A, $G39, NewEmisData!$B:$B, $A39, NewEmisData!$C:$C, $H39, NewEmisData!$D:$D, BZ$6)</f>
        <v>0.70330303970302899</v>
      </c>
      <c r="CA39" s="1111">
        <f>SUMIFS(NewEmisData!H:H, NewEmisData!$A:$A, $G39, NewEmisData!$B:$B, $A39, NewEmisData!$C:$C, $H39, NewEmisData!$D:$D, CA$6)</f>
        <v>0.53546087421873401</v>
      </c>
      <c r="CB39" s="1111">
        <f>SUMIFS(NewEmisData!I:I, NewEmisData!$A:$A, $G39, NewEmisData!$B:$B, $A39, NewEmisData!$C:$C, $H39, NewEmisData!$D:$D, CB$6)</f>
        <v>0.48025579187888601</v>
      </c>
      <c r="CC39" s="1111">
        <f>SUMIFS(NewEmisData!J:J, NewEmisData!$A:$A, $G39, NewEmisData!$B:$B, $A39, NewEmisData!$C:$C, $H39, NewEmisData!$D:$D, CC$6)</f>
        <v>0.45829574772287202</v>
      </c>
      <c r="CD39" s="1111">
        <f>SUMIFS(NewEmisData!K:K, NewEmisData!$A:$A, $G39, NewEmisData!$B:$B, $A39, NewEmisData!$C:$C, $H39, NewEmisData!$D:$D, CD$6)</f>
        <v>0.45669528314480901</v>
      </c>
      <c r="CE39" s="1111">
        <f>SUMIFS(NewEmisData!L:L, NewEmisData!$A:$A, $G39, NewEmisData!$B:$B, $A39, NewEmisData!$C:$C, $H39, NewEmisData!$D:$D, CE$6)</f>
        <v>0.45728549159308601</v>
      </c>
      <c r="CF39" s="1111">
        <f>SUMIFS(NewEmisData!M:M, NewEmisData!$A:$A, $G39, NewEmisData!$B:$B, $A39, NewEmisData!$C:$C, $H39, NewEmisData!$D:$D, CF$6)</f>
        <v>0.457470611587183</v>
      </c>
      <c r="CG39" s="1111">
        <f t="shared" si="78"/>
        <v>0.457470611587183</v>
      </c>
      <c r="CH39" s="1111">
        <f t="shared" si="79"/>
        <v>4.4380144922912999E-2</v>
      </c>
      <c r="CI39" s="1111">
        <f>SUMIFS(NewEmisData!E:E, NewEmisData!$A:$A, $G39, NewEmisData!$B:$B, $A39, NewEmisData!$C:$C, $H39, NewEmisData!$D:$D, CI$6)</f>
        <v>4.4380144922912999E-2</v>
      </c>
      <c r="CJ39" s="1111">
        <f>SUMIFS(NewEmisData!F:F, NewEmisData!$A:$A, $G39, NewEmisData!$B:$B, $A39, NewEmisData!$C:$C, $H39, NewEmisData!$D:$D, CJ$6)</f>
        <v>4.4596792152345799E-2</v>
      </c>
      <c r="CK39" s="1111">
        <f>SUMIFS(NewEmisData!G:G, NewEmisData!$A:$A, $G39, NewEmisData!$B:$B, $A39, NewEmisData!$C:$C, $H39, NewEmisData!$D:$D, CK$6)</f>
        <v>5.2215385084052102E-2</v>
      </c>
      <c r="CL39" s="1111">
        <f>SUMIFS(NewEmisData!H:H, NewEmisData!$A:$A, $G39, NewEmisData!$B:$B, $A39, NewEmisData!$C:$C, $H39, NewEmisData!$D:$D, CL$6)</f>
        <v>5.2195799002688101E-2</v>
      </c>
      <c r="CM39" s="1111">
        <f>SUMIFS(NewEmisData!I:I, NewEmisData!$A:$A, $G39, NewEmisData!$B:$B, $A39, NewEmisData!$C:$C, $H39, NewEmisData!$D:$D, CM$6)</f>
        <v>5.2195910515594697E-2</v>
      </c>
      <c r="CN39" s="1111">
        <f>SUMIFS(NewEmisData!J:J, NewEmisData!$A:$A, $G39, NewEmisData!$B:$B, $A39, NewEmisData!$C:$C, $H39, NewEmisData!$D:$D, CN$6)</f>
        <v>5.2195169525564397E-2</v>
      </c>
      <c r="CO39" s="1111">
        <f>SUMIFS(NewEmisData!K:K, NewEmisData!$A:$A, $G39, NewEmisData!$B:$B, $A39, NewEmisData!$C:$C, $H39, NewEmisData!$D:$D, CO$6)</f>
        <v>5.21950010452591E-2</v>
      </c>
      <c r="CP39" s="1111">
        <f>SUMIFS(NewEmisData!L:L, NewEmisData!$A:$A, $G39, NewEmisData!$B:$B, $A39, NewEmisData!$C:$C, $H39, NewEmisData!$D:$D, CP$6)</f>
        <v>5.2194984268704697E-2</v>
      </c>
      <c r="CQ39" s="1111">
        <f>SUMIFS(NewEmisData!M:M, NewEmisData!$A:$A, $G39, NewEmisData!$B:$B, $A39, NewEmisData!$C:$C, $H39, NewEmisData!$D:$D, CQ$6)</f>
        <v>5.2195021896544298E-2</v>
      </c>
      <c r="CR39" s="1111">
        <f t="shared" si="80"/>
        <v>5.2195021896544298E-2</v>
      </c>
      <c r="CS39" s="1111">
        <f t="shared" si="81"/>
        <v>7.6133150476987599E-2</v>
      </c>
      <c r="CT39" s="1111">
        <f>SUMIFS(NewEmisData!E:E, NewEmisData!$A:$A, $G39, NewEmisData!$B:$B, $A39, NewEmisData!$C:$C, $H39, NewEmisData!$D:$D, CT$6)</f>
        <v>7.6133150476987599E-2</v>
      </c>
      <c r="CU39" s="1111">
        <f>SUMIFS(NewEmisData!F:F, NewEmisData!$A:$A, $G39, NewEmisData!$B:$B, $A39, NewEmisData!$C:$C, $H39, NewEmisData!$D:$D, CU$6)</f>
        <v>5.1439402812130802E-2</v>
      </c>
      <c r="CV39" s="1111">
        <f>SUMIFS(NewEmisData!G:G, NewEmisData!$A:$A, $G39, NewEmisData!$B:$B, $A39, NewEmisData!$C:$C, $H39, NewEmisData!$D:$D, CV$6)</f>
        <v>3.2083061737757199E-2</v>
      </c>
      <c r="CW39" s="1111">
        <f>SUMIFS(NewEmisData!H:H, NewEmisData!$A:$A, $G39, NewEmisData!$B:$B, $A39, NewEmisData!$C:$C, $H39, NewEmisData!$D:$D, CW$6)</f>
        <v>2.1832894937405999E-2</v>
      </c>
      <c r="CX39" s="1111">
        <f>SUMIFS(NewEmisData!I:I, NewEmisData!$A:$A, $G39, NewEmisData!$B:$B, $A39, NewEmisData!$C:$C, $H39, NewEmisData!$D:$D, CX$6)</f>
        <v>1.87474521093988E-2</v>
      </c>
      <c r="CY39" s="1111">
        <f>SUMIFS(NewEmisData!J:J, NewEmisData!$A:$A, $G39, NewEmisData!$B:$B, $A39, NewEmisData!$C:$C, $H39, NewEmisData!$D:$D, CY$6)</f>
        <v>1.78599084478736E-2</v>
      </c>
      <c r="CZ39" s="1111">
        <f>SUMIFS(NewEmisData!K:K, NewEmisData!$A:$A, $G39, NewEmisData!$B:$B, $A39, NewEmisData!$C:$C, $H39, NewEmisData!$D:$D, CZ$6)</f>
        <v>1.7770003763788299E-2</v>
      </c>
      <c r="DA39" s="1111">
        <f>SUMIFS(NewEmisData!L:L, NewEmisData!$A:$A, $G39, NewEmisData!$B:$B, $A39, NewEmisData!$C:$C, $H39, NewEmisData!$D:$D, DA$6)</f>
        <v>1.7699213019639601E-2</v>
      </c>
      <c r="DB39" s="1111">
        <f>SUMIFS(NewEmisData!M:M, NewEmisData!$A:$A, $G39, NewEmisData!$B:$B, $A39, NewEmisData!$C:$C, $H39, NewEmisData!$D:$D, DB$6)</f>
        <v>1.7745127181989399E-2</v>
      </c>
      <c r="DC39" s="1111">
        <f t="shared" si="84"/>
        <v>1.7745127181989399E-2</v>
      </c>
      <c r="DD39" s="1111"/>
      <c r="DE39" s="1111"/>
      <c r="DF39" s="1111"/>
      <c r="DG39" s="1111"/>
      <c r="DH39" s="1111"/>
      <c r="DI39" s="1111"/>
      <c r="DJ39" s="1111"/>
      <c r="DK39" s="1111"/>
      <c r="DL39" s="1111"/>
      <c r="DM39" s="1111"/>
      <c r="DN39" s="1111"/>
      <c r="DO39" s="1111"/>
      <c r="DP39" s="1111"/>
      <c r="DQ39" s="1111"/>
      <c r="DR39" s="1111"/>
      <c r="DS39" s="1111"/>
      <c r="DT39" s="1111"/>
      <c r="DU39" s="1111"/>
      <c r="DV39" s="1111"/>
      <c r="DW39" s="1111"/>
      <c r="DX39" s="1111"/>
      <c r="DY39" s="1111"/>
      <c r="DZ39" s="1111">
        <f t="shared" si="85"/>
        <v>6.6239633822982896E-2</v>
      </c>
      <c r="EA39" s="1111">
        <f>SUMIFS(NewEmisData!E:E, NewEmisData!$A:$A, $G39, NewEmisData!$B:$B, $A39, NewEmisData!$C:$C, $H39, NewEmisData!$D:$D, EA$6)</f>
        <v>6.6239633822982896E-2</v>
      </c>
      <c r="EB39" s="1111">
        <f>SUMIFS(NewEmisData!F:F, NewEmisData!$A:$A, $G39, NewEmisData!$B:$B, $A39, NewEmisData!$C:$C, $H39, NewEmisData!$D:$D, EB$6)</f>
        <v>6.0237802679566702E-2</v>
      </c>
      <c r="EC39" s="1111">
        <f>SUMIFS(NewEmisData!G:G, NewEmisData!$A:$A, $G39, NewEmisData!$B:$B, $A39, NewEmisData!$C:$C, $H39, NewEmisData!$D:$D, EC$6)</f>
        <v>2.4353204424718701E-2</v>
      </c>
      <c r="ED39" s="1111">
        <f>SUMIFS(NewEmisData!H:H, NewEmisData!$A:$A, $G39, NewEmisData!$B:$B, $A39, NewEmisData!$C:$C, $H39, NewEmisData!$D:$D, ED$6)</f>
        <v>2.2100119730100499E-2</v>
      </c>
      <c r="EE39" s="1111">
        <f>SUMIFS(NewEmisData!I:I, NewEmisData!$A:$A, $G39, NewEmisData!$B:$B, $A39, NewEmisData!$C:$C, $H39, NewEmisData!$D:$D, EE$6)</f>
        <v>2.1582561219103999E-2</v>
      </c>
      <c r="EF39" s="1111">
        <f>SUMIFS(NewEmisData!J:J, NewEmisData!$A:$A, $G39, NewEmisData!$B:$B, $A39, NewEmisData!$C:$C, $H39, NewEmisData!$D:$D, EF$6)</f>
        <v>2.1614176302122898E-2</v>
      </c>
      <c r="EG39" s="1111">
        <f>SUMIFS(NewEmisData!K:K, NewEmisData!$A:$A, $G39, NewEmisData!$B:$B, $A39, NewEmisData!$C:$C, $H39, NewEmisData!$D:$D, EG$6)</f>
        <v>2.1778598474770299E-2</v>
      </c>
      <c r="EH39" s="1111">
        <f>SUMIFS(NewEmisData!L:L, NewEmisData!$A:$A, $G39, NewEmisData!$B:$B, $A39, NewEmisData!$C:$C, $H39, NewEmisData!$D:$D, EH$6)</f>
        <v>2.1823465682415499E-2</v>
      </c>
      <c r="EI39" s="1111">
        <f>SUMIFS(NewEmisData!M:M, NewEmisData!$A:$A, $G39, NewEmisData!$B:$B, $A39, NewEmisData!$C:$C, $H39, NewEmisData!$D:$D, EI$6)</f>
        <v>2.1824961400636101E-2</v>
      </c>
      <c r="EJ39" s="1111">
        <f t="shared" si="86"/>
        <v>2.1824961400636101E-2</v>
      </c>
      <c r="EK39" s="1111">
        <f t="shared" si="87"/>
        <v>1204.2704996203399</v>
      </c>
      <c r="EL39" s="1111">
        <f t="shared" si="48"/>
        <v>1204.2704996203399</v>
      </c>
      <c r="EM39" s="1111">
        <f t="shared" si="49"/>
        <v>1280.9014839137801</v>
      </c>
      <c r="EN39" s="1111">
        <f t="shared" si="50"/>
        <v>1309.1277572440899</v>
      </c>
      <c r="EO39" s="1111">
        <f t="shared" si="51"/>
        <v>1277.5848439676099</v>
      </c>
      <c r="EP39" s="1111">
        <f t="shared" si="52"/>
        <v>1259.05503169493</v>
      </c>
      <c r="EQ39" s="1111">
        <f t="shared" si="53"/>
        <v>1254.08723086747</v>
      </c>
      <c r="ER39" s="1111">
        <f t="shared" si="54"/>
        <v>1252.90461894546</v>
      </c>
      <c r="ES39" s="1111">
        <f t="shared" si="55"/>
        <v>1252.7104430173399</v>
      </c>
      <c r="ET39" s="1111">
        <f t="shared" si="56"/>
        <v>1252.6870397442001</v>
      </c>
      <c r="EU39" s="1111">
        <f t="shared" si="57"/>
        <v>1252.6870397442001</v>
      </c>
      <c r="EV39" s="1111">
        <f t="shared" si="88"/>
        <v>4.3448715610080901</v>
      </c>
      <c r="EW39" s="1111">
        <f t="shared" si="38"/>
        <v>4.3448715610080901</v>
      </c>
      <c r="EX39" s="1111">
        <f t="shared" si="39"/>
        <v>2.68000771941229</v>
      </c>
      <c r="EY39" s="1111">
        <f t="shared" si="40"/>
        <v>1.2701406141530101</v>
      </c>
      <c r="EZ39" s="1111">
        <f t="shared" si="41"/>
        <v>0.89637025450783203</v>
      </c>
      <c r="FA39" s="1111">
        <f t="shared" si="42"/>
        <v>0.74230586472414295</v>
      </c>
      <c r="FB39" s="1111">
        <f t="shared" si="43"/>
        <v>0.67198096175904998</v>
      </c>
      <c r="FC39" s="1111">
        <f t="shared" si="44"/>
        <v>0.65082523068374698</v>
      </c>
      <c r="FD39" s="1111">
        <f t="shared" si="45"/>
        <v>0.64636795436825401</v>
      </c>
      <c r="FE39" s="1111">
        <f t="shared" si="46"/>
        <v>0.64488416341078902</v>
      </c>
      <c r="FF39" s="1111">
        <f t="shared" si="47"/>
        <v>0.64488416341078902</v>
      </c>
      <c r="FG39" s="1111">
        <f t="shared" si="89"/>
        <v>2.08381055217347E-2</v>
      </c>
      <c r="FH39" s="1111">
        <f t="shared" si="90"/>
        <v>2.08381055217347E-2</v>
      </c>
      <c r="FI39" s="1111">
        <f t="shared" si="91"/>
        <v>2.2164087103621902E-2</v>
      </c>
      <c r="FJ39" s="1111">
        <f t="shared" si="92"/>
        <v>1.8780122769194701E-2</v>
      </c>
      <c r="FK39" s="1111">
        <f t="shared" si="93"/>
        <v>1.8327610114874E-2</v>
      </c>
      <c r="FL39" s="1111">
        <f t="shared" si="94"/>
        <v>1.8061800865337901E-2</v>
      </c>
      <c r="FM39" s="1111">
        <f t="shared" si="95"/>
        <v>1.79905289884639E-2</v>
      </c>
      <c r="FN39" s="1111">
        <f t="shared" si="96"/>
        <v>1.7973564507445701E-2</v>
      </c>
      <c r="FO39" s="1111">
        <f t="shared" si="97"/>
        <v>1.7970784643505301E-2</v>
      </c>
      <c r="FP39" s="1111">
        <f t="shared" si="98"/>
        <v>1.7970446963254401E-2</v>
      </c>
      <c r="FQ39" s="1111">
        <f t="shared" si="99"/>
        <v>1.7970446963254401E-2</v>
      </c>
      <c r="FR39" s="1111">
        <f t="shared" si="25"/>
        <v>0.19574828311834699</v>
      </c>
      <c r="FS39" s="1111">
        <f t="shared" si="26"/>
        <v>0.19574828311834699</v>
      </c>
      <c r="FT39" s="1111">
        <f t="shared" si="27"/>
        <v>0.191259101148397</v>
      </c>
      <c r="FU39" s="1111">
        <f t="shared" si="28"/>
        <v>0.21457849181088401</v>
      </c>
      <c r="FV39" s="1111">
        <f t="shared" si="29"/>
        <v>0.215053494777702</v>
      </c>
      <c r="FW39" s="1111">
        <f t="shared" si="30"/>
        <v>0.21551298465650401</v>
      </c>
      <c r="FX39" s="1111">
        <f t="shared" si="31"/>
        <v>0.215835472913527</v>
      </c>
      <c r="FY39" s="1111">
        <f t="shared" si="32"/>
        <v>0.21602305396888299</v>
      </c>
      <c r="FZ39" s="1111">
        <f t="shared" si="33"/>
        <v>0.21608589786817001</v>
      </c>
      <c r="GA39" s="1111">
        <f t="shared" si="34"/>
        <v>0.216113244270948</v>
      </c>
      <c r="GB39" s="1111">
        <f t="shared" si="35"/>
        <v>0.216113244270948</v>
      </c>
      <c r="GC39" s="1111">
        <f t="shared" si="59"/>
        <v>4.1988899098410401E-2</v>
      </c>
      <c r="GD39" s="1111">
        <f t="shared" si="60"/>
        <v>4.1988899098410401E-2</v>
      </c>
      <c r="GE39" s="1111">
        <f t="shared" si="61"/>
        <v>4.04221270662211E-2</v>
      </c>
      <c r="GF39" s="1111">
        <f t="shared" si="62"/>
        <v>3.5246180151429399E-2</v>
      </c>
      <c r="GG39" s="1111">
        <f t="shared" si="63"/>
        <v>3.4950821311789601E-2</v>
      </c>
      <c r="GH39" s="1111">
        <f t="shared" si="64"/>
        <v>3.5285067945859602E-2</v>
      </c>
      <c r="GI39" s="1111">
        <f t="shared" si="65"/>
        <v>3.55346528981796E-2</v>
      </c>
      <c r="GJ39" s="1111">
        <f t="shared" si="66"/>
        <v>3.5692682330647998E-2</v>
      </c>
      <c r="GK39" s="1111">
        <f t="shared" si="67"/>
        <v>3.57464219039118E-2</v>
      </c>
      <c r="GL39" s="1111">
        <f t="shared" si="68"/>
        <v>3.5770424866643502E-2</v>
      </c>
      <c r="GM39" s="1111">
        <f t="shared" si="69"/>
        <v>3.5770424866643502E-2</v>
      </c>
    </row>
    <row r="40" spans="1:195" x14ac:dyDescent="0.2">
      <c r="A40" s="1071" t="s">
        <v>115</v>
      </c>
      <c r="B40" s="1071" t="str">
        <f>Technologies!C113</f>
        <v>TMLPGE</v>
      </c>
      <c r="C40" s="1071" t="str">
        <f>Technologies!D113</f>
        <v>Medium Duty Truck, Existing LPG</v>
      </c>
      <c r="D40" s="1071" t="str">
        <f>TechData!D20</f>
        <v>bn-vmt, bn-vmt/a</v>
      </c>
      <c r="E40" s="1071" t="str">
        <f>TechData!E21</f>
        <v>TRNLPG1</v>
      </c>
      <c r="F40" s="1071" t="str">
        <f>TechData!F21</f>
        <v>TM</v>
      </c>
      <c r="G40" s="1110" t="s">
        <v>503</v>
      </c>
      <c r="H40" s="1111" t="s">
        <v>504</v>
      </c>
      <c r="I40" s="1112">
        <v>1</v>
      </c>
      <c r="J40" s="1111" t="str">
        <f t="shared" si="37"/>
        <v>Medium duty-LPG</v>
      </c>
      <c r="K40" s="1111">
        <v>1024.9098860783799</v>
      </c>
      <c r="L40" s="1111">
        <v>1023.8416424501853</v>
      </c>
      <c r="M40" s="1111">
        <v>1002.610860283342</v>
      </c>
      <c r="N40" s="1111">
        <v>983.34438014505497</v>
      </c>
      <c r="O40" s="1111">
        <v>970.51765711223641</v>
      </c>
      <c r="P40" s="1111">
        <v>970.66880507815347</v>
      </c>
      <c r="Q40" s="1111">
        <v>970.80700116387698</v>
      </c>
      <c r="R40" s="1111">
        <v>970.84570807801265</v>
      </c>
      <c r="S40" s="1111">
        <v>970.87965809759112</v>
      </c>
      <c r="T40" s="1111">
        <f t="shared" si="17"/>
        <v>970.87965809759112</v>
      </c>
      <c r="U40" s="1111">
        <v>3.2484448279914133</v>
      </c>
      <c r="V40" s="1111">
        <v>2.1596022698342212</v>
      </c>
      <c r="W40" s="1111">
        <v>0.62505215172901885</v>
      </c>
      <c r="X40" s="1111">
        <v>0.40404331445138347</v>
      </c>
      <c r="Y40" s="1111">
        <v>0.34788628450434311</v>
      </c>
      <c r="Z40" s="1111">
        <v>0.32064175677218243</v>
      </c>
      <c r="AA40" s="1111">
        <v>0.31989050995325125</v>
      </c>
      <c r="AB40" s="1111">
        <v>0.32014894307520569</v>
      </c>
      <c r="AC40" s="1111">
        <v>0.32038736461206235</v>
      </c>
      <c r="AD40" s="1111">
        <f t="shared" si="18"/>
        <v>0.32038736461206235</v>
      </c>
      <c r="AE40" s="1111">
        <v>5.7948489428758992E-2</v>
      </c>
      <c r="AF40" s="1111">
        <v>2.4723919298954539E-2</v>
      </c>
      <c r="AG40" s="1111">
        <v>1.9040920921305056E-2</v>
      </c>
      <c r="AH40" s="1111">
        <v>6.3702531665615278E-3</v>
      </c>
      <c r="AI40" s="1111">
        <v>6.2478402934947148E-3</v>
      </c>
      <c r="AJ40" s="1111">
        <v>6.166345668648503E-3</v>
      </c>
      <c r="AK40" s="1111">
        <v>6.1673063931836801E-3</v>
      </c>
      <c r="AL40" s="1111">
        <v>6.1681857117805031E-3</v>
      </c>
      <c r="AM40" s="1111">
        <v>6.1684314408994266E-3</v>
      </c>
      <c r="AN40" s="1111">
        <v>6.1686474259003343E-3</v>
      </c>
      <c r="AO40" s="1111">
        <v>6.1686474259003343E-3</v>
      </c>
      <c r="AP40" s="1111">
        <v>0.1190158264537565</v>
      </c>
      <c r="AQ40" s="1111">
        <v>0.10075563591980095</v>
      </c>
      <c r="AR40" s="1111">
        <v>8.5090364449992392E-2</v>
      </c>
      <c r="AS40" s="1111">
        <v>7.9754963212143051E-2</v>
      </c>
      <c r="AT40" s="1111">
        <v>7.9423720740838075E-2</v>
      </c>
      <c r="AU40" s="1111">
        <v>7.9460423470200742E-2</v>
      </c>
      <c r="AV40" s="1111">
        <v>7.9486694135981986E-2</v>
      </c>
      <c r="AW40" s="1111">
        <v>7.9449539176928527E-2</v>
      </c>
      <c r="AX40" s="1111">
        <v>7.9487074138769528E-2</v>
      </c>
      <c r="AY40" s="1111">
        <v>7.9527154221948865E-2</v>
      </c>
      <c r="AZ40" s="1111">
        <v>7.9527154221948865E-2</v>
      </c>
      <c r="BA40" s="1111">
        <v>5.7580859856890439E-2</v>
      </c>
      <c r="BB40" s="1111">
        <v>4.1023733938729483E-2</v>
      </c>
      <c r="BC40" s="1111">
        <v>2.7113959704865298E-2</v>
      </c>
      <c r="BD40" s="1111">
        <v>2.2869313974904899E-2</v>
      </c>
      <c r="BE40" s="1111">
        <v>2.2684793483013801E-2</v>
      </c>
      <c r="BF40" s="1111">
        <v>2.2713987250038748E-2</v>
      </c>
      <c r="BG40" s="1111">
        <v>2.2734621437019834E-2</v>
      </c>
      <c r="BH40" s="1111">
        <v>2.2699758182424035E-2</v>
      </c>
      <c r="BI40" s="1111">
        <v>2.2732175036057987E-2</v>
      </c>
      <c r="BJ40" s="1111">
        <v>2.276708076132309E-2</v>
      </c>
      <c r="BK40" s="1111">
        <v>2.276708076132309E-2</v>
      </c>
      <c r="BL40" s="1111">
        <v>47.678155221521145</v>
      </c>
      <c r="BM40" s="1111">
        <v>28.609095013295647</v>
      </c>
      <c r="BN40" s="1111">
        <v>21.124906310888324</v>
      </c>
      <c r="BO40" s="1111">
        <v>14.961900107008688</v>
      </c>
      <c r="BP40" s="1111">
        <v>13.109541779712702</v>
      </c>
      <c r="BQ40" s="1111">
        <v>13.005234196706718</v>
      </c>
      <c r="BR40" s="1111">
        <v>12.892985529905035</v>
      </c>
      <c r="BS40" s="1111">
        <v>13.083334539881974</v>
      </c>
      <c r="BT40" s="1111">
        <v>13.074652169296424</v>
      </c>
      <c r="BU40" s="1111">
        <v>13.05488552680287</v>
      </c>
      <c r="BV40" s="1111">
        <v>13.05488552680287</v>
      </c>
      <c r="BW40" s="1111">
        <v>1.8226650732841354</v>
      </c>
      <c r="BX40" s="1111">
        <v>1.1809143065556256</v>
      </c>
      <c r="BY40" s="1111">
        <v>0.79278777998526584</v>
      </c>
      <c r="BZ40" s="1111">
        <v>0.45614614926221181</v>
      </c>
      <c r="CA40" s="1111">
        <v>0.37818308455705596</v>
      </c>
      <c r="CB40" s="1111">
        <v>0.35764043346434599</v>
      </c>
      <c r="CC40" s="1111">
        <v>0.34736031707345472</v>
      </c>
      <c r="CD40" s="1111">
        <v>0.34477515254349145</v>
      </c>
      <c r="CE40" s="1111">
        <v>0.3465054488400755</v>
      </c>
      <c r="CF40" s="1111">
        <v>0.34846247232826794</v>
      </c>
      <c r="CG40" s="1111">
        <v>0.34846247232826794</v>
      </c>
      <c r="CH40" s="1111">
        <v>3.8620852914178952E-2</v>
      </c>
      <c r="CI40" s="1111">
        <v>3.8627783402945544E-2</v>
      </c>
      <c r="CJ40" s="1111">
        <v>3.8613051350330344E-2</v>
      </c>
      <c r="CK40" s="1111">
        <v>3.8622146935394765E-2</v>
      </c>
      <c r="CL40" s="1111">
        <v>3.8632520149477954E-2</v>
      </c>
      <c r="CM40" s="1111">
        <v>3.8634438613029676E-2</v>
      </c>
      <c r="CN40" s="1111">
        <v>3.8633795545186811E-2</v>
      </c>
      <c r="CO40" s="1111">
        <v>3.8633245219676197E-2</v>
      </c>
      <c r="CP40" s="1111">
        <v>3.863292330339977E-2</v>
      </c>
      <c r="CQ40" s="1111">
        <v>3.8632643081261714E-2</v>
      </c>
      <c r="CR40" s="1111">
        <v>3.8632643081261714E-2</v>
      </c>
      <c r="CS40" s="1111">
        <v>4.4291742677605699</v>
      </c>
      <c r="CT40" s="1111">
        <v>3.2484448279914133</v>
      </c>
      <c r="CU40" s="1111">
        <v>2.1596022698342212</v>
      </c>
      <c r="CV40" s="1111">
        <v>0.62505215172901885</v>
      </c>
      <c r="CW40" s="1111">
        <v>0.40404331445138347</v>
      </c>
      <c r="CX40" s="1111">
        <v>0.34788628450434311</v>
      </c>
      <c r="CY40" s="1111">
        <v>0.32064175677218243</v>
      </c>
      <c r="CZ40" s="1111">
        <v>0.31989050995325125</v>
      </c>
      <c r="DA40" s="1111">
        <v>0.32014894307520569</v>
      </c>
      <c r="DB40" s="1111">
        <v>0.32038736461206235</v>
      </c>
      <c r="DC40" s="1111">
        <v>0.32038736461206235</v>
      </c>
      <c r="DD40" s="1111">
        <v>8.4892895966475739E-3</v>
      </c>
      <c r="DE40" s="1111">
        <v>5.6212986616763754E-3</v>
      </c>
      <c r="DF40" s="1111">
        <v>3.3463487561708246E-3</v>
      </c>
      <c r="DG40" s="1111">
        <v>2.7660430299124659E-3</v>
      </c>
      <c r="DH40" s="1111">
        <v>2.682529091392567E-3</v>
      </c>
      <c r="DI40" s="1111">
        <v>2.703528873173607E-3</v>
      </c>
      <c r="DJ40" s="1111">
        <v>2.7128611055472259E-3</v>
      </c>
      <c r="DK40" s="1111">
        <v>2.7072751179577333E-3</v>
      </c>
      <c r="DL40" s="1111">
        <v>2.7166296978826691E-3</v>
      </c>
      <c r="DM40" s="1111">
        <v>2.7267399324404202E-3</v>
      </c>
      <c r="DN40" s="1111">
        <v>2.7267399324404202E-3</v>
      </c>
      <c r="DO40" s="1111">
        <v>2.7529093789717789E-2</v>
      </c>
      <c r="DP40" s="1111">
        <v>1.8547410667972192E-2</v>
      </c>
      <c r="DQ40" s="1111">
        <v>1.0623092960258752E-2</v>
      </c>
      <c r="DR40" s="1111">
        <v>8.2487146441313514E-3</v>
      </c>
      <c r="DS40" s="1111">
        <v>8.1824854069421117E-3</v>
      </c>
      <c r="DT40" s="1111">
        <v>8.1902625366083396E-3</v>
      </c>
      <c r="DU40" s="1111">
        <v>8.1985958492518836E-3</v>
      </c>
      <c r="DV40" s="1111">
        <v>8.1775758900627226E-3</v>
      </c>
      <c r="DW40" s="1111">
        <v>8.1943266682995095E-3</v>
      </c>
      <c r="DX40" s="1111">
        <v>8.2124081867554939E-3</v>
      </c>
      <c r="DY40" s="1111">
        <v>8.2124081867554939E-3</v>
      </c>
      <c r="DZ40" s="1111">
        <v>7.2850976862382816E-2</v>
      </c>
      <c r="EA40" s="1111">
        <v>2.3247256819711605E-2</v>
      </c>
      <c r="EB40" s="1111">
        <v>1.7922222186484007E-2</v>
      </c>
      <c r="EC40" s="1111">
        <v>1.8672233355716359E-2</v>
      </c>
      <c r="ED40" s="1111">
        <v>1.8714907624014312E-2</v>
      </c>
      <c r="EE40" s="1111">
        <v>1.8697083426745816E-2</v>
      </c>
      <c r="EF40" s="1111">
        <v>1.833681175454855E-2</v>
      </c>
      <c r="EG40" s="1111">
        <v>1.8522163599694705E-2</v>
      </c>
      <c r="EH40" s="1111">
        <v>1.8560680786894514E-2</v>
      </c>
      <c r="EI40" s="1111">
        <v>1.8594044483779569E-2</v>
      </c>
      <c r="EJ40" s="1111">
        <v>1.8594044483779569E-2</v>
      </c>
      <c r="EK40" s="1111">
        <v>1023.1964313892872</v>
      </c>
      <c r="EL40" s="1111">
        <f t="shared" si="48"/>
        <v>1024.9098860783799</v>
      </c>
      <c r="EM40" s="1111">
        <f t="shared" si="49"/>
        <v>1023.8416424501853</v>
      </c>
      <c r="EN40" s="1111">
        <f t="shared" si="50"/>
        <v>1002.610860283342</v>
      </c>
      <c r="EO40" s="1111">
        <f t="shared" si="51"/>
        <v>983.34438014505497</v>
      </c>
      <c r="EP40" s="1111">
        <f t="shared" si="52"/>
        <v>970.51765711223641</v>
      </c>
      <c r="EQ40" s="1111">
        <f t="shared" si="53"/>
        <v>970.66880507815347</v>
      </c>
      <c r="ER40" s="1111">
        <f t="shared" si="54"/>
        <v>970.80700116387698</v>
      </c>
      <c r="ES40" s="1111">
        <f t="shared" si="55"/>
        <v>970.84570807801265</v>
      </c>
      <c r="ET40" s="1111">
        <f t="shared" si="56"/>
        <v>970.87965809759112</v>
      </c>
      <c r="EU40" s="1111">
        <f t="shared" si="57"/>
        <v>970.87965809759112</v>
      </c>
      <c r="EV40" s="1111">
        <v>4.4291742677605699</v>
      </c>
      <c r="EW40" s="1111">
        <f t="shared" si="38"/>
        <v>3.2484448279914133</v>
      </c>
      <c r="EX40" s="1111">
        <f t="shared" si="39"/>
        <v>2.1596022698342212</v>
      </c>
      <c r="EY40" s="1111">
        <f t="shared" si="40"/>
        <v>0.62505215172901885</v>
      </c>
      <c r="EZ40" s="1111">
        <f t="shared" si="41"/>
        <v>0.40404331445138347</v>
      </c>
      <c r="FA40" s="1111">
        <f t="shared" si="42"/>
        <v>0.34788628450434311</v>
      </c>
      <c r="FB40" s="1111">
        <f t="shared" si="43"/>
        <v>0.32064175677218243</v>
      </c>
      <c r="FC40" s="1111">
        <f t="shared" si="44"/>
        <v>0.31989050995325125</v>
      </c>
      <c r="FD40" s="1111">
        <f t="shared" si="45"/>
        <v>0.32014894307520569</v>
      </c>
      <c r="FE40" s="1111">
        <f t="shared" si="46"/>
        <v>0.32038736461206235</v>
      </c>
      <c r="FF40" s="1111">
        <f t="shared" si="47"/>
        <v>0.32038736461206235</v>
      </c>
      <c r="FG40" s="1111">
        <f t="shared" ref="FG40:FG115" si="100">AE40</f>
        <v>5.7948489428758992E-2</v>
      </c>
      <c r="FH40" s="1111">
        <f t="shared" ref="FH40:FH115" si="101">AF40</f>
        <v>2.4723919298954539E-2</v>
      </c>
      <c r="FI40" s="1111">
        <f t="shared" ref="FI40:FI115" si="102">AG40</f>
        <v>1.9040920921305056E-2</v>
      </c>
      <c r="FJ40" s="1111">
        <f t="shared" ref="FJ40:FJ115" si="103">AH40</f>
        <v>6.3702531665615278E-3</v>
      </c>
      <c r="FK40" s="1111">
        <f t="shared" ref="FK40:FK115" si="104">AI40</f>
        <v>6.2478402934947148E-3</v>
      </c>
      <c r="FL40" s="1111">
        <f t="shared" ref="FL40:FL115" si="105">AJ40</f>
        <v>6.166345668648503E-3</v>
      </c>
      <c r="FM40" s="1111">
        <f t="shared" ref="FM40:FM115" si="106">AK40</f>
        <v>6.1673063931836801E-3</v>
      </c>
      <c r="FN40" s="1111">
        <f t="shared" ref="FN40:FN115" si="107">AL40</f>
        <v>6.1681857117805031E-3</v>
      </c>
      <c r="FO40" s="1111">
        <f t="shared" ref="FO40:FO115" si="108">AM40</f>
        <v>6.1684314408994266E-3</v>
      </c>
      <c r="FP40" s="1111">
        <f t="shared" ref="FP40:FP115" si="109">AN40</f>
        <v>6.1686474259003343E-3</v>
      </c>
      <c r="FQ40" s="1111">
        <f t="shared" ref="FQ40:FQ115" si="110">AO40</f>
        <v>6.1686474259003343E-3</v>
      </c>
      <c r="FR40" s="1111">
        <f t="shared" si="25"/>
        <v>0.1190158264537565</v>
      </c>
      <c r="FS40" s="1111">
        <f t="shared" si="26"/>
        <v>0.10075563591980095</v>
      </c>
      <c r="FT40" s="1111">
        <f t="shared" si="27"/>
        <v>8.5090364449992392E-2</v>
      </c>
      <c r="FU40" s="1111">
        <f t="shared" si="28"/>
        <v>7.9754963212143051E-2</v>
      </c>
      <c r="FV40" s="1111">
        <f t="shared" si="29"/>
        <v>7.9423720740838075E-2</v>
      </c>
      <c r="FW40" s="1111">
        <f t="shared" si="30"/>
        <v>7.9460423470200742E-2</v>
      </c>
      <c r="FX40" s="1111">
        <f t="shared" si="31"/>
        <v>7.9486694135981986E-2</v>
      </c>
      <c r="FY40" s="1111">
        <f t="shared" si="32"/>
        <v>7.9449539176928527E-2</v>
      </c>
      <c r="FZ40" s="1111">
        <f t="shared" si="33"/>
        <v>7.9487074138769528E-2</v>
      </c>
      <c r="GA40" s="1111">
        <f t="shared" si="34"/>
        <v>7.9527154221948865E-2</v>
      </c>
      <c r="GB40" s="1111">
        <f t="shared" si="35"/>
        <v>7.9527154221948865E-2</v>
      </c>
      <c r="GC40" s="1111">
        <f t="shared" si="59"/>
        <v>5.7580859856890439E-2</v>
      </c>
      <c r="GD40" s="1111">
        <f t="shared" si="60"/>
        <v>4.1023733938729483E-2</v>
      </c>
      <c r="GE40" s="1111">
        <f t="shared" si="61"/>
        <v>2.7113959704865298E-2</v>
      </c>
      <c r="GF40" s="1111">
        <f t="shared" si="62"/>
        <v>2.2869313974904899E-2</v>
      </c>
      <c r="GG40" s="1111">
        <f t="shared" si="63"/>
        <v>2.2684793483013801E-2</v>
      </c>
      <c r="GH40" s="1111">
        <f t="shared" si="64"/>
        <v>2.2713987250038748E-2</v>
      </c>
      <c r="GI40" s="1111">
        <f t="shared" si="65"/>
        <v>2.2734621437019834E-2</v>
      </c>
      <c r="GJ40" s="1111">
        <f t="shared" si="66"/>
        <v>2.2699758182424035E-2</v>
      </c>
      <c r="GK40" s="1111">
        <f t="shared" si="67"/>
        <v>2.2732175036057987E-2</v>
      </c>
      <c r="GL40" s="1111">
        <f t="shared" si="68"/>
        <v>2.276708076132309E-2</v>
      </c>
      <c r="GM40" s="1111">
        <f t="shared" si="69"/>
        <v>2.276708076132309E-2</v>
      </c>
    </row>
    <row r="41" spans="1:195" x14ac:dyDescent="0.2">
      <c r="A41" s="1071" t="s">
        <v>182</v>
      </c>
      <c r="B41" s="1071" t="str">
        <f>Technologies!C136</f>
        <v>THSGSLE</v>
      </c>
      <c r="C41" s="1071" t="str">
        <f>Technologies!D136</f>
        <v>Heavy Truck, Short Haul, Gasoline exisiting</v>
      </c>
      <c r="D41" s="1071" t="str">
        <f>NewTech!D85</f>
        <v>bn-vmt, bn-vmt/a</v>
      </c>
      <c r="E41" s="1071" t="str">
        <f>Commodities!C47</f>
        <v>THGSL</v>
      </c>
      <c r="F41" s="1071" t="s">
        <v>98</v>
      </c>
      <c r="G41" s="1110" t="s">
        <v>505</v>
      </c>
      <c r="H41" s="1111" t="s">
        <v>500</v>
      </c>
      <c r="I41" s="1112">
        <v>1</v>
      </c>
      <c r="J41" s="1111" t="str">
        <f t="shared" si="37"/>
        <v>Heavy duty short haul truck-GSL</v>
      </c>
      <c r="K41" s="1111">
        <f>SUMIFS(NewEmisData!E:E, NewEmisData!$A:$A, $G41, NewEmisData!$B:$B, $A41, NewEmisData!$C:$C, $H41, NewEmisData!$D:$D, K$6)</f>
        <v>1261.7193045716699</v>
      </c>
      <c r="L41" s="1111">
        <f>SUMIFS(NewEmisData!F:F, NewEmisData!$A:$A, $G41, NewEmisData!$B:$B, $A41, NewEmisData!$C:$C, $H41, NewEmisData!$D:$D, L$6)</f>
        <v>1249.12075772399</v>
      </c>
      <c r="M41" s="1111">
        <f>SUMIFS(NewEmisData!G:G, NewEmisData!$A:$A, $G41, NewEmisData!$B:$B, $A41, NewEmisData!$C:$C, $H41, NewEmisData!$D:$D, M$6)</f>
        <v>1645.5452306145801</v>
      </c>
      <c r="N41" s="1111">
        <f>SUMIFS(NewEmisData!H:H, NewEmisData!$A:$A, $G41, NewEmisData!$B:$B, $A41, NewEmisData!$C:$C, $H41, NewEmisData!$D:$D, N$6)</f>
        <v>1615.5067230397001</v>
      </c>
      <c r="O41" s="1111">
        <f>SUMIFS(NewEmisData!I:I, NewEmisData!$A:$A, $G41, NewEmisData!$B:$B, $A41, NewEmisData!$C:$C, $H41, NewEmisData!$D:$D, O$6)</f>
        <v>1561.96512576184</v>
      </c>
      <c r="P41" s="1111">
        <f>SUMIFS(NewEmisData!J:J, NewEmisData!$A:$A, $G41, NewEmisData!$B:$B, $A41, NewEmisData!$C:$C, $H41, NewEmisData!$D:$D, P$6)</f>
        <v>1548.35062809069</v>
      </c>
      <c r="Q41" s="1111">
        <f>SUMIFS(NewEmisData!K:K, NewEmisData!$A:$A, $G41, NewEmisData!$B:$B, $A41, NewEmisData!$C:$C, $H41, NewEmisData!$D:$D, Q$6)</f>
        <v>1545.11245308096</v>
      </c>
      <c r="R41" s="1111">
        <f>SUMIFS(NewEmisData!L:L, NewEmisData!$A:$A, $G41, NewEmisData!$B:$B, $A41, NewEmisData!$C:$C, $H41, NewEmisData!$D:$D, R$6)</f>
        <v>1544.5579062120401</v>
      </c>
      <c r="S41" s="1111">
        <f>SUMIFS(NewEmisData!M:M, NewEmisData!$A:$A, $G41, NewEmisData!$B:$B, $A41, NewEmisData!$C:$C, $H41, NewEmisData!$D:$D, S$6)</f>
        <v>1544.55231111378</v>
      </c>
      <c r="T41" s="1111">
        <f t="shared" si="17"/>
        <v>1544.55231111378</v>
      </c>
      <c r="U41" s="1111">
        <f>SUMIFS(NewEmisData!E:E, NewEmisData!$A:$A, $G41, NewEmisData!$B:$B, $A41, NewEmisData!$C:$C, $H41, NewEmisData!$D:$D, U$6)</f>
        <v>5.0421157380649202</v>
      </c>
      <c r="V41" s="1111">
        <f>SUMIFS(NewEmisData!F:F, NewEmisData!$A:$A, $G41, NewEmisData!$B:$B, $A41, NewEmisData!$C:$C, $H41, NewEmisData!$D:$D, V$6)</f>
        <v>2.6891275593082402</v>
      </c>
      <c r="W41" s="1111">
        <f>SUMIFS(NewEmisData!G:G, NewEmisData!$A:$A, $G41, NewEmisData!$B:$B, $A41, NewEmisData!$C:$C, $H41, NewEmisData!$D:$D, W$6)</f>
        <v>1.59672970269866</v>
      </c>
      <c r="X41" s="1111">
        <f>SUMIFS(NewEmisData!H:H, NewEmisData!$A:$A, $G41, NewEmisData!$B:$B, $A41, NewEmisData!$C:$C, $H41, NewEmisData!$D:$D, X$6)</f>
        <v>1.2533988169049</v>
      </c>
      <c r="Y41" s="1111">
        <f>SUMIFS(NewEmisData!I:I, NewEmisData!$A:$A, $G41, NewEmisData!$B:$B, $A41, NewEmisData!$C:$C, $H41, NewEmisData!$D:$D, Y$6)</f>
        <v>1.1377603861924299</v>
      </c>
      <c r="Z41" s="1111">
        <f>SUMIFS(NewEmisData!J:J, NewEmisData!$A:$A, $G41, NewEmisData!$B:$B, $A41, NewEmisData!$C:$C, $H41, NewEmisData!$D:$D, Z$6)</f>
        <v>1.11657517091755</v>
      </c>
      <c r="AA41" s="1111">
        <f>SUMIFS(NewEmisData!K:K, NewEmisData!$A:$A, $G41, NewEmisData!$B:$B, $A41, NewEmisData!$C:$C, $H41, NewEmisData!$D:$D, AA$6)</f>
        <v>1.10785037464988</v>
      </c>
      <c r="AB41" s="1111">
        <f>SUMIFS(NewEmisData!L:L, NewEmisData!$A:$A, $G41, NewEmisData!$B:$B, $A41, NewEmisData!$C:$C, $H41, NewEmisData!$D:$D, AB$6)</f>
        <v>1.10808970467776</v>
      </c>
      <c r="AC41" s="1111">
        <f>SUMIFS(NewEmisData!M:M, NewEmisData!$A:$A, $G41, NewEmisData!$B:$B, $A41, NewEmisData!$C:$C, $H41, NewEmisData!$D:$D, AC$6)</f>
        <v>1.10829058082377</v>
      </c>
      <c r="AD41" s="1111">
        <f t="shared" si="18"/>
        <v>1.10829058082377</v>
      </c>
      <c r="AE41" s="1111">
        <f t="shared" si="70"/>
        <v>2.18321680952577E-2</v>
      </c>
      <c r="AF41" s="1111">
        <f>SUMIFS(NewEmisData!E:E, NewEmisData!$A:$A, $G41, NewEmisData!$B:$B, $A41, NewEmisData!$C:$C, $H41, NewEmisData!$D:$D, AF$6)</f>
        <v>2.18321680952577E-2</v>
      </c>
      <c r="AG41" s="1111">
        <f>SUMIFS(NewEmisData!F:F, NewEmisData!$A:$A, $G41, NewEmisData!$B:$B, $A41, NewEmisData!$C:$C, $H41, NewEmisData!$D:$D, AG$6)</f>
        <v>2.1614175028351099E-2</v>
      </c>
      <c r="AH41" s="1111">
        <f>SUMIFS(NewEmisData!G:G, NewEmisData!$A:$A, $G41, NewEmisData!$B:$B, $A41, NewEmisData!$C:$C, $H41, NewEmisData!$D:$D, AH$6)</f>
        <v>2.3606201662977298E-2</v>
      </c>
      <c r="AI41" s="1111">
        <f>SUMIFS(NewEmisData!H:H, NewEmisData!$A:$A, $G41, NewEmisData!$B:$B, $A41, NewEmisData!$C:$C, $H41, NewEmisData!$D:$D, AI$6)</f>
        <v>2.3175292056127901E-2</v>
      </c>
      <c r="AJ41" s="1111">
        <f>SUMIFS(NewEmisData!I:I, NewEmisData!$A:$A, $G41, NewEmisData!$B:$B, $A41, NewEmisData!$C:$C, $H41, NewEmisData!$D:$D, AJ$6)</f>
        <v>2.2407191257778802E-2</v>
      </c>
      <c r="AK41" s="1111">
        <f>SUMIFS(NewEmisData!J:J, NewEmisData!$A:$A, $G41, NewEmisData!$B:$B, $A41, NewEmisData!$C:$C, $H41, NewEmisData!$D:$D, AK$6)</f>
        <v>2.2211896644643399E-2</v>
      </c>
      <c r="AL41" s="1111">
        <f>SUMIFS(NewEmisData!K:K, NewEmisData!$A:$A, $G41, NewEmisData!$B:$B, $A41, NewEmisData!$C:$C, $H41, NewEmisData!$D:$D, AL$6)</f>
        <v>2.21654317430676E-2</v>
      </c>
      <c r="AM41" s="1111">
        <f>SUMIFS(NewEmisData!L:L, NewEmisData!$A:$A, $G41, NewEmisData!$B:$B, $A41, NewEmisData!$C:$C, $H41, NewEmisData!$D:$D, AM$6)</f>
        <v>2.21574783013113E-2</v>
      </c>
      <c r="AN41" s="1111">
        <f>SUMIFS(NewEmisData!M:M, NewEmisData!$A:$A, $G41, NewEmisData!$B:$B, $A41, NewEmisData!$C:$C, $H41, NewEmisData!$D:$D, AN$6)</f>
        <v>2.21574091915673E-2</v>
      </c>
      <c r="AO41" s="1111">
        <f t="shared" si="71"/>
        <v>2.21574091915673E-2</v>
      </c>
      <c r="AP41" s="1111">
        <f t="shared" si="72"/>
        <v>0.37498220674272298</v>
      </c>
      <c r="AQ41" s="1111">
        <f>SUMIFS(NewEmisData!E:E, NewEmisData!$A:$A, $G41, NewEmisData!$B:$B, $A41, NewEmisData!$C:$C, $H41, NewEmisData!$D:$D, AQ$6)</f>
        <v>0.37498220674272298</v>
      </c>
      <c r="AR41" s="1111">
        <f>SUMIFS(NewEmisData!F:F, NewEmisData!$A:$A, $G41, NewEmisData!$B:$B, $A41, NewEmisData!$C:$C, $H41, NewEmisData!$D:$D, AR$6)</f>
        <v>0.30800096091118401</v>
      </c>
      <c r="AS41" s="1111">
        <f>SUMIFS(NewEmisData!G:G, NewEmisData!$A:$A, $G41, NewEmisData!$B:$B, $A41, NewEmisData!$C:$C, $H41, NewEmisData!$D:$D, AS$6)</f>
        <v>0.47876990917977102</v>
      </c>
      <c r="AT41" s="1111">
        <f>SUMIFS(NewEmisData!H:H, NewEmisData!$A:$A, $G41, NewEmisData!$B:$B, $A41, NewEmisData!$C:$C, $H41, NewEmisData!$D:$D, AT$6)</f>
        <v>0.47474601446343401</v>
      </c>
      <c r="AU41" s="1111">
        <f>SUMIFS(NewEmisData!I:I, NewEmisData!$A:$A, $G41, NewEmisData!$B:$B, $A41, NewEmisData!$C:$C, $H41, NewEmisData!$D:$D, AU$6)</f>
        <v>0.462592935753106</v>
      </c>
      <c r="AV41" s="1111">
        <f>SUMIFS(NewEmisData!J:J, NewEmisData!$A:$A, $G41, NewEmisData!$B:$B, $A41, NewEmisData!$C:$C, $H41, NewEmisData!$D:$D, AV$6)</f>
        <v>0.45943594701357998</v>
      </c>
      <c r="AW41" s="1111">
        <f>SUMIFS(NewEmisData!K:K, NewEmisData!$A:$A, $G41, NewEmisData!$B:$B, $A41, NewEmisData!$C:$C, $H41, NewEmisData!$D:$D, AW$6)</f>
        <v>0.45873466896290599</v>
      </c>
      <c r="AX41" s="1111">
        <f>SUMIFS(NewEmisData!L:L, NewEmisData!$A:$A, $G41, NewEmisData!$B:$B, $A41, NewEmisData!$C:$C, $H41, NewEmisData!$D:$D, AX$6)</f>
        <v>0.45859669819349802</v>
      </c>
      <c r="AY41" s="1111">
        <f>SUMIFS(NewEmisData!M:M, NewEmisData!$A:$A, $G41, NewEmisData!$B:$B, $A41, NewEmisData!$C:$C, $H41, NewEmisData!$D:$D, AY$6)</f>
        <v>0.458612118231494</v>
      </c>
      <c r="AZ41" s="1111">
        <f t="shared" si="73"/>
        <v>0.458612118231494</v>
      </c>
      <c r="BA41" s="1111">
        <f t="shared" si="74"/>
        <v>0.110253629274602</v>
      </c>
      <c r="BB41" s="1111">
        <f>SUMIFS(NewEmisData!E:E, NewEmisData!$A:$A, $G41, NewEmisData!$B:$B, $A41, NewEmisData!$C:$C, $H41, NewEmisData!$D:$D, BB$6)</f>
        <v>0.110253629274602</v>
      </c>
      <c r="BC41" s="1111">
        <f>SUMIFS(NewEmisData!F:F, NewEmisData!$A:$A, $G41, NewEmisData!$B:$B, $A41, NewEmisData!$C:$C, $H41, NewEmisData!$D:$D, BC$6)</f>
        <v>5.10415619775157E-2</v>
      </c>
      <c r="BD41" s="1111">
        <f>SUMIFS(NewEmisData!G:G, NewEmisData!$A:$A, $G41, NewEmisData!$B:$B, $A41, NewEmisData!$C:$C, $H41, NewEmisData!$D:$D, BD$6)</f>
        <v>6.9684988099320805E-2</v>
      </c>
      <c r="BE41" s="1111">
        <f>SUMIFS(NewEmisData!H:H, NewEmisData!$A:$A, $G41, NewEmisData!$B:$B, $A41, NewEmisData!$C:$C, $H41, NewEmisData!$D:$D, BE$6)</f>
        <v>6.9040658676098196E-2</v>
      </c>
      <c r="BF41" s="1111">
        <f>SUMIFS(NewEmisData!I:I, NewEmisData!$A:$A, $G41, NewEmisData!$B:$B, $A41, NewEmisData!$C:$C, $H41, NewEmisData!$D:$D, BF$6)</f>
        <v>6.6765177638673803E-2</v>
      </c>
      <c r="BG41" s="1111">
        <f>SUMIFS(NewEmisData!J:J, NewEmisData!$A:$A, $G41, NewEmisData!$B:$B, $A41, NewEmisData!$C:$C, $H41, NewEmisData!$D:$D, BG$6)</f>
        <v>6.6229434848786198E-2</v>
      </c>
      <c r="BH41" s="1111">
        <f>SUMIFS(NewEmisData!K:K, NewEmisData!$A:$A, $G41, NewEmisData!$B:$B, $A41, NewEmisData!$C:$C, $H41, NewEmisData!$D:$D, BH$6)</f>
        <v>6.6102443905475594E-2</v>
      </c>
      <c r="BI41" s="1111">
        <f>SUMIFS(NewEmisData!L:L, NewEmisData!$A:$A, $G41, NewEmisData!$B:$B, $A41, NewEmisData!$C:$C, $H41, NewEmisData!$D:$D, BI$6)</f>
        <v>6.6105381584131498E-2</v>
      </c>
      <c r="BJ41" s="1111">
        <f>SUMIFS(NewEmisData!M:M, NewEmisData!$A:$A, $G41, NewEmisData!$B:$B, $A41, NewEmisData!$C:$C, $H41, NewEmisData!$D:$D, BJ$6)</f>
        <v>6.6121307340381005E-2</v>
      </c>
      <c r="BK41" s="1111">
        <f t="shared" si="75"/>
        <v>6.6121307340381005E-2</v>
      </c>
      <c r="BL41" s="1111">
        <f t="shared" si="76"/>
        <v>58.234105162975901</v>
      </c>
      <c r="BM41" s="1111">
        <f>SUMIFS(NewEmisData!E:E, NewEmisData!$A:$A, $G41, NewEmisData!$B:$B, $A41, NewEmisData!$C:$C, $H41, NewEmisData!$D:$D, BM$6)</f>
        <v>58.234105162975901</v>
      </c>
      <c r="BN41" s="1111">
        <f>SUMIFS(NewEmisData!F:F, NewEmisData!$A:$A, $G41, NewEmisData!$B:$B, $A41, NewEmisData!$C:$C, $H41, NewEmisData!$D:$D, BN$6)</f>
        <v>33.622567193752097</v>
      </c>
      <c r="BO41" s="1111">
        <f>SUMIFS(NewEmisData!G:G, NewEmisData!$A:$A, $G41, NewEmisData!$B:$B, $A41, NewEmisData!$C:$C, $H41, NewEmisData!$D:$D, BO$6)</f>
        <v>22.365559009141499</v>
      </c>
      <c r="BP41" s="1111">
        <f>SUMIFS(NewEmisData!H:H, NewEmisData!$A:$A, $G41, NewEmisData!$B:$B, $A41, NewEmisData!$C:$C, $H41, NewEmisData!$D:$D, BP$6)</f>
        <v>20.003128322257201</v>
      </c>
      <c r="BQ41" s="1111">
        <f>SUMIFS(NewEmisData!I:I, NewEmisData!$A:$A, $G41, NewEmisData!$B:$B, $A41, NewEmisData!$C:$C, $H41, NewEmisData!$D:$D, BQ$6)</f>
        <v>20.195447260462402</v>
      </c>
      <c r="BR41" s="1111">
        <f>SUMIFS(NewEmisData!J:J, NewEmisData!$A:$A, $G41, NewEmisData!$B:$B, $A41, NewEmisData!$C:$C, $H41, NewEmisData!$D:$D, BR$6)</f>
        <v>20.8243673392587</v>
      </c>
      <c r="BS41" s="1111">
        <f>SUMIFS(NewEmisData!K:K, NewEmisData!$A:$A, $G41, NewEmisData!$B:$B, $A41, NewEmisData!$C:$C, $H41, NewEmisData!$D:$D, BS$6)</f>
        <v>20.9804766424047</v>
      </c>
      <c r="BT41" s="1111">
        <f>SUMIFS(NewEmisData!L:L, NewEmisData!$A:$A, $G41, NewEmisData!$B:$B, $A41, NewEmisData!$C:$C, $H41, NewEmisData!$D:$D, BT$6)</f>
        <v>21.2133429593407</v>
      </c>
      <c r="BU41" s="1111">
        <f>SUMIFS(NewEmisData!M:M, NewEmisData!$A:$A, $G41, NewEmisData!$B:$B, $A41, NewEmisData!$C:$C, $H41, NewEmisData!$D:$D, BU$6)</f>
        <v>21.2954024378494</v>
      </c>
      <c r="BV41" s="1111">
        <f t="shared" si="83"/>
        <v>21.2954024378494</v>
      </c>
      <c r="BW41" s="1111">
        <f t="shared" si="77"/>
        <v>3.64761393243701</v>
      </c>
      <c r="BX41" s="1111">
        <f>SUMIFS(NewEmisData!E:E, NewEmisData!$A:$A, $G41, NewEmisData!$B:$B, $A41, NewEmisData!$C:$C, $H41, NewEmisData!$D:$D, BX$6)</f>
        <v>3.64761393243701</v>
      </c>
      <c r="BY41" s="1111">
        <f>SUMIFS(NewEmisData!F:F, NewEmisData!$A:$A, $G41, NewEmisData!$B:$B, $A41, NewEmisData!$C:$C, $H41, NewEmisData!$D:$D, BY$6)</f>
        <v>1.49818839927699</v>
      </c>
      <c r="BZ41" s="1111">
        <f>SUMIFS(NewEmisData!G:G, NewEmisData!$A:$A, $G41, NewEmisData!$B:$B, $A41, NewEmisData!$C:$C, $H41, NewEmisData!$D:$D, BZ$6)</f>
        <v>0.86599323443475895</v>
      </c>
      <c r="CA41" s="1111">
        <f>SUMIFS(NewEmisData!H:H, NewEmisData!$A:$A, $G41, NewEmisData!$B:$B, $A41, NewEmisData!$C:$C, $H41, NewEmisData!$D:$D, CA$6)</f>
        <v>0.66124009173105702</v>
      </c>
      <c r="CB41" s="1111">
        <f>SUMIFS(NewEmisData!I:I, NewEmisData!$A:$A, $G41, NewEmisData!$B:$B, $A41, NewEmisData!$C:$C, $H41, NewEmisData!$D:$D, CB$6)</f>
        <v>0.59061098160806302</v>
      </c>
      <c r="CC41" s="1111">
        <f>SUMIFS(NewEmisData!J:J, NewEmisData!$A:$A, $G41, NewEmisData!$B:$B, $A41, NewEmisData!$C:$C, $H41, NewEmisData!$D:$D, CC$6)</f>
        <v>0.58137460363365601</v>
      </c>
      <c r="CD41" s="1111">
        <f>SUMIFS(NewEmisData!K:K, NewEmisData!$A:$A, $G41, NewEmisData!$B:$B, $A41, NewEmisData!$C:$C, $H41, NewEmisData!$D:$D, CD$6)</f>
        <v>0.57503033366723</v>
      </c>
      <c r="CE41" s="1111">
        <f>SUMIFS(NewEmisData!L:L, NewEmisData!$A:$A, $G41, NewEmisData!$B:$B, $A41, NewEmisData!$C:$C, $H41, NewEmisData!$D:$D, CE$6)</f>
        <v>0.578080207454851</v>
      </c>
      <c r="CF41" s="1111">
        <f>SUMIFS(NewEmisData!M:M, NewEmisData!$A:$A, $G41, NewEmisData!$B:$B, $A41, NewEmisData!$C:$C, $H41, NewEmisData!$D:$D, CF$6)</f>
        <v>0.57875611374779701</v>
      </c>
      <c r="CG41" s="1111">
        <f t="shared" si="78"/>
        <v>0.57875611374779701</v>
      </c>
      <c r="CH41" s="1111">
        <f t="shared" si="79"/>
        <v>4.5387333445833802E-2</v>
      </c>
      <c r="CI41" s="1111">
        <f>SUMIFS(NewEmisData!E:E, NewEmisData!$A:$A, $G41, NewEmisData!$B:$B, $A41, NewEmisData!$C:$C, $H41, NewEmisData!$D:$D, CI$6)</f>
        <v>4.5387333445833802E-2</v>
      </c>
      <c r="CJ41" s="1111">
        <f>SUMIFS(NewEmisData!F:F, NewEmisData!$A:$A, $G41, NewEmisData!$B:$B, $A41, NewEmisData!$C:$C, $H41, NewEmisData!$D:$D, CJ$6)</f>
        <v>4.5385137405685602E-2</v>
      </c>
      <c r="CK41" s="1111">
        <f>SUMIFS(NewEmisData!G:G, NewEmisData!$A:$A, $G41, NewEmisData!$B:$B, $A41, NewEmisData!$C:$C, $H41, NewEmisData!$D:$D, CK$6)</f>
        <v>6.2585802863492496E-2</v>
      </c>
      <c r="CL41" s="1111">
        <f>SUMIFS(NewEmisData!H:H, NewEmisData!$A:$A, $G41, NewEmisData!$B:$B, $A41, NewEmisData!$C:$C, $H41, NewEmisData!$D:$D, CL$6)</f>
        <v>6.2570457425533493E-2</v>
      </c>
      <c r="CM41" s="1111">
        <f>SUMIFS(NewEmisData!I:I, NewEmisData!$A:$A, $G41, NewEmisData!$B:$B, $A41, NewEmisData!$C:$C, $H41, NewEmisData!$D:$D, CM$6)</f>
        <v>6.2526825017837198E-2</v>
      </c>
      <c r="CN41" s="1111">
        <f>SUMIFS(NewEmisData!J:J, NewEmisData!$A:$A, $G41, NewEmisData!$B:$B, $A41, NewEmisData!$C:$C, $H41, NewEmisData!$D:$D, CN$6)</f>
        <v>6.2515199827795506E-2</v>
      </c>
      <c r="CO41" s="1111">
        <f>SUMIFS(NewEmisData!K:K, NewEmisData!$A:$A, $G41, NewEmisData!$B:$B, $A41, NewEmisData!$C:$C, $H41, NewEmisData!$D:$D, CO$6)</f>
        <v>6.2512659799535894E-2</v>
      </c>
      <c r="CP41" s="1111">
        <f>SUMIFS(NewEmisData!L:L, NewEmisData!$A:$A, $G41, NewEmisData!$B:$B, $A41, NewEmisData!$C:$C, $H41, NewEmisData!$D:$D, CP$6)</f>
        <v>6.2511995706699006E-2</v>
      </c>
      <c r="CQ41" s="1111">
        <f>SUMIFS(NewEmisData!M:M, NewEmisData!$A:$A, $G41, NewEmisData!$B:$B, $A41, NewEmisData!$C:$C, $H41, NewEmisData!$D:$D, CQ$6)</f>
        <v>6.2512032461297801E-2</v>
      </c>
      <c r="CR41" s="1111">
        <f t="shared" si="80"/>
        <v>6.2512032461297801E-2</v>
      </c>
      <c r="CS41" s="1111">
        <f t="shared" si="81"/>
        <v>7.45806670433007E-2</v>
      </c>
      <c r="CT41" s="1111">
        <f>SUMIFS(NewEmisData!E:E, NewEmisData!$A:$A, $G41, NewEmisData!$B:$B, $A41, NewEmisData!$C:$C, $H41, NewEmisData!$D:$D, CT$6)</f>
        <v>7.45806670433007E-2</v>
      </c>
      <c r="CU41" s="1111">
        <f>SUMIFS(NewEmisData!F:F, NewEmisData!$A:$A, $G41, NewEmisData!$B:$B, $A41, NewEmisData!$C:$C, $H41, NewEmisData!$D:$D, CU$6)</f>
        <v>4.11694236212614E-2</v>
      </c>
      <c r="CV41" s="1111">
        <f>SUMIFS(NewEmisData!G:G, NewEmisData!$A:$A, $G41, NewEmisData!$B:$B, $A41, NewEmisData!$C:$C, $H41, NewEmisData!$D:$D, CV$6)</f>
        <v>2.8985978458602801E-2</v>
      </c>
      <c r="CW41" s="1111">
        <f>SUMIFS(NewEmisData!H:H, NewEmisData!$A:$A, $G41, NewEmisData!$B:$B, $A41, NewEmisData!$C:$C, $H41, NewEmisData!$D:$D, CW$6)</f>
        <v>2.0012914871466302E-2</v>
      </c>
      <c r="CX41" s="1111">
        <f>SUMIFS(NewEmisData!I:I, NewEmisData!$A:$A, $G41, NewEmisData!$B:$B, $A41, NewEmisData!$C:$C, $H41, NewEmisData!$D:$D, CX$6)</f>
        <v>1.70994949062814E-2</v>
      </c>
      <c r="CY41" s="1111">
        <f>SUMIFS(NewEmisData!J:J, NewEmisData!$A:$A, $G41, NewEmisData!$B:$B, $A41, NewEmisData!$C:$C, $H41, NewEmisData!$D:$D, CY$6)</f>
        <v>1.6621401634368399E-2</v>
      </c>
      <c r="CZ41" s="1111">
        <f>SUMIFS(NewEmisData!K:K, NewEmisData!$A:$A, $G41, NewEmisData!$B:$B, $A41, NewEmisData!$C:$C, $H41, NewEmisData!$D:$D, CZ$6)</f>
        <v>1.62276934153717E-2</v>
      </c>
      <c r="DA41" s="1111">
        <f>SUMIFS(NewEmisData!L:L, NewEmisData!$A:$A, $G41, NewEmisData!$B:$B, $A41, NewEmisData!$C:$C, $H41, NewEmisData!$D:$D, DA$6)</f>
        <v>1.6300252431035001E-2</v>
      </c>
      <c r="DB41" s="1111">
        <f>SUMIFS(NewEmisData!M:M, NewEmisData!$A:$A, $G41, NewEmisData!$B:$B, $A41, NewEmisData!$C:$C, $H41, NewEmisData!$D:$D, DB$6)</f>
        <v>1.6326186183154599E-2</v>
      </c>
      <c r="DC41" s="1111">
        <f t="shared" si="84"/>
        <v>1.6326186183154599E-2</v>
      </c>
      <c r="DD41" s="1111">
        <v>8.4618435807310901E-3</v>
      </c>
      <c r="DE41" s="1111">
        <v>5.582477734601141E-3</v>
      </c>
      <c r="DF41" s="1111">
        <v>3.3037857638444934E-3</v>
      </c>
      <c r="DG41" s="1111">
        <v>2.7435421434771584E-3</v>
      </c>
      <c r="DH41" s="1111">
        <v>2.6596327326652057E-3</v>
      </c>
      <c r="DI41" s="1111">
        <v>2.6810534446588602E-3</v>
      </c>
      <c r="DJ41" s="1111">
        <v>2.68992317602929E-3</v>
      </c>
      <c r="DK41" s="1111">
        <v>2.6843011275704282E-3</v>
      </c>
      <c r="DL41" s="1111">
        <v>2.693521842385466E-3</v>
      </c>
      <c r="DM41" s="1111">
        <v>2.7034957820921053E-3</v>
      </c>
      <c r="DN41" s="1111">
        <v>2.7034957820921053E-3</v>
      </c>
      <c r="DO41" s="1111">
        <v>2.733686553814714E-2</v>
      </c>
      <c r="DP41" s="1111">
        <v>1.8332271788011459E-2</v>
      </c>
      <c r="DQ41" s="1111">
        <v>1.0522373499872563E-2</v>
      </c>
      <c r="DR41" s="1111">
        <v>8.2106858583474232E-3</v>
      </c>
      <c r="DS41" s="1111">
        <v>8.1464823839333782E-3</v>
      </c>
      <c r="DT41" s="1111">
        <v>8.1548441301475764E-3</v>
      </c>
      <c r="DU41" s="1111">
        <v>8.1625855885729438E-3</v>
      </c>
      <c r="DV41" s="1111">
        <v>8.1414389894490409E-3</v>
      </c>
      <c r="DW41" s="1111">
        <v>8.1579958309337917E-3</v>
      </c>
      <c r="DX41" s="1111">
        <v>8.1758856290748885E-3</v>
      </c>
      <c r="DY41" s="1111">
        <v>8.1758856290748885E-3</v>
      </c>
      <c r="DZ41" s="1111">
        <f t="shared" si="85"/>
        <v>0.17782774655845099</v>
      </c>
      <c r="EA41" s="1111">
        <f>SUMIFS(NewEmisData!E:E, NewEmisData!$A:$A, $G41, NewEmisData!$B:$B, $A41, NewEmisData!$C:$C, $H41, NewEmisData!$D:$D, EA$6)</f>
        <v>0.17782774655845099</v>
      </c>
      <c r="EB41" s="1111">
        <f>SUMIFS(NewEmisData!F:F, NewEmisData!$A:$A, $G41, NewEmisData!$B:$B, $A41, NewEmisData!$C:$C, $H41, NewEmisData!$D:$D, EB$6)</f>
        <v>4.9445543705968001E-2</v>
      </c>
      <c r="EC41" s="1111">
        <f>SUMIFS(NewEmisData!G:G, NewEmisData!$A:$A, $G41, NewEmisData!$B:$B, $A41, NewEmisData!$C:$C, $H41, NewEmisData!$D:$D, EC$6)</f>
        <v>2.14914790323418E-2</v>
      </c>
      <c r="ED41" s="1111">
        <f>SUMIFS(NewEmisData!H:H, NewEmisData!$A:$A, $G41, NewEmisData!$B:$B, $A41, NewEmisData!$C:$C, $H41, NewEmisData!$D:$D, ED$6)</f>
        <v>1.74631086819735E-2</v>
      </c>
      <c r="EE41" s="1111">
        <f>SUMIFS(NewEmisData!I:I, NewEmisData!$A:$A, $G41, NewEmisData!$B:$B, $A41, NewEmisData!$C:$C, $H41, NewEmisData!$D:$D, EE$6)</f>
        <v>1.7306502140019699E-2</v>
      </c>
      <c r="EF41" s="1111">
        <f>SUMIFS(NewEmisData!J:J, NewEmisData!$A:$A, $G41, NewEmisData!$B:$B, $A41, NewEmisData!$C:$C, $H41, NewEmisData!$D:$D, EF$6)</f>
        <v>1.77413796860907E-2</v>
      </c>
      <c r="EG41" s="1111">
        <f>SUMIFS(NewEmisData!K:K, NewEmisData!$A:$A, $G41, NewEmisData!$B:$B, $A41, NewEmisData!$C:$C, $H41, NewEmisData!$D:$D, EG$6)</f>
        <v>1.7873917726394802E-2</v>
      </c>
      <c r="EH41" s="1111">
        <f>SUMIFS(NewEmisData!L:L, NewEmisData!$A:$A, $G41, NewEmisData!$B:$B, $A41, NewEmisData!$C:$C, $H41, NewEmisData!$D:$D, EH$6)</f>
        <v>1.8044608652160399E-2</v>
      </c>
      <c r="EI41" s="1111">
        <f>SUMIFS(NewEmisData!M:M, NewEmisData!$A:$A, $G41, NewEmisData!$B:$B, $A41, NewEmisData!$C:$C, $H41, NewEmisData!$D:$D, EI$6)</f>
        <v>1.8102357634055401E-2</v>
      </c>
      <c r="EJ41" s="1111">
        <f t="shared" si="86"/>
        <v>1.8102357634055401E-2</v>
      </c>
      <c r="EK41" s="1111">
        <f t="shared" si="87"/>
        <v>1261.7193045716699</v>
      </c>
      <c r="EL41" s="1111">
        <f t="shared" si="48"/>
        <v>1261.7193045716699</v>
      </c>
      <c r="EM41" s="1111">
        <f t="shared" si="49"/>
        <v>1249.12075772399</v>
      </c>
      <c r="EN41" s="1111">
        <f t="shared" si="50"/>
        <v>1645.5452306145801</v>
      </c>
      <c r="EO41" s="1111">
        <f t="shared" si="51"/>
        <v>1615.5067230397001</v>
      </c>
      <c r="EP41" s="1111">
        <f t="shared" si="52"/>
        <v>1561.96512576184</v>
      </c>
      <c r="EQ41" s="1111">
        <f t="shared" si="53"/>
        <v>1548.35062809069</v>
      </c>
      <c r="ER41" s="1111">
        <f t="shared" si="54"/>
        <v>1545.11245308096</v>
      </c>
      <c r="ES41" s="1111">
        <f t="shared" si="55"/>
        <v>1544.5579062120401</v>
      </c>
      <c r="ET41" s="1111">
        <f t="shared" si="56"/>
        <v>1544.55231111378</v>
      </c>
      <c r="EU41" s="1111">
        <f t="shared" si="57"/>
        <v>1544.55231111378</v>
      </c>
      <c r="EV41" s="1111">
        <f t="shared" si="88"/>
        <v>5.0421157380649202</v>
      </c>
      <c r="EW41" s="1111">
        <f t="shared" si="38"/>
        <v>5.0421157380649202</v>
      </c>
      <c r="EX41" s="1111">
        <f t="shared" si="39"/>
        <v>2.6891275593082402</v>
      </c>
      <c r="EY41" s="1111">
        <f t="shared" si="40"/>
        <v>1.59672970269866</v>
      </c>
      <c r="EZ41" s="1111">
        <f t="shared" si="41"/>
        <v>1.2533988169049</v>
      </c>
      <c r="FA41" s="1111">
        <f t="shared" si="42"/>
        <v>1.1377603861924299</v>
      </c>
      <c r="FB41" s="1111">
        <f t="shared" si="43"/>
        <v>1.11657517091755</v>
      </c>
      <c r="FC41" s="1111">
        <f t="shared" si="44"/>
        <v>1.10785037464988</v>
      </c>
      <c r="FD41" s="1111">
        <f t="shared" si="45"/>
        <v>1.10808970467776</v>
      </c>
      <c r="FE41" s="1111">
        <f t="shared" si="46"/>
        <v>1.10829058082377</v>
      </c>
      <c r="FF41" s="1111">
        <f t="shared" si="47"/>
        <v>1.10829058082377</v>
      </c>
      <c r="FG41" s="1111">
        <f t="shared" si="100"/>
        <v>2.18321680952577E-2</v>
      </c>
      <c r="FH41" s="1111">
        <f t="shared" si="101"/>
        <v>2.18321680952577E-2</v>
      </c>
      <c r="FI41" s="1111">
        <f t="shared" si="102"/>
        <v>2.1614175028351099E-2</v>
      </c>
      <c r="FJ41" s="1111">
        <f t="shared" si="103"/>
        <v>2.3606201662977298E-2</v>
      </c>
      <c r="FK41" s="1111">
        <f t="shared" si="104"/>
        <v>2.3175292056127901E-2</v>
      </c>
      <c r="FL41" s="1111">
        <f t="shared" si="105"/>
        <v>2.2407191257778802E-2</v>
      </c>
      <c r="FM41" s="1111">
        <f t="shared" si="106"/>
        <v>2.2211896644643399E-2</v>
      </c>
      <c r="FN41" s="1111">
        <f t="shared" si="107"/>
        <v>2.21654317430676E-2</v>
      </c>
      <c r="FO41" s="1111">
        <f t="shared" si="108"/>
        <v>2.21574783013113E-2</v>
      </c>
      <c r="FP41" s="1111">
        <f t="shared" si="109"/>
        <v>2.21574091915673E-2</v>
      </c>
      <c r="FQ41" s="1111">
        <f t="shared" si="110"/>
        <v>2.21574091915673E-2</v>
      </c>
      <c r="FR41" s="1111">
        <f t="shared" si="25"/>
        <v>0.37498220674272298</v>
      </c>
      <c r="FS41" s="1111">
        <f t="shared" si="26"/>
        <v>0.37498220674272298</v>
      </c>
      <c r="FT41" s="1111">
        <f t="shared" si="27"/>
        <v>0.30800096091118401</v>
      </c>
      <c r="FU41" s="1111">
        <f t="shared" si="28"/>
        <v>0.47876990917977102</v>
      </c>
      <c r="FV41" s="1111">
        <f t="shared" si="29"/>
        <v>0.47474601446343401</v>
      </c>
      <c r="FW41" s="1111">
        <f t="shared" si="30"/>
        <v>0.462592935753106</v>
      </c>
      <c r="FX41" s="1111">
        <f t="shared" si="31"/>
        <v>0.45943594701357998</v>
      </c>
      <c r="FY41" s="1111">
        <f t="shared" si="32"/>
        <v>0.45873466896290599</v>
      </c>
      <c r="FZ41" s="1111">
        <f t="shared" si="33"/>
        <v>0.45859669819349802</v>
      </c>
      <c r="GA41" s="1111">
        <f t="shared" si="34"/>
        <v>0.458612118231494</v>
      </c>
      <c r="GB41" s="1111">
        <f t="shared" si="35"/>
        <v>0.458612118231494</v>
      </c>
      <c r="GC41" s="1111">
        <f t="shared" si="59"/>
        <v>0.110253629274602</v>
      </c>
      <c r="GD41" s="1111">
        <f t="shared" si="60"/>
        <v>0.110253629274602</v>
      </c>
      <c r="GE41" s="1111">
        <f t="shared" si="61"/>
        <v>5.10415619775157E-2</v>
      </c>
      <c r="GF41" s="1111">
        <f t="shared" si="62"/>
        <v>6.9684988099320805E-2</v>
      </c>
      <c r="GG41" s="1111">
        <f t="shared" si="63"/>
        <v>6.9040658676098196E-2</v>
      </c>
      <c r="GH41" s="1111">
        <f t="shared" si="64"/>
        <v>6.6765177638673803E-2</v>
      </c>
      <c r="GI41" s="1111">
        <f t="shared" si="65"/>
        <v>6.6229434848786198E-2</v>
      </c>
      <c r="GJ41" s="1111">
        <f t="shared" si="66"/>
        <v>6.6102443905475594E-2</v>
      </c>
      <c r="GK41" s="1111">
        <f t="shared" si="67"/>
        <v>6.6105381584131498E-2</v>
      </c>
      <c r="GL41" s="1111">
        <f t="shared" si="68"/>
        <v>6.6121307340381005E-2</v>
      </c>
      <c r="GM41" s="1111">
        <f t="shared" si="69"/>
        <v>6.6121307340381005E-2</v>
      </c>
    </row>
    <row r="42" spans="1:195" x14ac:dyDescent="0.2">
      <c r="A42" s="1071" t="s">
        <v>184</v>
      </c>
      <c r="B42" s="1071" t="str">
        <f>Technologies!C136</f>
        <v>THSGSLE</v>
      </c>
      <c r="C42" s="1071" t="str">
        <f>Technologies!D136</f>
        <v>Heavy Truck, Short Haul, Gasoline exisiting</v>
      </c>
      <c r="D42" s="1071" t="str">
        <f>NewTech!D85</f>
        <v>bn-vmt, bn-vmt/a</v>
      </c>
      <c r="E42" s="1071" t="str">
        <f>Commodities!C47</f>
        <v>THGSL</v>
      </c>
      <c r="F42" s="1071" t="s">
        <v>98</v>
      </c>
      <c r="G42" s="1110" t="s">
        <v>505</v>
      </c>
      <c r="H42" s="1111" t="s">
        <v>500</v>
      </c>
      <c r="I42" s="1112">
        <v>1</v>
      </c>
      <c r="J42" s="1111" t="str">
        <f t="shared" si="37"/>
        <v>Heavy duty short haul truck-GSL</v>
      </c>
      <c r="K42" s="1111">
        <f>SUMIFS(NewEmisData!E:E, NewEmisData!$A:$A, $G42, NewEmisData!$B:$B, $A42, NewEmisData!$C:$C, $H42, NewEmisData!$D:$D, K$6)</f>
        <v>1130.1167624525301</v>
      </c>
      <c r="L42" s="1111">
        <f>SUMIFS(NewEmisData!F:F, NewEmisData!$A:$A, $G42, NewEmisData!$B:$B, $A42, NewEmisData!$C:$C, $H42, NewEmisData!$D:$D, L$6)</f>
        <v>1130.8984145920599</v>
      </c>
      <c r="M42" s="1111">
        <f>SUMIFS(NewEmisData!G:G, NewEmisData!$A:$A, $G42, NewEmisData!$B:$B, $A42, NewEmisData!$C:$C, $H42, NewEmisData!$D:$D, M$6)</f>
        <v>1405.3513402599599</v>
      </c>
      <c r="N42" s="1111">
        <f>SUMIFS(NewEmisData!H:H, NewEmisData!$A:$A, $G42, NewEmisData!$B:$B, $A42, NewEmisData!$C:$C, $H42, NewEmisData!$D:$D, N$6)</f>
        <v>1379.6052405171799</v>
      </c>
      <c r="O42" s="1111">
        <f>SUMIFS(NewEmisData!I:I, NewEmisData!$A:$A, $G42, NewEmisData!$B:$B, $A42, NewEmisData!$C:$C, $H42, NewEmisData!$D:$D, O$6)</f>
        <v>1334.4147184286501</v>
      </c>
      <c r="P42" s="1111">
        <f>SUMIFS(NewEmisData!J:J, NewEmisData!$A:$A, $G42, NewEmisData!$B:$B, $A42, NewEmisData!$C:$C, $H42, NewEmisData!$D:$D, P$6)</f>
        <v>1322.9454628220101</v>
      </c>
      <c r="Q42" s="1111">
        <f>SUMIFS(NewEmisData!K:K, NewEmisData!$A:$A, $G42, NewEmisData!$B:$B, $A42, NewEmisData!$C:$C, $H42, NewEmisData!$D:$D, Q$6)</f>
        <v>1320.2157375614299</v>
      </c>
      <c r="R42" s="1111">
        <f>SUMIFS(NewEmisData!L:L, NewEmisData!$A:$A, $G42, NewEmisData!$B:$B, $A42, NewEmisData!$C:$C, $H42, NewEmisData!$D:$D, R$6)</f>
        <v>1319.7277214958499</v>
      </c>
      <c r="S42" s="1111">
        <f>SUMIFS(NewEmisData!M:M, NewEmisData!$A:$A, $G42, NewEmisData!$B:$B, $A42, NewEmisData!$C:$C, $H42, NewEmisData!$D:$D, S$6)</f>
        <v>1319.71246990391</v>
      </c>
      <c r="T42" s="1111">
        <f t="shared" si="17"/>
        <v>1319.71246990391</v>
      </c>
      <c r="U42" s="1111">
        <f>SUMIFS(NewEmisData!E:E, NewEmisData!$A:$A, $G42, NewEmisData!$B:$B, $A42, NewEmisData!$C:$C, $H42, NewEmisData!$D:$D, U$6)</f>
        <v>4.0566113456988298</v>
      </c>
      <c r="V42" s="1111">
        <f>SUMIFS(NewEmisData!F:F, NewEmisData!$A:$A, $G42, NewEmisData!$B:$B, $A42, NewEmisData!$C:$C, $H42, NewEmisData!$D:$D, V$6)</f>
        <v>2.5724270871349901</v>
      </c>
      <c r="W42" s="1111">
        <f>SUMIFS(NewEmisData!G:G, NewEmisData!$A:$A, $G42, NewEmisData!$B:$B, $A42, NewEmisData!$C:$C, $H42, NewEmisData!$D:$D, W$6)</f>
        <v>1.4424895677524801</v>
      </c>
      <c r="X42" s="1111">
        <f>SUMIFS(NewEmisData!H:H, NewEmisData!$A:$A, $G42, NewEmisData!$B:$B, $A42, NewEmisData!$C:$C, $H42, NewEmisData!$D:$D, X$6)</f>
        <v>1.13924742539507</v>
      </c>
      <c r="Y42" s="1111">
        <f>SUMIFS(NewEmisData!I:I, NewEmisData!$A:$A, $G42, NewEmisData!$B:$B, $A42, NewEmisData!$C:$C, $H42, NewEmisData!$D:$D, Y$6)</f>
        <v>1.03965564636638</v>
      </c>
      <c r="Z42" s="1111">
        <f>SUMIFS(NewEmisData!J:J, NewEmisData!$A:$A, $G42, NewEmisData!$B:$B, $A42, NewEmisData!$C:$C, $H42, NewEmisData!$D:$D, Z$6)</f>
        <v>1.02198349229239</v>
      </c>
      <c r="AA42" s="1111">
        <f>SUMIFS(NewEmisData!K:K, NewEmisData!$A:$A, $G42, NewEmisData!$B:$B, $A42, NewEmisData!$C:$C, $H42, NewEmisData!$D:$D, AA$6)</f>
        <v>1.0148563657413801</v>
      </c>
      <c r="AB42" s="1111">
        <f>SUMIFS(NewEmisData!L:L, NewEmisData!$A:$A, $G42, NewEmisData!$B:$B, $A42, NewEmisData!$C:$C, $H42, NewEmisData!$D:$D, AB$6)</f>
        <v>1.01503532465236</v>
      </c>
      <c r="AC42" s="1111">
        <f>SUMIFS(NewEmisData!M:M, NewEmisData!$A:$A, $G42, NewEmisData!$B:$B, $A42, NewEmisData!$C:$C, $H42, NewEmisData!$D:$D, AC$6)</f>
        <v>1.0151899457145299</v>
      </c>
      <c r="AD42" s="1111">
        <f t="shared" si="18"/>
        <v>1.0151899457145299</v>
      </c>
      <c r="AE42" s="1111">
        <f t="shared" si="70"/>
        <v>1.9554990283156898E-2</v>
      </c>
      <c r="AF42" s="1111">
        <f>SUMIFS(NewEmisData!E:E, NewEmisData!$A:$A, $G42, NewEmisData!$B:$B, $A42, NewEmisData!$C:$C, $H42, NewEmisData!$D:$D, AF$6)</f>
        <v>1.9554990283156898E-2</v>
      </c>
      <c r="AG42" s="1111">
        <f>SUMIFS(NewEmisData!F:F, NewEmisData!$A:$A, $G42, NewEmisData!$B:$B, $A42, NewEmisData!$C:$C, $H42, NewEmisData!$D:$D, AG$6)</f>
        <v>1.95685182638505E-2</v>
      </c>
      <c r="AH42" s="1111">
        <f>SUMIFS(NewEmisData!G:G, NewEmisData!$A:$A, $G42, NewEmisData!$B:$B, $A42, NewEmisData!$C:$C, $H42, NewEmisData!$D:$D, AH$6)</f>
        <v>2.01604922584692E-2</v>
      </c>
      <c r="AI42" s="1111">
        <f>SUMIFS(NewEmisData!H:H, NewEmisData!$A:$A, $G42, NewEmisData!$B:$B, $A42, NewEmisData!$C:$C, $H42, NewEmisData!$D:$D, AI$6)</f>
        <v>1.97911521572584E-2</v>
      </c>
      <c r="AJ42" s="1111">
        <f>SUMIFS(NewEmisData!I:I, NewEmisData!$A:$A, $G42, NewEmisData!$B:$B, $A42, NewEmisData!$C:$C, $H42, NewEmisData!$D:$D, AJ$6)</f>
        <v>1.9142873562620798E-2</v>
      </c>
      <c r="AK42" s="1111">
        <f>SUMIFS(NewEmisData!J:J, NewEmisData!$A:$A, $G42, NewEmisData!$B:$B, $A42, NewEmisData!$C:$C, $H42, NewEmisData!$D:$D, AK$6)</f>
        <v>1.89783356086532E-2</v>
      </c>
      <c r="AL42" s="1111">
        <f>SUMIFS(NewEmisData!K:K, NewEmisData!$A:$A, $G42, NewEmisData!$B:$B, $A42, NewEmisData!$C:$C, $H42, NewEmisData!$D:$D, AL$6)</f>
        <v>1.8939180344523601E-2</v>
      </c>
      <c r="AM42" s="1111">
        <f>SUMIFS(NewEmisData!L:L, NewEmisData!$A:$A, $G42, NewEmisData!$B:$B, $A42, NewEmisData!$C:$C, $H42, NewEmisData!$D:$D, AM$6)</f>
        <v>1.8932175415884701E-2</v>
      </c>
      <c r="AN42" s="1111">
        <f>SUMIFS(NewEmisData!M:M, NewEmisData!$A:$A, $G42, NewEmisData!$B:$B, $A42, NewEmisData!$C:$C, $H42, NewEmisData!$D:$D, AN$6)</f>
        <v>1.89319567223225E-2</v>
      </c>
      <c r="AO42" s="1111">
        <f t="shared" si="71"/>
        <v>1.89319567223225E-2</v>
      </c>
      <c r="AP42" s="1111">
        <f t="shared" si="72"/>
        <v>0.25577646184958402</v>
      </c>
      <c r="AQ42" s="1111">
        <f>SUMIFS(NewEmisData!E:E, NewEmisData!$A:$A, $G42, NewEmisData!$B:$B, $A42, NewEmisData!$C:$C, $H42, NewEmisData!$D:$D, AQ$6)</f>
        <v>0.25577646184958402</v>
      </c>
      <c r="AR42" s="1111">
        <f>SUMIFS(NewEmisData!F:F, NewEmisData!$A:$A, $G42, NewEmisData!$B:$B, $A42, NewEmisData!$C:$C, $H42, NewEmisData!$D:$D, AR$6)</f>
        <v>0.23859206785442999</v>
      </c>
      <c r="AS42" s="1111">
        <f>SUMIFS(NewEmisData!G:G, NewEmisData!$A:$A, $G42, NewEmisData!$B:$B, $A42, NewEmisData!$C:$C, $H42, NewEmisData!$D:$D, AS$6)</f>
        <v>0.351764857744302</v>
      </c>
      <c r="AT42" s="1111">
        <f>SUMIFS(NewEmisData!H:H, NewEmisData!$A:$A, $G42, NewEmisData!$B:$B, $A42, NewEmisData!$C:$C, $H42, NewEmisData!$D:$D, AT$6)</f>
        <v>0.34931824303782499</v>
      </c>
      <c r="AU42" s="1111">
        <f>SUMIFS(NewEmisData!I:I, NewEmisData!$A:$A, $G42, NewEmisData!$B:$B, $A42, NewEmisData!$C:$C, $H42, NewEmisData!$D:$D, AU$6)</f>
        <v>0.34154946312290901</v>
      </c>
      <c r="AV42" s="1111">
        <f>SUMIFS(NewEmisData!J:J, NewEmisData!$A:$A, $G42, NewEmisData!$B:$B, $A42, NewEmisData!$C:$C, $H42, NewEmisData!$D:$D, AV$6)</f>
        <v>0.33956199269290699</v>
      </c>
      <c r="AW42" s="1111">
        <f>SUMIFS(NewEmisData!K:K, NewEmisData!$A:$A, $G42, NewEmisData!$B:$B, $A42, NewEmisData!$C:$C, $H42, NewEmisData!$D:$D, AW$6)</f>
        <v>0.33912280958847202</v>
      </c>
      <c r="AX42" s="1111">
        <f>SUMIFS(NewEmisData!L:L, NewEmisData!$A:$A, $G42, NewEmisData!$B:$B, $A42, NewEmisData!$C:$C, $H42, NewEmisData!$D:$D, AX$6)</f>
        <v>0.33904138785011401</v>
      </c>
      <c r="AY42" s="1111">
        <f>SUMIFS(NewEmisData!M:M, NewEmisData!$A:$A, $G42, NewEmisData!$B:$B, $A42, NewEmisData!$C:$C, $H42, NewEmisData!$D:$D, AY$6)</f>
        <v>0.33905343527213999</v>
      </c>
      <c r="AZ42" s="1111">
        <f t="shared" si="73"/>
        <v>0.33905343527213999</v>
      </c>
      <c r="BA42" s="1111">
        <f t="shared" si="74"/>
        <v>5.4814467904693999E-2</v>
      </c>
      <c r="BB42" s="1111">
        <f>SUMIFS(NewEmisData!E:E, NewEmisData!$A:$A, $G42, NewEmisData!$B:$B, $A42, NewEmisData!$C:$C, $H42, NewEmisData!$D:$D, BB$6)</f>
        <v>5.4814467904693999E-2</v>
      </c>
      <c r="BC42" s="1111">
        <f>SUMIFS(NewEmisData!F:F, NewEmisData!$A:$A, $G42, NewEmisData!$B:$B, $A42, NewEmisData!$C:$C, $H42, NewEmisData!$D:$D, BC$6)</f>
        <v>3.9660843522864801E-2</v>
      </c>
      <c r="BD42" s="1111">
        <f>SUMIFS(NewEmisData!G:G, NewEmisData!$A:$A, $G42, NewEmisData!$B:$B, $A42, NewEmisData!$C:$C, $H42, NewEmisData!$D:$D, BD$6)</f>
        <v>5.2889801360665199E-2</v>
      </c>
      <c r="BE42" s="1111">
        <f>SUMIFS(NewEmisData!H:H, NewEmisData!$A:$A, $G42, NewEmisData!$B:$B, $A42, NewEmisData!$C:$C, $H42, NewEmisData!$D:$D, BE$6)</f>
        <v>5.2551386947303103E-2</v>
      </c>
      <c r="BF42" s="1111">
        <f>SUMIFS(NewEmisData!I:I, NewEmisData!$A:$A, $G42, NewEmisData!$B:$B, $A42, NewEmisData!$C:$C, $H42, NewEmisData!$D:$D, BF$6)</f>
        <v>5.0945334073008497E-2</v>
      </c>
      <c r="BG42" s="1111">
        <f>SUMIFS(NewEmisData!J:J, NewEmisData!$A:$A, $G42, NewEmisData!$B:$B, $A42, NewEmisData!$C:$C, $H42, NewEmisData!$D:$D, BG$6)</f>
        <v>5.0580577350149397E-2</v>
      </c>
      <c r="BH42" s="1111">
        <f>SUMIFS(NewEmisData!K:K, NewEmisData!$A:$A, $G42, NewEmisData!$B:$B, $A42, NewEmisData!$C:$C, $H42, NewEmisData!$D:$D, BH$6)</f>
        <v>5.0495841537682197E-2</v>
      </c>
      <c r="BI42" s="1111">
        <f>SUMIFS(NewEmisData!L:L, NewEmisData!$A:$A, $G42, NewEmisData!$B:$B, $A42, NewEmisData!$C:$C, $H42, NewEmisData!$D:$D, BI$6)</f>
        <v>5.0500593811481399E-2</v>
      </c>
      <c r="BJ42" s="1111">
        <f>SUMIFS(NewEmisData!M:M, NewEmisData!$A:$A, $G42, NewEmisData!$B:$B, $A42, NewEmisData!$C:$C, $H42, NewEmisData!$D:$D, BJ$6)</f>
        <v>5.0513012114000298E-2</v>
      </c>
      <c r="BK42" s="1111">
        <f t="shared" si="75"/>
        <v>5.0513012114000298E-2</v>
      </c>
      <c r="BL42" s="1111">
        <f t="shared" si="76"/>
        <v>32.184051509772999</v>
      </c>
      <c r="BM42" s="1111">
        <f>SUMIFS(NewEmisData!E:E, NewEmisData!$A:$A, $G42, NewEmisData!$B:$B, $A42, NewEmisData!$C:$C, $H42, NewEmisData!$D:$D, BM$6)</f>
        <v>32.184051509772999</v>
      </c>
      <c r="BN42" s="1111">
        <f>SUMIFS(NewEmisData!F:F, NewEmisData!$A:$A, $G42, NewEmisData!$B:$B, $A42, NewEmisData!$C:$C, $H42, NewEmisData!$D:$D, BN$6)</f>
        <v>25.790545556992701</v>
      </c>
      <c r="BO42" s="1111">
        <f>SUMIFS(NewEmisData!G:G, NewEmisData!$A:$A, $G42, NewEmisData!$B:$B, $A42, NewEmisData!$C:$C, $H42, NewEmisData!$D:$D, BO$6)</f>
        <v>17.593987471051999</v>
      </c>
      <c r="BP42" s="1111">
        <f>SUMIFS(NewEmisData!H:H, NewEmisData!$A:$A, $G42, NewEmisData!$B:$B, $A42, NewEmisData!$C:$C, $H42, NewEmisData!$D:$D, BP$6)</f>
        <v>15.548032809457499</v>
      </c>
      <c r="BQ42" s="1111">
        <f>SUMIFS(NewEmisData!I:I, NewEmisData!$A:$A, $G42, NewEmisData!$B:$B, $A42, NewEmisData!$C:$C, $H42, NewEmisData!$D:$D, BQ$6)</f>
        <v>15.5605262464888</v>
      </c>
      <c r="BR42" s="1111">
        <f>SUMIFS(NewEmisData!J:J, NewEmisData!$A:$A, $G42, NewEmisData!$B:$B, $A42, NewEmisData!$C:$C, $H42, NewEmisData!$D:$D, BR$6)</f>
        <v>15.9871963814061</v>
      </c>
      <c r="BS42" s="1111">
        <f>SUMIFS(NewEmisData!K:K, NewEmisData!$A:$A, $G42, NewEmisData!$B:$B, $A42, NewEmisData!$C:$C, $H42, NewEmisData!$D:$D, BS$6)</f>
        <v>16.091605975104901</v>
      </c>
      <c r="BT42" s="1111">
        <f>SUMIFS(NewEmisData!L:L, NewEmisData!$A:$A, $G42, NewEmisData!$B:$B, $A42, NewEmisData!$C:$C, $H42, NewEmisData!$D:$D, BT$6)</f>
        <v>16.2582160020517</v>
      </c>
      <c r="BU42" s="1111">
        <f>SUMIFS(NewEmisData!M:M, NewEmisData!$A:$A, $G42, NewEmisData!$B:$B, $A42, NewEmisData!$C:$C, $H42, NewEmisData!$D:$D, BU$6)</f>
        <v>16.317714638715799</v>
      </c>
      <c r="BV42" s="1111">
        <f t="shared" si="83"/>
        <v>16.317714638715799</v>
      </c>
      <c r="BW42" s="1111">
        <f t="shared" si="77"/>
        <v>1.6076832062105699</v>
      </c>
      <c r="BX42" s="1111">
        <f>SUMIFS(NewEmisData!E:E, NewEmisData!$A:$A, $G42, NewEmisData!$B:$B, $A42, NewEmisData!$C:$C, $H42, NewEmisData!$D:$D, BX$6)</f>
        <v>1.6076832062105699</v>
      </c>
      <c r="BY42" s="1111">
        <f>SUMIFS(NewEmisData!F:F, NewEmisData!$A:$A, $G42, NewEmisData!$B:$B, $A42, NewEmisData!$C:$C, $H42, NewEmisData!$D:$D, BY$6)</f>
        <v>1.07737691728375</v>
      </c>
      <c r="BZ42" s="1111">
        <f>SUMIFS(NewEmisData!G:G, NewEmisData!$A:$A, $G42, NewEmisData!$B:$B, $A42, NewEmisData!$C:$C, $H42, NewEmisData!$D:$D, BZ$6)</f>
        <v>0.66089486679656995</v>
      </c>
      <c r="CA42" s="1111">
        <f>SUMIFS(NewEmisData!H:H, NewEmisData!$A:$A, $G42, NewEmisData!$B:$B, $A42, NewEmisData!$C:$C, $H42, NewEmisData!$D:$D, CA$6)</f>
        <v>0.50665329469086795</v>
      </c>
      <c r="CB42" s="1111">
        <f>SUMIFS(NewEmisData!I:I, NewEmisData!$A:$A, $G42, NewEmisData!$B:$B, $A42, NewEmisData!$C:$C, $H42, NewEmisData!$D:$D, CB$6)</f>
        <v>0.45395027729947901</v>
      </c>
      <c r="CC42" s="1111">
        <f>SUMIFS(NewEmisData!J:J, NewEmisData!$A:$A, $G42, NewEmisData!$B:$B, $A42, NewEmisData!$C:$C, $H42, NewEmisData!$D:$D, CC$6)</f>
        <v>0.44710959546622903</v>
      </c>
      <c r="CD42" s="1111">
        <f>SUMIFS(NewEmisData!K:K, NewEmisData!$A:$A, $G42, NewEmisData!$B:$B, $A42, NewEmisData!$C:$C, $H42, NewEmisData!$D:$D, CD$6)</f>
        <v>0.44246515211993698</v>
      </c>
      <c r="CE42" s="1111">
        <f>SUMIFS(NewEmisData!L:L, NewEmisData!$A:$A, $G42, NewEmisData!$B:$B, $A42, NewEmisData!$C:$C, $H42, NewEmisData!$D:$D, CE$6)</f>
        <v>0.44466448973498501</v>
      </c>
      <c r="CF42" s="1111">
        <f>SUMIFS(NewEmisData!M:M, NewEmisData!$A:$A, $G42, NewEmisData!$B:$B, $A42, NewEmisData!$C:$C, $H42, NewEmisData!$D:$D, CF$6)</f>
        <v>0.44515250539012002</v>
      </c>
      <c r="CG42" s="1111">
        <f t="shared" si="78"/>
        <v>0.44515250539012002</v>
      </c>
      <c r="CH42" s="1111">
        <f t="shared" si="79"/>
        <v>4.3399422117819303E-2</v>
      </c>
      <c r="CI42" s="1111">
        <f>SUMIFS(NewEmisData!E:E, NewEmisData!$A:$A, $G42, NewEmisData!$B:$B, $A42, NewEmisData!$C:$C, $H42, NewEmisData!$D:$D, CI$6)</f>
        <v>4.3399422117819303E-2</v>
      </c>
      <c r="CJ42" s="1111">
        <f>SUMIFS(NewEmisData!F:F, NewEmisData!$A:$A, $G42, NewEmisData!$B:$B, $A42, NewEmisData!$C:$C, $H42, NewEmisData!$D:$D, CJ$6)</f>
        <v>4.3400015102987403E-2</v>
      </c>
      <c r="CK42" s="1111">
        <f>SUMIFS(NewEmisData!G:G, NewEmisData!$A:$A, $G42, NewEmisData!$B:$B, $A42, NewEmisData!$C:$C, $H42, NewEmisData!$D:$D, CK$6)</f>
        <v>5.51180775849354E-2</v>
      </c>
      <c r="CL42" s="1111">
        <f>SUMIFS(NewEmisData!H:H, NewEmisData!$A:$A, $G42, NewEmisData!$B:$B, $A42, NewEmisData!$C:$C, $H42, NewEmisData!$D:$D, CL$6)</f>
        <v>5.5092760124654402E-2</v>
      </c>
      <c r="CM42" s="1111">
        <f>SUMIFS(NewEmisData!I:I, NewEmisData!$A:$A, $G42, NewEmisData!$B:$B, $A42, NewEmisData!$C:$C, $H42, NewEmisData!$D:$D, CM$6)</f>
        <v>5.5018575060889002E-2</v>
      </c>
      <c r="CN42" s="1111">
        <f>SUMIFS(NewEmisData!J:J, NewEmisData!$A:$A, $G42, NewEmisData!$B:$B, $A42, NewEmisData!$C:$C, $H42, NewEmisData!$D:$D, CN$6)</f>
        <v>5.4999024433032603E-2</v>
      </c>
      <c r="CO42" s="1111">
        <f>SUMIFS(NewEmisData!K:K, NewEmisData!$A:$A, $G42, NewEmisData!$B:$B, $A42, NewEmisData!$C:$C, $H42, NewEmisData!$D:$D, CO$6)</f>
        <v>5.49947267932255E-2</v>
      </c>
      <c r="CP42" s="1111">
        <f>SUMIFS(NewEmisData!L:L, NewEmisData!$A:$A, $G42, NewEmisData!$B:$B, $A42, NewEmisData!$C:$C, $H42, NewEmisData!$D:$D, CP$6)</f>
        <v>5.4993686114600697E-2</v>
      </c>
      <c r="CQ42" s="1111">
        <f>SUMIFS(NewEmisData!M:M, NewEmisData!$A:$A, $G42, NewEmisData!$B:$B, $A42, NewEmisData!$C:$C, $H42, NewEmisData!$D:$D, CQ$6)</f>
        <v>5.4993670901738401E-2</v>
      </c>
      <c r="CR42" s="1111">
        <f t="shared" si="80"/>
        <v>5.4993670901738401E-2</v>
      </c>
      <c r="CS42" s="1111">
        <f t="shared" si="81"/>
        <v>4.2091134803139398E-2</v>
      </c>
      <c r="CT42" s="1111">
        <f>SUMIFS(NewEmisData!E:E, NewEmisData!$A:$A, $G42, NewEmisData!$B:$B, $A42, NewEmisData!$C:$C, $H42, NewEmisData!$D:$D, CT$6)</f>
        <v>4.2091134803139398E-2</v>
      </c>
      <c r="CU42" s="1111">
        <f>SUMIFS(NewEmisData!F:F, NewEmisData!$A:$A, $G42, NewEmisData!$B:$B, $A42, NewEmisData!$C:$C, $H42, NewEmisData!$D:$D, CU$6)</f>
        <v>2.9413368678447099E-2</v>
      </c>
      <c r="CV42" s="1111">
        <f>SUMIFS(NewEmisData!G:G, NewEmisData!$A:$A, $G42, NewEmisData!$B:$B, $A42, NewEmisData!$C:$C, $H42, NewEmisData!$D:$D, CV$6)</f>
        <v>2.1908117014146501E-2</v>
      </c>
      <c r="CW42" s="1111">
        <f>SUMIFS(NewEmisData!H:H, NewEmisData!$A:$A, $G42, NewEmisData!$B:$B, $A42, NewEmisData!$C:$C, $H42, NewEmisData!$D:$D, CW$6)</f>
        <v>1.51235650548124E-2</v>
      </c>
      <c r="CX42" s="1111">
        <f>SUMIFS(NewEmisData!I:I, NewEmisData!$A:$A, $G42, NewEmisData!$B:$B, $A42, NewEmisData!$C:$C, $H42, NewEmisData!$D:$D, CX$6)</f>
        <v>1.29093526067743E-2</v>
      </c>
      <c r="CY42" s="1111">
        <f>SUMIFS(NewEmisData!J:J, NewEmisData!$A:$A, $G42, NewEmisData!$B:$B, $A42, NewEmisData!$C:$C, $H42, NewEmisData!$D:$D, CY$6)</f>
        <v>1.25399672188876E-2</v>
      </c>
      <c r="CZ42" s="1111">
        <f>SUMIFS(NewEmisData!K:K, NewEmisData!$A:$A, $G42, NewEmisData!$B:$B, $A42, NewEmisData!$C:$C, $H42, NewEmisData!$D:$D, CZ$6)</f>
        <v>1.2248391252448299E-2</v>
      </c>
      <c r="DA42" s="1111">
        <f>SUMIFS(NewEmisData!L:L, NewEmisData!$A:$A, $G42, NewEmisData!$B:$B, $A42, NewEmisData!$C:$C, $H42, NewEmisData!$D:$D, DA$6)</f>
        <v>1.22999318738547E-2</v>
      </c>
      <c r="DB42" s="1111">
        <f>SUMIFS(NewEmisData!M:M, NewEmisData!$A:$A, $G42, NewEmisData!$B:$B, $A42, NewEmisData!$C:$C, $H42, NewEmisData!$D:$D, DB$6)</f>
        <v>1.23186618660251E-2</v>
      </c>
      <c r="DC42" s="1111">
        <f t="shared" si="84"/>
        <v>1.23186618660251E-2</v>
      </c>
      <c r="DD42" s="1111"/>
      <c r="DE42" s="1111"/>
      <c r="DF42" s="1111"/>
      <c r="DG42" s="1111"/>
      <c r="DH42" s="1111"/>
      <c r="DI42" s="1111"/>
      <c r="DJ42" s="1111"/>
      <c r="DK42" s="1111"/>
      <c r="DL42" s="1111"/>
      <c r="DM42" s="1111"/>
      <c r="DN42" s="1111"/>
      <c r="DO42" s="1111"/>
      <c r="DP42" s="1111"/>
      <c r="DQ42" s="1111"/>
      <c r="DR42" s="1111"/>
      <c r="DS42" s="1111"/>
      <c r="DT42" s="1111"/>
      <c r="DU42" s="1111"/>
      <c r="DV42" s="1111"/>
      <c r="DW42" s="1111"/>
      <c r="DX42" s="1111"/>
      <c r="DY42" s="1111"/>
      <c r="DZ42" s="1111">
        <f t="shared" si="85"/>
        <v>5.7853229299281397E-2</v>
      </c>
      <c r="EA42" s="1111">
        <f>SUMIFS(NewEmisData!E:E, NewEmisData!$A:$A, $G42, NewEmisData!$B:$B, $A42, NewEmisData!$C:$C, $H42, NewEmisData!$D:$D, EA$6)</f>
        <v>5.7853229299281397E-2</v>
      </c>
      <c r="EB42" s="1111">
        <f>SUMIFS(NewEmisData!F:F, NewEmisData!$A:$A, $G42, NewEmisData!$B:$B, $A42, NewEmisData!$C:$C, $H42, NewEmisData!$D:$D, EB$6)</f>
        <v>2.9073352809047302E-2</v>
      </c>
      <c r="EC42" s="1111">
        <f>SUMIFS(NewEmisData!G:G, NewEmisData!$A:$A, $G42, NewEmisData!$B:$B, $A42, NewEmisData!$C:$C, $H42, NewEmisData!$D:$D, EC$6)</f>
        <v>1.58088583493518E-2</v>
      </c>
      <c r="ED42" s="1111">
        <f>SUMIFS(NewEmisData!H:H, NewEmisData!$A:$A, $G42, NewEmisData!$B:$B, $A42, NewEmisData!$C:$C, $H42, NewEmisData!$D:$D, ED$6)</f>
        <v>1.27598175965856E-2</v>
      </c>
      <c r="EE42" s="1111">
        <f>SUMIFS(NewEmisData!I:I, NewEmisData!$A:$A, $G42, NewEmisData!$B:$B, $A42, NewEmisData!$C:$C, $H42, NewEmisData!$D:$D, EE$6)</f>
        <v>1.25765761718582E-2</v>
      </c>
      <c r="EF42" s="1111">
        <f>SUMIFS(NewEmisData!J:J, NewEmisData!$A:$A, $G42, NewEmisData!$B:$B, $A42, NewEmisData!$C:$C, $H42, NewEmisData!$D:$D, EF$6)</f>
        <v>1.28662791289052E-2</v>
      </c>
      <c r="EG42" s="1111">
        <f>SUMIFS(NewEmisData!K:K, NewEmisData!$A:$A, $G42, NewEmisData!$B:$B, $A42, NewEmisData!$C:$C, $H42, NewEmisData!$D:$D, EG$6)</f>
        <v>1.2955321110398099E-2</v>
      </c>
      <c r="EH42" s="1111">
        <f>SUMIFS(NewEmisData!L:L, NewEmisData!$A:$A, $G42, NewEmisData!$B:$B, $A42, NewEmisData!$C:$C, $H42, NewEmisData!$D:$D, EH$6)</f>
        <v>1.30753171444039E-2</v>
      </c>
      <c r="EI42" s="1111">
        <f>SUMIFS(NewEmisData!M:M, NewEmisData!$A:$A, $G42, NewEmisData!$B:$B, $A42, NewEmisData!$C:$C, $H42, NewEmisData!$D:$D, EI$6)</f>
        <v>1.31164603255322E-2</v>
      </c>
      <c r="EJ42" s="1111">
        <f t="shared" si="86"/>
        <v>1.31164603255322E-2</v>
      </c>
      <c r="EK42" s="1111">
        <f t="shared" si="87"/>
        <v>1130.1167624525301</v>
      </c>
      <c r="EL42" s="1111">
        <f t="shared" si="48"/>
        <v>1130.1167624525301</v>
      </c>
      <c r="EM42" s="1111">
        <f t="shared" si="49"/>
        <v>1130.8984145920599</v>
      </c>
      <c r="EN42" s="1111">
        <f t="shared" si="50"/>
        <v>1405.3513402599599</v>
      </c>
      <c r="EO42" s="1111">
        <f t="shared" si="51"/>
        <v>1379.6052405171799</v>
      </c>
      <c r="EP42" s="1111">
        <f t="shared" si="52"/>
        <v>1334.4147184286501</v>
      </c>
      <c r="EQ42" s="1111">
        <f t="shared" si="53"/>
        <v>1322.9454628220101</v>
      </c>
      <c r="ER42" s="1111">
        <f t="shared" si="54"/>
        <v>1320.2157375614299</v>
      </c>
      <c r="ES42" s="1111">
        <f t="shared" si="55"/>
        <v>1319.7277214958499</v>
      </c>
      <c r="ET42" s="1111">
        <f t="shared" si="56"/>
        <v>1319.71246990391</v>
      </c>
      <c r="EU42" s="1111">
        <f t="shared" si="57"/>
        <v>1319.71246990391</v>
      </c>
      <c r="EV42" s="1111">
        <f t="shared" si="88"/>
        <v>4.0566113456988298</v>
      </c>
      <c r="EW42" s="1111">
        <f t="shared" si="38"/>
        <v>4.0566113456988298</v>
      </c>
      <c r="EX42" s="1111">
        <f t="shared" si="39"/>
        <v>2.5724270871349901</v>
      </c>
      <c r="EY42" s="1111">
        <f t="shared" si="40"/>
        <v>1.4424895677524801</v>
      </c>
      <c r="EZ42" s="1111">
        <f t="shared" si="41"/>
        <v>1.13924742539507</v>
      </c>
      <c r="FA42" s="1111">
        <f t="shared" si="42"/>
        <v>1.03965564636638</v>
      </c>
      <c r="FB42" s="1111">
        <f t="shared" si="43"/>
        <v>1.02198349229239</v>
      </c>
      <c r="FC42" s="1111">
        <f t="shared" si="44"/>
        <v>1.0148563657413801</v>
      </c>
      <c r="FD42" s="1111">
        <f t="shared" si="45"/>
        <v>1.01503532465236</v>
      </c>
      <c r="FE42" s="1111">
        <f t="shared" si="46"/>
        <v>1.0151899457145299</v>
      </c>
      <c r="FF42" s="1111">
        <f t="shared" si="47"/>
        <v>1.0151899457145299</v>
      </c>
      <c r="FG42" s="1111">
        <f t="shared" si="100"/>
        <v>1.9554990283156898E-2</v>
      </c>
      <c r="FH42" s="1111">
        <f t="shared" si="101"/>
        <v>1.9554990283156898E-2</v>
      </c>
      <c r="FI42" s="1111">
        <f t="shared" si="102"/>
        <v>1.95685182638505E-2</v>
      </c>
      <c r="FJ42" s="1111">
        <f t="shared" si="103"/>
        <v>2.01604922584692E-2</v>
      </c>
      <c r="FK42" s="1111">
        <f t="shared" si="104"/>
        <v>1.97911521572584E-2</v>
      </c>
      <c r="FL42" s="1111">
        <f t="shared" si="105"/>
        <v>1.9142873562620798E-2</v>
      </c>
      <c r="FM42" s="1111">
        <f t="shared" si="106"/>
        <v>1.89783356086532E-2</v>
      </c>
      <c r="FN42" s="1111">
        <f t="shared" si="107"/>
        <v>1.8939180344523601E-2</v>
      </c>
      <c r="FO42" s="1111">
        <f t="shared" si="108"/>
        <v>1.8932175415884701E-2</v>
      </c>
      <c r="FP42" s="1111">
        <f t="shared" si="109"/>
        <v>1.89319567223225E-2</v>
      </c>
      <c r="FQ42" s="1111">
        <f t="shared" si="110"/>
        <v>1.89319567223225E-2</v>
      </c>
      <c r="FR42" s="1111">
        <f t="shared" si="25"/>
        <v>0.25577646184958402</v>
      </c>
      <c r="FS42" s="1111">
        <f t="shared" si="26"/>
        <v>0.25577646184958402</v>
      </c>
      <c r="FT42" s="1111">
        <f t="shared" si="27"/>
        <v>0.23859206785442999</v>
      </c>
      <c r="FU42" s="1111">
        <f t="shared" si="28"/>
        <v>0.351764857744302</v>
      </c>
      <c r="FV42" s="1111">
        <f t="shared" si="29"/>
        <v>0.34931824303782499</v>
      </c>
      <c r="FW42" s="1111">
        <f t="shared" si="30"/>
        <v>0.34154946312290901</v>
      </c>
      <c r="FX42" s="1111">
        <f t="shared" si="31"/>
        <v>0.33956199269290699</v>
      </c>
      <c r="FY42" s="1111">
        <f t="shared" si="32"/>
        <v>0.33912280958847202</v>
      </c>
      <c r="FZ42" s="1111">
        <f t="shared" si="33"/>
        <v>0.33904138785011401</v>
      </c>
      <c r="GA42" s="1111">
        <f t="shared" si="34"/>
        <v>0.33905343527213999</v>
      </c>
      <c r="GB42" s="1111">
        <f t="shared" si="35"/>
        <v>0.33905343527213999</v>
      </c>
      <c r="GC42" s="1111">
        <f t="shared" si="59"/>
        <v>5.4814467904693999E-2</v>
      </c>
      <c r="GD42" s="1111">
        <f t="shared" si="60"/>
        <v>5.4814467904693999E-2</v>
      </c>
      <c r="GE42" s="1111">
        <f t="shared" si="61"/>
        <v>3.9660843522864801E-2</v>
      </c>
      <c r="GF42" s="1111">
        <f t="shared" si="62"/>
        <v>5.2889801360665199E-2</v>
      </c>
      <c r="GG42" s="1111">
        <f t="shared" si="63"/>
        <v>5.2551386947303103E-2</v>
      </c>
      <c r="GH42" s="1111">
        <f t="shared" si="64"/>
        <v>5.0945334073008497E-2</v>
      </c>
      <c r="GI42" s="1111">
        <f t="shared" si="65"/>
        <v>5.0580577350149397E-2</v>
      </c>
      <c r="GJ42" s="1111">
        <f t="shared" si="66"/>
        <v>5.0495841537682197E-2</v>
      </c>
      <c r="GK42" s="1111">
        <f t="shared" si="67"/>
        <v>5.0500593811481399E-2</v>
      </c>
      <c r="GL42" s="1111">
        <f t="shared" si="68"/>
        <v>5.0513012114000298E-2</v>
      </c>
      <c r="GM42" s="1111">
        <f t="shared" si="69"/>
        <v>5.0513012114000298E-2</v>
      </c>
    </row>
    <row r="43" spans="1:195" x14ac:dyDescent="0.2">
      <c r="A43" s="1071" t="s">
        <v>186</v>
      </c>
      <c r="B43" s="1071" t="str">
        <f>Technologies!C136</f>
        <v>THSGSLE</v>
      </c>
      <c r="C43" s="1071" t="str">
        <f>Technologies!D136</f>
        <v>Heavy Truck, Short Haul, Gasoline exisiting</v>
      </c>
      <c r="D43" s="1071" t="str">
        <f>NewTech!D85</f>
        <v>bn-vmt, bn-vmt/a</v>
      </c>
      <c r="E43" s="1071" t="str">
        <f>Commodities!C47</f>
        <v>THGSL</v>
      </c>
      <c r="F43" s="1071" t="s">
        <v>98</v>
      </c>
      <c r="G43" s="1110" t="s">
        <v>505</v>
      </c>
      <c r="H43" s="1111" t="s">
        <v>500</v>
      </c>
      <c r="I43" s="1112">
        <v>1</v>
      </c>
      <c r="J43" s="1111" t="str">
        <f t="shared" si="37"/>
        <v>Heavy duty short haul truck-GSL</v>
      </c>
      <c r="K43" s="1111">
        <f>SUMIFS(NewEmisData!E:E, NewEmisData!$A:$A, $G43, NewEmisData!$B:$B, $A43, NewEmisData!$C:$C, $H43, NewEmisData!$D:$D, K$6)</f>
        <v>1638.3455086040899</v>
      </c>
      <c r="L43" s="1111">
        <f>SUMIFS(NewEmisData!F:F, NewEmisData!$A:$A, $G43, NewEmisData!$B:$B, $A43, NewEmisData!$C:$C, $H43, NewEmisData!$D:$D, L$6)</f>
        <v>1597.91146698485</v>
      </c>
      <c r="M43" s="1111">
        <f>SUMIFS(NewEmisData!G:G, NewEmisData!$A:$A, $G43, NewEmisData!$B:$B, $A43, NewEmisData!$C:$C, $H43, NewEmisData!$D:$D, M$6)</f>
        <v>1675.8815285015601</v>
      </c>
      <c r="N43" s="1111">
        <f>SUMIFS(NewEmisData!H:H, NewEmisData!$A:$A, $G43, NewEmisData!$B:$B, $A43, NewEmisData!$C:$C, $H43, NewEmisData!$D:$D, N$6)</f>
        <v>1650.32431693742</v>
      </c>
      <c r="O43" s="1111">
        <f>SUMIFS(NewEmisData!I:I, NewEmisData!$A:$A, $G43, NewEmisData!$B:$B, $A43, NewEmisData!$C:$C, $H43, NewEmisData!$D:$D, O$6)</f>
        <v>1614.69992415768</v>
      </c>
      <c r="P43" s="1111">
        <f>SUMIFS(NewEmisData!J:J, NewEmisData!$A:$A, $G43, NewEmisData!$B:$B, $A43, NewEmisData!$C:$C, $H43, NewEmisData!$D:$D, P$6)</f>
        <v>1606.15558948889</v>
      </c>
      <c r="Q43" s="1111">
        <f>SUMIFS(NewEmisData!K:K, NewEmisData!$A:$A, $G43, NewEmisData!$B:$B, $A43, NewEmisData!$C:$C, $H43, NewEmisData!$D:$D, Q$6)</f>
        <v>1604.0186206973899</v>
      </c>
      <c r="R43" s="1111">
        <f>SUMIFS(NewEmisData!L:L, NewEmisData!$A:$A, $G43, NewEmisData!$B:$B, $A43, NewEmisData!$C:$C, $H43, NewEmisData!$D:$D, R$6)</f>
        <v>1603.71196653328</v>
      </c>
      <c r="S43" s="1111">
        <f>SUMIFS(NewEmisData!M:M, NewEmisData!$A:$A, $G43, NewEmisData!$B:$B, $A43, NewEmisData!$C:$C, $H43, NewEmisData!$D:$D, S$6)</f>
        <v>1603.6927150798599</v>
      </c>
      <c r="T43" s="1111">
        <f t="shared" si="17"/>
        <v>1603.6927150798599</v>
      </c>
      <c r="U43" s="1111">
        <f>SUMIFS(NewEmisData!E:E, NewEmisData!$A:$A, $G43, NewEmisData!$B:$B, $A43, NewEmisData!$C:$C, $H43, NewEmisData!$D:$D, U$6)</f>
        <v>9.1319765062058504</v>
      </c>
      <c r="V43" s="1111">
        <f>SUMIFS(NewEmisData!F:F, NewEmisData!$A:$A, $G43, NewEmisData!$B:$B, $A43, NewEmisData!$C:$C, $H43, NewEmisData!$D:$D, V$6)</f>
        <v>5.5211126740351997</v>
      </c>
      <c r="W43" s="1111">
        <f>SUMIFS(NewEmisData!G:G, NewEmisData!$A:$A, $G43, NewEmisData!$B:$B, $A43, NewEmisData!$C:$C, $H43, NewEmisData!$D:$D, W$6)</f>
        <v>1.6178749329459601</v>
      </c>
      <c r="X43" s="1111">
        <f>SUMIFS(NewEmisData!H:H, NewEmisData!$A:$A, $G43, NewEmisData!$B:$B, $A43, NewEmisData!$C:$C, $H43, NewEmisData!$D:$D, X$6)</f>
        <v>1.2717662893164099</v>
      </c>
      <c r="Y43" s="1111">
        <f>SUMIFS(NewEmisData!I:I, NewEmisData!$A:$A, $G43, NewEmisData!$B:$B, $A43, NewEmisData!$C:$C, $H43, NewEmisData!$D:$D, Y$6)</f>
        <v>1.1726866302876999</v>
      </c>
      <c r="Z43" s="1111">
        <f>SUMIFS(NewEmisData!J:J, NewEmisData!$A:$A, $G43, NewEmisData!$B:$B, $A43, NewEmisData!$C:$C, $H43, NewEmisData!$D:$D, Z$6)</f>
        <v>1.1568218913658399</v>
      </c>
      <c r="AA43" s="1111">
        <f>SUMIFS(NewEmisData!K:K, NewEmisData!$A:$A, $G43, NewEmisData!$B:$B, $A43, NewEmisData!$C:$C, $H43, NewEmisData!$D:$D, AA$6)</f>
        <v>1.1498419858081399</v>
      </c>
      <c r="AB43" s="1111">
        <f>SUMIFS(NewEmisData!L:L, NewEmisData!$A:$A, $G43, NewEmisData!$B:$B, $A43, NewEmisData!$C:$C, $H43, NewEmisData!$D:$D, AB$6)</f>
        <v>1.1502565377520699</v>
      </c>
      <c r="AC43" s="1111">
        <f>SUMIFS(NewEmisData!M:M, NewEmisData!$A:$A, $G43, NewEmisData!$B:$B, $A43, NewEmisData!$C:$C, $H43, NewEmisData!$D:$D, AC$6)</f>
        <v>1.15043111371947</v>
      </c>
      <c r="AD43" s="1111">
        <f t="shared" si="18"/>
        <v>1.15043111371947</v>
      </c>
      <c r="AE43" s="1111">
        <f t="shared" si="70"/>
        <v>2.8349118417612802E-2</v>
      </c>
      <c r="AF43" s="1111">
        <f>SUMIFS(NewEmisData!E:E, NewEmisData!$A:$A, $G43, NewEmisData!$B:$B, $A43, NewEmisData!$C:$C, $H43, NewEmisData!$D:$D, AF$6)</f>
        <v>2.8349118417612802E-2</v>
      </c>
      <c r="AG43" s="1111">
        <f>SUMIFS(NewEmisData!F:F, NewEmisData!$A:$A, $G43, NewEmisData!$B:$B, $A43, NewEmisData!$C:$C, $H43, NewEmisData!$D:$D, AG$6)</f>
        <v>2.7649475988106201E-2</v>
      </c>
      <c r="AH43" s="1111">
        <f>SUMIFS(NewEmisData!G:G, NewEmisData!$A:$A, $G43, NewEmisData!$B:$B, $A43, NewEmisData!$C:$C, $H43, NewEmisData!$D:$D, AH$6)</f>
        <v>2.4041393237435399E-2</v>
      </c>
      <c r="AI43" s="1111">
        <f>SUMIFS(NewEmisData!H:H, NewEmisData!$A:$A, $G43, NewEmisData!$B:$B, $A43, NewEmisData!$C:$C, $H43, NewEmisData!$D:$D, AI$6)</f>
        <v>2.3674756516432201E-2</v>
      </c>
      <c r="AJ43" s="1111">
        <f>SUMIFS(NewEmisData!I:I, NewEmisData!$A:$A, $G43, NewEmisData!$B:$B, $A43, NewEmisData!$C:$C, $H43, NewEmisData!$D:$D, AJ$6)</f>
        <v>2.3163709294895699E-2</v>
      </c>
      <c r="AK43" s="1111">
        <f>SUMIFS(NewEmisData!J:J, NewEmisData!$A:$A, $G43, NewEmisData!$B:$B, $A43, NewEmisData!$C:$C, $H43, NewEmisData!$D:$D, AK$6)</f>
        <v>2.30411322742359E-2</v>
      </c>
      <c r="AL43" s="1111">
        <f>SUMIFS(NewEmisData!K:K, NewEmisData!$A:$A, $G43, NewEmisData!$B:$B, $A43, NewEmisData!$C:$C, $H43, NewEmisData!$D:$D, AL$6)</f>
        <v>2.30104772532812E-2</v>
      </c>
      <c r="AM43" s="1111">
        <f>SUMIFS(NewEmisData!L:L, NewEmisData!$A:$A, $G43, NewEmisData!$B:$B, $A43, NewEmisData!$C:$C, $H43, NewEmisData!$D:$D, AM$6)</f>
        <v>2.3006075572322301E-2</v>
      </c>
      <c r="AN43" s="1111">
        <f>SUMIFS(NewEmisData!M:M, NewEmisData!$A:$A, $G43, NewEmisData!$B:$B, $A43, NewEmisData!$C:$C, $H43, NewEmisData!$D:$D, AN$6)</f>
        <v>2.30058103409179E-2</v>
      </c>
      <c r="AO43" s="1111">
        <f t="shared" si="71"/>
        <v>2.30058103409179E-2</v>
      </c>
      <c r="AP43" s="1111">
        <f t="shared" si="72"/>
        <v>0.73529708323819798</v>
      </c>
      <c r="AQ43" s="1111">
        <f>SUMIFS(NewEmisData!E:E, NewEmisData!$A:$A, $G43, NewEmisData!$B:$B, $A43, NewEmisData!$C:$C, $H43, NewEmisData!$D:$D, AQ$6)</f>
        <v>0.73529708323819798</v>
      </c>
      <c r="AR43" s="1111">
        <f>SUMIFS(NewEmisData!F:F, NewEmisData!$A:$A, $G43, NewEmisData!$B:$B, $A43, NewEmisData!$C:$C, $H43, NewEmisData!$D:$D, AR$6)</f>
        <v>0.50377232353792301</v>
      </c>
      <c r="AS43" s="1111">
        <f>SUMIFS(NewEmisData!G:G, NewEmisData!$A:$A, $G43, NewEmisData!$B:$B, $A43, NewEmisData!$C:$C, $H43, NewEmisData!$D:$D, AS$6)</f>
        <v>0.46277242259546703</v>
      </c>
      <c r="AT43" s="1111">
        <f>SUMIFS(NewEmisData!H:H, NewEmisData!$A:$A, $G43, NewEmisData!$B:$B, $A43, NewEmisData!$C:$C, $H43, NewEmisData!$D:$D, AT$6)</f>
        <v>0.460021400855742</v>
      </c>
      <c r="AU43" s="1111">
        <f>SUMIFS(NewEmisData!I:I, NewEmisData!$A:$A, $G43, NewEmisData!$B:$B, $A43, NewEmisData!$C:$C, $H43, NewEmisData!$D:$D, AU$6)</f>
        <v>0.452859239004402</v>
      </c>
      <c r="AV43" s="1111">
        <f>SUMIFS(NewEmisData!J:J, NewEmisData!$A:$A, $G43, NewEmisData!$B:$B, $A43, NewEmisData!$C:$C, $H43, NewEmisData!$D:$D, AV$6)</f>
        <v>0.451173530693247</v>
      </c>
      <c r="AW43" s="1111">
        <f>SUMIFS(NewEmisData!K:K, NewEmisData!$A:$A, $G43, NewEmisData!$B:$B, $A43, NewEmisData!$C:$C, $H43, NewEmisData!$D:$D, AW$6)</f>
        <v>0.450827249569491</v>
      </c>
      <c r="AX43" s="1111">
        <f>SUMIFS(NewEmisData!L:L, NewEmisData!$A:$A, $G43, NewEmisData!$B:$B, $A43, NewEmisData!$C:$C, $H43, NewEmisData!$D:$D, AX$6)</f>
        <v>0.45077517726501898</v>
      </c>
      <c r="AY43" s="1111">
        <f>SUMIFS(NewEmisData!M:M, NewEmisData!$A:$A, $G43, NewEmisData!$B:$B, $A43, NewEmisData!$C:$C, $H43, NewEmisData!$D:$D, AY$6)</f>
        <v>0.45078915116546198</v>
      </c>
      <c r="AZ43" s="1111">
        <f t="shared" si="73"/>
        <v>0.45078915116546198</v>
      </c>
      <c r="BA43" s="1111">
        <f t="shared" si="74"/>
        <v>0.32686256972546901</v>
      </c>
      <c r="BB43" s="1111">
        <f>SUMIFS(NewEmisData!E:E, NewEmisData!$A:$A, $G43, NewEmisData!$B:$B, $A43, NewEmisData!$C:$C, $H43, NewEmisData!$D:$D, BB$6)</f>
        <v>0.32686256972546901</v>
      </c>
      <c r="BC43" s="1111">
        <f>SUMIFS(NewEmisData!F:F, NewEmisData!$A:$A, $G43, NewEmisData!$B:$B, $A43, NewEmisData!$C:$C, $H43, NewEmisData!$D:$D, BC$6)</f>
        <v>0.12210843934221401</v>
      </c>
      <c r="BD43" s="1111">
        <f>SUMIFS(NewEmisData!G:G, NewEmisData!$A:$A, $G43, NewEmisData!$B:$B, $A43, NewEmisData!$C:$C, $H43, NewEmisData!$D:$D, BD$6)</f>
        <v>6.7146210191433603E-2</v>
      </c>
      <c r="BE43" s="1111">
        <f>SUMIFS(NewEmisData!H:H, NewEmisData!$A:$A, $G43, NewEmisData!$B:$B, $A43, NewEmisData!$C:$C, $H43, NewEmisData!$D:$D, BE$6)</f>
        <v>6.6587970120787598E-2</v>
      </c>
      <c r="BF43" s="1111">
        <f>SUMIFS(NewEmisData!I:I, NewEmisData!$A:$A, $G43, NewEmisData!$B:$B, $A43, NewEmisData!$C:$C, $H43, NewEmisData!$D:$D, BF$6)</f>
        <v>6.5405051516030002E-2</v>
      </c>
      <c r="BG43" s="1111">
        <f>SUMIFS(NewEmisData!J:J, NewEmisData!$A:$A, $G43, NewEmisData!$B:$B, $A43, NewEmisData!$C:$C, $H43, NewEmisData!$D:$D, BG$6)</f>
        <v>6.5233637829240507E-2</v>
      </c>
      <c r="BH43" s="1111">
        <f>SUMIFS(NewEmisData!K:K, NewEmisData!$A:$A, $G43, NewEmisData!$B:$B, $A43, NewEmisData!$C:$C, $H43, NewEmisData!$D:$D, BH$6)</f>
        <v>6.5212571890131396E-2</v>
      </c>
      <c r="BI43" s="1111">
        <f>SUMIFS(NewEmisData!L:L, NewEmisData!$A:$A, $G43, NewEmisData!$B:$B, $A43, NewEmisData!$C:$C, $H43, NewEmisData!$D:$D, BI$6)</f>
        <v>6.5238116883072003E-2</v>
      </c>
      <c r="BJ43" s="1111">
        <f>SUMIFS(NewEmisData!M:M, NewEmisData!$A:$A, $G43, NewEmisData!$B:$B, $A43, NewEmisData!$C:$C, $H43, NewEmisData!$D:$D, BJ$6)</f>
        <v>6.5252352689838797E-2</v>
      </c>
      <c r="BK43" s="1111">
        <f t="shared" si="75"/>
        <v>6.5252352689838797E-2</v>
      </c>
      <c r="BL43" s="1111">
        <f t="shared" si="76"/>
        <v>130.83848080286899</v>
      </c>
      <c r="BM43" s="1111">
        <f>SUMIFS(NewEmisData!E:E, NewEmisData!$A:$A, $G43, NewEmisData!$B:$B, $A43, NewEmisData!$C:$C, $H43, NewEmisData!$D:$D, BM$6)</f>
        <v>130.83848080286899</v>
      </c>
      <c r="BN43" s="1111">
        <f>SUMIFS(NewEmisData!F:F, NewEmisData!$A:$A, $G43, NewEmisData!$B:$B, $A43, NewEmisData!$C:$C, $H43, NewEmisData!$D:$D, BN$6)</f>
        <v>69.1513563753808</v>
      </c>
      <c r="BO43" s="1111">
        <f>SUMIFS(NewEmisData!G:G, NewEmisData!$A:$A, $G43, NewEmisData!$B:$B, $A43, NewEmisData!$C:$C, $H43, NewEmisData!$D:$D, BO$6)</f>
        <v>19.817984760190502</v>
      </c>
      <c r="BP43" s="1111">
        <f>SUMIFS(NewEmisData!H:H, NewEmisData!$A:$A, $G43, NewEmisData!$B:$B, $A43, NewEmisData!$C:$C, $H43, NewEmisData!$D:$D, BP$6)</f>
        <v>17.220719333709599</v>
      </c>
      <c r="BQ43" s="1111">
        <f>SUMIFS(NewEmisData!I:I, NewEmisData!$A:$A, $G43, NewEmisData!$B:$B, $A43, NewEmisData!$C:$C, $H43, NewEmisData!$D:$D, BQ$6)</f>
        <v>17.138637099239801</v>
      </c>
      <c r="BR43" s="1111">
        <f>SUMIFS(NewEmisData!J:J, NewEmisData!$A:$A, $G43, NewEmisData!$B:$B, $A43, NewEmisData!$C:$C, $H43, NewEmisData!$D:$D, BR$6)</f>
        <v>17.632152503072199</v>
      </c>
      <c r="BS43" s="1111">
        <f>SUMIFS(NewEmisData!K:K, NewEmisData!$A:$A, $G43, NewEmisData!$B:$B, $A43, NewEmisData!$C:$C, $H43, NewEmisData!$D:$D, BS$6)</f>
        <v>17.755687797126999</v>
      </c>
      <c r="BT43" s="1111">
        <f>SUMIFS(NewEmisData!L:L, NewEmisData!$A:$A, $G43, NewEmisData!$B:$B, $A43, NewEmisData!$C:$C, $H43, NewEmisData!$D:$D, BT$6)</f>
        <v>17.941584451804498</v>
      </c>
      <c r="BU43" s="1111">
        <f>SUMIFS(NewEmisData!M:M, NewEmisData!$A:$A, $G43, NewEmisData!$B:$B, $A43, NewEmisData!$C:$C, $H43, NewEmisData!$D:$D, BU$6)</f>
        <v>18.0048069260293</v>
      </c>
      <c r="BV43" s="1111">
        <f t="shared" si="83"/>
        <v>18.0048069260293</v>
      </c>
      <c r="BW43" s="1111">
        <f t="shared" si="77"/>
        <v>10.6632197589814</v>
      </c>
      <c r="BX43" s="1111">
        <f>SUMIFS(NewEmisData!E:E, NewEmisData!$A:$A, $G43, NewEmisData!$B:$B, $A43, NewEmisData!$C:$C, $H43, NewEmisData!$D:$D, BX$6)</f>
        <v>10.6632197589814</v>
      </c>
      <c r="BY43" s="1111">
        <f>SUMIFS(NewEmisData!F:F, NewEmisData!$A:$A, $G43, NewEmisData!$B:$B, $A43, NewEmisData!$C:$C, $H43, NewEmisData!$D:$D, BY$6)</f>
        <v>4.8239495150941396</v>
      </c>
      <c r="BZ43" s="1111">
        <f>SUMIFS(NewEmisData!G:G, NewEmisData!$A:$A, $G43, NewEmisData!$B:$B, $A43, NewEmisData!$C:$C, $H43, NewEmisData!$D:$D, BZ$6)</f>
        <v>0.81908851058061705</v>
      </c>
      <c r="CA43" s="1111">
        <f>SUMIFS(NewEmisData!H:H, NewEmisData!$A:$A, $G43, NewEmisData!$B:$B, $A43, NewEmisData!$C:$C, $H43, NewEmisData!$D:$D, CA$6)</f>
        <v>0.62586158145999404</v>
      </c>
      <c r="CB43" s="1111">
        <f>SUMIFS(NewEmisData!I:I, NewEmisData!$A:$A, $G43, NewEmisData!$B:$B, $A43, NewEmisData!$C:$C, $H43, NewEmisData!$D:$D, CB$6)</f>
        <v>0.57122462058997703</v>
      </c>
      <c r="CC43" s="1111">
        <f>SUMIFS(NewEmisData!J:J, NewEmisData!$A:$A, $G43, NewEmisData!$B:$B, $A43, NewEmisData!$C:$C, $H43, NewEmisData!$D:$D, CC$6)</f>
        <v>0.56704170620868999</v>
      </c>
      <c r="CD43" s="1111">
        <f>SUMIFS(NewEmisData!K:K, NewEmisData!$A:$A, $G43, NewEmisData!$B:$B, $A43, NewEmisData!$C:$C, $H43, NewEmisData!$D:$D, CD$6)</f>
        <v>0.56343324146208396</v>
      </c>
      <c r="CE43" s="1111">
        <f>SUMIFS(NewEmisData!L:L, NewEmisData!$A:$A, $G43, NewEmisData!$B:$B, $A43, NewEmisData!$C:$C, $H43, NewEmisData!$D:$D, CE$6)</f>
        <v>0.56643140863739405</v>
      </c>
      <c r="CF43" s="1111">
        <f>SUMIFS(NewEmisData!M:M, NewEmisData!$A:$A, $G43, NewEmisData!$B:$B, $A43, NewEmisData!$C:$C, $H43, NewEmisData!$D:$D, CF$6)</f>
        <v>0.56703635625762505</v>
      </c>
      <c r="CG43" s="1111">
        <f t="shared" si="78"/>
        <v>0.56703635625762505</v>
      </c>
      <c r="CH43" s="1111">
        <f t="shared" si="79"/>
        <v>5.78767923405668E-2</v>
      </c>
      <c r="CI43" s="1111">
        <f>SUMIFS(NewEmisData!E:E, NewEmisData!$A:$A, $G43, NewEmisData!$B:$B, $A43, NewEmisData!$C:$C, $H43, NewEmisData!$D:$D, CI$6)</f>
        <v>5.78767923405668E-2</v>
      </c>
      <c r="CJ43" s="1111">
        <f>SUMIFS(NewEmisData!F:F, NewEmisData!$A:$A, $G43, NewEmisData!$B:$B, $A43, NewEmisData!$C:$C, $H43, NewEmisData!$D:$D, CJ$6)</f>
        <v>5.7878614167795599E-2</v>
      </c>
      <c r="CK43" s="1111">
        <f>SUMIFS(NewEmisData!G:G, NewEmisData!$A:$A, $G43, NewEmisData!$B:$B, $A43, NewEmisData!$C:$C, $H43, NewEmisData!$D:$D, CK$6)</f>
        <v>6.6011734406023898E-2</v>
      </c>
      <c r="CL43" s="1111">
        <f>SUMIFS(NewEmisData!H:H, NewEmisData!$A:$A, $G43, NewEmisData!$B:$B, $A43, NewEmisData!$C:$C, $H43, NewEmisData!$D:$D, CL$6)</f>
        <v>6.6011880543447907E-2</v>
      </c>
      <c r="CM43" s="1111">
        <f>SUMIFS(NewEmisData!I:I, NewEmisData!$A:$A, $G43, NewEmisData!$B:$B, $A43, NewEmisData!$C:$C, $H43, NewEmisData!$D:$D, CM$6)</f>
        <v>6.60108416242811E-2</v>
      </c>
      <c r="CN43" s="1111">
        <f>SUMIFS(NewEmisData!J:J, NewEmisData!$A:$A, $G43, NewEmisData!$B:$B, $A43, NewEmisData!$C:$C, $H43, NewEmisData!$D:$D, CN$6)</f>
        <v>6.6010592604017995E-2</v>
      </c>
      <c r="CO43" s="1111">
        <f>SUMIFS(NewEmisData!K:K, NewEmisData!$A:$A, $G43, NewEmisData!$B:$B, $A43, NewEmisData!$C:$C, $H43, NewEmisData!$D:$D, CO$6)</f>
        <v>6.6010460965888904E-2</v>
      </c>
      <c r="CP43" s="1111">
        <f>SUMIFS(NewEmisData!L:L, NewEmisData!$A:$A, $G43, NewEmisData!$B:$B, $A43, NewEmisData!$C:$C, $H43, NewEmisData!$D:$D, CP$6)</f>
        <v>6.6010507177606106E-2</v>
      </c>
      <c r="CQ43" s="1111">
        <f>SUMIFS(NewEmisData!M:M, NewEmisData!$A:$A, $G43, NewEmisData!$B:$B, $A43, NewEmisData!$C:$C, $H43, NewEmisData!$D:$D, CQ$6)</f>
        <v>6.6010478652079901E-2</v>
      </c>
      <c r="CR43" s="1111">
        <f t="shared" si="80"/>
        <v>6.6010478652079901E-2</v>
      </c>
      <c r="CS43" s="1111">
        <f t="shared" si="81"/>
        <v>0.136220551325273</v>
      </c>
      <c r="CT43" s="1111">
        <f>SUMIFS(NewEmisData!E:E, NewEmisData!$A:$A, $G43, NewEmisData!$B:$B, $A43, NewEmisData!$C:$C, $H43, NewEmisData!$D:$D, CT$6)</f>
        <v>0.136220551325273</v>
      </c>
      <c r="CU43" s="1111">
        <f>SUMIFS(NewEmisData!F:F, NewEmisData!$A:$A, $G43, NewEmisData!$B:$B, $A43, NewEmisData!$C:$C, $H43, NewEmisData!$D:$D, CU$6)</f>
        <v>7.8581411328771694E-2</v>
      </c>
      <c r="CV43" s="1111">
        <f>SUMIFS(NewEmisData!G:G, NewEmisData!$A:$A, $G43, NewEmisData!$B:$B, $A43, NewEmisData!$C:$C, $H43, NewEmisData!$D:$D, CV$6)</f>
        <v>2.7901639783808298E-2</v>
      </c>
      <c r="CW43" s="1111">
        <f>SUMIFS(NewEmisData!H:H, NewEmisData!$A:$A, $G43, NewEmisData!$B:$B, $A43, NewEmisData!$C:$C, $H43, NewEmisData!$D:$D, CW$6)</f>
        <v>1.918958657892E-2</v>
      </c>
      <c r="CX43" s="1111">
        <f>SUMIFS(NewEmisData!I:I, NewEmisData!$A:$A, $G43, NewEmisData!$B:$B, $A43, NewEmisData!$C:$C, $H43, NewEmisData!$D:$D, CX$6)</f>
        <v>1.63653759329912E-2</v>
      </c>
      <c r="CY43" s="1111">
        <f>SUMIFS(NewEmisData!J:J, NewEmisData!$A:$A, $G43, NewEmisData!$B:$B, $A43, NewEmisData!$C:$C, $H43, NewEmisData!$D:$D, CY$6)</f>
        <v>1.5904522358171299E-2</v>
      </c>
      <c r="CZ43" s="1111">
        <f>SUMIFS(NewEmisData!K:K, NewEmisData!$A:$A, $G43, NewEmisData!$B:$B, $A43, NewEmisData!$C:$C, $H43, NewEmisData!$D:$D, CZ$6)</f>
        <v>1.55783654289861E-2</v>
      </c>
      <c r="DA43" s="1111">
        <f>SUMIFS(NewEmisData!L:L, NewEmisData!$A:$A, $G43, NewEmisData!$B:$B, $A43, NewEmisData!$C:$C, $H43, NewEmisData!$D:$D, DA$6)</f>
        <v>1.5635092695124999E-2</v>
      </c>
      <c r="DB43" s="1111">
        <f>SUMIFS(NewEmisData!M:M, NewEmisData!$A:$A, $G43, NewEmisData!$B:$B, $A43, NewEmisData!$C:$C, $H43, NewEmisData!$D:$D, DB$6)</f>
        <v>1.5654923502366299E-2</v>
      </c>
      <c r="DC43" s="1111">
        <f t="shared" si="84"/>
        <v>1.5654923502366299E-2</v>
      </c>
      <c r="DD43" s="1111"/>
      <c r="DE43" s="1111"/>
      <c r="DF43" s="1111"/>
      <c r="DG43" s="1111"/>
      <c r="DH43" s="1111"/>
      <c r="DI43" s="1111"/>
      <c r="DJ43" s="1111"/>
      <c r="DK43" s="1111"/>
      <c r="DL43" s="1111"/>
      <c r="DM43" s="1111"/>
      <c r="DN43" s="1111"/>
      <c r="DO43" s="1111"/>
      <c r="DP43" s="1111"/>
      <c r="DQ43" s="1111"/>
      <c r="DR43" s="1111"/>
      <c r="DS43" s="1111"/>
      <c r="DT43" s="1111"/>
      <c r="DU43" s="1111"/>
      <c r="DV43" s="1111"/>
      <c r="DW43" s="1111"/>
      <c r="DX43" s="1111"/>
      <c r="DY43" s="1111"/>
      <c r="DZ43" s="1111">
        <f t="shared" si="85"/>
        <v>0.62504346102021602</v>
      </c>
      <c r="EA43" s="1111">
        <f>SUMIFS(NewEmisData!E:E, NewEmisData!$A:$A, $G43, NewEmisData!$B:$B, $A43, NewEmisData!$C:$C, $H43, NewEmisData!$D:$D, EA$6)</f>
        <v>0.62504346102021602</v>
      </c>
      <c r="EB43" s="1111">
        <f>SUMIFS(NewEmisData!F:F, NewEmisData!$A:$A, $G43, NewEmisData!$B:$B, $A43, NewEmisData!$C:$C, $H43, NewEmisData!$D:$D, EB$6)</f>
        <v>0.23204922511968301</v>
      </c>
      <c r="EC43" s="1111">
        <f>SUMIFS(NewEmisData!G:G, NewEmisData!$A:$A, $G43, NewEmisData!$B:$B, $A43, NewEmisData!$C:$C, $H43, NewEmisData!$D:$D, EC$6)</f>
        <v>1.8847290687364501E-2</v>
      </c>
      <c r="ED43" s="1111">
        <f>SUMIFS(NewEmisData!H:H, NewEmisData!$A:$A, $G43, NewEmisData!$B:$B, $A43, NewEmisData!$C:$C, $H43, NewEmisData!$D:$D, ED$6)</f>
        <v>1.50181456752262E-2</v>
      </c>
      <c r="EE43" s="1111">
        <f>SUMIFS(NewEmisData!I:I, NewEmisData!$A:$A, $G43, NewEmisData!$B:$B, $A43, NewEmisData!$C:$C, $H43, NewEmisData!$D:$D, EE$6)</f>
        <v>1.46208045841804E-2</v>
      </c>
      <c r="EF43" s="1111">
        <f>SUMIFS(NewEmisData!J:J, NewEmisData!$A:$A, $G43, NewEmisData!$B:$B, $A43, NewEmisData!$C:$C, $H43, NewEmisData!$D:$D, EF$6)</f>
        <v>1.49239047594049E-2</v>
      </c>
      <c r="EG43" s="1111">
        <f>SUMIFS(NewEmisData!K:K, NewEmisData!$A:$A, $G43, NewEmisData!$B:$B, $A43, NewEmisData!$C:$C, $H43, NewEmisData!$D:$D, EG$6)</f>
        <v>1.5019413019286301E-2</v>
      </c>
      <c r="EH43" s="1111">
        <f>SUMIFS(NewEmisData!L:L, NewEmisData!$A:$A, $G43, NewEmisData!$B:$B, $A43, NewEmisData!$C:$C, $H43, NewEmisData!$D:$D, EH$6)</f>
        <v>1.5153092065068799E-2</v>
      </c>
      <c r="EI43" s="1111">
        <f>SUMIFS(NewEmisData!M:M, NewEmisData!$A:$A, $G43, NewEmisData!$B:$B, $A43, NewEmisData!$C:$C, $H43, NewEmisData!$D:$D, EI$6)</f>
        <v>1.5197280715758399E-2</v>
      </c>
      <c r="EJ43" s="1111">
        <f t="shared" si="86"/>
        <v>1.5197280715758399E-2</v>
      </c>
      <c r="EK43" s="1111">
        <f t="shared" si="87"/>
        <v>1638.3455086040899</v>
      </c>
      <c r="EL43" s="1111">
        <f t="shared" si="48"/>
        <v>1638.3455086040899</v>
      </c>
      <c r="EM43" s="1111">
        <f t="shared" si="49"/>
        <v>1597.91146698485</v>
      </c>
      <c r="EN43" s="1111">
        <f t="shared" si="50"/>
        <v>1675.8815285015601</v>
      </c>
      <c r="EO43" s="1111">
        <f t="shared" si="51"/>
        <v>1650.32431693742</v>
      </c>
      <c r="EP43" s="1111">
        <f t="shared" si="52"/>
        <v>1614.69992415768</v>
      </c>
      <c r="EQ43" s="1111">
        <f t="shared" si="53"/>
        <v>1606.15558948889</v>
      </c>
      <c r="ER43" s="1111">
        <f t="shared" si="54"/>
        <v>1604.0186206973899</v>
      </c>
      <c r="ES43" s="1111">
        <f t="shared" si="55"/>
        <v>1603.71196653328</v>
      </c>
      <c r="ET43" s="1111">
        <f t="shared" si="56"/>
        <v>1603.6927150798599</v>
      </c>
      <c r="EU43" s="1111">
        <f t="shared" si="57"/>
        <v>1603.6927150798599</v>
      </c>
      <c r="EV43" s="1111">
        <f t="shared" si="88"/>
        <v>9.1319765062058504</v>
      </c>
      <c r="EW43" s="1111">
        <f t="shared" si="38"/>
        <v>9.1319765062058504</v>
      </c>
      <c r="EX43" s="1111">
        <f t="shared" si="39"/>
        <v>5.5211126740351997</v>
      </c>
      <c r="EY43" s="1111">
        <f t="shared" si="40"/>
        <v>1.6178749329459601</v>
      </c>
      <c r="EZ43" s="1111">
        <f t="shared" si="41"/>
        <v>1.2717662893164099</v>
      </c>
      <c r="FA43" s="1111">
        <f t="shared" si="42"/>
        <v>1.1726866302876999</v>
      </c>
      <c r="FB43" s="1111">
        <f t="shared" si="43"/>
        <v>1.1568218913658399</v>
      </c>
      <c r="FC43" s="1111">
        <f t="shared" si="44"/>
        <v>1.1498419858081399</v>
      </c>
      <c r="FD43" s="1111">
        <f t="shared" si="45"/>
        <v>1.1502565377520699</v>
      </c>
      <c r="FE43" s="1111">
        <f t="shared" si="46"/>
        <v>1.15043111371947</v>
      </c>
      <c r="FF43" s="1111">
        <f t="shared" si="47"/>
        <v>1.15043111371947</v>
      </c>
      <c r="FG43" s="1111">
        <f t="shared" si="100"/>
        <v>2.8349118417612802E-2</v>
      </c>
      <c r="FH43" s="1111">
        <f t="shared" si="101"/>
        <v>2.8349118417612802E-2</v>
      </c>
      <c r="FI43" s="1111">
        <f t="shared" si="102"/>
        <v>2.7649475988106201E-2</v>
      </c>
      <c r="FJ43" s="1111">
        <f t="shared" si="103"/>
        <v>2.4041393237435399E-2</v>
      </c>
      <c r="FK43" s="1111">
        <f t="shared" si="104"/>
        <v>2.3674756516432201E-2</v>
      </c>
      <c r="FL43" s="1111">
        <f t="shared" si="105"/>
        <v>2.3163709294895699E-2</v>
      </c>
      <c r="FM43" s="1111">
        <f t="shared" si="106"/>
        <v>2.30411322742359E-2</v>
      </c>
      <c r="FN43" s="1111">
        <f t="shared" si="107"/>
        <v>2.30104772532812E-2</v>
      </c>
      <c r="FO43" s="1111">
        <f t="shared" si="108"/>
        <v>2.3006075572322301E-2</v>
      </c>
      <c r="FP43" s="1111">
        <f t="shared" si="109"/>
        <v>2.30058103409179E-2</v>
      </c>
      <c r="FQ43" s="1111">
        <f t="shared" si="110"/>
        <v>2.30058103409179E-2</v>
      </c>
      <c r="FR43" s="1111">
        <f t="shared" si="25"/>
        <v>0.73529708323819798</v>
      </c>
      <c r="FS43" s="1111">
        <f t="shared" si="26"/>
        <v>0.73529708323819798</v>
      </c>
      <c r="FT43" s="1111">
        <f t="shared" si="27"/>
        <v>0.50377232353792301</v>
      </c>
      <c r="FU43" s="1111">
        <f t="shared" si="28"/>
        <v>0.46277242259546703</v>
      </c>
      <c r="FV43" s="1111">
        <f t="shared" si="29"/>
        <v>0.460021400855742</v>
      </c>
      <c r="FW43" s="1111">
        <f t="shared" si="30"/>
        <v>0.452859239004402</v>
      </c>
      <c r="FX43" s="1111">
        <f t="shared" si="31"/>
        <v>0.451173530693247</v>
      </c>
      <c r="FY43" s="1111">
        <f t="shared" si="32"/>
        <v>0.450827249569491</v>
      </c>
      <c r="FZ43" s="1111">
        <f t="shared" si="33"/>
        <v>0.45077517726501898</v>
      </c>
      <c r="GA43" s="1111">
        <f t="shared" si="34"/>
        <v>0.45078915116546198</v>
      </c>
      <c r="GB43" s="1111">
        <f t="shared" si="35"/>
        <v>0.45078915116546198</v>
      </c>
      <c r="GC43" s="1111">
        <f t="shared" si="59"/>
        <v>0.32686256972546901</v>
      </c>
      <c r="GD43" s="1111">
        <f t="shared" si="60"/>
        <v>0.32686256972546901</v>
      </c>
      <c r="GE43" s="1111">
        <f t="shared" si="61"/>
        <v>0.12210843934221401</v>
      </c>
      <c r="GF43" s="1111">
        <f t="shared" si="62"/>
        <v>6.7146210191433603E-2</v>
      </c>
      <c r="GG43" s="1111">
        <f t="shared" si="63"/>
        <v>6.6587970120787598E-2</v>
      </c>
      <c r="GH43" s="1111">
        <f t="shared" si="64"/>
        <v>6.5405051516030002E-2</v>
      </c>
      <c r="GI43" s="1111">
        <f t="shared" si="65"/>
        <v>6.5233637829240507E-2</v>
      </c>
      <c r="GJ43" s="1111">
        <f t="shared" si="66"/>
        <v>6.5212571890131396E-2</v>
      </c>
      <c r="GK43" s="1111">
        <f t="shared" si="67"/>
        <v>6.5238116883072003E-2</v>
      </c>
      <c r="GL43" s="1111">
        <f t="shared" si="68"/>
        <v>6.5252352689838797E-2</v>
      </c>
      <c r="GM43" s="1111">
        <f t="shared" si="69"/>
        <v>6.5252352689838797E-2</v>
      </c>
    </row>
    <row r="44" spans="1:195" x14ac:dyDescent="0.2">
      <c r="A44" s="1071" t="s">
        <v>188</v>
      </c>
      <c r="B44" s="1071" t="str">
        <f>Technologies!C136</f>
        <v>THSGSLE</v>
      </c>
      <c r="C44" s="1071" t="str">
        <f>Technologies!D136</f>
        <v>Heavy Truck, Short Haul, Gasoline exisiting</v>
      </c>
      <c r="D44" s="1071" t="str">
        <f>NewTech!D85</f>
        <v>bn-vmt, bn-vmt/a</v>
      </c>
      <c r="E44" s="1071" t="str">
        <f>Commodities!C47</f>
        <v>THGSL</v>
      </c>
      <c r="F44" s="1071" t="s">
        <v>98</v>
      </c>
      <c r="G44" s="1110" t="s">
        <v>505</v>
      </c>
      <c r="H44" s="1111" t="s">
        <v>500</v>
      </c>
      <c r="I44" s="1112">
        <v>1</v>
      </c>
      <c r="J44" s="1111" t="str">
        <f t="shared" si="37"/>
        <v>Heavy duty short haul truck-GSL</v>
      </c>
      <c r="K44" s="1111">
        <f>SUMIFS(NewEmisData!E:E, NewEmisData!$A:$A, $G44, NewEmisData!$B:$B, $A44, NewEmisData!$C:$C, $H44, NewEmisData!$D:$D, K$6)</f>
        <v>1245.3418505198399</v>
      </c>
      <c r="L44" s="1111">
        <f>SUMIFS(NewEmisData!F:F, NewEmisData!$A:$A, $G44, NewEmisData!$B:$B, $A44, NewEmisData!$C:$C, $H44, NewEmisData!$D:$D, L$6)</f>
        <v>1233.52680028807</v>
      </c>
      <c r="M44" s="1111">
        <f>SUMIFS(NewEmisData!G:G, NewEmisData!$A:$A, $G44, NewEmisData!$B:$B, $A44, NewEmisData!$C:$C, $H44, NewEmisData!$D:$D, M$6)</f>
        <v>1155.77413052821</v>
      </c>
      <c r="N44" s="1111">
        <f>SUMIFS(NewEmisData!H:H, NewEmisData!$A:$A, $G44, NewEmisData!$B:$B, $A44, NewEmisData!$C:$C, $H44, NewEmisData!$D:$D, N$6)</f>
        <v>1137.9436610154601</v>
      </c>
      <c r="O44" s="1111">
        <f>SUMIFS(NewEmisData!I:I, NewEmisData!$A:$A, $G44, NewEmisData!$B:$B, $A44, NewEmisData!$C:$C, $H44, NewEmisData!$D:$D, O$6)</f>
        <v>1112.6987382597499</v>
      </c>
      <c r="P44" s="1111">
        <f>SUMIFS(NewEmisData!J:J, NewEmisData!$A:$A, $G44, NewEmisData!$B:$B, $A44, NewEmisData!$C:$C, $H44, NewEmisData!$D:$D, P$6)</f>
        <v>1106.54119248744</v>
      </c>
      <c r="Q44" s="1111">
        <f>SUMIFS(NewEmisData!K:K, NewEmisData!$A:$A, $G44, NewEmisData!$B:$B, $A44, NewEmisData!$C:$C, $H44, NewEmisData!$D:$D, Q$6)</f>
        <v>1105.0069411203201</v>
      </c>
      <c r="R44" s="1111">
        <f>SUMIFS(NewEmisData!L:L, NewEmisData!$A:$A, $G44, NewEmisData!$B:$B, $A44, NewEmisData!$C:$C, $H44, NewEmisData!$D:$D, R$6)</f>
        <v>1104.77778091038</v>
      </c>
      <c r="S44" s="1111">
        <f>SUMIFS(NewEmisData!M:M, NewEmisData!$A:$A, $G44, NewEmisData!$B:$B, $A44, NewEmisData!$C:$C, $H44, NewEmisData!$D:$D, S$6)</f>
        <v>1104.7649925096</v>
      </c>
      <c r="T44" s="1111">
        <f t="shared" si="17"/>
        <v>1104.7649925096</v>
      </c>
      <c r="U44" s="1111">
        <f>SUMIFS(NewEmisData!E:E, NewEmisData!$A:$A, $G44, NewEmisData!$B:$B, $A44, NewEmisData!$C:$C, $H44, NewEmisData!$D:$D, U$6)</f>
        <v>4.9618269183312798</v>
      </c>
      <c r="V44" s="1111">
        <f>SUMIFS(NewEmisData!F:F, NewEmisData!$A:$A, $G44, NewEmisData!$B:$B, $A44, NewEmisData!$C:$C, $H44, NewEmisData!$D:$D, V$6)</f>
        <v>3.5223524226374598</v>
      </c>
      <c r="W44" s="1111">
        <f>SUMIFS(NewEmisData!G:G, NewEmisData!$A:$A, $G44, NewEmisData!$B:$B, $A44, NewEmisData!$C:$C, $H44, NewEmisData!$D:$D, W$6)</f>
        <v>1.2618027970035901</v>
      </c>
      <c r="X44" s="1111">
        <f>SUMIFS(NewEmisData!H:H, NewEmisData!$A:$A, $G44, NewEmisData!$B:$B, $A44, NewEmisData!$C:$C, $H44, NewEmisData!$D:$D, X$6)</f>
        <v>0.99784143742540199</v>
      </c>
      <c r="Y44" s="1111">
        <f>SUMIFS(NewEmisData!I:I, NewEmisData!$A:$A, $G44, NewEmisData!$B:$B, $A44, NewEmisData!$C:$C, $H44, NewEmisData!$D:$D, Y$6)</f>
        <v>0.92115341275504903</v>
      </c>
      <c r="Z44" s="1111">
        <f>SUMIFS(NewEmisData!J:J, NewEmisData!$A:$A, $G44, NewEmisData!$B:$B, $A44, NewEmisData!$C:$C, $H44, NewEmisData!$D:$D, Z$6)</f>
        <v>0.90873745362837199</v>
      </c>
      <c r="AA44" s="1111">
        <f>SUMIFS(NewEmisData!K:K, NewEmisData!$A:$A, $G44, NewEmisData!$B:$B, $A44, NewEmisData!$C:$C, $H44, NewEmisData!$D:$D, AA$6)</f>
        <v>0.903404659383922</v>
      </c>
      <c r="AB44" s="1111">
        <f>SUMIFS(NewEmisData!L:L, NewEmisData!$A:$A, $G44, NewEmisData!$B:$B, $A44, NewEmisData!$C:$C, $H44, NewEmisData!$D:$D, AB$6)</f>
        <v>0.90367749375583695</v>
      </c>
      <c r="AC44" s="1111">
        <f>SUMIFS(NewEmisData!M:M, NewEmisData!$A:$A, $G44, NewEmisData!$B:$B, $A44, NewEmisData!$C:$C, $H44, NewEmisData!$D:$D, AC$6)</f>
        <v>0.90380303336619205</v>
      </c>
      <c r="AD44" s="1111">
        <f t="shared" si="18"/>
        <v>0.90380303336619205</v>
      </c>
      <c r="AE44" s="1111">
        <f t="shared" si="70"/>
        <v>2.2268353622481699E-2</v>
      </c>
      <c r="AF44" s="1111">
        <f>SUMIFS(NewEmisData!E:E, NewEmisData!$A:$A, $G44, NewEmisData!$B:$B, $A44, NewEmisData!$C:$C, $H44, NewEmisData!$D:$D, AF$6)</f>
        <v>2.2268353622481699E-2</v>
      </c>
      <c r="AG44" s="1111">
        <f>SUMIFS(NewEmisData!F:F, NewEmisData!$A:$A, $G44, NewEmisData!$B:$B, $A44, NewEmisData!$C:$C, $H44, NewEmisData!$D:$D, AG$6)</f>
        <v>2.15800397384973E-2</v>
      </c>
      <c r="AH44" s="1111">
        <f>SUMIFS(NewEmisData!G:G, NewEmisData!$A:$A, $G44, NewEmisData!$B:$B, $A44, NewEmisData!$C:$C, $H44, NewEmisData!$D:$D, AH$6)</f>
        <v>1.6580182769147099E-2</v>
      </c>
      <c r="AI44" s="1111">
        <f>SUMIFS(NewEmisData!H:H, NewEmisData!$A:$A, $G44, NewEmisData!$B:$B, $A44, NewEmisData!$C:$C, $H44, NewEmisData!$D:$D, AI$6)</f>
        <v>1.6324389370389901E-2</v>
      </c>
      <c r="AJ44" s="1111">
        <f>SUMIFS(NewEmisData!I:I, NewEmisData!$A:$A, $G44, NewEmisData!$B:$B, $A44, NewEmisData!$C:$C, $H44, NewEmisData!$D:$D, AJ$6)</f>
        <v>1.5962239345052798E-2</v>
      </c>
      <c r="AK44" s="1111">
        <f>SUMIFS(NewEmisData!J:J, NewEmisData!$A:$A, $G44, NewEmisData!$B:$B, $A44, NewEmisData!$C:$C, $H44, NewEmisData!$D:$D, AK$6)</f>
        <v>1.5873905588610002E-2</v>
      </c>
      <c r="AL44" s="1111">
        <f>SUMIFS(NewEmisData!K:K, NewEmisData!$A:$A, $G44, NewEmisData!$B:$B, $A44, NewEmisData!$C:$C, $H44, NewEmisData!$D:$D, AL$6)</f>
        <v>1.5851896144737601E-2</v>
      </c>
      <c r="AM44" s="1111">
        <f>SUMIFS(NewEmisData!L:L, NewEmisData!$A:$A, $G44, NewEmisData!$B:$B, $A44, NewEmisData!$C:$C, $H44, NewEmisData!$D:$D, AM$6)</f>
        <v>1.58486207061387E-2</v>
      </c>
      <c r="AN44" s="1111">
        <f>SUMIFS(NewEmisData!M:M, NewEmisData!$A:$A, $G44, NewEmisData!$B:$B, $A44, NewEmisData!$C:$C, $H44, NewEmisData!$D:$D, AN$6)</f>
        <v>1.5848421937017101E-2</v>
      </c>
      <c r="AO44" s="1111">
        <f t="shared" si="71"/>
        <v>1.5848421937017101E-2</v>
      </c>
      <c r="AP44" s="1111">
        <f t="shared" si="72"/>
        <v>0.316522847739098</v>
      </c>
      <c r="AQ44" s="1111">
        <f>SUMIFS(NewEmisData!E:E, NewEmisData!$A:$A, $G44, NewEmisData!$B:$B, $A44, NewEmisData!$C:$C, $H44, NewEmisData!$D:$D, AQ$6)</f>
        <v>0.316522847739098</v>
      </c>
      <c r="AR44" s="1111">
        <f>SUMIFS(NewEmisData!F:F, NewEmisData!$A:$A, $G44, NewEmisData!$B:$B, $A44, NewEmisData!$C:$C, $H44, NewEmisData!$D:$D, AR$6)</f>
        <v>0.296906260657962</v>
      </c>
      <c r="AS44" s="1111">
        <f>SUMIFS(NewEmisData!G:G, NewEmisData!$A:$A, $G44, NewEmisData!$B:$B, $A44, NewEmisData!$C:$C, $H44, NewEmisData!$D:$D, AS$6)</f>
        <v>0.23822746383424401</v>
      </c>
      <c r="AT44" s="1111">
        <f>SUMIFS(NewEmisData!H:H, NewEmisData!$A:$A, $G44, NewEmisData!$B:$B, $A44, NewEmisData!$C:$C, $H44, NewEmisData!$D:$D, AT$6)</f>
        <v>0.23861290236278199</v>
      </c>
      <c r="AU44" s="1111">
        <f>SUMIFS(NewEmisData!I:I, NewEmisData!$A:$A, $G44, NewEmisData!$B:$B, $A44, NewEmisData!$C:$C, $H44, NewEmisData!$D:$D, AU$6)</f>
        <v>0.23938243498850501</v>
      </c>
      <c r="AV44" s="1111">
        <f>SUMIFS(NewEmisData!J:J, NewEmisData!$A:$A, $G44, NewEmisData!$B:$B, $A44, NewEmisData!$C:$C, $H44, NewEmisData!$D:$D, AV$6)</f>
        <v>0.23966935323295199</v>
      </c>
      <c r="AW44" s="1111">
        <f>SUMIFS(NewEmisData!K:K, NewEmisData!$A:$A, $G44, NewEmisData!$B:$B, $A44, NewEmisData!$C:$C, $H44, NewEmisData!$D:$D, AW$6)</f>
        <v>0.239739729662128</v>
      </c>
      <c r="AX44" s="1111">
        <f>SUMIFS(NewEmisData!L:L, NewEmisData!$A:$A, $G44, NewEmisData!$B:$B, $A44, NewEmisData!$C:$C, $H44, NewEmisData!$D:$D, AX$6)</f>
        <v>0.239781897722738</v>
      </c>
      <c r="AY44" s="1111">
        <f>SUMIFS(NewEmisData!M:M, NewEmisData!$A:$A, $G44, NewEmisData!$B:$B, $A44, NewEmisData!$C:$C, $H44, NewEmisData!$D:$D, AY$6)</f>
        <v>0.23979416449461</v>
      </c>
      <c r="AZ44" s="1111">
        <f t="shared" si="73"/>
        <v>0.23979416449461</v>
      </c>
      <c r="BA44" s="1111">
        <f t="shared" si="74"/>
        <v>8.6551780570898199E-2</v>
      </c>
      <c r="BB44" s="1111">
        <f>SUMIFS(NewEmisData!E:E, NewEmisData!$A:$A, $G44, NewEmisData!$B:$B, $A44, NewEmisData!$C:$C, $H44, NewEmisData!$D:$D, BB$6)</f>
        <v>8.6551780570898199E-2</v>
      </c>
      <c r="BC44" s="1111">
        <f>SUMIFS(NewEmisData!F:F, NewEmisData!$A:$A, $G44, NewEmisData!$B:$B, $A44, NewEmisData!$C:$C, $H44, NewEmisData!$D:$D, BC$6)</f>
        <v>6.4372293434568101E-2</v>
      </c>
      <c r="BD44" s="1111">
        <f>SUMIFS(NewEmisData!G:G, NewEmisData!$A:$A, $G44, NewEmisData!$B:$B, $A44, NewEmisData!$C:$C, $H44, NewEmisData!$D:$D, BD$6)</f>
        <v>3.7426910923255501E-2</v>
      </c>
      <c r="BE44" s="1111">
        <f>SUMIFS(NewEmisData!H:H, NewEmisData!$A:$A, $G44, NewEmisData!$B:$B, $A44, NewEmisData!$C:$C, $H44, NewEmisData!$D:$D, BE$6)</f>
        <v>3.7415863467985699E-2</v>
      </c>
      <c r="BF44" s="1111">
        <f>SUMIFS(NewEmisData!I:I, NewEmisData!$A:$A, $G44, NewEmisData!$B:$B, $A44, NewEmisData!$C:$C, $H44, NewEmisData!$D:$D, BF$6)</f>
        <v>3.7155994555793902E-2</v>
      </c>
      <c r="BG44" s="1111">
        <f>SUMIFS(NewEmisData!J:J, NewEmisData!$A:$A, $G44, NewEmisData!$B:$B, $A44, NewEmisData!$C:$C, $H44, NewEmisData!$D:$D, BG$6)</f>
        <v>3.71692451762419E-2</v>
      </c>
      <c r="BH44" s="1111">
        <f>SUMIFS(NewEmisData!K:K, NewEmisData!$A:$A, $G44, NewEmisData!$B:$B, $A44, NewEmisData!$C:$C, $H44, NewEmisData!$D:$D, BH$6)</f>
        <v>3.71792258741903E-2</v>
      </c>
      <c r="BI44" s="1111">
        <f>SUMIFS(NewEmisData!L:L, NewEmisData!$A:$A, $G44, NewEmisData!$B:$B, $A44, NewEmisData!$C:$C, $H44, NewEmisData!$D:$D, BI$6)</f>
        <v>3.7203306400845099E-2</v>
      </c>
      <c r="BJ44" s="1111">
        <f>SUMIFS(NewEmisData!M:M, NewEmisData!$A:$A, $G44, NewEmisData!$B:$B, $A44, NewEmisData!$C:$C, $H44, NewEmisData!$D:$D, BJ$6)</f>
        <v>3.7213861680524402E-2</v>
      </c>
      <c r="BK44" s="1111">
        <f t="shared" si="75"/>
        <v>3.7213861680524402E-2</v>
      </c>
      <c r="BL44" s="1111">
        <f t="shared" si="76"/>
        <v>44.405857011560997</v>
      </c>
      <c r="BM44" s="1111">
        <f>SUMIFS(NewEmisData!E:E, NewEmisData!$A:$A, $G44, NewEmisData!$B:$B, $A44, NewEmisData!$C:$C, $H44, NewEmisData!$D:$D, BM$6)</f>
        <v>44.405857011560997</v>
      </c>
      <c r="BN44" s="1111">
        <f>SUMIFS(NewEmisData!F:F, NewEmisData!$A:$A, $G44, NewEmisData!$B:$B, $A44, NewEmisData!$C:$C, $H44, NewEmisData!$D:$D, BN$6)</f>
        <v>36.848029493126198</v>
      </c>
      <c r="BO44" s="1111">
        <f>SUMIFS(NewEmisData!G:G, NewEmisData!$A:$A, $G44, NewEmisData!$B:$B, $A44, NewEmisData!$C:$C, $H44, NewEmisData!$D:$D, BO$6)</f>
        <v>14.0750386718197</v>
      </c>
      <c r="BP44" s="1111">
        <f>SUMIFS(NewEmisData!H:H, NewEmisData!$A:$A, $G44, NewEmisData!$B:$B, $A44, NewEmisData!$C:$C, $H44, NewEmisData!$D:$D, BP$6)</f>
        <v>12.254998131296899</v>
      </c>
      <c r="BQ44" s="1111">
        <f>SUMIFS(NewEmisData!I:I, NewEmisData!$A:$A, $G44, NewEmisData!$B:$B, $A44, NewEmisData!$C:$C, $H44, NewEmisData!$D:$D, BQ$6)</f>
        <v>12.2179762392729</v>
      </c>
      <c r="BR44" s="1111">
        <f>SUMIFS(NewEmisData!J:J, NewEmisData!$A:$A, $G44, NewEmisData!$B:$B, $A44, NewEmisData!$C:$C, $H44, NewEmisData!$D:$D, BR$6)</f>
        <v>12.5483128548097</v>
      </c>
      <c r="BS44" s="1111">
        <f>SUMIFS(NewEmisData!K:K, NewEmisData!$A:$A, $G44, NewEmisData!$B:$B, $A44, NewEmisData!$C:$C, $H44, NewEmisData!$D:$D, BS$6)</f>
        <v>12.6290552691631</v>
      </c>
      <c r="BT44" s="1111">
        <f>SUMIFS(NewEmisData!L:L, NewEmisData!$A:$A, $G44, NewEmisData!$B:$B, $A44, NewEmisData!$C:$C, $H44, NewEmisData!$D:$D, BT$6)</f>
        <v>12.756109867155899</v>
      </c>
      <c r="BU44" s="1111">
        <f>SUMIFS(NewEmisData!M:M, NewEmisData!$A:$A, $G44, NewEmisData!$B:$B, $A44, NewEmisData!$C:$C, $H44, NewEmisData!$D:$D, BU$6)</f>
        <v>12.800533369187299</v>
      </c>
      <c r="BV44" s="1111">
        <f t="shared" si="83"/>
        <v>12.800533369187299</v>
      </c>
      <c r="BW44" s="1111">
        <f t="shared" si="77"/>
        <v>2.14680819384954</v>
      </c>
      <c r="BX44" s="1111">
        <f>SUMIFS(NewEmisData!E:E, NewEmisData!$A:$A, $G44, NewEmisData!$B:$B, $A44, NewEmisData!$C:$C, $H44, NewEmisData!$D:$D, BX$6)</f>
        <v>2.14680819384954</v>
      </c>
      <c r="BY44" s="1111">
        <f>SUMIFS(NewEmisData!F:F, NewEmisData!$A:$A, $G44, NewEmisData!$B:$B, $A44, NewEmisData!$C:$C, $H44, NewEmisData!$D:$D, BY$6)</f>
        <v>1.6414932721656601</v>
      </c>
      <c r="BZ44" s="1111">
        <f>SUMIFS(NewEmisData!G:G, NewEmisData!$A:$A, $G44, NewEmisData!$B:$B, $A44, NewEmisData!$C:$C, $H44, NewEmisData!$D:$D, BZ$6)</f>
        <v>0.47923130880280401</v>
      </c>
      <c r="CA44" s="1111">
        <f>SUMIFS(NewEmisData!H:H, NewEmisData!$A:$A, $G44, NewEmisData!$B:$B, $A44, NewEmisData!$C:$C, $H44, NewEmisData!$D:$D, CA$6)</f>
        <v>0.36532781197988201</v>
      </c>
      <c r="CB44" s="1111">
        <f>SUMIFS(NewEmisData!I:I, NewEmisData!$A:$A, $G44, NewEmisData!$B:$B, $A44, NewEmisData!$C:$C, $H44, NewEmisData!$D:$D, CB$6)</f>
        <v>0.334636907672411</v>
      </c>
      <c r="CC44" s="1111">
        <f>SUMIFS(NewEmisData!J:J, NewEmisData!$A:$A, $G44, NewEmisData!$B:$B, $A44, NewEmisData!$C:$C, $H44, NewEmisData!$D:$D, CC$6)</f>
        <v>0.33199768040625</v>
      </c>
      <c r="CD44" s="1111">
        <f>SUMIFS(NewEmisData!K:K, NewEmisData!$A:$A, $G44, NewEmisData!$B:$B, $A44, NewEmisData!$C:$C, $H44, NewEmisData!$D:$D, CD$6)</f>
        <v>0.32940217473438299</v>
      </c>
      <c r="CE44" s="1111">
        <f>SUMIFS(NewEmisData!L:L, NewEmisData!$A:$A, $G44, NewEmisData!$B:$B, $A44, NewEmisData!$C:$C, $H44, NewEmisData!$D:$D, CE$6)</f>
        <v>0.33126268454531199</v>
      </c>
      <c r="CF44" s="1111">
        <f>SUMIFS(NewEmisData!M:M, NewEmisData!$A:$A, $G44, NewEmisData!$B:$B, $A44, NewEmisData!$C:$C, $H44, NewEmisData!$D:$D, CF$6)</f>
        <v>0.331634896570775</v>
      </c>
      <c r="CG44" s="1111">
        <f t="shared" si="78"/>
        <v>0.331634896570775</v>
      </c>
      <c r="CH44" s="1111">
        <f t="shared" si="79"/>
        <v>4.49194482849559E-2</v>
      </c>
      <c r="CI44" s="1111">
        <f>SUMIFS(NewEmisData!E:E, NewEmisData!$A:$A, $G44, NewEmisData!$B:$B, $A44, NewEmisData!$C:$C, $H44, NewEmisData!$D:$D, CI$6)</f>
        <v>4.49194482849559E-2</v>
      </c>
      <c r="CJ44" s="1111">
        <f>SUMIFS(NewEmisData!F:F, NewEmisData!$A:$A, $G44, NewEmisData!$B:$B, $A44, NewEmisData!$C:$C, $H44, NewEmisData!$D:$D, CJ$6)</f>
        <v>4.5044780297083503E-2</v>
      </c>
      <c r="CK44" s="1111">
        <f>SUMIFS(NewEmisData!G:G, NewEmisData!$A:$A, $G44, NewEmisData!$B:$B, $A44, NewEmisData!$C:$C, $H44, NewEmisData!$D:$D, CK$6)</f>
        <v>4.5736190408202697E-2</v>
      </c>
      <c r="CL44" s="1111">
        <f>SUMIFS(NewEmisData!H:H, NewEmisData!$A:$A, $G44, NewEmisData!$B:$B, $A44, NewEmisData!$C:$C, $H44, NewEmisData!$D:$D, CL$6)</f>
        <v>4.5759494534362899E-2</v>
      </c>
      <c r="CM44" s="1111">
        <f>SUMIFS(NewEmisData!I:I, NewEmisData!$A:$A, $G44, NewEmisData!$B:$B, $A44, NewEmisData!$C:$C, $H44, NewEmisData!$D:$D, CM$6)</f>
        <v>4.5817996189111899E-2</v>
      </c>
      <c r="CN44" s="1111">
        <f>SUMIFS(NewEmisData!J:J, NewEmisData!$A:$A, $G44, NewEmisData!$B:$B, $A44, NewEmisData!$C:$C, $H44, NewEmisData!$D:$D, CN$6)</f>
        <v>4.5833049406016901E-2</v>
      </c>
      <c r="CO44" s="1111">
        <f>SUMIFS(NewEmisData!K:K, NewEmisData!$A:$A, $G44, NewEmisData!$B:$B, $A44, NewEmisData!$C:$C, $H44, NewEmisData!$D:$D, CO$6)</f>
        <v>4.5836329184160897E-2</v>
      </c>
      <c r="CP44" s="1111">
        <f>SUMIFS(NewEmisData!L:L, NewEmisData!$A:$A, $G44, NewEmisData!$B:$B, $A44, NewEmisData!$C:$C, $H44, NewEmisData!$D:$D, CP$6)</f>
        <v>4.58372025008323E-2</v>
      </c>
      <c r="CQ44" s="1111">
        <f>SUMIFS(NewEmisData!M:M, NewEmisData!$A:$A, $G44, NewEmisData!$B:$B, $A44, NewEmisData!$C:$C, $H44, NewEmisData!$D:$D, CQ$6)</f>
        <v>4.5837179172897799E-2</v>
      </c>
      <c r="CR44" s="1111">
        <f t="shared" si="80"/>
        <v>4.5837179172897799E-2</v>
      </c>
      <c r="CS44" s="1111">
        <f t="shared" si="81"/>
        <v>4.23785786247831E-2</v>
      </c>
      <c r="CT44" s="1111">
        <f>SUMIFS(NewEmisData!E:E, NewEmisData!$A:$A, $G44, NewEmisData!$B:$B, $A44, NewEmisData!$C:$C, $H44, NewEmisData!$D:$D, CT$6)</f>
        <v>4.23785786247831E-2</v>
      </c>
      <c r="CU44" s="1111">
        <f>SUMIFS(NewEmisData!F:F, NewEmisData!$A:$A, $G44, NewEmisData!$B:$B, $A44, NewEmisData!$C:$C, $H44, NewEmisData!$D:$D, CU$6)</f>
        <v>3.6476147142376902E-2</v>
      </c>
      <c r="CV44" s="1111">
        <f>SUMIFS(NewEmisData!G:G, NewEmisData!$A:$A, $G44, NewEmisData!$B:$B, $A44, NewEmisData!$C:$C, $H44, NewEmisData!$D:$D, CV$6)</f>
        <v>1.5910071003880501E-2</v>
      </c>
      <c r="CW44" s="1111">
        <f>SUMIFS(NewEmisData!H:H, NewEmisData!$A:$A, $G44, NewEmisData!$B:$B, $A44, NewEmisData!$C:$C, $H44, NewEmisData!$D:$D, CW$6)</f>
        <v>1.0887161334639401E-2</v>
      </c>
      <c r="CX44" s="1111">
        <f>SUMIFS(NewEmisData!I:I, NewEmisData!$A:$A, $G44, NewEmisData!$B:$B, $A44, NewEmisData!$C:$C, $H44, NewEmisData!$D:$D, CX$6)</f>
        <v>9.2481178897355007E-3</v>
      </c>
      <c r="CY44" s="1111">
        <f>SUMIFS(NewEmisData!J:J, NewEmisData!$A:$A, $G44, NewEmisData!$B:$B, $A44, NewEmisData!$C:$C, $H44, NewEmisData!$D:$D, CY$6)</f>
        <v>8.9851479443452901E-3</v>
      </c>
      <c r="CZ44" s="1111">
        <f>SUMIFS(NewEmisData!K:K, NewEmisData!$A:$A, $G44, NewEmisData!$B:$B, $A44, NewEmisData!$C:$C, $H44, NewEmisData!$D:$D, CZ$6)</f>
        <v>8.7728322711615007E-3</v>
      </c>
      <c r="DA44" s="1111">
        <f>SUMIFS(NewEmisData!L:L, NewEmisData!$A:$A, $G44, NewEmisData!$B:$B, $A44, NewEmisData!$C:$C, $H44, NewEmisData!$D:$D, DA$6)</f>
        <v>8.8121160479205408E-3</v>
      </c>
      <c r="DB44" s="1111">
        <f>SUMIFS(NewEmisData!M:M, NewEmisData!$A:$A, $G44, NewEmisData!$B:$B, $A44, NewEmisData!$C:$C, $H44, NewEmisData!$D:$D, DB$6)</f>
        <v>8.8260551340968493E-3</v>
      </c>
      <c r="DC44" s="1111">
        <f t="shared" si="84"/>
        <v>8.8260551340968493E-3</v>
      </c>
      <c r="DD44" s="1111"/>
      <c r="DE44" s="1111"/>
      <c r="DF44" s="1111"/>
      <c r="DG44" s="1111"/>
      <c r="DH44" s="1111"/>
      <c r="DI44" s="1111"/>
      <c r="DJ44" s="1111"/>
      <c r="DK44" s="1111"/>
      <c r="DL44" s="1111"/>
      <c r="DM44" s="1111"/>
      <c r="DN44" s="1111"/>
      <c r="DO44" s="1111"/>
      <c r="DP44" s="1111"/>
      <c r="DQ44" s="1111"/>
      <c r="DR44" s="1111"/>
      <c r="DS44" s="1111"/>
      <c r="DT44" s="1111"/>
      <c r="DU44" s="1111"/>
      <c r="DV44" s="1111"/>
      <c r="DW44" s="1111"/>
      <c r="DX44" s="1111"/>
      <c r="DY44" s="1111"/>
      <c r="DZ44" s="1111">
        <f t="shared" si="85"/>
        <v>7.9223624422698202E-2</v>
      </c>
      <c r="EA44" s="1111">
        <f>SUMIFS(NewEmisData!E:E, NewEmisData!$A:$A, $G44, NewEmisData!$B:$B, $A44, NewEmisData!$C:$C, $H44, NewEmisData!$D:$D, EA$6)</f>
        <v>7.9223624422698202E-2</v>
      </c>
      <c r="EB44" s="1111">
        <f>SUMIFS(NewEmisData!F:F, NewEmisData!$A:$A, $G44, NewEmisData!$B:$B, $A44, NewEmisData!$C:$C, $H44, NewEmisData!$D:$D, EB$6)</f>
        <v>4.9616772406464199E-2</v>
      </c>
      <c r="EC44" s="1111">
        <f>SUMIFS(NewEmisData!G:G, NewEmisData!$A:$A, $G44, NewEmisData!$B:$B, $A44, NewEmisData!$C:$C, $H44, NewEmisData!$D:$D, EC$6)</f>
        <v>1.1730401934771701E-2</v>
      </c>
      <c r="ED44" s="1111">
        <f>SUMIFS(NewEmisData!H:H, NewEmisData!$A:$A, $G44, NewEmisData!$B:$B, $A44, NewEmisData!$C:$C, $H44, NewEmisData!$D:$D, ED$6)</f>
        <v>9.4240573443951908E-3</v>
      </c>
      <c r="EE44" s="1111">
        <f>SUMIFS(NewEmisData!I:I, NewEmisData!$A:$A, $G44, NewEmisData!$B:$B, $A44, NewEmisData!$C:$C, $H44, NewEmisData!$D:$D, EE$6)</f>
        <v>9.2771376980736696E-3</v>
      </c>
      <c r="EF44" s="1111">
        <f>SUMIFS(NewEmisData!J:J, NewEmisData!$A:$A, $G44, NewEmisData!$B:$B, $A44, NewEmisData!$C:$C, $H44, NewEmisData!$D:$D, EF$6)</f>
        <v>9.4970065030402697E-3</v>
      </c>
      <c r="EG44" s="1111">
        <f>SUMIFS(NewEmisData!K:K, NewEmisData!$A:$A, $G44, NewEmisData!$B:$B, $A44, NewEmisData!$C:$C, $H44, NewEmisData!$D:$D, EG$6)</f>
        <v>9.5652604789833208E-3</v>
      </c>
      <c r="EH44" s="1111">
        <f>SUMIFS(NewEmisData!L:L, NewEmisData!$A:$A, $G44, NewEmisData!$B:$B, $A44, NewEmisData!$C:$C, $H44, NewEmisData!$D:$D, EH$6)</f>
        <v>9.6560772920169392E-3</v>
      </c>
      <c r="EI44" s="1111">
        <f>SUMIFS(NewEmisData!M:M, NewEmisData!$A:$A, $G44, NewEmisData!$B:$B, $A44, NewEmisData!$C:$C, $H44, NewEmisData!$D:$D, EI$6)</f>
        <v>9.6867337196690894E-3</v>
      </c>
      <c r="EJ44" s="1111">
        <f t="shared" si="86"/>
        <v>9.6867337196690894E-3</v>
      </c>
      <c r="EK44" s="1111">
        <f t="shared" si="87"/>
        <v>1245.3418505198399</v>
      </c>
      <c r="EL44" s="1111">
        <f t="shared" si="48"/>
        <v>1245.3418505198399</v>
      </c>
      <c r="EM44" s="1111">
        <f t="shared" si="49"/>
        <v>1233.52680028807</v>
      </c>
      <c r="EN44" s="1111">
        <f t="shared" si="50"/>
        <v>1155.77413052821</v>
      </c>
      <c r="EO44" s="1111">
        <f t="shared" si="51"/>
        <v>1137.9436610154601</v>
      </c>
      <c r="EP44" s="1111">
        <f t="shared" si="52"/>
        <v>1112.6987382597499</v>
      </c>
      <c r="EQ44" s="1111">
        <f t="shared" si="53"/>
        <v>1106.54119248744</v>
      </c>
      <c r="ER44" s="1111">
        <f t="shared" si="54"/>
        <v>1105.0069411203201</v>
      </c>
      <c r="ES44" s="1111">
        <f t="shared" si="55"/>
        <v>1104.77778091038</v>
      </c>
      <c r="ET44" s="1111">
        <f t="shared" si="56"/>
        <v>1104.7649925096</v>
      </c>
      <c r="EU44" s="1111">
        <f t="shared" si="57"/>
        <v>1104.7649925096</v>
      </c>
      <c r="EV44" s="1111">
        <f t="shared" si="88"/>
        <v>4.9618269183312798</v>
      </c>
      <c r="EW44" s="1111">
        <f t="shared" si="38"/>
        <v>4.9618269183312798</v>
      </c>
      <c r="EX44" s="1111">
        <f t="shared" si="39"/>
        <v>3.5223524226374598</v>
      </c>
      <c r="EY44" s="1111">
        <f t="shared" si="40"/>
        <v>1.2618027970035901</v>
      </c>
      <c r="EZ44" s="1111">
        <f t="shared" si="41"/>
        <v>0.99784143742540199</v>
      </c>
      <c r="FA44" s="1111">
        <f t="shared" si="42"/>
        <v>0.92115341275504903</v>
      </c>
      <c r="FB44" s="1111">
        <f t="shared" si="43"/>
        <v>0.90873745362837199</v>
      </c>
      <c r="FC44" s="1111">
        <f t="shared" si="44"/>
        <v>0.903404659383922</v>
      </c>
      <c r="FD44" s="1111">
        <f t="shared" si="45"/>
        <v>0.90367749375583695</v>
      </c>
      <c r="FE44" s="1111">
        <f t="shared" si="46"/>
        <v>0.90380303336619205</v>
      </c>
      <c r="FF44" s="1111">
        <f t="shared" si="47"/>
        <v>0.90380303336619205</v>
      </c>
      <c r="FG44" s="1111">
        <f t="shared" si="100"/>
        <v>2.2268353622481699E-2</v>
      </c>
      <c r="FH44" s="1111">
        <f t="shared" si="101"/>
        <v>2.2268353622481699E-2</v>
      </c>
      <c r="FI44" s="1111">
        <f t="shared" si="102"/>
        <v>2.15800397384973E-2</v>
      </c>
      <c r="FJ44" s="1111">
        <f t="shared" si="103"/>
        <v>1.6580182769147099E-2</v>
      </c>
      <c r="FK44" s="1111">
        <f t="shared" si="104"/>
        <v>1.6324389370389901E-2</v>
      </c>
      <c r="FL44" s="1111">
        <f t="shared" si="105"/>
        <v>1.5962239345052798E-2</v>
      </c>
      <c r="FM44" s="1111">
        <f t="shared" si="106"/>
        <v>1.5873905588610002E-2</v>
      </c>
      <c r="FN44" s="1111">
        <f t="shared" si="107"/>
        <v>1.5851896144737601E-2</v>
      </c>
      <c r="FO44" s="1111">
        <f t="shared" si="108"/>
        <v>1.58486207061387E-2</v>
      </c>
      <c r="FP44" s="1111">
        <f t="shared" si="109"/>
        <v>1.5848421937017101E-2</v>
      </c>
      <c r="FQ44" s="1111">
        <f t="shared" si="110"/>
        <v>1.5848421937017101E-2</v>
      </c>
      <c r="FR44" s="1111">
        <f t="shared" si="25"/>
        <v>0.316522847739098</v>
      </c>
      <c r="FS44" s="1111">
        <f t="shared" si="26"/>
        <v>0.316522847739098</v>
      </c>
      <c r="FT44" s="1111">
        <f t="shared" si="27"/>
        <v>0.296906260657962</v>
      </c>
      <c r="FU44" s="1111">
        <f t="shared" si="28"/>
        <v>0.23822746383424401</v>
      </c>
      <c r="FV44" s="1111">
        <f t="shared" si="29"/>
        <v>0.23861290236278199</v>
      </c>
      <c r="FW44" s="1111">
        <f t="shared" si="30"/>
        <v>0.23938243498850501</v>
      </c>
      <c r="FX44" s="1111">
        <f t="shared" si="31"/>
        <v>0.23966935323295199</v>
      </c>
      <c r="FY44" s="1111">
        <f t="shared" si="32"/>
        <v>0.239739729662128</v>
      </c>
      <c r="FZ44" s="1111">
        <f t="shared" si="33"/>
        <v>0.239781897722738</v>
      </c>
      <c r="GA44" s="1111">
        <f t="shared" si="34"/>
        <v>0.23979416449461</v>
      </c>
      <c r="GB44" s="1111">
        <f t="shared" si="35"/>
        <v>0.23979416449461</v>
      </c>
      <c r="GC44" s="1111">
        <f t="shared" si="59"/>
        <v>8.6551780570898199E-2</v>
      </c>
      <c r="GD44" s="1111">
        <f t="shared" si="60"/>
        <v>8.6551780570898199E-2</v>
      </c>
      <c r="GE44" s="1111">
        <f t="shared" si="61"/>
        <v>6.4372293434568101E-2</v>
      </c>
      <c r="GF44" s="1111">
        <f t="shared" si="62"/>
        <v>3.7426910923255501E-2</v>
      </c>
      <c r="GG44" s="1111">
        <f t="shared" si="63"/>
        <v>3.7415863467985699E-2</v>
      </c>
      <c r="GH44" s="1111">
        <f t="shared" si="64"/>
        <v>3.7155994555793902E-2</v>
      </c>
      <c r="GI44" s="1111">
        <f t="shared" si="65"/>
        <v>3.71692451762419E-2</v>
      </c>
      <c r="GJ44" s="1111">
        <f t="shared" si="66"/>
        <v>3.71792258741903E-2</v>
      </c>
      <c r="GK44" s="1111">
        <f t="shared" si="67"/>
        <v>3.7203306400845099E-2</v>
      </c>
      <c r="GL44" s="1111">
        <f t="shared" si="68"/>
        <v>3.7213861680524402E-2</v>
      </c>
      <c r="GM44" s="1111">
        <f t="shared" si="69"/>
        <v>3.7213861680524402E-2</v>
      </c>
    </row>
    <row r="45" spans="1:195" x14ac:dyDescent="0.2">
      <c r="A45" s="1071" t="s">
        <v>190</v>
      </c>
      <c r="B45" s="1071" t="str">
        <f>Technologies!C136</f>
        <v>THSGSLE</v>
      </c>
      <c r="C45" s="1071" t="str">
        <f>Technologies!D136</f>
        <v>Heavy Truck, Short Haul, Gasoline exisiting</v>
      </c>
      <c r="D45" s="1071" t="str">
        <f>NewTech!D85</f>
        <v>bn-vmt, bn-vmt/a</v>
      </c>
      <c r="E45" s="1071" t="str">
        <f>Commodities!C47</f>
        <v>THGSL</v>
      </c>
      <c r="F45" s="1071" t="s">
        <v>98</v>
      </c>
      <c r="G45" s="1110" t="s">
        <v>505</v>
      </c>
      <c r="H45" s="1111" t="s">
        <v>500</v>
      </c>
      <c r="I45" s="1112">
        <v>1</v>
      </c>
      <c r="J45" s="1111" t="str">
        <f t="shared" si="37"/>
        <v>Heavy duty short haul truck-GSL</v>
      </c>
      <c r="K45" s="1111">
        <f>SUMIFS(NewEmisData!E:E, NewEmisData!$A:$A, $G45, NewEmisData!$B:$B, $A45, NewEmisData!$C:$C, $H45, NewEmisData!$D:$D, K$6)</f>
        <v>1241.38928176117</v>
      </c>
      <c r="L45" s="1111">
        <f>SUMIFS(NewEmisData!F:F, NewEmisData!$A:$A, $G45, NewEmisData!$B:$B, $A45, NewEmisData!$C:$C, $H45, NewEmisData!$D:$D, L$6)</f>
        <v>1226.10777955711</v>
      </c>
      <c r="M45" s="1111">
        <f>SUMIFS(NewEmisData!G:G, NewEmisData!$A:$A, $G45, NewEmisData!$B:$B, $A45, NewEmisData!$C:$C, $H45, NewEmisData!$D:$D, M$6)</f>
        <v>1383.33894651986</v>
      </c>
      <c r="N45" s="1111">
        <f>SUMIFS(NewEmisData!H:H, NewEmisData!$A:$A, $G45, NewEmisData!$B:$B, $A45, NewEmisData!$C:$C, $H45, NewEmisData!$D:$D, N$6)</f>
        <v>1356.5010921445701</v>
      </c>
      <c r="O45" s="1111">
        <f>SUMIFS(NewEmisData!I:I, NewEmisData!$A:$A, $G45, NewEmisData!$B:$B, $A45, NewEmisData!$C:$C, $H45, NewEmisData!$D:$D, O$6)</f>
        <v>1306.9931195674901</v>
      </c>
      <c r="P45" s="1111">
        <f>SUMIFS(NewEmisData!J:J, NewEmisData!$A:$A, $G45, NewEmisData!$B:$B, $A45, NewEmisData!$C:$C, $H45, NewEmisData!$D:$D, P$6)</f>
        <v>1294.5393575191799</v>
      </c>
      <c r="Q45" s="1111">
        <f>SUMIFS(NewEmisData!K:K, NewEmisData!$A:$A, $G45, NewEmisData!$B:$B, $A45, NewEmisData!$C:$C, $H45, NewEmisData!$D:$D, Q$6)</f>
        <v>1291.60029261402</v>
      </c>
      <c r="R45" s="1111">
        <f>SUMIFS(NewEmisData!L:L, NewEmisData!$A:$A, $G45, NewEmisData!$B:$B, $A45, NewEmisData!$C:$C, $H45, NewEmisData!$D:$D, R$6)</f>
        <v>1291.22786948009</v>
      </c>
      <c r="S45" s="1111">
        <f>SUMIFS(NewEmisData!M:M, NewEmisData!$A:$A, $G45, NewEmisData!$B:$B, $A45, NewEmisData!$C:$C, $H45, NewEmisData!$D:$D, S$6)</f>
        <v>1291.2762589420699</v>
      </c>
      <c r="T45" s="1111">
        <f t="shared" si="17"/>
        <v>1291.2762589420699</v>
      </c>
      <c r="U45" s="1111">
        <f>SUMIFS(NewEmisData!E:E, NewEmisData!$A:$A, $G45, NewEmisData!$B:$B, $A45, NewEmisData!$C:$C, $H45, NewEmisData!$D:$D, U$6)</f>
        <v>6.2719490238573599</v>
      </c>
      <c r="V45" s="1111">
        <f>SUMIFS(NewEmisData!F:F, NewEmisData!$A:$A, $G45, NewEmisData!$B:$B, $A45, NewEmisData!$C:$C, $H45, NewEmisData!$D:$D, V$6)</f>
        <v>3.54586562371545</v>
      </c>
      <c r="W45" s="1111">
        <f>SUMIFS(NewEmisData!G:G, NewEmisData!$A:$A, $G45, NewEmisData!$B:$B, $A45, NewEmisData!$C:$C, $H45, NewEmisData!$D:$D, W$6)</f>
        <v>1.5390863619428401</v>
      </c>
      <c r="X45" s="1111">
        <f>SUMIFS(NewEmisData!H:H, NewEmisData!$A:$A, $G45, NewEmisData!$B:$B, $A45, NewEmisData!$C:$C, $H45, NewEmisData!$D:$D, X$6)</f>
        <v>1.17307553707704</v>
      </c>
      <c r="Y45" s="1111">
        <f>SUMIFS(NewEmisData!I:I, NewEmisData!$A:$A, $G45, NewEmisData!$B:$B, $A45, NewEmisData!$C:$C, $H45, NewEmisData!$D:$D, Y$6)</f>
        <v>1.0487695492759499</v>
      </c>
      <c r="Z45" s="1111">
        <f>SUMIFS(NewEmisData!J:J, NewEmisData!$A:$A, $G45, NewEmisData!$B:$B, $A45, NewEmisData!$C:$C, $H45, NewEmisData!$D:$D, Z$6)</f>
        <v>1.0243777697646099</v>
      </c>
      <c r="AA45" s="1111">
        <f>SUMIFS(NewEmisData!K:K, NewEmisData!$A:$A, $G45, NewEmisData!$B:$B, $A45, NewEmisData!$C:$C, $H45, NewEmisData!$D:$D, AA$6)</f>
        <v>1.01315476025102</v>
      </c>
      <c r="AB45" s="1111">
        <f>SUMIFS(NewEmisData!L:L, NewEmisData!$A:$A, $G45, NewEmisData!$B:$B, $A45, NewEmisData!$C:$C, $H45, NewEmisData!$D:$D, AB$6)</f>
        <v>1.01368282027686</v>
      </c>
      <c r="AC45" s="1111">
        <f>SUMIFS(NewEmisData!M:M, NewEmisData!$A:$A, $G45, NewEmisData!$B:$B, $A45, NewEmisData!$C:$C, $H45, NewEmisData!$D:$D, AC$6)</f>
        <v>1.0139821488193099</v>
      </c>
      <c r="AD45" s="1111">
        <f t="shared" si="18"/>
        <v>1.0139821488193099</v>
      </c>
      <c r="AE45" s="1111">
        <f t="shared" si="70"/>
        <v>2.1480399186289099E-2</v>
      </c>
      <c r="AF45" s="1111">
        <f>SUMIFS(NewEmisData!E:E, NewEmisData!$A:$A, $G45, NewEmisData!$B:$B, $A45, NewEmisData!$C:$C, $H45, NewEmisData!$D:$D, AF$6)</f>
        <v>2.1480399186289099E-2</v>
      </c>
      <c r="AG45" s="1111">
        <f>SUMIFS(NewEmisData!F:F, NewEmisData!$A:$A, $G45, NewEmisData!$B:$B, $A45, NewEmisData!$C:$C, $H45, NewEmisData!$D:$D, AG$6)</f>
        <v>2.12159707578937E-2</v>
      </c>
      <c r="AH45" s="1111">
        <f>SUMIFS(NewEmisData!G:G, NewEmisData!$A:$A, $G45, NewEmisData!$B:$B, $A45, NewEmisData!$C:$C, $H45, NewEmisData!$D:$D, AH$6)</f>
        <v>1.98447183890453E-2</v>
      </c>
      <c r="AI45" s="1111">
        <f>SUMIFS(NewEmisData!H:H, NewEmisData!$A:$A, $G45, NewEmisData!$B:$B, $A45, NewEmisData!$C:$C, $H45, NewEmisData!$D:$D, AI$6)</f>
        <v>1.9459715058680899E-2</v>
      </c>
      <c r="AJ45" s="1111">
        <f>SUMIFS(NewEmisData!I:I, NewEmisData!$A:$A, $G45, NewEmisData!$B:$B, $A45, NewEmisData!$C:$C, $H45, NewEmisData!$D:$D, AJ$6)</f>
        <v>1.8749491555680699E-2</v>
      </c>
      <c r="AK45" s="1111">
        <f>SUMIFS(NewEmisData!J:J, NewEmisData!$A:$A, $G45, NewEmisData!$B:$B, $A45, NewEmisData!$C:$C, $H45, NewEmisData!$D:$D, AK$6)</f>
        <v>1.8570836872203001E-2</v>
      </c>
      <c r="AL45" s="1111">
        <f>SUMIFS(NewEmisData!K:K, NewEmisData!$A:$A, $G45, NewEmisData!$B:$B, $A45, NewEmisData!$C:$C, $H45, NewEmisData!$D:$D, AL$6)</f>
        <v>1.8528673088893999E-2</v>
      </c>
      <c r="AM45" s="1111">
        <f>SUMIFS(NewEmisData!L:L, NewEmisData!$A:$A, $G45, NewEmisData!$B:$B, $A45, NewEmisData!$C:$C, $H45, NewEmisData!$D:$D, AM$6)</f>
        <v>1.8523329942848499E-2</v>
      </c>
      <c r="AN45" s="1111">
        <f>SUMIFS(NewEmisData!M:M, NewEmisData!$A:$A, $G45, NewEmisData!$B:$B, $A45, NewEmisData!$C:$C, $H45, NewEmisData!$D:$D, AN$6)</f>
        <v>1.85240308404678E-2</v>
      </c>
      <c r="AO45" s="1111">
        <f t="shared" si="71"/>
        <v>1.85240308404678E-2</v>
      </c>
      <c r="AP45" s="1111">
        <f t="shared" si="72"/>
        <v>0.431302480142082</v>
      </c>
      <c r="AQ45" s="1111">
        <f>SUMIFS(NewEmisData!E:E, NewEmisData!$A:$A, $G45, NewEmisData!$B:$B, $A45, NewEmisData!$C:$C, $H45, NewEmisData!$D:$D, AQ$6)</f>
        <v>0.431302480142082</v>
      </c>
      <c r="AR45" s="1111">
        <f>SUMIFS(NewEmisData!F:F, NewEmisData!$A:$A, $G45, NewEmisData!$B:$B, $A45, NewEmisData!$C:$C, $H45, NewEmisData!$D:$D, AR$6)</f>
        <v>0.30380256982536802</v>
      </c>
      <c r="AS45" s="1111">
        <f>SUMIFS(NewEmisData!G:G, NewEmisData!$A:$A, $G45, NewEmisData!$B:$B, $A45, NewEmisData!$C:$C, $H45, NewEmisData!$D:$D, AS$6)</f>
        <v>0.33709491699606497</v>
      </c>
      <c r="AT45" s="1111">
        <f>SUMIFS(NewEmisData!H:H, NewEmisData!$A:$A, $G45, NewEmisData!$B:$B, $A45, NewEmisData!$C:$C, $H45, NewEmisData!$D:$D, AT$6)</f>
        <v>0.33516632877566999</v>
      </c>
      <c r="AU45" s="1111">
        <f>SUMIFS(NewEmisData!I:I, NewEmisData!$A:$A, $G45, NewEmisData!$B:$B, $A45, NewEmisData!$C:$C, $H45, NewEmisData!$D:$D, AU$6)</f>
        <v>0.32912031916096701</v>
      </c>
      <c r="AV45" s="1111">
        <f>SUMIFS(NewEmisData!J:J, NewEmisData!$A:$A, $G45, NewEmisData!$B:$B, $A45, NewEmisData!$C:$C, $H45, NewEmisData!$D:$D, AV$6)</f>
        <v>0.32758501468683399</v>
      </c>
      <c r="AW45" s="1111">
        <f>SUMIFS(NewEmisData!K:K, NewEmisData!$A:$A, $G45, NewEmisData!$B:$B, $A45, NewEmisData!$C:$C, $H45, NewEmisData!$D:$D, AW$6)</f>
        <v>0.32722883547270099</v>
      </c>
      <c r="AX45" s="1111">
        <f>SUMIFS(NewEmisData!L:L, NewEmisData!$A:$A, $G45, NewEmisData!$B:$B, $A45, NewEmisData!$C:$C, $H45, NewEmisData!$D:$D, AX$6)</f>
        <v>0.32719882154575503</v>
      </c>
      <c r="AY45" s="1111">
        <f>SUMIFS(NewEmisData!M:M, NewEmisData!$A:$A, $G45, NewEmisData!$B:$B, $A45, NewEmisData!$C:$C, $H45, NewEmisData!$D:$D, AY$6)</f>
        <v>0.327223389729702</v>
      </c>
      <c r="AZ45" s="1111">
        <f t="shared" si="73"/>
        <v>0.327223389729702</v>
      </c>
      <c r="BA45" s="1111">
        <f t="shared" si="74"/>
        <v>0.17747003545562401</v>
      </c>
      <c r="BB45" s="1111">
        <f>SUMIFS(NewEmisData!E:E, NewEmisData!$A:$A, $G45, NewEmisData!$B:$B, $A45, NewEmisData!$C:$C, $H45, NewEmisData!$D:$D, BB$6)</f>
        <v>0.17747003545562401</v>
      </c>
      <c r="BC45" s="1111">
        <f>SUMIFS(NewEmisData!F:F, NewEmisData!$A:$A, $G45, NewEmisData!$B:$B, $A45, NewEmisData!$C:$C, $H45, NewEmisData!$D:$D, BC$6)</f>
        <v>6.4774980240540195E-2</v>
      </c>
      <c r="BD45" s="1111">
        <f>SUMIFS(NewEmisData!G:G, NewEmisData!$A:$A, $G45, NewEmisData!$B:$B, $A45, NewEmisData!$C:$C, $H45, NewEmisData!$D:$D, BD$6)</f>
        <v>5.2197571243419401E-2</v>
      </c>
      <c r="BE45" s="1111">
        <f>SUMIFS(NewEmisData!H:H, NewEmisData!$A:$A, $G45, NewEmisData!$B:$B, $A45, NewEmisData!$C:$C, $H45, NewEmisData!$D:$D, BE$6)</f>
        <v>5.1709470142354899E-2</v>
      </c>
      <c r="BF45" s="1111">
        <f>SUMIFS(NewEmisData!I:I, NewEmisData!$A:$A, $G45, NewEmisData!$B:$B, $A45, NewEmisData!$C:$C, $H45, NewEmisData!$D:$D, BF$6)</f>
        <v>5.0080554256354597E-2</v>
      </c>
      <c r="BG45" s="1111">
        <f>SUMIFS(NewEmisData!J:J, NewEmisData!$A:$A, $G45, NewEmisData!$B:$B, $A45, NewEmisData!$C:$C, $H45, NewEmisData!$D:$D, BG$6)</f>
        <v>4.9730195246478197E-2</v>
      </c>
      <c r="BH45" s="1111">
        <f>SUMIFS(NewEmisData!K:K, NewEmisData!$A:$A, $G45, NewEmisData!$B:$B, $A45, NewEmisData!$C:$C, $H45, NewEmisData!$D:$D, BH$6)</f>
        <v>4.9636064827908E-2</v>
      </c>
      <c r="BI45" s="1111">
        <f>SUMIFS(NewEmisData!L:L, NewEmisData!$A:$A, $G45, NewEmisData!$B:$B, $A45, NewEmisData!$C:$C, $H45, NewEmisData!$D:$D, BI$6)</f>
        <v>4.96653353802936E-2</v>
      </c>
      <c r="BJ45" s="1111">
        <f>SUMIFS(NewEmisData!M:M, NewEmisData!$A:$A, $G45, NewEmisData!$B:$B, $A45, NewEmisData!$C:$C, $H45, NewEmisData!$D:$D, BJ$6)</f>
        <v>4.9688283166283001E-2</v>
      </c>
      <c r="BK45" s="1111">
        <f t="shared" si="75"/>
        <v>4.9688283166283001E-2</v>
      </c>
      <c r="BL45" s="1111">
        <f t="shared" si="76"/>
        <v>90.191733728878702</v>
      </c>
      <c r="BM45" s="1111">
        <f>SUMIFS(NewEmisData!E:E, NewEmisData!$A:$A, $G45, NewEmisData!$B:$B, $A45, NewEmisData!$C:$C, $H45, NewEmisData!$D:$D, BM$6)</f>
        <v>90.191733728878702</v>
      </c>
      <c r="BN45" s="1111">
        <f>SUMIFS(NewEmisData!F:F, NewEmisData!$A:$A, $G45, NewEmisData!$B:$B, $A45, NewEmisData!$C:$C, $H45, NewEmisData!$D:$D, BN$6)</f>
        <v>57.854593707734402</v>
      </c>
      <c r="BO45" s="1111">
        <f>SUMIFS(NewEmisData!G:G, NewEmisData!$A:$A, $G45, NewEmisData!$B:$B, $A45, NewEmisData!$C:$C, $H45, NewEmisData!$D:$D, BO$6)</f>
        <v>30.439196833936801</v>
      </c>
      <c r="BP45" s="1111">
        <f>SUMIFS(NewEmisData!H:H, NewEmisData!$A:$A, $G45, NewEmisData!$B:$B, $A45, NewEmisData!$C:$C, $H45, NewEmisData!$D:$D, BP$6)</f>
        <v>28.2649013216366</v>
      </c>
      <c r="BQ45" s="1111">
        <f>SUMIFS(NewEmisData!I:I, NewEmisData!$A:$A, $G45, NewEmisData!$B:$B, $A45, NewEmisData!$C:$C, $H45, NewEmisData!$D:$D, BQ$6)</f>
        <v>29.534698697919499</v>
      </c>
      <c r="BR45" s="1111">
        <f>SUMIFS(NewEmisData!J:J, NewEmisData!$A:$A, $G45, NewEmisData!$B:$B, $A45, NewEmisData!$C:$C, $H45, NewEmisData!$D:$D, BR$6)</f>
        <v>30.882451342188901</v>
      </c>
      <c r="BS45" s="1111">
        <f>SUMIFS(NewEmisData!K:K, NewEmisData!$A:$A, $G45, NewEmisData!$B:$B, $A45, NewEmisData!$C:$C, $H45, NewEmisData!$D:$D, BS$6)</f>
        <v>31.2274964250777</v>
      </c>
      <c r="BT45" s="1111">
        <f>SUMIFS(NewEmisData!L:L, NewEmisData!$A:$A, $G45, NewEmisData!$B:$B, $A45, NewEmisData!$C:$C, $H45, NewEmisData!$D:$D, BT$6)</f>
        <v>31.6561745639336</v>
      </c>
      <c r="BU45" s="1111">
        <f>SUMIFS(NewEmisData!M:M, NewEmisData!$A:$A, $G45, NewEmisData!$B:$B, $A45, NewEmisData!$C:$C, $H45, NewEmisData!$D:$D, BU$6)</f>
        <v>31.800591464728001</v>
      </c>
      <c r="BV45" s="1111">
        <f t="shared" si="83"/>
        <v>31.800591464728001</v>
      </c>
      <c r="BW45" s="1111">
        <f t="shared" si="77"/>
        <v>6.1897171455643996</v>
      </c>
      <c r="BX45" s="1111">
        <f>SUMIFS(NewEmisData!E:E, NewEmisData!$A:$A, $G45, NewEmisData!$B:$B, $A45, NewEmisData!$C:$C, $H45, NewEmisData!$D:$D, BX$6)</f>
        <v>6.1897171455643996</v>
      </c>
      <c r="BY45" s="1111">
        <f>SUMIFS(NewEmisData!F:F, NewEmisData!$A:$A, $G45, NewEmisData!$B:$B, $A45, NewEmisData!$C:$C, $H45, NewEmisData!$D:$D, BY$6)</f>
        <v>2.9467128361474</v>
      </c>
      <c r="BZ45" s="1111">
        <f>SUMIFS(NewEmisData!G:G, NewEmisData!$A:$A, $G45, NewEmisData!$B:$B, $A45, NewEmisData!$C:$C, $H45, NewEmisData!$D:$D, BZ$6)</f>
        <v>0.87646546659881797</v>
      </c>
      <c r="CA45" s="1111">
        <f>SUMIFS(NewEmisData!H:H, NewEmisData!$A:$A, $G45, NewEmisData!$B:$B, $A45, NewEmisData!$C:$C, $H45, NewEmisData!$D:$D, CA$6)</f>
        <v>0.63725747288066603</v>
      </c>
      <c r="CB45" s="1111">
        <f>SUMIFS(NewEmisData!I:I, NewEmisData!$A:$A, $G45, NewEmisData!$B:$B, $A45, NewEmisData!$C:$C, $H45, NewEmisData!$D:$D, CB$6)</f>
        <v>0.56209464698364098</v>
      </c>
      <c r="CC45" s="1111">
        <f>SUMIFS(NewEmisData!J:J, NewEmisData!$A:$A, $G45, NewEmisData!$B:$B, $A45, NewEmisData!$C:$C, $H45, NewEmisData!$D:$D, CC$6)</f>
        <v>0.55142425018993102</v>
      </c>
      <c r="CD45" s="1111">
        <f>SUMIFS(NewEmisData!K:K, NewEmisData!$A:$A, $G45, NewEmisData!$B:$B, $A45, NewEmisData!$C:$C, $H45, NewEmisData!$D:$D, CD$6)</f>
        <v>0.54197445474169104</v>
      </c>
      <c r="CE45" s="1111">
        <f>SUMIFS(NewEmisData!L:L, NewEmisData!$A:$A, $G45, NewEmisData!$B:$B, $A45, NewEmisData!$C:$C, $H45, NewEmisData!$D:$D, CE$6)</f>
        <v>0.54705176135937394</v>
      </c>
      <c r="CF45" s="1111">
        <f>SUMIFS(NewEmisData!M:M, NewEmisData!$A:$A, $G45, NewEmisData!$B:$B, $A45, NewEmisData!$C:$C, $H45, NewEmisData!$D:$D, CF$6)</f>
        <v>0.54797129774840603</v>
      </c>
      <c r="CG45" s="1111">
        <f t="shared" si="78"/>
        <v>0.54797129774840603</v>
      </c>
      <c r="CH45" s="1111">
        <f t="shared" si="79"/>
        <v>4.4374916412660802E-2</v>
      </c>
      <c r="CI45" s="1111">
        <f>SUMIFS(NewEmisData!E:E, NewEmisData!$A:$A, $G45, NewEmisData!$B:$B, $A45, NewEmisData!$C:$C, $H45, NewEmisData!$D:$D, CI$6)</f>
        <v>4.4374916412660802E-2</v>
      </c>
      <c r="CJ45" s="1111">
        <f>SUMIFS(NewEmisData!F:F, NewEmisData!$A:$A, $G45, NewEmisData!$B:$B, $A45, NewEmisData!$C:$C, $H45, NewEmisData!$D:$D, CJ$6)</f>
        <v>4.4376196385727797E-2</v>
      </c>
      <c r="CK45" s="1111">
        <f>SUMIFS(NewEmisData!G:G, NewEmisData!$A:$A, $G45, NewEmisData!$B:$B, $A45, NewEmisData!$C:$C, $H45, NewEmisData!$D:$D, CK$6)</f>
        <v>5.2118868523528802E-2</v>
      </c>
      <c r="CL45" s="1111">
        <f>SUMIFS(NewEmisData!H:H, NewEmisData!$A:$A, $G45, NewEmisData!$B:$B, $A45, NewEmisData!$C:$C, $H45, NewEmisData!$D:$D, CL$6)</f>
        <v>5.2132349413666103E-2</v>
      </c>
      <c r="CM45" s="1111">
        <f>SUMIFS(NewEmisData!I:I, NewEmisData!$A:$A, $G45, NewEmisData!$B:$B, $A45, NewEmisData!$C:$C, $H45, NewEmisData!$D:$D, CM$6)</f>
        <v>5.21711043619991E-2</v>
      </c>
      <c r="CN45" s="1111">
        <f>SUMIFS(NewEmisData!J:J, NewEmisData!$A:$A, $G45, NewEmisData!$B:$B, $A45, NewEmisData!$C:$C, $H45, NewEmisData!$D:$D, CN$6)</f>
        <v>5.2181552336128E-2</v>
      </c>
      <c r="CO45" s="1111">
        <f>SUMIFS(NewEmisData!K:K, NewEmisData!$A:$A, $G45, NewEmisData!$B:$B, $A45, NewEmisData!$C:$C, $H45, NewEmisData!$D:$D, CO$6)</f>
        <v>5.21837897669589E-2</v>
      </c>
      <c r="CP45" s="1111">
        <f>SUMIFS(NewEmisData!L:L, NewEmisData!$A:$A, $G45, NewEmisData!$B:$B, $A45, NewEmisData!$C:$C, $H45, NewEmisData!$D:$D, CP$6)</f>
        <v>5.2184377186595597E-2</v>
      </c>
      <c r="CQ45" s="1111">
        <f>SUMIFS(NewEmisData!M:M, NewEmisData!$A:$A, $G45, NewEmisData!$B:$B, $A45, NewEmisData!$C:$C, $H45, NewEmisData!$D:$D, CQ$6)</f>
        <v>5.2184437559851103E-2</v>
      </c>
      <c r="CR45" s="1111">
        <f t="shared" si="80"/>
        <v>5.2184437559851103E-2</v>
      </c>
      <c r="CS45" s="1111">
        <f t="shared" si="81"/>
        <v>0.10324282903592</v>
      </c>
      <c r="CT45" s="1111">
        <f>SUMIFS(NewEmisData!E:E, NewEmisData!$A:$A, $G45, NewEmisData!$B:$B, $A45, NewEmisData!$C:$C, $H45, NewEmisData!$D:$D, CT$6)</f>
        <v>0.10324282903592</v>
      </c>
      <c r="CU45" s="1111">
        <f>SUMIFS(NewEmisData!F:F, NewEmisData!$A:$A, $G45, NewEmisData!$B:$B, $A45, NewEmisData!$C:$C, $H45, NewEmisData!$D:$D, CU$6)</f>
        <v>6.5839025751757901E-2</v>
      </c>
      <c r="CV45" s="1111">
        <f>SUMIFS(NewEmisData!G:G, NewEmisData!$A:$A, $G45, NewEmisData!$B:$B, $A45, NewEmisData!$C:$C, $H45, NewEmisData!$D:$D, CV$6)</f>
        <v>3.3013078185438E-2</v>
      </c>
      <c r="CW45" s="1111">
        <f>SUMIFS(NewEmisData!H:H, NewEmisData!$A:$A, $G45, NewEmisData!$B:$B, $A45, NewEmisData!$C:$C, $H45, NewEmisData!$D:$D, CW$6)</f>
        <v>2.22676216275507E-2</v>
      </c>
      <c r="CX45" s="1111">
        <f>SUMIFS(NewEmisData!I:I, NewEmisData!$A:$A, $G45, NewEmisData!$B:$B, $A45, NewEmisData!$C:$C, $H45, NewEmisData!$D:$D, CX$6)</f>
        <v>1.8691589461130299E-2</v>
      </c>
      <c r="CY45" s="1111">
        <f>SUMIFS(NewEmisData!J:J, NewEmisData!$A:$A, $G45, NewEmisData!$B:$B, $A45, NewEmisData!$C:$C, $H45, NewEmisData!$D:$D, CY$6)</f>
        <v>1.8191418075059002E-2</v>
      </c>
      <c r="CZ45" s="1111">
        <f>SUMIFS(NewEmisData!K:K, NewEmisData!$A:$A, $G45, NewEmisData!$B:$B, $A45, NewEmisData!$C:$C, $H45, NewEmisData!$D:$D, CZ$6)</f>
        <v>1.75998124004558E-2</v>
      </c>
      <c r="DA45" s="1111">
        <f>SUMIFS(NewEmisData!L:L, NewEmisData!$A:$A, $G45, NewEmisData!$B:$B, $A45, NewEmisData!$C:$C, $H45, NewEmisData!$D:$D, DA$6)</f>
        <v>1.77356234724158E-2</v>
      </c>
      <c r="DB45" s="1111">
        <f>SUMIFS(NewEmisData!M:M, NewEmisData!$A:$A, $G45, NewEmisData!$B:$B, $A45, NewEmisData!$C:$C, $H45, NewEmisData!$D:$D, DB$6)</f>
        <v>1.7781712985484099E-2</v>
      </c>
      <c r="DC45" s="1111">
        <f t="shared" si="84"/>
        <v>1.7781712985484099E-2</v>
      </c>
      <c r="DD45" s="1111"/>
      <c r="DE45" s="1111"/>
      <c r="DF45" s="1111"/>
      <c r="DG45" s="1111"/>
      <c r="DH45" s="1111"/>
      <c r="DI45" s="1111"/>
      <c r="DJ45" s="1111"/>
      <c r="DK45" s="1111"/>
      <c r="DL45" s="1111"/>
      <c r="DM45" s="1111"/>
      <c r="DN45" s="1111"/>
      <c r="DO45" s="1111"/>
      <c r="DP45" s="1111"/>
      <c r="DQ45" s="1111"/>
      <c r="DR45" s="1111"/>
      <c r="DS45" s="1111"/>
      <c r="DT45" s="1111"/>
      <c r="DU45" s="1111"/>
      <c r="DV45" s="1111"/>
      <c r="DW45" s="1111"/>
      <c r="DX45" s="1111"/>
      <c r="DY45" s="1111"/>
      <c r="DZ45" s="1111">
        <f t="shared" si="85"/>
        <v>0.34764874845075999</v>
      </c>
      <c r="EA45" s="1111">
        <f>SUMIFS(NewEmisData!E:E, NewEmisData!$A:$A, $G45, NewEmisData!$B:$B, $A45, NewEmisData!$C:$C, $H45, NewEmisData!$D:$D, EA$6)</f>
        <v>0.34764874845075999</v>
      </c>
      <c r="EB45" s="1111">
        <f>SUMIFS(NewEmisData!F:F, NewEmisData!$A:$A, $G45, NewEmisData!$B:$B, $A45, NewEmisData!$C:$C, $H45, NewEmisData!$D:$D, EB$6)</f>
        <v>0.14142715332318501</v>
      </c>
      <c r="EC45" s="1111">
        <f>SUMIFS(NewEmisData!G:G, NewEmisData!$A:$A, $G45, NewEmisData!$B:$B, $A45, NewEmisData!$C:$C, $H45, NewEmisData!$D:$D, EC$6)</f>
        <v>2.8640359201048099E-2</v>
      </c>
      <c r="ED45" s="1111">
        <f>SUMIFS(NewEmisData!H:H, NewEmisData!$A:$A, $G45, NewEmisData!$B:$B, $A45, NewEmisData!$C:$C, $H45, NewEmisData!$D:$D, ED$6)</f>
        <v>2.3851757275478599E-2</v>
      </c>
      <c r="EE45" s="1111">
        <f>SUMIFS(NewEmisData!I:I, NewEmisData!$A:$A, $G45, NewEmisData!$B:$B, $A45, NewEmisData!$C:$C, $H45, NewEmisData!$D:$D, EE$6)</f>
        <v>2.44690782189021E-2</v>
      </c>
      <c r="EF45" s="1111">
        <f>SUMIFS(NewEmisData!J:J, NewEmisData!$A:$A, $G45, NewEmisData!$B:$B, $A45, NewEmisData!$C:$C, $H45, NewEmisData!$D:$D, EF$6)</f>
        <v>2.5450390210075498E-2</v>
      </c>
      <c r="EG45" s="1111">
        <f>SUMIFS(NewEmisData!K:K, NewEmisData!$A:$A, $G45, NewEmisData!$B:$B, $A45, NewEmisData!$C:$C, $H45, NewEmisData!$D:$D, EG$6)</f>
        <v>2.5745715046546401E-2</v>
      </c>
      <c r="EH45" s="1111">
        <f>SUMIFS(NewEmisData!L:L, NewEmisData!$A:$A, $G45, NewEmisData!$B:$B, $A45, NewEmisData!$C:$C, $H45, NewEmisData!$D:$D, EH$6)</f>
        <v>2.6059342938699701E-2</v>
      </c>
      <c r="EI45" s="1111">
        <f>SUMIFS(NewEmisData!M:M, NewEmisData!$A:$A, $G45, NewEmisData!$B:$B, $A45, NewEmisData!$C:$C, $H45, NewEmisData!$D:$D, EI$6)</f>
        <v>2.6160400057414299E-2</v>
      </c>
      <c r="EJ45" s="1111">
        <f t="shared" si="86"/>
        <v>2.6160400057414299E-2</v>
      </c>
      <c r="EK45" s="1111">
        <f t="shared" si="87"/>
        <v>1241.38928176117</v>
      </c>
      <c r="EL45" s="1111">
        <f t="shared" si="48"/>
        <v>1241.38928176117</v>
      </c>
      <c r="EM45" s="1111">
        <f t="shared" si="49"/>
        <v>1226.10777955711</v>
      </c>
      <c r="EN45" s="1111">
        <f t="shared" si="50"/>
        <v>1383.33894651986</v>
      </c>
      <c r="EO45" s="1111">
        <f t="shared" si="51"/>
        <v>1356.5010921445701</v>
      </c>
      <c r="EP45" s="1111">
        <f t="shared" si="52"/>
        <v>1306.9931195674901</v>
      </c>
      <c r="EQ45" s="1111">
        <f t="shared" si="53"/>
        <v>1294.5393575191799</v>
      </c>
      <c r="ER45" s="1111">
        <f t="shared" si="54"/>
        <v>1291.60029261402</v>
      </c>
      <c r="ES45" s="1111">
        <f t="shared" si="55"/>
        <v>1291.22786948009</v>
      </c>
      <c r="ET45" s="1111">
        <f t="shared" si="56"/>
        <v>1291.2762589420699</v>
      </c>
      <c r="EU45" s="1111">
        <f t="shared" si="57"/>
        <v>1291.2762589420699</v>
      </c>
      <c r="EV45" s="1111">
        <f t="shared" si="88"/>
        <v>6.2719490238573599</v>
      </c>
      <c r="EW45" s="1111">
        <f t="shared" si="38"/>
        <v>6.2719490238573599</v>
      </c>
      <c r="EX45" s="1111">
        <f t="shared" si="39"/>
        <v>3.54586562371545</v>
      </c>
      <c r="EY45" s="1111">
        <f t="shared" si="40"/>
        <v>1.5390863619428401</v>
      </c>
      <c r="EZ45" s="1111">
        <f t="shared" si="41"/>
        <v>1.17307553707704</v>
      </c>
      <c r="FA45" s="1111">
        <f t="shared" si="42"/>
        <v>1.0487695492759499</v>
      </c>
      <c r="FB45" s="1111">
        <f t="shared" si="43"/>
        <v>1.0243777697646099</v>
      </c>
      <c r="FC45" s="1111">
        <f t="shared" si="44"/>
        <v>1.01315476025102</v>
      </c>
      <c r="FD45" s="1111">
        <f t="shared" si="45"/>
        <v>1.01368282027686</v>
      </c>
      <c r="FE45" s="1111">
        <f t="shared" si="46"/>
        <v>1.0139821488193099</v>
      </c>
      <c r="FF45" s="1111">
        <f t="shared" si="47"/>
        <v>1.0139821488193099</v>
      </c>
      <c r="FG45" s="1111">
        <f t="shared" si="100"/>
        <v>2.1480399186289099E-2</v>
      </c>
      <c r="FH45" s="1111">
        <f t="shared" si="101"/>
        <v>2.1480399186289099E-2</v>
      </c>
      <c r="FI45" s="1111">
        <f t="shared" si="102"/>
        <v>2.12159707578937E-2</v>
      </c>
      <c r="FJ45" s="1111">
        <f t="shared" si="103"/>
        <v>1.98447183890453E-2</v>
      </c>
      <c r="FK45" s="1111">
        <f t="shared" si="104"/>
        <v>1.9459715058680899E-2</v>
      </c>
      <c r="FL45" s="1111">
        <f t="shared" si="105"/>
        <v>1.8749491555680699E-2</v>
      </c>
      <c r="FM45" s="1111">
        <f t="shared" si="106"/>
        <v>1.8570836872203001E-2</v>
      </c>
      <c r="FN45" s="1111">
        <f t="shared" si="107"/>
        <v>1.8528673088893999E-2</v>
      </c>
      <c r="FO45" s="1111">
        <f t="shared" si="108"/>
        <v>1.8523329942848499E-2</v>
      </c>
      <c r="FP45" s="1111">
        <f t="shared" si="109"/>
        <v>1.85240308404678E-2</v>
      </c>
      <c r="FQ45" s="1111">
        <f t="shared" si="110"/>
        <v>1.85240308404678E-2</v>
      </c>
      <c r="FR45" s="1111">
        <f t="shared" si="25"/>
        <v>0.431302480142082</v>
      </c>
      <c r="FS45" s="1111">
        <f t="shared" si="26"/>
        <v>0.431302480142082</v>
      </c>
      <c r="FT45" s="1111">
        <f t="shared" si="27"/>
        <v>0.30380256982536802</v>
      </c>
      <c r="FU45" s="1111">
        <f t="shared" si="28"/>
        <v>0.33709491699606497</v>
      </c>
      <c r="FV45" s="1111">
        <f t="shared" si="29"/>
        <v>0.33516632877566999</v>
      </c>
      <c r="FW45" s="1111">
        <f t="shared" si="30"/>
        <v>0.32912031916096701</v>
      </c>
      <c r="FX45" s="1111">
        <f t="shared" si="31"/>
        <v>0.32758501468683399</v>
      </c>
      <c r="FY45" s="1111">
        <f t="shared" si="32"/>
        <v>0.32722883547270099</v>
      </c>
      <c r="FZ45" s="1111">
        <f t="shared" si="33"/>
        <v>0.32719882154575503</v>
      </c>
      <c r="GA45" s="1111">
        <f t="shared" si="34"/>
        <v>0.327223389729702</v>
      </c>
      <c r="GB45" s="1111">
        <f t="shared" si="35"/>
        <v>0.327223389729702</v>
      </c>
      <c r="GC45" s="1111">
        <f t="shared" si="59"/>
        <v>0.17747003545562401</v>
      </c>
      <c r="GD45" s="1111">
        <f t="shared" si="60"/>
        <v>0.17747003545562401</v>
      </c>
      <c r="GE45" s="1111">
        <f t="shared" si="61"/>
        <v>6.4774980240540195E-2</v>
      </c>
      <c r="GF45" s="1111">
        <f t="shared" si="62"/>
        <v>5.2197571243419401E-2</v>
      </c>
      <c r="GG45" s="1111">
        <f t="shared" si="63"/>
        <v>5.1709470142354899E-2</v>
      </c>
      <c r="GH45" s="1111">
        <f t="shared" si="64"/>
        <v>5.0080554256354597E-2</v>
      </c>
      <c r="GI45" s="1111">
        <f t="shared" si="65"/>
        <v>4.9730195246478197E-2</v>
      </c>
      <c r="GJ45" s="1111">
        <f t="shared" si="66"/>
        <v>4.9636064827908E-2</v>
      </c>
      <c r="GK45" s="1111">
        <f t="shared" si="67"/>
        <v>4.96653353802936E-2</v>
      </c>
      <c r="GL45" s="1111">
        <f t="shared" si="68"/>
        <v>4.9688283166283001E-2</v>
      </c>
      <c r="GM45" s="1111">
        <f t="shared" si="69"/>
        <v>4.9688283166283001E-2</v>
      </c>
    </row>
    <row r="46" spans="1:195" x14ac:dyDescent="0.2">
      <c r="A46" s="1071" t="s">
        <v>182</v>
      </c>
      <c r="B46" s="1071" t="str">
        <f>Technologies!C137</f>
        <v>THSDSLE</v>
      </c>
      <c r="C46" s="1071" t="str">
        <f>Technologies!D137</f>
        <v>Heavy Truck, Short Haul, Diesel exisiting</v>
      </c>
      <c r="D46" s="1071" t="str">
        <f>NewTech!D86</f>
        <v>bn-vmt, bn-vmt/a</v>
      </c>
      <c r="E46" s="1071" t="str">
        <f>Commodities!C44</f>
        <v>THDSL</v>
      </c>
      <c r="F46" s="1071" t="s">
        <v>98</v>
      </c>
      <c r="G46" s="1110" t="s">
        <v>505</v>
      </c>
      <c r="H46" s="1111" t="s">
        <v>499</v>
      </c>
      <c r="I46" s="1112">
        <v>1</v>
      </c>
      <c r="J46" s="1111" t="str">
        <f t="shared" si="37"/>
        <v>Heavy duty short haul truck-DSL</v>
      </c>
      <c r="K46" s="1111">
        <f>SUMIFS(NewEmisData!E:E, NewEmisData!$A:$A, $G46, NewEmisData!$B:$B, $A46, NewEmisData!$C:$C, $H46, NewEmisData!$D:$D, K$6)</f>
        <v>1482.5754764799101</v>
      </c>
      <c r="L46" s="1111">
        <f>SUMIFS(NewEmisData!F:F, NewEmisData!$A:$A, $G46, NewEmisData!$B:$B, $A46, NewEmisData!$C:$C, $H46, NewEmisData!$D:$D, L$6)</f>
        <v>1635.6442478660899</v>
      </c>
      <c r="M46" s="1111">
        <f>SUMIFS(NewEmisData!G:G, NewEmisData!$A:$A, $G46, NewEmisData!$B:$B, $A46, NewEmisData!$C:$C, $H46, NewEmisData!$D:$D, M$6)</f>
        <v>2107.1372534500802</v>
      </c>
      <c r="N46" s="1111">
        <f>SUMIFS(NewEmisData!H:H, NewEmisData!$A:$A, $G46, NewEmisData!$B:$B, $A46, NewEmisData!$C:$C, $H46, NewEmisData!$D:$D, N$6)</f>
        <v>2071.9319953702902</v>
      </c>
      <c r="O46" s="1111">
        <f>SUMIFS(NewEmisData!I:I, NewEmisData!$A:$A, $G46, NewEmisData!$B:$B, $A46, NewEmisData!$C:$C, $H46, NewEmisData!$D:$D, O$6)</f>
        <v>2048.5012080599699</v>
      </c>
      <c r="P46" s="1111">
        <f>SUMIFS(NewEmisData!J:J, NewEmisData!$A:$A, $G46, NewEmisData!$B:$B, $A46, NewEmisData!$C:$C, $H46, NewEmisData!$D:$D, P$6)</f>
        <v>2041.23090502932</v>
      </c>
      <c r="Q46" s="1111">
        <f>SUMIFS(NewEmisData!K:K, NewEmisData!$A:$A, $G46, NewEmisData!$B:$B, $A46, NewEmisData!$C:$C, $H46, NewEmisData!$D:$D, Q$6)</f>
        <v>2038.8712683316101</v>
      </c>
      <c r="R46" s="1111">
        <f>SUMIFS(NewEmisData!L:L, NewEmisData!$A:$A, $G46, NewEmisData!$B:$B, $A46, NewEmisData!$C:$C, $H46, NewEmisData!$D:$D, R$6)</f>
        <v>2037.89380685326</v>
      </c>
      <c r="S46" s="1111">
        <f>SUMIFS(NewEmisData!M:M, NewEmisData!$A:$A, $G46, NewEmisData!$B:$B, $A46, NewEmisData!$C:$C, $H46, NewEmisData!$D:$D, S$6)</f>
        <v>2037.18147825705</v>
      </c>
      <c r="T46" s="1111">
        <f t="shared" si="17"/>
        <v>2037.18147825705</v>
      </c>
      <c r="U46" s="1111">
        <f>SUMIFS(NewEmisData!E:E, NewEmisData!$A:$A, $G46, NewEmisData!$B:$B, $A46, NewEmisData!$C:$C, $H46, NewEmisData!$D:$D, U$6)</f>
        <v>11.638950039279999</v>
      </c>
      <c r="V46" s="1111">
        <f>SUMIFS(NewEmisData!F:F, NewEmisData!$A:$A, $G46, NewEmisData!$B:$B, $A46, NewEmisData!$C:$C, $H46, NewEmisData!$D:$D, V$6)</f>
        <v>6.7839244745049401</v>
      </c>
      <c r="W46" s="1111">
        <f>SUMIFS(NewEmisData!G:G, NewEmisData!$A:$A, $G46, NewEmisData!$B:$B, $A46, NewEmisData!$C:$C, $H46, NewEmisData!$D:$D, W$6)</f>
        <v>4.3925354378646304</v>
      </c>
      <c r="X46" s="1111">
        <f>SUMIFS(NewEmisData!H:H, NewEmisData!$A:$A, $G46, NewEmisData!$B:$B, $A46, NewEmisData!$C:$C, $H46, NewEmisData!$D:$D, X$6)</f>
        <v>2.6191347420861701</v>
      </c>
      <c r="Y46" s="1111">
        <f>SUMIFS(NewEmisData!I:I, NewEmisData!$A:$A, $G46, NewEmisData!$B:$B, $A46, NewEmisData!$C:$C, $H46, NewEmisData!$D:$D, Y$6)</f>
        <v>2.06534470659102</v>
      </c>
      <c r="Z46" s="1111">
        <f>SUMIFS(NewEmisData!J:J, NewEmisData!$A:$A, $G46, NewEmisData!$B:$B, $A46, NewEmisData!$C:$C, $H46, NewEmisData!$D:$D, Z$6)</f>
        <v>1.9514955612034099</v>
      </c>
      <c r="AA46" s="1111">
        <f>SUMIFS(NewEmisData!K:K, NewEmisData!$A:$A, $G46, NewEmisData!$B:$B, $A46, NewEmisData!$C:$C, $H46, NewEmisData!$D:$D, AA$6)</f>
        <v>1.9247847205619899</v>
      </c>
      <c r="AB46" s="1111">
        <f>SUMIFS(NewEmisData!L:L, NewEmisData!$A:$A, $G46, NewEmisData!$B:$B, $A46, NewEmisData!$C:$C, $H46, NewEmisData!$D:$D, AB$6)</f>
        <v>1.9239170224512001</v>
      </c>
      <c r="AC46" s="1111">
        <f>SUMIFS(NewEmisData!M:M, NewEmisData!$A:$A, $G46, NewEmisData!$B:$B, $A46, NewEmisData!$C:$C, $H46, NewEmisData!$D:$D, AC$6)</f>
        <v>1.92345457739672</v>
      </c>
      <c r="AD46" s="1111">
        <f t="shared" si="18"/>
        <v>1.92345457739672</v>
      </c>
      <c r="AE46" s="1111">
        <f t="shared" si="70"/>
        <v>3.6844240816642601E-2</v>
      </c>
      <c r="AF46" s="1111">
        <f>SUMIFS(NewEmisData!E:E, NewEmisData!$A:$A, $G46, NewEmisData!$B:$B, $A46, NewEmisData!$C:$C, $H46, NewEmisData!$D:$D, AF$6)</f>
        <v>3.6844240816642601E-2</v>
      </c>
      <c r="AG46" s="1111">
        <f>SUMIFS(NewEmisData!F:F, NewEmisData!$A:$A, $G46, NewEmisData!$B:$B, $A46, NewEmisData!$C:$C, $H46, NewEmisData!$D:$D, AG$6)</f>
        <v>3.9353507212849297E-2</v>
      </c>
      <c r="AH46" s="1111">
        <f>SUMIFS(NewEmisData!G:G, NewEmisData!$A:$A, $G46, NewEmisData!$B:$B, $A46, NewEmisData!$C:$C, $H46, NewEmisData!$D:$D, AH$6)</f>
        <v>1.7702463178777099E-2</v>
      </c>
      <c r="AI46" s="1111">
        <f>SUMIFS(NewEmisData!H:H, NewEmisData!$A:$A, $G46, NewEmisData!$B:$B, $A46, NewEmisData!$C:$C, $H46, NewEmisData!$D:$D, AI$6)</f>
        <v>1.7311059741913899E-2</v>
      </c>
      <c r="AJ46" s="1111">
        <f>SUMIFS(NewEmisData!I:I, NewEmisData!$A:$A, $G46, NewEmisData!$B:$B, $A46, NewEmisData!$C:$C, $H46, NewEmisData!$D:$D, AJ$6)</f>
        <v>1.70853991434037E-2</v>
      </c>
      <c r="AK46" s="1111">
        <f>SUMIFS(NewEmisData!J:J, NewEmisData!$A:$A, $G46, NewEmisData!$B:$B, $A46, NewEmisData!$C:$C, $H46, NewEmisData!$D:$D, AK$6)</f>
        <v>1.70195621794277E-2</v>
      </c>
      <c r="AL46" s="1111">
        <f>SUMIFS(NewEmisData!K:K, NewEmisData!$A:$A, $G46, NewEmisData!$B:$B, $A46, NewEmisData!$C:$C, $H46, NewEmisData!$D:$D, AL$6)</f>
        <v>1.69983226363635E-2</v>
      </c>
      <c r="AM46" s="1111">
        <f>SUMIFS(NewEmisData!L:L, NewEmisData!$A:$A, $G46, NewEmisData!$B:$B, $A46, NewEmisData!$C:$C, $H46, NewEmisData!$D:$D, AM$6)</f>
        <v>1.6990168303807101E-2</v>
      </c>
      <c r="AN46" s="1111">
        <f>SUMIFS(NewEmisData!M:M, NewEmisData!$A:$A, $G46, NewEmisData!$B:$B, $A46, NewEmisData!$C:$C, $H46, NewEmisData!$D:$D, AN$6)</f>
        <v>1.69842326570817E-2</v>
      </c>
      <c r="AO46" s="1111">
        <f t="shared" si="71"/>
        <v>1.69842326570817E-2</v>
      </c>
      <c r="AP46" s="1111">
        <f t="shared" si="72"/>
        <v>1.2647150782943599</v>
      </c>
      <c r="AQ46" s="1111">
        <f>SUMIFS(NewEmisData!E:E, NewEmisData!$A:$A, $G46, NewEmisData!$B:$B, $A46, NewEmisData!$C:$C, $H46, NewEmisData!$D:$D, AQ$6)</f>
        <v>1.2647150782943599</v>
      </c>
      <c r="AR46" s="1111">
        <f>SUMIFS(NewEmisData!F:F, NewEmisData!$A:$A, $G46, NewEmisData!$B:$B, $A46, NewEmisData!$C:$C, $H46, NewEmisData!$D:$D, AR$6)</f>
        <v>0.82297495230985995</v>
      </c>
      <c r="AS46" s="1111">
        <f>SUMIFS(NewEmisData!G:G, NewEmisData!$A:$A, $G46, NewEmisData!$B:$B, $A46, NewEmisData!$C:$C, $H46, NewEmisData!$D:$D, AS$6)</f>
        <v>0.78295839522434196</v>
      </c>
      <c r="AT46" s="1111">
        <f>SUMIFS(NewEmisData!H:H, NewEmisData!$A:$A, $G46, NewEmisData!$B:$B, $A46, NewEmisData!$C:$C, $H46, NewEmisData!$D:$D, AT$6)</f>
        <v>0.68016675260069404</v>
      </c>
      <c r="AU46" s="1111">
        <f>SUMIFS(NewEmisData!I:I, NewEmisData!$A:$A, $G46, NewEmisData!$B:$B, $A46, NewEmisData!$C:$C, $H46, NewEmisData!$D:$D, AU$6)</f>
        <v>0.64888550894506702</v>
      </c>
      <c r="AV46" s="1111">
        <f>SUMIFS(NewEmisData!J:J, NewEmisData!$A:$A, $G46, NewEmisData!$B:$B, $A46, NewEmisData!$C:$C, $H46, NewEmisData!$D:$D, AV$6)</f>
        <v>0.64362415371119697</v>
      </c>
      <c r="AW46" s="1111">
        <f>SUMIFS(NewEmisData!K:K, NewEmisData!$A:$A, $G46, NewEmisData!$B:$B, $A46, NewEmisData!$C:$C, $H46, NewEmisData!$D:$D, AW$6)</f>
        <v>0.64216665150257801</v>
      </c>
      <c r="AX46" s="1111">
        <f>SUMIFS(NewEmisData!L:L, NewEmisData!$A:$A, $G46, NewEmisData!$B:$B, $A46, NewEmisData!$C:$C, $H46, NewEmisData!$D:$D, AX$6)</f>
        <v>0.64212477573891902</v>
      </c>
      <c r="AY46" s="1111">
        <f>SUMIFS(NewEmisData!M:M, NewEmisData!$A:$A, $G46, NewEmisData!$B:$B, $A46, NewEmisData!$C:$C, $H46, NewEmisData!$D:$D, AY$6)</f>
        <v>0.64210952076406802</v>
      </c>
      <c r="AZ46" s="1111">
        <f t="shared" si="73"/>
        <v>0.64210952076406802</v>
      </c>
      <c r="BA46" s="1111">
        <f t="shared" si="74"/>
        <v>0.85268225231092398</v>
      </c>
      <c r="BB46" s="1111">
        <f>SUMIFS(NewEmisData!E:E, NewEmisData!$A:$A, $G46, NewEmisData!$B:$B, $A46, NewEmisData!$C:$C, $H46, NewEmisData!$D:$D, BB$6)</f>
        <v>0.85268225231092398</v>
      </c>
      <c r="BC46" s="1111">
        <f>SUMIFS(NewEmisData!F:F, NewEmisData!$A:$A, $G46, NewEmisData!$B:$B, $A46, NewEmisData!$C:$C, $H46, NewEmisData!$D:$D, BC$6)</f>
        <v>0.44197863249122399</v>
      </c>
      <c r="BD46" s="1111">
        <f>SUMIFS(NewEmisData!G:G, NewEmisData!$A:$A, $G46, NewEmisData!$B:$B, $A46, NewEmisData!$C:$C, $H46, NewEmisData!$D:$D, BD$6)</f>
        <v>0.24083520219764601</v>
      </c>
      <c r="BE46" s="1111">
        <f>SUMIFS(NewEmisData!H:H, NewEmisData!$A:$A, $G46, NewEmisData!$B:$B, $A46, NewEmisData!$C:$C, $H46, NewEmisData!$D:$D, BE$6)</f>
        <v>0.148362414161788</v>
      </c>
      <c r="BF46" s="1111">
        <f>SUMIFS(NewEmisData!I:I, NewEmisData!$A:$A, $G46, NewEmisData!$B:$B, $A46, NewEmisData!$C:$C, $H46, NewEmisData!$D:$D, BF$6)</f>
        <v>0.11982020029779999</v>
      </c>
      <c r="BG46" s="1111">
        <f>SUMIFS(NewEmisData!J:J, NewEmisData!$A:$A, $G46, NewEmisData!$B:$B, $A46, NewEmisData!$C:$C, $H46, NewEmisData!$D:$D, BG$6)</f>
        <v>0.115075397080156</v>
      </c>
      <c r="BH46" s="1111">
        <f>SUMIFS(NewEmisData!K:K, NewEmisData!$A:$A, $G46, NewEmisData!$B:$B, $A46, NewEmisData!$C:$C, $H46, NewEmisData!$D:$D, BH$6)</f>
        <v>0.113741063740516</v>
      </c>
      <c r="BI46" s="1111">
        <f>SUMIFS(NewEmisData!L:L, NewEmisData!$A:$A, $G46, NewEmisData!$B:$B, $A46, NewEmisData!$C:$C, $H46, NewEmisData!$D:$D, BI$6)</f>
        <v>0.113717400839903</v>
      </c>
      <c r="BJ46" s="1111">
        <f>SUMIFS(NewEmisData!M:M, NewEmisData!$A:$A, $G46, NewEmisData!$B:$B, $A46, NewEmisData!$C:$C, $H46, NewEmisData!$D:$D, BJ$6)</f>
        <v>0.11370438522677</v>
      </c>
      <c r="BK46" s="1111">
        <f t="shared" si="75"/>
        <v>0.11370438522677</v>
      </c>
      <c r="BL46" s="1111">
        <f t="shared" si="76"/>
        <v>5.0328469585193201</v>
      </c>
      <c r="BM46" s="1111">
        <f>SUMIFS(NewEmisData!E:E, NewEmisData!$A:$A, $G46, NewEmisData!$B:$B, $A46, NewEmisData!$C:$C, $H46, NewEmisData!$D:$D, BM$6)</f>
        <v>5.0328469585193201</v>
      </c>
      <c r="BN46" s="1111">
        <f>SUMIFS(NewEmisData!F:F, NewEmisData!$A:$A, $G46, NewEmisData!$B:$B, $A46, NewEmisData!$C:$C, $H46, NewEmisData!$D:$D, BN$6)</f>
        <v>2.6827852293663099</v>
      </c>
      <c r="BO46" s="1111">
        <f>SUMIFS(NewEmisData!G:G, NewEmisData!$A:$A, $G46, NewEmisData!$B:$B, $A46, NewEmisData!$C:$C, $H46, NewEmisData!$D:$D, BO$6)</f>
        <v>1.7356120209921699</v>
      </c>
      <c r="BP46" s="1111">
        <f>SUMIFS(NewEmisData!H:H, NewEmisData!$A:$A, $G46, NewEmisData!$B:$B, $A46, NewEmisData!$C:$C, $H46, NewEmisData!$D:$D, BP$6)</f>
        <v>1.1963534366450099</v>
      </c>
      <c r="BQ46" s="1111">
        <f>SUMIFS(NewEmisData!I:I, NewEmisData!$A:$A, $G46, NewEmisData!$B:$B, $A46, NewEmisData!$C:$C, $H46, NewEmisData!$D:$D, BQ$6)</f>
        <v>1.0323047664296401</v>
      </c>
      <c r="BR46" s="1111">
        <f>SUMIFS(NewEmisData!J:J, NewEmisData!$A:$A, $G46, NewEmisData!$B:$B, $A46, NewEmisData!$C:$C, $H46, NewEmisData!$D:$D, BR$6)</f>
        <v>0.995595558537549</v>
      </c>
      <c r="BS46" s="1111">
        <f>SUMIFS(NewEmisData!K:K, NewEmisData!$A:$A, $G46, NewEmisData!$B:$B, $A46, NewEmisData!$C:$C, $H46, NewEmisData!$D:$D, BS$6)</f>
        <v>0.98556754943244496</v>
      </c>
      <c r="BT46" s="1111">
        <f>SUMIFS(NewEmisData!L:L, NewEmisData!$A:$A, $G46, NewEmisData!$B:$B, $A46, NewEmisData!$C:$C, $H46, NewEmisData!$D:$D, BT$6)</f>
        <v>0.98409018482975696</v>
      </c>
      <c r="BU46" s="1111">
        <f>SUMIFS(NewEmisData!M:M, NewEmisData!$A:$A, $G46, NewEmisData!$B:$B, $A46, NewEmisData!$C:$C, $H46, NewEmisData!$D:$D, BU$6)</f>
        <v>0.98392055504691101</v>
      </c>
      <c r="BV46" s="1111">
        <f t="shared" si="83"/>
        <v>0.98392055504691101</v>
      </c>
      <c r="BW46" s="1111">
        <f t="shared" si="77"/>
        <v>1.47076719543515</v>
      </c>
      <c r="BX46" s="1111">
        <f>SUMIFS(NewEmisData!E:E, NewEmisData!$A:$A, $G46, NewEmisData!$B:$B, $A46, NewEmisData!$C:$C, $H46, NewEmisData!$D:$D, BX$6)</f>
        <v>1.47076719543515</v>
      </c>
      <c r="BY46" s="1111">
        <f>SUMIFS(NewEmisData!F:F, NewEmisData!$A:$A, $G46, NewEmisData!$B:$B, $A46, NewEmisData!$C:$C, $H46, NewEmisData!$D:$D, BY$6)</f>
        <v>0.68796701308964903</v>
      </c>
      <c r="BZ46" s="1111">
        <f>SUMIFS(NewEmisData!G:G, NewEmisData!$A:$A, $G46, NewEmisData!$B:$B, $A46, NewEmisData!$C:$C, $H46, NewEmisData!$D:$D, BZ$6)</f>
        <v>0.402812160133037</v>
      </c>
      <c r="CA46" s="1111">
        <f>SUMIFS(NewEmisData!H:H, NewEmisData!$A:$A, $G46, NewEmisData!$B:$B, $A46, NewEmisData!$C:$C, $H46, NewEmisData!$D:$D, CA$6)</f>
        <v>0.22250982610906</v>
      </c>
      <c r="CB46" s="1111">
        <f>SUMIFS(NewEmisData!I:I, NewEmisData!$A:$A, $G46, NewEmisData!$B:$B, $A46, NewEmisData!$C:$C, $H46, NewEmisData!$D:$D, CB$6)</f>
        <v>0.16724007620430001</v>
      </c>
      <c r="CC46" s="1111">
        <f>SUMIFS(NewEmisData!J:J, NewEmisData!$A:$A, $G46, NewEmisData!$B:$B, $A46, NewEmisData!$C:$C, $H46, NewEmisData!$D:$D, CC$6)</f>
        <v>0.15629916703885099</v>
      </c>
      <c r="CD46" s="1111">
        <f>SUMIFS(NewEmisData!K:K, NewEmisData!$A:$A, $G46, NewEmisData!$B:$B, $A46, NewEmisData!$C:$C, $H46, NewEmisData!$D:$D, CD$6)</f>
        <v>0.15328186767858501</v>
      </c>
      <c r="CE46" s="1111">
        <f>SUMIFS(NewEmisData!L:L, NewEmisData!$A:$A, $G46, NewEmisData!$B:$B, $A46, NewEmisData!$C:$C, $H46, NewEmisData!$D:$D, CE$6)</f>
        <v>0.15319941180844801</v>
      </c>
      <c r="CF46" s="1111">
        <f>SUMIFS(NewEmisData!M:M, NewEmisData!$A:$A, $G46, NewEmisData!$B:$B, $A46, NewEmisData!$C:$C, $H46, NewEmisData!$D:$D, CF$6)</f>
        <v>0.15317662764687001</v>
      </c>
      <c r="CG46" s="1111">
        <f t="shared" si="78"/>
        <v>0.15317662764687001</v>
      </c>
      <c r="CH46" s="1111">
        <f t="shared" si="79"/>
        <v>2.7376905675536502E-2</v>
      </c>
      <c r="CI46" s="1111">
        <f>SUMIFS(NewEmisData!E:E, NewEmisData!$A:$A, $G46, NewEmisData!$B:$B, $A46, NewEmisData!$C:$C, $H46, NewEmisData!$D:$D, CI$6)</f>
        <v>2.7376905675536502E-2</v>
      </c>
      <c r="CJ46" s="1111">
        <f>SUMIFS(NewEmisData!F:F, NewEmisData!$A:$A, $G46, NewEmisData!$B:$B, $A46, NewEmisData!$C:$C, $H46, NewEmisData!$D:$D, CJ$6)</f>
        <v>2.7641391273496001E-2</v>
      </c>
      <c r="CK46" s="1111">
        <f>SUMIFS(NewEmisData!G:G, NewEmisData!$A:$A, $G46, NewEmisData!$B:$B, $A46, NewEmisData!$C:$C, $H46, NewEmisData!$D:$D, CK$6)</f>
        <v>3.7783493564809902E-2</v>
      </c>
      <c r="CL46" s="1111">
        <f>SUMIFS(NewEmisData!H:H, NewEmisData!$A:$A, $G46, NewEmisData!$B:$B, $A46, NewEmisData!$C:$C, $H46, NewEmisData!$D:$D, CL$6)</f>
        <v>3.7791768560113202E-2</v>
      </c>
      <c r="CM46" s="1111">
        <f>SUMIFS(NewEmisData!I:I, NewEmisData!$A:$A, $G46, NewEmisData!$B:$B, $A46, NewEmisData!$C:$C, $H46, NewEmisData!$D:$D, CM$6)</f>
        <v>3.7796042393498999E-2</v>
      </c>
      <c r="CN46" s="1111">
        <f>SUMIFS(NewEmisData!J:J, NewEmisData!$A:$A, $G46, NewEmisData!$B:$B, $A46, NewEmisData!$C:$C, $H46, NewEmisData!$D:$D, CN$6)</f>
        <v>3.7797273059285798E-2</v>
      </c>
      <c r="CO46" s="1111">
        <f>SUMIFS(NewEmisData!K:K, NewEmisData!$A:$A, $G46, NewEmisData!$B:$B, $A46, NewEmisData!$C:$C, $H46, NewEmisData!$D:$D, CO$6)</f>
        <v>3.7797290465285301E-2</v>
      </c>
      <c r="CP46" s="1111">
        <f>SUMIFS(NewEmisData!L:L, NewEmisData!$A:$A, $G46, NewEmisData!$B:$B, $A46, NewEmisData!$C:$C, $H46, NewEmisData!$D:$D, CP$6)</f>
        <v>3.77969592669226E-2</v>
      </c>
      <c r="CQ46" s="1111">
        <f>SUMIFS(NewEmisData!M:M, NewEmisData!$A:$A, $G46, NewEmisData!$B:$B, $A46, NewEmisData!$C:$C, $H46, NewEmisData!$D:$D, CQ$6)</f>
        <v>3.7796456239744897E-2</v>
      </c>
      <c r="CR46" s="1111">
        <f t="shared" si="80"/>
        <v>3.7796456239744897E-2</v>
      </c>
      <c r="CS46" s="1111">
        <f t="shared" si="81"/>
        <v>4.5435437093963096E-3</v>
      </c>
      <c r="CT46" s="1111">
        <f>SUMIFS(NewEmisData!E:E, NewEmisData!$A:$A, $G46, NewEmisData!$B:$B, $A46, NewEmisData!$C:$C, $H46, NewEmisData!$D:$D, CT$6)</f>
        <v>4.5435437093963096E-3</v>
      </c>
      <c r="CU46" s="1111">
        <f>SUMIFS(NewEmisData!F:F, NewEmisData!$A:$A, $G46, NewEmisData!$B:$B, $A46, NewEmisData!$C:$C, $H46, NewEmisData!$D:$D, CU$6)</f>
        <v>4.4398754909713801E-3</v>
      </c>
      <c r="CV46" s="1111">
        <f>SUMIFS(NewEmisData!G:G, NewEmisData!$A:$A, $G46, NewEmisData!$B:$B, $A46, NewEmisData!$C:$C, $H46, NewEmisData!$D:$D, CV$6)</f>
        <v>6.8039701300534198E-3</v>
      </c>
      <c r="CW46" s="1111">
        <f>SUMIFS(NewEmisData!H:H, NewEmisData!$A:$A, $G46, NewEmisData!$B:$B, $A46, NewEmisData!$C:$C, $H46, NewEmisData!$D:$D, CW$6)</f>
        <v>6.7823537903093098E-3</v>
      </c>
      <c r="CX46" s="1111">
        <f>SUMIFS(NewEmisData!I:I, NewEmisData!$A:$A, $G46, NewEmisData!$B:$B, $A46, NewEmisData!$C:$C, $H46, NewEmisData!$D:$D, CX$6)</f>
        <v>6.7664266882471596E-3</v>
      </c>
      <c r="CY46" s="1111">
        <f>SUMIFS(NewEmisData!J:J, NewEmisData!$A:$A, $G46, NewEmisData!$B:$B, $A46, NewEmisData!$C:$C, $H46, NewEmisData!$D:$D, CY$6)</f>
        <v>6.7587032892351797E-3</v>
      </c>
      <c r="CZ46" s="1111">
        <f>SUMIFS(NewEmisData!K:K, NewEmisData!$A:$A, $G46, NewEmisData!$B:$B, $A46, NewEmisData!$C:$C, $H46, NewEmisData!$D:$D, CZ$6)</f>
        <v>6.7553372449461798E-3</v>
      </c>
      <c r="DA46" s="1111">
        <f>SUMIFS(NewEmisData!L:L, NewEmisData!$A:$A, $G46, NewEmisData!$B:$B, $A46, NewEmisData!$C:$C, $H46, NewEmisData!$D:$D, DA$6)</f>
        <v>6.75420201921096E-3</v>
      </c>
      <c r="DB46" s="1111">
        <f>SUMIFS(NewEmisData!M:M, NewEmisData!$A:$A, $G46, NewEmisData!$B:$B, $A46, NewEmisData!$C:$C, $H46, NewEmisData!$D:$D, DB$6)</f>
        <v>6.7544025642624697E-3</v>
      </c>
      <c r="DC46" s="1111">
        <f t="shared" si="84"/>
        <v>6.7544025642624697E-3</v>
      </c>
      <c r="DD46" s="1111">
        <v>0.39397857160683847</v>
      </c>
      <c r="DE46" s="1111">
        <v>0.22910001041476069</v>
      </c>
      <c r="DF46" s="1111">
        <v>9.3891703000443583E-2</v>
      </c>
      <c r="DG46" s="1111">
        <v>1.7189501227545343E-2</v>
      </c>
      <c r="DH46" s="1111">
        <v>1.6160522719819933E-3</v>
      </c>
      <c r="DI46" s="1111">
        <v>1.6049653935622851E-3</v>
      </c>
      <c r="DJ46" s="1111">
        <v>1.6049983985356002E-3</v>
      </c>
      <c r="DK46" s="1111">
        <v>1.6098230122520154E-3</v>
      </c>
      <c r="DL46" s="1111">
        <v>1.6179747100716357E-3</v>
      </c>
      <c r="DM46" s="1111">
        <v>1.6245560853542357E-3</v>
      </c>
      <c r="DN46" s="1111">
        <v>1.6245560853542357E-3</v>
      </c>
      <c r="DO46" s="1111">
        <v>0.2153272217366988</v>
      </c>
      <c r="DP46" s="1111">
        <v>0.14953249017733392</v>
      </c>
      <c r="DQ46" s="1111">
        <v>6.7441600946284805E-2</v>
      </c>
      <c r="DR46" s="1111">
        <v>1.3565246309733816E-2</v>
      </c>
      <c r="DS46" s="1111">
        <v>2.8097295233125079E-3</v>
      </c>
      <c r="DT46" s="1111">
        <v>2.7904533416799396E-3</v>
      </c>
      <c r="DU46" s="1111">
        <v>2.7905106381460811E-3</v>
      </c>
      <c r="DV46" s="1111">
        <v>2.798898953096617E-3</v>
      </c>
      <c r="DW46" s="1111">
        <v>2.8130718384443347E-3</v>
      </c>
      <c r="DX46" s="1111">
        <v>2.824514428110457E-3</v>
      </c>
      <c r="DY46" s="1111">
        <v>2.824514428110457E-3</v>
      </c>
      <c r="DZ46" s="1111">
        <f t="shared" si="85"/>
        <v>2.0740750969478802E-2</v>
      </c>
      <c r="EA46" s="1111">
        <f>SUMIFS(NewEmisData!E:E, NewEmisData!$A:$A, $G46, NewEmisData!$B:$B, $A46, NewEmisData!$C:$C, $H46, NewEmisData!$D:$D, EA$6)</f>
        <v>2.0740750969478802E-2</v>
      </c>
      <c r="EB46" s="1111">
        <f>SUMIFS(NewEmisData!F:F, NewEmisData!$A:$A, $G46, NewEmisData!$B:$B, $A46, NewEmisData!$C:$C, $H46, NewEmisData!$D:$D, EB$6)</f>
        <v>7.9476630685157604E-2</v>
      </c>
      <c r="EC46" s="1111">
        <f>SUMIFS(NewEmisData!G:G, NewEmisData!$A:$A, $G46, NewEmisData!$B:$B, $A46, NewEmisData!$C:$C, $H46, NewEmisData!$D:$D, EC$6)</f>
        <v>0.132995121584536</v>
      </c>
      <c r="ED46" s="1111">
        <f>SUMIFS(NewEmisData!H:H, NewEmisData!$A:$A, $G46, NewEmisData!$B:$B, $A46, NewEmisData!$C:$C, $H46, NewEmisData!$D:$D, ED$6)</f>
        <v>0.13480815363144</v>
      </c>
      <c r="EE46" s="1111">
        <f>SUMIFS(NewEmisData!I:I, NewEmisData!$A:$A, $G46, NewEmisData!$B:$B, $A46, NewEmisData!$C:$C, $H46, NewEmisData!$D:$D, EE$6)</f>
        <v>0.13505884947628399</v>
      </c>
      <c r="EF46" s="1111">
        <f>SUMIFS(NewEmisData!J:J, NewEmisData!$A:$A, $G46, NewEmisData!$B:$B, $A46, NewEmisData!$C:$C, $H46, NewEmisData!$D:$D, EF$6)</f>
        <v>0.13476923534058399</v>
      </c>
      <c r="EG46" s="1111">
        <f>SUMIFS(NewEmisData!K:K, NewEmisData!$A:$A, $G46, NewEmisData!$B:$B, $A46, NewEmisData!$C:$C, $H46, NewEmisData!$D:$D, EG$6)</f>
        <v>0.13483063017123001</v>
      </c>
      <c r="EH46" s="1111">
        <f>SUMIFS(NewEmisData!L:L, NewEmisData!$A:$A, $G46, NewEmisData!$B:$B, $A46, NewEmisData!$C:$C, $H46, NewEmisData!$D:$D, EH$6)</f>
        <v>0.13476298539555601</v>
      </c>
      <c r="EI46" s="1111">
        <f>SUMIFS(NewEmisData!M:M, NewEmisData!$A:$A, $G46, NewEmisData!$B:$B, $A46, NewEmisData!$C:$C, $H46, NewEmisData!$D:$D, EI$6)</f>
        <v>0.134758213223449</v>
      </c>
      <c r="EJ46" s="1111">
        <f t="shared" si="86"/>
        <v>0.134758213223449</v>
      </c>
      <c r="EK46" s="1111">
        <f t="shared" si="87"/>
        <v>1482.5754764799101</v>
      </c>
      <c r="EL46" s="1111">
        <f t="shared" si="48"/>
        <v>1482.5754764799101</v>
      </c>
      <c r="EM46" s="1111">
        <f t="shared" si="49"/>
        <v>1635.6442478660899</v>
      </c>
      <c r="EN46" s="1111">
        <f t="shared" si="50"/>
        <v>2107.1372534500802</v>
      </c>
      <c r="EO46" s="1111">
        <f t="shared" si="51"/>
        <v>2071.9319953702902</v>
      </c>
      <c r="EP46" s="1111">
        <f t="shared" si="52"/>
        <v>2048.5012080599699</v>
      </c>
      <c r="EQ46" s="1111">
        <f t="shared" si="53"/>
        <v>2041.23090502932</v>
      </c>
      <c r="ER46" s="1111">
        <f t="shared" si="54"/>
        <v>2038.8712683316101</v>
      </c>
      <c r="ES46" s="1111">
        <f t="shared" si="55"/>
        <v>2037.89380685326</v>
      </c>
      <c r="ET46" s="1111">
        <f t="shared" si="56"/>
        <v>2037.18147825705</v>
      </c>
      <c r="EU46" s="1111">
        <f t="shared" si="57"/>
        <v>2037.18147825705</v>
      </c>
      <c r="EV46" s="1111">
        <f t="shared" si="88"/>
        <v>11.638950039279999</v>
      </c>
      <c r="EW46" s="1111">
        <f t="shared" si="38"/>
        <v>11.638950039279999</v>
      </c>
      <c r="EX46" s="1111">
        <f t="shared" si="39"/>
        <v>6.7839244745049401</v>
      </c>
      <c r="EY46" s="1111">
        <f t="shared" si="40"/>
        <v>4.3925354378646304</v>
      </c>
      <c r="EZ46" s="1111">
        <f t="shared" si="41"/>
        <v>2.6191347420861701</v>
      </c>
      <c r="FA46" s="1111">
        <f t="shared" si="42"/>
        <v>2.06534470659102</v>
      </c>
      <c r="FB46" s="1111">
        <f t="shared" si="43"/>
        <v>1.9514955612034099</v>
      </c>
      <c r="FC46" s="1111">
        <f t="shared" si="44"/>
        <v>1.9247847205619899</v>
      </c>
      <c r="FD46" s="1111">
        <f t="shared" si="45"/>
        <v>1.9239170224512001</v>
      </c>
      <c r="FE46" s="1111">
        <f t="shared" si="46"/>
        <v>1.92345457739672</v>
      </c>
      <c r="FF46" s="1111">
        <f t="shared" si="47"/>
        <v>1.92345457739672</v>
      </c>
      <c r="FG46" s="1111">
        <f t="shared" si="100"/>
        <v>3.6844240816642601E-2</v>
      </c>
      <c r="FH46" s="1111">
        <f t="shared" si="101"/>
        <v>3.6844240816642601E-2</v>
      </c>
      <c r="FI46" s="1111">
        <f t="shared" si="102"/>
        <v>3.9353507212849297E-2</v>
      </c>
      <c r="FJ46" s="1111">
        <f t="shared" si="103"/>
        <v>1.7702463178777099E-2</v>
      </c>
      <c r="FK46" s="1111">
        <f t="shared" si="104"/>
        <v>1.7311059741913899E-2</v>
      </c>
      <c r="FL46" s="1111">
        <f t="shared" si="105"/>
        <v>1.70853991434037E-2</v>
      </c>
      <c r="FM46" s="1111">
        <f t="shared" si="106"/>
        <v>1.70195621794277E-2</v>
      </c>
      <c r="FN46" s="1111">
        <f t="shared" si="107"/>
        <v>1.69983226363635E-2</v>
      </c>
      <c r="FO46" s="1111">
        <f t="shared" si="108"/>
        <v>1.6990168303807101E-2</v>
      </c>
      <c r="FP46" s="1111">
        <f t="shared" si="109"/>
        <v>1.69842326570817E-2</v>
      </c>
      <c r="FQ46" s="1111">
        <f t="shared" si="110"/>
        <v>1.69842326570817E-2</v>
      </c>
      <c r="FR46" s="1111">
        <f t="shared" si="25"/>
        <v>1.2647150782943599</v>
      </c>
      <c r="FS46" s="1111">
        <f t="shared" si="26"/>
        <v>1.2647150782943599</v>
      </c>
      <c r="FT46" s="1111">
        <f t="shared" si="27"/>
        <v>0.82297495230985995</v>
      </c>
      <c r="FU46" s="1111">
        <f t="shared" si="28"/>
        <v>0.78295839522434196</v>
      </c>
      <c r="FV46" s="1111">
        <f t="shared" si="29"/>
        <v>0.68016675260069404</v>
      </c>
      <c r="FW46" s="1111">
        <f t="shared" si="30"/>
        <v>0.64888550894506702</v>
      </c>
      <c r="FX46" s="1111">
        <f t="shared" si="31"/>
        <v>0.64362415371119697</v>
      </c>
      <c r="FY46" s="1111">
        <f t="shared" si="32"/>
        <v>0.64216665150257801</v>
      </c>
      <c r="FZ46" s="1111">
        <f t="shared" si="33"/>
        <v>0.64212477573891902</v>
      </c>
      <c r="GA46" s="1111">
        <f t="shared" si="34"/>
        <v>0.64210952076406802</v>
      </c>
      <c r="GB46" s="1111">
        <f t="shared" si="35"/>
        <v>0.64210952076406802</v>
      </c>
      <c r="GC46" s="1111">
        <f t="shared" si="59"/>
        <v>0.85268225231092398</v>
      </c>
      <c r="GD46" s="1111">
        <f t="shared" si="60"/>
        <v>0.85268225231092398</v>
      </c>
      <c r="GE46" s="1111">
        <f t="shared" si="61"/>
        <v>0.44197863249122399</v>
      </c>
      <c r="GF46" s="1111">
        <f t="shared" si="62"/>
        <v>0.24083520219764601</v>
      </c>
      <c r="GG46" s="1111">
        <f t="shared" si="63"/>
        <v>0.148362414161788</v>
      </c>
      <c r="GH46" s="1111">
        <f t="shared" si="64"/>
        <v>0.11982020029779999</v>
      </c>
      <c r="GI46" s="1111">
        <f t="shared" si="65"/>
        <v>0.115075397080156</v>
      </c>
      <c r="GJ46" s="1111">
        <f t="shared" si="66"/>
        <v>0.113741063740516</v>
      </c>
      <c r="GK46" s="1111">
        <f t="shared" si="67"/>
        <v>0.113717400839903</v>
      </c>
      <c r="GL46" s="1111">
        <f t="shared" si="68"/>
        <v>0.11370438522677</v>
      </c>
      <c r="GM46" s="1111">
        <f t="shared" si="69"/>
        <v>0.11370438522677</v>
      </c>
    </row>
    <row r="47" spans="1:195" x14ac:dyDescent="0.2">
      <c r="A47" s="1071" t="s">
        <v>184</v>
      </c>
      <c r="B47" s="1071" t="str">
        <f>Technologies!C137</f>
        <v>THSDSLE</v>
      </c>
      <c r="C47" s="1071" t="str">
        <f>Technologies!D137</f>
        <v>Heavy Truck, Short Haul, Diesel exisiting</v>
      </c>
      <c r="D47" s="1071" t="str">
        <f>NewTech!D86</f>
        <v>bn-vmt, bn-vmt/a</v>
      </c>
      <c r="E47" s="1071" t="str">
        <f>Commodities!C44</f>
        <v>THDSL</v>
      </c>
      <c r="F47" s="1071" t="s">
        <v>98</v>
      </c>
      <c r="G47" s="1110" t="s">
        <v>505</v>
      </c>
      <c r="H47" s="1111" t="s">
        <v>499</v>
      </c>
      <c r="I47" s="1112">
        <v>1</v>
      </c>
      <c r="J47" s="1111" t="str">
        <f t="shared" si="37"/>
        <v>Heavy duty short haul truck-DSL</v>
      </c>
      <c r="K47" s="1111">
        <f>SUMIFS(NewEmisData!E:E, NewEmisData!$A:$A, $G47, NewEmisData!$B:$B, $A47, NewEmisData!$C:$C, $H47, NewEmisData!$D:$D, K$6)</f>
        <v>1319.49151917881</v>
      </c>
      <c r="L47" s="1111">
        <f>SUMIFS(NewEmisData!F:F, NewEmisData!$A:$A, $G47, NewEmisData!$B:$B, $A47, NewEmisData!$C:$C, $H47, NewEmisData!$D:$D, L$6)</f>
        <v>1464.7581509516101</v>
      </c>
      <c r="M47" s="1111">
        <f>SUMIFS(NewEmisData!G:G, NewEmisData!$A:$A, $G47, NewEmisData!$B:$B, $A47, NewEmisData!$C:$C, $H47, NewEmisData!$D:$D, M$6)</f>
        <v>1799.86335243286</v>
      </c>
      <c r="N47" s="1111">
        <f>SUMIFS(NewEmisData!H:H, NewEmisData!$A:$A, $G47, NewEmisData!$B:$B, $A47, NewEmisData!$C:$C, $H47, NewEmisData!$D:$D, N$6)</f>
        <v>1770.55999347335</v>
      </c>
      <c r="O47" s="1111">
        <f>SUMIFS(NewEmisData!I:I, NewEmisData!$A:$A, $G47, NewEmisData!$B:$B, $A47, NewEmisData!$C:$C, $H47, NewEmisData!$D:$D, O$6)</f>
        <v>1751.5422550708799</v>
      </c>
      <c r="P47" s="1111">
        <f>SUMIFS(NewEmisData!J:J, NewEmisData!$A:$A, $G47, NewEmisData!$B:$B, $A47, NewEmisData!$C:$C, $H47, NewEmisData!$D:$D, P$6)</f>
        <v>1745.6010707511</v>
      </c>
      <c r="Q47" s="1111">
        <f>SUMIFS(NewEmisData!K:K, NewEmisData!$A:$A, $G47, NewEmisData!$B:$B, $A47, NewEmisData!$C:$C, $H47, NewEmisData!$D:$D, Q$6)</f>
        <v>1743.5885799002001</v>
      </c>
      <c r="R47" s="1111">
        <f>SUMIFS(NewEmisData!L:L, NewEmisData!$A:$A, $G47, NewEmisData!$B:$B, $A47, NewEmisData!$C:$C, $H47, NewEmisData!$D:$D, R$6)</f>
        <v>1742.6485789820999</v>
      </c>
      <c r="S47" s="1111">
        <f>SUMIFS(NewEmisData!M:M, NewEmisData!$A:$A, $G47, NewEmisData!$B:$B, $A47, NewEmisData!$C:$C, $H47, NewEmisData!$D:$D, S$6)</f>
        <v>1741.9127550599401</v>
      </c>
      <c r="T47" s="1111">
        <f t="shared" si="17"/>
        <v>1741.9127550599401</v>
      </c>
      <c r="U47" s="1111">
        <f>SUMIFS(NewEmisData!E:E, NewEmisData!$A:$A, $G47, NewEmisData!$B:$B, $A47, NewEmisData!$C:$C, $H47, NewEmisData!$D:$D, U$6)</f>
        <v>10.6053442608649</v>
      </c>
      <c r="V47" s="1111">
        <f>SUMIFS(NewEmisData!F:F, NewEmisData!$A:$A, $G47, NewEmisData!$B:$B, $A47, NewEmisData!$C:$C, $H47, NewEmisData!$D:$D, V$6)</f>
        <v>6.5449635614234403</v>
      </c>
      <c r="W47" s="1111">
        <f>SUMIFS(NewEmisData!G:G, NewEmisData!$A:$A, $G47, NewEmisData!$B:$B, $A47, NewEmisData!$C:$C, $H47, NewEmisData!$D:$D, W$6)</f>
        <v>3.6787180180936701</v>
      </c>
      <c r="X47" s="1111">
        <f>SUMIFS(NewEmisData!H:H, NewEmisData!$A:$A, $G47, NewEmisData!$B:$B, $A47, NewEmisData!$C:$C, $H47, NewEmisData!$D:$D, X$6)</f>
        <v>2.2004570236663401</v>
      </c>
      <c r="Y47" s="1111">
        <f>SUMIFS(NewEmisData!I:I, NewEmisData!$A:$A, $G47, NewEmisData!$B:$B, $A47, NewEmisData!$C:$C, $H47, NewEmisData!$D:$D, Y$6)</f>
        <v>1.7396673866677801</v>
      </c>
      <c r="Z47" s="1111">
        <f>SUMIFS(NewEmisData!J:J, NewEmisData!$A:$A, $G47, NewEmisData!$B:$B, $A47, NewEmisData!$C:$C, $H47, NewEmisData!$D:$D, Z$6)</f>
        <v>1.64503462199088</v>
      </c>
      <c r="AA47" s="1111">
        <f>SUMIFS(NewEmisData!K:K, NewEmisData!$A:$A, $G47, NewEmisData!$B:$B, $A47, NewEmisData!$C:$C, $H47, NewEmisData!$D:$D, AA$6)</f>
        <v>1.62266726199586</v>
      </c>
      <c r="AB47" s="1111">
        <f>SUMIFS(NewEmisData!L:L, NewEmisData!$A:$A, $G47, NewEmisData!$B:$B, $A47, NewEmisData!$C:$C, $H47, NewEmisData!$D:$D, AB$6)</f>
        <v>1.62186968240176</v>
      </c>
      <c r="AC47" s="1111">
        <f>SUMIFS(NewEmisData!M:M, NewEmisData!$A:$A, $G47, NewEmisData!$B:$B, $A47, NewEmisData!$C:$C, $H47, NewEmisData!$D:$D, AC$6)</f>
        <v>1.62139928384052</v>
      </c>
      <c r="AD47" s="1111">
        <f t="shared" si="18"/>
        <v>1.62139928384052</v>
      </c>
      <c r="AE47" s="1111">
        <f t="shared" si="70"/>
        <v>3.2753858750071897E-2</v>
      </c>
      <c r="AF47" s="1111">
        <f>SUMIFS(NewEmisData!E:E, NewEmisData!$A:$A, $G47, NewEmisData!$B:$B, $A47, NewEmisData!$C:$C, $H47, NewEmisData!$D:$D, AF$6)</f>
        <v>3.2753858750071897E-2</v>
      </c>
      <c r="AG47" s="1111">
        <f>SUMIFS(NewEmisData!F:F, NewEmisData!$A:$A, $G47, NewEmisData!$B:$B, $A47, NewEmisData!$C:$C, $H47, NewEmisData!$D:$D, AG$6)</f>
        <v>3.5451037141744003E-2</v>
      </c>
      <c r="AH47" s="1111">
        <f>SUMIFS(NewEmisData!G:G, NewEmisData!$A:$A, $G47, NewEmisData!$B:$B, $A47, NewEmisData!$C:$C, $H47, NewEmisData!$D:$D, AH$6)</f>
        <v>1.5119273460284501E-2</v>
      </c>
      <c r="AI47" s="1111">
        <f>SUMIFS(NewEmisData!H:H, NewEmisData!$A:$A, $G47, NewEmisData!$B:$B, $A47, NewEmisData!$C:$C, $H47, NewEmisData!$D:$D, AI$6)</f>
        <v>1.47924708148466E-2</v>
      </c>
      <c r="AJ47" s="1111">
        <f>SUMIFS(NewEmisData!I:I, NewEmisData!$A:$A, $G47, NewEmisData!$B:$B, $A47, NewEmisData!$C:$C, $H47, NewEmisData!$D:$D, AJ$6)</f>
        <v>1.4608534822893701E-2</v>
      </c>
      <c r="AK47" s="1111">
        <f>SUMIFS(NewEmisData!J:J, NewEmisData!$A:$A, $G47, NewEmisData!$B:$B, $A47, NewEmisData!$C:$C, $H47, NewEmisData!$D:$D, AK$6)</f>
        <v>1.45546061834944E-2</v>
      </c>
      <c r="AL47" s="1111">
        <f>SUMIFS(NewEmisData!K:K, NewEmisData!$A:$A, $G47, NewEmisData!$B:$B, $A47, NewEmisData!$C:$C, $H47, NewEmisData!$D:$D, AL$6)</f>
        <v>1.4536510442551E-2</v>
      </c>
      <c r="AM47" s="1111">
        <f>SUMIFS(NewEmisData!L:L, NewEmisData!$A:$A, $G47, NewEmisData!$B:$B, $A47, NewEmisData!$C:$C, $H47, NewEmisData!$D:$D, AM$6)</f>
        <v>1.4528668182896999E-2</v>
      </c>
      <c r="AN47" s="1111">
        <f>SUMIFS(NewEmisData!M:M, NewEmisData!$A:$A, $G47, NewEmisData!$B:$B, $A47, NewEmisData!$C:$C, $H47, NewEmisData!$D:$D, AN$6)</f>
        <v>1.45225405658348E-2</v>
      </c>
      <c r="AO47" s="1111">
        <f t="shared" si="71"/>
        <v>1.45225405658348E-2</v>
      </c>
      <c r="AP47" s="1111">
        <f t="shared" si="72"/>
        <v>1.04983400982203</v>
      </c>
      <c r="AQ47" s="1111">
        <f>SUMIFS(NewEmisData!E:E, NewEmisData!$A:$A, $G47, NewEmisData!$B:$B, $A47, NewEmisData!$C:$C, $H47, NewEmisData!$D:$D, AQ$6)</f>
        <v>1.04983400982203</v>
      </c>
      <c r="AR47" s="1111">
        <f>SUMIFS(NewEmisData!F:F, NewEmisData!$A:$A, $G47, NewEmisData!$B:$B, $A47, NewEmisData!$C:$C, $H47, NewEmisData!$D:$D, AR$6)</f>
        <v>0.72832653653898105</v>
      </c>
      <c r="AS47" s="1111">
        <f>SUMIFS(NewEmisData!G:G, NewEmisData!$A:$A, $G47, NewEmisData!$B:$B, $A47, NewEmisData!$C:$C, $H47, NewEmisData!$D:$D, AS$6)</f>
        <v>0.58427614618818202</v>
      </c>
      <c r="AT47" s="1111">
        <f>SUMIFS(NewEmisData!H:H, NewEmisData!$A:$A, $G47, NewEmisData!$B:$B, $A47, NewEmisData!$C:$C, $H47, NewEmisData!$D:$D, AT$6)</f>
        <v>0.50134292856914997</v>
      </c>
      <c r="AU47" s="1111">
        <f>SUMIFS(NewEmisData!I:I, NewEmisData!$A:$A, $G47, NewEmisData!$B:$B, $A47, NewEmisData!$C:$C, $H47, NewEmisData!$D:$D, AU$6)</f>
        <v>0.47618546496589997</v>
      </c>
      <c r="AV47" s="1111">
        <f>SUMIFS(NewEmisData!J:J, NewEmisData!$A:$A, $G47, NewEmisData!$B:$B, $A47, NewEmisData!$C:$C, $H47, NewEmisData!$D:$D, AV$6)</f>
        <v>0.47190149656039998</v>
      </c>
      <c r="AW47" s="1111">
        <f>SUMIFS(NewEmisData!K:K, NewEmisData!$A:$A, $G47, NewEmisData!$B:$B, $A47, NewEmisData!$C:$C, $H47, NewEmisData!$D:$D, AW$6)</f>
        <v>0.47071689819165202</v>
      </c>
      <c r="AX47" s="1111">
        <f>SUMIFS(NewEmisData!L:L, NewEmisData!$A:$A, $G47, NewEmisData!$B:$B, $A47, NewEmisData!$C:$C, $H47, NewEmisData!$D:$D, AX$6)</f>
        <v>0.47069343749269799</v>
      </c>
      <c r="AY47" s="1111">
        <f>SUMIFS(NewEmisData!M:M, NewEmisData!$A:$A, $G47, NewEmisData!$B:$B, $A47, NewEmisData!$C:$C, $H47, NewEmisData!$D:$D, AY$6)</f>
        <v>0.47069114341764501</v>
      </c>
      <c r="AZ47" s="1111">
        <f t="shared" si="73"/>
        <v>0.47069114341764501</v>
      </c>
      <c r="BA47" s="1111">
        <f t="shared" si="74"/>
        <v>0.72578410583292197</v>
      </c>
      <c r="BB47" s="1111">
        <f>SUMIFS(NewEmisData!E:E, NewEmisData!$A:$A, $G47, NewEmisData!$B:$B, $A47, NewEmisData!$C:$C, $H47, NewEmisData!$D:$D, BB$6)</f>
        <v>0.72578410583292197</v>
      </c>
      <c r="BC47" s="1111">
        <f>SUMIFS(NewEmisData!F:F, NewEmisData!$A:$A, $G47, NewEmisData!$B:$B, $A47, NewEmisData!$C:$C, $H47, NewEmisData!$D:$D, BC$6)</f>
        <v>0.42763209762876098</v>
      </c>
      <c r="BD47" s="1111">
        <f>SUMIFS(NewEmisData!G:G, NewEmisData!$A:$A, $G47, NewEmisData!$B:$B, $A47, NewEmisData!$C:$C, $H47, NewEmisData!$D:$D, BD$6)</f>
        <v>0.18944103926397299</v>
      </c>
      <c r="BE47" s="1111">
        <f>SUMIFS(NewEmisData!H:H, NewEmisData!$A:$A, $G47, NewEmisData!$B:$B, $A47, NewEmisData!$C:$C, $H47, NewEmisData!$D:$D, BE$6)</f>
        <v>0.114666499637313</v>
      </c>
      <c r="BF47" s="1111">
        <f>SUMIFS(NewEmisData!I:I, NewEmisData!$A:$A, $G47, NewEmisData!$B:$B, $A47, NewEmisData!$C:$C, $H47, NewEmisData!$D:$D, BF$6)</f>
        <v>9.1724132402913702E-2</v>
      </c>
      <c r="BG47" s="1111">
        <f>SUMIFS(NewEmisData!J:J, NewEmisData!$A:$A, $G47, NewEmisData!$B:$B, $A47, NewEmisData!$C:$C, $H47, NewEmisData!$D:$D, BG$6)</f>
        <v>8.7857141954733695E-2</v>
      </c>
      <c r="BH47" s="1111">
        <f>SUMIFS(NewEmisData!K:K, NewEmisData!$A:$A, $G47, NewEmisData!$B:$B, $A47, NewEmisData!$C:$C, $H47, NewEmisData!$D:$D, BH$6)</f>
        <v>8.6767275626484494E-2</v>
      </c>
      <c r="BI47" s="1111">
        <f>SUMIFS(NewEmisData!L:L, NewEmisData!$A:$A, $G47, NewEmisData!$B:$B, $A47, NewEmisData!$C:$C, $H47, NewEmisData!$D:$D, BI$6)</f>
        <v>8.6748879396040507E-2</v>
      </c>
      <c r="BJ47" s="1111">
        <f>SUMIFS(NewEmisData!M:M, NewEmisData!$A:$A, $G47, NewEmisData!$B:$B, $A47, NewEmisData!$C:$C, $H47, NewEmisData!$D:$D, BJ$6)</f>
        <v>8.67391289437488E-2</v>
      </c>
      <c r="BK47" s="1111">
        <f t="shared" si="75"/>
        <v>8.67391289437488E-2</v>
      </c>
      <c r="BL47" s="1111">
        <f t="shared" si="76"/>
        <v>4.3049508481768202</v>
      </c>
      <c r="BM47" s="1111">
        <f>SUMIFS(NewEmisData!E:E, NewEmisData!$A:$A, $G47, NewEmisData!$B:$B, $A47, NewEmisData!$C:$C, $H47, NewEmisData!$D:$D, BM$6)</f>
        <v>4.3049508481768202</v>
      </c>
      <c r="BN47" s="1111">
        <f>SUMIFS(NewEmisData!F:F, NewEmisData!$A:$A, $G47, NewEmisData!$B:$B, $A47, NewEmisData!$C:$C, $H47, NewEmisData!$D:$D, BN$6)</f>
        <v>2.5543682877581499</v>
      </c>
      <c r="BO47" s="1111">
        <f>SUMIFS(NewEmisData!G:G, NewEmisData!$A:$A, $G47, NewEmisData!$B:$B, $A47, NewEmisData!$C:$C, $H47, NewEmisData!$D:$D, BO$6)</f>
        <v>1.41557635494585</v>
      </c>
      <c r="BP47" s="1111">
        <f>SUMIFS(NewEmisData!H:H, NewEmisData!$A:$A, $G47, NewEmisData!$B:$B, $A47, NewEmisData!$C:$C, $H47, NewEmisData!$D:$D, BP$6)</f>
        <v>0.97239499404962104</v>
      </c>
      <c r="BQ47" s="1111">
        <f>SUMIFS(NewEmisData!I:I, NewEmisData!$A:$A, $G47, NewEmisData!$B:$B, $A47, NewEmisData!$C:$C, $H47, NewEmisData!$D:$D, BQ$6)</f>
        <v>0.83818353775375698</v>
      </c>
      <c r="BR47" s="1111">
        <f>SUMIFS(NewEmisData!J:J, NewEmisData!$A:$A, $G47, NewEmisData!$B:$B, $A47, NewEmisData!$C:$C, $H47, NewEmisData!$D:$D, BR$6)</f>
        <v>0.80843597247967702</v>
      </c>
      <c r="BS47" s="1111">
        <f>SUMIFS(NewEmisData!K:K, NewEmisData!$A:$A, $G47, NewEmisData!$B:$B, $A47, NewEmisData!$C:$C, $H47, NewEmisData!$D:$D, BS$6)</f>
        <v>0.80034145030903103</v>
      </c>
      <c r="BT47" s="1111">
        <f>SUMIFS(NewEmisData!L:L, NewEmisData!$A:$A, $G47, NewEmisData!$B:$B, $A47, NewEmisData!$C:$C, $H47, NewEmisData!$D:$D, BT$6)</f>
        <v>0.79923379896798996</v>
      </c>
      <c r="BU47" s="1111">
        <f>SUMIFS(NewEmisData!M:M, NewEmisData!$A:$A, $G47, NewEmisData!$B:$B, $A47, NewEmisData!$C:$C, $H47, NewEmisData!$D:$D, BU$6)</f>
        <v>0.799086633890294</v>
      </c>
      <c r="BV47" s="1111">
        <f t="shared" si="83"/>
        <v>0.799086633890294</v>
      </c>
      <c r="BW47" s="1111">
        <f t="shared" si="77"/>
        <v>1.2471069760284099</v>
      </c>
      <c r="BX47" s="1111">
        <f>SUMIFS(NewEmisData!E:E, NewEmisData!$A:$A, $G47, NewEmisData!$B:$B, $A47, NewEmisData!$C:$C, $H47, NewEmisData!$D:$D, BX$6)</f>
        <v>1.2471069760284099</v>
      </c>
      <c r="BY47" s="1111">
        <f>SUMIFS(NewEmisData!F:F, NewEmisData!$A:$A, $G47, NewEmisData!$B:$B, $A47, NewEmisData!$C:$C, $H47, NewEmisData!$D:$D, BY$6)</f>
        <v>0.66664518440710496</v>
      </c>
      <c r="BZ47" s="1111">
        <f>SUMIFS(NewEmisData!G:G, NewEmisData!$A:$A, $G47, NewEmisData!$B:$B, $A47, NewEmisData!$C:$C, $H47, NewEmisData!$D:$D, BZ$6)</f>
        <v>0.32007282630831302</v>
      </c>
      <c r="CA47" s="1111">
        <f>SUMIFS(NewEmisData!H:H, NewEmisData!$A:$A, $G47, NewEmisData!$B:$B, $A47, NewEmisData!$C:$C, $H47, NewEmisData!$D:$D, CA$6)</f>
        <v>0.176542353194966</v>
      </c>
      <c r="CB47" s="1111">
        <f>SUMIFS(NewEmisData!I:I, NewEmisData!$A:$A, $G47, NewEmisData!$B:$B, $A47, NewEmisData!$C:$C, $H47, NewEmisData!$D:$D, CB$6)</f>
        <v>0.132926153663285</v>
      </c>
      <c r="CC47" s="1111">
        <f>SUMIFS(NewEmisData!J:J, NewEmisData!$A:$A, $G47, NewEmisData!$B:$B, $A47, NewEmisData!$C:$C, $H47, NewEmisData!$D:$D, CC$6)</f>
        <v>0.12423141693730599</v>
      </c>
      <c r="CD47" s="1111">
        <f>SUMIFS(NewEmisData!K:K, NewEmisData!$A:$A, $G47, NewEmisData!$B:$B, $A47, NewEmisData!$C:$C, $H47, NewEmisData!$D:$D, CD$6)</f>
        <v>0.121871982031799</v>
      </c>
      <c r="CE47" s="1111">
        <f>SUMIFS(NewEmisData!L:L, NewEmisData!$A:$A, $G47, NewEmisData!$B:$B, $A47, NewEmisData!$C:$C, $H47, NewEmisData!$D:$D, CE$6)</f>
        <v>0.121809764298298</v>
      </c>
      <c r="CF47" s="1111">
        <f>SUMIFS(NewEmisData!M:M, NewEmisData!$A:$A, $G47, NewEmisData!$B:$B, $A47, NewEmisData!$C:$C, $H47, NewEmisData!$D:$D, CF$6)</f>
        <v>0.121789215464539</v>
      </c>
      <c r="CG47" s="1111">
        <f t="shared" si="78"/>
        <v>0.121789215464539</v>
      </c>
      <c r="CH47" s="1111">
        <f t="shared" si="79"/>
        <v>2.61956847346188E-2</v>
      </c>
      <c r="CI47" s="1111">
        <f>SUMIFS(NewEmisData!E:E, NewEmisData!$A:$A, $G47, NewEmisData!$B:$B, $A47, NewEmisData!$C:$C, $H47, NewEmisData!$D:$D, CI$6)</f>
        <v>2.61956847346188E-2</v>
      </c>
      <c r="CJ47" s="1111">
        <f>SUMIFS(NewEmisData!F:F, NewEmisData!$A:$A, $G47, NewEmisData!$B:$B, $A47, NewEmisData!$C:$C, $H47, NewEmisData!$D:$D, CJ$6)</f>
        <v>2.6459582282205199E-2</v>
      </c>
      <c r="CK47" s="1111">
        <f>SUMIFS(NewEmisData!G:G, NewEmisData!$A:$A, $G47, NewEmisData!$B:$B, $A47, NewEmisData!$C:$C, $H47, NewEmisData!$D:$D, CK$6)</f>
        <v>3.3469493870709799E-2</v>
      </c>
      <c r="CL47" s="1111">
        <f>SUMIFS(NewEmisData!H:H, NewEmisData!$A:$A, $G47, NewEmisData!$B:$B, $A47, NewEmisData!$C:$C, $H47, NewEmisData!$D:$D, CL$6)</f>
        <v>3.3485441021182498E-2</v>
      </c>
      <c r="CM47" s="1111">
        <f>SUMIFS(NewEmisData!I:I, NewEmisData!$A:$A, $G47, NewEmisData!$B:$B, $A47, NewEmisData!$C:$C, $H47, NewEmisData!$D:$D, CM$6)</f>
        <v>3.3493620207947897E-2</v>
      </c>
      <c r="CN47" s="1111">
        <f>SUMIFS(NewEmisData!J:J, NewEmisData!$A:$A, $G47, NewEmisData!$B:$B, $A47, NewEmisData!$C:$C, $H47, NewEmisData!$D:$D, CN$6)</f>
        <v>3.3495964958687903E-2</v>
      </c>
      <c r="CO47" s="1111">
        <f>SUMIFS(NewEmisData!K:K, NewEmisData!$A:$A, $G47, NewEmisData!$B:$B, $A47, NewEmisData!$C:$C, $H47, NewEmisData!$D:$D, CO$6)</f>
        <v>3.3495912000105203E-2</v>
      </c>
      <c r="CP47" s="1111">
        <f>SUMIFS(NewEmisData!L:L, NewEmisData!$A:$A, $G47, NewEmisData!$B:$B, $A47, NewEmisData!$C:$C, $H47, NewEmisData!$D:$D, CP$6)</f>
        <v>3.3495078771151397E-2</v>
      </c>
      <c r="CQ47" s="1111">
        <f>SUMIFS(NewEmisData!M:M, NewEmisData!$A:$A, $G47, NewEmisData!$B:$B, $A47, NewEmisData!$C:$C, $H47, NewEmisData!$D:$D, CQ$6)</f>
        <v>3.34940363554617E-2</v>
      </c>
      <c r="CR47" s="1111">
        <f t="shared" si="80"/>
        <v>3.34940363554617E-2</v>
      </c>
      <c r="CS47" s="1111">
        <f t="shared" si="81"/>
        <v>3.5917736289565799E-3</v>
      </c>
      <c r="CT47" s="1111">
        <f>SUMIFS(NewEmisData!E:E, NewEmisData!$A:$A, $G47, NewEmisData!$B:$B, $A47, NewEmisData!$C:$C, $H47, NewEmisData!$D:$D, CT$6)</f>
        <v>3.5917736289565799E-3</v>
      </c>
      <c r="CU47" s="1111">
        <f>SUMIFS(NewEmisData!F:F, NewEmisData!$A:$A, $G47, NewEmisData!$B:$B, $A47, NewEmisData!$C:$C, $H47, NewEmisData!$D:$D, CU$6)</f>
        <v>3.6091903831295602E-3</v>
      </c>
      <c r="CV47" s="1111">
        <f>SUMIFS(NewEmisData!G:G, NewEmisData!$A:$A, $G47, NewEmisData!$B:$B, $A47, NewEmisData!$C:$C, $H47, NewEmisData!$D:$D, CV$6)</f>
        <v>5.2505206053814202E-3</v>
      </c>
      <c r="CW47" s="1111">
        <f>SUMIFS(NewEmisData!H:H, NewEmisData!$A:$A, $G47, NewEmisData!$B:$B, $A47, NewEmisData!$C:$C, $H47, NewEmisData!$D:$D, CW$6)</f>
        <v>5.2355362521004402E-3</v>
      </c>
      <c r="CX47" s="1111">
        <f>SUMIFS(NewEmisData!I:I, NewEmisData!$A:$A, $G47, NewEmisData!$B:$B, $A47, NewEmisData!$C:$C, $H47, NewEmisData!$D:$D, CX$6)</f>
        <v>5.2243063278227799E-3</v>
      </c>
      <c r="CY47" s="1111">
        <f>SUMIFS(NewEmisData!J:J, NewEmisData!$A:$A, $G47, NewEmisData!$B:$B, $A47, NewEmisData!$C:$C, $H47, NewEmisData!$D:$D, CY$6)</f>
        <v>5.2188288195051304E-3</v>
      </c>
      <c r="CZ47" s="1111">
        <f>SUMIFS(NewEmisData!K:K, NewEmisData!$A:$A, $G47, NewEmisData!$B:$B, $A47, NewEmisData!$C:$C, $H47, NewEmisData!$D:$D, CZ$6)</f>
        <v>5.2164145073888097E-3</v>
      </c>
      <c r="DA47" s="1111">
        <f>SUMIFS(NewEmisData!L:L, NewEmisData!$A:$A, $G47, NewEmisData!$B:$B, $A47, NewEmisData!$C:$C, $H47, NewEmisData!$D:$D, DA$6)</f>
        <v>5.2155948103937101E-3</v>
      </c>
      <c r="DB47" s="1111">
        <f>SUMIFS(NewEmisData!M:M, NewEmisData!$A:$A, $G47, NewEmisData!$B:$B, $A47, NewEmisData!$C:$C, $H47, NewEmisData!$D:$D, DB$6)</f>
        <v>5.2157496356988403E-3</v>
      </c>
      <c r="DC47" s="1111">
        <f t="shared" si="84"/>
        <v>5.2157496356988403E-3</v>
      </c>
      <c r="DD47" s="1111"/>
      <c r="DE47" s="1111"/>
      <c r="DF47" s="1111"/>
      <c r="DG47" s="1111"/>
      <c r="DH47" s="1111"/>
      <c r="DI47" s="1111"/>
      <c r="DJ47" s="1111"/>
      <c r="DK47" s="1111"/>
      <c r="DL47" s="1111"/>
      <c r="DM47" s="1111"/>
      <c r="DN47" s="1111"/>
      <c r="DO47" s="1111"/>
      <c r="DP47" s="1111"/>
      <c r="DQ47" s="1111"/>
      <c r="DR47" s="1111"/>
      <c r="DS47" s="1111"/>
      <c r="DT47" s="1111"/>
      <c r="DU47" s="1111"/>
      <c r="DV47" s="1111"/>
      <c r="DW47" s="1111"/>
      <c r="DX47" s="1111"/>
      <c r="DY47" s="1111"/>
      <c r="DZ47" s="1111">
        <f t="shared" si="85"/>
        <v>1.80110275159466E-2</v>
      </c>
      <c r="EA47" s="1111">
        <f>SUMIFS(NewEmisData!E:E, NewEmisData!$A:$A, $G47, NewEmisData!$B:$B, $A47, NewEmisData!$C:$C, $H47, NewEmisData!$D:$D, EA$6)</f>
        <v>1.80110275159466E-2</v>
      </c>
      <c r="EB47" s="1111">
        <f>SUMIFS(NewEmisData!F:F, NewEmisData!$A:$A, $G47, NewEmisData!$B:$B, $A47, NewEmisData!$C:$C, $H47, NewEmisData!$D:$D, EB$6)</f>
        <v>5.9415032543044199E-2</v>
      </c>
      <c r="EC47" s="1111">
        <f>SUMIFS(NewEmisData!G:G, NewEmisData!$A:$A, $G47, NewEmisData!$B:$B, $A47, NewEmisData!$C:$C, $H47, NewEmisData!$D:$D, EC$6)</f>
        <v>0.10406778688120299</v>
      </c>
      <c r="ED47" s="1111">
        <f>SUMIFS(NewEmisData!H:H, NewEmisData!$A:$A, $G47, NewEmisData!$B:$B, $A47, NewEmisData!$C:$C, $H47, NewEmisData!$D:$D, ED$6)</f>
        <v>0.105321093135052</v>
      </c>
      <c r="EE47" s="1111">
        <f>SUMIFS(NewEmisData!I:I, NewEmisData!$A:$A, $G47, NewEmisData!$B:$B, $A47, NewEmisData!$C:$C, $H47, NewEmisData!$D:$D, EE$6)</f>
        <v>0.10543994105987201</v>
      </c>
      <c r="EF47" s="1111">
        <f>SUMIFS(NewEmisData!J:J, NewEmisData!$A:$A, $G47, NewEmisData!$B:$B, $A47, NewEmisData!$C:$C, $H47, NewEmisData!$D:$D, EF$6)</f>
        <v>0.105208381907267</v>
      </c>
      <c r="EG47" s="1111">
        <f>SUMIFS(NewEmisData!K:K, NewEmisData!$A:$A, $G47, NewEmisData!$B:$B, $A47, NewEmisData!$C:$C, $H47, NewEmisData!$D:$D, EG$6)</f>
        <v>0.105244034731584</v>
      </c>
      <c r="EH47" s="1111">
        <f>SUMIFS(NewEmisData!L:L, NewEmisData!$A:$A, $G47, NewEmisData!$B:$B, $A47, NewEmisData!$C:$C, $H47, NewEmisData!$D:$D, EH$6)</f>
        <v>0.10519712220805</v>
      </c>
      <c r="EI47" s="1111">
        <f>SUMIFS(NewEmisData!M:M, NewEmisData!$A:$A, $G47, NewEmisData!$B:$B, $A47, NewEmisData!$C:$C, $H47, NewEmisData!$D:$D, EI$6)</f>
        <v>0.105194222004308</v>
      </c>
      <c r="EJ47" s="1111">
        <f t="shared" si="86"/>
        <v>0.105194222004308</v>
      </c>
      <c r="EK47" s="1111">
        <f t="shared" si="87"/>
        <v>1319.49151917881</v>
      </c>
      <c r="EL47" s="1111">
        <f t="shared" si="48"/>
        <v>1319.49151917881</v>
      </c>
      <c r="EM47" s="1111">
        <f t="shared" si="49"/>
        <v>1464.7581509516101</v>
      </c>
      <c r="EN47" s="1111">
        <f t="shared" si="50"/>
        <v>1799.86335243286</v>
      </c>
      <c r="EO47" s="1111">
        <f t="shared" si="51"/>
        <v>1770.55999347335</v>
      </c>
      <c r="EP47" s="1111">
        <f t="shared" si="52"/>
        <v>1751.5422550708799</v>
      </c>
      <c r="EQ47" s="1111">
        <f t="shared" si="53"/>
        <v>1745.6010707511</v>
      </c>
      <c r="ER47" s="1111">
        <f t="shared" si="54"/>
        <v>1743.5885799002001</v>
      </c>
      <c r="ES47" s="1111">
        <f t="shared" si="55"/>
        <v>1742.6485789820999</v>
      </c>
      <c r="ET47" s="1111">
        <f t="shared" si="56"/>
        <v>1741.9127550599401</v>
      </c>
      <c r="EU47" s="1111">
        <f t="shared" si="57"/>
        <v>1741.9127550599401</v>
      </c>
      <c r="EV47" s="1111">
        <f t="shared" si="88"/>
        <v>10.6053442608649</v>
      </c>
      <c r="EW47" s="1111">
        <f t="shared" si="38"/>
        <v>10.6053442608649</v>
      </c>
      <c r="EX47" s="1111">
        <f t="shared" si="39"/>
        <v>6.5449635614234403</v>
      </c>
      <c r="EY47" s="1111">
        <f t="shared" si="40"/>
        <v>3.6787180180936701</v>
      </c>
      <c r="EZ47" s="1111">
        <f t="shared" si="41"/>
        <v>2.2004570236663401</v>
      </c>
      <c r="FA47" s="1111">
        <f t="shared" si="42"/>
        <v>1.7396673866677801</v>
      </c>
      <c r="FB47" s="1111">
        <f t="shared" si="43"/>
        <v>1.64503462199088</v>
      </c>
      <c r="FC47" s="1111">
        <f t="shared" si="44"/>
        <v>1.62266726199586</v>
      </c>
      <c r="FD47" s="1111">
        <f t="shared" si="45"/>
        <v>1.62186968240176</v>
      </c>
      <c r="FE47" s="1111">
        <f t="shared" si="46"/>
        <v>1.62139928384052</v>
      </c>
      <c r="FF47" s="1111">
        <f t="shared" si="47"/>
        <v>1.62139928384052</v>
      </c>
      <c r="FG47" s="1111">
        <f t="shared" si="100"/>
        <v>3.2753858750071897E-2</v>
      </c>
      <c r="FH47" s="1111">
        <f t="shared" si="101"/>
        <v>3.2753858750071897E-2</v>
      </c>
      <c r="FI47" s="1111">
        <f t="shared" si="102"/>
        <v>3.5451037141744003E-2</v>
      </c>
      <c r="FJ47" s="1111">
        <f t="shared" si="103"/>
        <v>1.5119273460284501E-2</v>
      </c>
      <c r="FK47" s="1111">
        <f t="shared" si="104"/>
        <v>1.47924708148466E-2</v>
      </c>
      <c r="FL47" s="1111">
        <f t="shared" si="105"/>
        <v>1.4608534822893701E-2</v>
      </c>
      <c r="FM47" s="1111">
        <f t="shared" si="106"/>
        <v>1.45546061834944E-2</v>
      </c>
      <c r="FN47" s="1111">
        <f t="shared" si="107"/>
        <v>1.4536510442551E-2</v>
      </c>
      <c r="FO47" s="1111">
        <f t="shared" si="108"/>
        <v>1.4528668182896999E-2</v>
      </c>
      <c r="FP47" s="1111">
        <f t="shared" si="109"/>
        <v>1.45225405658348E-2</v>
      </c>
      <c r="FQ47" s="1111">
        <f t="shared" si="110"/>
        <v>1.45225405658348E-2</v>
      </c>
      <c r="FR47" s="1111">
        <f t="shared" si="25"/>
        <v>1.04983400982203</v>
      </c>
      <c r="FS47" s="1111">
        <f t="shared" si="26"/>
        <v>1.04983400982203</v>
      </c>
      <c r="FT47" s="1111">
        <f t="shared" si="27"/>
        <v>0.72832653653898105</v>
      </c>
      <c r="FU47" s="1111">
        <f t="shared" si="28"/>
        <v>0.58427614618818202</v>
      </c>
      <c r="FV47" s="1111">
        <f t="shared" si="29"/>
        <v>0.50134292856914997</v>
      </c>
      <c r="FW47" s="1111">
        <f t="shared" si="30"/>
        <v>0.47618546496589997</v>
      </c>
      <c r="FX47" s="1111">
        <f t="shared" si="31"/>
        <v>0.47190149656039998</v>
      </c>
      <c r="FY47" s="1111">
        <f t="shared" si="32"/>
        <v>0.47071689819165202</v>
      </c>
      <c r="FZ47" s="1111">
        <f t="shared" si="33"/>
        <v>0.47069343749269799</v>
      </c>
      <c r="GA47" s="1111">
        <f t="shared" si="34"/>
        <v>0.47069114341764501</v>
      </c>
      <c r="GB47" s="1111">
        <f t="shared" si="35"/>
        <v>0.47069114341764501</v>
      </c>
      <c r="GC47" s="1111">
        <f t="shared" si="59"/>
        <v>0.72578410583292197</v>
      </c>
      <c r="GD47" s="1111">
        <f t="shared" si="60"/>
        <v>0.72578410583292197</v>
      </c>
      <c r="GE47" s="1111">
        <f t="shared" si="61"/>
        <v>0.42763209762876098</v>
      </c>
      <c r="GF47" s="1111">
        <f t="shared" si="62"/>
        <v>0.18944103926397299</v>
      </c>
      <c r="GG47" s="1111">
        <f t="shared" si="63"/>
        <v>0.114666499637313</v>
      </c>
      <c r="GH47" s="1111">
        <f t="shared" si="64"/>
        <v>9.1724132402913702E-2</v>
      </c>
      <c r="GI47" s="1111">
        <f t="shared" si="65"/>
        <v>8.7857141954733695E-2</v>
      </c>
      <c r="GJ47" s="1111">
        <f t="shared" si="66"/>
        <v>8.6767275626484494E-2</v>
      </c>
      <c r="GK47" s="1111">
        <f t="shared" si="67"/>
        <v>8.6748879396040507E-2</v>
      </c>
      <c r="GL47" s="1111">
        <f t="shared" si="68"/>
        <v>8.67391289437488E-2</v>
      </c>
      <c r="GM47" s="1111">
        <f t="shared" si="69"/>
        <v>8.67391289437488E-2</v>
      </c>
    </row>
    <row r="48" spans="1:195" x14ac:dyDescent="0.2">
      <c r="A48" s="1071" t="s">
        <v>186</v>
      </c>
      <c r="B48" s="1071" t="str">
        <f>Technologies!C137</f>
        <v>THSDSLE</v>
      </c>
      <c r="C48" s="1071" t="str">
        <f>Technologies!D137</f>
        <v>Heavy Truck, Short Haul, Diesel exisiting</v>
      </c>
      <c r="D48" s="1071" t="str">
        <f>NewTech!D86</f>
        <v>bn-vmt, bn-vmt/a</v>
      </c>
      <c r="E48" s="1071" t="str">
        <f>Commodities!C44</f>
        <v>THDSL</v>
      </c>
      <c r="F48" s="1071" t="s">
        <v>98</v>
      </c>
      <c r="G48" s="1110" t="s">
        <v>505</v>
      </c>
      <c r="H48" s="1111" t="s">
        <v>499</v>
      </c>
      <c r="I48" s="1112">
        <v>1</v>
      </c>
      <c r="J48" s="1111" t="str">
        <f t="shared" si="37"/>
        <v>Heavy duty short haul truck-DSL</v>
      </c>
      <c r="K48" s="1111">
        <f>SUMIFS(NewEmisData!E:E, NewEmisData!$A:$A, $G48, NewEmisData!$B:$B, $A48, NewEmisData!$C:$C, $H48, NewEmisData!$D:$D, K$6)</f>
        <v>1965.3480196129899</v>
      </c>
      <c r="L48" s="1111">
        <f>SUMIFS(NewEmisData!F:F, NewEmisData!$A:$A, $G48, NewEmisData!$B:$B, $A48, NewEmisData!$C:$C, $H48, NewEmisData!$D:$D, L$6)</f>
        <v>2010.3216718511901</v>
      </c>
      <c r="M48" s="1111">
        <f>SUMIFS(NewEmisData!G:G, NewEmisData!$A:$A, $G48, NewEmisData!$B:$B, $A48, NewEmisData!$C:$C, $H48, NewEmisData!$D:$D, M$6)</f>
        <v>2090.4906656609201</v>
      </c>
      <c r="N48" s="1111">
        <f>SUMIFS(NewEmisData!H:H, NewEmisData!$A:$A, $G48, NewEmisData!$B:$B, $A48, NewEmisData!$C:$C, $H48, NewEmisData!$D:$D, N$6)</f>
        <v>2053.9539193064902</v>
      </c>
      <c r="O48" s="1111">
        <f>SUMIFS(NewEmisData!I:I, NewEmisData!$A:$A, $G48, NewEmisData!$B:$B, $A48, NewEmisData!$C:$C, $H48, NewEmisData!$D:$D, O$6)</f>
        <v>2027.8421991422999</v>
      </c>
      <c r="P48" s="1111">
        <f>SUMIFS(NewEmisData!J:J, NewEmisData!$A:$A, $G48, NewEmisData!$B:$B, $A48, NewEmisData!$C:$C, $H48, NewEmisData!$D:$D, P$6)</f>
        <v>2019.45150345712</v>
      </c>
      <c r="Q48" s="1111">
        <f>SUMIFS(NewEmisData!K:K, NewEmisData!$A:$A, $G48, NewEmisData!$B:$B, $A48, NewEmisData!$C:$C, $H48, NewEmisData!$D:$D, Q$6)</f>
        <v>2016.54651893857</v>
      </c>
      <c r="R48" s="1111">
        <f>SUMIFS(NewEmisData!L:L, NewEmisData!$A:$A, $G48, NewEmisData!$B:$B, $A48, NewEmisData!$C:$C, $H48, NewEmisData!$D:$D, R$6)</f>
        <v>2015.2058723386001</v>
      </c>
      <c r="S48" s="1111">
        <f>SUMIFS(NewEmisData!M:M, NewEmisData!$A:$A, $G48, NewEmisData!$B:$B, $A48, NewEmisData!$C:$C, $H48, NewEmisData!$D:$D, S$6)</f>
        <v>2014.2294332377901</v>
      </c>
      <c r="T48" s="1111">
        <f t="shared" si="17"/>
        <v>2014.2294332377901</v>
      </c>
      <c r="U48" s="1111">
        <f>SUMIFS(NewEmisData!E:E, NewEmisData!$A:$A, $G48, NewEmisData!$B:$B, $A48, NewEmisData!$C:$C, $H48, NewEmisData!$D:$D, U$6)</f>
        <v>16.5695691882601</v>
      </c>
      <c r="V48" s="1111">
        <f>SUMIFS(NewEmisData!F:F, NewEmisData!$A:$A, $G48, NewEmisData!$B:$B, $A48, NewEmisData!$C:$C, $H48, NewEmisData!$D:$D, V$6)</f>
        <v>10.1915554047669</v>
      </c>
      <c r="W48" s="1111">
        <f>SUMIFS(NewEmisData!G:G, NewEmisData!$A:$A, $G48, NewEmisData!$B:$B, $A48, NewEmisData!$C:$C, $H48, NewEmisData!$D:$D, W$6)</f>
        <v>4.7067883339263101</v>
      </c>
      <c r="X48" s="1111">
        <f>SUMIFS(NewEmisData!H:H, NewEmisData!$A:$A, $G48, NewEmisData!$B:$B, $A48, NewEmisData!$C:$C, $H48, NewEmisData!$D:$D, X$6)</f>
        <v>2.74964441255411</v>
      </c>
      <c r="Y48" s="1111">
        <f>SUMIFS(NewEmisData!I:I, NewEmisData!$A:$A, $G48, NewEmisData!$B:$B, $A48, NewEmisData!$C:$C, $H48, NewEmisData!$D:$D, Y$6)</f>
        <v>2.1250543631144501</v>
      </c>
      <c r="Z48" s="1111">
        <f>SUMIFS(NewEmisData!J:J, NewEmisData!$A:$A, $G48, NewEmisData!$B:$B, $A48, NewEmisData!$C:$C, $H48, NewEmisData!$D:$D, Z$6)</f>
        <v>1.99369533696212</v>
      </c>
      <c r="AA48" s="1111">
        <f>SUMIFS(NewEmisData!K:K, NewEmisData!$A:$A, $G48, NewEmisData!$B:$B, $A48, NewEmisData!$C:$C, $H48, NewEmisData!$D:$D, AA$6)</f>
        <v>1.9596642716443899</v>
      </c>
      <c r="AB48" s="1111">
        <f>SUMIFS(NewEmisData!L:L, NewEmisData!$A:$A, $G48, NewEmisData!$B:$B, $A48, NewEmisData!$C:$C, $H48, NewEmisData!$D:$D, AB$6)</f>
        <v>1.95841045438728</v>
      </c>
      <c r="AC48" s="1111">
        <f>SUMIFS(NewEmisData!M:M, NewEmisData!$A:$A, $G48, NewEmisData!$B:$B, $A48, NewEmisData!$C:$C, $H48, NewEmisData!$D:$D, AC$6)</f>
        <v>1.95772834946656</v>
      </c>
      <c r="AD48" s="1111">
        <f t="shared" si="18"/>
        <v>1.95772834946656</v>
      </c>
      <c r="AE48" s="1111">
        <f t="shared" si="70"/>
        <v>4.8505368718434902E-2</v>
      </c>
      <c r="AF48" s="1111">
        <f>SUMIFS(NewEmisData!E:E, NewEmisData!$A:$A, $G48, NewEmisData!$B:$B, $A48, NewEmisData!$C:$C, $H48, NewEmisData!$D:$D, AF$6)</f>
        <v>4.8505368718434902E-2</v>
      </c>
      <c r="AG48" s="1111">
        <f>SUMIFS(NewEmisData!F:F, NewEmisData!$A:$A, $G48, NewEmisData!$B:$B, $A48, NewEmisData!$C:$C, $H48, NewEmisData!$D:$D, AG$6)</f>
        <v>4.8325981488473099E-2</v>
      </c>
      <c r="AH48" s="1111">
        <f>SUMIFS(NewEmisData!G:G, NewEmisData!$A:$A, $G48, NewEmisData!$B:$B, $A48, NewEmisData!$C:$C, $H48, NewEmisData!$D:$D, AH$6)</f>
        <v>1.7576572280014201E-2</v>
      </c>
      <c r="AI48" s="1111">
        <f>SUMIFS(NewEmisData!H:H, NewEmisData!$A:$A, $G48, NewEmisData!$B:$B, $A48, NewEmisData!$C:$C, $H48, NewEmisData!$D:$D, AI$6)</f>
        <v>1.7166395112910501E-2</v>
      </c>
      <c r="AJ48" s="1111">
        <f>SUMIFS(NewEmisData!I:I, NewEmisData!$A:$A, $G48, NewEmisData!$B:$B, $A48, NewEmisData!$C:$C, $H48, NewEmisData!$D:$D, AJ$6)</f>
        <v>1.6914594935806299E-2</v>
      </c>
      <c r="AK48" s="1111">
        <f>SUMIFS(NewEmisData!J:J, NewEmisData!$A:$A, $G48, NewEmisData!$B:$B, $A48, NewEmisData!$C:$C, $H48, NewEmisData!$D:$D, AK$6)</f>
        <v>1.68383799937354E-2</v>
      </c>
      <c r="AL48" s="1111">
        <f>SUMIFS(NewEmisData!K:K, NewEmisData!$A:$A, $G48, NewEmisData!$B:$B, $A48, NewEmisData!$C:$C, $H48, NewEmisData!$D:$D, AL$6)</f>
        <v>1.6812194631633502E-2</v>
      </c>
      <c r="AM48" s="1111">
        <f>SUMIFS(NewEmisData!L:L, NewEmisData!$A:$A, $G48, NewEmisData!$B:$B, $A48, NewEmisData!$C:$C, $H48, NewEmisData!$D:$D, AM$6)</f>
        <v>1.6801008524208499E-2</v>
      </c>
      <c r="AN48" s="1111">
        <f>SUMIFS(NewEmisData!M:M, NewEmisData!$A:$A, $G48, NewEmisData!$B:$B, $A48, NewEmisData!$C:$C, $H48, NewEmisData!$D:$D, AN$6)</f>
        <v>1.6792875741706501E-2</v>
      </c>
      <c r="AO48" s="1111">
        <f t="shared" si="71"/>
        <v>1.6792875741706501E-2</v>
      </c>
      <c r="AP48" s="1111">
        <f t="shared" si="72"/>
        <v>1.7897176326082</v>
      </c>
      <c r="AQ48" s="1111">
        <f>SUMIFS(NewEmisData!E:E, NewEmisData!$A:$A, $G48, NewEmisData!$B:$B, $A48, NewEmisData!$C:$C, $H48, NewEmisData!$D:$D, AQ$6)</f>
        <v>1.7897176326082</v>
      </c>
      <c r="AR48" s="1111">
        <f>SUMIFS(NewEmisData!F:F, NewEmisData!$A:$A, $G48, NewEmisData!$B:$B, $A48, NewEmisData!$C:$C, $H48, NewEmisData!$D:$D, AR$6)</f>
        <v>1.28184142907446</v>
      </c>
      <c r="AS48" s="1111">
        <f>SUMIFS(NewEmisData!G:G, NewEmisData!$A:$A, $G48, NewEmisData!$B:$B, $A48, NewEmisData!$C:$C, $H48, NewEmisData!$D:$D, AS$6)</f>
        <v>0.80585430140276804</v>
      </c>
      <c r="AT48" s="1111">
        <f>SUMIFS(NewEmisData!H:H, NewEmisData!$A:$A, $G48, NewEmisData!$B:$B, $A48, NewEmisData!$C:$C, $H48, NewEmisData!$D:$D, AT$6)</f>
        <v>0.69183592997618704</v>
      </c>
      <c r="AU48" s="1111">
        <f>SUMIFS(NewEmisData!I:I, NewEmisData!$A:$A, $G48, NewEmisData!$B:$B, $A48, NewEmisData!$C:$C, $H48, NewEmisData!$D:$D, AU$6)</f>
        <v>0.65551295326080194</v>
      </c>
      <c r="AV48" s="1111">
        <f>SUMIFS(NewEmisData!J:J, NewEmisData!$A:$A, $G48, NewEmisData!$B:$B, $A48, NewEmisData!$C:$C, $H48, NewEmisData!$D:$D, AV$6)</f>
        <v>0.64912663136166204</v>
      </c>
      <c r="AW48" s="1111">
        <f>SUMIFS(NewEmisData!K:K, NewEmisData!$A:$A, $G48, NewEmisData!$B:$B, $A48, NewEmisData!$C:$C, $H48, NewEmisData!$D:$D, AW$6)</f>
        <v>0.64721406840414997</v>
      </c>
      <c r="AX48" s="1111">
        <f>SUMIFS(NewEmisData!L:L, NewEmisData!$A:$A, $G48, NewEmisData!$B:$B, $A48, NewEmisData!$C:$C, $H48, NewEmisData!$D:$D, AX$6)</f>
        <v>0.64706992112985595</v>
      </c>
      <c r="AY48" s="1111">
        <f>SUMIFS(NewEmisData!M:M, NewEmisData!$A:$A, $G48, NewEmisData!$B:$B, $A48, NewEmisData!$C:$C, $H48, NewEmisData!$D:$D, AY$6)</f>
        <v>0.64695129381422201</v>
      </c>
      <c r="AZ48" s="1111">
        <f t="shared" si="73"/>
        <v>0.64695129381422201</v>
      </c>
      <c r="BA48" s="1111">
        <f t="shared" si="74"/>
        <v>1.18048167941492</v>
      </c>
      <c r="BB48" s="1111">
        <f>SUMIFS(NewEmisData!E:E, NewEmisData!$A:$A, $G48, NewEmisData!$B:$B, $A48, NewEmisData!$C:$C, $H48, NewEmisData!$D:$D, BB$6)</f>
        <v>1.18048167941492</v>
      </c>
      <c r="BC48" s="1111">
        <f>SUMIFS(NewEmisData!F:F, NewEmisData!$A:$A, $G48, NewEmisData!$B:$B, $A48, NewEmisData!$C:$C, $H48, NewEmisData!$D:$D, BC$6)</f>
        <v>0.70883111477306904</v>
      </c>
      <c r="BD48" s="1111">
        <f>SUMIFS(NewEmisData!G:G, NewEmisData!$A:$A, $G48, NewEmisData!$B:$B, $A48, NewEmisData!$C:$C, $H48, NewEmisData!$D:$D, BD$6)</f>
        <v>0.25820081252871602</v>
      </c>
      <c r="BE48" s="1111">
        <f>SUMIFS(NewEmisData!H:H, NewEmisData!$A:$A, $G48, NewEmisData!$B:$B, $A48, NewEmisData!$C:$C, $H48, NewEmisData!$D:$D, BE$6)</f>
        <v>0.154936314509238</v>
      </c>
      <c r="BF48" s="1111">
        <f>SUMIFS(NewEmisData!I:I, NewEmisData!$A:$A, $G48, NewEmisData!$B:$B, $A48, NewEmisData!$C:$C, $H48, NewEmisData!$D:$D, BF$6)</f>
        <v>0.12145150227391199</v>
      </c>
      <c r="BG48" s="1111">
        <f>SUMIFS(NewEmisData!J:J, NewEmisData!$A:$A, $G48, NewEmisData!$B:$B, $A48, NewEmisData!$C:$C, $H48, NewEmisData!$D:$D, BG$6)</f>
        <v>0.11561207466260399</v>
      </c>
      <c r="BH48" s="1111">
        <f>SUMIFS(NewEmisData!K:K, NewEmisData!$A:$A, $G48, NewEmisData!$B:$B, $A48, NewEmisData!$C:$C, $H48, NewEmisData!$D:$D, BH$6)</f>
        <v>0.113890264164102</v>
      </c>
      <c r="BI48" s="1111">
        <f>SUMIFS(NewEmisData!L:L, NewEmisData!$A:$A, $G48, NewEmisData!$B:$B, $A48, NewEmisData!$C:$C, $H48, NewEmisData!$D:$D, BI$6)</f>
        <v>0.11384461486997199</v>
      </c>
      <c r="BJ48" s="1111">
        <f>SUMIFS(NewEmisData!M:M, NewEmisData!$A:$A, $G48, NewEmisData!$B:$B, $A48, NewEmisData!$C:$C, $H48, NewEmisData!$D:$D, BJ$6)</f>
        <v>0.11381252319809999</v>
      </c>
      <c r="BK48" s="1111">
        <f t="shared" si="75"/>
        <v>0.11381252319809999</v>
      </c>
      <c r="BL48" s="1111">
        <f t="shared" si="76"/>
        <v>6.0456420020261303</v>
      </c>
      <c r="BM48" s="1111">
        <f>SUMIFS(NewEmisData!E:E, NewEmisData!$A:$A, $G48, NewEmisData!$B:$B, $A48, NewEmisData!$C:$C, $H48, NewEmisData!$D:$D, BM$6)</f>
        <v>6.0456420020261303</v>
      </c>
      <c r="BN48" s="1111">
        <f>SUMIFS(NewEmisData!F:F, NewEmisData!$A:$A, $G48, NewEmisData!$B:$B, $A48, NewEmisData!$C:$C, $H48, NewEmisData!$D:$D, BN$6)</f>
        <v>3.6427551386991199</v>
      </c>
      <c r="BO48" s="1111">
        <f>SUMIFS(NewEmisData!G:G, NewEmisData!$A:$A, $G48, NewEmisData!$B:$B, $A48, NewEmisData!$C:$C, $H48, NewEmisData!$D:$D, BO$6)</f>
        <v>1.8452011446226499</v>
      </c>
      <c r="BP48" s="1111">
        <f>SUMIFS(NewEmisData!H:H, NewEmisData!$A:$A, $G48, NewEmisData!$B:$B, $A48, NewEmisData!$C:$C, $H48, NewEmisData!$D:$D, BP$6)</f>
        <v>1.24194770746088</v>
      </c>
      <c r="BQ48" s="1111">
        <f>SUMIFS(NewEmisData!I:I, NewEmisData!$A:$A, $G48, NewEmisData!$B:$B, $A48, NewEmisData!$C:$C, $H48, NewEmisData!$D:$D, BQ$6)</f>
        <v>1.0526499630644499</v>
      </c>
      <c r="BR48" s="1111">
        <f>SUMIFS(NewEmisData!J:J, NewEmisData!$A:$A, $G48, NewEmisData!$B:$B, $A48, NewEmisData!$C:$C, $H48, NewEmisData!$D:$D, BR$6)</f>
        <v>1.0089819104633899</v>
      </c>
      <c r="BS48" s="1111">
        <f>SUMIFS(NewEmisData!K:K, NewEmisData!$A:$A, $G48, NewEmisData!$B:$B, $A48, NewEmisData!$C:$C, $H48, NewEmisData!$D:$D, BS$6)</f>
        <v>0.99667122961969301</v>
      </c>
      <c r="BT48" s="1111">
        <f>SUMIFS(NewEmisData!L:L, NewEmisData!$A:$A, $G48, NewEmisData!$B:$B, $A48, NewEmisData!$C:$C, $H48, NewEmisData!$D:$D, BT$6)</f>
        <v>0.99500593481504396</v>
      </c>
      <c r="BU48" s="1111">
        <f>SUMIFS(NewEmisData!M:M, NewEmisData!$A:$A, $G48, NewEmisData!$B:$B, $A48, NewEmisData!$C:$C, $H48, NewEmisData!$D:$D, BU$6)</f>
        <v>0.99474590902717697</v>
      </c>
      <c r="BV48" s="1111">
        <f t="shared" si="83"/>
        <v>0.99474590902717697</v>
      </c>
      <c r="BW48" s="1111">
        <f t="shared" si="77"/>
        <v>1.8523245224272999</v>
      </c>
      <c r="BX48" s="1111">
        <f>SUMIFS(NewEmisData!E:E, NewEmisData!$A:$A, $G48, NewEmisData!$B:$B, $A48, NewEmisData!$C:$C, $H48, NewEmisData!$D:$D, BX$6)</f>
        <v>1.8523245224272999</v>
      </c>
      <c r="BY48" s="1111">
        <f>SUMIFS(NewEmisData!F:F, NewEmisData!$A:$A, $G48, NewEmisData!$B:$B, $A48, NewEmisData!$C:$C, $H48, NewEmisData!$D:$D, BY$6)</f>
        <v>0.98457686139596001</v>
      </c>
      <c r="BZ48" s="1111">
        <f>SUMIFS(NewEmisData!G:G, NewEmisData!$A:$A, $G48, NewEmisData!$B:$B, $A48, NewEmisData!$C:$C, $H48, NewEmisData!$D:$D, BZ$6)</f>
        <v>0.454054708098104</v>
      </c>
      <c r="CA48" s="1111">
        <f>SUMIFS(NewEmisData!H:H, NewEmisData!$A:$A, $G48, NewEmisData!$B:$B, $A48, NewEmisData!$C:$C, $H48, NewEmisData!$D:$D, CA$6)</f>
        <v>0.24241218334548201</v>
      </c>
      <c r="CB48" s="1111">
        <f>SUMIFS(NewEmisData!I:I, NewEmisData!$A:$A, $G48, NewEmisData!$B:$B, $A48, NewEmisData!$C:$C, $H48, NewEmisData!$D:$D, CB$6)</f>
        <v>0.17574053877664</v>
      </c>
      <c r="CC48" s="1111">
        <f>SUMIFS(NewEmisData!J:J, NewEmisData!$A:$A, $G48, NewEmisData!$B:$B, $A48, NewEmisData!$C:$C, $H48, NewEmisData!$D:$D, CC$6)</f>
        <v>0.16190467325511401</v>
      </c>
      <c r="CD48" s="1111">
        <f>SUMIFS(NewEmisData!K:K, NewEmisData!$A:$A, $G48, NewEmisData!$B:$B, $A48, NewEmisData!$C:$C, $H48, NewEmisData!$D:$D, CD$6)</f>
        <v>0.15802874340941001</v>
      </c>
      <c r="CE48" s="1111">
        <f>SUMIFS(NewEmisData!L:L, NewEmisData!$A:$A, $G48, NewEmisData!$B:$B, $A48, NewEmisData!$C:$C, $H48, NewEmisData!$D:$D, CE$6)</f>
        <v>0.157924905411398</v>
      </c>
      <c r="CF48" s="1111">
        <f>SUMIFS(NewEmisData!M:M, NewEmisData!$A:$A, $G48, NewEmisData!$B:$B, $A48, NewEmisData!$C:$C, $H48, NewEmisData!$D:$D, CF$6)</f>
        <v>0.157888725635105</v>
      </c>
      <c r="CG48" s="1111">
        <f t="shared" si="78"/>
        <v>0.157888725635105</v>
      </c>
      <c r="CH48" s="1111">
        <f t="shared" si="79"/>
        <v>3.4893521946962498E-2</v>
      </c>
      <c r="CI48" s="1111">
        <f>SUMIFS(NewEmisData!E:E, NewEmisData!$A:$A, $G48, NewEmisData!$B:$B, $A48, NewEmisData!$C:$C, $H48, NewEmisData!$D:$D, CI$6)</f>
        <v>3.4893521946962498E-2</v>
      </c>
      <c r="CJ48" s="1111">
        <f>SUMIFS(NewEmisData!F:F, NewEmisData!$A:$A, $G48, NewEmisData!$B:$B, $A48, NewEmisData!$C:$C, $H48, NewEmisData!$D:$D, CJ$6)</f>
        <v>3.49788451002516E-2</v>
      </c>
      <c r="CK48" s="1111">
        <f>SUMIFS(NewEmisData!G:G, NewEmisData!$A:$A, $G48, NewEmisData!$B:$B, $A48, NewEmisData!$C:$C, $H48, NewEmisData!$D:$D, CK$6)</f>
        <v>3.9639501952122097E-2</v>
      </c>
      <c r="CL48" s="1111">
        <f>SUMIFS(NewEmisData!H:H, NewEmisData!$A:$A, $G48, NewEmisData!$B:$B, $A48, NewEmisData!$C:$C, $H48, NewEmisData!$D:$D, CL$6)</f>
        <v>3.9638483794636602E-2</v>
      </c>
      <c r="CM48" s="1111">
        <f>SUMIFS(NewEmisData!I:I, NewEmisData!$A:$A, $G48, NewEmisData!$B:$B, $A48, NewEmisData!$C:$C, $H48, NewEmisData!$D:$D, CM$6)</f>
        <v>3.9638118042141998E-2</v>
      </c>
      <c r="CN48" s="1111">
        <f>SUMIFS(NewEmisData!J:J, NewEmisData!$A:$A, $G48, NewEmisData!$B:$B, $A48, NewEmisData!$C:$C, $H48, NewEmisData!$D:$D, CN$6)</f>
        <v>3.9638000963104603E-2</v>
      </c>
      <c r="CO48" s="1111">
        <f>SUMIFS(NewEmisData!K:K, NewEmisData!$A:$A, $G48, NewEmisData!$B:$B, $A48, NewEmisData!$C:$C, $H48, NewEmisData!$D:$D, CO$6)</f>
        <v>3.9637988546095397E-2</v>
      </c>
      <c r="CP48" s="1111">
        <f>SUMIFS(NewEmisData!L:L, NewEmisData!$A:$A, $G48, NewEmisData!$B:$B, $A48, NewEmisData!$C:$C, $H48, NewEmisData!$D:$D, CP$6)</f>
        <v>3.9637972152367001E-2</v>
      </c>
      <c r="CQ48" s="1111">
        <f>SUMIFS(NewEmisData!M:M, NewEmisData!$A:$A, $G48, NewEmisData!$B:$B, $A48, NewEmisData!$C:$C, $H48, NewEmisData!$D:$D, CQ$6)</f>
        <v>3.9637979680126299E-2</v>
      </c>
      <c r="CR48" s="1111">
        <f t="shared" si="80"/>
        <v>3.9637979680126299E-2</v>
      </c>
      <c r="CS48" s="1111">
        <f t="shared" si="81"/>
        <v>6.6753767747216204E-3</v>
      </c>
      <c r="CT48" s="1111">
        <f>SUMIFS(NewEmisData!E:E, NewEmisData!$A:$A, $G48, NewEmisData!$B:$B, $A48, NewEmisData!$C:$C, $H48, NewEmisData!$D:$D, CT$6)</f>
        <v>6.6753767747216204E-3</v>
      </c>
      <c r="CU48" s="1111">
        <f>SUMIFS(NewEmisData!F:F, NewEmisData!$A:$A, $G48, NewEmisData!$B:$B, $A48, NewEmisData!$C:$C, $H48, NewEmisData!$D:$D, CU$6)</f>
        <v>6.5547982937163097E-3</v>
      </c>
      <c r="CV48" s="1111">
        <f>SUMIFS(NewEmisData!G:G, NewEmisData!$A:$A, $G48, NewEmisData!$B:$B, $A48, NewEmisData!$C:$C, $H48, NewEmisData!$D:$D, CV$6)</f>
        <v>7.2957432936417597E-3</v>
      </c>
      <c r="CW48" s="1111">
        <f>SUMIFS(NewEmisData!H:H, NewEmisData!$A:$A, $G48, NewEmisData!$B:$B, $A48, NewEmisData!$C:$C, $H48, NewEmisData!$D:$D, CW$6)</f>
        <v>7.2823273262305702E-3</v>
      </c>
      <c r="CX48" s="1111">
        <f>SUMIFS(NewEmisData!I:I, NewEmisData!$A:$A, $G48, NewEmisData!$B:$B, $A48, NewEmisData!$C:$C, $H48, NewEmisData!$D:$D, CX$6)</f>
        <v>7.2700258541815799E-3</v>
      </c>
      <c r="CY48" s="1111">
        <f>SUMIFS(NewEmisData!J:J, NewEmisData!$A:$A, $G48, NewEmisData!$B:$B, $A48, NewEmisData!$C:$C, $H48, NewEmisData!$D:$D, CY$6)</f>
        <v>7.2630982878354698E-3</v>
      </c>
      <c r="CZ48" s="1111">
        <f>SUMIFS(NewEmisData!K:K, NewEmisData!$A:$A, $G48, NewEmisData!$B:$B, $A48, NewEmisData!$C:$C, $H48, NewEmisData!$D:$D, CZ$6)</f>
        <v>7.25966994665462E-3</v>
      </c>
      <c r="DA48" s="1111">
        <f>SUMIFS(NewEmisData!L:L, NewEmisData!$A:$A, $G48, NewEmisData!$B:$B, $A48, NewEmisData!$C:$C, $H48, NewEmisData!$D:$D, DA$6)</f>
        <v>7.2582639480360299E-3</v>
      </c>
      <c r="DB48" s="1111">
        <f>SUMIFS(NewEmisData!M:M, NewEmisData!$A:$A, $G48, NewEmisData!$B:$B, $A48, NewEmisData!$C:$C, $H48, NewEmisData!$D:$D, DB$6)</f>
        <v>7.2582397653682199E-3</v>
      </c>
      <c r="DC48" s="1111">
        <f t="shared" si="84"/>
        <v>7.2582397653682199E-3</v>
      </c>
      <c r="DD48" s="1111"/>
      <c r="DE48" s="1111"/>
      <c r="DF48" s="1111"/>
      <c r="DG48" s="1111"/>
      <c r="DH48" s="1111"/>
      <c r="DI48" s="1111"/>
      <c r="DJ48" s="1111"/>
      <c r="DK48" s="1111"/>
      <c r="DL48" s="1111"/>
      <c r="DM48" s="1111"/>
      <c r="DN48" s="1111"/>
      <c r="DO48" s="1111"/>
      <c r="DP48" s="1111"/>
      <c r="DQ48" s="1111"/>
      <c r="DR48" s="1111"/>
      <c r="DS48" s="1111"/>
      <c r="DT48" s="1111"/>
      <c r="DU48" s="1111"/>
      <c r="DV48" s="1111"/>
      <c r="DW48" s="1111"/>
      <c r="DX48" s="1111"/>
      <c r="DY48" s="1111"/>
      <c r="DZ48" s="1111">
        <f t="shared" si="85"/>
        <v>3.9006976025732602E-2</v>
      </c>
      <c r="EA48" s="1111">
        <f>SUMIFS(NewEmisData!E:E, NewEmisData!$A:$A, $G48, NewEmisData!$B:$B, $A48, NewEmisData!$C:$C, $H48, NewEmisData!$D:$D, EA$6)</f>
        <v>3.9006976025732602E-2</v>
      </c>
      <c r="EB48" s="1111">
        <f>SUMIFS(NewEmisData!F:F, NewEmisData!$A:$A, $G48, NewEmisData!$B:$B, $A48, NewEmisData!$C:$C, $H48, NewEmisData!$D:$D, EB$6)</f>
        <v>9.7382260752850197E-2</v>
      </c>
      <c r="EC48" s="1111">
        <f>SUMIFS(NewEmisData!G:G, NewEmisData!$A:$A, $G48, NewEmisData!$B:$B, $A48, NewEmisData!$C:$C, $H48, NewEmisData!$D:$D, EC$6)</f>
        <v>0.14046349386005799</v>
      </c>
      <c r="ED48" s="1111">
        <f>SUMIFS(NewEmisData!H:H, NewEmisData!$A:$A, $G48, NewEmisData!$B:$B, $A48, NewEmisData!$C:$C, $H48, NewEmisData!$D:$D, ED$6)</f>
        <v>0.14210473049514299</v>
      </c>
      <c r="EE48" s="1111">
        <f>SUMIFS(NewEmisData!I:I, NewEmisData!$A:$A, $G48, NewEmisData!$B:$B, $A48, NewEmisData!$C:$C, $H48, NewEmisData!$D:$D, EE$6)</f>
        <v>0.142376657618557</v>
      </c>
      <c r="EF48" s="1111">
        <f>SUMIFS(NewEmisData!J:J, NewEmisData!$A:$A, $G48, NewEmisData!$B:$B, $A48, NewEmisData!$C:$C, $H48, NewEmisData!$D:$D, EF$6)</f>
        <v>0.14206400587052001</v>
      </c>
      <c r="EG48" s="1111">
        <f>SUMIFS(NewEmisData!K:K, NewEmisData!$A:$A, $G48, NewEmisData!$B:$B, $A48, NewEmisData!$C:$C, $H48, NewEmisData!$D:$D, EG$6)</f>
        <v>0.142101863494736</v>
      </c>
      <c r="EH48" s="1111">
        <f>SUMIFS(NewEmisData!L:L, NewEmisData!$A:$A, $G48, NewEmisData!$B:$B, $A48, NewEmisData!$C:$C, $H48, NewEmisData!$D:$D, EH$6)</f>
        <v>0.142019923590127</v>
      </c>
      <c r="EI48" s="1111">
        <f>SUMIFS(NewEmisData!M:M, NewEmisData!$A:$A, $G48, NewEmisData!$B:$B, $A48, NewEmisData!$C:$C, $H48, NewEmisData!$D:$D, EI$6)</f>
        <v>0.142008262982282</v>
      </c>
      <c r="EJ48" s="1111">
        <f t="shared" si="86"/>
        <v>0.142008262982282</v>
      </c>
      <c r="EK48" s="1111">
        <f t="shared" si="87"/>
        <v>1965.3480196129899</v>
      </c>
      <c r="EL48" s="1111">
        <f t="shared" si="48"/>
        <v>1965.3480196129899</v>
      </c>
      <c r="EM48" s="1111">
        <f t="shared" si="49"/>
        <v>2010.3216718511901</v>
      </c>
      <c r="EN48" s="1111">
        <f t="shared" si="50"/>
        <v>2090.4906656609201</v>
      </c>
      <c r="EO48" s="1111">
        <f t="shared" si="51"/>
        <v>2053.9539193064902</v>
      </c>
      <c r="EP48" s="1111">
        <f t="shared" si="52"/>
        <v>2027.8421991422999</v>
      </c>
      <c r="EQ48" s="1111">
        <f t="shared" si="53"/>
        <v>2019.45150345712</v>
      </c>
      <c r="ER48" s="1111">
        <f t="shared" si="54"/>
        <v>2016.54651893857</v>
      </c>
      <c r="ES48" s="1111">
        <f t="shared" si="55"/>
        <v>2015.2058723386001</v>
      </c>
      <c r="ET48" s="1111">
        <f t="shared" si="56"/>
        <v>2014.2294332377901</v>
      </c>
      <c r="EU48" s="1111">
        <f t="shared" si="57"/>
        <v>2014.2294332377901</v>
      </c>
      <c r="EV48" s="1111">
        <f t="shared" si="88"/>
        <v>16.5695691882601</v>
      </c>
      <c r="EW48" s="1111">
        <f t="shared" si="38"/>
        <v>16.5695691882601</v>
      </c>
      <c r="EX48" s="1111">
        <f t="shared" si="39"/>
        <v>10.1915554047669</v>
      </c>
      <c r="EY48" s="1111">
        <f t="shared" si="40"/>
        <v>4.7067883339263101</v>
      </c>
      <c r="EZ48" s="1111">
        <f t="shared" si="41"/>
        <v>2.74964441255411</v>
      </c>
      <c r="FA48" s="1111">
        <f t="shared" si="42"/>
        <v>2.1250543631144501</v>
      </c>
      <c r="FB48" s="1111">
        <f t="shared" si="43"/>
        <v>1.99369533696212</v>
      </c>
      <c r="FC48" s="1111">
        <f t="shared" si="44"/>
        <v>1.9596642716443899</v>
      </c>
      <c r="FD48" s="1111">
        <f t="shared" si="45"/>
        <v>1.95841045438728</v>
      </c>
      <c r="FE48" s="1111">
        <f t="shared" si="46"/>
        <v>1.95772834946656</v>
      </c>
      <c r="FF48" s="1111">
        <f t="shared" si="47"/>
        <v>1.95772834946656</v>
      </c>
      <c r="FG48" s="1111">
        <f t="shared" si="100"/>
        <v>4.8505368718434902E-2</v>
      </c>
      <c r="FH48" s="1111">
        <f t="shared" si="101"/>
        <v>4.8505368718434902E-2</v>
      </c>
      <c r="FI48" s="1111">
        <f t="shared" si="102"/>
        <v>4.8325981488473099E-2</v>
      </c>
      <c r="FJ48" s="1111">
        <f t="shared" si="103"/>
        <v>1.7576572280014201E-2</v>
      </c>
      <c r="FK48" s="1111">
        <f t="shared" si="104"/>
        <v>1.7166395112910501E-2</v>
      </c>
      <c r="FL48" s="1111">
        <f t="shared" si="105"/>
        <v>1.6914594935806299E-2</v>
      </c>
      <c r="FM48" s="1111">
        <f t="shared" si="106"/>
        <v>1.68383799937354E-2</v>
      </c>
      <c r="FN48" s="1111">
        <f t="shared" si="107"/>
        <v>1.6812194631633502E-2</v>
      </c>
      <c r="FO48" s="1111">
        <f t="shared" si="108"/>
        <v>1.6801008524208499E-2</v>
      </c>
      <c r="FP48" s="1111">
        <f t="shared" si="109"/>
        <v>1.6792875741706501E-2</v>
      </c>
      <c r="FQ48" s="1111">
        <f t="shared" si="110"/>
        <v>1.6792875741706501E-2</v>
      </c>
      <c r="FR48" s="1111">
        <f t="shared" si="25"/>
        <v>1.7897176326082</v>
      </c>
      <c r="FS48" s="1111">
        <f t="shared" si="26"/>
        <v>1.7897176326082</v>
      </c>
      <c r="FT48" s="1111">
        <f t="shared" si="27"/>
        <v>1.28184142907446</v>
      </c>
      <c r="FU48" s="1111">
        <f t="shared" si="28"/>
        <v>0.80585430140276804</v>
      </c>
      <c r="FV48" s="1111">
        <f t="shared" si="29"/>
        <v>0.69183592997618704</v>
      </c>
      <c r="FW48" s="1111">
        <f t="shared" si="30"/>
        <v>0.65551295326080194</v>
      </c>
      <c r="FX48" s="1111">
        <f t="shared" si="31"/>
        <v>0.64912663136166204</v>
      </c>
      <c r="FY48" s="1111">
        <f t="shared" si="32"/>
        <v>0.64721406840414997</v>
      </c>
      <c r="FZ48" s="1111">
        <f t="shared" si="33"/>
        <v>0.64706992112985595</v>
      </c>
      <c r="GA48" s="1111">
        <f t="shared" si="34"/>
        <v>0.64695129381422201</v>
      </c>
      <c r="GB48" s="1111">
        <f t="shared" si="35"/>
        <v>0.64695129381422201</v>
      </c>
      <c r="GC48" s="1111">
        <f t="shared" si="59"/>
        <v>1.18048167941492</v>
      </c>
      <c r="GD48" s="1111">
        <f t="shared" si="60"/>
        <v>1.18048167941492</v>
      </c>
      <c r="GE48" s="1111">
        <f t="shared" si="61"/>
        <v>0.70883111477306904</v>
      </c>
      <c r="GF48" s="1111">
        <f t="shared" si="62"/>
        <v>0.25820081252871602</v>
      </c>
      <c r="GG48" s="1111">
        <f t="shared" si="63"/>
        <v>0.154936314509238</v>
      </c>
      <c r="GH48" s="1111">
        <f t="shared" si="64"/>
        <v>0.12145150227391199</v>
      </c>
      <c r="GI48" s="1111">
        <f t="shared" si="65"/>
        <v>0.11561207466260399</v>
      </c>
      <c r="GJ48" s="1111">
        <f t="shared" si="66"/>
        <v>0.113890264164102</v>
      </c>
      <c r="GK48" s="1111">
        <f t="shared" si="67"/>
        <v>0.11384461486997199</v>
      </c>
      <c r="GL48" s="1111">
        <f t="shared" si="68"/>
        <v>0.11381252319809999</v>
      </c>
      <c r="GM48" s="1111">
        <f t="shared" si="69"/>
        <v>0.11381252319809999</v>
      </c>
    </row>
    <row r="49" spans="1:195" x14ac:dyDescent="0.2">
      <c r="A49" s="1071" t="s">
        <v>188</v>
      </c>
      <c r="B49" s="1071" t="str">
        <f>Technologies!C137</f>
        <v>THSDSLE</v>
      </c>
      <c r="C49" s="1071" t="str">
        <f>Technologies!D137</f>
        <v>Heavy Truck, Short Haul, Diesel exisiting</v>
      </c>
      <c r="D49" s="1071" t="str">
        <f>NewTech!D86</f>
        <v>bn-vmt, bn-vmt/a</v>
      </c>
      <c r="E49" s="1071" t="str">
        <f>Commodities!C44</f>
        <v>THDSL</v>
      </c>
      <c r="F49" s="1071" t="s">
        <v>98</v>
      </c>
      <c r="G49" s="1110" t="s">
        <v>505</v>
      </c>
      <c r="H49" s="1111" t="s">
        <v>499</v>
      </c>
      <c r="I49" s="1112">
        <v>1</v>
      </c>
      <c r="J49" s="1111" t="str">
        <f t="shared" si="37"/>
        <v>Heavy duty short haul truck-DSL</v>
      </c>
      <c r="K49" s="1111">
        <f>SUMIFS(NewEmisData!E:E, NewEmisData!$A:$A, $G49, NewEmisData!$B:$B, $A49, NewEmisData!$C:$C, $H49, NewEmisData!$D:$D, K$6)</f>
        <v>1669.0822501080099</v>
      </c>
      <c r="L49" s="1111">
        <f>SUMIFS(NewEmisData!F:F, NewEmisData!$A:$A, $G49, NewEmisData!$B:$B, $A49, NewEmisData!$C:$C, $H49, NewEmisData!$D:$D, L$6)</f>
        <v>1673.1688001129</v>
      </c>
      <c r="M49" s="1111">
        <f>SUMIFS(NewEmisData!G:G, NewEmisData!$A:$A, $G49, NewEmisData!$B:$B, $A49, NewEmisData!$C:$C, $H49, NewEmisData!$D:$D, M$6)</f>
        <v>1365.67564571155</v>
      </c>
      <c r="N49" s="1111">
        <f>SUMIFS(NewEmisData!H:H, NewEmisData!$A:$A, $G49, NewEmisData!$B:$B, $A49, NewEmisData!$C:$C, $H49, NewEmisData!$D:$D, N$6)</f>
        <v>1340.2430368273101</v>
      </c>
      <c r="O49" s="1111">
        <f>SUMIFS(NewEmisData!I:I, NewEmisData!$A:$A, $G49, NewEmisData!$B:$B, $A49, NewEmisData!$C:$C, $H49, NewEmisData!$D:$D, O$6)</f>
        <v>1322.8450856147599</v>
      </c>
      <c r="P49" s="1111">
        <f>SUMIFS(NewEmisData!J:J, NewEmisData!$A:$A, $G49, NewEmisData!$B:$B, $A49, NewEmisData!$C:$C, $H49, NewEmisData!$D:$D, P$6)</f>
        <v>1317.23072914767</v>
      </c>
      <c r="Q49" s="1111">
        <f>SUMIFS(NewEmisData!K:K, NewEmisData!$A:$A, $G49, NewEmisData!$B:$B, $A49, NewEmisData!$C:$C, $H49, NewEmisData!$D:$D, Q$6)</f>
        <v>1315.3450285164099</v>
      </c>
      <c r="R49" s="1111">
        <f>SUMIFS(NewEmisData!L:L, NewEmisData!$A:$A, $G49, NewEmisData!$B:$B, $A49, NewEmisData!$C:$C, $H49, NewEmisData!$D:$D, R$6)</f>
        <v>1314.50089135955</v>
      </c>
      <c r="S49" s="1111">
        <f>SUMIFS(NewEmisData!M:M, NewEmisData!$A:$A, $G49, NewEmisData!$B:$B, $A49, NewEmisData!$C:$C, $H49, NewEmisData!$D:$D, S$6)</f>
        <v>1313.88241213587</v>
      </c>
      <c r="T49" s="1111">
        <f t="shared" si="17"/>
        <v>1313.88241213587</v>
      </c>
      <c r="U49" s="1111">
        <f>SUMIFS(NewEmisData!E:E, NewEmisData!$A:$A, $G49, NewEmisData!$B:$B, $A49, NewEmisData!$C:$C, $H49, NewEmisData!$D:$D, U$6)</f>
        <v>13.492775574024799</v>
      </c>
      <c r="V49" s="1111">
        <f>SUMIFS(NewEmisData!F:F, NewEmisData!$A:$A, $G49, NewEmisData!$B:$B, $A49, NewEmisData!$C:$C, $H49, NewEmisData!$D:$D, V$6)</f>
        <v>7.5468458416536803</v>
      </c>
      <c r="W49" s="1111">
        <f>SUMIFS(NewEmisData!G:G, NewEmisData!$A:$A, $G49, NewEmisData!$B:$B, $A49, NewEmisData!$C:$C, $H49, NewEmisData!$D:$D, W$6)</f>
        <v>2.86440753900408</v>
      </c>
      <c r="X49" s="1111">
        <f>SUMIFS(NewEmisData!H:H, NewEmisData!$A:$A, $G49, NewEmisData!$B:$B, $A49, NewEmisData!$C:$C, $H49, NewEmisData!$D:$D, X$6)</f>
        <v>1.66545036782072</v>
      </c>
      <c r="Y49" s="1111">
        <f>SUMIFS(NewEmisData!I:I, NewEmisData!$A:$A, $G49, NewEmisData!$B:$B, $A49, NewEmisData!$C:$C, $H49, NewEmisData!$D:$D, Y$6)</f>
        <v>1.2872223005865</v>
      </c>
      <c r="Z49" s="1111">
        <f>SUMIFS(NewEmisData!J:J, NewEmisData!$A:$A, $G49, NewEmisData!$B:$B, $A49, NewEmisData!$C:$C, $H49, NewEmisData!$D:$D, Z$6)</f>
        <v>1.20818388349511</v>
      </c>
      <c r="AA49" s="1111">
        <f>SUMIFS(NewEmisData!K:K, NewEmisData!$A:$A, $G49, NewEmisData!$B:$B, $A49, NewEmisData!$C:$C, $H49, NewEmisData!$D:$D, AA$6)</f>
        <v>1.1882189073440399</v>
      </c>
      <c r="AB49" s="1111">
        <f>SUMIFS(NewEmisData!L:L, NewEmisData!$A:$A, $G49, NewEmisData!$B:$B, $A49, NewEmisData!$C:$C, $H49, NewEmisData!$D:$D, AB$6)</f>
        <v>1.18759279747034</v>
      </c>
      <c r="AC49" s="1111">
        <f>SUMIFS(NewEmisData!M:M, NewEmisData!$A:$A, $G49, NewEmisData!$B:$B, $A49, NewEmisData!$C:$C, $H49, NewEmisData!$D:$D, AC$6)</f>
        <v>1.1873143220192299</v>
      </c>
      <c r="AD49" s="1111">
        <f t="shared" si="18"/>
        <v>1.1873143220192299</v>
      </c>
      <c r="AE49" s="1111">
        <f t="shared" si="70"/>
        <v>1.9219515132106998E-2</v>
      </c>
      <c r="AF49" s="1111">
        <f>SUMIFS(NewEmisData!E:E, NewEmisData!$A:$A, $G49, NewEmisData!$B:$B, $A49, NewEmisData!$C:$C, $H49, NewEmisData!$D:$D, AF$6)</f>
        <v>1.9219515132106998E-2</v>
      </c>
      <c r="AG49" s="1111">
        <f>SUMIFS(NewEmisData!F:F, NewEmisData!$A:$A, $G49, NewEmisData!$B:$B, $A49, NewEmisData!$C:$C, $H49, NewEmisData!$D:$D, AG$6)</f>
        <v>1.8381789821165999E-2</v>
      </c>
      <c r="AH49" s="1111">
        <f>SUMIFS(NewEmisData!G:G, NewEmisData!$A:$A, $G49, NewEmisData!$B:$B, $A49, NewEmisData!$C:$C, $H49, NewEmisData!$D:$D, AH$6)</f>
        <v>1.1480506512681401E-2</v>
      </c>
      <c r="AI49" s="1111">
        <f>SUMIFS(NewEmisData!H:H, NewEmisData!$A:$A, $G49, NewEmisData!$B:$B, $A49, NewEmisData!$C:$C, $H49, NewEmisData!$D:$D, AI$6)</f>
        <v>1.1200613613581E-2</v>
      </c>
      <c r="AJ49" s="1111">
        <f>SUMIFS(NewEmisData!I:I, NewEmisData!$A:$A, $G49, NewEmisData!$B:$B, $A49, NewEmisData!$C:$C, $H49, NewEmisData!$D:$D, AJ$6)</f>
        <v>1.1033835716401499E-2</v>
      </c>
      <c r="AK49" s="1111">
        <f>SUMIFS(NewEmisData!J:J, NewEmisData!$A:$A, $G49, NewEmisData!$B:$B, $A49, NewEmisData!$C:$C, $H49, NewEmisData!$D:$D, AK$6)</f>
        <v>1.0983128564943399E-2</v>
      </c>
      <c r="AL49" s="1111">
        <f>SUMIFS(NewEmisData!K:K, NewEmisData!$A:$A, $G49, NewEmisData!$B:$B, $A49, NewEmisData!$C:$C, $H49, NewEmisData!$D:$D, AL$6)</f>
        <v>1.09661929621608E-2</v>
      </c>
      <c r="AM49" s="1111">
        <f>SUMIFS(NewEmisData!L:L, NewEmisData!$A:$A, $G49, NewEmisData!$B:$B, $A49, NewEmisData!$C:$C, $H49, NewEmisData!$D:$D, AM$6)</f>
        <v>1.09591556908048E-2</v>
      </c>
      <c r="AN49" s="1111">
        <f>SUMIFS(NewEmisData!M:M, NewEmisData!$A:$A, $G49, NewEmisData!$B:$B, $A49, NewEmisData!$C:$C, $H49, NewEmisData!$D:$D, AN$6)</f>
        <v>1.09539961645838E-2</v>
      </c>
      <c r="AO49" s="1111">
        <f t="shared" si="71"/>
        <v>1.09539961645838E-2</v>
      </c>
      <c r="AP49" s="1111">
        <f t="shared" si="72"/>
        <v>0.858529279217077</v>
      </c>
      <c r="AQ49" s="1111">
        <f>SUMIFS(NewEmisData!E:E, NewEmisData!$A:$A, $G49, NewEmisData!$B:$B, $A49, NewEmisData!$C:$C, $H49, NewEmisData!$D:$D, AQ$6)</f>
        <v>0.858529279217077</v>
      </c>
      <c r="AR49" s="1111">
        <f>SUMIFS(NewEmisData!F:F, NewEmisData!$A:$A, $G49, NewEmisData!$B:$B, $A49, NewEmisData!$C:$C, $H49, NewEmisData!$D:$D, AR$6)</f>
        <v>0.503731417508816</v>
      </c>
      <c r="AS49" s="1111">
        <f>SUMIFS(NewEmisData!G:G, NewEmisData!$A:$A, $G49, NewEmisData!$B:$B, $A49, NewEmisData!$C:$C, $H49, NewEmisData!$D:$D, AS$6)</f>
        <v>0.37512816215378397</v>
      </c>
      <c r="AT49" s="1111">
        <f>SUMIFS(NewEmisData!H:H, NewEmisData!$A:$A, $G49, NewEmisData!$B:$B, $A49, NewEmisData!$C:$C, $H49, NewEmisData!$D:$D, AT$6)</f>
        <v>0.30828199926496602</v>
      </c>
      <c r="AU49" s="1111">
        <f>SUMIFS(NewEmisData!I:I, NewEmisData!$A:$A, $G49, NewEmisData!$B:$B, $A49, NewEmisData!$C:$C, $H49, NewEmisData!$D:$D, AU$6)</f>
        <v>0.28661953326038297</v>
      </c>
      <c r="AV49" s="1111">
        <f>SUMIFS(NewEmisData!J:J, NewEmisData!$A:$A, $G49, NewEmisData!$B:$B, $A49, NewEmisData!$C:$C, $H49, NewEmisData!$D:$D, AV$6)</f>
        <v>0.28264038179328499</v>
      </c>
      <c r="AW49" s="1111">
        <f>SUMIFS(NewEmisData!K:K, NewEmisData!$A:$A, $G49, NewEmisData!$B:$B, $A49, NewEmisData!$C:$C, $H49, NewEmisData!$D:$D, AW$6)</f>
        <v>0.28162692153878699</v>
      </c>
      <c r="AX49" s="1111">
        <f>SUMIFS(NewEmisData!L:L, NewEmisData!$A:$A, $G49, NewEmisData!$B:$B, $A49, NewEmisData!$C:$C, $H49, NewEmisData!$D:$D, AX$6)</f>
        <v>0.281751869278763</v>
      </c>
      <c r="AY49" s="1111">
        <f>SUMIFS(NewEmisData!M:M, NewEmisData!$A:$A, $G49, NewEmisData!$B:$B, $A49, NewEmisData!$C:$C, $H49, NewEmisData!$D:$D, AY$6)</f>
        <v>0.28192306485273899</v>
      </c>
      <c r="AZ49" s="1111">
        <f t="shared" si="73"/>
        <v>0.28192306485273899</v>
      </c>
      <c r="BA49" s="1111">
        <f t="shared" si="74"/>
        <v>0.65283874806811604</v>
      </c>
      <c r="BB49" s="1111">
        <f>SUMIFS(NewEmisData!E:E, NewEmisData!$A:$A, $G49, NewEmisData!$B:$B, $A49, NewEmisData!$C:$C, $H49, NewEmisData!$D:$D, BB$6)</f>
        <v>0.65283874806811604</v>
      </c>
      <c r="BC49" s="1111">
        <f>SUMIFS(NewEmisData!F:F, NewEmisData!$A:$A, $G49, NewEmisData!$B:$B, $A49, NewEmisData!$C:$C, $H49, NewEmisData!$D:$D, BC$6)</f>
        <v>0.33224436660041701</v>
      </c>
      <c r="BD49" s="1111">
        <f>SUMIFS(NewEmisData!G:G, NewEmisData!$A:$A, $G49, NewEmisData!$B:$B, $A49, NewEmisData!$C:$C, $H49, NewEmisData!$D:$D, BD$6)</f>
        <v>0.13652581905042699</v>
      </c>
      <c r="BE49" s="1111">
        <f>SUMIFS(NewEmisData!H:H, NewEmisData!$A:$A, $G49, NewEmisData!$B:$B, $A49, NewEmisData!$C:$C, $H49, NewEmisData!$D:$D, BE$6)</f>
        <v>7.8025503719108297E-2</v>
      </c>
      <c r="BF49" s="1111">
        <f>SUMIFS(NewEmisData!I:I, NewEmisData!$A:$A, $G49, NewEmisData!$B:$B, $A49, NewEmisData!$C:$C, $H49, NewEmisData!$D:$D, BF$6)</f>
        <v>5.9231027771519597E-2</v>
      </c>
      <c r="BG49" s="1111">
        <f>SUMIFS(NewEmisData!J:J, NewEmisData!$A:$A, $G49, NewEmisData!$B:$B, $A49, NewEmisData!$C:$C, $H49, NewEmisData!$D:$D, BG$6)</f>
        <v>5.5901975487255798E-2</v>
      </c>
      <c r="BH49" s="1111">
        <f>SUMIFS(NewEmisData!K:K, NewEmisData!$A:$A, $G49, NewEmisData!$B:$B, $A49, NewEmisData!$C:$C, $H49, NewEmisData!$D:$D, BH$6)</f>
        <v>5.4946823671966197E-2</v>
      </c>
      <c r="BI49" s="1111">
        <f>SUMIFS(NewEmisData!L:L, NewEmisData!$A:$A, $G49, NewEmisData!$B:$B, $A49, NewEmisData!$C:$C, $H49, NewEmisData!$D:$D, BI$6)</f>
        <v>5.4950705011026502E-2</v>
      </c>
      <c r="BJ49" s="1111">
        <f>SUMIFS(NewEmisData!M:M, NewEmisData!$A:$A, $G49, NewEmisData!$B:$B, $A49, NewEmisData!$C:$C, $H49, NewEmisData!$D:$D, BJ$6)</f>
        <v>5.4967058193246002E-2</v>
      </c>
      <c r="BK49" s="1111">
        <f t="shared" si="75"/>
        <v>5.4967058193246002E-2</v>
      </c>
      <c r="BL49" s="1111">
        <f t="shared" si="76"/>
        <v>3.7476931274223899</v>
      </c>
      <c r="BM49" s="1111">
        <f>SUMIFS(NewEmisData!E:E, NewEmisData!$A:$A, $G49, NewEmisData!$B:$B, $A49, NewEmisData!$C:$C, $H49, NewEmisData!$D:$D, BM$6)</f>
        <v>3.7476931274223899</v>
      </c>
      <c r="BN49" s="1111">
        <f>SUMIFS(NewEmisData!F:F, NewEmisData!$A:$A, $G49, NewEmisData!$B:$B, $A49, NewEmisData!$C:$C, $H49, NewEmisData!$D:$D, BN$6)</f>
        <v>2.1224340778786099</v>
      </c>
      <c r="BO49" s="1111">
        <f>SUMIFS(NewEmisData!G:G, NewEmisData!$A:$A, $G49, NewEmisData!$B:$B, $A49, NewEmisData!$C:$C, $H49, NewEmisData!$D:$D, BO$6)</f>
        <v>1.1522241511654601</v>
      </c>
      <c r="BP49" s="1111">
        <f>SUMIFS(NewEmisData!H:H, NewEmisData!$A:$A, $G49, NewEmisData!$B:$B, $A49, NewEmisData!$C:$C, $H49, NewEmisData!$D:$D, BP$6)</f>
        <v>0.78635690911299205</v>
      </c>
      <c r="BQ49" s="1111">
        <f>SUMIFS(NewEmisData!I:I, NewEmisData!$A:$A, $G49, NewEmisData!$B:$B, $A49, NewEmisData!$C:$C, $H49, NewEmisData!$D:$D, BQ$6)</f>
        <v>0.67130079903850703</v>
      </c>
      <c r="BR49" s="1111">
        <f>SUMIFS(NewEmisData!J:J, NewEmisData!$A:$A, $G49, NewEmisData!$B:$B, $A49, NewEmisData!$C:$C, $H49, NewEmisData!$D:$D, BR$6)</f>
        <v>0.644768230895015</v>
      </c>
      <c r="BS49" s="1111">
        <f>SUMIFS(NewEmisData!K:K, NewEmisData!$A:$A, $G49, NewEmisData!$B:$B, $A49, NewEmisData!$C:$C, $H49, NewEmisData!$D:$D, BS$6)</f>
        <v>0.63723563956321205</v>
      </c>
      <c r="BT49" s="1111">
        <f>SUMIFS(NewEmisData!L:L, NewEmisData!$A:$A, $G49, NewEmisData!$B:$B, $A49, NewEmisData!$C:$C, $H49, NewEmisData!$D:$D, BT$6)</f>
        <v>0.63622564348836397</v>
      </c>
      <c r="BU49" s="1111">
        <f>SUMIFS(NewEmisData!M:M, NewEmisData!$A:$A, $G49, NewEmisData!$B:$B, $A49, NewEmisData!$C:$C, $H49, NewEmisData!$D:$D, BU$6)</f>
        <v>0.63613086524108198</v>
      </c>
      <c r="BV49" s="1111">
        <f t="shared" si="83"/>
        <v>0.63613086524108198</v>
      </c>
      <c r="BW49" s="1111">
        <f t="shared" si="77"/>
        <v>0.86967821617844199</v>
      </c>
      <c r="BX49" s="1111">
        <f>SUMIFS(NewEmisData!E:E, NewEmisData!$A:$A, $G49, NewEmisData!$B:$B, $A49, NewEmisData!$C:$C, $H49, NewEmisData!$D:$D, BX$6)</f>
        <v>0.86967821617844199</v>
      </c>
      <c r="BY49" s="1111">
        <f>SUMIFS(NewEmisData!F:F, NewEmisData!$A:$A, $G49, NewEmisData!$B:$B, $A49, NewEmisData!$C:$C, $H49, NewEmisData!$D:$D, BY$6)</f>
        <v>0.46203277812819299</v>
      </c>
      <c r="BZ49" s="1111">
        <f>SUMIFS(NewEmisData!G:G, NewEmisData!$A:$A, $G49, NewEmisData!$B:$B, $A49, NewEmisData!$C:$C, $H49, NewEmisData!$D:$D, BZ$6)</f>
        <v>0.24488064381328301</v>
      </c>
      <c r="CA49" s="1111">
        <f>SUMIFS(NewEmisData!H:H, NewEmisData!$A:$A, $G49, NewEmisData!$B:$B, $A49, NewEmisData!$C:$C, $H49, NewEmisData!$D:$D, CA$6)</f>
        <v>0.13082474453131801</v>
      </c>
      <c r="CB49" s="1111">
        <f>SUMIFS(NewEmisData!I:I, NewEmisData!$A:$A, $G49, NewEmisData!$B:$B, $A49, NewEmisData!$C:$C, $H49, NewEmisData!$D:$D, CB$6)</f>
        <v>9.5337955687742296E-2</v>
      </c>
      <c r="CC49" s="1111">
        <f>SUMIFS(NewEmisData!J:J, NewEmisData!$A:$A, $G49, NewEmisData!$B:$B, $A49, NewEmisData!$C:$C, $H49, NewEmisData!$D:$D, CC$6)</f>
        <v>8.7877867224047099E-2</v>
      </c>
      <c r="CD49" s="1111">
        <f>SUMIFS(NewEmisData!K:K, NewEmisData!$A:$A, $G49, NewEmisData!$B:$B, $A49, NewEmisData!$C:$C, $H49, NewEmisData!$D:$D, CD$6)</f>
        <v>8.5843418185397202E-2</v>
      </c>
      <c r="CE49" s="1111">
        <f>SUMIFS(NewEmisData!L:L, NewEmisData!$A:$A, $G49, NewEmisData!$B:$B, $A49, NewEmisData!$C:$C, $H49, NewEmisData!$D:$D, CE$6)</f>
        <v>8.5804625089355602E-2</v>
      </c>
      <c r="CF49" s="1111">
        <f>SUMIFS(NewEmisData!M:M, NewEmisData!$A:$A, $G49, NewEmisData!$B:$B, $A49, NewEmisData!$C:$C, $H49, NewEmisData!$D:$D, CF$6)</f>
        <v>8.5808752891254905E-2</v>
      </c>
      <c r="CG49" s="1111">
        <f t="shared" si="78"/>
        <v>8.5808752891254905E-2</v>
      </c>
      <c r="CH49" s="1111">
        <f t="shared" si="79"/>
        <v>2.53655238629573E-2</v>
      </c>
      <c r="CI49" s="1111">
        <f>SUMIFS(NewEmisData!E:E, NewEmisData!$A:$A, $G49, NewEmisData!$B:$B, $A49, NewEmisData!$C:$C, $H49, NewEmisData!$D:$D, CI$6)</f>
        <v>2.53655238629573E-2</v>
      </c>
      <c r="CJ49" s="1111">
        <f>SUMIFS(NewEmisData!F:F, NewEmisData!$A:$A, $G49, NewEmisData!$B:$B, $A49, NewEmisData!$C:$C, $H49, NewEmisData!$D:$D, CJ$6)</f>
        <v>2.52867699578843E-2</v>
      </c>
      <c r="CK49" s="1111">
        <f>SUMIFS(NewEmisData!G:G, NewEmisData!$A:$A, $G49, NewEmisData!$B:$B, $A49, NewEmisData!$C:$C, $H49, NewEmisData!$D:$D, CK$6)</f>
        <v>2.71717802821827E-2</v>
      </c>
      <c r="CL49" s="1111">
        <f>SUMIFS(NewEmisData!H:H, NewEmisData!$A:$A, $G49, NewEmisData!$B:$B, $A49, NewEmisData!$C:$C, $H49, NewEmisData!$D:$D, CL$6)</f>
        <v>2.71425219079954E-2</v>
      </c>
      <c r="CM49" s="1111">
        <f>SUMIFS(NewEmisData!I:I, NewEmisData!$A:$A, $G49, NewEmisData!$B:$B, $A49, NewEmisData!$C:$C, $H49, NewEmisData!$D:$D, CM$6)</f>
        <v>2.7128484897609599E-2</v>
      </c>
      <c r="CN49" s="1111">
        <f>SUMIFS(NewEmisData!J:J, NewEmisData!$A:$A, $G49, NewEmisData!$B:$B, $A49, NewEmisData!$C:$C, $H49, NewEmisData!$D:$D, CN$6)</f>
        <v>2.71242955243867E-2</v>
      </c>
      <c r="CO49" s="1111">
        <f>SUMIFS(NewEmisData!K:K, NewEmisData!$A:$A, $G49, NewEmisData!$B:$B, $A49, NewEmisData!$C:$C, $H49, NewEmisData!$D:$D, CO$6)</f>
        <v>2.71243976689509E-2</v>
      </c>
      <c r="CP49" s="1111">
        <f>SUMIFS(NewEmisData!L:L, NewEmisData!$A:$A, $G49, NewEmisData!$B:$B, $A49, NewEmisData!$C:$C, $H49, NewEmisData!$D:$D, CP$6)</f>
        <v>2.7125748973111801E-2</v>
      </c>
      <c r="CQ49" s="1111">
        <f>SUMIFS(NewEmisData!M:M, NewEmisData!$A:$A, $G49, NewEmisData!$B:$B, $A49, NewEmisData!$C:$C, $H49, NewEmisData!$D:$D, CQ$6)</f>
        <v>2.71273712236671E-2</v>
      </c>
      <c r="CR49" s="1111">
        <f t="shared" si="80"/>
        <v>2.71273712236671E-2</v>
      </c>
      <c r="CS49" s="1111">
        <f t="shared" si="81"/>
        <v>2.4958751743538398E-3</v>
      </c>
      <c r="CT49" s="1111">
        <f>SUMIFS(NewEmisData!E:E, NewEmisData!$A:$A, $G49, NewEmisData!$B:$B, $A49, NewEmisData!$C:$C, $H49, NewEmisData!$D:$D, CT$6)</f>
        <v>2.4958751743538398E-3</v>
      </c>
      <c r="CU49" s="1111">
        <f>SUMIFS(NewEmisData!F:F, NewEmisData!$A:$A, $G49, NewEmisData!$B:$B, $A49, NewEmisData!$C:$C, $H49, NewEmisData!$D:$D, CU$6)</f>
        <v>2.4447713868806899E-3</v>
      </c>
      <c r="CV49" s="1111">
        <f>SUMIFS(NewEmisData!G:G, NewEmisData!$A:$A, $G49, NewEmisData!$B:$B, $A49, NewEmisData!$C:$C, $H49, NewEmisData!$D:$D, CV$6)</f>
        <v>3.4529570026890898E-3</v>
      </c>
      <c r="CW49" s="1111">
        <f>SUMIFS(NewEmisData!H:H, NewEmisData!$A:$A, $G49, NewEmisData!$B:$B, $A49, NewEmisData!$C:$C, $H49, NewEmisData!$D:$D, CW$6)</f>
        <v>3.4238629713190701E-3</v>
      </c>
      <c r="CX49" s="1111">
        <f>SUMIFS(NewEmisData!I:I, NewEmisData!$A:$A, $G49, NewEmisData!$B:$B, $A49, NewEmisData!$C:$C, $H49, NewEmisData!$D:$D, CX$6)</f>
        <v>3.4056857972038501E-3</v>
      </c>
      <c r="CY49" s="1111">
        <f>SUMIFS(NewEmisData!J:J, NewEmisData!$A:$A, $G49, NewEmisData!$B:$B, $A49, NewEmisData!$C:$C, $H49, NewEmisData!$D:$D, CY$6)</f>
        <v>3.39842942017498E-3</v>
      </c>
      <c r="CZ49" s="1111">
        <f>SUMIFS(NewEmisData!K:K, NewEmisData!$A:$A, $G49, NewEmisData!$B:$B, $A49, NewEmisData!$C:$C, $H49, NewEmisData!$D:$D, CZ$6)</f>
        <v>3.3964615682354799E-3</v>
      </c>
      <c r="DA49" s="1111">
        <f>SUMIFS(NewEmisData!L:L, NewEmisData!$A:$A, $G49, NewEmisData!$B:$B, $A49, NewEmisData!$C:$C, $H49, NewEmisData!$D:$D, DA$6)</f>
        <v>3.3967409048497499E-3</v>
      </c>
      <c r="DB49" s="1111">
        <f>SUMIFS(NewEmisData!M:M, NewEmisData!$A:$A, $G49, NewEmisData!$B:$B, $A49, NewEmisData!$C:$C, $H49, NewEmisData!$D:$D, DB$6)</f>
        <v>3.3981280596405302E-3</v>
      </c>
      <c r="DC49" s="1111">
        <f t="shared" si="84"/>
        <v>3.3981280596405302E-3</v>
      </c>
      <c r="DD49" s="1111"/>
      <c r="DE49" s="1111"/>
      <c r="DF49" s="1111"/>
      <c r="DG49" s="1111"/>
      <c r="DH49" s="1111"/>
      <c r="DI49" s="1111"/>
      <c r="DJ49" s="1111"/>
      <c r="DK49" s="1111"/>
      <c r="DL49" s="1111"/>
      <c r="DM49" s="1111"/>
      <c r="DN49" s="1111"/>
      <c r="DO49" s="1111"/>
      <c r="DP49" s="1111"/>
      <c r="DQ49" s="1111"/>
      <c r="DR49" s="1111"/>
      <c r="DS49" s="1111"/>
      <c r="DT49" s="1111"/>
      <c r="DU49" s="1111"/>
      <c r="DV49" s="1111"/>
      <c r="DW49" s="1111"/>
      <c r="DX49" s="1111"/>
      <c r="DY49" s="1111"/>
      <c r="DZ49" s="1111">
        <f t="shared" si="85"/>
        <v>1.50837600567011E-2</v>
      </c>
      <c r="EA49" s="1111">
        <f>SUMIFS(NewEmisData!E:E, NewEmisData!$A:$A, $G49, NewEmisData!$B:$B, $A49, NewEmisData!$C:$C, $H49, NewEmisData!$D:$D, EA$6)</f>
        <v>1.50837600567011E-2</v>
      </c>
      <c r="EB49" s="1111">
        <f>SUMIFS(NewEmisData!F:F, NewEmisData!$A:$A, $G49, NewEmisData!$B:$B, $A49, NewEmisData!$C:$C, $H49, NewEmisData!$D:$D, EB$6)</f>
        <v>4.1820056790997803E-2</v>
      </c>
      <c r="EC49" s="1111">
        <f>SUMIFS(NewEmisData!G:G, NewEmisData!$A:$A, $G49, NewEmisData!$B:$B, $A49, NewEmisData!$C:$C, $H49, NewEmisData!$D:$D, EC$6)</f>
        <v>7.3126252157420996E-2</v>
      </c>
      <c r="ED49" s="1111">
        <f>SUMIFS(NewEmisData!H:H, NewEmisData!$A:$A, $G49, NewEmisData!$B:$B, $A49, NewEmisData!$C:$C, $H49, NewEmisData!$D:$D, ED$6)</f>
        <v>7.3867270375654201E-2</v>
      </c>
      <c r="EE49" s="1111">
        <f>SUMIFS(NewEmisData!I:I, NewEmisData!$A:$A, $G49, NewEmisData!$B:$B, $A49, NewEmisData!$C:$C, $H49, NewEmisData!$D:$D, EE$6)</f>
        <v>7.3939295087643395E-2</v>
      </c>
      <c r="EF49" s="1111">
        <f>SUMIFS(NewEmisData!J:J, NewEmisData!$A:$A, $G49, NewEmisData!$B:$B, $A49, NewEmisData!$C:$C, $H49, NewEmisData!$D:$D, EF$6)</f>
        <v>7.3756036716317294E-2</v>
      </c>
      <c r="EG49" s="1111">
        <f>SUMIFS(NewEmisData!K:K, NewEmisData!$A:$A, $G49, NewEmisData!$B:$B, $A49, NewEmisData!$C:$C, $H49, NewEmisData!$D:$D, EG$6)</f>
        <v>7.3800142314626199E-2</v>
      </c>
      <c r="EH49" s="1111">
        <f>SUMIFS(NewEmisData!L:L, NewEmisData!$A:$A, $G49, NewEmisData!$B:$B, $A49, NewEmisData!$C:$C, $H49, NewEmisData!$D:$D, EH$6)</f>
        <v>7.3776798768142804E-2</v>
      </c>
      <c r="EI49" s="1111">
        <f>SUMIFS(NewEmisData!M:M, NewEmisData!$A:$A, $G49, NewEmisData!$B:$B, $A49, NewEmisData!$C:$C, $H49, NewEmisData!$D:$D, EI$6)</f>
        <v>7.3798077513590202E-2</v>
      </c>
      <c r="EJ49" s="1111">
        <f t="shared" si="86"/>
        <v>7.3798077513590202E-2</v>
      </c>
      <c r="EK49" s="1111">
        <f t="shared" si="87"/>
        <v>1669.0822501080099</v>
      </c>
      <c r="EL49" s="1111">
        <f t="shared" si="48"/>
        <v>1669.0822501080099</v>
      </c>
      <c r="EM49" s="1111">
        <f t="shared" si="49"/>
        <v>1673.1688001129</v>
      </c>
      <c r="EN49" s="1111">
        <f t="shared" si="50"/>
        <v>1365.67564571155</v>
      </c>
      <c r="EO49" s="1111">
        <f t="shared" si="51"/>
        <v>1340.2430368273101</v>
      </c>
      <c r="EP49" s="1111">
        <f t="shared" si="52"/>
        <v>1322.8450856147599</v>
      </c>
      <c r="EQ49" s="1111">
        <f t="shared" si="53"/>
        <v>1317.23072914767</v>
      </c>
      <c r="ER49" s="1111">
        <f t="shared" si="54"/>
        <v>1315.3450285164099</v>
      </c>
      <c r="ES49" s="1111">
        <f t="shared" si="55"/>
        <v>1314.50089135955</v>
      </c>
      <c r="ET49" s="1111">
        <f t="shared" si="56"/>
        <v>1313.88241213587</v>
      </c>
      <c r="EU49" s="1111">
        <f t="shared" si="57"/>
        <v>1313.88241213587</v>
      </c>
      <c r="EV49" s="1111">
        <f t="shared" si="88"/>
        <v>13.492775574024799</v>
      </c>
      <c r="EW49" s="1111">
        <f t="shared" si="38"/>
        <v>13.492775574024799</v>
      </c>
      <c r="EX49" s="1111">
        <f t="shared" si="39"/>
        <v>7.5468458416536803</v>
      </c>
      <c r="EY49" s="1111">
        <f t="shared" si="40"/>
        <v>2.86440753900408</v>
      </c>
      <c r="EZ49" s="1111">
        <f t="shared" si="41"/>
        <v>1.66545036782072</v>
      </c>
      <c r="FA49" s="1111">
        <f t="shared" si="42"/>
        <v>1.2872223005865</v>
      </c>
      <c r="FB49" s="1111">
        <f t="shared" si="43"/>
        <v>1.20818388349511</v>
      </c>
      <c r="FC49" s="1111">
        <f t="shared" si="44"/>
        <v>1.1882189073440399</v>
      </c>
      <c r="FD49" s="1111">
        <f t="shared" si="45"/>
        <v>1.18759279747034</v>
      </c>
      <c r="FE49" s="1111">
        <f t="shared" si="46"/>
        <v>1.1873143220192299</v>
      </c>
      <c r="FF49" s="1111">
        <f t="shared" si="47"/>
        <v>1.1873143220192299</v>
      </c>
      <c r="FG49" s="1111">
        <f t="shared" si="100"/>
        <v>1.9219515132106998E-2</v>
      </c>
      <c r="FH49" s="1111">
        <f t="shared" si="101"/>
        <v>1.9219515132106998E-2</v>
      </c>
      <c r="FI49" s="1111">
        <f t="shared" si="102"/>
        <v>1.8381789821165999E-2</v>
      </c>
      <c r="FJ49" s="1111">
        <f t="shared" si="103"/>
        <v>1.1480506512681401E-2</v>
      </c>
      <c r="FK49" s="1111">
        <f t="shared" si="104"/>
        <v>1.1200613613581E-2</v>
      </c>
      <c r="FL49" s="1111">
        <f t="shared" si="105"/>
        <v>1.1033835716401499E-2</v>
      </c>
      <c r="FM49" s="1111">
        <f t="shared" si="106"/>
        <v>1.0983128564943399E-2</v>
      </c>
      <c r="FN49" s="1111">
        <f t="shared" si="107"/>
        <v>1.09661929621608E-2</v>
      </c>
      <c r="FO49" s="1111">
        <f t="shared" si="108"/>
        <v>1.09591556908048E-2</v>
      </c>
      <c r="FP49" s="1111">
        <f t="shared" si="109"/>
        <v>1.09539961645838E-2</v>
      </c>
      <c r="FQ49" s="1111">
        <f t="shared" si="110"/>
        <v>1.09539961645838E-2</v>
      </c>
      <c r="FR49" s="1111">
        <f t="shared" si="25"/>
        <v>0.858529279217077</v>
      </c>
      <c r="FS49" s="1111">
        <f t="shared" si="26"/>
        <v>0.858529279217077</v>
      </c>
      <c r="FT49" s="1111">
        <f t="shared" si="27"/>
        <v>0.503731417508816</v>
      </c>
      <c r="FU49" s="1111">
        <f t="shared" si="28"/>
        <v>0.37512816215378397</v>
      </c>
      <c r="FV49" s="1111">
        <f t="shared" si="29"/>
        <v>0.30828199926496602</v>
      </c>
      <c r="FW49" s="1111">
        <f t="shared" si="30"/>
        <v>0.28661953326038297</v>
      </c>
      <c r="FX49" s="1111">
        <f t="shared" si="31"/>
        <v>0.28264038179328499</v>
      </c>
      <c r="FY49" s="1111">
        <f t="shared" si="32"/>
        <v>0.28162692153878699</v>
      </c>
      <c r="FZ49" s="1111">
        <f t="shared" si="33"/>
        <v>0.281751869278763</v>
      </c>
      <c r="GA49" s="1111">
        <f t="shared" si="34"/>
        <v>0.28192306485273899</v>
      </c>
      <c r="GB49" s="1111">
        <f t="shared" si="35"/>
        <v>0.28192306485273899</v>
      </c>
      <c r="GC49" s="1111">
        <f t="shared" si="59"/>
        <v>0.65283874806811604</v>
      </c>
      <c r="GD49" s="1111">
        <f t="shared" si="60"/>
        <v>0.65283874806811604</v>
      </c>
      <c r="GE49" s="1111">
        <f t="shared" si="61"/>
        <v>0.33224436660041701</v>
      </c>
      <c r="GF49" s="1111">
        <f t="shared" si="62"/>
        <v>0.13652581905042699</v>
      </c>
      <c r="GG49" s="1111">
        <f t="shared" si="63"/>
        <v>7.8025503719108297E-2</v>
      </c>
      <c r="GH49" s="1111">
        <f t="shared" si="64"/>
        <v>5.9231027771519597E-2</v>
      </c>
      <c r="GI49" s="1111">
        <f t="shared" si="65"/>
        <v>5.5901975487255798E-2</v>
      </c>
      <c r="GJ49" s="1111">
        <f t="shared" si="66"/>
        <v>5.4946823671966197E-2</v>
      </c>
      <c r="GK49" s="1111">
        <f t="shared" si="67"/>
        <v>5.4950705011026502E-2</v>
      </c>
      <c r="GL49" s="1111">
        <f t="shared" si="68"/>
        <v>5.4967058193246002E-2</v>
      </c>
      <c r="GM49" s="1111">
        <f t="shared" si="69"/>
        <v>5.4967058193246002E-2</v>
      </c>
    </row>
    <row r="50" spans="1:195" x14ac:dyDescent="0.2">
      <c r="A50" s="1071" t="s">
        <v>190</v>
      </c>
      <c r="B50" s="1071" t="str">
        <f>Technologies!C137</f>
        <v>THSDSLE</v>
      </c>
      <c r="C50" s="1071" t="str">
        <f>Technologies!D137</f>
        <v>Heavy Truck, Short Haul, Diesel exisiting</v>
      </c>
      <c r="D50" s="1071" t="str">
        <f>NewTech!D86</f>
        <v>bn-vmt, bn-vmt/a</v>
      </c>
      <c r="E50" s="1071" t="str">
        <f>Commodities!C44</f>
        <v>THDSL</v>
      </c>
      <c r="F50" s="1071" t="s">
        <v>98</v>
      </c>
      <c r="G50" s="1110" t="s">
        <v>505</v>
      </c>
      <c r="H50" s="1111" t="s">
        <v>499</v>
      </c>
      <c r="I50" s="1112">
        <v>1</v>
      </c>
      <c r="J50" s="1111" t="str">
        <f t="shared" si="37"/>
        <v>Heavy duty short haul truck-DSL</v>
      </c>
      <c r="K50" s="1111">
        <f>SUMIFS(NewEmisData!E:E, NewEmisData!$A:$A, $G50, NewEmisData!$B:$B, $A50, NewEmisData!$C:$C, $H50, NewEmisData!$D:$D, K$6)</f>
        <v>1446.4734413180499</v>
      </c>
      <c r="L50" s="1111">
        <f>SUMIFS(NewEmisData!F:F, NewEmisData!$A:$A, $G50, NewEmisData!$B:$B, $A50, NewEmisData!$C:$C, $H50, NewEmisData!$D:$D, L$6)</f>
        <v>1740.72087390757</v>
      </c>
      <c r="M50" s="1111">
        <f>SUMIFS(NewEmisData!G:G, NewEmisData!$A:$A, $G50, NewEmisData!$B:$B, $A50, NewEmisData!$C:$C, $H50, NewEmisData!$D:$D, M$6)</f>
        <v>1883.5112444895601</v>
      </c>
      <c r="N50" s="1111">
        <f>SUMIFS(NewEmisData!H:H, NewEmisData!$A:$A, $G50, NewEmisData!$B:$B, $A50, NewEmisData!$C:$C, $H50, NewEmisData!$D:$D, N$6)</f>
        <v>1846.4691773357799</v>
      </c>
      <c r="O50" s="1111">
        <f>SUMIFS(NewEmisData!I:I, NewEmisData!$A:$A, $G50, NewEmisData!$B:$B, $A50, NewEmisData!$C:$C, $H50, NewEmisData!$D:$D, O$6)</f>
        <v>1831.61438997502</v>
      </c>
      <c r="P50" s="1111">
        <f>SUMIFS(NewEmisData!J:J, NewEmisData!$A:$A, $G50, NewEmisData!$B:$B, $A50, NewEmisData!$C:$C, $H50, NewEmisData!$D:$D, P$6)</f>
        <v>1827.40074627429</v>
      </c>
      <c r="Q50" s="1111">
        <f>SUMIFS(NewEmisData!K:K, NewEmisData!$A:$A, $G50, NewEmisData!$B:$B, $A50, NewEmisData!$C:$C, $H50, NewEmisData!$D:$D, Q$6)</f>
        <v>1826.3756740122001</v>
      </c>
      <c r="R50" s="1111">
        <f>SUMIFS(NewEmisData!L:L, NewEmisData!$A:$A, $G50, NewEmisData!$B:$B, $A50, NewEmisData!$C:$C, $H50, NewEmisData!$D:$D, R$6)</f>
        <v>1826.08515951495</v>
      </c>
      <c r="S50" s="1111">
        <f>SUMIFS(NewEmisData!M:M, NewEmisData!$A:$A, $G50, NewEmisData!$B:$B, $A50, NewEmisData!$C:$C, $H50, NewEmisData!$D:$D, S$6)</f>
        <v>1825.9462445100501</v>
      </c>
      <c r="T50" s="1111">
        <f t="shared" si="17"/>
        <v>1825.9462445100501</v>
      </c>
      <c r="U50" s="1111">
        <f>SUMIFS(NewEmisData!E:E, NewEmisData!$A:$A, $G50, NewEmisData!$B:$B, $A50, NewEmisData!$C:$C, $H50, NewEmisData!$D:$D, U$6)</f>
        <v>10.927472096680599</v>
      </c>
      <c r="V50" s="1111">
        <f>SUMIFS(NewEmisData!F:F, NewEmisData!$A:$A, $G50, NewEmisData!$B:$B, $A50, NewEmisData!$C:$C, $H50, NewEmisData!$D:$D, V$6)</f>
        <v>7.1206377233055003</v>
      </c>
      <c r="W50" s="1111">
        <f>SUMIFS(NewEmisData!G:G, NewEmisData!$A:$A, $G50, NewEmisData!$B:$B, $A50, NewEmisData!$C:$C, $H50, NewEmisData!$D:$D, W$6)</f>
        <v>3.1558879768380601</v>
      </c>
      <c r="X50" s="1111">
        <f>SUMIFS(NewEmisData!H:H, NewEmisData!$A:$A, $G50, NewEmisData!$B:$B, $A50, NewEmisData!$C:$C, $H50, NewEmisData!$D:$D, X$6)</f>
        <v>2.0748112225925799</v>
      </c>
      <c r="Y50" s="1111">
        <f>SUMIFS(NewEmisData!I:I, NewEmisData!$A:$A, $G50, NewEmisData!$B:$B, $A50, NewEmisData!$C:$C, $H50, NewEmisData!$D:$D, Y$6)</f>
        <v>1.74258491838324</v>
      </c>
      <c r="Z50" s="1111">
        <f>SUMIFS(NewEmisData!J:J, NewEmisData!$A:$A, $G50, NewEmisData!$B:$B, $A50, NewEmisData!$C:$C, $H50, NewEmisData!$D:$D, Z$6)</f>
        <v>1.67796051175704</v>
      </c>
      <c r="AA50" s="1111">
        <f>SUMIFS(NewEmisData!K:K, NewEmisData!$A:$A, $G50, NewEmisData!$B:$B, $A50, NewEmisData!$C:$C, $H50, NewEmisData!$D:$D, AA$6)</f>
        <v>1.66395683464412</v>
      </c>
      <c r="AB50" s="1111">
        <f>SUMIFS(NewEmisData!L:L, NewEmisData!$A:$A, $G50, NewEmisData!$B:$B, $A50, NewEmisData!$C:$C, $H50, NewEmisData!$D:$D, AB$6)</f>
        <v>1.6637625206784601</v>
      </c>
      <c r="AC50" s="1111">
        <f>SUMIFS(NewEmisData!M:M, NewEmisData!$A:$A, $G50, NewEmisData!$B:$B, $A50, NewEmisData!$C:$C, $H50, NewEmisData!$D:$D, AC$6)</f>
        <v>1.6637616447113901</v>
      </c>
      <c r="AD50" s="1111">
        <f t="shared" si="18"/>
        <v>1.6637616447113901</v>
      </c>
      <c r="AE50" s="1111">
        <f t="shared" si="70"/>
        <v>3.5795342325280199E-2</v>
      </c>
      <c r="AF50" s="1111">
        <f>SUMIFS(NewEmisData!E:E, NewEmisData!$A:$A, $G50, NewEmisData!$B:$B, $A50, NewEmisData!$C:$C, $H50, NewEmisData!$D:$D, AF$6)</f>
        <v>3.5795342325280199E-2</v>
      </c>
      <c r="AG50" s="1111">
        <f>SUMIFS(NewEmisData!F:F, NewEmisData!$A:$A, $G50, NewEmisData!$B:$B, $A50, NewEmisData!$C:$C, $H50, NewEmisData!$D:$D, AG$6)</f>
        <v>4.18895987456427E-2</v>
      </c>
      <c r="AH50" s="1111">
        <f>SUMIFS(NewEmisData!G:G, NewEmisData!$A:$A, $G50, NewEmisData!$B:$B, $A50, NewEmisData!$C:$C, $H50, NewEmisData!$D:$D, AH$6)</f>
        <v>1.5791060545945802E-2</v>
      </c>
      <c r="AI50" s="1111">
        <f>SUMIFS(NewEmisData!H:H, NewEmisData!$A:$A, $G50, NewEmisData!$B:$B, $A50, NewEmisData!$C:$C, $H50, NewEmisData!$D:$D, AI$6)</f>
        <v>1.5415670212051501E-2</v>
      </c>
      <c r="AJ50" s="1111">
        <f>SUMIFS(NewEmisData!I:I, NewEmisData!$A:$A, $G50, NewEmisData!$B:$B, $A50, NewEmisData!$C:$C, $H50, NewEmisData!$D:$D, AJ$6)</f>
        <v>1.5274431754930399E-2</v>
      </c>
      <c r="AK50" s="1111">
        <f>SUMIFS(NewEmisData!J:J, NewEmisData!$A:$A, $G50, NewEmisData!$B:$B, $A50, NewEmisData!$C:$C, $H50, NewEmisData!$D:$D, AK$6)</f>
        <v>1.5236164903811999E-2</v>
      </c>
      <c r="AL50" s="1111">
        <f>SUMIFS(NewEmisData!K:K, NewEmisData!$A:$A, $G50, NewEmisData!$B:$B, $A50, NewEmisData!$C:$C, $H50, NewEmisData!$D:$D, AL$6)</f>
        <v>1.52267203455439E-2</v>
      </c>
      <c r="AM50" s="1111">
        <f>SUMIFS(NewEmisData!L:L, NewEmisData!$A:$A, $G50, NewEmisData!$B:$B, $A50, NewEmisData!$C:$C, $H50, NewEmisData!$D:$D, AM$6)</f>
        <v>1.5224294731162401E-2</v>
      </c>
      <c r="AN50" s="1111">
        <f>SUMIFS(NewEmisData!M:M, NewEmisData!$A:$A, $G50, NewEmisData!$B:$B, $A50, NewEmisData!$C:$C, $H50, NewEmisData!$D:$D, AN$6)</f>
        <v>1.52231302628319E-2</v>
      </c>
      <c r="AO50" s="1111">
        <f t="shared" si="71"/>
        <v>1.52231302628319E-2</v>
      </c>
      <c r="AP50" s="1111">
        <f t="shared" si="72"/>
        <v>1.1386613940402399</v>
      </c>
      <c r="AQ50" s="1111">
        <f>SUMIFS(NewEmisData!E:E, NewEmisData!$A:$A, $G50, NewEmisData!$B:$B, $A50, NewEmisData!$C:$C, $H50, NewEmisData!$D:$D, AQ$6)</f>
        <v>1.1386613940402399</v>
      </c>
      <c r="AR50" s="1111">
        <f>SUMIFS(NewEmisData!F:F, NewEmisData!$A:$A, $G50, NewEmisData!$B:$B, $A50, NewEmisData!$C:$C, $H50, NewEmisData!$D:$D, AR$6)</f>
        <v>0.81062826870189697</v>
      </c>
      <c r="AS50" s="1111">
        <f>SUMIFS(NewEmisData!G:G, NewEmisData!$A:$A, $G50, NewEmisData!$B:$B, $A50, NewEmisData!$C:$C, $H50, NewEmisData!$D:$D, AS$6)</f>
        <v>0.53923885209480305</v>
      </c>
      <c r="AT50" s="1111">
        <f>SUMIFS(NewEmisData!H:H, NewEmisData!$A:$A, $G50, NewEmisData!$B:$B, $A50, NewEmisData!$C:$C, $H50, NewEmisData!$D:$D, AT$6)</f>
        <v>0.475762300205197</v>
      </c>
      <c r="AU50" s="1111">
        <f>SUMIFS(NewEmisData!I:I, NewEmisData!$A:$A, $G50, NewEmisData!$B:$B, $A50, NewEmisData!$C:$C, $H50, NewEmisData!$D:$D, AU$6)</f>
        <v>0.45922153968976998</v>
      </c>
      <c r="AV50" s="1111">
        <f>SUMIFS(NewEmisData!J:J, NewEmisData!$A:$A, $G50, NewEmisData!$B:$B, $A50, NewEmisData!$C:$C, $H50, NewEmisData!$D:$D, AV$6)</f>
        <v>0.45636829014935498</v>
      </c>
      <c r="AW50" s="1111">
        <f>SUMIFS(NewEmisData!K:K, NewEmisData!$A:$A, $G50, NewEmisData!$B:$B, $A50, NewEmisData!$C:$C, $H50, NewEmisData!$D:$D, AW$6)</f>
        <v>0.45567985208338102</v>
      </c>
      <c r="AX50" s="1111">
        <f>SUMIFS(NewEmisData!L:L, NewEmisData!$A:$A, $G50, NewEmisData!$B:$B, $A50, NewEmisData!$C:$C, $H50, NewEmisData!$D:$D, AX$6)</f>
        <v>0.45574905770507301</v>
      </c>
      <c r="AY50" s="1111">
        <f>SUMIFS(NewEmisData!M:M, NewEmisData!$A:$A, $G50, NewEmisData!$B:$B, $A50, NewEmisData!$C:$C, $H50, NewEmisData!$D:$D, AY$6)</f>
        <v>0.455831313218652</v>
      </c>
      <c r="AZ50" s="1111">
        <f t="shared" si="73"/>
        <v>0.455831313218652</v>
      </c>
      <c r="BA50" s="1111">
        <f t="shared" si="74"/>
        <v>0.76056597813754101</v>
      </c>
      <c r="BB50" s="1111">
        <f>SUMIFS(NewEmisData!E:E, NewEmisData!$A:$A, $G50, NewEmisData!$B:$B, $A50, NewEmisData!$C:$C, $H50, NewEmisData!$D:$D, BB$6)</f>
        <v>0.76056597813754101</v>
      </c>
      <c r="BC50" s="1111">
        <f>SUMIFS(NewEmisData!F:F, NewEmisData!$A:$A, $G50, NewEmisData!$B:$B, $A50, NewEmisData!$C:$C, $H50, NewEmisData!$D:$D, BC$6)</f>
        <v>0.44834360182688099</v>
      </c>
      <c r="BD50" s="1111">
        <f>SUMIFS(NewEmisData!G:G, NewEmisData!$A:$A, $G50, NewEmisData!$B:$B, $A50, NewEmisData!$C:$C, $H50, NewEmisData!$D:$D, BD$6)</f>
        <v>0.16425905468775201</v>
      </c>
      <c r="BE50" s="1111">
        <f>SUMIFS(NewEmisData!H:H, NewEmisData!$A:$A, $G50, NewEmisData!$B:$B, $A50, NewEmisData!$C:$C, $H50, NewEmisData!$D:$D, BE$6)</f>
        <v>0.106571454108964</v>
      </c>
      <c r="BF50" s="1111">
        <f>SUMIFS(NewEmisData!I:I, NewEmisData!$A:$A, $G50, NewEmisData!$B:$B, $A50, NewEmisData!$C:$C, $H50, NewEmisData!$D:$D, BF$6)</f>
        <v>9.1494531785506497E-2</v>
      </c>
      <c r="BG50" s="1111">
        <f>SUMIFS(NewEmisData!J:J, NewEmisData!$A:$A, $G50, NewEmisData!$B:$B, $A50, NewEmisData!$C:$C, $H50, NewEmisData!$D:$D, BG$6)</f>
        <v>8.8871730484206005E-2</v>
      </c>
      <c r="BH50" s="1111">
        <f>SUMIFS(NewEmisData!K:K, NewEmisData!$A:$A, $G50, NewEmisData!$B:$B, $A50, NewEmisData!$C:$C, $H50, NewEmisData!$D:$D, BH$6)</f>
        <v>8.8185150826517997E-2</v>
      </c>
      <c r="BI50" s="1111">
        <f>SUMIFS(NewEmisData!L:L, NewEmisData!$A:$A, $G50, NewEmisData!$B:$B, $A50, NewEmisData!$C:$C, $H50, NewEmisData!$D:$D, BI$6)</f>
        <v>8.8192675178559193E-2</v>
      </c>
      <c r="BJ50" s="1111">
        <f>SUMIFS(NewEmisData!M:M, NewEmisData!$A:$A, $G50, NewEmisData!$B:$B, $A50, NewEmisData!$C:$C, $H50, NewEmisData!$D:$D, BJ$6)</f>
        <v>8.8205281736577906E-2</v>
      </c>
      <c r="BK50" s="1111">
        <f t="shared" si="75"/>
        <v>8.8205281736577906E-2</v>
      </c>
      <c r="BL50" s="1111">
        <f t="shared" si="76"/>
        <v>4.6832626450914496</v>
      </c>
      <c r="BM50" s="1111">
        <f>SUMIFS(NewEmisData!E:E, NewEmisData!$A:$A, $G50, NewEmisData!$B:$B, $A50, NewEmisData!$C:$C, $H50, NewEmisData!$D:$D, BM$6)</f>
        <v>4.6832626450914496</v>
      </c>
      <c r="BN50" s="1111">
        <f>SUMIFS(NewEmisData!F:F, NewEmisData!$A:$A, $G50, NewEmisData!$B:$B, $A50, NewEmisData!$C:$C, $H50, NewEmisData!$D:$D, BN$6)</f>
        <v>2.6100431929147598</v>
      </c>
      <c r="BO50" s="1111">
        <f>SUMIFS(NewEmisData!G:G, NewEmisData!$A:$A, $G50, NewEmisData!$B:$B, $A50, NewEmisData!$C:$C, $H50, NewEmisData!$D:$D, BO$6)</f>
        <v>1.44727268865366</v>
      </c>
      <c r="BP50" s="1111">
        <f>SUMIFS(NewEmisData!H:H, NewEmisData!$A:$A, $G50, NewEmisData!$B:$B, $A50, NewEmisData!$C:$C, $H50, NewEmisData!$D:$D, BP$6)</f>
        <v>1.1207683835002999</v>
      </c>
      <c r="BQ50" s="1111">
        <f>SUMIFS(NewEmisData!I:I, NewEmisData!$A:$A, $G50, NewEmisData!$B:$B, $A50, NewEmisData!$C:$C, $H50, NewEmisData!$D:$D, BQ$6)</f>
        <v>1.0267847071138601</v>
      </c>
      <c r="BR50" s="1111">
        <f>SUMIFS(NewEmisData!J:J, NewEmisData!$A:$A, $G50, NewEmisData!$B:$B, $A50, NewEmisData!$C:$C, $H50, NewEmisData!$D:$D, BR$6)</f>
        <v>1.00432218637865</v>
      </c>
      <c r="BS50" s="1111">
        <f>SUMIFS(NewEmisData!K:K, NewEmisData!$A:$A, $G50, NewEmisData!$B:$B, $A50, NewEmisData!$C:$C, $H50, NewEmisData!$D:$D, BS$6)</f>
        <v>0.99794723012971298</v>
      </c>
      <c r="BT50" s="1111">
        <f>SUMIFS(NewEmisData!L:L, NewEmisData!$A:$A, $G50, NewEmisData!$B:$B, $A50, NewEmisData!$C:$C, $H50, NewEmisData!$D:$D, BT$6)</f>
        <v>0.99667933319928403</v>
      </c>
      <c r="BU50" s="1111">
        <f>SUMIFS(NewEmisData!M:M, NewEmisData!$A:$A, $G50, NewEmisData!$B:$B, $A50, NewEmisData!$C:$C, $H50, NewEmisData!$D:$D, BU$6)</f>
        <v>0.99661224661700498</v>
      </c>
      <c r="BV50" s="1111">
        <f t="shared" si="83"/>
        <v>0.99661224661700498</v>
      </c>
      <c r="BW50" s="1111">
        <f t="shared" si="77"/>
        <v>1.3036578993866199</v>
      </c>
      <c r="BX50" s="1111">
        <f>SUMIFS(NewEmisData!E:E, NewEmisData!$A:$A, $G50, NewEmisData!$B:$B, $A50, NewEmisData!$C:$C, $H50, NewEmisData!$D:$D, BX$6)</f>
        <v>1.3036578993866199</v>
      </c>
      <c r="BY50" s="1111">
        <f>SUMIFS(NewEmisData!F:F, NewEmisData!$A:$A, $G50, NewEmisData!$B:$B, $A50, NewEmisData!$C:$C, $H50, NewEmisData!$D:$D, BY$6)</f>
        <v>0.62654783684864801</v>
      </c>
      <c r="BZ50" s="1111">
        <f>SUMIFS(NewEmisData!G:G, NewEmisData!$A:$A, $G50, NewEmisData!$B:$B, $A50, NewEmisData!$C:$C, $H50, NewEmisData!$D:$D, BZ$6)</f>
        <v>0.256477663626625</v>
      </c>
      <c r="CA50" s="1111">
        <f>SUMIFS(NewEmisData!H:H, NewEmisData!$A:$A, $G50, NewEmisData!$B:$B, $A50, NewEmisData!$C:$C, $H50, NewEmisData!$D:$D, CA$6)</f>
        <v>0.15721626159253699</v>
      </c>
      <c r="CB50" s="1111">
        <f>SUMIFS(NewEmisData!I:I, NewEmisData!$A:$A, $G50, NewEmisData!$B:$B, $A50, NewEmisData!$C:$C, $H50, NewEmisData!$D:$D, CB$6)</f>
        <v>0.12995527844758301</v>
      </c>
      <c r="CC50" s="1111">
        <f>SUMIFS(NewEmisData!J:J, NewEmisData!$A:$A, $G50, NewEmisData!$B:$B, $A50, NewEmisData!$C:$C, $H50, NewEmisData!$D:$D, CC$6)</f>
        <v>0.124363752484154</v>
      </c>
      <c r="CD50" s="1111">
        <f>SUMIFS(NewEmisData!K:K, NewEmisData!$A:$A, $G50, NewEmisData!$B:$B, $A50, NewEmisData!$C:$C, $H50, NewEmisData!$D:$D, CD$6)</f>
        <v>0.12280434729006</v>
      </c>
      <c r="CE50" s="1111">
        <f>SUMIFS(NewEmisData!L:L, NewEmisData!$A:$A, $G50, NewEmisData!$B:$B, $A50, NewEmisData!$C:$C, $H50, NewEmisData!$D:$D, CE$6)</f>
        <v>0.12275657242648801</v>
      </c>
      <c r="CF50" s="1111">
        <f>SUMIFS(NewEmisData!M:M, NewEmisData!$A:$A, $G50, NewEmisData!$B:$B, $A50, NewEmisData!$C:$C, $H50, NewEmisData!$D:$D, CF$6)</f>
        <v>0.122755209940958</v>
      </c>
      <c r="CG50" s="1111">
        <f t="shared" si="78"/>
        <v>0.122755209940958</v>
      </c>
      <c r="CH50" s="1111">
        <f t="shared" si="79"/>
        <v>2.6814639578360101E-2</v>
      </c>
      <c r="CI50" s="1111">
        <f>SUMIFS(NewEmisData!E:E, NewEmisData!$A:$A, $G50, NewEmisData!$B:$B, $A50, NewEmisData!$C:$C, $H50, NewEmisData!$D:$D, CI$6)</f>
        <v>2.6814639578360101E-2</v>
      </c>
      <c r="CJ50" s="1111">
        <f>SUMIFS(NewEmisData!F:F, NewEmisData!$A:$A, $G50, NewEmisData!$B:$B, $A50, NewEmisData!$C:$C, $H50, NewEmisData!$D:$D, CJ$6)</f>
        <v>2.7377198484682501E-2</v>
      </c>
      <c r="CK50" s="1111">
        <f>SUMIFS(NewEmisData!G:G, NewEmisData!$A:$A, $G50, NewEmisData!$B:$B, $A50, NewEmisData!$C:$C, $H50, NewEmisData!$D:$D, CK$6)</f>
        <v>3.1744752331224299E-2</v>
      </c>
      <c r="CL50" s="1111">
        <f>SUMIFS(NewEmisData!H:H, NewEmisData!$A:$A, $G50, NewEmisData!$B:$B, $A50, NewEmisData!$C:$C, $H50, NewEmisData!$D:$D, CL$6)</f>
        <v>3.1751089810168102E-2</v>
      </c>
      <c r="CM50" s="1111">
        <f>SUMIFS(NewEmisData!I:I, NewEmisData!$A:$A, $G50, NewEmisData!$B:$B, $A50, NewEmisData!$C:$C, $H50, NewEmisData!$D:$D, CM$6)</f>
        <v>3.1753196220943601E-2</v>
      </c>
      <c r="CN50" s="1111">
        <f>SUMIFS(NewEmisData!J:J, NewEmisData!$A:$A, $G50, NewEmisData!$B:$B, $A50, NewEmisData!$C:$C, $H50, NewEmisData!$D:$D, CN$6)</f>
        <v>3.1754907653783297E-2</v>
      </c>
      <c r="CO50" s="1111">
        <f>SUMIFS(NewEmisData!K:K, NewEmisData!$A:$A, $G50, NewEmisData!$B:$B, $A50, NewEmisData!$C:$C, $H50, NewEmisData!$D:$D, CO$6)</f>
        <v>3.1756308019210901E-2</v>
      </c>
      <c r="CP50" s="1111">
        <f>SUMIFS(NewEmisData!L:L, NewEmisData!$A:$A, $G50, NewEmisData!$B:$B, $A50, NewEmisData!$C:$C, $H50, NewEmisData!$D:$D, CP$6)</f>
        <v>3.1757504483370197E-2</v>
      </c>
      <c r="CQ50" s="1111">
        <f>SUMIFS(NewEmisData!M:M, NewEmisData!$A:$A, $G50, NewEmisData!$B:$B, $A50, NewEmisData!$C:$C, $H50, NewEmisData!$D:$D, CQ$6)</f>
        <v>3.17586670417229E-2</v>
      </c>
      <c r="CR50" s="1111">
        <f t="shared" si="80"/>
        <v>3.17586670417229E-2</v>
      </c>
      <c r="CS50" s="1111">
        <f t="shared" si="81"/>
        <v>4.3846094197843499E-3</v>
      </c>
      <c r="CT50" s="1111">
        <f>SUMIFS(NewEmisData!E:E, NewEmisData!$A:$A, $G50, NewEmisData!$B:$B, $A50, NewEmisData!$C:$C, $H50, NewEmisData!$D:$D, CT$6)</f>
        <v>4.3846094197843499E-3</v>
      </c>
      <c r="CU50" s="1111">
        <f>SUMIFS(NewEmisData!F:F, NewEmisData!$A:$A, $G50, NewEmisData!$B:$B, $A50, NewEmisData!$C:$C, $H50, NewEmisData!$D:$D, CU$6)</f>
        <v>4.2824271816577098E-3</v>
      </c>
      <c r="CV50" s="1111">
        <f>SUMIFS(NewEmisData!G:G, NewEmisData!$A:$A, $G50, NewEmisData!$B:$B, $A50, NewEmisData!$C:$C, $H50, NewEmisData!$D:$D, CV$6)</f>
        <v>5.02899922498892E-3</v>
      </c>
      <c r="CW50" s="1111">
        <f>SUMIFS(NewEmisData!H:H, NewEmisData!$A:$A, $G50, NewEmisData!$B:$B, $A50, NewEmisData!$C:$C, $H50, NewEmisData!$D:$D, CW$6)</f>
        <v>5.0046662993367902E-3</v>
      </c>
      <c r="CX50" s="1111">
        <f>SUMIFS(NewEmisData!I:I, NewEmisData!$A:$A, $G50, NewEmisData!$B:$B, $A50, NewEmisData!$C:$C, $H50, NewEmisData!$D:$D, CX$6)</f>
        <v>4.9882594082795899E-3</v>
      </c>
      <c r="CY50" s="1111">
        <f>SUMIFS(NewEmisData!J:J, NewEmisData!$A:$A, $G50, NewEmisData!$B:$B, $A50, NewEmisData!$C:$C, $H50, NewEmisData!$D:$D, CY$6)</f>
        <v>4.9807823416885997E-3</v>
      </c>
      <c r="CZ50" s="1111">
        <f>SUMIFS(NewEmisData!K:K, NewEmisData!$A:$A, $G50, NewEmisData!$B:$B, $A50, NewEmisData!$C:$C, $H50, NewEmisData!$D:$D, CZ$6)</f>
        <v>4.9778351451056097E-3</v>
      </c>
      <c r="DA50" s="1111">
        <f>SUMIFS(NewEmisData!L:L, NewEmisData!$A:$A, $G50, NewEmisData!$B:$B, $A50, NewEmisData!$C:$C, $H50, NewEmisData!$D:$D, DA$6)</f>
        <v>4.9770350121877902E-3</v>
      </c>
      <c r="DB50" s="1111">
        <f>SUMIFS(NewEmisData!M:M, NewEmisData!$A:$A, $G50, NewEmisData!$B:$B, $A50, NewEmisData!$C:$C, $H50, NewEmisData!$D:$D, DB$6)</f>
        <v>4.97750081597703E-3</v>
      </c>
      <c r="DC50" s="1111">
        <f t="shared" si="84"/>
        <v>4.97750081597703E-3</v>
      </c>
      <c r="DD50" s="1111"/>
      <c r="DE50" s="1111"/>
      <c r="DF50" s="1111"/>
      <c r="DG50" s="1111"/>
      <c r="DH50" s="1111"/>
      <c r="DI50" s="1111"/>
      <c r="DJ50" s="1111"/>
      <c r="DK50" s="1111"/>
      <c r="DL50" s="1111"/>
      <c r="DM50" s="1111"/>
      <c r="DN50" s="1111"/>
      <c r="DO50" s="1111"/>
      <c r="DP50" s="1111"/>
      <c r="DQ50" s="1111"/>
      <c r="DR50" s="1111"/>
      <c r="DS50" s="1111"/>
      <c r="DT50" s="1111"/>
      <c r="DU50" s="1111"/>
      <c r="DV50" s="1111"/>
      <c r="DW50" s="1111"/>
      <c r="DX50" s="1111"/>
      <c r="DY50" s="1111"/>
      <c r="DZ50" s="1111">
        <f t="shared" si="85"/>
        <v>2.5837404070173101E-2</v>
      </c>
      <c r="EA50" s="1111">
        <f>SUMIFS(NewEmisData!E:E, NewEmisData!$A:$A, $G50, NewEmisData!$B:$B, $A50, NewEmisData!$C:$C, $H50, NewEmisData!$D:$D, EA$6)</f>
        <v>2.5837404070173101E-2</v>
      </c>
      <c r="EB50" s="1111">
        <f>SUMIFS(NewEmisData!F:F, NewEmisData!$A:$A, $G50, NewEmisData!$B:$B, $A50, NewEmisData!$C:$C, $H50, NewEmisData!$D:$D, EB$6)</f>
        <v>7.8297413767458204E-2</v>
      </c>
      <c r="EC50" s="1111">
        <f>SUMIFS(NewEmisData!G:G, NewEmisData!$A:$A, $G50, NewEmisData!$B:$B, $A50, NewEmisData!$C:$C, $H50, NewEmisData!$D:$D, EC$6)</f>
        <v>0.10066729837517401</v>
      </c>
      <c r="ED50" s="1111">
        <f>SUMIFS(NewEmisData!H:H, NewEmisData!$A:$A, $G50, NewEmisData!$B:$B, $A50, NewEmisData!$C:$C, $H50, NewEmisData!$D:$D, ED$6)</f>
        <v>0.10297636370982299</v>
      </c>
      <c r="EE50" s="1111">
        <f>SUMIFS(NewEmisData!I:I, NewEmisData!$A:$A, $G50, NewEmisData!$B:$B, $A50, NewEmisData!$C:$C, $H50, NewEmisData!$D:$D, EE$6)</f>
        <v>0.103171854151657</v>
      </c>
      <c r="EF50" s="1111">
        <f>SUMIFS(NewEmisData!J:J, NewEmisData!$A:$A, $G50, NewEmisData!$B:$B, $A50, NewEmisData!$C:$C, $H50, NewEmisData!$D:$D, EF$6)</f>
        <v>0.103095802852537</v>
      </c>
      <c r="EG50" s="1111">
        <f>SUMIFS(NewEmisData!K:K, NewEmisData!$A:$A, $G50, NewEmisData!$B:$B, $A50, NewEmisData!$C:$C, $H50, NewEmisData!$D:$D, EG$6)</f>
        <v>0.10319825346403599</v>
      </c>
      <c r="EH50" s="1111">
        <f>SUMIFS(NewEmisData!L:L, NewEmisData!$A:$A, $G50, NewEmisData!$B:$B, $A50, NewEmisData!$C:$C, $H50, NewEmisData!$D:$D, EH$6)</f>
        <v>0.103151432114074</v>
      </c>
      <c r="EI50" s="1111">
        <f>SUMIFS(NewEmisData!M:M, NewEmisData!$A:$A, $G50, NewEmisData!$B:$B, $A50, NewEmisData!$C:$C, $H50, NewEmisData!$D:$D, EI$6)</f>
        <v>0.103153661145232</v>
      </c>
      <c r="EJ50" s="1111">
        <f t="shared" si="86"/>
        <v>0.103153661145232</v>
      </c>
      <c r="EK50" s="1111">
        <f t="shared" si="87"/>
        <v>1446.4734413180499</v>
      </c>
      <c r="EL50" s="1111">
        <f t="shared" si="48"/>
        <v>1446.4734413180499</v>
      </c>
      <c r="EM50" s="1111">
        <f t="shared" si="49"/>
        <v>1740.72087390757</v>
      </c>
      <c r="EN50" s="1111">
        <f t="shared" si="50"/>
        <v>1883.5112444895601</v>
      </c>
      <c r="EO50" s="1111">
        <f t="shared" si="51"/>
        <v>1846.4691773357799</v>
      </c>
      <c r="EP50" s="1111">
        <f t="shared" si="52"/>
        <v>1831.61438997502</v>
      </c>
      <c r="EQ50" s="1111">
        <f t="shared" si="53"/>
        <v>1827.40074627429</v>
      </c>
      <c r="ER50" s="1111">
        <f t="shared" si="54"/>
        <v>1826.3756740122001</v>
      </c>
      <c r="ES50" s="1111">
        <f t="shared" si="55"/>
        <v>1826.08515951495</v>
      </c>
      <c r="ET50" s="1111">
        <f t="shared" si="56"/>
        <v>1825.9462445100501</v>
      </c>
      <c r="EU50" s="1111">
        <f t="shared" si="57"/>
        <v>1825.9462445100501</v>
      </c>
      <c r="EV50" s="1111">
        <f t="shared" si="88"/>
        <v>10.927472096680599</v>
      </c>
      <c r="EW50" s="1111">
        <f t="shared" si="38"/>
        <v>10.927472096680599</v>
      </c>
      <c r="EX50" s="1111">
        <f t="shared" si="39"/>
        <v>7.1206377233055003</v>
      </c>
      <c r="EY50" s="1111">
        <f t="shared" si="40"/>
        <v>3.1558879768380601</v>
      </c>
      <c r="EZ50" s="1111">
        <f t="shared" si="41"/>
        <v>2.0748112225925799</v>
      </c>
      <c r="FA50" s="1111">
        <f t="shared" si="42"/>
        <v>1.74258491838324</v>
      </c>
      <c r="FB50" s="1111">
        <f t="shared" si="43"/>
        <v>1.67796051175704</v>
      </c>
      <c r="FC50" s="1111">
        <f t="shared" si="44"/>
        <v>1.66395683464412</v>
      </c>
      <c r="FD50" s="1111">
        <f t="shared" si="45"/>
        <v>1.6637625206784601</v>
      </c>
      <c r="FE50" s="1111">
        <f t="shared" si="46"/>
        <v>1.6637616447113901</v>
      </c>
      <c r="FF50" s="1111">
        <f t="shared" si="47"/>
        <v>1.6637616447113901</v>
      </c>
      <c r="FG50" s="1111">
        <f t="shared" si="100"/>
        <v>3.5795342325280199E-2</v>
      </c>
      <c r="FH50" s="1111">
        <f t="shared" si="101"/>
        <v>3.5795342325280199E-2</v>
      </c>
      <c r="FI50" s="1111">
        <f t="shared" si="102"/>
        <v>4.18895987456427E-2</v>
      </c>
      <c r="FJ50" s="1111">
        <f t="shared" si="103"/>
        <v>1.5791060545945802E-2</v>
      </c>
      <c r="FK50" s="1111">
        <f t="shared" si="104"/>
        <v>1.5415670212051501E-2</v>
      </c>
      <c r="FL50" s="1111">
        <f t="shared" si="105"/>
        <v>1.5274431754930399E-2</v>
      </c>
      <c r="FM50" s="1111">
        <f t="shared" si="106"/>
        <v>1.5236164903811999E-2</v>
      </c>
      <c r="FN50" s="1111">
        <f t="shared" si="107"/>
        <v>1.52267203455439E-2</v>
      </c>
      <c r="FO50" s="1111">
        <f t="shared" si="108"/>
        <v>1.5224294731162401E-2</v>
      </c>
      <c r="FP50" s="1111">
        <f t="shared" si="109"/>
        <v>1.52231302628319E-2</v>
      </c>
      <c r="FQ50" s="1111">
        <f t="shared" si="110"/>
        <v>1.52231302628319E-2</v>
      </c>
      <c r="FR50" s="1111">
        <f t="shared" si="25"/>
        <v>1.1386613940402399</v>
      </c>
      <c r="FS50" s="1111">
        <f t="shared" si="26"/>
        <v>1.1386613940402399</v>
      </c>
      <c r="FT50" s="1111">
        <f t="shared" si="27"/>
        <v>0.81062826870189697</v>
      </c>
      <c r="FU50" s="1111">
        <f t="shared" si="28"/>
        <v>0.53923885209480305</v>
      </c>
      <c r="FV50" s="1111">
        <f t="shared" si="29"/>
        <v>0.475762300205197</v>
      </c>
      <c r="FW50" s="1111">
        <f t="shared" si="30"/>
        <v>0.45922153968976998</v>
      </c>
      <c r="FX50" s="1111">
        <f t="shared" si="31"/>
        <v>0.45636829014935498</v>
      </c>
      <c r="FY50" s="1111">
        <f t="shared" si="32"/>
        <v>0.45567985208338102</v>
      </c>
      <c r="FZ50" s="1111">
        <f t="shared" si="33"/>
        <v>0.45574905770507301</v>
      </c>
      <c r="GA50" s="1111">
        <f t="shared" si="34"/>
        <v>0.455831313218652</v>
      </c>
      <c r="GB50" s="1111">
        <f t="shared" si="35"/>
        <v>0.455831313218652</v>
      </c>
      <c r="GC50" s="1111">
        <f t="shared" si="59"/>
        <v>0.76056597813754101</v>
      </c>
      <c r="GD50" s="1111">
        <f t="shared" si="60"/>
        <v>0.76056597813754101</v>
      </c>
      <c r="GE50" s="1111">
        <f t="shared" si="61"/>
        <v>0.44834360182688099</v>
      </c>
      <c r="GF50" s="1111">
        <f t="shared" si="62"/>
        <v>0.16425905468775201</v>
      </c>
      <c r="GG50" s="1111">
        <f t="shared" si="63"/>
        <v>0.106571454108964</v>
      </c>
      <c r="GH50" s="1111">
        <f t="shared" si="64"/>
        <v>9.1494531785506497E-2</v>
      </c>
      <c r="GI50" s="1111">
        <f t="shared" si="65"/>
        <v>8.8871730484206005E-2</v>
      </c>
      <c r="GJ50" s="1111">
        <f t="shared" si="66"/>
        <v>8.8185150826517997E-2</v>
      </c>
      <c r="GK50" s="1111">
        <f t="shared" si="67"/>
        <v>8.8192675178559193E-2</v>
      </c>
      <c r="GL50" s="1111">
        <f t="shared" si="68"/>
        <v>8.8205281736577906E-2</v>
      </c>
      <c r="GM50" s="1111">
        <f t="shared" si="69"/>
        <v>8.8205281736577906E-2</v>
      </c>
    </row>
    <row r="51" spans="1:195" x14ac:dyDescent="0.2">
      <c r="A51" s="1071" t="s">
        <v>115</v>
      </c>
      <c r="B51" s="1071" t="str">
        <f>Technologies!C138</f>
        <v>THSDSLE2</v>
      </c>
      <c r="C51" s="1071" t="str">
        <f>Technologies!D138</f>
        <v>Heavy Truck, Short Haul, Diesel exisiting MSW</v>
      </c>
      <c r="D51" s="1071" t="str">
        <f>NewTech!D87</f>
        <v>bn-vmt, bn-vmt/a</v>
      </c>
      <c r="E51" s="1071" t="str">
        <f>Commodities!$C$46</f>
        <v>TWDSL</v>
      </c>
      <c r="F51" s="1071" t="str">
        <f>Commodities!$C$16</f>
        <v>TSW</v>
      </c>
      <c r="G51" s="1110" t="str">
        <f>G46</f>
        <v>Heavy duty short haul truck</v>
      </c>
      <c r="H51" s="1110" t="str">
        <f>H46</f>
        <v>DSL</v>
      </c>
      <c r="I51" s="1110">
        <f>I46</f>
        <v>1</v>
      </c>
      <c r="J51" s="1110" t="str">
        <f>J46</f>
        <v>Heavy duty short haul truck-DSL</v>
      </c>
      <c r="K51" s="1111">
        <f>K46</f>
        <v>1482.5754764799101</v>
      </c>
      <c r="L51" s="1111">
        <f t="shared" ref="L51:BW51" si="111">L46</f>
        <v>1635.6442478660899</v>
      </c>
      <c r="M51" s="1111">
        <f t="shared" si="111"/>
        <v>2107.1372534500802</v>
      </c>
      <c r="N51" s="1111">
        <f t="shared" si="111"/>
        <v>2071.9319953702902</v>
      </c>
      <c r="O51" s="1111">
        <f t="shared" si="111"/>
        <v>2048.5012080599699</v>
      </c>
      <c r="P51" s="1111">
        <f t="shared" si="111"/>
        <v>2041.23090502932</v>
      </c>
      <c r="Q51" s="1111">
        <f t="shared" si="111"/>
        <v>2038.8712683316101</v>
      </c>
      <c r="R51" s="1111">
        <f t="shared" si="111"/>
        <v>2037.89380685326</v>
      </c>
      <c r="S51" s="1111">
        <f t="shared" si="111"/>
        <v>2037.18147825705</v>
      </c>
      <c r="T51" s="1111">
        <f t="shared" si="17"/>
        <v>2037.18147825705</v>
      </c>
      <c r="U51" s="1111">
        <f t="shared" si="111"/>
        <v>11.638950039279999</v>
      </c>
      <c r="V51" s="1111">
        <f t="shared" si="111"/>
        <v>6.7839244745049401</v>
      </c>
      <c r="W51" s="1111">
        <f t="shared" si="111"/>
        <v>4.3925354378646304</v>
      </c>
      <c r="X51" s="1111">
        <f t="shared" si="111"/>
        <v>2.6191347420861701</v>
      </c>
      <c r="Y51" s="1111">
        <f t="shared" si="111"/>
        <v>2.06534470659102</v>
      </c>
      <c r="Z51" s="1111">
        <f t="shared" si="111"/>
        <v>1.9514955612034099</v>
      </c>
      <c r="AA51" s="1111">
        <f t="shared" si="111"/>
        <v>1.9247847205619899</v>
      </c>
      <c r="AB51" s="1111">
        <f t="shared" si="111"/>
        <v>1.9239170224512001</v>
      </c>
      <c r="AC51" s="1111">
        <f t="shared" si="111"/>
        <v>1.92345457739672</v>
      </c>
      <c r="AD51" s="1111">
        <f t="shared" si="18"/>
        <v>1.92345457739672</v>
      </c>
      <c r="AE51" s="1111">
        <f t="shared" si="111"/>
        <v>3.6844240816642601E-2</v>
      </c>
      <c r="AF51" s="1111">
        <f t="shared" si="111"/>
        <v>3.6844240816642601E-2</v>
      </c>
      <c r="AG51" s="1111">
        <f t="shared" si="111"/>
        <v>3.9353507212849297E-2</v>
      </c>
      <c r="AH51" s="1111">
        <f t="shared" si="111"/>
        <v>1.7702463178777099E-2</v>
      </c>
      <c r="AI51" s="1111">
        <f t="shared" si="111"/>
        <v>1.7311059741913899E-2</v>
      </c>
      <c r="AJ51" s="1111">
        <f t="shared" si="111"/>
        <v>1.70853991434037E-2</v>
      </c>
      <c r="AK51" s="1111">
        <f t="shared" si="111"/>
        <v>1.70195621794277E-2</v>
      </c>
      <c r="AL51" s="1111">
        <f t="shared" si="111"/>
        <v>1.69983226363635E-2</v>
      </c>
      <c r="AM51" s="1111">
        <f t="shared" si="111"/>
        <v>1.6990168303807101E-2</v>
      </c>
      <c r="AN51" s="1111">
        <f t="shared" si="111"/>
        <v>1.69842326570817E-2</v>
      </c>
      <c r="AO51" s="1111">
        <f t="shared" si="111"/>
        <v>1.69842326570817E-2</v>
      </c>
      <c r="AP51" s="1111">
        <f t="shared" si="111"/>
        <v>1.2647150782943599</v>
      </c>
      <c r="AQ51" s="1111">
        <f t="shared" si="111"/>
        <v>1.2647150782943599</v>
      </c>
      <c r="AR51" s="1111">
        <f t="shared" si="111"/>
        <v>0.82297495230985995</v>
      </c>
      <c r="AS51" s="1111">
        <f t="shared" si="111"/>
        <v>0.78295839522434196</v>
      </c>
      <c r="AT51" s="1111">
        <f t="shared" si="111"/>
        <v>0.68016675260069404</v>
      </c>
      <c r="AU51" s="1111">
        <f t="shared" si="111"/>
        <v>0.64888550894506702</v>
      </c>
      <c r="AV51" s="1111">
        <f t="shared" si="111"/>
        <v>0.64362415371119697</v>
      </c>
      <c r="AW51" s="1111">
        <f t="shared" si="111"/>
        <v>0.64216665150257801</v>
      </c>
      <c r="AX51" s="1111">
        <f t="shared" si="111"/>
        <v>0.64212477573891902</v>
      </c>
      <c r="AY51" s="1111">
        <f t="shared" si="111"/>
        <v>0.64210952076406802</v>
      </c>
      <c r="AZ51" s="1111">
        <f t="shared" si="111"/>
        <v>0.64210952076406802</v>
      </c>
      <c r="BA51" s="1111">
        <f t="shared" si="111"/>
        <v>0.85268225231092398</v>
      </c>
      <c r="BB51" s="1111">
        <f t="shared" si="111"/>
        <v>0.85268225231092398</v>
      </c>
      <c r="BC51" s="1111">
        <f t="shared" si="111"/>
        <v>0.44197863249122399</v>
      </c>
      <c r="BD51" s="1111">
        <f t="shared" si="111"/>
        <v>0.24083520219764601</v>
      </c>
      <c r="BE51" s="1111">
        <f t="shared" si="111"/>
        <v>0.148362414161788</v>
      </c>
      <c r="BF51" s="1111">
        <f t="shared" si="111"/>
        <v>0.11982020029779999</v>
      </c>
      <c r="BG51" s="1111">
        <f t="shared" si="111"/>
        <v>0.115075397080156</v>
      </c>
      <c r="BH51" s="1111">
        <f t="shared" si="111"/>
        <v>0.113741063740516</v>
      </c>
      <c r="BI51" s="1111">
        <f t="shared" si="111"/>
        <v>0.113717400839903</v>
      </c>
      <c r="BJ51" s="1111">
        <f t="shared" si="111"/>
        <v>0.11370438522677</v>
      </c>
      <c r="BK51" s="1111">
        <f t="shared" si="111"/>
        <v>0.11370438522677</v>
      </c>
      <c r="BL51" s="1111">
        <f t="shared" si="111"/>
        <v>5.0328469585193201</v>
      </c>
      <c r="BM51" s="1111">
        <f t="shared" si="111"/>
        <v>5.0328469585193201</v>
      </c>
      <c r="BN51" s="1111">
        <f t="shared" si="111"/>
        <v>2.6827852293663099</v>
      </c>
      <c r="BO51" s="1111">
        <f t="shared" si="111"/>
        <v>1.7356120209921699</v>
      </c>
      <c r="BP51" s="1111">
        <f t="shared" si="111"/>
        <v>1.1963534366450099</v>
      </c>
      <c r="BQ51" s="1111">
        <f t="shared" si="111"/>
        <v>1.0323047664296401</v>
      </c>
      <c r="BR51" s="1111">
        <f t="shared" si="111"/>
        <v>0.995595558537549</v>
      </c>
      <c r="BS51" s="1111">
        <f t="shared" si="111"/>
        <v>0.98556754943244496</v>
      </c>
      <c r="BT51" s="1111">
        <f t="shared" si="111"/>
        <v>0.98409018482975696</v>
      </c>
      <c r="BU51" s="1111">
        <f t="shared" si="111"/>
        <v>0.98392055504691101</v>
      </c>
      <c r="BV51" s="1111">
        <f t="shared" si="111"/>
        <v>0.98392055504691101</v>
      </c>
      <c r="BW51" s="1111">
        <f t="shared" si="111"/>
        <v>1.47076719543515</v>
      </c>
      <c r="BX51" s="1111">
        <f t="shared" ref="BX51:EI51" si="112">BX46</f>
        <v>1.47076719543515</v>
      </c>
      <c r="BY51" s="1111">
        <f t="shared" si="112"/>
        <v>0.68796701308964903</v>
      </c>
      <c r="BZ51" s="1111">
        <f t="shared" si="112"/>
        <v>0.402812160133037</v>
      </c>
      <c r="CA51" s="1111">
        <f t="shared" si="112"/>
        <v>0.22250982610906</v>
      </c>
      <c r="CB51" s="1111">
        <f t="shared" si="112"/>
        <v>0.16724007620430001</v>
      </c>
      <c r="CC51" s="1111">
        <f t="shared" si="112"/>
        <v>0.15629916703885099</v>
      </c>
      <c r="CD51" s="1111">
        <f t="shared" si="112"/>
        <v>0.15328186767858501</v>
      </c>
      <c r="CE51" s="1111">
        <f t="shared" si="112"/>
        <v>0.15319941180844801</v>
      </c>
      <c r="CF51" s="1111">
        <f t="shared" si="112"/>
        <v>0.15317662764687001</v>
      </c>
      <c r="CG51" s="1111">
        <f t="shared" si="112"/>
        <v>0.15317662764687001</v>
      </c>
      <c r="CH51" s="1111">
        <f t="shared" si="112"/>
        <v>2.7376905675536502E-2</v>
      </c>
      <c r="CI51" s="1111">
        <f t="shared" si="112"/>
        <v>2.7376905675536502E-2</v>
      </c>
      <c r="CJ51" s="1111">
        <f t="shared" si="112"/>
        <v>2.7641391273496001E-2</v>
      </c>
      <c r="CK51" s="1111">
        <f t="shared" si="112"/>
        <v>3.7783493564809902E-2</v>
      </c>
      <c r="CL51" s="1111">
        <f t="shared" si="112"/>
        <v>3.7791768560113202E-2</v>
      </c>
      <c r="CM51" s="1111">
        <f t="shared" si="112"/>
        <v>3.7796042393498999E-2</v>
      </c>
      <c r="CN51" s="1111">
        <f t="shared" si="112"/>
        <v>3.7797273059285798E-2</v>
      </c>
      <c r="CO51" s="1111">
        <f t="shared" si="112"/>
        <v>3.7797290465285301E-2</v>
      </c>
      <c r="CP51" s="1111">
        <f t="shared" si="112"/>
        <v>3.77969592669226E-2</v>
      </c>
      <c r="CQ51" s="1111">
        <f t="shared" si="112"/>
        <v>3.7796456239744897E-2</v>
      </c>
      <c r="CR51" s="1111">
        <f t="shared" si="112"/>
        <v>3.7796456239744897E-2</v>
      </c>
      <c r="CS51" s="1111"/>
      <c r="CT51" s="1111">
        <f>SUMIFS(NewEmisData!E:E, NewEmisData!$A:$A, $G51, NewEmisData!$B:$B, $A51, NewEmisData!$C:$C, $H51, NewEmisData!$D:$D, CT$6)</f>
        <v>2.16911787072127E-2</v>
      </c>
      <c r="CU51" s="1111">
        <f>SUMIFS(NewEmisData!F:F, NewEmisData!$A:$A, $G51, NewEmisData!$B:$B, $A51, NewEmisData!$C:$C, $H51, NewEmisData!$D:$D, CU$6)</f>
        <v>2.1331062736355648E-2</v>
      </c>
      <c r="CV51" s="1111">
        <f>SUMIFS(NewEmisData!G:G, NewEmisData!$A:$A, $G51, NewEmisData!$B:$B, $A51, NewEmisData!$C:$C, $H51, NewEmisData!$D:$D, CV$6)</f>
        <v>2.7832190256754607E-2</v>
      </c>
      <c r="CW51" s="1111">
        <f>SUMIFS(NewEmisData!H:H, NewEmisData!$A:$A, $G51, NewEmisData!$B:$B, $A51, NewEmisData!$C:$C, $H51, NewEmisData!$D:$D, CW$6)</f>
        <v>2.7728746639296181E-2</v>
      </c>
      <c r="CX51" s="1111">
        <f>SUMIFS(NewEmisData!I:I, NewEmisData!$A:$A, $G51, NewEmisData!$B:$B, $A51, NewEmisData!$C:$C, $H51, NewEmisData!$D:$D, CX$6)</f>
        <v>2.7654704075734959E-2</v>
      </c>
      <c r="CY51" s="1111">
        <f>SUMIFS(NewEmisData!J:J, NewEmisData!$A:$A, $G51, NewEmisData!$B:$B, $A51, NewEmisData!$C:$C, $H51, NewEmisData!$D:$D, CY$6)</f>
        <v>2.7619842158439361E-2</v>
      </c>
      <c r="CZ51" s="1111">
        <f>SUMIFS(NewEmisData!K:K, NewEmisData!$A:$A, $G51, NewEmisData!$B:$B, $A51, NewEmisData!$C:$C, $H51, NewEmisData!$D:$D, CZ$6)</f>
        <v>2.7605718412330699E-2</v>
      </c>
      <c r="DA51" s="1111">
        <f>SUMIFS(NewEmisData!L:L, NewEmisData!$A:$A, $G51, NewEmisData!$B:$B, $A51, NewEmisData!$C:$C, $H51, NewEmisData!$D:$D, DA$6)</f>
        <v>2.760183669467824E-2</v>
      </c>
      <c r="DB51" s="1111">
        <f>SUMIFS(NewEmisData!M:M, NewEmisData!$A:$A, $G51, NewEmisData!$B:$B, $A51, NewEmisData!$C:$C, $H51, NewEmisData!$D:$D, DB$6)</f>
        <v>2.760402084094709E-2</v>
      </c>
      <c r="DC51" s="1111">
        <f t="shared" si="84"/>
        <v>2.760402084094709E-2</v>
      </c>
      <c r="DD51" s="1111">
        <f t="shared" si="112"/>
        <v>0.39397857160683847</v>
      </c>
      <c r="DE51" s="1111">
        <f t="shared" si="112"/>
        <v>0.22910001041476069</v>
      </c>
      <c r="DF51" s="1111">
        <f t="shared" si="112"/>
        <v>9.3891703000443583E-2</v>
      </c>
      <c r="DG51" s="1111">
        <f t="shared" si="112"/>
        <v>1.7189501227545343E-2</v>
      </c>
      <c r="DH51" s="1111">
        <f t="shared" si="112"/>
        <v>1.6160522719819933E-3</v>
      </c>
      <c r="DI51" s="1111">
        <f t="shared" si="112"/>
        <v>1.6049653935622851E-3</v>
      </c>
      <c r="DJ51" s="1111">
        <f t="shared" si="112"/>
        <v>1.6049983985356002E-3</v>
      </c>
      <c r="DK51" s="1111">
        <f t="shared" si="112"/>
        <v>1.6098230122520154E-3</v>
      </c>
      <c r="DL51" s="1111">
        <f t="shared" si="112"/>
        <v>1.6179747100716357E-3</v>
      </c>
      <c r="DM51" s="1111">
        <f t="shared" si="112"/>
        <v>1.6245560853542357E-3</v>
      </c>
      <c r="DN51" s="1111">
        <f t="shared" si="112"/>
        <v>1.6245560853542357E-3</v>
      </c>
      <c r="DO51" s="1111">
        <f t="shared" si="112"/>
        <v>0.2153272217366988</v>
      </c>
      <c r="DP51" s="1111">
        <f t="shared" si="112"/>
        <v>0.14953249017733392</v>
      </c>
      <c r="DQ51" s="1111">
        <f t="shared" si="112"/>
        <v>6.7441600946284805E-2</v>
      </c>
      <c r="DR51" s="1111">
        <f t="shared" si="112"/>
        <v>1.3565246309733816E-2</v>
      </c>
      <c r="DS51" s="1111">
        <f t="shared" si="112"/>
        <v>2.8097295233125079E-3</v>
      </c>
      <c r="DT51" s="1111">
        <f t="shared" si="112"/>
        <v>2.7904533416799396E-3</v>
      </c>
      <c r="DU51" s="1111">
        <f t="shared" si="112"/>
        <v>2.7905106381460811E-3</v>
      </c>
      <c r="DV51" s="1111">
        <f t="shared" si="112"/>
        <v>2.798898953096617E-3</v>
      </c>
      <c r="DW51" s="1111">
        <f t="shared" si="112"/>
        <v>2.8130718384443347E-3</v>
      </c>
      <c r="DX51" s="1111">
        <f t="shared" si="112"/>
        <v>2.824514428110457E-3</v>
      </c>
      <c r="DY51" s="1111">
        <f t="shared" si="112"/>
        <v>2.824514428110457E-3</v>
      </c>
      <c r="DZ51" s="1111">
        <f t="shared" si="112"/>
        <v>2.0740750969478802E-2</v>
      </c>
      <c r="EA51" s="1111">
        <f t="shared" si="112"/>
        <v>2.0740750969478802E-2</v>
      </c>
      <c r="EB51" s="1111">
        <f t="shared" si="112"/>
        <v>7.9476630685157604E-2</v>
      </c>
      <c r="EC51" s="1111">
        <f t="shared" si="112"/>
        <v>0.132995121584536</v>
      </c>
      <c r="ED51" s="1111">
        <f t="shared" si="112"/>
        <v>0.13480815363144</v>
      </c>
      <c r="EE51" s="1111">
        <f t="shared" si="112"/>
        <v>0.13505884947628399</v>
      </c>
      <c r="EF51" s="1111">
        <f t="shared" si="112"/>
        <v>0.13476923534058399</v>
      </c>
      <c r="EG51" s="1111">
        <f t="shared" si="112"/>
        <v>0.13483063017123001</v>
      </c>
      <c r="EH51" s="1111">
        <f t="shared" si="112"/>
        <v>0.13476298539555601</v>
      </c>
      <c r="EI51" s="1111">
        <f t="shared" si="112"/>
        <v>0.134758213223449</v>
      </c>
      <c r="EJ51" s="1111">
        <f>EJ46</f>
        <v>0.134758213223449</v>
      </c>
      <c r="EK51" s="1111">
        <f>EK46</f>
        <v>1482.5754764799101</v>
      </c>
      <c r="EL51" s="1111">
        <f t="shared" si="48"/>
        <v>1482.5754764799101</v>
      </c>
      <c r="EM51" s="1111">
        <f t="shared" si="49"/>
        <v>1635.6442478660899</v>
      </c>
      <c r="EN51" s="1111">
        <f t="shared" si="50"/>
        <v>2107.1372534500802</v>
      </c>
      <c r="EO51" s="1111">
        <f t="shared" si="51"/>
        <v>2071.9319953702902</v>
      </c>
      <c r="EP51" s="1111">
        <f t="shared" si="52"/>
        <v>2048.5012080599699</v>
      </c>
      <c r="EQ51" s="1111">
        <f t="shared" si="53"/>
        <v>2041.23090502932</v>
      </c>
      <c r="ER51" s="1111">
        <f t="shared" si="54"/>
        <v>2038.8712683316101</v>
      </c>
      <c r="ES51" s="1111">
        <f t="shared" si="55"/>
        <v>2037.89380685326</v>
      </c>
      <c r="ET51" s="1111">
        <f t="shared" si="56"/>
        <v>2037.18147825705</v>
      </c>
      <c r="EU51" s="1111">
        <f t="shared" si="57"/>
        <v>2037.18147825705</v>
      </c>
      <c r="EV51" s="1111">
        <f>EV46</f>
        <v>11.638950039279999</v>
      </c>
      <c r="EW51" s="1111">
        <f t="shared" si="38"/>
        <v>11.638950039279999</v>
      </c>
      <c r="EX51" s="1111">
        <f t="shared" si="39"/>
        <v>6.7839244745049401</v>
      </c>
      <c r="EY51" s="1111">
        <f t="shared" si="40"/>
        <v>4.3925354378646304</v>
      </c>
      <c r="EZ51" s="1111">
        <f t="shared" si="41"/>
        <v>2.6191347420861701</v>
      </c>
      <c r="FA51" s="1111">
        <f t="shared" si="42"/>
        <v>2.06534470659102</v>
      </c>
      <c r="FB51" s="1111">
        <f t="shared" si="43"/>
        <v>1.9514955612034099</v>
      </c>
      <c r="FC51" s="1111">
        <f t="shared" si="44"/>
        <v>1.9247847205619899</v>
      </c>
      <c r="FD51" s="1111">
        <f t="shared" si="45"/>
        <v>1.9239170224512001</v>
      </c>
      <c r="FE51" s="1111">
        <f t="shared" si="46"/>
        <v>1.92345457739672</v>
      </c>
      <c r="FF51" s="1111">
        <f t="shared" si="47"/>
        <v>1.92345457739672</v>
      </c>
      <c r="FG51" s="1111">
        <f t="shared" si="100"/>
        <v>3.6844240816642601E-2</v>
      </c>
      <c r="FH51" s="1111">
        <f t="shared" si="101"/>
        <v>3.6844240816642601E-2</v>
      </c>
      <c r="FI51" s="1111">
        <f t="shared" si="102"/>
        <v>3.9353507212849297E-2</v>
      </c>
      <c r="FJ51" s="1111">
        <f t="shared" si="103"/>
        <v>1.7702463178777099E-2</v>
      </c>
      <c r="FK51" s="1111">
        <f t="shared" si="104"/>
        <v>1.7311059741913899E-2</v>
      </c>
      <c r="FL51" s="1111">
        <f t="shared" si="105"/>
        <v>1.70853991434037E-2</v>
      </c>
      <c r="FM51" s="1111">
        <f t="shared" si="106"/>
        <v>1.70195621794277E-2</v>
      </c>
      <c r="FN51" s="1111">
        <f t="shared" si="107"/>
        <v>1.69983226363635E-2</v>
      </c>
      <c r="FO51" s="1111">
        <f t="shared" si="108"/>
        <v>1.6990168303807101E-2</v>
      </c>
      <c r="FP51" s="1111">
        <f t="shared" si="109"/>
        <v>1.69842326570817E-2</v>
      </c>
      <c r="FQ51" s="1111">
        <f t="shared" si="110"/>
        <v>1.69842326570817E-2</v>
      </c>
      <c r="FR51" s="1111">
        <f t="shared" si="25"/>
        <v>1.2647150782943599</v>
      </c>
      <c r="FS51" s="1111">
        <f t="shared" si="26"/>
        <v>1.2647150782943599</v>
      </c>
      <c r="FT51" s="1111">
        <f t="shared" si="27"/>
        <v>0.82297495230985995</v>
      </c>
      <c r="FU51" s="1111">
        <f t="shared" si="28"/>
        <v>0.78295839522434196</v>
      </c>
      <c r="FV51" s="1111">
        <f t="shared" si="29"/>
        <v>0.68016675260069404</v>
      </c>
      <c r="FW51" s="1111">
        <f t="shared" si="30"/>
        <v>0.64888550894506702</v>
      </c>
      <c r="FX51" s="1111">
        <f t="shared" si="31"/>
        <v>0.64362415371119697</v>
      </c>
      <c r="FY51" s="1111">
        <f t="shared" si="32"/>
        <v>0.64216665150257801</v>
      </c>
      <c r="FZ51" s="1111">
        <f t="shared" si="33"/>
        <v>0.64212477573891902</v>
      </c>
      <c r="GA51" s="1111">
        <f t="shared" si="34"/>
        <v>0.64210952076406802</v>
      </c>
      <c r="GB51" s="1111">
        <f t="shared" si="35"/>
        <v>0.64210952076406802</v>
      </c>
      <c r="GC51" s="1111">
        <f t="shared" si="59"/>
        <v>0.85268225231092398</v>
      </c>
      <c r="GD51" s="1111">
        <f t="shared" si="60"/>
        <v>0.85268225231092398</v>
      </c>
      <c r="GE51" s="1111">
        <f t="shared" si="61"/>
        <v>0.44197863249122399</v>
      </c>
      <c r="GF51" s="1111">
        <f t="shared" si="62"/>
        <v>0.24083520219764601</v>
      </c>
      <c r="GG51" s="1111">
        <f t="shared" si="63"/>
        <v>0.148362414161788</v>
      </c>
      <c r="GH51" s="1111">
        <f t="shared" si="64"/>
        <v>0.11982020029779999</v>
      </c>
      <c r="GI51" s="1111">
        <f t="shared" si="65"/>
        <v>0.115075397080156</v>
      </c>
      <c r="GJ51" s="1111">
        <f t="shared" si="66"/>
        <v>0.113741063740516</v>
      </c>
      <c r="GK51" s="1111">
        <f t="shared" si="67"/>
        <v>0.113717400839903</v>
      </c>
      <c r="GL51" s="1111">
        <f t="shared" si="68"/>
        <v>0.11370438522677</v>
      </c>
      <c r="GM51" s="1111">
        <f t="shared" si="69"/>
        <v>0.11370438522677</v>
      </c>
    </row>
    <row r="52" spans="1:195" x14ac:dyDescent="0.2">
      <c r="A52" s="1071" t="s">
        <v>182</v>
      </c>
      <c r="B52" s="1071" t="str">
        <f>Technologies!C139</f>
        <v>THSCNGE</v>
      </c>
      <c r="C52" s="1071" t="str">
        <f>Technologies!D139</f>
        <v>Heavy Truck, Short Haul, CNG exisiting</v>
      </c>
      <c r="D52" s="1071" t="str">
        <f>TechData!D23</f>
        <v>bn-vmt, bn-vmt/a</v>
      </c>
      <c r="E52" s="1071" t="str">
        <f>Commodities!C55</f>
        <v>TBCNG</v>
      </c>
      <c r="F52" s="1071" t="s">
        <v>98</v>
      </c>
      <c r="G52" s="1110" t="s">
        <v>505</v>
      </c>
      <c r="H52" s="1111" t="s">
        <v>500</v>
      </c>
      <c r="I52" s="1112">
        <v>1</v>
      </c>
      <c r="J52" s="1111" t="str">
        <f t="shared" si="37"/>
        <v>Heavy duty short haul truck-GSL</v>
      </c>
      <c r="K52" s="1111">
        <f>SUMIFS(NewEmisData!E:E, NewEmisData!$A:$A, $G52, NewEmisData!$B:$B, $A52, NewEmisData!$C:$C, $H52, NewEmisData!$D:$D, K$6)</f>
        <v>1261.7193045716699</v>
      </c>
      <c r="L52" s="1111">
        <f>SUMIFS(NewEmisData!F:F, NewEmisData!$A:$A, $G52, NewEmisData!$B:$B, $A52, NewEmisData!$C:$C, $H52, NewEmisData!$D:$D, L$6)</f>
        <v>1249.12075772399</v>
      </c>
      <c r="M52" s="1111">
        <f>SUMIFS(NewEmisData!G:G, NewEmisData!$A:$A, $G52, NewEmisData!$B:$B, $A52, NewEmisData!$C:$C, $H52, NewEmisData!$D:$D, M$6)</f>
        <v>1645.5452306145801</v>
      </c>
      <c r="N52" s="1111">
        <f>SUMIFS(NewEmisData!H:H, NewEmisData!$A:$A, $G52, NewEmisData!$B:$B, $A52, NewEmisData!$C:$C, $H52, NewEmisData!$D:$D, N$6)</f>
        <v>1615.5067230397001</v>
      </c>
      <c r="O52" s="1111">
        <f>SUMIFS(NewEmisData!I:I, NewEmisData!$A:$A, $G52, NewEmisData!$B:$B, $A52, NewEmisData!$C:$C, $H52, NewEmisData!$D:$D, O$6)</f>
        <v>1561.96512576184</v>
      </c>
      <c r="P52" s="1111">
        <f>SUMIFS(NewEmisData!J:J, NewEmisData!$A:$A, $G52, NewEmisData!$B:$B, $A52, NewEmisData!$C:$C, $H52, NewEmisData!$D:$D, P$6)</f>
        <v>1548.35062809069</v>
      </c>
      <c r="Q52" s="1111">
        <f>SUMIFS(NewEmisData!K:K, NewEmisData!$A:$A, $G52, NewEmisData!$B:$B, $A52, NewEmisData!$C:$C, $H52, NewEmisData!$D:$D, Q$6)</f>
        <v>1545.11245308096</v>
      </c>
      <c r="R52" s="1111">
        <f>SUMIFS(NewEmisData!L:L, NewEmisData!$A:$A, $G52, NewEmisData!$B:$B, $A52, NewEmisData!$C:$C, $H52, NewEmisData!$D:$D, R$6)</f>
        <v>1544.5579062120401</v>
      </c>
      <c r="S52" s="1111">
        <f>SUMIFS(NewEmisData!M:M, NewEmisData!$A:$A, $G52, NewEmisData!$B:$B, $A52, NewEmisData!$C:$C, $H52, NewEmisData!$D:$D, S$6)</f>
        <v>1544.55231111378</v>
      </c>
      <c r="T52" s="1111">
        <f t="shared" si="17"/>
        <v>1544.55231111378</v>
      </c>
      <c r="U52" s="1111">
        <f>SUMIFS(NewEmisData!E:E, NewEmisData!$A:$A, $G52, NewEmisData!$B:$B, $A52, NewEmisData!$C:$C, $H52, NewEmisData!$D:$D, U$6)</f>
        <v>5.0421157380649202</v>
      </c>
      <c r="V52" s="1111">
        <f>SUMIFS(NewEmisData!F:F, NewEmisData!$A:$A, $G52, NewEmisData!$B:$B, $A52, NewEmisData!$C:$C, $H52, NewEmisData!$D:$D, V$6)</f>
        <v>2.6891275593082402</v>
      </c>
      <c r="W52" s="1111">
        <f>SUMIFS(NewEmisData!G:G, NewEmisData!$A:$A, $G52, NewEmisData!$B:$B, $A52, NewEmisData!$C:$C, $H52, NewEmisData!$D:$D, W$6)</f>
        <v>1.59672970269866</v>
      </c>
      <c r="X52" s="1111">
        <f>SUMIFS(NewEmisData!H:H, NewEmisData!$A:$A, $G52, NewEmisData!$B:$B, $A52, NewEmisData!$C:$C, $H52, NewEmisData!$D:$D, X$6)</f>
        <v>1.2533988169049</v>
      </c>
      <c r="Y52" s="1111">
        <f>SUMIFS(NewEmisData!I:I, NewEmisData!$A:$A, $G52, NewEmisData!$B:$B, $A52, NewEmisData!$C:$C, $H52, NewEmisData!$D:$D, Y$6)</f>
        <v>1.1377603861924299</v>
      </c>
      <c r="Z52" s="1111">
        <f>SUMIFS(NewEmisData!J:J, NewEmisData!$A:$A, $G52, NewEmisData!$B:$B, $A52, NewEmisData!$C:$C, $H52, NewEmisData!$D:$D, Z$6)</f>
        <v>1.11657517091755</v>
      </c>
      <c r="AA52" s="1111">
        <f>SUMIFS(NewEmisData!K:K, NewEmisData!$A:$A, $G52, NewEmisData!$B:$B, $A52, NewEmisData!$C:$C, $H52, NewEmisData!$D:$D, AA$6)</f>
        <v>1.10785037464988</v>
      </c>
      <c r="AB52" s="1111">
        <f>SUMIFS(NewEmisData!L:L, NewEmisData!$A:$A, $G52, NewEmisData!$B:$B, $A52, NewEmisData!$C:$C, $H52, NewEmisData!$D:$D, AB$6)</f>
        <v>1.10808970467776</v>
      </c>
      <c r="AC52" s="1111">
        <f>SUMIFS(NewEmisData!M:M, NewEmisData!$A:$A, $G52, NewEmisData!$B:$B, $A52, NewEmisData!$C:$C, $H52, NewEmisData!$D:$D, AC$6)</f>
        <v>1.10829058082377</v>
      </c>
      <c r="AD52" s="1111">
        <f t="shared" si="18"/>
        <v>1.10829058082377</v>
      </c>
      <c r="AE52" s="1111">
        <f t="shared" si="70"/>
        <v>2.18321680952577E-2</v>
      </c>
      <c r="AF52" s="1111">
        <f>SUMIFS(NewEmisData!E:E, NewEmisData!$A:$A, $G52, NewEmisData!$B:$B, $A52, NewEmisData!$C:$C, $H52, NewEmisData!$D:$D, AF$6)</f>
        <v>2.18321680952577E-2</v>
      </c>
      <c r="AG52" s="1111">
        <f>SUMIFS(NewEmisData!F:F, NewEmisData!$A:$A, $G52, NewEmisData!$B:$B, $A52, NewEmisData!$C:$C, $H52, NewEmisData!$D:$D, AG$6)</f>
        <v>2.1614175028351099E-2</v>
      </c>
      <c r="AH52" s="1111">
        <f>SUMIFS(NewEmisData!G:G, NewEmisData!$A:$A, $G52, NewEmisData!$B:$B, $A52, NewEmisData!$C:$C, $H52, NewEmisData!$D:$D, AH$6)</f>
        <v>2.3606201662977298E-2</v>
      </c>
      <c r="AI52" s="1111">
        <f>SUMIFS(NewEmisData!H:H, NewEmisData!$A:$A, $G52, NewEmisData!$B:$B, $A52, NewEmisData!$C:$C, $H52, NewEmisData!$D:$D, AI$6)</f>
        <v>2.3175292056127901E-2</v>
      </c>
      <c r="AJ52" s="1111">
        <f>SUMIFS(NewEmisData!I:I, NewEmisData!$A:$A, $G52, NewEmisData!$B:$B, $A52, NewEmisData!$C:$C, $H52, NewEmisData!$D:$D, AJ$6)</f>
        <v>2.2407191257778802E-2</v>
      </c>
      <c r="AK52" s="1111">
        <f>SUMIFS(NewEmisData!J:J, NewEmisData!$A:$A, $G52, NewEmisData!$B:$B, $A52, NewEmisData!$C:$C, $H52, NewEmisData!$D:$D, AK$6)</f>
        <v>2.2211896644643399E-2</v>
      </c>
      <c r="AL52" s="1111">
        <f>SUMIFS(NewEmisData!K:K, NewEmisData!$A:$A, $G52, NewEmisData!$B:$B, $A52, NewEmisData!$C:$C, $H52, NewEmisData!$D:$D, AL$6)</f>
        <v>2.21654317430676E-2</v>
      </c>
      <c r="AM52" s="1111">
        <f>SUMIFS(NewEmisData!L:L, NewEmisData!$A:$A, $G52, NewEmisData!$B:$B, $A52, NewEmisData!$C:$C, $H52, NewEmisData!$D:$D, AM$6)</f>
        <v>2.21574783013113E-2</v>
      </c>
      <c r="AN52" s="1111">
        <f>SUMIFS(NewEmisData!M:M, NewEmisData!$A:$A, $G52, NewEmisData!$B:$B, $A52, NewEmisData!$C:$C, $H52, NewEmisData!$D:$D, AN$6)</f>
        <v>2.21574091915673E-2</v>
      </c>
      <c r="AO52" s="1111">
        <f t="shared" si="71"/>
        <v>2.21574091915673E-2</v>
      </c>
      <c r="AP52" s="1111">
        <f t="shared" si="72"/>
        <v>0.37498220674272298</v>
      </c>
      <c r="AQ52" s="1111">
        <f>SUMIFS(NewEmisData!E:E, NewEmisData!$A:$A, $G52, NewEmisData!$B:$B, $A52, NewEmisData!$C:$C, $H52, NewEmisData!$D:$D, AQ$6)</f>
        <v>0.37498220674272298</v>
      </c>
      <c r="AR52" s="1111">
        <f>SUMIFS(NewEmisData!F:F, NewEmisData!$A:$A, $G52, NewEmisData!$B:$B, $A52, NewEmisData!$C:$C, $H52, NewEmisData!$D:$D, AR$6)</f>
        <v>0.30800096091118401</v>
      </c>
      <c r="AS52" s="1111">
        <f>SUMIFS(NewEmisData!G:G, NewEmisData!$A:$A, $G52, NewEmisData!$B:$B, $A52, NewEmisData!$C:$C, $H52, NewEmisData!$D:$D, AS$6)</f>
        <v>0.47876990917977102</v>
      </c>
      <c r="AT52" s="1111">
        <f>SUMIFS(NewEmisData!H:H, NewEmisData!$A:$A, $G52, NewEmisData!$B:$B, $A52, NewEmisData!$C:$C, $H52, NewEmisData!$D:$D, AT$6)</f>
        <v>0.47474601446343401</v>
      </c>
      <c r="AU52" s="1111">
        <f>SUMIFS(NewEmisData!I:I, NewEmisData!$A:$A, $G52, NewEmisData!$B:$B, $A52, NewEmisData!$C:$C, $H52, NewEmisData!$D:$D, AU$6)</f>
        <v>0.462592935753106</v>
      </c>
      <c r="AV52" s="1111">
        <f>SUMIFS(NewEmisData!J:J, NewEmisData!$A:$A, $G52, NewEmisData!$B:$B, $A52, NewEmisData!$C:$C, $H52, NewEmisData!$D:$D, AV$6)</f>
        <v>0.45943594701357998</v>
      </c>
      <c r="AW52" s="1111">
        <f>SUMIFS(NewEmisData!K:K, NewEmisData!$A:$A, $G52, NewEmisData!$B:$B, $A52, NewEmisData!$C:$C, $H52, NewEmisData!$D:$D, AW$6)</f>
        <v>0.45873466896290599</v>
      </c>
      <c r="AX52" s="1111">
        <f>SUMIFS(NewEmisData!L:L, NewEmisData!$A:$A, $G52, NewEmisData!$B:$B, $A52, NewEmisData!$C:$C, $H52, NewEmisData!$D:$D, AX$6)</f>
        <v>0.45859669819349802</v>
      </c>
      <c r="AY52" s="1111">
        <f>SUMIFS(NewEmisData!M:M, NewEmisData!$A:$A, $G52, NewEmisData!$B:$B, $A52, NewEmisData!$C:$C, $H52, NewEmisData!$D:$D, AY$6)</f>
        <v>0.458612118231494</v>
      </c>
      <c r="AZ52" s="1111">
        <f t="shared" si="73"/>
        <v>0.458612118231494</v>
      </c>
      <c r="BA52" s="1111">
        <f t="shared" si="74"/>
        <v>0.110253629274602</v>
      </c>
      <c r="BB52" s="1111">
        <f>SUMIFS(NewEmisData!E:E, NewEmisData!$A:$A, $G52, NewEmisData!$B:$B, $A52, NewEmisData!$C:$C, $H52, NewEmisData!$D:$D, BB$6)</f>
        <v>0.110253629274602</v>
      </c>
      <c r="BC52" s="1111">
        <f>SUMIFS(NewEmisData!F:F, NewEmisData!$A:$A, $G52, NewEmisData!$B:$B, $A52, NewEmisData!$C:$C, $H52, NewEmisData!$D:$D, BC$6)</f>
        <v>5.10415619775157E-2</v>
      </c>
      <c r="BD52" s="1111">
        <f>SUMIFS(NewEmisData!G:G, NewEmisData!$A:$A, $G52, NewEmisData!$B:$B, $A52, NewEmisData!$C:$C, $H52, NewEmisData!$D:$D, BD$6)</f>
        <v>6.9684988099320805E-2</v>
      </c>
      <c r="BE52" s="1111">
        <f>SUMIFS(NewEmisData!H:H, NewEmisData!$A:$A, $G52, NewEmisData!$B:$B, $A52, NewEmisData!$C:$C, $H52, NewEmisData!$D:$D, BE$6)</f>
        <v>6.9040658676098196E-2</v>
      </c>
      <c r="BF52" s="1111">
        <f>SUMIFS(NewEmisData!I:I, NewEmisData!$A:$A, $G52, NewEmisData!$B:$B, $A52, NewEmisData!$C:$C, $H52, NewEmisData!$D:$D, BF$6)</f>
        <v>6.6765177638673803E-2</v>
      </c>
      <c r="BG52" s="1111">
        <f>SUMIFS(NewEmisData!J:J, NewEmisData!$A:$A, $G52, NewEmisData!$B:$B, $A52, NewEmisData!$C:$C, $H52, NewEmisData!$D:$D, BG$6)</f>
        <v>6.6229434848786198E-2</v>
      </c>
      <c r="BH52" s="1111">
        <f>SUMIFS(NewEmisData!K:K, NewEmisData!$A:$A, $G52, NewEmisData!$B:$B, $A52, NewEmisData!$C:$C, $H52, NewEmisData!$D:$D, BH$6)</f>
        <v>6.6102443905475594E-2</v>
      </c>
      <c r="BI52" s="1111">
        <f>SUMIFS(NewEmisData!L:L, NewEmisData!$A:$A, $G52, NewEmisData!$B:$B, $A52, NewEmisData!$C:$C, $H52, NewEmisData!$D:$D, BI$6)</f>
        <v>6.6105381584131498E-2</v>
      </c>
      <c r="BJ52" s="1111">
        <f>SUMIFS(NewEmisData!M:M, NewEmisData!$A:$A, $G52, NewEmisData!$B:$B, $A52, NewEmisData!$C:$C, $H52, NewEmisData!$D:$D, BJ$6)</f>
        <v>6.6121307340381005E-2</v>
      </c>
      <c r="BK52" s="1111">
        <f t="shared" si="75"/>
        <v>6.6121307340381005E-2</v>
      </c>
      <c r="BL52" s="1111">
        <f t="shared" si="76"/>
        <v>58.234105162975901</v>
      </c>
      <c r="BM52" s="1111">
        <f>SUMIFS(NewEmisData!E:E, NewEmisData!$A:$A, $G52, NewEmisData!$B:$B, $A52, NewEmisData!$C:$C, $H52, NewEmisData!$D:$D, BM$6)</f>
        <v>58.234105162975901</v>
      </c>
      <c r="BN52" s="1111">
        <f>SUMIFS(NewEmisData!F:F, NewEmisData!$A:$A, $G52, NewEmisData!$B:$B, $A52, NewEmisData!$C:$C, $H52, NewEmisData!$D:$D, BN$6)</f>
        <v>33.622567193752097</v>
      </c>
      <c r="BO52" s="1111">
        <f>SUMIFS(NewEmisData!G:G, NewEmisData!$A:$A, $G52, NewEmisData!$B:$B, $A52, NewEmisData!$C:$C, $H52, NewEmisData!$D:$D, BO$6)</f>
        <v>22.365559009141499</v>
      </c>
      <c r="BP52" s="1111">
        <f>SUMIFS(NewEmisData!H:H, NewEmisData!$A:$A, $G52, NewEmisData!$B:$B, $A52, NewEmisData!$C:$C, $H52, NewEmisData!$D:$D, BP$6)</f>
        <v>20.003128322257201</v>
      </c>
      <c r="BQ52" s="1111">
        <f>SUMIFS(NewEmisData!I:I, NewEmisData!$A:$A, $G52, NewEmisData!$B:$B, $A52, NewEmisData!$C:$C, $H52, NewEmisData!$D:$D, BQ$6)</f>
        <v>20.195447260462402</v>
      </c>
      <c r="BR52" s="1111">
        <f>SUMIFS(NewEmisData!J:J, NewEmisData!$A:$A, $G52, NewEmisData!$B:$B, $A52, NewEmisData!$C:$C, $H52, NewEmisData!$D:$D, BR$6)</f>
        <v>20.8243673392587</v>
      </c>
      <c r="BS52" s="1111">
        <f>SUMIFS(NewEmisData!K:K, NewEmisData!$A:$A, $G52, NewEmisData!$B:$B, $A52, NewEmisData!$C:$C, $H52, NewEmisData!$D:$D, BS$6)</f>
        <v>20.9804766424047</v>
      </c>
      <c r="BT52" s="1111">
        <f>SUMIFS(NewEmisData!L:L, NewEmisData!$A:$A, $G52, NewEmisData!$B:$B, $A52, NewEmisData!$C:$C, $H52, NewEmisData!$D:$D, BT$6)</f>
        <v>21.2133429593407</v>
      </c>
      <c r="BU52" s="1111">
        <f>SUMIFS(NewEmisData!M:M, NewEmisData!$A:$A, $G52, NewEmisData!$B:$B, $A52, NewEmisData!$C:$C, $H52, NewEmisData!$D:$D, BU$6)</f>
        <v>21.2954024378494</v>
      </c>
      <c r="BV52" s="1111">
        <f t="shared" si="83"/>
        <v>21.2954024378494</v>
      </c>
      <c r="BW52" s="1111">
        <f t="shared" si="77"/>
        <v>3.64761393243701</v>
      </c>
      <c r="BX52" s="1111">
        <f>SUMIFS(NewEmisData!E:E, NewEmisData!$A:$A, $G52, NewEmisData!$B:$B, $A52, NewEmisData!$C:$C, $H52, NewEmisData!$D:$D, BX$6)</f>
        <v>3.64761393243701</v>
      </c>
      <c r="BY52" s="1111">
        <f>SUMIFS(NewEmisData!F:F, NewEmisData!$A:$A, $G52, NewEmisData!$B:$B, $A52, NewEmisData!$C:$C, $H52, NewEmisData!$D:$D, BY$6)</f>
        <v>1.49818839927699</v>
      </c>
      <c r="BZ52" s="1111">
        <f>SUMIFS(NewEmisData!G:G, NewEmisData!$A:$A, $G52, NewEmisData!$B:$B, $A52, NewEmisData!$C:$C, $H52, NewEmisData!$D:$D, BZ$6)</f>
        <v>0.86599323443475895</v>
      </c>
      <c r="CA52" s="1111">
        <f>SUMIFS(NewEmisData!H:H, NewEmisData!$A:$A, $G52, NewEmisData!$B:$B, $A52, NewEmisData!$C:$C, $H52, NewEmisData!$D:$D, CA$6)</f>
        <v>0.66124009173105702</v>
      </c>
      <c r="CB52" s="1111">
        <f>SUMIFS(NewEmisData!I:I, NewEmisData!$A:$A, $G52, NewEmisData!$B:$B, $A52, NewEmisData!$C:$C, $H52, NewEmisData!$D:$D, CB$6)</f>
        <v>0.59061098160806302</v>
      </c>
      <c r="CC52" s="1111">
        <f>SUMIFS(NewEmisData!J:J, NewEmisData!$A:$A, $G52, NewEmisData!$B:$B, $A52, NewEmisData!$C:$C, $H52, NewEmisData!$D:$D, CC$6)</f>
        <v>0.58137460363365601</v>
      </c>
      <c r="CD52" s="1111">
        <f>SUMIFS(NewEmisData!K:K, NewEmisData!$A:$A, $G52, NewEmisData!$B:$B, $A52, NewEmisData!$C:$C, $H52, NewEmisData!$D:$D, CD$6)</f>
        <v>0.57503033366723</v>
      </c>
      <c r="CE52" s="1111">
        <f>SUMIFS(NewEmisData!L:L, NewEmisData!$A:$A, $G52, NewEmisData!$B:$B, $A52, NewEmisData!$C:$C, $H52, NewEmisData!$D:$D, CE$6)</f>
        <v>0.578080207454851</v>
      </c>
      <c r="CF52" s="1111">
        <f>SUMIFS(NewEmisData!M:M, NewEmisData!$A:$A, $G52, NewEmisData!$B:$B, $A52, NewEmisData!$C:$C, $H52, NewEmisData!$D:$D, CF$6)</f>
        <v>0.57875611374779701</v>
      </c>
      <c r="CG52" s="1111">
        <f t="shared" si="78"/>
        <v>0.57875611374779701</v>
      </c>
      <c r="CH52" s="1111">
        <f t="shared" si="79"/>
        <v>4.5387333445833802E-2</v>
      </c>
      <c r="CI52" s="1111">
        <f>SUMIFS(NewEmisData!E:E, NewEmisData!$A:$A, $G52, NewEmisData!$B:$B, $A52, NewEmisData!$C:$C, $H52, NewEmisData!$D:$D, CI$6)</f>
        <v>4.5387333445833802E-2</v>
      </c>
      <c r="CJ52" s="1111">
        <f>SUMIFS(NewEmisData!F:F, NewEmisData!$A:$A, $G52, NewEmisData!$B:$B, $A52, NewEmisData!$C:$C, $H52, NewEmisData!$D:$D, CJ$6)</f>
        <v>4.5385137405685602E-2</v>
      </c>
      <c r="CK52" s="1111">
        <f>SUMIFS(NewEmisData!G:G, NewEmisData!$A:$A, $G52, NewEmisData!$B:$B, $A52, NewEmisData!$C:$C, $H52, NewEmisData!$D:$D, CK$6)</f>
        <v>6.2585802863492496E-2</v>
      </c>
      <c r="CL52" s="1111">
        <f>SUMIFS(NewEmisData!H:H, NewEmisData!$A:$A, $G52, NewEmisData!$B:$B, $A52, NewEmisData!$C:$C, $H52, NewEmisData!$D:$D, CL$6)</f>
        <v>6.2570457425533493E-2</v>
      </c>
      <c r="CM52" s="1111">
        <f>SUMIFS(NewEmisData!I:I, NewEmisData!$A:$A, $G52, NewEmisData!$B:$B, $A52, NewEmisData!$C:$C, $H52, NewEmisData!$D:$D, CM$6)</f>
        <v>6.2526825017837198E-2</v>
      </c>
      <c r="CN52" s="1111">
        <f>SUMIFS(NewEmisData!J:J, NewEmisData!$A:$A, $G52, NewEmisData!$B:$B, $A52, NewEmisData!$C:$C, $H52, NewEmisData!$D:$D, CN$6)</f>
        <v>6.2515199827795506E-2</v>
      </c>
      <c r="CO52" s="1111">
        <f>SUMIFS(NewEmisData!K:K, NewEmisData!$A:$A, $G52, NewEmisData!$B:$B, $A52, NewEmisData!$C:$C, $H52, NewEmisData!$D:$D, CO$6)</f>
        <v>6.2512659799535894E-2</v>
      </c>
      <c r="CP52" s="1111">
        <f>SUMIFS(NewEmisData!L:L, NewEmisData!$A:$A, $G52, NewEmisData!$B:$B, $A52, NewEmisData!$C:$C, $H52, NewEmisData!$D:$D, CP$6)</f>
        <v>6.2511995706699006E-2</v>
      </c>
      <c r="CQ52" s="1111">
        <f>SUMIFS(NewEmisData!M:M, NewEmisData!$A:$A, $G52, NewEmisData!$B:$B, $A52, NewEmisData!$C:$C, $H52, NewEmisData!$D:$D, CQ$6)</f>
        <v>6.2512032461297801E-2</v>
      </c>
      <c r="CR52" s="1111">
        <f t="shared" si="80"/>
        <v>6.2512032461297801E-2</v>
      </c>
      <c r="CS52" s="1111">
        <f t="shared" si="81"/>
        <v>7.45806670433007E-2</v>
      </c>
      <c r="CT52" s="1111">
        <f>SUMIFS(NewEmisData!E:E, NewEmisData!$A:$A, $G52, NewEmisData!$B:$B, $A52, NewEmisData!$C:$C, $H52, NewEmisData!$D:$D, CT$6)</f>
        <v>7.45806670433007E-2</v>
      </c>
      <c r="CU52" s="1111">
        <f>SUMIFS(NewEmisData!F:F, NewEmisData!$A:$A, $G52, NewEmisData!$B:$B, $A52, NewEmisData!$C:$C, $H52, NewEmisData!$D:$D, CU$6)</f>
        <v>4.11694236212614E-2</v>
      </c>
      <c r="CV52" s="1111">
        <f>SUMIFS(NewEmisData!G:G, NewEmisData!$A:$A, $G52, NewEmisData!$B:$B, $A52, NewEmisData!$C:$C, $H52, NewEmisData!$D:$D, CV$6)</f>
        <v>2.8985978458602801E-2</v>
      </c>
      <c r="CW52" s="1111">
        <f>SUMIFS(NewEmisData!H:H, NewEmisData!$A:$A, $G52, NewEmisData!$B:$B, $A52, NewEmisData!$C:$C, $H52, NewEmisData!$D:$D, CW$6)</f>
        <v>2.0012914871466302E-2</v>
      </c>
      <c r="CX52" s="1111">
        <f>SUMIFS(NewEmisData!I:I, NewEmisData!$A:$A, $G52, NewEmisData!$B:$B, $A52, NewEmisData!$C:$C, $H52, NewEmisData!$D:$D, CX$6)</f>
        <v>1.70994949062814E-2</v>
      </c>
      <c r="CY52" s="1111">
        <f>SUMIFS(NewEmisData!J:J, NewEmisData!$A:$A, $G52, NewEmisData!$B:$B, $A52, NewEmisData!$C:$C, $H52, NewEmisData!$D:$D, CY$6)</f>
        <v>1.6621401634368399E-2</v>
      </c>
      <c r="CZ52" s="1111">
        <f>SUMIFS(NewEmisData!K:K, NewEmisData!$A:$A, $G52, NewEmisData!$B:$B, $A52, NewEmisData!$C:$C, $H52, NewEmisData!$D:$D, CZ$6)</f>
        <v>1.62276934153717E-2</v>
      </c>
      <c r="DA52" s="1111">
        <f>SUMIFS(NewEmisData!L:L, NewEmisData!$A:$A, $G52, NewEmisData!$B:$B, $A52, NewEmisData!$C:$C, $H52, NewEmisData!$D:$D, DA$6)</f>
        <v>1.6300252431035001E-2</v>
      </c>
      <c r="DB52" s="1111">
        <f>SUMIFS(NewEmisData!M:M, NewEmisData!$A:$A, $G52, NewEmisData!$B:$B, $A52, NewEmisData!$C:$C, $H52, NewEmisData!$D:$D, DB$6)</f>
        <v>1.6326186183154599E-2</v>
      </c>
      <c r="DC52" s="1111">
        <f t="shared" si="84"/>
        <v>1.6326186183154599E-2</v>
      </c>
      <c r="DD52" s="1111">
        <v>8.4618435807310901E-3</v>
      </c>
      <c r="DE52" s="1111">
        <v>5.582477734601141E-3</v>
      </c>
      <c r="DF52" s="1111">
        <v>3.3037857638444934E-3</v>
      </c>
      <c r="DG52" s="1111">
        <v>2.7435421434771584E-3</v>
      </c>
      <c r="DH52" s="1111">
        <v>2.6596327326652057E-3</v>
      </c>
      <c r="DI52" s="1111">
        <v>2.6810534446588602E-3</v>
      </c>
      <c r="DJ52" s="1111">
        <v>2.68992317602929E-3</v>
      </c>
      <c r="DK52" s="1111">
        <v>2.6843011275704282E-3</v>
      </c>
      <c r="DL52" s="1111">
        <v>2.693521842385466E-3</v>
      </c>
      <c r="DM52" s="1111">
        <v>2.7034957820921053E-3</v>
      </c>
      <c r="DN52" s="1111">
        <v>2.7034957820921053E-3</v>
      </c>
      <c r="DO52" s="1111">
        <v>2.733686553814714E-2</v>
      </c>
      <c r="DP52" s="1111">
        <v>1.8332271788011459E-2</v>
      </c>
      <c r="DQ52" s="1111">
        <v>1.0522373499872563E-2</v>
      </c>
      <c r="DR52" s="1111">
        <v>8.2106858583474232E-3</v>
      </c>
      <c r="DS52" s="1111">
        <v>8.1464823839333782E-3</v>
      </c>
      <c r="DT52" s="1111">
        <v>8.1548441301475764E-3</v>
      </c>
      <c r="DU52" s="1111">
        <v>8.1625855885729438E-3</v>
      </c>
      <c r="DV52" s="1111">
        <v>8.1414389894490409E-3</v>
      </c>
      <c r="DW52" s="1111">
        <v>8.1579958309337917E-3</v>
      </c>
      <c r="DX52" s="1111">
        <v>8.1758856290748885E-3</v>
      </c>
      <c r="DY52" s="1111">
        <v>8.1758856290748885E-3</v>
      </c>
      <c r="DZ52" s="1111">
        <f t="shared" si="85"/>
        <v>0.17782774655845099</v>
      </c>
      <c r="EA52" s="1111">
        <f>SUMIFS(NewEmisData!E:E, NewEmisData!$A:$A, $G52, NewEmisData!$B:$B, $A52, NewEmisData!$C:$C, $H52, NewEmisData!$D:$D, EA$6)</f>
        <v>0.17782774655845099</v>
      </c>
      <c r="EB52" s="1111">
        <f>SUMIFS(NewEmisData!F:F, NewEmisData!$A:$A, $G52, NewEmisData!$B:$B, $A52, NewEmisData!$C:$C, $H52, NewEmisData!$D:$D, EB$6)</f>
        <v>4.9445543705968001E-2</v>
      </c>
      <c r="EC52" s="1111">
        <f>SUMIFS(NewEmisData!G:G, NewEmisData!$A:$A, $G52, NewEmisData!$B:$B, $A52, NewEmisData!$C:$C, $H52, NewEmisData!$D:$D, EC$6)</f>
        <v>2.14914790323418E-2</v>
      </c>
      <c r="ED52" s="1111">
        <f>SUMIFS(NewEmisData!H:H, NewEmisData!$A:$A, $G52, NewEmisData!$B:$B, $A52, NewEmisData!$C:$C, $H52, NewEmisData!$D:$D, ED$6)</f>
        <v>1.74631086819735E-2</v>
      </c>
      <c r="EE52" s="1111">
        <f>SUMIFS(NewEmisData!I:I, NewEmisData!$A:$A, $G52, NewEmisData!$B:$B, $A52, NewEmisData!$C:$C, $H52, NewEmisData!$D:$D, EE$6)</f>
        <v>1.7306502140019699E-2</v>
      </c>
      <c r="EF52" s="1111">
        <f>SUMIFS(NewEmisData!J:J, NewEmisData!$A:$A, $G52, NewEmisData!$B:$B, $A52, NewEmisData!$C:$C, $H52, NewEmisData!$D:$D, EF$6)</f>
        <v>1.77413796860907E-2</v>
      </c>
      <c r="EG52" s="1111">
        <f>SUMIFS(NewEmisData!K:K, NewEmisData!$A:$A, $G52, NewEmisData!$B:$B, $A52, NewEmisData!$C:$C, $H52, NewEmisData!$D:$D, EG$6)</f>
        <v>1.7873917726394802E-2</v>
      </c>
      <c r="EH52" s="1111">
        <f>SUMIFS(NewEmisData!L:L, NewEmisData!$A:$A, $G52, NewEmisData!$B:$B, $A52, NewEmisData!$C:$C, $H52, NewEmisData!$D:$D, EH$6)</f>
        <v>1.8044608652160399E-2</v>
      </c>
      <c r="EI52" s="1111">
        <f>SUMIFS(NewEmisData!M:M, NewEmisData!$A:$A, $G52, NewEmisData!$B:$B, $A52, NewEmisData!$C:$C, $H52, NewEmisData!$D:$D, EI$6)</f>
        <v>1.8102357634055401E-2</v>
      </c>
      <c r="EJ52" s="1111">
        <f t="shared" si="86"/>
        <v>1.8102357634055401E-2</v>
      </c>
      <c r="EK52" s="1111">
        <f t="shared" si="87"/>
        <v>1261.7193045716699</v>
      </c>
      <c r="EL52" s="1111">
        <f t="shared" si="48"/>
        <v>1261.7193045716699</v>
      </c>
      <c r="EM52" s="1111">
        <f t="shared" si="49"/>
        <v>1249.12075772399</v>
      </c>
      <c r="EN52" s="1111">
        <f t="shared" si="50"/>
        <v>1645.5452306145801</v>
      </c>
      <c r="EO52" s="1111">
        <f t="shared" si="51"/>
        <v>1615.5067230397001</v>
      </c>
      <c r="EP52" s="1111">
        <f t="shared" si="52"/>
        <v>1561.96512576184</v>
      </c>
      <c r="EQ52" s="1111">
        <f t="shared" si="53"/>
        <v>1548.35062809069</v>
      </c>
      <c r="ER52" s="1111">
        <f t="shared" si="54"/>
        <v>1545.11245308096</v>
      </c>
      <c r="ES52" s="1111">
        <f t="shared" si="55"/>
        <v>1544.5579062120401</v>
      </c>
      <c r="ET52" s="1111">
        <f t="shared" si="56"/>
        <v>1544.55231111378</v>
      </c>
      <c r="EU52" s="1111">
        <f t="shared" si="57"/>
        <v>1544.55231111378</v>
      </c>
      <c r="EV52" s="1111">
        <f t="shared" si="88"/>
        <v>5.0421157380649202</v>
      </c>
      <c r="EW52" s="1111">
        <f t="shared" si="38"/>
        <v>5.0421157380649202</v>
      </c>
      <c r="EX52" s="1111">
        <f t="shared" si="39"/>
        <v>2.6891275593082402</v>
      </c>
      <c r="EY52" s="1111">
        <f t="shared" si="40"/>
        <v>1.59672970269866</v>
      </c>
      <c r="EZ52" s="1111">
        <f t="shared" si="41"/>
        <v>1.2533988169049</v>
      </c>
      <c r="FA52" s="1111">
        <f t="shared" si="42"/>
        <v>1.1377603861924299</v>
      </c>
      <c r="FB52" s="1111">
        <f t="shared" si="43"/>
        <v>1.11657517091755</v>
      </c>
      <c r="FC52" s="1111">
        <f t="shared" si="44"/>
        <v>1.10785037464988</v>
      </c>
      <c r="FD52" s="1111">
        <f t="shared" si="45"/>
        <v>1.10808970467776</v>
      </c>
      <c r="FE52" s="1111">
        <f t="shared" si="46"/>
        <v>1.10829058082377</v>
      </c>
      <c r="FF52" s="1111">
        <f t="shared" si="47"/>
        <v>1.10829058082377</v>
      </c>
      <c r="FG52" s="1111">
        <f t="shared" si="100"/>
        <v>2.18321680952577E-2</v>
      </c>
      <c r="FH52" s="1111">
        <f t="shared" si="101"/>
        <v>2.18321680952577E-2</v>
      </c>
      <c r="FI52" s="1111">
        <f t="shared" si="102"/>
        <v>2.1614175028351099E-2</v>
      </c>
      <c r="FJ52" s="1111">
        <f t="shared" si="103"/>
        <v>2.3606201662977298E-2</v>
      </c>
      <c r="FK52" s="1111">
        <f t="shared" si="104"/>
        <v>2.3175292056127901E-2</v>
      </c>
      <c r="FL52" s="1111">
        <f t="shared" si="105"/>
        <v>2.2407191257778802E-2</v>
      </c>
      <c r="FM52" s="1111">
        <f t="shared" si="106"/>
        <v>2.2211896644643399E-2</v>
      </c>
      <c r="FN52" s="1111">
        <f t="shared" si="107"/>
        <v>2.21654317430676E-2</v>
      </c>
      <c r="FO52" s="1111">
        <f t="shared" si="108"/>
        <v>2.21574783013113E-2</v>
      </c>
      <c r="FP52" s="1111">
        <f t="shared" si="109"/>
        <v>2.21574091915673E-2</v>
      </c>
      <c r="FQ52" s="1111">
        <f t="shared" si="110"/>
        <v>2.21574091915673E-2</v>
      </c>
      <c r="FR52" s="1111">
        <f t="shared" si="25"/>
        <v>0.37498220674272298</v>
      </c>
      <c r="FS52" s="1111">
        <f t="shared" si="26"/>
        <v>0.37498220674272298</v>
      </c>
      <c r="FT52" s="1111">
        <f t="shared" si="27"/>
        <v>0.30800096091118401</v>
      </c>
      <c r="FU52" s="1111">
        <f t="shared" si="28"/>
        <v>0.47876990917977102</v>
      </c>
      <c r="FV52" s="1111">
        <f t="shared" si="29"/>
        <v>0.47474601446343401</v>
      </c>
      <c r="FW52" s="1111">
        <f t="shared" si="30"/>
        <v>0.462592935753106</v>
      </c>
      <c r="FX52" s="1111">
        <f t="shared" si="31"/>
        <v>0.45943594701357998</v>
      </c>
      <c r="FY52" s="1111">
        <f t="shared" si="32"/>
        <v>0.45873466896290599</v>
      </c>
      <c r="FZ52" s="1111">
        <f t="shared" si="33"/>
        <v>0.45859669819349802</v>
      </c>
      <c r="GA52" s="1111">
        <f t="shared" si="34"/>
        <v>0.458612118231494</v>
      </c>
      <c r="GB52" s="1111">
        <f t="shared" si="35"/>
        <v>0.458612118231494</v>
      </c>
      <c r="GC52" s="1111">
        <f t="shared" si="59"/>
        <v>0.110253629274602</v>
      </c>
      <c r="GD52" s="1111">
        <f t="shared" si="60"/>
        <v>0.110253629274602</v>
      </c>
      <c r="GE52" s="1111">
        <f t="shared" si="61"/>
        <v>5.10415619775157E-2</v>
      </c>
      <c r="GF52" s="1111">
        <f t="shared" si="62"/>
        <v>6.9684988099320805E-2</v>
      </c>
      <c r="GG52" s="1111">
        <f t="shared" si="63"/>
        <v>6.9040658676098196E-2</v>
      </c>
      <c r="GH52" s="1111">
        <f t="shared" si="64"/>
        <v>6.6765177638673803E-2</v>
      </c>
      <c r="GI52" s="1111">
        <f t="shared" si="65"/>
        <v>6.6229434848786198E-2</v>
      </c>
      <c r="GJ52" s="1111">
        <f t="shared" si="66"/>
        <v>6.6102443905475594E-2</v>
      </c>
      <c r="GK52" s="1111">
        <f t="shared" si="67"/>
        <v>6.6105381584131498E-2</v>
      </c>
      <c r="GL52" s="1111">
        <f t="shared" si="68"/>
        <v>6.6121307340381005E-2</v>
      </c>
      <c r="GM52" s="1111">
        <f t="shared" si="69"/>
        <v>6.6121307340381005E-2</v>
      </c>
    </row>
    <row r="53" spans="1:195" x14ac:dyDescent="0.2">
      <c r="A53" s="1071" t="s">
        <v>184</v>
      </c>
      <c r="B53" s="1071" t="str">
        <f>Technologies!C139</f>
        <v>THSCNGE</v>
      </c>
      <c r="C53" s="1071" t="str">
        <f>Technologies!D139</f>
        <v>Heavy Truck, Short Haul, CNG exisiting</v>
      </c>
      <c r="D53" s="1071" t="str">
        <f>TechData!D23</f>
        <v>bn-vmt, bn-vmt/a</v>
      </c>
      <c r="E53" s="1071" t="str">
        <f>Commodities!C55</f>
        <v>TBCNG</v>
      </c>
      <c r="F53" s="1071" t="s">
        <v>98</v>
      </c>
      <c r="G53" s="1110" t="s">
        <v>505</v>
      </c>
      <c r="H53" s="1111" t="s">
        <v>500</v>
      </c>
      <c r="I53" s="1112">
        <v>1</v>
      </c>
      <c r="J53" s="1111" t="str">
        <f t="shared" si="37"/>
        <v>Heavy duty short haul truck-GSL</v>
      </c>
      <c r="K53" s="1111">
        <f>SUMIFS(NewEmisData!E:E, NewEmisData!$A:$A, $G53, NewEmisData!$B:$B, $A53, NewEmisData!$C:$C, $H53, NewEmisData!$D:$D, K$6)</f>
        <v>1130.1167624525301</v>
      </c>
      <c r="L53" s="1111">
        <f>SUMIFS(NewEmisData!F:F, NewEmisData!$A:$A, $G53, NewEmisData!$B:$B, $A53, NewEmisData!$C:$C, $H53, NewEmisData!$D:$D, L$6)</f>
        <v>1130.8984145920599</v>
      </c>
      <c r="M53" s="1111">
        <f>SUMIFS(NewEmisData!G:G, NewEmisData!$A:$A, $G53, NewEmisData!$B:$B, $A53, NewEmisData!$C:$C, $H53, NewEmisData!$D:$D, M$6)</f>
        <v>1405.3513402599599</v>
      </c>
      <c r="N53" s="1111">
        <f>SUMIFS(NewEmisData!H:H, NewEmisData!$A:$A, $G53, NewEmisData!$B:$B, $A53, NewEmisData!$C:$C, $H53, NewEmisData!$D:$D, N$6)</f>
        <v>1379.6052405171799</v>
      </c>
      <c r="O53" s="1111">
        <f>SUMIFS(NewEmisData!I:I, NewEmisData!$A:$A, $G53, NewEmisData!$B:$B, $A53, NewEmisData!$C:$C, $H53, NewEmisData!$D:$D, O$6)</f>
        <v>1334.4147184286501</v>
      </c>
      <c r="P53" s="1111">
        <f>SUMIFS(NewEmisData!J:J, NewEmisData!$A:$A, $G53, NewEmisData!$B:$B, $A53, NewEmisData!$C:$C, $H53, NewEmisData!$D:$D, P$6)</f>
        <v>1322.9454628220101</v>
      </c>
      <c r="Q53" s="1111">
        <f>SUMIFS(NewEmisData!K:K, NewEmisData!$A:$A, $G53, NewEmisData!$B:$B, $A53, NewEmisData!$C:$C, $H53, NewEmisData!$D:$D, Q$6)</f>
        <v>1320.2157375614299</v>
      </c>
      <c r="R53" s="1111">
        <f>SUMIFS(NewEmisData!L:L, NewEmisData!$A:$A, $G53, NewEmisData!$B:$B, $A53, NewEmisData!$C:$C, $H53, NewEmisData!$D:$D, R$6)</f>
        <v>1319.7277214958499</v>
      </c>
      <c r="S53" s="1111">
        <f>SUMIFS(NewEmisData!M:M, NewEmisData!$A:$A, $G53, NewEmisData!$B:$B, $A53, NewEmisData!$C:$C, $H53, NewEmisData!$D:$D, S$6)</f>
        <v>1319.71246990391</v>
      </c>
      <c r="T53" s="1111">
        <f t="shared" si="17"/>
        <v>1319.71246990391</v>
      </c>
      <c r="U53" s="1111">
        <f>SUMIFS(NewEmisData!E:E, NewEmisData!$A:$A, $G53, NewEmisData!$B:$B, $A53, NewEmisData!$C:$C, $H53, NewEmisData!$D:$D, U$6)</f>
        <v>4.0566113456988298</v>
      </c>
      <c r="V53" s="1111">
        <f>SUMIFS(NewEmisData!F:F, NewEmisData!$A:$A, $G53, NewEmisData!$B:$B, $A53, NewEmisData!$C:$C, $H53, NewEmisData!$D:$D, V$6)</f>
        <v>2.5724270871349901</v>
      </c>
      <c r="W53" s="1111">
        <f>SUMIFS(NewEmisData!G:G, NewEmisData!$A:$A, $G53, NewEmisData!$B:$B, $A53, NewEmisData!$C:$C, $H53, NewEmisData!$D:$D, W$6)</f>
        <v>1.4424895677524801</v>
      </c>
      <c r="X53" s="1111">
        <f>SUMIFS(NewEmisData!H:H, NewEmisData!$A:$A, $G53, NewEmisData!$B:$B, $A53, NewEmisData!$C:$C, $H53, NewEmisData!$D:$D, X$6)</f>
        <v>1.13924742539507</v>
      </c>
      <c r="Y53" s="1111">
        <f>SUMIFS(NewEmisData!I:I, NewEmisData!$A:$A, $G53, NewEmisData!$B:$B, $A53, NewEmisData!$C:$C, $H53, NewEmisData!$D:$D, Y$6)</f>
        <v>1.03965564636638</v>
      </c>
      <c r="Z53" s="1111">
        <f>SUMIFS(NewEmisData!J:J, NewEmisData!$A:$A, $G53, NewEmisData!$B:$B, $A53, NewEmisData!$C:$C, $H53, NewEmisData!$D:$D, Z$6)</f>
        <v>1.02198349229239</v>
      </c>
      <c r="AA53" s="1111">
        <f>SUMIFS(NewEmisData!K:K, NewEmisData!$A:$A, $G53, NewEmisData!$B:$B, $A53, NewEmisData!$C:$C, $H53, NewEmisData!$D:$D, AA$6)</f>
        <v>1.0148563657413801</v>
      </c>
      <c r="AB53" s="1111">
        <f>SUMIFS(NewEmisData!L:L, NewEmisData!$A:$A, $G53, NewEmisData!$B:$B, $A53, NewEmisData!$C:$C, $H53, NewEmisData!$D:$D, AB$6)</f>
        <v>1.01503532465236</v>
      </c>
      <c r="AC53" s="1111">
        <f>SUMIFS(NewEmisData!M:M, NewEmisData!$A:$A, $G53, NewEmisData!$B:$B, $A53, NewEmisData!$C:$C, $H53, NewEmisData!$D:$D, AC$6)</f>
        <v>1.0151899457145299</v>
      </c>
      <c r="AD53" s="1111">
        <f t="shared" si="18"/>
        <v>1.0151899457145299</v>
      </c>
      <c r="AE53" s="1111">
        <f t="shared" si="70"/>
        <v>1.9554990283156898E-2</v>
      </c>
      <c r="AF53" s="1111">
        <f>SUMIFS(NewEmisData!E:E, NewEmisData!$A:$A, $G53, NewEmisData!$B:$B, $A53, NewEmisData!$C:$C, $H53, NewEmisData!$D:$D, AF$6)</f>
        <v>1.9554990283156898E-2</v>
      </c>
      <c r="AG53" s="1111">
        <f>SUMIFS(NewEmisData!F:F, NewEmisData!$A:$A, $G53, NewEmisData!$B:$B, $A53, NewEmisData!$C:$C, $H53, NewEmisData!$D:$D, AG$6)</f>
        <v>1.95685182638505E-2</v>
      </c>
      <c r="AH53" s="1111">
        <f>SUMIFS(NewEmisData!G:G, NewEmisData!$A:$A, $G53, NewEmisData!$B:$B, $A53, NewEmisData!$C:$C, $H53, NewEmisData!$D:$D, AH$6)</f>
        <v>2.01604922584692E-2</v>
      </c>
      <c r="AI53" s="1111">
        <f>SUMIFS(NewEmisData!H:H, NewEmisData!$A:$A, $G53, NewEmisData!$B:$B, $A53, NewEmisData!$C:$C, $H53, NewEmisData!$D:$D, AI$6)</f>
        <v>1.97911521572584E-2</v>
      </c>
      <c r="AJ53" s="1111">
        <f>SUMIFS(NewEmisData!I:I, NewEmisData!$A:$A, $G53, NewEmisData!$B:$B, $A53, NewEmisData!$C:$C, $H53, NewEmisData!$D:$D, AJ$6)</f>
        <v>1.9142873562620798E-2</v>
      </c>
      <c r="AK53" s="1111">
        <f>SUMIFS(NewEmisData!J:J, NewEmisData!$A:$A, $G53, NewEmisData!$B:$B, $A53, NewEmisData!$C:$C, $H53, NewEmisData!$D:$D, AK$6)</f>
        <v>1.89783356086532E-2</v>
      </c>
      <c r="AL53" s="1111">
        <f>SUMIFS(NewEmisData!K:K, NewEmisData!$A:$A, $G53, NewEmisData!$B:$B, $A53, NewEmisData!$C:$C, $H53, NewEmisData!$D:$D, AL$6)</f>
        <v>1.8939180344523601E-2</v>
      </c>
      <c r="AM53" s="1111">
        <f>SUMIFS(NewEmisData!L:L, NewEmisData!$A:$A, $G53, NewEmisData!$B:$B, $A53, NewEmisData!$C:$C, $H53, NewEmisData!$D:$D, AM$6)</f>
        <v>1.8932175415884701E-2</v>
      </c>
      <c r="AN53" s="1111">
        <f>SUMIFS(NewEmisData!M:M, NewEmisData!$A:$A, $G53, NewEmisData!$B:$B, $A53, NewEmisData!$C:$C, $H53, NewEmisData!$D:$D, AN$6)</f>
        <v>1.89319567223225E-2</v>
      </c>
      <c r="AO53" s="1111">
        <f t="shared" si="71"/>
        <v>1.89319567223225E-2</v>
      </c>
      <c r="AP53" s="1111">
        <f t="shared" si="72"/>
        <v>0.25577646184958402</v>
      </c>
      <c r="AQ53" s="1111">
        <f>SUMIFS(NewEmisData!E:E, NewEmisData!$A:$A, $G53, NewEmisData!$B:$B, $A53, NewEmisData!$C:$C, $H53, NewEmisData!$D:$D, AQ$6)</f>
        <v>0.25577646184958402</v>
      </c>
      <c r="AR53" s="1111">
        <f>SUMIFS(NewEmisData!F:F, NewEmisData!$A:$A, $G53, NewEmisData!$B:$B, $A53, NewEmisData!$C:$C, $H53, NewEmisData!$D:$D, AR$6)</f>
        <v>0.23859206785442999</v>
      </c>
      <c r="AS53" s="1111">
        <f>SUMIFS(NewEmisData!G:G, NewEmisData!$A:$A, $G53, NewEmisData!$B:$B, $A53, NewEmisData!$C:$C, $H53, NewEmisData!$D:$D, AS$6)</f>
        <v>0.351764857744302</v>
      </c>
      <c r="AT53" s="1111">
        <f>SUMIFS(NewEmisData!H:H, NewEmisData!$A:$A, $G53, NewEmisData!$B:$B, $A53, NewEmisData!$C:$C, $H53, NewEmisData!$D:$D, AT$6)</f>
        <v>0.34931824303782499</v>
      </c>
      <c r="AU53" s="1111">
        <f>SUMIFS(NewEmisData!I:I, NewEmisData!$A:$A, $G53, NewEmisData!$B:$B, $A53, NewEmisData!$C:$C, $H53, NewEmisData!$D:$D, AU$6)</f>
        <v>0.34154946312290901</v>
      </c>
      <c r="AV53" s="1111">
        <f>SUMIFS(NewEmisData!J:J, NewEmisData!$A:$A, $G53, NewEmisData!$B:$B, $A53, NewEmisData!$C:$C, $H53, NewEmisData!$D:$D, AV$6)</f>
        <v>0.33956199269290699</v>
      </c>
      <c r="AW53" s="1111">
        <f>SUMIFS(NewEmisData!K:K, NewEmisData!$A:$A, $G53, NewEmisData!$B:$B, $A53, NewEmisData!$C:$C, $H53, NewEmisData!$D:$D, AW$6)</f>
        <v>0.33912280958847202</v>
      </c>
      <c r="AX53" s="1111">
        <f>SUMIFS(NewEmisData!L:L, NewEmisData!$A:$A, $G53, NewEmisData!$B:$B, $A53, NewEmisData!$C:$C, $H53, NewEmisData!$D:$D, AX$6)</f>
        <v>0.33904138785011401</v>
      </c>
      <c r="AY53" s="1111">
        <f>SUMIFS(NewEmisData!M:M, NewEmisData!$A:$A, $G53, NewEmisData!$B:$B, $A53, NewEmisData!$C:$C, $H53, NewEmisData!$D:$D, AY$6)</f>
        <v>0.33905343527213999</v>
      </c>
      <c r="AZ53" s="1111">
        <f t="shared" si="73"/>
        <v>0.33905343527213999</v>
      </c>
      <c r="BA53" s="1111">
        <f t="shared" si="74"/>
        <v>5.4814467904693999E-2</v>
      </c>
      <c r="BB53" s="1111">
        <f>SUMIFS(NewEmisData!E:E, NewEmisData!$A:$A, $G53, NewEmisData!$B:$B, $A53, NewEmisData!$C:$C, $H53, NewEmisData!$D:$D, BB$6)</f>
        <v>5.4814467904693999E-2</v>
      </c>
      <c r="BC53" s="1111">
        <f>SUMIFS(NewEmisData!F:F, NewEmisData!$A:$A, $G53, NewEmisData!$B:$B, $A53, NewEmisData!$C:$C, $H53, NewEmisData!$D:$D, BC$6)</f>
        <v>3.9660843522864801E-2</v>
      </c>
      <c r="BD53" s="1111">
        <f>SUMIFS(NewEmisData!G:G, NewEmisData!$A:$A, $G53, NewEmisData!$B:$B, $A53, NewEmisData!$C:$C, $H53, NewEmisData!$D:$D, BD$6)</f>
        <v>5.2889801360665199E-2</v>
      </c>
      <c r="BE53" s="1111">
        <f>SUMIFS(NewEmisData!H:H, NewEmisData!$A:$A, $G53, NewEmisData!$B:$B, $A53, NewEmisData!$C:$C, $H53, NewEmisData!$D:$D, BE$6)</f>
        <v>5.2551386947303103E-2</v>
      </c>
      <c r="BF53" s="1111">
        <f>SUMIFS(NewEmisData!I:I, NewEmisData!$A:$A, $G53, NewEmisData!$B:$B, $A53, NewEmisData!$C:$C, $H53, NewEmisData!$D:$D, BF$6)</f>
        <v>5.0945334073008497E-2</v>
      </c>
      <c r="BG53" s="1111">
        <f>SUMIFS(NewEmisData!J:J, NewEmisData!$A:$A, $G53, NewEmisData!$B:$B, $A53, NewEmisData!$C:$C, $H53, NewEmisData!$D:$D, BG$6)</f>
        <v>5.0580577350149397E-2</v>
      </c>
      <c r="BH53" s="1111">
        <f>SUMIFS(NewEmisData!K:K, NewEmisData!$A:$A, $G53, NewEmisData!$B:$B, $A53, NewEmisData!$C:$C, $H53, NewEmisData!$D:$D, BH$6)</f>
        <v>5.0495841537682197E-2</v>
      </c>
      <c r="BI53" s="1111">
        <f>SUMIFS(NewEmisData!L:L, NewEmisData!$A:$A, $G53, NewEmisData!$B:$B, $A53, NewEmisData!$C:$C, $H53, NewEmisData!$D:$D, BI$6)</f>
        <v>5.0500593811481399E-2</v>
      </c>
      <c r="BJ53" s="1111">
        <f>SUMIFS(NewEmisData!M:M, NewEmisData!$A:$A, $G53, NewEmisData!$B:$B, $A53, NewEmisData!$C:$C, $H53, NewEmisData!$D:$D, BJ$6)</f>
        <v>5.0513012114000298E-2</v>
      </c>
      <c r="BK53" s="1111">
        <f t="shared" si="75"/>
        <v>5.0513012114000298E-2</v>
      </c>
      <c r="BL53" s="1111">
        <f t="shared" si="76"/>
        <v>32.184051509772999</v>
      </c>
      <c r="BM53" s="1111">
        <f>SUMIFS(NewEmisData!E:E, NewEmisData!$A:$A, $G53, NewEmisData!$B:$B, $A53, NewEmisData!$C:$C, $H53, NewEmisData!$D:$D, BM$6)</f>
        <v>32.184051509772999</v>
      </c>
      <c r="BN53" s="1111">
        <f>SUMIFS(NewEmisData!F:F, NewEmisData!$A:$A, $G53, NewEmisData!$B:$B, $A53, NewEmisData!$C:$C, $H53, NewEmisData!$D:$D, BN$6)</f>
        <v>25.790545556992701</v>
      </c>
      <c r="BO53" s="1111">
        <f>SUMIFS(NewEmisData!G:G, NewEmisData!$A:$A, $G53, NewEmisData!$B:$B, $A53, NewEmisData!$C:$C, $H53, NewEmisData!$D:$D, BO$6)</f>
        <v>17.593987471051999</v>
      </c>
      <c r="BP53" s="1111">
        <f>SUMIFS(NewEmisData!H:H, NewEmisData!$A:$A, $G53, NewEmisData!$B:$B, $A53, NewEmisData!$C:$C, $H53, NewEmisData!$D:$D, BP$6)</f>
        <v>15.548032809457499</v>
      </c>
      <c r="BQ53" s="1111">
        <f>SUMIFS(NewEmisData!I:I, NewEmisData!$A:$A, $G53, NewEmisData!$B:$B, $A53, NewEmisData!$C:$C, $H53, NewEmisData!$D:$D, BQ$6)</f>
        <v>15.5605262464888</v>
      </c>
      <c r="BR53" s="1111">
        <f>SUMIFS(NewEmisData!J:J, NewEmisData!$A:$A, $G53, NewEmisData!$B:$B, $A53, NewEmisData!$C:$C, $H53, NewEmisData!$D:$D, BR$6)</f>
        <v>15.9871963814061</v>
      </c>
      <c r="BS53" s="1111">
        <f>SUMIFS(NewEmisData!K:K, NewEmisData!$A:$A, $G53, NewEmisData!$B:$B, $A53, NewEmisData!$C:$C, $H53, NewEmisData!$D:$D, BS$6)</f>
        <v>16.091605975104901</v>
      </c>
      <c r="BT53" s="1111">
        <f>SUMIFS(NewEmisData!L:L, NewEmisData!$A:$A, $G53, NewEmisData!$B:$B, $A53, NewEmisData!$C:$C, $H53, NewEmisData!$D:$D, BT$6)</f>
        <v>16.2582160020517</v>
      </c>
      <c r="BU53" s="1111">
        <f>SUMIFS(NewEmisData!M:M, NewEmisData!$A:$A, $G53, NewEmisData!$B:$B, $A53, NewEmisData!$C:$C, $H53, NewEmisData!$D:$D, BU$6)</f>
        <v>16.317714638715799</v>
      </c>
      <c r="BV53" s="1111">
        <f t="shared" si="83"/>
        <v>16.317714638715799</v>
      </c>
      <c r="BW53" s="1111">
        <f t="shared" si="77"/>
        <v>1.6076832062105699</v>
      </c>
      <c r="BX53" s="1111">
        <f>SUMIFS(NewEmisData!E:E, NewEmisData!$A:$A, $G53, NewEmisData!$B:$B, $A53, NewEmisData!$C:$C, $H53, NewEmisData!$D:$D, BX$6)</f>
        <v>1.6076832062105699</v>
      </c>
      <c r="BY53" s="1111">
        <f>SUMIFS(NewEmisData!F:F, NewEmisData!$A:$A, $G53, NewEmisData!$B:$B, $A53, NewEmisData!$C:$C, $H53, NewEmisData!$D:$D, BY$6)</f>
        <v>1.07737691728375</v>
      </c>
      <c r="BZ53" s="1111">
        <f>SUMIFS(NewEmisData!G:G, NewEmisData!$A:$A, $G53, NewEmisData!$B:$B, $A53, NewEmisData!$C:$C, $H53, NewEmisData!$D:$D, BZ$6)</f>
        <v>0.66089486679656995</v>
      </c>
      <c r="CA53" s="1111">
        <f>SUMIFS(NewEmisData!H:H, NewEmisData!$A:$A, $G53, NewEmisData!$B:$B, $A53, NewEmisData!$C:$C, $H53, NewEmisData!$D:$D, CA$6)</f>
        <v>0.50665329469086795</v>
      </c>
      <c r="CB53" s="1111">
        <f>SUMIFS(NewEmisData!I:I, NewEmisData!$A:$A, $G53, NewEmisData!$B:$B, $A53, NewEmisData!$C:$C, $H53, NewEmisData!$D:$D, CB$6)</f>
        <v>0.45395027729947901</v>
      </c>
      <c r="CC53" s="1111">
        <f>SUMIFS(NewEmisData!J:J, NewEmisData!$A:$A, $G53, NewEmisData!$B:$B, $A53, NewEmisData!$C:$C, $H53, NewEmisData!$D:$D, CC$6)</f>
        <v>0.44710959546622903</v>
      </c>
      <c r="CD53" s="1111">
        <f>SUMIFS(NewEmisData!K:K, NewEmisData!$A:$A, $G53, NewEmisData!$B:$B, $A53, NewEmisData!$C:$C, $H53, NewEmisData!$D:$D, CD$6)</f>
        <v>0.44246515211993698</v>
      </c>
      <c r="CE53" s="1111">
        <f>SUMIFS(NewEmisData!L:L, NewEmisData!$A:$A, $G53, NewEmisData!$B:$B, $A53, NewEmisData!$C:$C, $H53, NewEmisData!$D:$D, CE$6)</f>
        <v>0.44466448973498501</v>
      </c>
      <c r="CF53" s="1111">
        <f>SUMIFS(NewEmisData!M:M, NewEmisData!$A:$A, $G53, NewEmisData!$B:$B, $A53, NewEmisData!$C:$C, $H53, NewEmisData!$D:$D, CF$6)</f>
        <v>0.44515250539012002</v>
      </c>
      <c r="CG53" s="1111">
        <f t="shared" si="78"/>
        <v>0.44515250539012002</v>
      </c>
      <c r="CH53" s="1111">
        <f t="shared" si="79"/>
        <v>4.3399422117819303E-2</v>
      </c>
      <c r="CI53" s="1111">
        <f>SUMIFS(NewEmisData!E:E, NewEmisData!$A:$A, $G53, NewEmisData!$B:$B, $A53, NewEmisData!$C:$C, $H53, NewEmisData!$D:$D, CI$6)</f>
        <v>4.3399422117819303E-2</v>
      </c>
      <c r="CJ53" s="1111">
        <f>SUMIFS(NewEmisData!F:F, NewEmisData!$A:$A, $G53, NewEmisData!$B:$B, $A53, NewEmisData!$C:$C, $H53, NewEmisData!$D:$D, CJ$6)</f>
        <v>4.3400015102987403E-2</v>
      </c>
      <c r="CK53" s="1111">
        <f>SUMIFS(NewEmisData!G:G, NewEmisData!$A:$A, $G53, NewEmisData!$B:$B, $A53, NewEmisData!$C:$C, $H53, NewEmisData!$D:$D, CK$6)</f>
        <v>5.51180775849354E-2</v>
      </c>
      <c r="CL53" s="1111">
        <f>SUMIFS(NewEmisData!H:H, NewEmisData!$A:$A, $G53, NewEmisData!$B:$B, $A53, NewEmisData!$C:$C, $H53, NewEmisData!$D:$D, CL$6)</f>
        <v>5.5092760124654402E-2</v>
      </c>
      <c r="CM53" s="1111">
        <f>SUMIFS(NewEmisData!I:I, NewEmisData!$A:$A, $G53, NewEmisData!$B:$B, $A53, NewEmisData!$C:$C, $H53, NewEmisData!$D:$D, CM$6)</f>
        <v>5.5018575060889002E-2</v>
      </c>
      <c r="CN53" s="1111">
        <f>SUMIFS(NewEmisData!J:J, NewEmisData!$A:$A, $G53, NewEmisData!$B:$B, $A53, NewEmisData!$C:$C, $H53, NewEmisData!$D:$D, CN$6)</f>
        <v>5.4999024433032603E-2</v>
      </c>
      <c r="CO53" s="1111">
        <f>SUMIFS(NewEmisData!K:K, NewEmisData!$A:$A, $G53, NewEmisData!$B:$B, $A53, NewEmisData!$C:$C, $H53, NewEmisData!$D:$D, CO$6)</f>
        <v>5.49947267932255E-2</v>
      </c>
      <c r="CP53" s="1111">
        <f>SUMIFS(NewEmisData!L:L, NewEmisData!$A:$A, $G53, NewEmisData!$B:$B, $A53, NewEmisData!$C:$C, $H53, NewEmisData!$D:$D, CP$6)</f>
        <v>5.4993686114600697E-2</v>
      </c>
      <c r="CQ53" s="1111">
        <f>SUMIFS(NewEmisData!M:M, NewEmisData!$A:$A, $G53, NewEmisData!$B:$B, $A53, NewEmisData!$C:$C, $H53, NewEmisData!$D:$D, CQ$6)</f>
        <v>5.4993670901738401E-2</v>
      </c>
      <c r="CR53" s="1111">
        <f t="shared" si="80"/>
        <v>5.4993670901738401E-2</v>
      </c>
      <c r="CS53" s="1111">
        <f t="shared" si="81"/>
        <v>4.2091134803139398E-2</v>
      </c>
      <c r="CT53" s="1111">
        <f>SUMIFS(NewEmisData!E:E, NewEmisData!$A:$A, $G53, NewEmisData!$B:$B, $A53, NewEmisData!$C:$C, $H53, NewEmisData!$D:$D, CT$6)</f>
        <v>4.2091134803139398E-2</v>
      </c>
      <c r="CU53" s="1111">
        <f>SUMIFS(NewEmisData!F:F, NewEmisData!$A:$A, $G53, NewEmisData!$B:$B, $A53, NewEmisData!$C:$C, $H53, NewEmisData!$D:$D, CU$6)</f>
        <v>2.9413368678447099E-2</v>
      </c>
      <c r="CV53" s="1111">
        <f>SUMIFS(NewEmisData!G:G, NewEmisData!$A:$A, $G53, NewEmisData!$B:$B, $A53, NewEmisData!$C:$C, $H53, NewEmisData!$D:$D, CV$6)</f>
        <v>2.1908117014146501E-2</v>
      </c>
      <c r="CW53" s="1111">
        <f>SUMIFS(NewEmisData!H:H, NewEmisData!$A:$A, $G53, NewEmisData!$B:$B, $A53, NewEmisData!$C:$C, $H53, NewEmisData!$D:$D, CW$6)</f>
        <v>1.51235650548124E-2</v>
      </c>
      <c r="CX53" s="1111">
        <f>SUMIFS(NewEmisData!I:I, NewEmisData!$A:$A, $G53, NewEmisData!$B:$B, $A53, NewEmisData!$C:$C, $H53, NewEmisData!$D:$D, CX$6)</f>
        <v>1.29093526067743E-2</v>
      </c>
      <c r="CY53" s="1111">
        <f>SUMIFS(NewEmisData!J:J, NewEmisData!$A:$A, $G53, NewEmisData!$B:$B, $A53, NewEmisData!$C:$C, $H53, NewEmisData!$D:$D, CY$6)</f>
        <v>1.25399672188876E-2</v>
      </c>
      <c r="CZ53" s="1111">
        <f>SUMIFS(NewEmisData!K:K, NewEmisData!$A:$A, $G53, NewEmisData!$B:$B, $A53, NewEmisData!$C:$C, $H53, NewEmisData!$D:$D, CZ$6)</f>
        <v>1.2248391252448299E-2</v>
      </c>
      <c r="DA53" s="1111">
        <f>SUMIFS(NewEmisData!L:L, NewEmisData!$A:$A, $G53, NewEmisData!$B:$B, $A53, NewEmisData!$C:$C, $H53, NewEmisData!$D:$D, DA$6)</f>
        <v>1.22999318738547E-2</v>
      </c>
      <c r="DB53" s="1111">
        <f>SUMIFS(NewEmisData!M:M, NewEmisData!$A:$A, $G53, NewEmisData!$B:$B, $A53, NewEmisData!$C:$C, $H53, NewEmisData!$D:$D, DB$6)</f>
        <v>1.23186618660251E-2</v>
      </c>
      <c r="DC53" s="1111">
        <f t="shared" si="84"/>
        <v>1.23186618660251E-2</v>
      </c>
      <c r="DD53" s="1111"/>
      <c r="DE53" s="1111"/>
      <c r="DF53" s="1111"/>
      <c r="DG53" s="1111"/>
      <c r="DH53" s="1111"/>
      <c r="DI53" s="1111"/>
      <c r="DJ53" s="1111"/>
      <c r="DK53" s="1111"/>
      <c r="DL53" s="1111"/>
      <c r="DM53" s="1111"/>
      <c r="DN53" s="1111"/>
      <c r="DO53" s="1111"/>
      <c r="DP53" s="1111"/>
      <c r="DQ53" s="1111"/>
      <c r="DR53" s="1111"/>
      <c r="DS53" s="1111"/>
      <c r="DT53" s="1111"/>
      <c r="DU53" s="1111"/>
      <c r="DV53" s="1111"/>
      <c r="DW53" s="1111"/>
      <c r="DX53" s="1111"/>
      <c r="DY53" s="1111"/>
      <c r="DZ53" s="1111">
        <f t="shared" si="85"/>
        <v>5.7853229299281397E-2</v>
      </c>
      <c r="EA53" s="1111">
        <f>SUMIFS(NewEmisData!E:E, NewEmisData!$A:$A, $G53, NewEmisData!$B:$B, $A53, NewEmisData!$C:$C, $H53, NewEmisData!$D:$D, EA$6)</f>
        <v>5.7853229299281397E-2</v>
      </c>
      <c r="EB53" s="1111">
        <f>SUMIFS(NewEmisData!F:F, NewEmisData!$A:$A, $G53, NewEmisData!$B:$B, $A53, NewEmisData!$C:$C, $H53, NewEmisData!$D:$D, EB$6)</f>
        <v>2.9073352809047302E-2</v>
      </c>
      <c r="EC53" s="1111">
        <f>SUMIFS(NewEmisData!G:G, NewEmisData!$A:$A, $G53, NewEmisData!$B:$B, $A53, NewEmisData!$C:$C, $H53, NewEmisData!$D:$D, EC$6)</f>
        <v>1.58088583493518E-2</v>
      </c>
      <c r="ED53" s="1111">
        <f>SUMIFS(NewEmisData!H:H, NewEmisData!$A:$A, $G53, NewEmisData!$B:$B, $A53, NewEmisData!$C:$C, $H53, NewEmisData!$D:$D, ED$6)</f>
        <v>1.27598175965856E-2</v>
      </c>
      <c r="EE53" s="1111">
        <f>SUMIFS(NewEmisData!I:I, NewEmisData!$A:$A, $G53, NewEmisData!$B:$B, $A53, NewEmisData!$C:$C, $H53, NewEmisData!$D:$D, EE$6)</f>
        <v>1.25765761718582E-2</v>
      </c>
      <c r="EF53" s="1111">
        <f>SUMIFS(NewEmisData!J:J, NewEmisData!$A:$A, $G53, NewEmisData!$B:$B, $A53, NewEmisData!$C:$C, $H53, NewEmisData!$D:$D, EF$6)</f>
        <v>1.28662791289052E-2</v>
      </c>
      <c r="EG53" s="1111">
        <f>SUMIFS(NewEmisData!K:K, NewEmisData!$A:$A, $G53, NewEmisData!$B:$B, $A53, NewEmisData!$C:$C, $H53, NewEmisData!$D:$D, EG$6)</f>
        <v>1.2955321110398099E-2</v>
      </c>
      <c r="EH53" s="1111">
        <f>SUMIFS(NewEmisData!L:L, NewEmisData!$A:$A, $G53, NewEmisData!$B:$B, $A53, NewEmisData!$C:$C, $H53, NewEmisData!$D:$D, EH$6)</f>
        <v>1.30753171444039E-2</v>
      </c>
      <c r="EI53" s="1111">
        <f>SUMIFS(NewEmisData!M:M, NewEmisData!$A:$A, $G53, NewEmisData!$B:$B, $A53, NewEmisData!$C:$C, $H53, NewEmisData!$D:$D, EI$6)</f>
        <v>1.31164603255322E-2</v>
      </c>
      <c r="EJ53" s="1111">
        <f t="shared" si="86"/>
        <v>1.31164603255322E-2</v>
      </c>
      <c r="EK53" s="1111">
        <f t="shared" si="87"/>
        <v>1130.1167624525301</v>
      </c>
      <c r="EL53" s="1111">
        <f t="shared" si="48"/>
        <v>1130.1167624525301</v>
      </c>
      <c r="EM53" s="1111">
        <f t="shared" si="49"/>
        <v>1130.8984145920599</v>
      </c>
      <c r="EN53" s="1111">
        <f t="shared" si="50"/>
        <v>1405.3513402599599</v>
      </c>
      <c r="EO53" s="1111">
        <f t="shared" si="51"/>
        <v>1379.6052405171799</v>
      </c>
      <c r="EP53" s="1111">
        <f t="shared" si="52"/>
        <v>1334.4147184286501</v>
      </c>
      <c r="EQ53" s="1111">
        <f t="shared" si="53"/>
        <v>1322.9454628220101</v>
      </c>
      <c r="ER53" s="1111">
        <f t="shared" si="54"/>
        <v>1320.2157375614299</v>
      </c>
      <c r="ES53" s="1111">
        <f t="shared" si="55"/>
        <v>1319.7277214958499</v>
      </c>
      <c r="ET53" s="1111">
        <f t="shared" si="56"/>
        <v>1319.71246990391</v>
      </c>
      <c r="EU53" s="1111">
        <f t="shared" si="57"/>
        <v>1319.71246990391</v>
      </c>
      <c r="EV53" s="1111">
        <f t="shared" si="88"/>
        <v>4.0566113456988298</v>
      </c>
      <c r="EW53" s="1111">
        <f t="shared" si="38"/>
        <v>4.0566113456988298</v>
      </c>
      <c r="EX53" s="1111">
        <f t="shared" si="39"/>
        <v>2.5724270871349901</v>
      </c>
      <c r="EY53" s="1111">
        <f t="shared" si="40"/>
        <v>1.4424895677524801</v>
      </c>
      <c r="EZ53" s="1111">
        <f t="shared" si="41"/>
        <v>1.13924742539507</v>
      </c>
      <c r="FA53" s="1111">
        <f t="shared" si="42"/>
        <v>1.03965564636638</v>
      </c>
      <c r="FB53" s="1111">
        <f t="shared" si="43"/>
        <v>1.02198349229239</v>
      </c>
      <c r="FC53" s="1111">
        <f t="shared" si="44"/>
        <v>1.0148563657413801</v>
      </c>
      <c r="FD53" s="1111">
        <f t="shared" si="45"/>
        <v>1.01503532465236</v>
      </c>
      <c r="FE53" s="1111">
        <f t="shared" si="46"/>
        <v>1.0151899457145299</v>
      </c>
      <c r="FF53" s="1111">
        <f t="shared" si="47"/>
        <v>1.0151899457145299</v>
      </c>
      <c r="FG53" s="1111">
        <f t="shared" si="100"/>
        <v>1.9554990283156898E-2</v>
      </c>
      <c r="FH53" s="1111">
        <f t="shared" si="101"/>
        <v>1.9554990283156898E-2</v>
      </c>
      <c r="FI53" s="1111">
        <f t="shared" si="102"/>
        <v>1.95685182638505E-2</v>
      </c>
      <c r="FJ53" s="1111">
        <f t="shared" si="103"/>
        <v>2.01604922584692E-2</v>
      </c>
      <c r="FK53" s="1111">
        <f t="shared" si="104"/>
        <v>1.97911521572584E-2</v>
      </c>
      <c r="FL53" s="1111">
        <f t="shared" si="105"/>
        <v>1.9142873562620798E-2</v>
      </c>
      <c r="FM53" s="1111">
        <f t="shared" si="106"/>
        <v>1.89783356086532E-2</v>
      </c>
      <c r="FN53" s="1111">
        <f t="shared" si="107"/>
        <v>1.8939180344523601E-2</v>
      </c>
      <c r="FO53" s="1111">
        <f t="shared" si="108"/>
        <v>1.8932175415884701E-2</v>
      </c>
      <c r="FP53" s="1111">
        <f t="shared" si="109"/>
        <v>1.89319567223225E-2</v>
      </c>
      <c r="FQ53" s="1111">
        <f t="shared" si="110"/>
        <v>1.89319567223225E-2</v>
      </c>
      <c r="FR53" s="1111">
        <f t="shared" si="25"/>
        <v>0.25577646184958402</v>
      </c>
      <c r="FS53" s="1111">
        <f t="shared" si="26"/>
        <v>0.25577646184958402</v>
      </c>
      <c r="FT53" s="1111">
        <f t="shared" si="27"/>
        <v>0.23859206785442999</v>
      </c>
      <c r="FU53" s="1111">
        <f t="shared" si="28"/>
        <v>0.351764857744302</v>
      </c>
      <c r="FV53" s="1111">
        <f t="shared" si="29"/>
        <v>0.34931824303782499</v>
      </c>
      <c r="FW53" s="1111">
        <f t="shared" si="30"/>
        <v>0.34154946312290901</v>
      </c>
      <c r="FX53" s="1111">
        <f t="shared" si="31"/>
        <v>0.33956199269290699</v>
      </c>
      <c r="FY53" s="1111">
        <f t="shared" si="32"/>
        <v>0.33912280958847202</v>
      </c>
      <c r="FZ53" s="1111">
        <f t="shared" si="33"/>
        <v>0.33904138785011401</v>
      </c>
      <c r="GA53" s="1111">
        <f t="shared" si="34"/>
        <v>0.33905343527213999</v>
      </c>
      <c r="GB53" s="1111">
        <f t="shared" si="35"/>
        <v>0.33905343527213999</v>
      </c>
      <c r="GC53" s="1111">
        <f t="shared" si="59"/>
        <v>5.4814467904693999E-2</v>
      </c>
      <c r="GD53" s="1111">
        <f t="shared" si="60"/>
        <v>5.4814467904693999E-2</v>
      </c>
      <c r="GE53" s="1111">
        <f t="shared" si="61"/>
        <v>3.9660843522864801E-2</v>
      </c>
      <c r="GF53" s="1111">
        <f t="shared" si="62"/>
        <v>5.2889801360665199E-2</v>
      </c>
      <c r="GG53" s="1111">
        <f t="shared" si="63"/>
        <v>5.2551386947303103E-2</v>
      </c>
      <c r="GH53" s="1111">
        <f t="shared" si="64"/>
        <v>5.0945334073008497E-2</v>
      </c>
      <c r="GI53" s="1111">
        <f t="shared" si="65"/>
        <v>5.0580577350149397E-2</v>
      </c>
      <c r="GJ53" s="1111">
        <f t="shared" si="66"/>
        <v>5.0495841537682197E-2</v>
      </c>
      <c r="GK53" s="1111">
        <f t="shared" si="67"/>
        <v>5.0500593811481399E-2</v>
      </c>
      <c r="GL53" s="1111">
        <f t="shared" si="68"/>
        <v>5.0513012114000298E-2</v>
      </c>
      <c r="GM53" s="1111">
        <f t="shared" si="69"/>
        <v>5.0513012114000298E-2</v>
      </c>
    </row>
    <row r="54" spans="1:195" x14ac:dyDescent="0.2">
      <c r="A54" s="1071" t="s">
        <v>186</v>
      </c>
      <c r="B54" s="1071" t="str">
        <f>Technologies!C139</f>
        <v>THSCNGE</v>
      </c>
      <c r="C54" s="1071" t="str">
        <f>Technologies!D139</f>
        <v>Heavy Truck, Short Haul, CNG exisiting</v>
      </c>
      <c r="D54" s="1071" t="str">
        <f>TechData!D23</f>
        <v>bn-vmt, bn-vmt/a</v>
      </c>
      <c r="E54" s="1071" t="str">
        <f>Commodities!C55</f>
        <v>TBCNG</v>
      </c>
      <c r="F54" s="1071" t="s">
        <v>98</v>
      </c>
      <c r="G54" s="1110" t="s">
        <v>505</v>
      </c>
      <c r="H54" s="1111" t="s">
        <v>500</v>
      </c>
      <c r="I54" s="1112">
        <v>1</v>
      </c>
      <c r="J54" s="1111" t="str">
        <f t="shared" si="37"/>
        <v>Heavy duty short haul truck-GSL</v>
      </c>
      <c r="K54" s="1111">
        <f>SUMIFS(NewEmisData!E:E, NewEmisData!$A:$A, $G54, NewEmisData!$B:$B, $A54, NewEmisData!$C:$C, $H54, NewEmisData!$D:$D, K$6)</f>
        <v>1638.3455086040899</v>
      </c>
      <c r="L54" s="1111">
        <f>SUMIFS(NewEmisData!F:F, NewEmisData!$A:$A, $G54, NewEmisData!$B:$B, $A54, NewEmisData!$C:$C, $H54, NewEmisData!$D:$D, L$6)</f>
        <v>1597.91146698485</v>
      </c>
      <c r="M54" s="1111">
        <f>SUMIFS(NewEmisData!G:G, NewEmisData!$A:$A, $G54, NewEmisData!$B:$B, $A54, NewEmisData!$C:$C, $H54, NewEmisData!$D:$D, M$6)</f>
        <v>1675.8815285015601</v>
      </c>
      <c r="N54" s="1111">
        <f>SUMIFS(NewEmisData!H:H, NewEmisData!$A:$A, $G54, NewEmisData!$B:$B, $A54, NewEmisData!$C:$C, $H54, NewEmisData!$D:$D, N$6)</f>
        <v>1650.32431693742</v>
      </c>
      <c r="O54" s="1111">
        <f>SUMIFS(NewEmisData!I:I, NewEmisData!$A:$A, $G54, NewEmisData!$B:$B, $A54, NewEmisData!$C:$C, $H54, NewEmisData!$D:$D, O$6)</f>
        <v>1614.69992415768</v>
      </c>
      <c r="P54" s="1111">
        <f>SUMIFS(NewEmisData!J:J, NewEmisData!$A:$A, $G54, NewEmisData!$B:$B, $A54, NewEmisData!$C:$C, $H54, NewEmisData!$D:$D, P$6)</f>
        <v>1606.15558948889</v>
      </c>
      <c r="Q54" s="1111">
        <f>SUMIFS(NewEmisData!K:K, NewEmisData!$A:$A, $G54, NewEmisData!$B:$B, $A54, NewEmisData!$C:$C, $H54, NewEmisData!$D:$D, Q$6)</f>
        <v>1604.0186206973899</v>
      </c>
      <c r="R54" s="1111">
        <f>SUMIFS(NewEmisData!L:L, NewEmisData!$A:$A, $G54, NewEmisData!$B:$B, $A54, NewEmisData!$C:$C, $H54, NewEmisData!$D:$D, R$6)</f>
        <v>1603.71196653328</v>
      </c>
      <c r="S54" s="1111">
        <f>SUMIFS(NewEmisData!M:M, NewEmisData!$A:$A, $G54, NewEmisData!$B:$B, $A54, NewEmisData!$C:$C, $H54, NewEmisData!$D:$D, S$6)</f>
        <v>1603.6927150798599</v>
      </c>
      <c r="T54" s="1111">
        <f t="shared" si="17"/>
        <v>1603.6927150798599</v>
      </c>
      <c r="U54" s="1111">
        <f>SUMIFS(NewEmisData!E:E, NewEmisData!$A:$A, $G54, NewEmisData!$B:$B, $A54, NewEmisData!$C:$C, $H54, NewEmisData!$D:$D, U$6)</f>
        <v>9.1319765062058504</v>
      </c>
      <c r="V54" s="1111">
        <f>SUMIFS(NewEmisData!F:F, NewEmisData!$A:$A, $G54, NewEmisData!$B:$B, $A54, NewEmisData!$C:$C, $H54, NewEmisData!$D:$D, V$6)</f>
        <v>5.5211126740351997</v>
      </c>
      <c r="W54" s="1111">
        <f>SUMIFS(NewEmisData!G:G, NewEmisData!$A:$A, $G54, NewEmisData!$B:$B, $A54, NewEmisData!$C:$C, $H54, NewEmisData!$D:$D, W$6)</f>
        <v>1.6178749329459601</v>
      </c>
      <c r="X54" s="1111">
        <f>SUMIFS(NewEmisData!H:H, NewEmisData!$A:$A, $G54, NewEmisData!$B:$B, $A54, NewEmisData!$C:$C, $H54, NewEmisData!$D:$D, X$6)</f>
        <v>1.2717662893164099</v>
      </c>
      <c r="Y54" s="1111">
        <f>SUMIFS(NewEmisData!I:I, NewEmisData!$A:$A, $G54, NewEmisData!$B:$B, $A54, NewEmisData!$C:$C, $H54, NewEmisData!$D:$D, Y$6)</f>
        <v>1.1726866302876999</v>
      </c>
      <c r="Z54" s="1111">
        <f>SUMIFS(NewEmisData!J:J, NewEmisData!$A:$A, $G54, NewEmisData!$B:$B, $A54, NewEmisData!$C:$C, $H54, NewEmisData!$D:$D, Z$6)</f>
        <v>1.1568218913658399</v>
      </c>
      <c r="AA54" s="1111">
        <f>SUMIFS(NewEmisData!K:K, NewEmisData!$A:$A, $G54, NewEmisData!$B:$B, $A54, NewEmisData!$C:$C, $H54, NewEmisData!$D:$D, AA$6)</f>
        <v>1.1498419858081399</v>
      </c>
      <c r="AB54" s="1111">
        <f>SUMIFS(NewEmisData!L:L, NewEmisData!$A:$A, $G54, NewEmisData!$B:$B, $A54, NewEmisData!$C:$C, $H54, NewEmisData!$D:$D, AB$6)</f>
        <v>1.1502565377520699</v>
      </c>
      <c r="AC54" s="1111">
        <f>SUMIFS(NewEmisData!M:M, NewEmisData!$A:$A, $G54, NewEmisData!$B:$B, $A54, NewEmisData!$C:$C, $H54, NewEmisData!$D:$D, AC$6)</f>
        <v>1.15043111371947</v>
      </c>
      <c r="AD54" s="1111">
        <f t="shared" si="18"/>
        <v>1.15043111371947</v>
      </c>
      <c r="AE54" s="1111">
        <f t="shared" si="70"/>
        <v>2.8349118417612802E-2</v>
      </c>
      <c r="AF54" s="1111">
        <f>SUMIFS(NewEmisData!E:E, NewEmisData!$A:$A, $G54, NewEmisData!$B:$B, $A54, NewEmisData!$C:$C, $H54, NewEmisData!$D:$D, AF$6)</f>
        <v>2.8349118417612802E-2</v>
      </c>
      <c r="AG54" s="1111">
        <f>SUMIFS(NewEmisData!F:F, NewEmisData!$A:$A, $G54, NewEmisData!$B:$B, $A54, NewEmisData!$C:$C, $H54, NewEmisData!$D:$D, AG$6)</f>
        <v>2.7649475988106201E-2</v>
      </c>
      <c r="AH54" s="1111">
        <f>SUMIFS(NewEmisData!G:G, NewEmisData!$A:$A, $G54, NewEmisData!$B:$B, $A54, NewEmisData!$C:$C, $H54, NewEmisData!$D:$D, AH$6)</f>
        <v>2.4041393237435399E-2</v>
      </c>
      <c r="AI54" s="1111">
        <f>SUMIFS(NewEmisData!H:H, NewEmisData!$A:$A, $G54, NewEmisData!$B:$B, $A54, NewEmisData!$C:$C, $H54, NewEmisData!$D:$D, AI$6)</f>
        <v>2.3674756516432201E-2</v>
      </c>
      <c r="AJ54" s="1111">
        <f>SUMIFS(NewEmisData!I:I, NewEmisData!$A:$A, $G54, NewEmisData!$B:$B, $A54, NewEmisData!$C:$C, $H54, NewEmisData!$D:$D, AJ$6)</f>
        <v>2.3163709294895699E-2</v>
      </c>
      <c r="AK54" s="1111">
        <f>SUMIFS(NewEmisData!J:J, NewEmisData!$A:$A, $G54, NewEmisData!$B:$B, $A54, NewEmisData!$C:$C, $H54, NewEmisData!$D:$D, AK$6)</f>
        <v>2.30411322742359E-2</v>
      </c>
      <c r="AL54" s="1111">
        <f>SUMIFS(NewEmisData!K:K, NewEmisData!$A:$A, $G54, NewEmisData!$B:$B, $A54, NewEmisData!$C:$C, $H54, NewEmisData!$D:$D, AL$6)</f>
        <v>2.30104772532812E-2</v>
      </c>
      <c r="AM54" s="1111">
        <f>SUMIFS(NewEmisData!L:L, NewEmisData!$A:$A, $G54, NewEmisData!$B:$B, $A54, NewEmisData!$C:$C, $H54, NewEmisData!$D:$D, AM$6)</f>
        <v>2.3006075572322301E-2</v>
      </c>
      <c r="AN54" s="1111">
        <f>SUMIFS(NewEmisData!M:M, NewEmisData!$A:$A, $G54, NewEmisData!$B:$B, $A54, NewEmisData!$C:$C, $H54, NewEmisData!$D:$D, AN$6)</f>
        <v>2.30058103409179E-2</v>
      </c>
      <c r="AO54" s="1111">
        <f t="shared" si="71"/>
        <v>2.30058103409179E-2</v>
      </c>
      <c r="AP54" s="1111">
        <f t="shared" si="72"/>
        <v>0.73529708323819798</v>
      </c>
      <c r="AQ54" s="1111">
        <f>SUMIFS(NewEmisData!E:E, NewEmisData!$A:$A, $G54, NewEmisData!$B:$B, $A54, NewEmisData!$C:$C, $H54, NewEmisData!$D:$D, AQ$6)</f>
        <v>0.73529708323819798</v>
      </c>
      <c r="AR54" s="1111">
        <f>SUMIFS(NewEmisData!F:F, NewEmisData!$A:$A, $G54, NewEmisData!$B:$B, $A54, NewEmisData!$C:$C, $H54, NewEmisData!$D:$D, AR$6)</f>
        <v>0.50377232353792301</v>
      </c>
      <c r="AS54" s="1111">
        <f>SUMIFS(NewEmisData!G:G, NewEmisData!$A:$A, $G54, NewEmisData!$B:$B, $A54, NewEmisData!$C:$C, $H54, NewEmisData!$D:$D, AS$6)</f>
        <v>0.46277242259546703</v>
      </c>
      <c r="AT54" s="1111">
        <f>SUMIFS(NewEmisData!H:H, NewEmisData!$A:$A, $G54, NewEmisData!$B:$B, $A54, NewEmisData!$C:$C, $H54, NewEmisData!$D:$D, AT$6)</f>
        <v>0.460021400855742</v>
      </c>
      <c r="AU54" s="1111">
        <f>SUMIFS(NewEmisData!I:I, NewEmisData!$A:$A, $G54, NewEmisData!$B:$B, $A54, NewEmisData!$C:$C, $H54, NewEmisData!$D:$D, AU$6)</f>
        <v>0.452859239004402</v>
      </c>
      <c r="AV54" s="1111">
        <f>SUMIFS(NewEmisData!J:J, NewEmisData!$A:$A, $G54, NewEmisData!$B:$B, $A54, NewEmisData!$C:$C, $H54, NewEmisData!$D:$D, AV$6)</f>
        <v>0.451173530693247</v>
      </c>
      <c r="AW54" s="1111">
        <f>SUMIFS(NewEmisData!K:K, NewEmisData!$A:$A, $G54, NewEmisData!$B:$B, $A54, NewEmisData!$C:$C, $H54, NewEmisData!$D:$D, AW$6)</f>
        <v>0.450827249569491</v>
      </c>
      <c r="AX54" s="1111">
        <f>SUMIFS(NewEmisData!L:L, NewEmisData!$A:$A, $G54, NewEmisData!$B:$B, $A54, NewEmisData!$C:$C, $H54, NewEmisData!$D:$D, AX$6)</f>
        <v>0.45077517726501898</v>
      </c>
      <c r="AY54" s="1111">
        <f>SUMIFS(NewEmisData!M:M, NewEmisData!$A:$A, $G54, NewEmisData!$B:$B, $A54, NewEmisData!$C:$C, $H54, NewEmisData!$D:$D, AY$6)</f>
        <v>0.45078915116546198</v>
      </c>
      <c r="AZ54" s="1111">
        <f t="shared" si="73"/>
        <v>0.45078915116546198</v>
      </c>
      <c r="BA54" s="1111">
        <f t="shared" si="74"/>
        <v>0.32686256972546901</v>
      </c>
      <c r="BB54" s="1111">
        <f>SUMIFS(NewEmisData!E:E, NewEmisData!$A:$A, $G54, NewEmisData!$B:$B, $A54, NewEmisData!$C:$C, $H54, NewEmisData!$D:$D, BB$6)</f>
        <v>0.32686256972546901</v>
      </c>
      <c r="BC54" s="1111">
        <f>SUMIFS(NewEmisData!F:F, NewEmisData!$A:$A, $G54, NewEmisData!$B:$B, $A54, NewEmisData!$C:$C, $H54, NewEmisData!$D:$D, BC$6)</f>
        <v>0.12210843934221401</v>
      </c>
      <c r="BD54" s="1111">
        <f>SUMIFS(NewEmisData!G:G, NewEmisData!$A:$A, $G54, NewEmisData!$B:$B, $A54, NewEmisData!$C:$C, $H54, NewEmisData!$D:$D, BD$6)</f>
        <v>6.7146210191433603E-2</v>
      </c>
      <c r="BE54" s="1111">
        <f>SUMIFS(NewEmisData!H:H, NewEmisData!$A:$A, $G54, NewEmisData!$B:$B, $A54, NewEmisData!$C:$C, $H54, NewEmisData!$D:$D, BE$6)</f>
        <v>6.6587970120787598E-2</v>
      </c>
      <c r="BF54" s="1111">
        <f>SUMIFS(NewEmisData!I:I, NewEmisData!$A:$A, $G54, NewEmisData!$B:$B, $A54, NewEmisData!$C:$C, $H54, NewEmisData!$D:$D, BF$6)</f>
        <v>6.5405051516030002E-2</v>
      </c>
      <c r="BG54" s="1111">
        <f>SUMIFS(NewEmisData!J:J, NewEmisData!$A:$A, $G54, NewEmisData!$B:$B, $A54, NewEmisData!$C:$C, $H54, NewEmisData!$D:$D, BG$6)</f>
        <v>6.5233637829240507E-2</v>
      </c>
      <c r="BH54" s="1111">
        <f>SUMIFS(NewEmisData!K:K, NewEmisData!$A:$A, $G54, NewEmisData!$B:$B, $A54, NewEmisData!$C:$C, $H54, NewEmisData!$D:$D, BH$6)</f>
        <v>6.5212571890131396E-2</v>
      </c>
      <c r="BI54" s="1111">
        <f>SUMIFS(NewEmisData!L:L, NewEmisData!$A:$A, $G54, NewEmisData!$B:$B, $A54, NewEmisData!$C:$C, $H54, NewEmisData!$D:$D, BI$6)</f>
        <v>6.5238116883072003E-2</v>
      </c>
      <c r="BJ54" s="1111">
        <f>SUMIFS(NewEmisData!M:M, NewEmisData!$A:$A, $G54, NewEmisData!$B:$B, $A54, NewEmisData!$C:$C, $H54, NewEmisData!$D:$D, BJ$6)</f>
        <v>6.5252352689838797E-2</v>
      </c>
      <c r="BK54" s="1111">
        <f t="shared" si="75"/>
        <v>6.5252352689838797E-2</v>
      </c>
      <c r="BL54" s="1111">
        <f t="shared" si="76"/>
        <v>130.83848080286899</v>
      </c>
      <c r="BM54" s="1111">
        <f>SUMIFS(NewEmisData!E:E, NewEmisData!$A:$A, $G54, NewEmisData!$B:$B, $A54, NewEmisData!$C:$C, $H54, NewEmisData!$D:$D, BM$6)</f>
        <v>130.83848080286899</v>
      </c>
      <c r="BN54" s="1111">
        <f>SUMIFS(NewEmisData!F:F, NewEmisData!$A:$A, $G54, NewEmisData!$B:$B, $A54, NewEmisData!$C:$C, $H54, NewEmisData!$D:$D, BN$6)</f>
        <v>69.1513563753808</v>
      </c>
      <c r="BO54" s="1111">
        <f>SUMIFS(NewEmisData!G:G, NewEmisData!$A:$A, $G54, NewEmisData!$B:$B, $A54, NewEmisData!$C:$C, $H54, NewEmisData!$D:$D, BO$6)</f>
        <v>19.817984760190502</v>
      </c>
      <c r="BP54" s="1111">
        <f>SUMIFS(NewEmisData!H:H, NewEmisData!$A:$A, $G54, NewEmisData!$B:$B, $A54, NewEmisData!$C:$C, $H54, NewEmisData!$D:$D, BP$6)</f>
        <v>17.220719333709599</v>
      </c>
      <c r="BQ54" s="1111">
        <f>SUMIFS(NewEmisData!I:I, NewEmisData!$A:$A, $G54, NewEmisData!$B:$B, $A54, NewEmisData!$C:$C, $H54, NewEmisData!$D:$D, BQ$6)</f>
        <v>17.138637099239801</v>
      </c>
      <c r="BR54" s="1111">
        <f>SUMIFS(NewEmisData!J:J, NewEmisData!$A:$A, $G54, NewEmisData!$B:$B, $A54, NewEmisData!$C:$C, $H54, NewEmisData!$D:$D, BR$6)</f>
        <v>17.632152503072199</v>
      </c>
      <c r="BS54" s="1111">
        <f>SUMIFS(NewEmisData!K:K, NewEmisData!$A:$A, $G54, NewEmisData!$B:$B, $A54, NewEmisData!$C:$C, $H54, NewEmisData!$D:$D, BS$6)</f>
        <v>17.755687797126999</v>
      </c>
      <c r="BT54" s="1111">
        <f>SUMIFS(NewEmisData!L:L, NewEmisData!$A:$A, $G54, NewEmisData!$B:$B, $A54, NewEmisData!$C:$C, $H54, NewEmisData!$D:$D, BT$6)</f>
        <v>17.941584451804498</v>
      </c>
      <c r="BU54" s="1111">
        <f>SUMIFS(NewEmisData!M:M, NewEmisData!$A:$A, $G54, NewEmisData!$B:$B, $A54, NewEmisData!$C:$C, $H54, NewEmisData!$D:$D, BU$6)</f>
        <v>18.0048069260293</v>
      </c>
      <c r="BV54" s="1111">
        <f t="shared" si="83"/>
        <v>18.0048069260293</v>
      </c>
      <c r="BW54" s="1111">
        <f t="shared" si="77"/>
        <v>10.6632197589814</v>
      </c>
      <c r="BX54" s="1111">
        <f>SUMIFS(NewEmisData!E:E, NewEmisData!$A:$A, $G54, NewEmisData!$B:$B, $A54, NewEmisData!$C:$C, $H54, NewEmisData!$D:$D, BX$6)</f>
        <v>10.6632197589814</v>
      </c>
      <c r="BY54" s="1111">
        <f>SUMIFS(NewEmisData!F:F, NewEmisData!$A:$A, $G54, NewEmisData!$B:$B, $A54, NewEmisData!$C:$C, $H54, NewEmisData!$D:$D, BY$6)</f>
        <v>4.8239495150941396</v>
      </c>
      <c r="BZ54" s="1111">
        <f>SUMIFS(NewEmisData!G:G, NewEmisData!$A:$A, $G54, NewEmisData!$B:$B, $A54, NewEmisData!$C:$C, $H54, NewEmisData!$D:$D, BZ$6)</f>
        <v>0.81908851058061705</v>
      </c>
      <c r="CA54" s="1111">
        <f>SUMIFS(NewEmisData!H:H, NewEmisData!$A:$A, $G54, NewEmisData!$B:$B, $A54, NewEmisData!$C:$C, $H54, NewEmisData!$D:$D, CA$6)</f>
        <v>0.62586158145999404</v>
      </c>
      <c r="CB54" s="1111">
        <f>SUMIFS(NewEmisData!I:I, NewEmisData!$A:$A, $G54, NewEmisData!$B:$B, $A54, NewEmisData!$C:$C, $H54, NewEmisData!$D:$D, CB$6)</f>
        <v>0.57122462058997703</v>
      </c>
      <c r="CC54" s="1111">
        <f>SUMIFS(NewEmisData!J:J, NewEmisData!$A:$A, $G54, NewEmisData!$B:$B, $A54, NewEmisData!$C:$C, $H54, NewEmisData!$D:$D, CC$6)</f>
        <v>0.56704170620868999</v>
      </c>
      <c r="CD54" s="1111">
        <f>SUMIFS(NewEmisData!K:K, NewEmisData!$A:$A, $G54, NewEmisData!$B:$B, $A54, NewEmisData!$C:$C, $H54, NewEmisData!$D:$D, CD$6)</f>
        <v>0.56343324146208396</v>
      </c>
      <c r="CE54" s="1111">
        <f>SUMIFS(NewEmisData!L:L, NewEmisData!$A:$A, $G54, NewEmisData!$B:$B, $A54, NewEmisData!$C:$C, $H54, NewEmisData!$D:$D, CE$6)</f>
        <v>0.56643140863739405</v>
      </c>
      <c r="CF54" s="1111">
        <f>SUMIFS(NewEmisData!M:M, NewEmisData!$A:$A, $G54, NewEmisData!$B:$B, $A54, NewEmisData!$C:$C, $H54, NewEmisData!$D:$D, CF$6)</f>
        <v>0.56703635625762505</v>
      </c>
      <c r="CG54" s="1111">
        <f t="shared" si="78"/>
        <v>0.56703635625762505</v>
      </c>
      <c r="CH54" s="1111">
        <f t="shared" si="79"/>
        <v>5.78767923405668E-2</v>
      </c>
      <c r="CI54" s="1111">
        <f>SUMIFS(NewEmisData!E:E, NewEmisData!$A:$A, $G54, NewEmisData!$B:$B, $A54, NewEmisData!$C:$C, $H54, NewEmisData!$D:$D, CI$6)</f>
        <v>5.78767923405668E-2</v>
      </c>
      <c r="CJ54" s="1111">
        <f>SUMIFS(NewEmisData!F:F, NewEmisData!$A:$A, $G54, NewEmisData!$B:$B, $A54, NewEmisData!$C:$C, $H54, NewEmisData!$D:$D, CJ$6)</f>
        <v>5.7878614167795599E-2</v>
      </c>
      <c r="CK54" s="1111">
        <f>SUMIFS(NewEmisData!G:G, NewEmisData!$A:$A, $G54, NewEmisData!$B:$B, $A54, NewEmisData!$C:$C, $H54, NewEmisData!$D:$D, CK$6)</f>
        <v>6.6011734406023898E-2</v>
      </c>
      <c r="CL54" s="1111">
        <f>SUMIFS(NewEmisData!H:H, NewEmisData!$A:$A, $G54, NewEmisData!$B:$B, $A54, NewEmisData!$C:$C, $H54, NewEmisData!$D:$D, CL$6)</f>
        <v>6.6011880543447907E-2</v>
      </c>
      <c r="CM54" s="1111">
        <f>SUMIFS(NewEmisData!I:I, NewEmisData!$A:$A, $G54, NewEmisData!$B:$B, $A54, NewEmisData!$C:$C, $H54, NewEmisData!$D:$D, CM$6)</f>
        <v>6.60108416242811E-2</v>
      </c>
      <c r="CN54" s="1111">
        <f>SUMIFS(NewEmisData!J:J, NewEmisData!$A:$A, $G54, NewEmisData!$B:$B, $A54, NewEmisData!$C:$C, $H54, NewEmisData!$D:$D, CN$6)</f>
        <v>6.6010592604017995E-2</v>
      </c>
      <c r="CO54" s="1111">
        <f>SUMIFS(NewEmisData!K:K, NewEmisData!$A:$A, $G54, NewEmisData!$B:$B, $A54, NewEmisData!$C:$C, $H54, NewEmisData!$D:$D, CO$6)</f>
        <v>6.6010460965888904E-2</v>
      </c>
      <c r="CP54" s="1111">
        <f>SUMIFS(NewEmisData!L:L, NewEmisData!$A:$A, $G54, NewEmisData!$B:$B, $A54, NewEmisData!$C:$C, $H54, NewEmisData!$D:$D, CP$6)</f>
        <v>6.6010507177606106E-2</v>
      </c>
      <c r="CQ54" s="1111">
        <f>SUMIFS(NewEmisData!M:M, NewEmisData!$A:$A, $G54, NewEmisData!$B:$B, $A54, NewEmisData!$C:$C, $H54, NewEmisData!$D:$D, CQ$6)</f>
        <v>6.6010478652079901E-2</v>
      </c>
      <c r="CR54" s="1111">
        <f t="shared" si="80"/>
        <v>6.6010478652079901E-2</v>
      </c>
      <c r="CS54" s="1111">
        <f t="shared" si="81"/>
        <v>0.136220551325273</v>
      </c>
      <c r="CT54" s="1111">
        <f>SUMIFS(NewEmisData!E:E, NewEmisData!$A:$A, $G54, NewEmisData!$B:$B, $A54, NewEmisData!$C:$C, $H54, NewEmisData!$D:$D, CT$6)</f>
        <v>0.136220551325273</v>
      </c>
      <c r="CU54" s="1111">
        <f>SUMIFS(NewEmisData!F:F, NewEmisData!$A:$A, $G54, NewEmisData!$B:$B, $A54, NewEmisData!$C:$C, $H54, NewEmisData!$D:$D, CU$6)</f>
        <v>7.8581411328771694E-2</v>
      </c>
      <c r="CV54" s="1111">
        <f>SUMIFS(NewEmisData!G:G, NewEmisData!$A:$A, $G54, NewEmisData!$B:$B, $A54, NewEmisData!$C:$C, $H54, NewEmisData!$D:$D, CV$6)</f>
        <v>2.7901639783808298E-2</v>
      </c>
      <c r="CW54" s="1111">
        <f>SUMIFS(NewEmisData!H:H, NewEmisData!$A:$A, $G54, NewEmisData!$B:$B, $A54, NewEmisData!$C:$C, $H54, NewEmisData!$D:$D, CW$6)</f>
        <v>1.918958657892E-2</v>
      </c>
      <c r="CX54" s="1111">
        <f>SUMIFS(NewEmisData!I:I, NewEmisData!$A:$A, $G54, NewEmisData!$B:$B, $A54, NewEmisData!$C:$C, $H54, NewEmisData!$D:$D, CX$6)</f>
        <v>1.63653759329912E-2</v>
      </c>
      <c r="CY54" s="1111">
        <f>SUMIFS(NewEmisData!J:J, NewEmisData!$A:$A, $G54, NewEmisData!$B:$B, $A54, NewEmisData!$C:$C, $H54, NewEmisData!$D:$D, CY$6)</f>
        <v>1.5904522358171299E-2</v>
      </c>
      <c r="CZ54" s="1111">
        <f>SUMIFS(NewEmisData!K:K, NewEmisData!$A:$A, $G54, NewEmisData!$B:$B, $A54, NewEmisData!$C:$C, $H54, NewEmisData!$D:$D, CZ$6)</f>
        <v>1.55783654289861E-2</v>
      </c>
      <c r="DA54" s="1111">
        <f>SUMIFS(NewEmisData!L:L, NewEmisData!$A:$A, $G54, NewEmisData!$B:$B, $A54, NewEmisData!$C:$C, $H54, NewEmisData!$D:$D, DA$6)</f>
        <v>1.5635092695124999E-2</v>
      </c>
      <c r="DB54" s="1111">
        <f>SUMIFS(NewEmisData!M:M, NewEmisData!$A:$A, $G54, NewEmisData!$B:$B, $A54, NewEmisData!$C:$C, $H54, NewEmisData!$D:$D, DB$6)</f>
        <v>1.5654923502366299E-2</v>
      </c>
      <c r="DC54" s="1111">
        <f t="shared" si="84"/>
        <v>1.5654923502366299E-2</v>
      </c>
      <c r="DD54" s="1111"/>
      <c r="DE54" s="1111"/>
      <c r="DF54" s="1111"/>
      <c r="DG54" s="1111"/>
      <c r="DH54" s="1111"/>
      <c r="DI54" s="1111"/>
      <c r="DJ54" s="1111"/>
      <c r="DK54" s="1111"/>
      <c r="DL54" s="1111"/>
      <c r="DM54" s="1111"/>
      <c r="DN54" s="1111"/>
      <c r="DO54" s="1111"/>
      <c r="DP54" s="1111"/>
      <c r="DQ54" s="1111"/>
      <c r="DR54" s="1111"/>
      <c r="DS54" s="1111"/>
      <c r="DT54" s="1111"/>
      <c r="DU54" s="1111"/>
      <c r="DV54" s="1111"/>
      <c r="DW54" s="1111"/>
      <c r="DX54" s="1111"/>
      <c r="DY54" s="1111"/>
      <c r="DZ54" s="1111">
        <f t="shared" si="85"/>
        <v>0.62504346102021602</v>
      </c>
      <c r="EA54" s="1111">
        <f>SUMIFS(NewEmisData!E:E, NewEmisData!$A:$A, $G54, NewEmisData!$B:$B, $A54, NewEmisData!$C:$C, $H54, NewEmisData!$D:$D, EA$6)</f>
        <v>0.62504346102021602</v>
      </c>
      <c r="EB54" s="1111">
        <f>SUMIFS(NewEmisData!F:F, NewEmisData!$A:$A, $G54, NewEmisData!$B:$B, $A54, NewEmisData!$C:$C, $H54, NewEmisData!$D:$D, EB$6)</f>
        <v>0.23204922511968301</v>
      </c>
      <c r="EC54" s="1111">
        <f>SUMIFS(NewEmisData!G:G, NewEmisData!$A:$A, $G54, NewEmisData!$B:$B, $A54, NewEmisData!$C:$C, $H54, NewEmisData!$D:$D, EC$6)</f>
        <v>1.8847290687364501E-2</v>
      </c>
      <c r="ED54" s="1111">
        <f>SUMIFS(NewEmisData!H:H, NewEmisData!$A:$A, $G54, NewEmisData!$B:$B, $A54, NewEmisData!$C:$C, $H54, NewEmisData!$D:$D, ED$6)</f>
        <v>1.50181456752262E-2</v>
      </c>
      <c r="EE54" s="1111">
        <f>SUMIFS(NewEmisData!I:I, NewEmisData!$A:$A, $G54, NewEmisData!$B:$B, $A54, NewEmisData!$C:$C, $H54, NewEmisData!$D:$D, EE$6)</f>
        <v>1.46208045841804E-2</v>
      </c>
      <c r="EF54" s="1111">
        <f>SUMIFS(NewEmisData!J:J, NewEmisData!$A:$A, $G54, NewEmisData!$B:$B, $A54, NewEmisData!$C:$C, $H54, NewEmisData!$D:$D, EF$6)</f>
        <v>1.49239047594049E-2</v>
      </c>
      <c r="EG54" s="1111">
        <f>SUMIFS(NewEmisData!K:K, NewEmisData!$A:$A, $G54, NewEmisData!$B:$B, $A54, NewEmisData!$C:$C, $H54, NewEmisData!$D:$D, EG$6)</f>
        <v>1.5019413019286301E-2</v>
      </c>
      <c r="EH54" s="1111">
        <f>SUMIFS(NewEmisData!L:L, NewEmisData!$A:$A, $G54, NewEmisData!$B:$B, $A54, NewEmisData!$C:$C, $H54, NewEmisData!$D:$D, EH$6)</f>
        <v>1.5153092065068799E-2</v>
      </c>
      <c r="EI54" s="1111">
        <f>SUMIFS(NewEmisData!M:M, NewEmisData!$A:$A, $G54, NewEmisData!$B:$B, $A54, NewEmisData!$C:$C, $H54, NewEmisData!$D:$D, EI$6)</f>
        <v>1.5197280715758399E-2</v>
      </c>
      <c r="EJ54" s="1111">
        <f t="shared" si="86"/>
        <v>1.5197280715758399E-2</v>
      </c>
      <c r="EK54" s="1111">
        <f t="shared" si="87"/>
        <v>1638.3455086040899</v>
      </c>
      <c r="EL54" s="1111">
        <f t="shared" si="48"/>
        <v>1638.3455086040899</v>
      </c>
      <c r="EM54" s="1111">
        <f t="shared" si="49"/>
        <v>1597.91146698485</v>
      </c>
      <c r="EN54" s="1111">
        <f t="shared" si="50"/>
        <v>1675.8815285015601</v>
      </c>
      <c r="EO54" s="1111">
        <f t="shared" si="51"/>
        <v>1650.32431693742</v>
      </c>
      <c r="EP54" s="1111">
        <f t="shared" si="52"/>
        <v>1614.69992415768</v>
      </c>
      <c r="EQ54" s="1111">
        <f t="shared" si="53"/>
        <v>1606.15558948889</v>
      </c>
      <c r="ER54" s="1111">
        <f t="shared" si="54"/>
        <v>1604.0186206973899</v>
      </c>
      <c r="ES54" s="1111">
        <f t="shared" si="55"/>
        <v>1603.71196653328</v>
      </c>
      <c r="ET54" s="1111">
        <f t="shared" si="56"/>
        <v>1603.6927150798599</v>
      </c>
      <c r="EU54" s="1111">
        <f t="shared" si="57"/>
        <v>1603.6927150798599</v>
      </c>
      <c r="EV54" s="1111">
        <f t="shared" si="88"/>
        <v>9.1319765062058504</v>
      </c>
      <c r="EW54" s="1111">
        <f t="shared" si="38"/>
        <v>9.1319765062058504</v>
      </c>
      <c r="EX54" s="1111">
        <f t="shared" si="39"/>
        <v>5.5211126740351997</v>
      </c>
      <c r="EY54" s="1111">
        <f t="shared" si="40"/>
        <v>1.6178749329459601</v>
      </c>
      <c r="EZ54" s="1111">
        <f t="shared" si="41"/>
        <v>1.2717662893164099</v>
      </c>
      <c r="FA54" s="1111">
        <f t="shared" si="42"/>
        <v>1.1726866302876999</v>
      </c>
      <c r="FB54" s="1111">
        <f t="shared" si="43"/>
        <v>1.1568218913658399</v>
      </c>
      <c r="FC54" s="1111">
        <f t="shared" si="44"/>
        <v>1.1498419858081399</v>
      </c>
      <c r="FD54" s="1111">
        <f t="shared" si="45"/>
        <v>1.1502565377520699</v>
      </c>
      <c r="FE54" s="1111">
        <f t="shared" si="46"/>
        <v>1.15043111371947</v>
      </c>
      <c r="FF54" s="1111">
        <f t="shared" si="47"/>
        <v>1.15043111371947</v>
      </c>
      <c r="FG54" s="1111">
        <f t="shared" si="100"/>
        <v>2.8349118417612802E-2</v>
      </c>
      <c r="FH54" s="1111">
        <f t="shared" si="101"/>
        <v>2.8349118417612802E-2</v>
      </c>
      <c r="FI54" s="1111">
        <f t="shared" si="102"/>
        <v>2.7649475988106201E-2</v>
      </c>
      <c r="FJ54" s="1111">
        <f t="shared" si="103"/>
        <v>2.4041393237435399E-2</v>
      </c>
      <c r="FK54" s="1111">
        <f t="shared" si="104"/>
        <v>2.3674756516432201E-2</v>
      </c>
      <c r="FL54" s="1111">
        <f t="shared" si="105"/>
        <v>2.3163709294895699E-2</v>
      </c>
      <c r="FM54" s="1111">
        <f t="shared" si="106"/>
        <v>2.30411322742359E-2</v>
      </c>
      <c r="FN54" s="1111">
        <f t="shared" si="107"/>
        <v>2.30104772532812E-2</v>
      </c>
      <c r="FO54" s="1111">
        <f t="shared" si="108"/>
        <v>2.3006075572322301E-2</v>
      </c>
      <c r="FP54" s="1111">
        <f t="shared" si="109"/>
        <v>2.30058103409179E-2</v>
      </c>
      <c r="FQ54" s="1111">
        <f t="shared" si="110"/>
        <v>2.30058103409179E-2</v>
      </c>
      <c r="FR54" s="1111">
        <f t="shared" si="25"/>
        <v>0.73529708323819798</v>
      </c>
      <c r="FS54" s="1111">
        <f t="shared" si="26"/>
        <v>0.73529708323819798</v>
      </c>
      <c r="FT54" s="1111">
        <f t="shared" si="27"/>
        <v>0.50377232353792301</v>
      </c>
      <c r="FU54" s="1111">
        <f t="shared" si="28"/>
        <v>0.46277242259546703</v>
      </c>
      <c r="FV54" s="1111">
        <f t="shared" si="29"/>
        <v>0.460021400855742</v>
      </c>
      <c r="FW54" s="1111">
        <f t="shared" si="30"/>
        <v>0.452859239004402</v>
      </c>
      <c r="FX54" s="1111">
        <f t="shared" si="31"/>
        <v>0.451173530693247</v>
      </c>
      <c r="FY54" s="1111">
        <f t="shared" si="32"/>
        <v>0.450827249569491</v>
      </c>
      <c r="FZ54" s="1111">
        <f t="shared" si="33"/>
        <v>0.45077517726501898</v>
      </c>
      <c r="GA54" s="1111">
        <f t="shared" si="34"/>
        <v>0.45078915116546198</v>
      </c>
      <c r="GB54" s="1111">
        <f t="shared" si="35"/>
        <v>0.45078915116546198</v>
      </c>
      <c r="GC54" s="1111">
        <f t="shared" si="59"/>
        <v>0.32686256972546901</v>
      </c>
      <c r="GD54" s="1111">
        <f t="shared" si="60"/>
        <v>0.32686256972546901</v>
      </c>
      <c r="GE54" s="1111">
        <f t="shared" si="61"/>
        <v>0.12210843934221401</v>
      </c>
      <c r="GF54" s="1111">
        <f t="shared" si="62"/>
        <v>6.7146210191433603E-2</v>
      </c>
      <c r="GG54" s="1111">
        <f t="shared" si="63"/>
        <v>6.6587970120787598E-2</v>
      </c>
      <c r="GH54" s="1111">
        <f t="shared" si="64"/>
        <v>6.5405051516030002E-2</v>
      </c>
      <c r="GI54" s="1111">
        <f t="shared" si="65"/>
        <v>6.5233637829240507E-2</v>
      </c>
      <c r="GJ54" s="1111">
        <f t="shared" si="66"/>
        <v>6.5212571890131396E-2</v>
      </c>
      <c r="GK54" s="1111">
        <f t="shared" si="67"/>
        <v>6.5238116883072003E-2</v>
      </c>
      <c r="GL54" s="1111">
        <f t="shared" si="68"/>
        <v>6.5252352689838797E-2</v>
      </c>
      <c r="GM54" s="1111">
        <f t="shared" si="69"/>
        <v>6.5252352689838797E-2</v>
      </c>
    </row>
    <row r="55" spans="1:195" x14ac:dyDescent="0.2">
      <c r="A55" s="1071" t="s">
        <v>188</v>
      </c>
      <c r="B55" s="1071" t="str">
        <f>Technologies!C139</f>
        <v>THSCNGE</v>
      </c>
      <c r="C55" s="1071" t="str">
        <f>Technologies!D139</f>
        <v>Heavy Truck, Short Haul, CNG exisiting</v>
      </c>
      <c r="D55" s="1071" t="str">
        <f>TechData!D23</f>
        <v>bn-vmt, bn-vmt/a</v>
      </c>
      <c r="E55" s="1071" t="str">
        <f>Commodities!C55</f>
        <v>TBCNG</v>
      </c>
      <c r="F55" s="1071" t="s">
        <v>98</v>
      </c>
      <c r="G55" s="1110" t="s">
        <v>505</v>
      </c>
      <c r="H55" s="1111" t="s">
        <v>500</v>
      </c>
      <c r="I55" s="1112">
        <v>1</v>
      </c>
      <c r="J55" s="1111" t="str">
        <f t="shared" si="37"/>
        <v>Heavy duty short haul truck-GSL</v>
      </c>
      <c r="K55" s="1111">
        <f>SUMIFS(NewEmisData!E:E, NewEmisData!$A:$A, $G55, NewEmisData!$B:$B, $A55, NewEmisData!$C:$C, $H55, NewEmisData!$D:$D, K$6)</f>
        <v>1245.3418505198399</v>
      </c>
      <c r="L55" s="1111">
        <f>SUMIFS(NewEmisData!F:F, NewEmisData!$A:$A, $G55, NewEmisData!$B:$B, $A55, NewEmisData!$C:$C, $H55, NewEmisData!$D:$D, L$6)</f>
        <v>1233.52680028807</v>
      </c>
      <c r="M55" s="1111">
        <f>SUMIFS(NewEmisData!G:G, NewEmisData!$A:$A, $G55, NewEmisData!$B:$B, $A55, NewEmisData!$C:$C, $H55, NewEmisData!$D:$D, M$6)</f>
        <v>1155.77413052821</v>
      </c>
      <c r="N55" s="1111">
        <f>SUMIFS(NewEmisData!H:H, NewEmisData!$A:$A, $G55, NewEmisData!$B:$B, $A55, NewEmisData!$C:$C, $H55, NewEmisData!$D:$D, N$6)</f>
        <v>1137.9436610154601</v>
      </c>
      <c r="O55" s="1111">
        <f>SUMIFS(NewEmisData!I:I, NewEmisData!$A:$A, $G55, NewEmisData!$B:$B, $A55, NewEmisData!$C:$C, $H55, NewEmisData!$D:$D, O$6)</f>
        <v>1112.6987382597499</v>
      </c>
      <c r="P55" s="1111">
        <f>SUMIFS(NewEmisData!J:J, NewEmisData!$A:$A, $G55, NewEmisData!$B:$B, $A55, NewEmisData!$C:$C, $H55, NewEmisData!$D:$D, P$6)</f>
        <v>1106.54119248744</v>
      </c>
      <c r="Q55" s="1111">
        <f>SUMIFS(NewEmisData!K:K, NewEmisData!$A:$A, $G55, NewEmisData!$B:$B, $A55, NewEmisData!$C:$C, $H55, NewEmisData!$D:$D, Q$6)</f>
        <v>1105.0069411203201</v>
      </c>
      <c r="R55" s="1111">
        <f>SUMIFS(NewEmisData!L:L, NewEmisData!$A:$A, $G55, NewEmisData!$B:$B, $A55, NewEmisData!$C:$C, $H55, NewEmisData!$D:$D, R$6)</f>
        <v>1104.77778091038</v>
      </c>
      <c r="S55" s="1111">
        <f>SUMIFS(NewEmisData!M:M, NewEmisData!$A:$A, $G55, NewEmisData!$B:$B, $A55, NewEmisData!$C:$C, $H55, NewEmisData!$D:$D, S$6)</f>
        <v>1104.7649925096</v>
      </c>
      <c r="T55" s="1111">
        <f t="shared" si="17"/>
        <v>1104.7649925096</v>
      </c>
      <c r="U55" s="1111">
        <f>SUMIFS(NewEmisData!E:E, NewEmisData!$A:$A, $G55, NewEmisData!$B:$B, $A55, NewEmisData!$C:$C, $H55, NewEmisData!$D:$D, U$6)</f>
        <v>4.9618269183312798</v>
      </c>
      <c r="V55" s="1111">
        <f>SUMIFS(NewEmisData!F:F, NewEmisData!$A:$A, $G55, NewEmisData!$B:$B, $A55, NewEmisData!$C:$C, $H55, NewEmisData!$D:$D, V$6)</f>
        <v>3.5223524226374598</v>
      </c>
      <c r="W55" s="1111">
        <f>SUMIFS(NewEmisData!G:G, NewEmisData!$A:$A, $G55, NewEmisData!$B:$B, $A55, NewEmisData!$C:$C, $H55, NewEmisData!$D:$D, W$6)</f>
        <v>1.2618027970035901</v>
      </c>
      <c r="X55" s="1111">
        <f>SUMIFS(NewEmisData!H:H, NewEmisData!$A:$A, $G55, NewEmisData!$B:$B, $A55, NewEmisData!$C:$C, $H55, NewEmisData!$D:$D, X$6)</f>
        <v>0.99784143742540199</v>
      </c>
      <c r="Y55" s="1111">
        <f>SUMIFS(NewEmisData!I:I, NewEmisData!$A:$A, $G55, NewEmisData!$B:$B, $A55, NewEmisData!$C:$C, $H55, NewEmisData!$D:$D, Y$6)</f>
        <v>0.92115341275504903</v>
      </c>
      <c r="Z55" s="1111">
        <f>SUMIFS(NewEmisData!J:J, NewEmisData!$A:$A, $G55, NewEmisData!$B:$B, $A55, NewEmisData!$C:$C, $H55, NewEmisData!$D:$D, Z$6)</f>
        <v>0.90873745362837199</v>
      </c>
      <c r="AA55" s="1111">
        <f>SUMIFS(NewEmisData!K:K, NewEmisData!$A:$A, $G55, NewEmisData!$B:$B, $A55, NewEmisData!$C:$C, $H55, NewEmisData!$D:$D, AA$6)</f>
        <v>0.903404659383922</v>
      </c>
      <c r="AB55" s="1111">
        <f>SUMIFS(NewEmisData!L:L, NewEmisData!$A:$A, $G55, NewEmisData!$B:$B, $A55, NewEmisData!$C:$C, $H55, NewEmisData!$D:$D, AB$6)</f>
        <v>0.90367749375583695</v>
      </c>
      <c r="AC55" s="1111">
        <f>SUMIFS(NewEmisData!M:M, NewEmisData!$A:$A, $G55, NewEmisData!$B:$B, $A55, NewEmisData!$C:$C, $H55, NewEmisData!$D:$D, AC$6)</f>
        <v>0.90380303336619205</v>
      </c>
      <c r="AD55" s="1111">
        <f t="shared" si="18"/>
        <v>0.90380303336619205</v>
      </c>
      <c r="AE55" s="1111">
        <f t="shared" si="70"/>
        <v>2.2268353622481699E-2</v>
      </c>
      <c r="AF55" s="1111">
        <f>SUMIFS(NewEmisData!E:E, NewEmisData!$A:$A, $G55, NewEmisData!$B:$B, $A55, NewEmisData!$C:$C, $H55, NewEmisData!$D:$D, AF$6)</f>
        <v>2.2268353622481699E-2</v>
      </c>
      <c r="AG55" s="1111">
        <f>SUMIFS(NewEmisData!F:F, NewEmisData!$A:$A, $G55, NewEmisData!$B:$B, $A55, NewEmisData!$C:$C, $H55, NewEmisData!$D:$D, AG$6)</f>
        <v>2.15800397384973E-2</v>
      </c>
      <c r="AH55" s="1111">
        <f>SUMIFS(NewEmisData!G:G, NewEmisData!$A:$A, $G55, NewEmisData!$B:$B, $A55, NewEmisData!$C:$C, $H55, NewEmisData!$D:$D, AH$6)</f>
        <v>1.6580182769147099E-2</v>
      </c>
      <c r="AI55" s="1111">
        <f>SUMIFS(NewEmisData!H:H, NewEmisData!$A:$A, $G55, NewEmisData!$B:$B, $A55, NewEmisData!$C:$C, $H55, NewEmisData!$D:$D, AI$6)</f>
        <v>1.6324389370389901E-2</v>
      </c>
      <c r="AJ55" s="1111">
        <f>SUMIFS(NewEmisData!I:I, NewEmisData!$A:$A, $G55, NewEmisData!$B:$B, $A55, NewEmisData!$C:$C, $H55, NewEmisData!$D:$D, AJ$6)</f>
        <v>1.5962239345052798E-2</v>
      </c>
      <c r="AK55" s="1111">
        <f>SUMIFS(NewEmisData!J:J, NewEmisData!$A:$A, $G55, NewEmisData!$B:$B, $A55, NewEmisData!$C:$C, $H55, NewEmisData!$D:$D, AK$6)</f>
        <v>1.5873905588610002E-2</v>
      </c>
      <c r="AL55" s="1111">
        <f>SUMIFS(NewEmisData!K:K, NewEmisData!$A:$A, $G55, NewEmisData!$B:$B, $A55, NewEmisData!$C:$C, $H55, NewEmisData!$D:$D, AL$6)</f>
        <v>1.5851896144737601E-2</v>
      </c>
      <c r="AM55" s="1111">
        <f>SUMIFS(NewEmisData!L:L, NewEmisData!$A:$A, $G55, NewEmisData!$B:$B, $A55, NewEmisData!$C:$C, $H55, NewEmisData!$D:$D, AM$6)</f>
        <v>1.58486207061387E-2</v>
      </c>
      <c r="AN55" s="1111">
        <f>SUMIFS(NewEmisData!M:M, NewEmisData!$A:$A, $G55, NewEmisData!$B:$B, $A55, NewEmisData!$C:$C, $H55, NewEmisData!$D:$D, AN$6)</f>
        <v>1.5848421937017101E-2</v>
      </c>
      <c r="AO55" s="1111">
        <f t="shared" si="71"/>
        <v>1.5848421937017101E-2</v>
      </c>
      <c r="AP55" s="1111">
        <f t="shared" si="72"/>
        <v>0.316522847739098</v>
      </c>
      <c r="AQ55" s="1111">
        <f>SUMIFS(NewEmisData!E:E, NewEmisData!$A:$A, $G55, NewEmisData!$B:$B, $A55, NewEmisData!$C:$C, $H55, NewEmisData!$D:$D, AQ$6)</f>
        <v>0.316522847739098</v>
      </c>
      <c r="AR55" s="1111">
        <f>SUMIFS(NewEmisData!F:F, NewEmisData!$A:$A, $G55, NewEmisData!$B:$B, $A55, NewEmisData!$C:$C, $H55, NewEmisData!$D:$D, AR$6)</f>
        <v>0.296906260657962</v>
      </c>
      <c r="AS55" s="1111">
        <f>SUMIFS(NewEmisData!G:G, NewEmisData!$A:$A, $G55, NewEmisData!$B:$B, $A55, NewEmisData!$C:$C, $H55, NewEmisData!$D:$D, AS$6)</f>
        <v>0.23822746383424401</v>
      </c>
      <c r="AT55" s="1111">
        <f>SUMIFS(NewEmisData!H:H, NewEmisData!$A:$A, $G55, NewEmisData!$B:$B, $A55, NewEmisData!$C:$C, $H55, NewEmisData!$D:$D, AT$6)</f>
        <v>0.23861290236278199</v>
      </c>
      <c r="AU55" s="1111">
        <f>SUMIFS(NewEmisData!I:I, NewEmisData!$A:$A, $G55, NewEmisData!$B:$B, $A55, NewEmisData!$C:$C, $H55, NewEmisData!$D:$D, AU$6)</f>
        <v>0.23938243498850501</v>
      </c>
      <c r="AV55" s="1111">
        <f>SUMIFS(NewEmisData!J:J, NewEmisData!$A:$A, $G55, NewEmisData!$B:$B, $A55, NewEmisData!$C:$C, $H55, NewEmisData!$D:$D, AV$6)</f>
        <v>0.23966935323295199</v>
      </c>
      <c r="AW55" s="1111">
        <f>SUMIFS(NewEmisData!K:K, NewEmisData!$A:$A, $G55, NewEmisData!$B:$B, $A55, NewEmisData!$C:$C, $H55, NewEmisData!$D:$D, AW$6)</f>
        <v>0.239739729662128</v>
      </c>
      <c r="AX55" s="1111">
        <f>SUMIFS(NewEmisData!L:L, NewEmisData!$A:$A, $G55, NewEmisData!$B:$B, $A55, NewEmisData!$C:$C, $H55, NewEmisData!$D:$D, AX$6)</f>
        <v>0.239781897722738</v>
      </c>
      <c r="AY55" s="1111">
        <f>SUMIFS(NewEmisData!M:M, NewEmisData!$A:$A, $G55, NewEmisData!$B:$B, $A55, NewEmisData!$C:$C, $H55, NewEmisData!$D:$D, AY$6)</f>
        <v>0.23979416449461</v>
      </c>
      <c r="AZ55" s="1111">
        <f t="shared" si="73"/>
        <v>0.23979416449461</v>
      </c>
      <c r="BA55" s="1111">
        <f t="shared" si="74"/>
        <v>8.6551780570898199E-2</v>
      </c>
      <c r="BB55" s="1111">
        <f>SUMIFS(NewEmisData!E:E, NewEmisData!$A:$A, $G55, NewEmisData!$B:$B, $A55, NewEmisData!$C:$C, $H55, NewEmisData!$D:$D, BB$6)</f>
        <v>8.6551780570898199E-2</v>
      </c>
      <c r="BC55" s="1111">
        <f>SUMIFS(NewEmisData!F:F, NewEmisData!$A:$A, $G55, NewEmisData!$B:$B, $A55, NewEmisData!$C:$C, $H55, NewEmisData!$D:$D, BC$6)</f>
        <v>6.4372293434568101E-2</v>
      </c>
      <c r="BD55" s="1111">
        <f>SUMIFS(NewEmisData!G:G, NewEmisData!$A:$A, $G55, NewEmisData!$B:$B, $A55, NewEmisData!$C:$C, $H55, NewEmisData!$D:$D, BD$6)</f>
        <v>3.7426910923255501E-2</v>
      </c>
      <c r="BE55" s="1111">
        <f>SUMIFS(NewEmisData!H:H, NewEmisData!$A:$A, $G55, NewEmisData!$B:$B, $A55, NewEmisData!$C:$C, $H55, NewEmisData!$D:$D, BE$6)</f>
        <v>3.7415863467985699E-2</v>
      </c>
      <c r="BF55" s="1111">
        <f>SUMIFS(NewEmisData!I:I, NewEmisData!$A:$A, $G55, NewEmisData!$B:$B, $A55, NewEmisData!$C:$C, $H55, NewEmisData!$D:$D, BF$6)</f>
        <v>3.7155994555793902E-2</v>
      </c>
      <c r="BG55" s="1111">
        <f>SUMIFS(NewEmisData!J:J, NewEmisData!$A:$A, $G55, NewEmisData!$B:$B, $A55, NewEmisData!$C:$C, $H55, NewEmisData!$D:$D, BG$6)</f>
        <v>3.71692451762419E-2</v>
      </c>
      <c r="BH55" s="1111">
        <f>SUMIFS(NewEmisData!K:K, NewEmisData!$A:$A, $G55, NewEmisData!$B:$B, $A55, NewEmisData!$C:$C, $H55, NewEmisData!$D:$D, BH$6)</f>
        <v>3.71792258741903E-2</v>
      </c>
      <c r="BI55" s="1111">
        <f>SUMIFS(NewEmisData!L:L, NewEmisData!$A:$A, $G55, NewEmisData!$B:$B, $A55, NewEmisData!$C:$C, $H55, NewEmisData!$D:$D, BI$6)</f>
        <v>3.7203306400845099E-2</v>
      </c>
      <c r="BJ55" s="1111">
        <f>SUMIFS(NewEmisData!M:M, NewEmisData!$A:$A, $G55, NewEmisData!$B:$B, $A55, NewEmisData!$C:$C, $H55, NewEmisData!$D:$D, BJ$6)</f>
        <v>3.7213861680524402E-2</v>
      </c>
      <c r="BK55" s="1111">
        <f t="shared" si="75"/>
        <v>3.7213861680524402E-2</v>
      </c>
      <c r="BL55" s="1111">
        <f t="shared" si="76"/>
        <v>44.405857011560997</v>
      </c>
      <c r="BM55" s="1111">
        <f>SUMIFS(NewEmisData!E:E, NewEmisData!$A:$A, $G55, NewEmisData!$B:$B, $A55, NewEmisData!$C:$C, $H55, NewEmisData!$D:$D, BM$6)</f>
        <v>44.405857011560997</v>
      </c>
      <c r="BN55" s="1111">
        <f>SUMIFS(NewEmisData!F:F, NewEmisData!$A:$A, $G55, NewEmisData!$B:$B, $A55, NewEmisData!$C:$C, $H55, NewEmisData!$D:$D, BN$6)</f>
        <v>36.848029493126198</v>
      </c>
      <c r="BO55" s="1111">
        <f>SUMIFS(NewEmisData!G:G, NewEmisData!$A:$A, $G55, NewEmisData!$B:$B, $A55, NewEmisData!$C:$C, $H55, NewEmisData!$D:$D, BO$6)</f>
        <v>14.0750386718197</v>
      </c>
      <c r="BP55" s="1111">
        <f>SUMIFS(NewEmisData!H:H, NewEmisData!$A:$A, $G55, NewEmisData!$B:$B, $A55, NewEmisData!$C:$C, $H55, NewEmisData!$D:$D, BP$6)</f>
        <v>12.254998131296899</v>
      </c>
      <c r="BQ55" s="1111">
        <f>SUMIFS(NewEmisData!I:I, NewEmisData!$A:$A, $G55, NewEmisData!$B:$B, $A55, NewEmisData!$C:$C, $H55, NewEmisData!$D:$D, BQ$6)</f>
        <v>12.2179762392729</v>
      </c>
      <c r="BR55" s="1111">
        <f>SUMIFS(NewEmisData!J:J, NewEmisData!$A:$A, $G55, NewEmisData!$B:$B, $A55, NewEmisData!$C:$C, $H55, NewEmisData!$D:$D, BR$6)</f>
        <v>12.5483128548097</v>
      </c>
      <c r="BS55" s="1111">
        <f>SUMIFS(NewEmisData!K:K, NewEmisData!$A:$A, $G55, NewEmisData!$B:$B, $A55, NewEmisData!$C:$C, $H55, NewEmisData!$D:$D, BS$6)</f>
        <v>12.6290552691631</v>
      </c>
      <c r="BT55" s="1111">
        <f>SUMIFS(NewEmisData!L:L, NewEmisData!$A:$A, $G55, NewEmisData!$B:$B, $A55, NewEmisData!$C:$C, $H55, NewEmisData!$D:$D, BT$6)</f>
        <v>12.756109867155899</v>
      </c>
      <c r="BU55" s="1111">
        <f>SUMIFS(NewEmisData!M:M, NewEmisData!$A:$A, $G55, NewEmisData!$B:$B, $A55, NewEmisData!$C:$C, $H55, NewEmisData!$D:$D, BU$6)</f>
        <v>12.800533369187299</v>
      </c>
      <c r="BV55" s="1111">
        <f t="shared" si="83"/>
        <v>12.800533369187299</v>
      </c>
      <c r="BW55" s="1111">
        <f t="shared" si="77"/>
        <v>2.14680819384954</v>
      </c>
      <c r="BX55" s="1111">
        <f>SUMIFS(NewEmisData!E:E, NewEmisData!$A:$A, $G55, NewEmisData!$B:$B, $A55, NewEmisData!$C:$C, $H55, NewEmisData!$D:$D, BX$6)</f>
        <v>2.14680819384954</v>
      </c>
      <c r="BY55" s="1111">
        <f>SUMIFS(NewEmisData!F:F, NewEmisData!$A:$A, $G55, NewEmisData!$B:$B, $A55, NewEmisData!$C:$C, $H55, NewEmisData!$D:$D, BY$6)</f>
        <v>1.6414932721656601</v>
      </c>
      <c r="BZ55" s="1111">
        <f>SUMIFS(NewEmisData!G:G, NewEmisData!$A:$A, $G55, NewEmisData!$B:$B, $A55, NewEmisData!$C:$C, $H55, NewEmisData!$D:$D, BZ$6)</f>
        <v>0.47923130880280401</v>
      </c>
      <c r="CA55" s="1111">
        <f>SUMIFS(NewEmisData!H:H, NewEmisData!$A:$A, $G55, NewEmisData!$B:$B, $A55, NewEmisData!$C:$C, $H55, NewEmisData!$D:$D, CA$6)</f>
        <v>0.36532781197988201</v>
      </c>
      <c r="CB55" s="1111">
        <f>SUMIFS(NewEmisData!I:I, NewEmisData!$A:$A, $G55, NewEmisData!$B:$B, $A55, NewEmisData!$C:$C, $H55, NewEmisData!$D:$D, CB$6)</f>
        <v>0.334636907672411</v>
      </c>
      <c r="CC55" s="1111">
        <f>SUMIFS(NewEmisData!J:J, NewEmisData!$A:$A, $G55, NewEmisData!$B:$B, $A55, NewEmisData!$C:$C, $H55, NewEmisData!$D:$D, CC$6)</f>
        <v>0.33199768040625</v>
      </c>
      <c r="CD55" s="1111">
        <f>SUMIFS(NewEmisData!K:K, NewEmisData!$A:$A, $G55, NewEmisData!$B:$B, $A55, NewEmisData!$C:$C, $H55, NewEmisData!$D:$D, CD$6)</f>
        <v>0.32940217473438299</v>
      </c>
      <c r="CE55" s="1111">
        <f>SUMIFS(NewEmisData!L:L, NewEmisData!$A:$A, $G55, NewEmisData!$B:$B, $A55, NewEmisData!$C:$C, $H55, NewEmisData!$D:$D, CE$6)</f>
        <v>0.33126268454531199</v>
      </c>
      <c r="CF55" s="1111">
        <f>SUMIFS(NewEmisData!M:M, NewEmisData!$A:$A, $G55, NewEmisData!$B:$B, $A55, NewEmisData!$C:$C, $H55, NewEmisData!$D:$D, CF$6)</f>
        <v>0.331634896570775</v>
      </c>
      <c r="CG55" s="1111">
        <f t="shared" si="78"/>
        <v>0.331634896570775</v>
      </c>
      <c r="CH55" s="1111">
        <f t="shared" si="79"/>
        <v>4.49194482849559E-2</v>
      </c>
      <c r="CI55" s="1111">
        <f>SUMIFS(NewEmisData!E:E, NewEmisData!$A:$A, $G55, NewEmisData!$B:$B, $A55, NewEmisData!$C:$C, $H55, NewEmisData!$D:$D, CI$6)</f>
        <v>4.49194482849559E-2</v>
      </c>
      <c r="CJ55" s="1111">
        <f>SUMIFS(NewEmisData!F:F, NewEmisData!$A:$A, $G55, NewEmisData!$B:$B, $A55, NewEmisData!$C:$C, $H55, NewEmisData!$D:$D, CJ$6)</f>
        <v>4.5044780297083503E-2</v>
      </c>
      <c r="CK55" s="1111">
        <f>SUMIFS(NewEmisData!G:G, NewEmisData!$A:$A, $G55, NewEmisData!$B:$B, $A55, NewEmisData!$C:$C, $H55, NewEmisData!$D:$D, CK$6)</f>
        <v>4.5736190408202697E-2</v>
      </c>
      <c r="CL55" s="1111">
        <f>SUMIFS(NewEmisData!H:H, NewEmisData!$A:$A, $G55, NewEmisData!$B:$B, $A55, NewEmisData!$C:$C, $H55, NewEmisData!$D:$D, CL$6)</f>
        <v>4.5759494534362899E-2</v>
      </c>
      <c r="CM55" s="1111">
        <f>SUMIFS(NewEmisData!I:I, NewEmisData!$A:$A, $G55, NewEmisData!$B:$B, $A55, NewEmisData!$C:$C, $H55, NewEmisData!$D:$D, CM$6)</f>
        <v>4.5817996189111899E-2</v>
      </c>
      <c r="CN55" s="1111">
        <f>SUMIFS(NewEmisData!J:J, NewEmisData!$A:$A, $G55, NewEmisData!$B:$B, $A55, NewEmisData!$C:$C, $H55, NewEmisData!$D:$D, CN$6)</f>
        <v>4.5833049406016901E-2</v>
      </c>
      <c r="CO55" s="1111">
        <f>SUMIFS(NewEmisData!K:K, NewEmisData!$A:$A, $G55, NewEmisData!$B:$B, $A55, NewEmisData!$C:$C, $H55, NewEmisData!$D:$D, CO$6)</f>
        <v>4.5836329184160897E-2</v>
      </c>
      <c r="CP55" s="1111">
        <f>SUMIFS(NewEmisData!L:L, NewEmisData!$A:$A, $G55, NewEmisData!$B:$B, $A55, NewEmisData!$C:$C, $H55, NewEmisData!$D:$D, CP$6)</f>
        <v>4.58372025008323E-2</v>
      </c>
      <c r="CQ55" s="1111">
        <f>SUMIFS(NewEmisData!M:M, NewEmisData!$A:$A, $G55, NewEmisData!$B:$B, $A55, NewEmisData!$C:$C, $H55, NewEmisData!$D:$D, CQ$6)</f>
        <v>4.5837179172897799E-2</v>
      </c>
      <c r="CR55" s="1111">
        <f t="shared" si="80"/>
        <v>4.5837179172897799E-2</v>
      </c>
      <c r="CS55" s="1111">
        <f t="shared" si="81"/>
        <v>4.23785786247831E-2</v>
      </c>
      <c r="CT55" s="1111">
        <f>SUMIFS(NewEmisData!E:E, NewEmisData!$A:$A, $G55, NewEmisData!$B:$B, $A55, NewEmisData!$C:$C, $H55, NewEmisData!$D:$D, CT$6)</f>
        <v>4.23785786247831E-2</v>
      </c>
      <c r="CU55" s="1111">
        <f>SUMIFS(NewEmisData!F:F, NewEmisData!$A:$A, $G55, NewEmisData!$B:$B, $A55, NewEmisData!$C:$C, $H55, NewEmisData!$D:$D, CU$6)</f>
        <v>3.6476147142376902E-2</v>
      </c>
      <c r="CV55" s="1111">
        <f>SUMIFS(NewEmisData!G:G, NewEmisData!$A:$A, $G55, NewEmisData!$B:$B, $A55, NewEmisData!$C:$C, $H55, NewEmisData!$D:$D, CV$6)</f>
        <v>1.5910071003880501E-2</v>
      </c>
      <c r="CW55" s="1111">
        <f>SUMIFS(NewEmisData!H:H, NewEmisData!$A:$A, $G55, NewEmisData!$B:$B, $A55, NewEmisData!$C:$C, $H55, NewEmisData!$D:$D, CW$6)</f>
        <v>1.0887161334639401E-2</v>
      </c>
      <c r="CX55" s="1111">
        <f>SUMIFS(NewEmisData!I:I, NewEmisData!$A:$A, $G55, NewEmisData!$B:$B, $A55, NewEmisData!$C:$C, $H55, NewEmisData!$D:$D, CX$6)</f>
        <v>9.2481178897355007E-3</v>
      </c>
      <c r="CY55" s="1111">
        <f>SUMIFS(NewEmisData!J:J, NewEmisData!$A:$A, $G55, NewEmisData!$B:$B, $A55, NewEmisData!$C:$C, $H55, NewEmisData!$D:$D, CY$6)</f>
        <v>8.9851479443452901E-3</v>
      </c>
      <c r="CZ55" s="1111">
        <f>SUMIFS(NewEmisData!K:K, NewEmisData!$A:$A, $G55, NewEmisData!$B:$B, $A55, NewEmisData!$C:$C, $H55, NewEmisData!$D:$D, CZ$6)</f>
        <v>8.7728322711615007E-3</v>
      </c>
      <c r="DA55" s="1111">
        <f>SUMIFS(NewEmisData!L:L, NewEmisData!$A:$A, $G55, NewEmisData!$B:$B, $A55, NewEmisData!$C:$C, $H55, NewEmisData!$D:$D, DA$6)</f>
        <v>8.8121160479205408E-3</v>
      </c>
      <c r="DB55" s="1111">
        <f>SUMIFS(NewEmisData!M:M, NewEmisData!$A:$A, $G55, NewEmisData!$B:$B, $A55, NewEmisData!$C:$C, $H55, NewEmisData!$D:$D, DB$6)</f>
        <v>8.8260551340968493E-3</v>
      </c>
      <c r="DC55" s="1111">
        <f t="shared" si="84"/>
        <v>8.8260551340968493E-3</v>
      </c>
      <c r="DD55" s="1111"/>
      <c r="DE55" s="1111"/>
      <c r="DF55" s="1111"/>
      <c r="DG55" s="1111"/>
      <c r="DH55" s="1111"/>
      <c r="DI55" s="1111"/>
      <c r="DJ55" s="1111"/>
      <c r="DK55" s="1111"/>
      <c r="DL55" s="1111"/>
      <c r="DM55" s="1111"/>
      <c r="DN55" s="1111"/>
      <c r="DO55" s="1111"/>
      <c r="DP55" s="1111"/>
      <c r="DQ55" s="1111"/>
      <c r="DR55" s="1111"/>
      <c r="DS55" s="1111"/>
      <c r="DT55" s="1111"/>
      <c r="DU55" s="1111"/>
      <c r="DV55" s="1111"/>
      <c r="DW55" s="1111"/>
      <c r="DX55" s="1111"/>
      <c r="DY55" s="1111"/>
      <c r="DZ55" s="1111">
        <f t="shared" si="85"/>
        <v>7.9223624422698202E-2</v>
      </c>
      <c r="EA55" s="1111">
        <f>SUMIFS(NewEmisData!E:E, NewEmisData!$A:$A, $G55, NewEmisData!$B:$B, $A55, NewEmisData!$C:$C, $H55, NewEmisData!$D:$D, EA$6)</f>
        <v>7.9223624422698202E-2</v>
      </c>
      <c r="EB55" s="1111">
        <f>SUMIFS(NewEmisData!F:F, NewEmisData!$A:$A, $G55, NewEmisData!$B:$B, $A55, NewEmisData!$C:$C, $H55, NewEmisData!$D:$D, EB$6)</f>
        <v>4.9616772406464199E-2</v>
      </c>
      <c r="EC55" s="1111">
        <f>SUMIFS(NewEmisData!G:G, NewEmisData!$A:$A, $G55, NewEmisData!$B:$B, $A55, NewEmisData!$C:$C, $H55, NewEmisData!$D:$D, EC$6)</f>
        <v>1.1730401934771701E-2</v>
      </c>
      <c r="ED55" s="1111">
        <f>SUMIFS(NewEmisData!H:H, NewEmisData!$A:$A, $G55, NewEmisData!$B:$B, $A55, NewEmisData!$C:$C, $H55, NewEmisData!$D:$D, ED$6)</f>
        <v>9.4240573443951908E-3</v>
      </c>
      <c r="EE55" s="1111">
        <f>SUMIFS(NewEmisData!I:I, NewEmisData!$A:$A, $G55, NewEmisData!$B:$B, $A55, NewEmisData!$C:$C, $H55, NewEmisData!$D:$D, EE$6)</f>
        <v>9.2771376980736696E-3</v>
      </c>
      <c r="EF55" s="1111">
        <f>SUMIFS(NewEmisData!J:J, NewEmisData!$A:$A, $G55, NewEmisData!$B:$B, $A55, NewEmisData!$C:$C, $H55, NewEmisData!$D:$D, EF$6)</f>
        <v>9.4970065030402697E-3</v>
      </c>
      <c r="EG55" s="1111">
        <f>SUMIFS(NewEmisData!K:K, NewEmisData!$A:$A, $G55, NewEmisData!$B:$B, $A55, NewEmisData!$C:$C, $H55, NewEmisData!$D:$D, EG$6)</f>
        <v>9.5652604789833208E-3</v>
      </c>
      <c r="EH55" s="1111">
        <f>SUMIFS(NewEmisData!L:L, NewEmisData!$A:$A, $G55, NewEmisData!$B:$B, $A55, NewEmisData!$C:$C, $H55, NewEmisData!$D:$D, EH$6)</f>
        <v>9.6560772920169392E-3</v>
      </c>
      <c r="EI55" s="1111">
        <f>SUMIFS(NewEmisData!M:M, NewEmisData!$A:$A, $G55, NewEmisData!$B:$B, $A55, NewEmisData!$C:$C, $H55, NewEmisData!$D:$D, EI$6)</f>
        <v>9.6867337196690894E-3</v>
      </c>
      <c r="EJ55" s="1111">
        <f t="shared" si="86"/>
        <v>9.6867337196690894E-3</v>
      </c>
      <c r="EK55" s="1111">
        <f t="shared" si="87"/>
        <v>1245.3418505198399</v>
      </c>
      <c r="EL55" s="1111">
        <f t="shared" si="48"/>
        <v>1245.3418505198399</v>
      </c>
      <c r="EM55" s="1111">
        <f t="shared" si="49"/>
        <v>1233.52680028807</v>
      </c>
      <c r="EN55" s="1111">
        <f t="shared" si="50"/>
        <v>1155.77413052821</v>
      </c>
      <c r="EO55" s="1111">
        <f t="shared" si="51"/>
        <v>1137.9436610154601</v>
      </c>
      <c r="EP55" s="1111">
        <f t="shared" si="52"/>
        <v>1112.6987382597499</v>
      </c>
      <c r="EQ55" s="1111">
        <f t="shared" si="53"/>
        <v>1106.54119248744</v>
      </c>
      <c r="ER55" s="1111">
        <f t="shared" si="54"/>
        <v>1105.0069411203201</v>
      </c>
      <c r="ES55" s="1111">
        <f t="shared" si="55"/>
        <v>1104.77778091038</v>
      </c>
      <c r="ET55" s="1111">
        <f t="shared" si="56"/>
        <v>1104.7649925096</v>
      </c>
      <c r="EU55" s="1111">
        <f t="shared" si="57"/>
        <v>1104.7649925096</v>
      </c>
      <c r="EV55" s="1111">
        <f t="shared" si="88"/>
        <v>4.9618269183312798</v>
      </c>
      <c r="EW55" s="1111">
        <f t="shared" si="38"/>
        <v>4.9618269183312798</v>
      </c>
      <c r="EX55" s="1111">
        <f t="shared" si="39"/>
        <v>3.5223524226374598</v>
      </c>
      <c r="EY55" s="1111">
        <f t="shared" si="40"/>
        <v>1.2618027970035901</v>
      </c>
      <c r="EZ55" s="1111">
        <f t="shared" si="41"/>
        <v>0.99784143742540199</v>
      </c>
      <c r="FA55" s="1111">
        <f t="shared" si="42"/>
        <v>0.92115341275504903</v>
      </c>
      <c r="FB55" s="1111">
        <f t="shared" si="43"/>
        <v>0.90873745362837199</v>
      </c>
      <c r="FC55" s="1111">
        <f t="shared" si="44"/>
        <v>0.903404659383922</v>
      </c>
      <c r="FD55" s="1111">
        <f t="shared" si="45"/>
        <v>0.90367749375583695</v>
      </c>
      <c r="FE55" s="1111">
        <f t="shared" si="46"/>
        <v>0.90380303336619205</v>
      </c>
      <c r="FF55" s="1111">
        <f t="shared" si="47"/>
        <v>0.90380303336619205</v>
      </c>
      <c r="FG55" s="1111">
        <f t="shared" si="100"/>
        <v>2.2268353622481699E-2</v>
      </c>
      <c r="FH55" s="1111">
        <f t="shared" si="101"/>
        <v>2.2268353622481699E-2</v>
      </c>
      <c r="FI55" s="1111">
        <f t="shared" si="102"/>
        <v>2.15800397384973E-2</v>
      </c>
      <c r="FJ55" s="1111">
        <f t="shared" si="103"/>
        <v>1.6580182769147099E-2</v>
      </c>
      <c r="FK55" s="1111">
        <f t="shared" si="104"/>
        <v>1.6324389370389901E-2</v>
      </c>
      <c r="FL55" s="1111">
        <f t="shared" si="105"/>
        <v>1.5962239345052798E-2</v>
      </c>
      <c r="FM55" s="1111">
        <f t="shared" si="106"/>
        <v>1.5873905588610002E-2</v>
      </c>
      <c r="FN55" s="1111">
        <f t="shared" si="107"/>
        <v>1.5851896144737601E-2</v>
      </c>
      <c r="FO55" s="1111">
        <f t="shared" si="108"/>
        <v>1.58486207061387E-2</v>
      </c>
      <c r="FP55" s="1111">
        <f t="shared" si="109"/>
        <v>1.5848421937017101E-2</v>
      </c>
      <c r="FQ55" s="1111">
        <f t="shared" si="110"/>
        <v>1.5848421937017101E-2</v>
      </c>
      <c r="FR55" s="1111">
        <f t="shared" si="25"/>
        <v>0.316522847739098</v>
      </c>
      <c r="FS55" s="1111">
        <f t="shared" si="26"/>
        <v>0.316522847739098</v>
      </c>
      <c r="FT55" s="1111">
        <f t="shared" si="27"/>
        <v>0.296906260657962</v>
      </c>
      <c r="FU55" s="1111">
        <f t="shared" si="28"/>
        <v>0.23822746383424401</v>
      </c>
      <c r="FV55" s="1111">
        <f t="shared" si="29"/>
        <v>0.23861290236278199</v>
      </c>
      <c r="FW55" s="1111">
        <f t="shared" si="30"/>
        <v>0.23938243498850501</v>
      </c>
      <c r="FX55" s="1111">
        <f t="shared" si="31"/>
        <v>0.23966935323295199</v>
      </c>
      <c r="FY55" s="1111">
        <f t="shared" si="32"/>
        <v>0.239739729662128</v>
      </c>
      <c r="FZ55" s="1111">
        <f t="shared" si="33"/>
        <v>0.239781897722738</v>
      </c>
      <c r="GA55" s="1111">
        <f t="shared" si="34"/>
        <v>0.23979416449461</v>
      </c>
      <c r="GB55" s="1111">
        <f t="shared" si="35"/>
        <v>0.23979416449461</v>
      </c>
      <c r="GC55" s="1111">
        <f t="shared" si="59"/>
        <v>8.6551780570898199E-2</v>
      </c>
      <c r="GD55" s="1111">
        <f t="shared" si="60"/>
        <v>8.6551780570898199E-2</v>
      </c>
      <c r="GE55" s="1111">
        <f t="shared" si="61"/>
        <v>6.4372293434568101E-2</v>
      </c>
      <c r="GF55" s="1111">
        <f t="shared" si="62"/>
        <v>3.7426910923255501E-2</v>
      </c>
      <c r="GG55" s="1111">
        <f t="shared" si="63"/>
        <v>3.7415863467985699E-2</v>
      </c>
      <c r="GH55" s="1111">
        <f t="shared" si="64"/>
        <v>3.7155994555793902E-2</v>
      </c>
      <c r="GI55" s="1111">
        <f t="shared" si="65"/>
        <v>3.71692451762419E-2</v>
      </c>
      <c r="GJ55" s="1111">
        <f t="shared" si="66"/>
        <v>3.71792258741903E-2</v>
      </c>
      <c r="GK55" s="1111">
        <f t="shared" si="67"/>
        <v>3.7203306400845099E-2</v>
      </c>
      <c r="GL55" s="1111">
        <f t="shared" si="68"/>
        <v>3.7213861680524402E-2</v>
      </c>
      <c r="GM55" s="1111">
        <f t="shared" si="69"/>
        <v>3.7213861680524402E-2</v>
      </c>
    </row>
    <row r="56" spans="1:195" x14ac:dyDescent="0.2">
      <c r="A56" s="1071" t="s">
        <v>190</v>
      </c>
      <c r="B56" s="1071" t="str">
        <f>Technologies!C139</f>
        <v>THSCNGE</v>
      </c>
      <c r="C56" s="1071" t="str">
        <f>Technologies!D139</f>
        <v>Heavy Truck, Short Haul, CNG exisiting</v>
      </c>
      <c r="D56" s="1071" t="str">
        <f>TechData!D23</f>
        <v>bn-vmt, bn-vmt/a</v>
      </c>
      <c r="E56" s="1071" t="str">
        <f>Commodities!C55</f>
        <v>TBCNG</v>
      </c>
      <c r="F56" s="1071" t="s">
        <v>98</v>
      </c>
      <c r="G56" s="1110" t="s">
        <v>505</v>
      </c>
      <c r="H56" s="1111" t="s">
        <v>500</v>
      </c>
      <c r="I56" s="1112">
        <v>1</v>
      </c>
      <c r="J56" s="1111" t="str">
        <f t="shared" si="37"/>
        <v>Heavy duty short haul truck-GSL</v>
      </c>
      <c r="K56" s="1111">
        <f>SUMIFS(NewEmisData!E:E, NewEmisData!$A:$A, $G56, NewEmisData!$B:$B, $A56, NewEmisData!$C:$C, $H56, NewEmisData!$D:$D, K$6)</f>
        <v>1241.38928176117</v>
      </c>
      <c r="L56" s="1111">
        <f>SUMIFS(NewEmisData!F:F, NewEmisData!$A:$A, $G56, NewEmisData!$B:$B, $A56, NewEmisData!$C:$C, $H56, NewEmisData!$D:$D, L$6)</f>
        <v>1226.10777955711</v>
      </c>
      <c r="M56" s="1111">
        <f>SUMIFS(NewEmisData!G:G, NewEmisData!$A:$A, $G56, NewEmisData!$B:$B, $A56, NewEmisData!$C:$C, $H56, NewEmisData!$D:$D, M$6)</f>
        <v>1383.33894651986</v>
      </c>
      <c r="N56" s="1111">
        <f>SUMIFS(NewEmisData!H:H, NewEmisData!$A:$A, $G56, NewEmisData!$B:$B, $A56, NewEmisData!$C:$C, $H56, NewEmisData!$D:$D, N$6)</f>
        <v>1356.5010921445701</v>
      </c>
      <c r="O56" s="1111">
        <f>SUMIFS(NewEmisData!I:I, NewEmisData!$A:$A, $G56, NewEmisData!$B:$B, $A56, NewEmisData!$C:$C, $H56, NewEmisData!$D:$D, O$6)</f>
        <v>1306.9931195674901</v>
      </c>
      <c r="P56" s="1111">
        <f>SUMIFS(NewEmisData!J:J, NewEmisData!$A:$A, $G56, NewEmisData!$B:$B, $A56, NewEmisData!$C:$C, $H56, NewEmisData!$D:$D, P$6)</f>
        <v>1294.5393575191799</v>
      </c>
      <c r="Q56" s="1111">
        <f>SUMIFS(NewEmisData!K:K, NewEmisData!$A:$A, $G56, NewEmisData!$B:$B, $A56, NewEmisData!$C:$C, $H56, NewEmisData!$D:$D, Q$6)</f>
        <v>1291.60029261402</v>
      </c>
      <c r="R56" s="1111">
        <f>SUMIFS(NewEmisData!L:L, NewEmisData!$A:$A, $G56, NewEmisData!$B:$B, $A56, NewEmisData!$C:$C, $H56, NewEmisData!$D:$D, R$6)</f>
        <v>1291.22786948009</v>
      </c>
      <c r="S56" s="1111">
        <f>SUMIFS(NewEmisData!M:M, NewEmisData!$A:$A, $G56, NewEmisData!$B:$B, $A56, NewEmisData!$C:$C, $H56, NewEmisData!$D:$D, S$6)</f>
        <v>1291.2762589420699</v>
      </c>
      <c r="T56" s="1111">
        <f t="shared" si="17"/>
        <v>1291.2762589420699</v>
      </c>
      <c r="U56" s="1111">
        <f>SUMIFS(NewEmisData!E:E, NewEmisData!$A:$A, $G56, NewEmisData!$B:$B, $A56, NewEmisData!$C:$C, $H56, NewEmisData!$D:$D, U$6)</f>
        <v>6.2719490238573599</v>
      </c>
      <c r="V56" s="1111">
        <f>SUMIFS(NewEmisData!F:F, NewEmisData!$A:$A, $G56, NewEmisData!$B:$B, $A56, NewEmisData!$C:$C, $H56, NewEmisData!$D:$D, V$6)</f>
        <v>3.54586562371545</v>
      </c>
      <c r="W56" s="1111">
        <f>SUMIFS(NewEmisData!G:G, NewEmisData!$A:$A, $G56, NewEmisData!$B:$B, $A56, NewEmisData!$C:$C, $H56, NewEmisData!$D:$D, W$6)</f>
        <v>1.5390863619428401</v>
      </c>
      <c r="X56" s="1111">
        <f>SUMIFS(NewEmisData!H:H, NewEmisData!$A:$A, $G56, NewEmisData!$B:$B, $A56, NewEmisData!$C:$C, $H56, NewEmisData!$D:$D, X$6)</f>
        <v>1.17307553707704</v>
      </c>
      <c r="Y56" s="1111">
        <f>SUMIFS(NewEmisData!I:I, NewEmisData!$A:$A, $G56, NewEmisData!$B:$B, $A56, NewEmisData!$C:$C, $H56, NewEmisData!$D:$D, Y$6)</f>
        <v>1.0487695492759499</v>
      </c>
      <c r="Z56" s="1111">
        <f>SUMIFS(NewEmisData!J:J, NewEmisData!$A:$A, $G56, NewEmisData!$B:$B, $A56, NewEmisData!$C:$C, $H56, NewEmisData!$D:$D, Z$6)</f>
        <v>1.0243777697646099</v>
      </c>
      <c r="AA56" s="1111">
        <f>SUMIFS(NewEmisData!K:K, NewEmisData!$A:$A, $G56, NewEmisData!$B:$B, $A56, NewEmisData!$C:$C, $H56, NewEmisData!$D:$D, AA$6)</f>
        <v>1.01315476025102</v>
      </c>
      <c r="AB56" s="1111">
        <f>SUMIFS(NewEmisData!L:L, NewEmisData!$A:$A, $G56, NewEmisData!$B:$B, $A56, NewEmisData!$C:$C, $H56, NewEmisData!$D:$D, AB$6)</f>
        <v>1.01368282027686</v>
      </c>
      <c r="AC56" s="1111">
        <f>SUMIFS(NewEmisData!M:M, NewEmisData!$A:$A, $G56, NewEmisData!$B:$B, $A56, NewEmisData!$C:$C, $H56, NewEmisData!$D:$D, AC$6)</f>
        <v>1.0139821488193099</v>
      </c>
      <c r="AD56" s="1111">
        <f t="shared" si="18"/>
        <v>1.0139821488193099</v>
      </c>
      <c r="AE56" s="1111">
        <f t="shared" si="70"/>
        <v>2.1480399186289099E-2</v>
      </c>
      <c r="AF56" s="1111">
        <f>SUMIFS(NewEmisData!E:E, NewEmisData!$A:$A, $G56, NewEmisData!$B:$B, $A56, NewEmisData!$C:$C, $H56, NewEmisData!$D:$D, AF$6)</f>
        <v>2.1480399186289099E-2</v>
      </c>
      <c r="AG56" s="1111">
        <f>SUMIFS(NewEmisData!F:F, NewEmisData!$A:$A, $G56, NewEmisData!$B:$B, $A56, NewEmisData!$C:$C, $H56, NewEmisData!$D:$D, AG$6)</f>
        <v>2.12159707578937E-2</v>
      </c>
      <c r="AH56" s="1111">
        <f>SUMIFS(NewEmisData!G:G, NewEmisData!$A:$A, $G56, NewEmisData!$B:$B, $A56, NewEmisData!$C:$C, $H56, NewEmisData!$D:$D, AH$6)</f>
        <v>1.98447183890453E-2</v>
      </c>
      <c r="AI56" s="1111">
        <f>SUMIFS(NewEmisData!H:H, NewEmisData!$A:$A, $G56, NewEmisData!$B:$B, $A56, NewEmisData!$C:$C, $H56, NewEmisData!$D:$D, AI$6)</f>
        <v>1.9459715058680899E-2</v>
      </c>
      <c r="AJ56" s="1111">
        <f>SUMIFS(NewEmisData!I:I, NewEmisData!$A:$A, $G56, NewEmisData!$B:$B, $A56, NewEmisData!$C:$C, $H56, NewEmisData!$D:$D, AJ$6)</f>
        <v>1.8749491555680699E-2</v>
      </c>
      <c r="AK56" s="1111">
        <f>SUMIFS(NewEmisData!J:J, NewEmisData!$A:$A, $G56, NewEmisData!$B:$B, $A56, NewEmisData!$C:$C, $H56, NewEmisData!$D:$D, AK$6)</f>
        <v>1.8570836872203001E-2</v>
      </c>
      <c r="AL56" s="1111">
        <f>SUMIFS(NewEmisData!K:K, NewEmisData!$A:$A, $G56, NewEmisData!$B:$B, $A56, NewEmisData!$C:$C, $H56, NewEmisData!$D:$D, AL$6)</f>
        <v>1.8528673088893999E-2</v>
      </c>
      <c r="AM56" s="1111">
        <f>SUMIFS(NewEmisData!L:L, NewEmisData!$A:$A, $G56, NewEmisData!$B:$B, $A56, NewEmisData!$C:$C, $H56, NewEmisData!$D:$D, AM$6)</f>
        <v>1.8523329942848499E-2</v>
      </c>
      <c r="AN56" s="1111">
        <f>SUMIFS(NewEmisData!M:M, NewEmisData!$A:$A, $G56, NewEmisData!$B:$B, $A56, NewEmisData!$C:$C, $H56, NewEmisData!$D:$D, AN$6)</f>
        <v>1.85240308404678E-2</v>
      </c>
      <c r="AO56" s="1111">
        <f t="shared" si="71"/>
        <v>1.85240308404678E-2</v>
      </c>
      <c r="AP56" s="1111">
        <f t="shared" si="72"/>
        <v>0.431302480142082</v>
      </c>
      <c r="AQ56" s="1111">
        <f>SUMIFS(NewEmisData!E:E, NewEmisData!$A:$A, $G56, NewEmisData!$B:$B, $A56, NewEmisData!$C:$C, $H56, NewEmisData!$D:$D, AQ$6)</f>
        <v>0.431302480142082</v>
      </c>
      <c r="AR56" s="1111">
        <f>SUMIFS(NewEmisData!F:F, NewEmisData!$A:$A, $G56, NewEmisData!$B:$B, $A56, NewEmisData!$C:$C, $H56, NewEmisData!$D:$D, AR$6)</f>
        <v>0.30380256982536802</v>
      </c>
      <c r="AS56" s="1111">
        <f>SUMIFS(NewEmisData!G:G, NewEmisData!$A:$A, $G56, NewEmisData!$B:$B, $A56, NewEmisData!$C:$C, $H56, NewEmisData!$D:$D, AS$6)</f>
        <v>0.33709491699606497</v>
      </c>
      <c r="AT56" s="1111">
        <f>SUMIFS(NewEmisData!H:H, NewEmisData!$A:$A, $G56, NewEmisData!$B:$B, $A56, NewEmisData!$C:$C, $H56, NewEmisData!$D:$D, AT$6)</f>
        <v>0.33516632877566999</v>
      </c>
      <c r="AU56" s="1111">
        <f>SUMIFS(NewEmisData!I:I, NewEmisData!$A:$A, $G56, NewEmisData!$B:$B, $A56, NewEmisData!$C:$C, $H56, NewEmisData!$D:$D, AU$6)</f>
        <v>0.32912031916096701</v>
      </c>
      <c r="AV56" s="1111">
        <f>SUMIFS(NewEmisData!J:J, NewEmisData!$A:$A, $G56, NewEmisData!$B:$B, $A56, NewEmisData!$C:$C, $H56, NewEmisData!$D:$D, AV$6)</f>
        <v>0.32758501468683399</v>
      </c>
      <c r="AW56" s="1111">
        <f>SUMIFS(NewEmisData!K:K, NewEmisData!$A:$A, $G56, NewEmisData!$B:$B, $A56, NewEmisData!$C:$C, $H56, NewEmisData!$D:$D, AW$6)</f>
        <v>0.32722883547270099</v>
      </c>
      <c r="AX56" s="1111">
        <f>SUMIFS(NewEmisData!L:L, NewEmisData!$A:$A, $G56, NewEmisData!$B:$B, $A56, NewEmisData!$C:$C, $H56, NewEmisData!$D:$D, AX$6)</f>
        <v>0.32719882154575503</v>
      </c>
      <c r="AY56" s="1111">
        <f>SUMIFS(NewEmisData!M:M, NewEmisData!$A:$A, $G56, NewEmisData!$B:$B, $A56, NewEmisData!$C:$C, $H56, NewEmisData!$D:$D, AY$6)</f>
        <v>0.327223389729702</v>
      </c>
      <c r="AZ56" s="1111">
        <f t="shared" si="73"/>
        <v>0.327223389729702</v>
      </c>
      <c r="BA56" s="1111">
        <f t="shared" si="74"/>
        <v>0.17747003545562401</v>
      </c>
      <c r="BB56" s="1111">
        <f>SUMIFS(NewEmisData!E:E, NewEmisData!$A:$A, $G56, NewEmisData!$B:$B, $A56, NewEmisData!$C:$C, $H56, NewEmisData!$D:$D, BB$6)</f>
        <v>0.17747003545562401</v>
      </c>
      <c r="BC56" s="1111">
        <f>SUMIFS(NewEmisData!F:F, NewEmisData!$A:$A, $G56, NewEmisData!$B:$B, $A56, NewEmisData!$C:$C, $H56, NewEmisData!$D:$D, BC$6)</f>
        <v>6.4774980240540195E-2</v>
      </c>
      <c r="BD56" s="1111">
        <f>SUMIFS(NewEmisData!G:G, NewEmisData!$A:$A, $G56, NewEmisData!$B:$B, $A56, NewEmisData!$C:$C, $H56, NewEmisData!$D:$D, BD$6)</f>
        <v>5.2197571243419401E-2</v>
      </c>
      <c r="BE56" s="1111">
        <f>SUMIFS(NewEmisData!H:H, NewEmisData!$A:$A, $G56, NewEmisData!$B:$B, $A56, NewEmisData!$C:$C, $H56, NewEmisData!$D:$D, BE$6)</f>
        <v>5.1709470142354899E-2</v>
      </c>
      <c r="BF56" s="1111">
        <f>SUMIFS(NewEmisData!I:I, NewEmisData!$A:$A, $G56, NewEmisData!$B:$B, $A56, NewEmisData!$C:$C, $H56, NewEmisData!$D:$D, BF$6)</f>
        <v>5.0080554256354597E-2</v>
      </c>
      <c r="BG56" s="1111">
        <f>SUMIFS(NewEmisData!J:J, NewEmisData!$A:$A, $G56, NewEmisData!$B:$B, $A56, NewEmisData!$C:$C, $H56, NewEmisData!$D:$D, BG$6)</f>
        <v>4.9730195246478197E-2</v>
      </c>
      <c r="BH56" s="1111">
        <f>SUMIFS(NewEmisData!K:K, NewEmisData!$A:$A, $G56, NewEmisData!$B:$B, $A56, NewEmisData!$C:$C, $H56, NewEmisData!$D:$D, BH$6)</f>
        <v>4.9636064827908E-2</v>
      </c>
      <c r="BI56" s="1111">
        <f>SUMIFS(NewEmisData!L:L, NewEmisData!$A:$A, $G56, NewEmisData!$B:$B, $A56, NewEmisData!$C:$C, $H56, NewEmisData!$D:$D, BI$6)</f>
        <v>4.96653353802936E-2</v>
      </c>
      <c r="BJ56" s="1111">
        <f>SUMIFS(NewEmisData!M:M, NewEmisData!$A:$A, $G56, NewEmisData!$B:$B, $A56, NewEmisData!$C:$C, $H56, NewEmisData!$D:$D, BJ$6)</f>
        <v>4.9688283166283001E-2</v>
      </c>
      <c r="BK56" s="1111">
        <f t="shared" si="75"/>
        <v>4.9688283166283001E-2</v>
      </c>
      <c r="BL56" s="1111">
        <f t="shared" si="76"/>
        <v>90.191733728878702</v>
      </c>
      <c r="BM56" s="1111">
        <f>SUMIFS(NewEmisData!E:E, NewEmisData!$A:$A, $G56, NewEmisData!$B:$B, $A56, NewEmisData!$C:$C, $H56, NewEmisData!$D:$D, BM$6)</f>
        <v>90.191733728878702</v>
      </c>
      <c r="BN56" s="1111">
        <f>SUMIFS(NewEmisData!F:F, NewEmisData!$A:$A, $G56, NewEmisData!$B:$B, $A56, NewEmisData!$C:$C, $H56, NewEmisData!$D:$D, BN$6)</f>
        <v>57.854593707734402</v>
      </c>
      <c r="BO56" s="1111">
        <f>SUMIFS(NewEmisData!G:G, NewEmisData!$A:$A, $G56, NewEmisData!$B:$B, $A56, NewEmisData!$C:$C, $H56, NewEmisData!$D:$D, BO$6)</f>
        <v>30.439196833936801</v>
      </c>
      <c r="BP56" s="1111">
        <f>SUMIFS(NewEmisData!H:H, NewEmisData!$A:$A, $G56, NewEmisData!$B:$B, $A56, NewEmisData!$C:$C, $H56, NewEmisData!$D:$D, BP$6)</f>
        <v>28.2649013216366</v>
      </c>
      <c r="BQ56" s="1111">
        <f>SUMIFS(NewEmisData!I:I, NewEmisData!$A:$A, $G56, NewEmisData!$B:$B, $A56, NewEmisData!$C:$C, $H56, NewEmisData!$D:$D, BQ$6)</f>
        <v>29.534698697919499</v>
      </c>
      <c r="BR56" s="1111">
        <f>SUMIFS(NewEmisData!J:J, NewEmisData!$A:$A, $G56, NewEmisData!$B:$B, $A56, NewEmisData!$C:$C, $H56, NewEmisData!$D:$D, BR$6)</f>
        <v>30.882451342188901</v>
      </c>
      <c r="BS56" s="1111">
        <f>SUMIFS(NewEmisData!K:K, NewEmisData!$A:$A, $G56, NewEmisData!$B:$B, $A56, NewEmisData!$C:$C, $H56, NewEmisData!$D:$D, BS$6)</f>
        <v>31.2274964250777</v>
      </c>
      <c r="BT56" s="1111">
        <f>SUMIFS(NewEmisData!L:L, NewEmisData!$A:$A, $G56, NewEmisData!$B:$B, $A56, NewEmisData!$C:$C, $H56, NewEmisData!$D:$D, BT$6)</f>
        <v>31.6561745639336</v>
      </c>
      <c r="BU56" s="1111">
        <f>SUMIFS(NewEmisData!M:M, NewEmisData!$A:$A, $G56, NewEmisData!$B:$B, $A56, NewEmisData!$C:$C, $H56, NewEmisData!$D:$D, BU$6)</f>
        <v>31.800591464728001</v>
      </c>
      <c r="BV56" s="1111">
        <f t="shared" si="83"/>
        <v>31.800591464728001</v>
      </c>
      <c r="BW56" s="1111">
        <f t="shared" si="77"/>
        <v>6.1897171455643996</v>
      </c>
      <c r="BX56" s="1111">
        <f>SUMIFS(NewEmisData!E:E, NewEmisData!$A:$A, $G56, NewEmisData!$B:$B, $A56, NewEmisData!$C:$C, $H56, NewEmisData!$D:$D, BX$6)</f>
        <v>6.1897171455643996</v>
      </c>
      <c r="BY56" s="1111">
        <f>SUMIFS(NewEmisData!F:F, NewEmisData!$A:$A, $G56, NewEmisData!$B:$B, $A56, NewEmisData!$C:$C, $H56, NewEmisData!$D:$D, BY$6)</f>
        <v>2.9467128361474</v>
      </c>
      <c r="BZ56" s="1111">
        <f>SUMIFS(NewEmisData!G:G, NewEmisData!$A:$A, $G56, NewEmisData!$B:$B, $A56, NewEmisData!$C:$C, $H56, NewEmisData!$D:$D, BZ$6)</f>
        <v>0.87646546659881797</v>
      </c>
      <c r="CA56" s="1111">
        <f>SUMIFS(NewEmisData!H:H, NewEmisData!$A:$A, $G56, NewEmisData!$B:$B, $A56, NewEmisData!$C:$C, $H56, NewEmisData!$D:$D, CA$6)</f>
        <v>0.63725747288066603</v>
      </c>
      <c r="CB56" s="1111">
        <f>SUMIFS(NewEmisData!I:I, NewEmisData!$A:$A, $G56, NewEmisData!$B:$B, $A56, NewEmisData!$C:$C, $H56, NewEmisData!$D:$D, CB$6)</f>
        <v>0.56209464698364098</v>
      </c>
      <c r="CC56" s="1111">
        <f>SUMIFS(NewEmisData!J:J, NewEmisData!$A:$A, $G56, NewEmisData!$B:$B, $A56, NewEmisData!$C:$C, $H56, NewEmisData!$D:$D, CC$6)</f>
        <v>0.55142425018993102</v>
      </c>
      <c r="CD56" s="1111">
        <f>SUMIFS(NewEmisData!K:K, NewEmisData!$A:$A, $G56, NewEmisData!$B:$B, $A56, NewEmisData!$C:$C, $H56, NewEmisData!$D:$D, CD$6)</f>
        <v>0.54197445474169104</v>
      </c>
      <c r="CE56" s="1111">
        <f>SUMIFS(NewEmisData!L:L, NewEmisData!$A:$A, $G56, NewEmisData!$B:$B, $A56, NewEmisData!$C:$C, $H56, NewEmisData!$D:$D, CE$6)</f>
        <v>0.54705176135937394</v>
      </c>
      <c r="CF56" s="1111">
        <f>SUMIFS(NewEmisData!M:M, NewEmisData!$A:$A, $G56, NewEmisData!$B:$B, $A56, NewEmisData!$C:$C, $H56, NewEmisData!$D:$D, CF$6)</f>
        <v>0.54797129774840603</v>
      </c>
      <c r="CG56" s="1111">
        <f t="shared" si="78"/>
        <v>0.54797129774840603</v>
      </c>
      <c r="CH56" s="1111">
        <f t="shared" si="79"/>
        <v>4.4374916412660802E-2</v>
      </c>
      <c r="CI56" s="1111">
        <f>SUMIFS(NewEmisData!E:E, NewEmisData!$A:$A, $G56, NewEmisData!$B:$B, $A56, NewEmisData!$C:$C, $H56, NewEmisData!$D:$D, CI$6)</f>
        <v>4.4374916412660802E-2</v>
      </c>
      <c r="CJ56" s="1111">
        <f>SUMIFS(NewEmisData!F:F, NewEmisData!$A:$A, $G56, NewEmisData!$B:$B, $A56, NewEmisData!$C:$C, $H56, NewEmisData!$D:$D, CJ$6)</f>
        <v>4.4376196385727797E-2</v>
      </c>
      <c r="CK56" s="1111">
        <f>SUMIFS(NewEmisData!G:G, NewEmisData!$A:$A, $G56, NewEmisData!$B:$B, $A56, NewEmisData!$C:$C, $H56, NewEmisData!$D:$D, CK$6)</f>
        <v>5.2118868523528802E-2</v>
      </c>
      <c r="CL56" s="1111">
        <f>SUMIFS(NewEmisData!H:H, NewEmisData!$A:$A, $G56, NewEmisData!$B:$B, $A56, NewEmisData!$C:$C, $H56, NewEmisData!$D:$D, CL$6)</f>
        <v>5.2132349413666103E-2</v>
      </c>
      <c r="CM56" s="1111">
        <f>SUMIFS(NewEmisData!I:I, NewEmisData!$A:$A, $G56, NewEmisData!$B:$B, $A56, NewEmisData!$C:$C, $H56, NewEmisData!$D:$D, CM$6)</f>
        <v>5.21711043619991E-2</v>
      </c>
      <c r="CN56" s="1111">
        <f>SUMIFS(NewEmisData!J:J, NewEmisData!$A:$A, $G56, NewEmisData!$B:$B, $A56, NewEmisData!$C:$C, $H56, NewEmisData!$D:$D, CN$6)</f>
        <v>5.2181552336128E-2</v>
      </c>
      <c r="CO56" s="1111">
        <f>SUMIFS(NewEmisData!K:K, NewEmisData!$A:$A, $G56, NewEmisData!$B:$B, $A56, NewEmisData!$C:$C, $H56, NewEmisData!$D:$D, CO$6)</f>
        <v>5.21837897669589E-2</v>
      </c>
      <c r="CP56" s="1111">
        <f>SUMIFS(NewEmisData!L:L, NewEmisData!$A:$A, $G56, NewEmisData!$B:$B, $A56, NewEmisData!$C:$C, $H56, NewEmisData!$D:$D, CP$6)</f>
        <v>5.2184377186595597E-2</v>
      </c>
      <c r="CQ56" s="1111">
        <f>SUMIFS(NewEmisData!M:M, NewEmisData!$A:$A, $G56, NewEmisData!$B:$B, $A56, NewEmisData!$C:$C, $H56, NewEmisData!$D:$D, CQ$6)</f>
        <v>5.2184437559851103E-2</v>
      </c>
      <c r="CR56" s="1111">
        <f t="shared" si="80"/>
        <v>5.2184437559851103E-2</v>
      </c>
      <c r="CS56" s="1111">
        <f t="shared" si="81"/>
        <v>0.10324282903592</v>
      </c>
      <c r="CT56" s="1111">
        <f>SUMIFS(NewEmisData!E:E, NewEmisData!$A:$A, $G56, NewEmisData!$B:$B, $A56, NewEmisData!$C:$C, $H56, NewEmisData!$D:$D, CT$6)</f>
        <v>0.10324282903592</v>
      </c>
      <c r="CU56" s="1111">
        <f>SUMIFS(NewEmisData!F:F, NewEmisData!$A:$A, $G56, NewEmisData!$B:$B, $A56, NewEmisData!$C:$C, $H56, NewEmisData!$D:$D, CU$6)</f>
        <v>6.5839025751757901E-2</v>
      </c>
      <c r="CV56" s="1111">
        <f>SUMIFS(NewEmisData!G:G, NewEmisData!$A:$A, $G56, NewEmisData!$B:$B, $A56, NewEmisData!$C:$C, $H56, NewEmisData!$D:$D, CV$6)</f>
        <v>3.3013078185438E-2</v>
      </c>
      <c r="CW56" s="1111">
        <f>SUMIFS(NewEmisData!H:H, NewEmisData!$A:$A, $G56, NewEmisData!$B:$B, $A56, NewEmisData!$C:$C, $H56, NewEmisData!$D:$D, CW$6)</f>
        <v>2.22676216275507E-2</v>
      </c>
      <c r="CX56" s="1111">
        <f>SUMIFS(NewEmisData!I:I, NewEmisData!$A:$A, $G56, NewEmisData!$B:$B, $A56, NewEmisData!$C:$C, $H56, NewEmisData!$D:$D, CX$6)</f>
        <v>1.8691589461130299E-2</v>
      </c>
      <c r="CY56" s="1111">
        <f>SUMIFS(NewEmisData!J:J, NewEmisData!$A:$A, $G56, NewEmisData!$B:$B, $A56, NewEmisData!$C:$C, $H56, NewEmisData!$D:$D, CY$6)</f>
        <v>1.8191418075059002E-2</v>
      </c>
      <c r="CZ56" s="1111">
        <f>SUMIFS(NewEmisData!K:K, NewEmisData!$A:$A, $G56, NewEmisData!$B:$B, $A56, NewEmisData!$C:$C, $H56, NewEmisData!$D:$D, CZ$6)</f>
        <v>1.75998124004558E-2</v>
      </c>
      <c r="DA56" s="1111">
        <f>SUMIFS(NewEmisData!L:L, NewEmisData!$A:$A, $G56, NewEmisData!$B:$B, $A56, NewEmisData!$C:$C, $H56, NewEmisData!$D:$D, DA$6)</f>
        <v>1.77356234724158E-2</v>
      </c>
      <c r="DB56" s="1111">
        <f>SUMIFS(NewEmisData!M:M, NewEmisData!$A:$A, $G56, NewEmisData!$B:$B, $A56, NewEmisData!$C:$C, $H56, NewEmisData!$D:$D, DB$6)</f>
        <v>1.7781712985484099E-2</v>
      </c>
      <c r="DC56" s="1111">
        <f t="shared" si="84"/>
        <v>1.7781712985484099E-2</v>
      </c>
      <c r="DD56" s="1111"/>
      <c r="DE56" s="1111"/>
      <c r="DF56" s="1111"/>
      <c r="DG56" s="1111"/>
      <c r="DH56" s="1111"/>
      <c r="DI56" s="1111"/>
      <c r="DJ56" s="1111"/>
      <c r="DK56" s="1111"/>
      <c r="DL56" s="1111"/>
      <c r="DM56" s="1111"/>
      <c r="DN56" s="1111"/>
      <c r="DO56" s="1111"/>
      <c r="DP56" s="1111"/>
      <c r="DQ56" s="1111"/>
      <c r="DR56" s="1111"/>
      <c r="DS56" s="1111"/>
      <c r="DT56" s="1111"/>
      <c r="DU56" s="1111"/>
      <c r="DV56" s="1111"/>
      <c r="DW56" s="1111"/>
      <c r="DX56" s="1111"/>
      <c r="DY56" s="1111"/>
      <c r="DZ56" s="1111">
        <f t="shared" si="85"/>
        <v>0.34764874845075999</v>
      </c>
      <c r="EA56" s="1111">
        <f>SUMIFS(NewEmisData!E:E, NewEmisData!$A:$A, $G56, NewEmisData!$B:$B, $A56, NewEmisData!$C:$C, $H56, NewEmisData!$D:$D, EA$6)</f>
        <v>0.34764874845075999</v>
      </c>
      <c r="EB56" s="1111">
        <f>SUMIFS(NewEmisData!F:F, NewEmisData!$A:$A, $G56, NewEmisData!$B:$B, $A56, NewEmisData!$C:$C, $H56, NewEmisData!$D:$D, EB$6)</f>
        <v>0.14142715332318501</v>
      </c>
      <c r="EC56" s="1111">
        <f>SUMIFS(NewEmisData!G:G, NewEmisData!$A:$A, $G56, NewEmisData!$B:$B, $A56, NewEmisData!$C:$C, $H56, NewEmisData!$D:$D, EC$6)</f>
        <v>2.8640359201048099E-2</v>
      </c>
      <c r="ED56" s="1111">
        <f>SUMIFS(NewEmisData!H:H, NewEmisData!$A:$A, $G56, NewEmisData!$B:$B, $A56, NewEmisData!$C:$C, $H56, NewEmisData!$D:$D, ED$6)</f>
        <v>2.3851757275478599E-2</v>
      </c>
      <c r="EE56" s="1111">
        <f>SUMIFS(NewEmisData!I:I, NewEmisData!$A:$A, $G56, NewEmisData!$B:$B, $A56, NewEmisData!$C:$C, $H56, NewEmisData!$D:$D, EE$6)</f>
        <v>2.44690782189021E-2</v>
      </c>
      <c r="EF56" s="1111">
        <f>SUMIFS(NewEmisData!J:J, NewEmisData!$A:$A, $G56, NewEmisData!$B:$B, $A56, NewEmisData!$C:$C, $H56, NewEmisData!$D:$D, EF$6)</f>
        <v>2.5450390210075498E-2</v>
      </c>
      <c r="EG56" s="1111">
        <f>SUMIFS(NewEmisData!K:K, NewEmisData!$A:$A, $G56, NewEmisData!$B:$B, $A56, NewEmisData!$C:$C, $H56, NewEmisData!$D:$D, EG$6)</f>
        <v>2.5745715046546401E-2</v>
      </c>
      <c r="EH56" s="1111">
        <f>SUMIFS(NewEmisData!L:L, NewEmisData!$A:$A, $G56, NewEmisData!$B:$B, $A56, NewEmisData!$C:$C, $H56, NewEmisData!$D:$D, EH$6)</f>
        <v>2.6059342938699701E-2</v>
      </c>
      <c r="EI56" s="1111">
        <f>SUMIFS(NewEmisData!M:M, NewEmisData!$A:$A, $G56, NewEmisData!$B:$B, $A56, NewEmisData!$C:$C, $H56, NewEmisData!$D:$D, EI$6)</f>
        <v>2.6160400057414299E-2</v>
      </c>
      <c r="EJ56" s="1111">
        <f t="shared" si="86"/>
        <v>2.6160400057414299E-2</v>
      </c>
      <c r="EK56" s="1111">
        <f t="shared" si="87"/>
        <v>1241.38928176117</v>
      </c>
      <c r="EL56" s="1111">
        <f t="shared" si="48"/>
        <v>1241.38928176117</v>
      </c>
      <c r="EM56" s="1111">
        <f t="shared" si="49"/>
        <v>1226.10777955711</v>
      </c>
      <c r="EN56" s="1111">
        <f t="shared" si="50"/>
        <v>1383.33894651986</v>
      </c>
      <c r="EO56" s="1111">
        <f t="shared" si="51"/>
        <v>1356.5010921445701</v>
      </c>
      <c r="EP56" s="1111">
        <f t="shared" si="52"/>
        <v>1306.9931195674901</v>
      </c>
      <c r="EQ56" s="1111">
        <f t="shared" si="53"/>
        <v>1294.5393575191799</v>
      </c>
      <c r="ER56" s="1111">
        <f t="shared" si="54"/>
        <v>1291.60029261402</v>
      </c>
      <c r="ES56" s="1111">
        <f t="shared" si="55"/>
        <v>1291.22786948009</v>
      </c>
      <c r="ET56" s="1111">
        <f t="shared" si="56"/>
        <v>1291.2762589420699</v>
      </c>
      <c r="EU56" s="1111">
        <f t="shared" si="57"/>
        <v>1291.2762589420699</v>
      </c>
      <c r="EV56" s="1111">
        <f t="shared" si="88"/>
        <v>6.2719490238573599</v>
      </c>
      <c r="EW56" s="1111">
        <f t="shared" si="38"/>
        <v>6.2719490238573599</v>
      </c>
      <c r="EX56" s="1111">
        <f t="shared" si="39"/>
        <v>3.54586562371545</v>
      </c>
      <c r="EY56" s="1111">
        <f t="shared" si="40"/>
        <v>1.5390863619428401</v>
      </c>
      <c r="EZ56" s="1111">
        <f t="shared" si="41"/>
        <v>1.17307553707704</v>
      </c>
      <c r="FA56" s="1111">
        <f t="shared" si="42"/>
        <v>1.0487695492759499</v>
      </c>
      <c r="FB56" s="1111">
        <f t="shared" si="43"/>
        <v>1.0243777697646099</v>
      </c>
      <c r="FC56" s="1111">
        <f t="shared" si="44"/>
        <v>1.01315476025102</v>
      </c>
      <c r="FD56" s="1111">
        <f t="shared" si="45"/>
        <v>1.01368282027686</v>
      </c>
      <c r="FE56" s="1111">
        <f t="shared" si="46"/>
        <v>1.0139821488193099</v>
      </c>
      <c r="FF56" s="1111">
        <f t="shared" si="47"/>
        <v>1.0139821488193099</v>
      </c>
      <c r="FG56" s="1111">
        <f t="shared" si="100"/>
        <v>2.1480399186289099E-2</v>
      </c>
      <c r="FH56" s="1111">
        <f t="shared" si="101"/>
        <v>2.1480399186289099E-2</v>
      </c>
      <c r="FI56" s="1111">
        <f t="shared" si="102"/>
        <v>2.12159707578937E-2</v>
      </c>
      <c r="FJ56" s="1111">
        <f t="shared" si="103"/>
        <v>1.98447183890453E-2</v>
      </c>
      <c r="FK56" s="1111">
        <f t="shared" si="104"/>
        <v>1.9459715058680899E-2</v>
      </c>
      <c r="FL56" s="1111">
        <f t="shared" si="105"/>
        <v>1.8749491555680699E-2</v>
      </c>
      <c r="FM56" s="1111">
        <f t="shared" si="106"/>
        <v>1.8570836872203001E-2</v>
      </c>
      <c r="FN56" s="1111">
        <f t="shared" si="107"/>
        <v>1.8528673088893999E-2</v>
      </c>
      <c r="FO56" s="1111">
        <f t="shared" si="108"/>
        <v>1.8523329942848499E-2</v>
      </c>
      <c r="FP56" s="1111">
        <f t="shared" si="109"/>
        <v>1.85240308404678E-2</v>
      </c>
      <c r="FQ56" s="1111">
        <f t="shared" si="110"/>
        <v>1.85240308404678E-2</v>
      </c>
      <c r="FR56" s="1111">
        <f t="shared" si="25"/>
        <v>0.431302480142082</v>
      </c>
      <c r="FS56" s="1111">
        <f t="shared" si="26"/>
        <v>0.431302480142082</v>
      </c>
      <c r="FT56" s="1111">
        <f t="shared" si="27"/>
        <v>0.30380256982536802</v>
      </c>
      <c r="FU56" s="1111">
        <f t="shared" si="28"/>
        <v>0.33709491699606497</v>
      </c>
      <c r="FV56" s="1111">
        <f t="shared" si="29"/>
        <v>0.33516632877566999</v>
      </c>
      <c r="FW56" s="1111">
        <f t="shared" si="30"/>
        <v>0.32912031916096701</v>
      </c>
      <c r="FX56" s="1111">
        <f t="shared" si="31"/>
        <v>0.32758501468683399</v>
      </c>
      <c r="FY56" s="1111">
        <f t="shared" si="32"/>
        <v>0.32722883547270099</v>
      </c>
      <c r="FZ56" s="1111">
        <f t="shared" si="33"/>
        <v>0.32719882154575503</v>
      </c>
      <c r="GA56" s="1111">
        <f t="shared" si="34"/>
        <v>0.327223389729702</v>
      </c>
      <c r="GB56" s="1111">
        <f t="shared" si="35"/>
        <v>0.327223389729702</v>
      </c>
      <c r="GC56" s="1111">
        <f t="shared" si="59"/>
        <v>0.17747003545562401</v>
      </c>
      <c r="GD56" s="1111">
        <f t="shared" si="60"/>
        <v>0.17747003545562401</v>
      </c>
      <c r="GE56" s="1111">
        <f t="shared" si="61"/>
        <v>6.4774980240540195E-2</v>
      </c>
      <c r="GF56" s="1111">
        <f t="shared" si="62"/>
        <v>5.2197571243419401E-2</v>
      </c>
      <c r="GG56" s="1111">
        <f t="shared" si="63"/>
        <v>5.1709470142354899E-2</v>
      </c>
      <c r="GH56" s="1111">
        <f t="shared" si="64"/>
        <v>5.0080554256354597E-2</v>
      </c>
      <c r="GI56" s="1111">
        <f t="shared" si="65"/>
        <v>4.9730195246478197E-2</v>
      </c>
      <c r="GJ56" s="1111">
        <f t="shared" si="66"/>
        <v>4.9636064827908E-2</v>
      </c>
      <c r="GK56" s="1111">
        <f t="shared" si="67"/>
        <v>4.96653353802936E-2</v>
      </c>
      <c r="GL56" s="1111">
        <f t="shared" si="68"/>
        <v>4.9688283166283001E-2</v>
      </c>
      <c r="GM56" s="1111">
        <f t="shared" si="69"/>
        <v>4.9688283166283001E-2</v>
      </c>
    </row>
    <row r="57" spans="1:195" x14ac:dyDescent="0.2">
      <c r="A57" s="1071" t="s">
        <v>115</v>
      </c>
      <c r="B57" s="1071" t="str">
        <f>Technologies!C141</f>
        <v>THSLPGE</v>
      </c>
      <c r="C57" s="1071" t="str">
        <f>Technologies!D141</f>
        <v>Heavy Truck, Short Haul, LPG exisiting</v>
      </c>
      <c r="D57" s="1071" t="str">
        <f>TechData!D24</f>
        <v>bn-vmt, bn-vmt/a</v>
      </c>
      <c r="E57" s="1071" t="str">
        <f>Commodities!C29</f>
        <v>TRNLPG1</v>
      </c>
      <c r="F57" s="1071" t="s">
        <v>98</v>
      </c>
      <c r="G57" s="1110" t="s">
        <v>505</v>
      </c>
      <c r="H57" s="1111" t="s">
        <v>504</v>
      </c>
      <c r="I57" s="1112">
        <v>1</v>
      </c>
      <c r="J57" s="1111" t="str">
        <f t="shared" si="37"/>
        <v>Heavy duty short haul truck-LPG</v>
      </c>
      <c r="K57" s="1111">
        <v>1020.3551411037557</v>
      </c>
      <c r="L57" s="1111">
        <v>1020.2234899566765</v>
      </c>
      <c r="M57" s="1111">
        <v>999.2915699461081</v>
      </c>
      <c r="N57" s="1111">
        <v>980.42445273724934</v>
      </c>
      <c r="O57" s="1111">
        <v>967.65178250398321</v>
      </c>
      <c r="P57" s="1111">
        <v>967.77429215727193</v>
      </c>
      <c r="Q57" s="1111">
        <v>967.89308155207254</v>
      </c>
      <c r="R57" s="1111">
        <v>967.92625042477914</v>
      </c>
      <c r="S57" s="1111">
        <v>967.95671487664833</v>
      </c>
      <c r="T57" s="1111">
        <f t="shared" si="17"/>
        <v>967.95671487664833</v>
      </c>
      <c r="U57" s="1111">
        <v>3.2547317698669271</v>
      </c>
      <c r="V57" s="1111">
        <v>2.1555915462064736</v>
      </c>
      <c r="W57" s="1111">
        <v>0.62337907172426621</v>
      </c>
      <c r="X57" s="1111">
        <v>0.40261084341729281</v>
      </c>
      <c r="Y57" s="1111">
        <v>0.34550843096322897</v>
      </c>
      <c r="Z57" s="1111">
        <v>0.31769757148741795</v>
      </c>
      <c r="AA57" s="1111">
        <v>0.31691415899888692</v>
      </c>
      <c r="AB57" s="1111">
        <v>0.31716321296489364</v>
      </c>
      <c r="AC57" s="1111">
        <v>0.31739375802750591</v>
      </c>
      <c r="AD57" s="1111">
        <f t="shared" si="18"/>
        <v>0.31739375802750591</v>
      </c>
      <c r="AE57" s="1111">
        <v>5.7760190530050257E-2</v>
      </c>
      <c r="AF57" s="1111">
        <v>2.461440067727675E-2</v>
      </c>
      <c r="AG57" s="1111">
        <v>1.8973742739096827E-2</v>
      </c>
      <c r="AH57" s="1111">
        <v>6.3491677957305103E-3</v>
      </c>
      <c r="AI57" s="1111">
        <v>6.229291078305505E-3</v>
      </c>
      <c r="AJ57" s="1111">
        <v>6.1481397027664305E-3</v>
      </c>
      <c r="AK57" s="1111">
        <v>6.1489183874472789E-3</v>
      </c>
      <c r="AL57" s="1111">
        <v>6.1496743628782144E-3</v>
      </c>
      <c r="AM57" s="1111">
        <v>6.1498848749613954E-3</v>
      </c>
      <c r="AN57" s="1111">
        <v>6.1500786926959802E-3</v>
      </c>
      <c r="AO57" s="1111">
        <v>6.1500786926959802E-3</v>
      </c>
      <c r="AP57" s="1111">
        <v>0.118159231495387</v>
      </c>
      <c r="AQ57" s="1111">
        <v>0.10003482425149357</v>
      </c>
      <c r="AR57" s="1111">
        <v>8.4495314338350599E-2</v>
      </c>
      <c r="AS57" s="1111">
        <v>7.9256376368036688E-2</v>
      </c>
      <c r="AT57" s="1111">
        <v>7.897978512174525E-2</v>
      </c>
      <c r="AU57" s="1111">
        <v>7.9013528615524284E-2</v>
      </c>
      <c r="AV57" s="1111">
        <v>7.9034934094174225E-2</v>
      </c>
      <c r="AW57" s="1111">
        <v>7.8994885117633362E-2</v>
      </c>
      <c r="AX57" s="1111">
        <v>7.9030930947958933E-2</v>
      </c>
      <c r="AY57" s="1111">
        <v>7.9069837803765641E-2</v>
      </c>
      <c r="AZ57" s="1111">
        <v>7.9069837803765641E-2</v>
      </c>
      <c r="BA57" s="1111">
        <v>5.7196953237054794E-2</v>
      </c>
      <c r="BB57" s="1111">
        <v>4.0623980878750715E-2</v>
      </c>
      <c r="BC57" s="1111">
        <v>2.687782547443867E-2</v>
      </c>
      <c r="BD57" s="1111">
        <v>2.2741214519788881E-2</v>
      </c>
      <c r="BE57" s="1111">
        <v>2.2566007379134265E-2</v>
      </c>
      <c r="BF57" s="1111">
        <v>2.2595863805391959E-2</v>
      </c>
      <c r="BG57" s="1111">
        <v>2.26147956863317E-2</v>
      </c>
      <c r="BH57" s="1111">
        <v>2.2579369856245323E-2</v>
      </c>
      <c r="BI57" s="1111">
        <v>2.2611256107674324E-2</v>
      </c>
      <c r="BJ57" s="1111">
        <v>2.2645673266744965E-2</v>
      </c>
      <c r="BK57" s="1111">
        <v>2.2645673266744965E-2</v>
      </c>
      <c r="BL57" s="1111">
        <v>47.972530990156521</v>
      </c>
      <c r="BM57" s="1111">
        <v>28.556116955058272</v>
      </c>
      <c r="BN57" s="1111">
        <v>20.549646559976306</v>
      </c>
      <c r="BO57" s="1111">
        <v>14.445037057593046</v>
      </c>
      <c r="BP57" s="1111">
        <v>12.622901477364751</v>
      </c>
      <c r="BQ57" s="1111">
        <v>12.500471248743505</v>
      </c>
      <c r="BR57" s="1111">
        <v>12.371610539704422</v>
      </c>
      <c r="BS57" s="1111">
        <v>12.550099392054333</v>
      </c>
      <c r="BT57" s="1111">
        <v>12.541994647226639</v>
      </c>
      <c r="BU57" s="1111">
        <v>12.523654397948686</v>
      </c>
      <c r="BV57" s="1111">
        <v>12.523654397948686</v>
      </c>
      <c r="BW57" s="1111">
        <v>1.8182606942065824</v>
      </c>
      <c r="BX57" s="1111">
        <v>1.1669593642140019</v>
      </c>
      <c r="BY57" s="1111">
        <v>0.76623264872234798</v>
      </c>
      <c r="BZ57" s="1111">
        <v>0.43593758210799172</v>
      </c>
      <c r="CA57" s="1111">
        <v>0.36195140464062603</v>
      </c>
      <c r="CB57" s="1111">
        <v>0.34158526276864187</v>
      </c>
      <c r="CC57" s="1111">
        <v>0.33112897315858508</v>
      </c>
      <c r="CD57" s="1111">
        <v>0.32864260578554466</v>
      </c>
      <c r="CE57" s="1111">
        <v>0.33024410646544156</v>
      </c>
      <c r="CF57" s="1111">
        <v>0.3320664905778884</v>
      </c>
      <c r="CG57" s="1111">
        <v>0.3320664905778884</v>
      </c>
      <c r="CH57" s="1111">
        <v>3.8628584767367767E-2</v>
      </c>
      <c r="CI57" s="1111">
        <v>3.8626750431021199E-2</v>
      </c>
      <c r="CJ57" s="1111">
        <v>3.8631460005066939E-2</v>
      </c>
      <c r="CK57" s="1111">
        <v>3.8640978297890052E-2</v>
      </c>
      <c r="CL57" s="1111">
        <v>3.8648358022866057E-2</v>
      </c>
      <c r="CM57" s="1111">
        <v>3.8650933503227097E-2</v>
      </c>
      <c r="CN57" s="1111">
        <v>3.8650938084240673E-2</v>
      </c>
      <c r="CO57" s="1111">
        <v>3.8650937224449171E-2</v>
      </c>
      <c r="CP57" s="1111">
        <v>3.8650934379318956E-2</v>
      </c>
      <c r="CQ57" s="1111">
        <v>3.865093962024406E-2</v>
      </c>
      <c r="CR57" s="1111">
        <v>3.865093962024406E-2</v>
      </c>
      <c r="CS57" s="1111">
        <v>4.453180804881864</v>
      </c>
      <c r="CT57" s="1111">
        <v>3.2547317698669271</v>
      </c>
      <c r="CU57" s="1111">
        <v>2.1555915462064736</v>
      </c>
      <c r="CV57" s="1111">
        <v>0.62337907172426621</v>
      </c>
      <c r="CW57" s="1111">
        <v>0.40261084341729281</v>
      </c>
      <c r="CX57" s="1111">
        <v>0.34550843096322897</v>
      </c>
      <c r="CY57" s="1111">
        <v>0.31769757148741795</v>
      </c>
      <c r="CZ57" s="1111">
        <v>0.31691415899888692</v>
      </c>
      <c r="DA57" s="1111">
        <v>0.31716321296489364</v>
      </c>
      <c r="DB57" s="1111">
        <v>0.31739375802750591</v>
      </c>
      <c r="DC57" s="1111">
        <v>0.31739375802750591</v>
      </c>
      <c r="DD57" s="1111">
        <v>8.4618435807310901E-3</v>
      </c>
      <c r="DE57" s="1111">
        <v>5.582477734601141E-3</v>
      </c>
      <c r="DF57" s="1111">
        <v>3.3037857638444934E-3</v>
      </c>
      <c r="DG57" s="1111">
        <v>2.7435421434771584E-3</v>
      </c>
      <c r="DH57" s="1111">
        <v>2.6596327326652057E-3</v>
      </c>
      <c r="DI57" s="1111">
        <v>2.6810534446588602E-3</v>
      </c>
      <c r="DJ57" s="1111">
        <v>2.68992317602929E-3</v>
      </c>
      <c r="DK57" s="1111">
        <v>2.6843011275704282E-3</v>
      </c>
      <c r="DL57" s="1111">
        <v>2.693521842385466E-3</v>
      </c>
      <c r="DM57" s="1111">
        <v>2.7034957820921053E-3</v>
      </c>
      <c r="DN57" s="1111">
        <v>2.7034957820921053E-3</v>
      </c>
      <c r="DO57" s="1111">
        <v>2.733686553814714E-2</v>
      </c>
      <c r="DP57" s="1111">
        <v>1.8332271788011459E-2</v>
      </c>
      <c r="DQ57" s="1111">
        <v>1.0522373499872563E-2</v>
      </c>
      <c r="DR57" s="1111">
        <v>8.2106858583474232E-3</v>
      </c>
      <c r="DS57" s="1111">
        <v>8.1464823839333782E-3</v>
      </c>
      <c r="DT57" s="1111">
        <v>8.1548441301475764E-3</v>
      </c>
      <c r="DU57" s="1111">
        <v>8.1625855885729438E-3</v>
      </c>
      <c r="DV57" s="1111">
        <v>8.1414389894490409E-3</v>
      </c>
      <c r="DW57" s="1111">
        <v>8.1579958309337917E-3</v>
      </c>
      <c r="DX57" s="1111">
        <v>8.1758856290748885E-3</v>
      </c>
      <c r="DY57" s="1111">
        <v>8.1758856290748885E-3</v>
      </c>
      <c r="DZ57" s="1111">
        <v>7.2532435416401364E-2</v>
      </c>
      <c r="EA57" s="1111">
        <v>2.3093150126090367E-2</v>
      </c>
      <c r="EB57" s="1111">
        <v>1.7349105349035911E-2</v>
      </c>
      <c r="EC57" s="1111">
        <v>1.8133988035365575E-2</v>
      </c>
      <c r="ED57" s="1111">
        <v>1.8163125354260901E-2</v>
      </c>
      <c r="EE57" s="1111">
        <v>1.8132348564567389E-2</v>
      </c>
      <c r="EF57" s="1111">
        <v>1.775226126902122E-2</v>
      </c>
      <c r="EG57" s="1111">
        <v>1.7930065334771178E-2</v>
      </c>
      <c r="EH57" s="1111">
        <v>1.7967703285096122E-2</v>
      </c>
      <c r="EI57" s="1111">
        <v>1.8000453119017615E-2</v>
      </c>
      <c r="EJ57" s="1111">
        <v>1.8000453119017615E-2</v>
      </c>
      <c r="EK57" s="1111">
        <v>1019.8394907992781</v>
      </c>
      <c r="EL57" s="1111">
        <f t="shared" si="48"/>
        <v>1020.3551411037557</v>
      </c>
      <c r="EM57" s="1111">
        <f t="shared" si="49"/>
        <v>1020.2234899566765</v>
      </c>
      <c r="EN57" s="1111">
        <f t="shared" si="50"/>
        <v>999.2915699461081</v>
      </c>
      <c r="EO57" s="1111">
        <f t="shared" si="51"/>
        <v>980.42445273724934</v>
      </c>
      <c r="EP57" s="1111">
        <f t="shared" si="52"/>
        <v>967.65178250398321</v>
      </c>
      <c r="EQ57" s="1111">
        <f t="shared" si="53"/>
        <v>967.77429215727193</v>
      </c>
      <c r="ER57" s="1111">
        <f t="shared" si="54"/>
        <v>967.89308155207254</v>
      </c>
      <c r="ES57" s="1111">
        <f t="shared" si="55"/>
        <v>967.92625042477914</v>
      </c>
      <c r="ET57" s="1111">
        <f t="shared" si="56"/>
        <v>967.95671487664833</v>
      </c>
      <c r="EU57" s="1111">
        <f t="shared" si="57"/>
        <v>967.95671487664833</v>
      </c>
      <c r="EV57" s="1111">
        <v>4.453180804881864</v>
      </c>
      <c r="EW57" s="1111">
        <f t="shared" si="38"/>
        <v>3.2547317698669271</v>
      </c>
      <c r="EX57" s="1111">
        <f t="shared" si="39"/>
        <v>2.1555915462064736</v>
      </c>
      <c r="EY57" s="1111">
        <f t="shared" si="40"/>
        <v>0.62337907172426621</v>
      </c>
      <c r="EZ57" s="1111">
        <f t="shared" si="41"/>
        <v>0.40261084341729281</v>
      </c>
      <c r="FA57" s="1111">
        <f t="shared" si="42"/>
        <v>0.34550843096322897</v>
      </c>
      <c r="FB57" s="1111">
        <f t="shared" si="43"/>
        <v>0.31769757148741795</v>
      </c>
      <c r="FC57" s="1111">
        <f t="shared" si="44"/>
        <v>0.31691415899888692</v>
      </c>
      <c r="FD57" s="1111">
        <f t="shared" si="45"/>
        <v>0.31716321296489364</v>
      </c>
      <c r="FE57" s="1111">
        <f t="shared" si="46"/>
        <v>0.31739375802750591</v>
      </c>
      <c r="FF57" s="1111">
        <f t="shared" si="47"/>
        <v>0.31739375802750591</v>
      </c>
      <c r="FG57" s="1111">
        <f t="shared" si="100"/>
        <v>5.7760190530050257E-2</v>
      </c>
      <c r="FH57" s="1111">
        <f t="shared" si="101"/>
        <v>2.461440067727675E-2</v>
      </c>
      <c r="FI57" s="1111">
        <f t="shared" si="102"/>
        <v>1.8973742739096827E-2</v>
      </c>
      <c r="FJ57" s="1111">
        <f t="shared" si="103"/>
        <v>6.3491677957305103E-3</v>
      </c>
      <c r="FK57" s="1111">
        <f t="shared" si="104"/>
        <v>6.229291078305505E-3</v>
      </c>
      <c r="FL57" s="1111">
        <f t="shared" si="105"/>
        <v>6.1481397027664305E-3</v>
      </c>
      <c r="FM57" s="1111">
        <f t="shared" si="106"/>
        <v>6.1489183874472789E-3</v>
      </c>
      <c r="FN57" s="1111">
        <f t="shared" si="107"/>
        <v>6.1496743628782144E-3</v>
      </c>
      <c r="FO57" s="1111">
        <f t="shared" si="108"/>
        <v>6.1498848749613954E-3</v>
      </c>
      <c r="FP57" s="1111">
        <f t="shared" si="109"/>
        <v>6.1500786926959802E-3</v>
      </c>
      <c r="FQ57" s="1111">
        <f t="shared" si="110"/>
        <v>6.1500786926959802E-3</v>
      </c>
      <c r="FR57" s="1111">
        <f t="shared" si="25"/>
        <v>0.118159231495387</v>
      </c>
      <c r="FS57" s="1111">
        <f t="shared" si="26"/>
        <v>0.10003482425149357</v>
      </c>
      <c r="FT57" s="1111">
        <f t="shared" si="27"/>
        <v>8.4495314338350599E-2</v>
      </c>
      <c r="FU57" s="1111">
        <f t="shared" si="28"/>
        <v>7.9256376368036688E-2</v>
      </c>
      <c r="FV57" s="1111">
        <f t="shared" si="29"/>
        <v>7.897978512174525E-2</v>
      </c>
      <c r="FW57" s="1111">
        <f t="shared" si="30"/>
        <v>7.9013528615524284E-2</v>
      </c>
      <c r="FX57" s="1111">
        <f t="shared" si="31"/>
        <v>7.9034934094174225E-2</v>
      </c>
      <c r="FY57" s="1111">
        <f t="shared" si="32"/>
        <v>7.8994885117633362E-2</v>
      </c>
      <c r="FZ57" s="1111">
        <f t="shared" si="33"/>
        <v>7.9030930947958933E-2</v>
      </c>
      <c r="GA57" s="1111">
        <f t="shared" si="34"/>
        <v>7.9069837803765641E-2</v>
      </c>
      <c r="GB57" s="1111">
        <f t="shared" si="35"/>
        <v>7.9069837803765641E-2</v>
      </c>
      <c r="GC57" s="1111">
        <f t="shared" si="59"/>
        <v>5.7196953237054794E-2</v>
      </c>
      <c r="GD57" s="1111">
        <f t="shared" si="60"/>
        <v>4.0623980878750715E-2</v>
      </c>
      <c r="GE57" s="1111">
        <f t="shared" si="61"/>
        <v>2.687782547443867E-2</v>
      </c>
      <c r="GF57" s="1111">
        <f t="shared" si="62"/>
        <v>2.2741214519788881E-2</v>
      </c>
      <c r="GG57" s="1111">
        <f t="shared" si="63"/>
        <v>2.2566007379134265E-2</v>
      </c>
      <c r="GH57" s="1111">
        <f t="shared" si="64"/>
        <v>2.2595863805391959E-2</v>
      </c>
      <c r="GI57" s="1111">
        <f t="shared" si="65"/>
        <v>2.26147956863317E-2</v>
      </c>
      <c r="GJ57" s="1111">
        <f t="shared" si="66"/>
        <v>2.2579369856245323E-2</v>
      </c>
      <c r="GK57" s="1111">
        <f t="shared" si="67"/>
        <v>2.2611256107674324E-2</v>
      </c>
      <c r="GL57" s="1111">
        <f t="shared" si="68"/>
        <v>2.2645673266744965E-2</v>
      </c>
      <c r="GM57" s="1111">
        <f t="shared" si="69"/>
        <v>2.2645673266744965E-2</v>
      </c>
    </row>
    <row r="58" spans="1:195" x14ac:dyDescent="0.2">
      <c r="A58" s="1071" t="s">
        <v>115</v>
      </c>
      <c r="B58" s="1071" t="str">
        <f>Technologies!C169</f>
        <v>THLDSLE</v>
      </c>
      <c r="C58" s="1071" t="str">
        <f>Technologies!D169</f>
        <v>Heavy Truck, Long Haul, Diesel exisiting</v>
      </c>
      <c r="D58" s="1071" t="str">
        <f>NewTech!D116</f>
        <v>bn-vmt, bn-vmt/a</v>
      </c>
      <c r="E58" s="1071" t="str">
        <f>Commodities!C44</f>
        <v>THDSL</v>
      </c>
      <c r="F58" s="1071" t="s">
        <v>100</v>
      </c>
      <c r="G58" s="1110" t="s">
        <v>506</v>
      </c>
      <c r="H58" s="1111" t="s">
        <v>499</v>
      </c>
      <c r="I58" s="1112">
        <v>1</v>
      </c>
      <c r="J58" s="1111" t="str">
        <f t="shared" si="37"/>
        <v>Heavy duty long haul truck-DSL</v>
      </c>
      <c r="K58" s="1111">
        <v>1990.9716725761537</v>
      </c>
      <c r="L58" s="1111">
        <v>1941.6688887006037</v>
      </c>
      <c r="M58" s="1111">
        <v>1840.5553307709185</v>
      </c>
      <c r="N58" s="1111">
        <v>1759.0683861000869</v>
      </c>
      <c r="O58" s="1111">
        <v>1727.0853816748008</v>
      </c>
      <c r="P58" s="1111">
        <v>1727.5216883099354</v>
      </c>
      <c r="Q58" s="1111">
        <v>1728.8597047057897</v>
      </c>
      <c r="R58" s="1111">
        <v>1729.5473771008642</v>
      </c>
      <c r="S58" s="1111">
        <v>1730.1829912908977</v>
      </c>
      <c r="T58" s="1111">
        <f t="shared" si="17"/>
        <v>1730.1829912908977</v>
      </c>
      <c r="U58" s="1111">
        <v>15.319827052578248</v>
      </c>
      <c r="V58" s="1111">
        <v>8.4685847701796284</v>
      </c>
      <c r="W58" s="1111">
        <v>4.9821165186132932</v>
      </c>
      <c r="X58" s="1111">
        <v>3.467231955421874</v>
      </c>
      <c r="Y58" s="1111">
        <v>3.4507915536391489</v>
      </c>
      <c r="Z58" s="1111">
        <v>3.4582966280060186</v>
      </c>
      <c r="AA58" s="1111">
        <v>3.4628481928887811</v>
      </c>
      <c r="AB58" s="1111">
        <v>3.4653857360723261</v>
      </c>
      <c r="AC58" s="1111">
        <v>3.467441909819001</v>
      </c>
      <c r="AD58" s="1111">
        <f t="shared" si="18"/>
        <v>3.467441909819001</v>
      </c>
      <c r="AE58" s="1111">
        <v>0.15052422796556716</v>
      </c>
      <c r="AF58" s="1111">
        <v>1.7147882732231192E-2</v>
      </c>
      <c r="AG58" s="1111">
        <v>1.6288981197253857E-2</v>
      </c>
      <c r="AH58" s="1111">
        <v>1.5117907818335607E-2</v>
      </c>
      <c r="AI58" s="1111">
        <v>1.4378690167572896E-2</v>
      </c>
      <c r="AJ58" s="1111">
        <v>1.4117378368647316E-2</v>
      </c>
      <c r="AK58" s="1111">
        <v>1.4120959250803086E-2</v>
      </c>
      <c r="AL58" s="1111">
        <v>1.4131899910277535E-2</v>
      </c>
      <c r="AM58" s="1111">
        <v>1.4137522428286838E-2</v>
      </c>
      <c r="AN58" s="1111">
        <v>1.4142721116139288E-2</v>
      </c>
      <c r="AO58" s="1111">
        <v>1.4142721116139288E-2</v>
      </c>
      <c r="AP58" s="1111">
        <v>1.1181516232534956</v>
      </c>
      <c r="AQ58" s="1111">
        <v>0.80052052427588127</v>
      </c>
      <c r="AR58" s="1111">
        <v>0.45802073557825485</v>
      </c>
      <c r="AS58" s="1111">
        <v>0.22515659269014368</v>
      </c>
      <c r="AT58" s="1111">
        <v>0.17540222927854948</v>
      </c>
      <c r="AU58" s="1111">
        <v>0.17510495649800506</v>
      </c>
      <c r="AV58" s="1111">
        <v>0.17528687643891486</v>
      </c>
      <c r="AW58" s="1111">
        <v>0.17538590224127698</v>
      </c>
      <c r="AX58" s="1111">
        <v>0.17544084496896875</v>
      </c>
      <c r="AY58" s="1111">
        <v>0.17548448269919162</v>
      </c>
      <c r="AZ58" s="1111">
        <v>0.17548448269919162</v>
      </c>
      <c r="BA58" s="1111">
        <v>0.92238061286946038</v>
      </c>
      <c r="BB58" s="1111">
        <v>0.62943793516757862</v>
      </c>
      <c r="BC58" s="1111">
        <v>0.31467259462042407</v>
      </c>
      <c r="BD58" s="1111">
        <v>0.10061250353824766</v>
      </c>
      <c r="BE58" s="1111">
        <v>5.4985249894676312E-2</v>
      </c>
      <c r="BF58" s="1111">
        <v>5.4618355481547878E-2</v>
      </c>
      <c r="BG58" s="1111">
        <v>5.4711318478445729E-2</v>
      </c>
      <c r="BH58" s="1111">
        <v>5.4760742474708184E-2</v>
      </c>
      <c r="BI58" s="1111">
        <v>5.4789176303886238E-2</v>
      </c>
      <c r="BJ58" s="1111">
        <v>5.4808877163252182E-2</v>
      </c>
      <c r="BK58" s="1111">
        <v>5.4808877163252182E-2</v>
      </c>
      <c r="BL58" s="1111">
        <v>5.9614311030596951</v>
      </c>
      <c r="BM58" s="1111">
        <v>4.5918650065862101</v>
      </c>
      <c r="BN58" s="1111">
        <v>2.6906389750268889</v>
      </c>
      <c r="BO58" s="1111">
        <v>1.693821954160792</v>
      </c>
      <c r="BP58" s="1111">
        <v>1.4556997811831409</v>
      </c>
      <c r="BQ58" s="1111">
        <v>1.4605385418834991</v>
      </c>
      <c r="BR58" s="1111">
        <v>1.4660985163064548</v>
      </c>
      <c r="BS58" s="1111">
        <v>1.469914274069702</v>
      </c>
      <c r="BT58" s="1111">
        <v>1.4707795599223308</v>
      </c>
      <c r="BU58" s="1111">
        <v>1.4714814360768016</v>
      </c>
      <c r="BV58" s="1111">
        <v>1.4714814360768016</v>
      </c>
      <c r="BW58" s="1111">
        <v>1.8199393363012488</v>
      </c>
      <c r="BX58" s="1111">
        <v>1.4770658511247796</v>
      </c>
      <c r="BY58" s="1111">
        <v>0.90983790782993534</v>
      </c>
      <c r="BZ58" s="1111">
        <v>0.51563811144780347</v>
      </c>
      <c r="CA58" s="1111">
        <v>0.42061936864799804</v>
      </c>
      <c r="CB58" s="1111">
        <v>0.42073824663225967</v>
      </c>
      <c r="CC58" s="1111">
        <v>0.42175786297834761</v>
      </c>
      <c r="CD58" s="1111">
        <v>0.42238921634242482</v>
      </c>
      <c r="CE58" s="1111">
        <v>0.42267473005087131</v>
      </c>
      <c r="CF58" s="1111">
        <v>0.42293390367008121</v>
      </c>
      <c r="CG58" s="1111">
        <v>0.42293390367008121</v>
      </c>
      <c r="CH58" s="1111">
        <v>3.4412371683517198E-2</v>
      </c>
      <c r="CI58" s="1111">
        <v>3.4493337806388705E-2</v>
      </c>
      <c r="CJ58" s="1111">
        <v>3.3256899548670331E-2</v>
      </c>
      <c r="CK58" s="1111">
        <v>3.2082083001586562E-2</v>
      </c>
      <c r="CL58" s="1111">
        <v>3.1312086208570782E-2</v>
      </c>
      <c r="CM58" s="1111">
        <v>3.1290316795849253E-2</v>
      </c>
      <c r="CN58" s="1111">
        <v>3.1312654731235907E-2</v>
      </c>
      <c r="CO58" s="1111">
        <v>3.1325169678549016E-2</v>
      </c>
      <c r="CP58" s="1111">
        <v>3.1331810091919626E-2</v>
      </c>
      <c r="CQ58" s="1111">
        <v>3.1337948548338782E-2</v>
      </c>
      <c r="CR58" s="1111">
        <v>3.1337948548338782E-2</v>
      </c>
      <c r="CS58" s="1111">
        <v>22.214797437739819</v>
      </c>
      <c r="CT58" s="1111">
        <v>15.319827052578248</v>
      </c>
      <c r="CU58" s="1111">
        <v>8.4685847701796284</v>
      </c>
      <c r="CV58" s="1111">
        <v>4.9821165186132932</v>
      </c>
      <c r="CW58" s="1111">
        <v>3.467231955421874</v>
      </c>
      <c r="CX58" s="1111">
        <v>3.4507915536391489</v>
      </c>
      <c r="CY58" s="1111">
        <v>3.4582966280060186</v>
      </c>
      <c r="CZ58" s="1111">
        <v>3.4628481928887811</v>
      </c>
      <c r="DA58" s="1111">
        <v>3.4653857360723261</v>
      </c>
      <c r="DB58" s="1111">
        <v>3.467441909819001</v>
      </c>
      <c r="DC58" s="1111">
        <v>3.467441909819001</v>
      </c>
      <c r="DD58" s="1111">
        <v>0.58595154450895603</v>
      </c>
      <c r="DE58" s="1111">
        <v>0.38883860207962456</v>
      </c>
      <c r="DF58" s="1111">
        <v>0.17690357039713958</v>
      </c>
      <c r="DG58" s="1111">
        <v>3.4539811541928388E-2</v>
      </c>
      <c r="DH58" s="1111">
        <v>4.6405002307018522E-3</v>
      </c>
      <c r="DI58" s="1111">
        <v>4.6107794377802554E-3</v>
      </c>
      <c r="DJ58" s="1111">
        <v>4.6215599268932053E-3</v>
      </c>
      <c r="DK58" s="1111">
        <v>4.6273615775192078E-3</v>
      </c>
      <c r="DL58" s="1111">
        <v>4.6306369526608803E-3</v>
      </c>
      <c r="DM58" s="1111">
        <v>4.6330767482665753E-3</v>
      </c>
      <c r="DN58" s="1111">
        <v>4.6330767482665753E-3</v>
      </c>
      <c r="DO58" s="1111">
        <v>0.21893334463495995</v>
      </c>
      <c r="DP58" s="1111">
        <v>0.15390472378530864</v>
      </c>
      <c r="DQ58" s="1111">
        <v>7.4564386146155931E-2</v>
      </c>
      <c r="DR58" s="1111">
        <v>1.9638770407339686E-2</v>
      </c>
      <c r="DS58" s="1111">
        <v>8.4633421868544681E-3</v>
      </c>
      <c r="DT58" s="1111">
        <v>8.4130467901607168E-3</v>
      </c>
      <c r="DU58" s="1111">
        <v>8.432889478818921E-3</v>
      </c>
      <c r="DV58" s="1111">
        <v>8.4435912902704469E-3</v>
      </c>
      <c r="DW58" s="1111">
        <v>8.4496126155583773E-3</v>
      </c>
      <c r="DX58" s="1111">
        <v>8.4541558278977604E-3</v>
      </c>
      <c r="DY58" s="1111">
        <v>8.4541558278977604E-3</v>
      </c>
      <c r="DZ58" s="1111">
        <v>5.3407949418512778E-3</v>
      </c>
      <c r="EA58" s="1111">
        <v>0.14104854201033007</v>
      </c>
      <c r="EB58" s="1111">
        <v>0.27257687202227321</v>
      </c>
      <c r="EC58" s="1111">
        <v>0.36080196176893081</v>
      </c>
      <c r="ED58" s="1111">
        <v>0.35536041277142427</v>
      </c>
      <c r="EE58" s="1111">
        <v>0.35636314324239221</v>
      </c>
      <c r="EF58" s="1111">
        <v>0.35731718163326287</v>
      </c>
      <c r="EG58" s="1111">
        <v>0.35788107716481848</v>
      </c>
      <c r="EH58" s="1111">
        <v>0.35812757843703857</v>
      </c>
      <c r="EI58" s="1111">
        <v>0.35835033752738565</v>
      </c>
      <c r="EJ58" s="1111">
        <v>0.35835033752738565</v>
      </c>
      <c r="EK58" s="1111">
        <v>1975.06905164605</v>
      </c>
      <c r="EL58" s="1111">
        <f t="shared" si="48"/>
        <v>1990.9716725761537</v>
      </c>
      <c r="EM58" s="1111">
        <f t="shared" si="49"/>
        <v>1941.6688887006037</v>
      </c>
      <c r="EN58" s="1111">
        <f t="shared" si="50"/>
        <v>1840.5553307709185</v>
      </c>
      <c r="EO58" s="1111">
        <f t="shared" si="51"/>
        <v>1759.0683861000869</v>
      </c>
      <c r="EP58" s="1111">
        <f t="shared" si="52"/>
        <v>1727.0853816748008</v>
      </c>
      <c r="EQ58" s="1111">
        <f t="shared" si="53"/>
        <v>1727.5216883099354</v>
      </c>
      <c r="ER58" s="1111">
        <f t="shared" si="54"/>
        <v>1728.8597047057897</v>
      </c>
      <c r="ES58" s="1111">
        <f t="shared" si="55"/>
        <v>1729.5473771008642</v>
      </c>
      <c r="ET58" s="1111">
        <f t="shared" si="56"/>
        <v>1730.1829912908977</v>
      </c>
      <c r="EU58" s="1111">
        <f t="shared" si="57"/>
        <v>1730.1829912908977</v>
      </c>
      <c r="EV58" s="1111">
        <v>22.214797437739819</v>
      </c>
      <c r="EW58" s="1111">
        <f t="shared" si="38"/>
        <v>15.319827052578248</v>
      </c>
      <c r="EX58" s="1111">
        <f t="shared" si="39"/>
        <v>8.4685847701796284</v>
      </c>
      <c r="EY58" s="1111">
        <f t="shared" si="40"/>
        <v>4.9821165186132932</v>
      </c>
      <c r="EZ58" s="1111">
        <f t="shared" si="41"/>
        <v>3.467231955421874</v>
      </c>
      <c r="FA58" s="1111">
        <f t="shared" si="42"/>
        <v>3.4507915536391489</v>
      </c>
      <c r="FB58" s="1111">
        <f t="shared" si="43"/>
        <v>3.4582966280060186</v>
      </c>
      <c r="FC58" s="1111">
        <f t="shared" si="44"/>
        <v>3.4628481928887811</v>
      </c>
      <c r="FD58" s="1111">
        <f t="shared" si="45"/>
        <v>3.4653857360723261</v>
      </c>
      <c r="FE58" s="1111">
        <f t="shared" si="46"/>
        <v>3.467441909819001</v>
      </c>
      <c r="FF58" s="1111">
        <f t="shared" si="47"/>
        <v>3.467441909819001</v>
      </c>
      <c r="FG58" s="1111">
        <f t="shared" si="100"/>
        <v>0.15052422796556716</v>
      </c>
      <c r="FH58" s="1111">
        <f t="shared" si="101"/>
        <v>1.7147882732231192E-2</v>
      </c>
      <c r="FI58" s="1111">
        <f t="shared" si="102"/>
        <v>1.6288981197253857E-2</v>
      </c>
      <c r="FJ58" s="1111">
        <f t="shared" si="103"/>
        <v>1.5117907818335607E-2</v>
      </c>
      <c r="FK58" s="1111">
        <f t="shared" si="104"/>
        <v>1.4378690167572896E-2</v>
      </c>
      <c r="FL58" s="1111">
        <f t="shared" si="105"/>
        <v>1.4117378368647316E-2</v>
      </c>
      <c r="FM58" s="1111">
        <f t="shared" si="106"/>
        <v>1.4120959250803086E-2</v>
      </c>
      <c r="FN58" s="1111">
        <f t="shared" si="107"/>
        <v>1.4131899910277535E-2</v>
      </c>
      <c r="FO58" s="1111">
        <f t="shared" si="108"/>
        <v>1.4137522428286838E-2</v>
      </c>
      <c r="FP58" s="1111">
        <f t="shared" si="109"/>
        <v>1.4142721116139288E-2</v>
      </c>
      <c r="FQ58" s="1111">
        <f t="shared" si="110"/>
        <v>1.4142721116139288E-2</v>
      </c>
      <c r="FR58" s="1111">
        <f t="shared" si="25"/>
        <v>1.1181516232534956</v>
      </c>
      <c r="FS58" s="1111">
        <f t="shared" si="26"/>
        <v>0.80052052427588127</v>
      </c>
      <c r="FT58" s="1111">
        <f t="shared" si="27"/>
        <v>0.45802073557825485</v>
      </c>
      <c r="FU58" s="1111">
        <f t="shared" si="28"/>
        <v>0.22515659269014368</v>
      </c>
      <c r="FV58" s="1111">
        <f t="shared" si="29"/>
        <v>0.17540222927854948</v>
      </c>
      <c r="FW58" s="1111">
        <f t="shared" si="30"/>
        <v>0.17510495649800506</v>
      </c>
      <c r="FX58" s="1111">
        <f t="shared" si="31"/>
        <v>0.17528687643891486</v>
      </c>
      <c r="FY58" s="1111">
        <f t="shared" si="32"/>
        <v>0.17538590224127698</v>
      </c>
      <c r="FZ58" s="1111">
        <f t="shared" si="33"/>
        <v>0.17544084496896875</v>
      </c>
      <c r="GA58" s="1111">
        <f t="shared" si="34"/>
        <v>0.17548448269919162</v>
      </c>
      <c r="GB58" s="1111">
        <f t="shared" si="35"/>
        <v>0.17548448269919162</v>
      </c>
      <c r="GC58" s="1111">
        <f t="shared" si="59"/>
        <v>0.92238061286946038</v>
      </c>
      <c r="GD58" s="1111">
        <f t="shared" si="60"/>
        <v>0.62943793516757862</v>
      </c>
      <c r="GE58" s="1111">
        <f t="shared" si="61"/>
        <v>0.31467259462042407</v>
      </c>
      <c r="GF58" s="1111">
        <f t="shared" si="62"/>
        <v>0.10061250353824766</v>
      </c>
      <c r="GG58" s="1111">
        <f t="shared" si="63"/>
        <v>5.4985249894676312E-2</v>
      </c>
      <c r="GH58" s="1111">
        <f t="shared" si="64"/>
        <v>5.4618355481547878E-2</v>
      </c>
      <c r="GI58" s="1111">
        <f t="shared" si="65"/>
        <v>5.4711318478445729E-2</v>
      </c>
      <c r="GJ58" s="1111">
        <f t="shared" si="66"/>
        <v>5.4760742474708184E-2</v>
      </c>
      <c r="GK58" s="1111">
        <f t="shared" si="67"/>
        <v>5.4789176303886238E-2</v>
      </c>
      <c r="GL58" s="1111">
        <f t="shared" si="68"/>
        <v>5.4808877163252182E-2</v>
      </c>
      <c r="GM58" s="1111">
        <f t="shared" si="69"/>
        <v>5.4808877163252182E-2</v>
      </c>
    </row>
    <row r="59" spans="1:195" x14ac:dyDescent="0.2">
      <c r="A59" s="1071" t="s">
        <v>115</v>
      </c>
      <c r="B59" s="1071" t="str">
        <f>Technologies!C170</f>
        <v>THLLPGE</v>
      </c>
      <c r="C59" s="1071" t="str">
        <f>Technologies!D170</f>
        <v>Heavy Truck, Long Haul, LPG exisiting</v>
      </c>
      <c r="D59" s="1071" t="str">
        <f>NewTech!D112</f>
        <v>bn-vmt, bn-vmt/a</v>
      </c>
      <c r="E59" s="1071" t="str">
        <f>Commodities!C29</f>
        <v>TRNLPG1</v>
      </c>
      <c r="F59" s="1071" t="s">
        <v>100</v>
      </c>
      <c r="G59" s="1110" t="s">
        <v>506</v>
      </c>
      <c r="H59" s="1111" t="s">
        <v>504</v>
      </c>
      <c r="I59" s="1112">
        <v>1</v>
      </c>
      <c r="J59" s="1111" t="str">
        <f t="shared" si="37"/>
        <v>Heavy duty long haul truck-LPG</v>
      </c>
      <c r="K59" s="1111">
        <v>1990.9716725761537</v>
      </c>
      <c r="L59" s="1111">
        <v>1941.6688887006037</v>
      </c>
      <c r="M59" s="1111">
        <v>1840.5553307709185</v>
      </c>
      <c r="N59" s="1111">
        <v>1759.0683861000869</v>
      </c>
      <c r="O59" s="1111">
        <v>1727.0853816748008</v>
      </c>
      <c r="P59" s="1111">
        <v>1727.5216883099354</v>
      </c>
      <c r="Q59" s="1111">
        <v>1728.8597047057897</v>
      </c>
      <c r="R59" s="1111">
        <v>1729.5473771008642</v>
      </c>
      <c r="S59" s="1111">
        <v>1730.1829912908977</v>
      </c>
      <c r="T59" s="1111">
        <f t="shared" si="17"/>
        <v>1730.1829912908977</v>
      </c>
      <c r="U59" s="1111">
        <v>15.319827052578248</v>
      </c>
      <c r="V59" s="1111">
        <v>8.4685847701796284</v>
      </c>
      <c r="W59" s="1111">
        <v>4.9821165186132932</v>
      </c>
      <c r="X59" s="1111">
        <v>3.467231955421874</v>
      </c>
      <c r="Y59" s="1111">
        <v>3.4507915536391489</v>
      </c>
      <c r="Z59" s="1111">
        <v>3.4582966280060186</v>
      </c>
      <c r="AA59" s="1111">
        <v>3.4628481928887811</v>
      </c>
      <c r="AB59" s="1111">
        <v>3.4653857360723261</v>
      </c>
      <c r="AC59" s="1111">
        <v>3.467441909819001</v>
      </c>
      <c r="AD59" s="1111">
        <f t="shared" si="18"/>
        <v>3.467441909819001</v>
      </c>
      <c r="AE59" s="1111">
        <v>0.15052422796556716</v>
      </c>
      <c r="AF59" s="1111">
        <v>1.7147882732231192E-2</v>
      </c>
      <c r="AG59" s="1111">
        <v>1.6288981197253857E-2</v>
      </c>
      <c r="AH59" s="1111">
        <v>1.5117907818335607E-2</v>
      </c>
      <c r="AI59" s="1111">
        <v>1.4378690167572896E-2</v>
      </c>
      <c r="AJ59" s="1111">
        <v>1.4117378368647316E-2</v>
      </c>
      <c r="AK59" s="1111">
        <v>1.4120959250803086E-2</v>
      </c>
      <c r="AL59" s="1111">
        <v>1.4131899910277535E-2</v>
      </c>
      <c r="AM59" s="1111">
        <v>1.4137522428286838E-2</v>
      </c>
      <c r="AN59" s="1111">
        <v>1.4142721116139288E-2</v>
      </c>
      <c r="AO59" s="1111">
        <v>1.4142721116139288E-2</v>
      </c>
      <c r="AP59" s="1111">
        <v>1.1181516232534956</v>
      </c>
      <c r="AQ59" s="1111">
        <v>0.80052052427588127</v>
      </c>
      <c r="AR59" s="1111">
        <v>0.45802073557825485</v>
      </c>
      <c r="AS59" s="1111">
        <v>0.22515659269014368</v>
      </c>
      <c r="AT59" s="1111">
        <v>0.17540222927854948</v>
      </c>
      <c r="AU59" s="1111">
        <v>0.17510495649800506</v>
      </c>
      <c r="AV59" s="1111">
        <v>0.17528687643891486</v>
      </c>
      <c r="AW59" s="1111">
        <v>0.17538590224127698</v>
      </c>
      <c r="AX59" s="1111">
        <v>0.17544084496896875</v>
      </c>
      <c r="AY59" s="1111">
        <v>0.17548448269919162</v>
      </c>
      <c r="AZ59" s="1111">
        <v>0.17548448269919162</v>
      </c>
      <c r="BA59" s="1111">
        <v>0.92238061286946038</v>
      </c>
      <c r="BB59" s="1111">
        <v>0.62943793516757862</v>
      </c>
      <c r="BC59" s="1111">
        <v>0.31467259462042407</v>
      </c>
      <c r="BD59" s="1111">
        <v>0.10061250353824766</v>
      </c>
      <c r="BE59" s="1111">
        <v>5.4985249894676312E-2</v>
      </c>
      <c r="BF59" s="1111">
        <v>5.4618355481547878E-2</v>
      </c>
      <c r="BG59" s="1111">
        <v>5.4711318478445729E-2</v>
      </c>
      <c r="BH59" s="1111">
        <v>5.4760742474708184E-2</v>
      </c>
      <c r="BI59" s="1111">
        <v>5.4789176303886238E-2</v>
      </c>
      <c r="BJ59" s="1111">
        <v>5.4808877163252182E-2</v>
      </c>
      <c r="BK59" s="1111">
        <v>5.4808877163252182E-2</v>
      </c>
      <c r="BL59" s="1111">
        <v>5.9614311030596951</v>
      </c>
      <c r="BM59" s="1111">
        <v>4.5918650065862101</v>
      </c>
      <c r="BN59" s="1111">
        <v>2.6906389750268889</v>
      </c>
      <c r="BO59" s="1111">
        <v>1.693821954160792</v>
      </c>
      <c r="BP59" s="1111">
        <v>1.4556997811831409</v>
      </c>
      <c r="BQ59" s="1111">
        <v>1.4605385418834991</v>
      </c>
      <c r="BR59" s="1111">
        <v>1.4660985163064548</v>
      </c>
      <c r="BS59" s="1111">
        <v>1.469914274069702</v>
      </c>
      <c r="BT59" s="1111">
        <v>1.4707795599223308</v>
      </c>
      <c r="BU59" s="1111">
        <v>1.4714814360768016</v>
      </c>
      <c r="BV59" s="1111">
        <v>1.4714814360768016</v>
      </c>
      <c r="BW59" s="1111">
        <v>1.8199393363012488</v>
      </c>
      <c r="BX59" s="1111">
        <v>1.4770658511247796</v>
      </c>
      <c r="BY59" s="1111">
        <v>0.90983790782993534</v>
      </c>
      <c r="BZ59" s="1111">
        <v>0.51563811144780347</v>
      </c>
      <c r="CA59" s="1111">
        <v>0.42061936864799804</v>
      </c>
      <c r="CB59" s="1111">
        <v>0.42073824663225967</v>
      </c>
      <c r="CC59" s="1111">
        <v>0.42175786297834761</v>
      </c>
      <c r="CD59" s="1111">
        <v>0.42238921634242482</v>
      </c>
      <c r="CE59" s="1111">
        <v>0.42267473005087131</v>
      </c>
      <c r="CF59" s="1111">
        <v>0.42293390367008121</v>
      </c>
      <c r="CG59" s="1111">
        <v>0.42293390367008121</v>
      </c>
      <c r="CH59" s="1111">
        <v>3.4412371683517198E-2</v>
      </c>
      <c r="CI59" s="1111">
        <v>3.4493337806388705E-2</v>
      </c>
      <c r="CJ59" s="1111">
        <v>3.3256899548670331E-2</v>
      </c>
      <c r="CK59" s="1111">
        <v>3.2082083001586562E-2</v>
      </c>
      <c r="CL59" s="1111">
        <v>3.1312086208570782E-2</v>
      </c>
      <c r="CM59" s="1111">
        <v>3.1290316795849253E-2</v>
      </c>
      <c r="CN59" s="1111">
        <v>3.1312654731235907E-2</v>
      </c>
      <c r="CO59" s="1111">
        <v>3.1325169678549016E-2</v>
      </c>
      <c r="CP59" s="1111">
        <v>3.1331810091919626E-2</v>
      </c>
      <c r="CQ59" s="1111">
        <v>3.1337948548338782E-2</v>
      </c>
      <c r="CR59" s="1111">
        <v>3.1337948548338782E-2</v>
      </c>
      <c r="CS59" s="1111">
        <v>22.214797437739819</v>
      </c>
      <c r="CT59" s="1111">
        <v>15.319827052578248</v>
      </c>
      <c r="CU59" s="1111">
        <v>8.4685847701796284</v>
      </c>
      <c r="CV59" s="1111">
        <v>4.9821165186132932</v>
      </c>
      <c r="CW59" s="1111">
        <v>3.467231955421874</v>
      </c>
      <c r="CX59" s="1111">
        <v>3.4507915536391489</v>
      </c>
      <c r="CY59" s="1111">
        <v>3.4582966280060186</v>
      </c>
      <c r="CZ59" s="1111">
        <v>3.4628481928887811</v>
      </c>
      <c r="DA59" s="1111">
        <v>3.4653857360723261</v>
      </c>
      <c r="DB59" s="1111">
        <v>3.467441909819001</v>
      </c>
      <c r="DC59" s="1111">
        <v>3.467441909819001</v>
      </c>
      <c r="DD59" s="1111">
        <v>0.58595154450895603</v>
      </c>
      <c r="DE59" s="1111">
        <v>0.38883860207962456</v>
      </c>
      <c r="DF59" s="1111">
        <v>0.17690357039713958</v>
      </c>
      <c r="DG59" s="1111">
        <v>3.4539811541928388E-2</v>
      </c>
      <c r="DH59" s="1111">
        <v>4.6405002307018522E-3</v>
      </c>
      <c r="DI59" s="1111">
        <v>4.6107794377802554E-3</v>
      </c>
      <c r="DJ59" s="1111">
        <v>4.6215599268932053E-3</v>
      </c>
      <c r="DK59" s="1111">
        <v>4.6273615775192078E-3</v>
      </c>
      <c r="DL59" s="1111">
        <v>4.6306369526608803E-3</v>
      </c>
      <c r="DM59" s="1111">
        <v>4.6330767482665753E-3</v>
      </c>
      <c r="DN59" s="1111">
        <v>4.6330767482665753E-3</v>
      </c>
      <c r="DO59" s="1111">
        <v>0.21893334463495995</v>
      </c>
      <c r="DP59" s="1111">
        <v>0.15390472378530864</v>
      </c>
      <c r="DQ59" s="1111">
        <v>7.4564386146155931E-2</v>
      </c>
      <c r="DR59" s="1111">
        <v>1.9638770407339686E-2</v>
      </c>
      <c r="DS59" s="1111">
        <v>8.4633421868544681E-3</v>
      </c>
      <c r="DT59" s="1111">
        <v>8.4130467901607168E-3</v>
      </c>
      <c r="DU59" s="1111">
        <v>8.432889478818921E-3</v>
      </c>
      <c r="DV59" s="1111">
        <v>8.4435912902704469E-3</v>
      </c>
      <c r="DW59" s="1111">
        <v>8.4496126155583773E-3</v>
      </c>
      <c r="DX59" s="1111">
        <v>8.4541558278977604E-3</v>
      </c>
      <c r="DY59" s="1111">
        <v>8.4541558278977604E-3</v>
      </c>
      <c r="DZ59" s="1111">
        <v>5.3407949418512778E-3</v>
      </c>
      <c r="EA59" s="1111">
        <v>0.14104854201033007</v>
      </c>
      <c r="EB59" s="1111">
        <v>0.27257687202227321</v>
      </c>
      <c r="EC59" s="1111">
        <v>0.36080196176893081</v>
      </c>
      <c r="ED59" s="1111">
        <v>0.35536041277142427</v>
      </c>
      <c r="EE59" s="1111">
        <v>0.35636314324239221</v>
      </c>
      <c r="EF59" s="1111">
        <v>0.35731718163326287</v>
      </c>
      <c r="EG59" s="1111">
        <v>0.35788107716481848</v>
      </c>
      <c r="EH59" s="1111">
        <v>0.35812757843703857</v>
      </c>
      <c r="EI59" s="1111">
        <v>0.35835033752738565</v>
      </c>
      <c r="EJ59" s="1111">
        <v>0.35835033752738565</v>
      </c>
      <c r="EK59" s="1111">
        <v>1975.06905164605</v>
      </c>
      <c r="EL59" s="1111">
        <f t="shared" si="48"/>
        <v>1990.9716725761537</v>
      </c>
      <c r="EM59" s="1111">
        <f t="shared" si="49"/>
        <v>1941.6688887006037</v>
      </c>
      <c r="EN59" s="1111">
        <f t="shared" si="50"/>
        <v>1840.5553307709185</v>
      </c>
      <c r="EO59" s="1111">
        <f t="shared" si="51"/>
        <v>1759.0683861000869</v>
      </c>
      <c r="EP59" s="1111">
        <f t="shared" si="52"/>
        <v>1727.0853816748008</v>
      </c>
      <c r="EQ59" s="1111">
        <f t="shared" si="53"/>
        <v>1727.5216883099354</v>
      </c>
      <c r="ER59" s="1111">
        <f t="shared" si="54"/>
        <v>1728.8597047057897</v>
      </c>
      <c r="ES59" s="1111">
        <f t="shared" si="55"/>
        <v>1729.5473771008642</v>
      </c>
      <c r="ET59" s="1111">
        <f t="shared" si="56"/>
        <v>1730.1829912908977</v>
      </c>
      <c r="EU59" s="1111">
        <f t="shared" si="57"/>
        <v>1730.1829912908977</v>
      </c>
      <c r="EV59" s="1111">
        <v>22.214797437739819</v>
      </c>
      <c r="EW59" s="1111">
        <f t="shared" si="38"/>
        <v>15.319827052578248</v>
      </c>
      <c r="EX59" s="1111">
        <f t="shared" si="39"/>
        <v>8.4685847701796284</v>
      </c>
      <c r="EY59" s="1111">
        <f t="shared" si="40"/>
        <v>4.9821165186132932</v>
      </c>
      <c r="EZ59" s="1111">
        <f t="shared" si="41"/>
        <v>3.467231955421874</v>
      </c>
      <c r="FA59" s="1111">
        <f t="shared" si="42"/>
        <v>3.4507915536391489</v>
      </c>
      <c r="FB59" s="1111">
        <f t="shared" si="43"/>
        <v>3.4582966280060186</v>
      </c>
      <c r="FC59" s="1111">
        <f t="shared" si="44"/>
        <v>3.4628481928887811</v>
      </c>
      <c r="FD59" s="1111">
        <f t="shared" si="45"/>
        <v>3.4653857360723261</v>
      </c>
      <c r="FE59" s="1111">
        <f t="shared" si="46"/>
        <v>3.467441909819001</v>
      </c>
      <c r="FF59" s="1111">
        <f t="shared" si="47"/>
        <v>3.467441909819001</v>
      </c>
      <c r="FG59" s="1111">
        <f t="shared" si="100"/>
        <v>0.15052422796556716</v>
      </c>
      <c r="FH59" s="1111">
        <f t="shared" si="101"/>
        <v>1.7147882732231192E-2</v>
      </c>
      <c r="FI59" s="1111">
        <f t="shared" si="102"/>
        <v>1.6288981197253857E-2</v>
      </c>
      <c r="FJ59" s="1111">
        <f t="shared" si="103"/>
        <v>1.5117907818335607E-2</v>
      </c>
      <c r="FK59" s="1111">
        <f t="shared" si="104"/>
        <v>1.4378690167572896E-2</v>
      </c>
      <c r="FL59" s="1111">
        <f t="shared" si="105"/>
        <v>1.4117378368647316E-2</v>
      </c>
      <c r="FM59" s="1111">
        <f t="shared" si="106"/>
        <v>1.4120959250803086E-2</v>
      </c>
      <c r="FN59" s="1111">
        <f t="shared" si="107"/>
        <v>1.4131899910277535E-2</v>
      </c>
      <c r="FO59" s="1111">
        <f t="shared" si="108"/>
        <v>1.4137522428286838E-2</v>
      </c>
      <c r="FP59" s="1111">
        <f t="shared" si="109"/>
        <v>1.4142721116139288E-2</v>
      </c>
      <c r="FQ59" s="1111">
        <f t="shared" si="110"/>
        <v>1.4142721116139288E-2</v>
      </c>
      <c r="FR59" s="1111">
        <f t="shared" si="25"/>
        <v>1.1181516232534956</v>
      </c>
      <c r="FS59" s="1111">
        <f t="shared" si="26"/>
        <v>0.80052052427588127</v>
      </c>
      <c r="FT59" s="1111">
        <f t="shared" si="27"/>
        <v>0.45802073557825485</v>
      </c>
      <c r="FU59" s="1111">
        <f t="shared" si="28"/>
        <v>0.22515659269014368</v>
      </c>
      <c r="FV59" s="1111">
        <f t="shared" si="29"/>
        <v>0.17540222927854948</v>
      </c>
      <c r="FW59" s="1111">
        <f t="shared" si="30"/>
        <v>0.17510495649800506</v>
      </c>
      <c r="FX59" s="1111">
        <f t="shared" si="31"/>
        <v>0.17528687643891486</v>
      </c>
      <c r="FY59" s="1111">
        <f t="shared" si="32"/>
        <v>0.17538590224127698</v>
      </c>
      <c r="FZ59" s="1111">
        <f t="shared" si="33"/>
        <v>0.17544084496896875</v>
      </c>
      <c r="GA59" s="1111">
        <f t="shared" si="34"/>
        <v>0.17548448269919162</v>
      </c>
      <c r="GB59" s="1111">
        <f t="shared" si="35"/>
        <v>0.17548448269919162</v>
      </c>
      <c r="GC59" s="1111">
        <f t="shared" si="59"/>
        <v>0.92238061286946038</v>
      </c>
      <c r="GD59" s="1111">
        <f t="shared" si="60"/>
        <v>0.62943793516757862</v>
      </c>
      <c r="GE59" s="1111">
        <f t="shared" si="61"/>
        <v>0.31467259462042407</v>
      </c>
      <c r="GF59" s="1111">
        <f t="shared" si="62"/>
        <v>0.10061250353824766</v>
      </c>
      <c r="GG59" s="1111">
        <f t="shared" si="63"/>
        <v>5.4985249894676312E-2</v>
      </c>
      <c r="GH59" s="1111">
        <f t="shared" si="64"/>
        <v>5.4618355481547878E-2</v>
      </c>
      <c r="GI59" s="1111">
        <f t="shared" si="65"/>
        <v>5.4711318478445729E-2</v>
      </c>
      <c r="GJ59" s="1111">
        <f t="shared" si="66"/>
        <v>5.4760742474708184E-2</v>
      </c>
      <c r="GK59" s="1111">
        <f t="shared" si="67"/>
        <v>5.4789176303886238E-2</v>
      </c>
      <c r="GL59" s="1111">
        <f t="shared" si="68"/>
        <v>5.4808877163252182E-2</v>
      </c>
      <c r="GM59" s="1111">
        <f t="shared" si="69"/>
        <v>5.4808877163252182E-2</v>
      </c>
    </row>
    <row r="60" spans="1:195" x14ac:dyDescent="0.2">
      <c r="A60" s="1066"/>
      <c r="B60" s="1066"/>
      <c r="C60" s="1066"/>
      <c r="D60" s="1066"/>
      <c r="E60" s="1066"/>
      <c r="F60" s="1066"/>
      <c r="H60" s="1104"/>
      <c r="I60" s="1119"/>
      <c r="J60" s="1104"/>
      <c r="K60" s="1104"/>
      <c r="L60" s="1104"/>
      <c r="M60" s="1104"/>
      <c r="N60" s="1104"/>
      <c r="O60" s="1104"/>
      <c r="P60" s="1104"/>
      <c r="Q60" s="1104"/>
      <c r="R60" s="1104"/>
      <c r="S60" s="1104"/>
      <c r="T60" s="1104"/>
      <c r="U60" s="1104"/>
      <c r="V60" s="1104"/>
      <c r="W60" s="1104"/>
      <c r="X60" s="1104"/>
      <c r="Y60" s="1104"/>
      <c r="Z60" s="1104"/>
      <c r="AA60" s="1104"/>
      <c r="AB60" s="1104"/>
      <c r="AC60" s="1104"/>
      <c r="AD60" s="1104"/>
      <c r="AE60" s="1104"/>
      <c r="AF60" s="1104"/>
      <c r="AG60" s="1104"/>
      <c r="AH60" s="1104"/>
      <c r="AI60" s="1104"/>
      <c r="AJ60" s="1104"/>
      <c r="AK60" s="1104"/>
      <c r="AL60" s="1104"/>
      <c r="AM60" s="1104"/>
      <c r="AN60" s="1104"/>
      <c r="AO60" s="1104"/>
      <c r="AP60" s="1104"/>
      <c r="AQ60" s="1104"/>
      <c r="AR60" s="1104"/>
      <c r="AS60" s="1104"/>
      <c r="AT60" s="1104"/>
      <c r="AU60" s="1104"/>
      <c r="AV60" s="1104"/>
      <c r="AW60" s="1104"/>
      <c r="AX60" s="1104"/>
      <c r="AY60" s="1104"/>
      <c r="AZ60" s="1104"/>
      <c r="BA60" s="1104"/>
      <c r="BB60" s="1104"/>
      <c r="BC60" s="1104"/>
      <c r="BD60" s="1104"/>
      <c r="BE60" s="1104"/>
      <c r="BF60" s="1104"/>
      <c r="BG60" s="1104"/>
      <c r="BH60" s="1104"/>
      <c r="BI60" s="1104"/>
      <c r="BJ60" s="1104"/>
      <c r="BK60" s="1104"/>
      <c r="BL60" s="1104"/>
      <c r="BM60" s="1104"/>
      <c r="BN60" s="1104"/>
      <c r="BO60" s="1104"/>
      <c r="BP60" s="1104"/>
      <c r="BQ60" s="1104"/>
      <c r="BR60" s="1104"/>
      <c r="BS60" s="1104"/>
      <c r="BT60" s="1104"/>
      <c r="BU60" s="1104"/>
      <c r="BV60" s="1104"/>
      <c r="BW60" s="1104"/>
      <c r="BX60" s="1104"/>
      <c r="BY60" s="1104"/>
      <c r="BZ60" s="1104"/>
      <c r="CA60" s="1104"/>
      <c r="CB60" s="1104"/>
      <c r="CC60" s="1104"/>
      <c r="CD60" s="1104"/>
      <c r="CE60" s="1104"/>
      <c r="CF60" s="1104"/>
      <c r="CG60" s="1104"/>
      <c r="CH60" s="1104"/>
      <c r="CI60" s="1104"/>
      <c r="CJ60" s="1104"/>
      <c r="CK60" s="1104"/>
      <c r="CL60" s="1104"/>
      <c r="CM60" s="1104"/>
      <c r="CN60" s="1104"/>
      <c r="CO60" s="1104"/>
      <c r="CP60" s="1104"/>
      <c r="CQ60" s="1104"/>
      <c r="CR60" s="1104"/>
      <c r="CS60" s="1104"/>
      <c r="CT60" s="1104"/>
      <c r="CU60" s="1104"/>
      <c r="CV60" s="1104"/>
      <c r="CW60" s="1104"/>
      <c r="CX60" s="1104"/>
      <c r="CY60" s="1104"/>
      <c r="CZ60" s="1104"/>
      <c r="DA60" s="1104"/>
      <c r="DB60" s="1104"/>
      <c r="DC60" s="1104"/>
      <c r="DD60" s="1104"/>
      <c r="DE60" s="1104"/>
      <c r="DF60" s="1104"/>
      <c r="DG60" s="1104"/>
      <c r="DH60" s="1104"/>
      <c r="DI60" s="1104"/>
      <c r="DJ60" s="1104"/>
      <c r="DK60" s="1104"/>
      <c r="DL60" s="1104"/>
      <c r="DM60" s="1104"/>
      <c r="DN60" s="1104"/>
      <c r="DO60" s="1104"/>
      <c r="DP60" s="1104"/>
      <c r="DQ60" s="1104"/>
      <c r="DR60" s="1104"/>
      <c r="DS60" s="1104"/>
      <c r="DT60" s="1104"/>
      <c r="DU60" s="1104"/>
      <c r="DV60" s="1104"/>
      <c r="DW60" s="1104"/>
      <c r="DX60" s="1104"/>
      <c r="DY60" s="1104"/>
      <c r="DZ60" s="1104"/>
      <c r="EA60" s="1104"/>
      <c r="EB60" s="1104"/>
      <c r="EC60" s="1104"/>
      <c r="ED60" s="1104"/>
      <c r="EE60" s="1104"/>
      <c r="EF60" s="1104"/>
      <c r="EG60" s="1104"/>
      <c r="EH60" s="1104"/>
      <c r="EI60" s="1104"/>
      <c r="EJ60" s="1104"/>
      <c r="EK60" s="1104"/>
      <c r="EL60" s="1104"/>
      <c r="EM60" s="1104"/>
      <c r="EN60" s="1104"/>
      <c r="EO60" s="1104"/>
      <c r="EP60" s="1104"/>
      <c r="EQ60" s="1104"/>
      <c r="ER60" s="1104"/>
      <c r="ES60" s="1104"/>
      <c r="ET60" s="1104"/>
      <c r="EU60" s="1104"/>
      <c r="EV60" s="1104"/>
      <c r="EW60" s="1104"/>
      <c r="EX60" s="1104"/>
      <c r="EY60" s="1104"/>
      <c r="EZ60" s="1104"/>
      <c r="FA60" s="1104"/>
      <c r="FB60" s="1104"/>
      <c r="FC60" s="1104"/>
      <c r="FD60" s="1104"/>
      <c r="FE60" s="1104"/>
      <c r="FF60" s="1104"/>
      <c r="FG60" s="1104"/>
      <c r="FH60" s="1104"/>
      <c r="FI60" s="1104"/>
      <c r="FJ60" s="1104"/>
      <c r="FK60" s="1104"/>
      <c r="FL60" s="1104"/>
      <c r="FM60" s="1104"/>
      <c r="FN60" s="1104"/>
      <c r="FO60" s="1104"/>
      <c r="FP60" s="1104"/>
      <c r="FQ60" s="1104"/>
      <c r="FR60" s="1104"/>
      <c r="FS60" s="1104"/>
      <c r="FT60" s="1104"/>
      <c r="FU60" s="1104"/>
      <c r="FV60" s="1104"/>
      <c r="FW60" s="1104"/>
      <c r="FX60" s="1104"/>
      <c r="FY60" s="1104"/>
      <c r="FZ60" s="1104"/>
      <c r="GA60" s="1104"/>
      <c r="GB60" s="1104"/>
      <c r="GC60" s="1104"/>
      <c r="GD60" s="1104"/>
      <c r="GE60" s="1104"/>
      <c r="GF60" s="1104"/>
      <c r="GG60" s="1104"/>
      <c r="GH60" s="1104"/>
      <c r="GI60" s="1104"/>
      <c r="GJ60" s="1104"/>
      <c r="GK60" s="1104"/>
      <c r="GL60" s="1104"/>
      <c r="GM60" s="1104"/>
    </row>
    <row r="61" spans="1:195" x14ac:dyDescent="0.2">
      <c r="A61" s="1066"/>
      <c r="B61" s="1066"/>
      <c r="C61" s="1066"/>
      <c r="D61" s="1066"/>
      <c r="E61" s="1066"/>
      <c r="F61" s="1066"/>
      <c r="H61" s="1104"/>
      <c r="I61" s="1119"/>
      <c r="J61" s="1104"/>
      <c r="K61" s="1104"/>
      <c r="L61" s="1104"/>
      <c r="M61" s="1104"/>
      <c r="N61" s="1104"/>
      <c r="O61" s="1104"/>
      <c r="P61" s="1104"/>
      <c r="Q61" s="1104"/>
      <c r="R61" s="1104"/>
      <c r="S61" s="1104"/>
      <c r="T61" s="1104"/>
      <c r="U61" s="1104"/>
      <c r="V61" s="1104"/>
      <c r="W61" s="1104"/>
      <c r="X61" s="1104"/>
      <c r="Y61" s="1104"/>
      <c r="Z61" s="1104"/>
      <c r="AA61" s="1104"/>
      <c r="AB61" s="1104"/>
      <c r="AC61" s="1104"/>
      <c r="AD61" s="1104"/>
      <c r="AE61" s="1104"/>
      <c r="AF61" s="1104"/>
      <c r="AG61" s="1104"/>
      <c r="AH61" s="1104"/>
      <c r="AI61" s="1104"/>
      <c r="AJ61" s="1104"/>
      <c r="AK61" s="1104"/>
      <c r="AL61" s="1104"/>
      <c r="AM61" s="1104"/>
      <c r="AN61" s="1104"/>
      <c r="AO61" s="1104"/>
      <c r="AP61" s="1104"/>
      <c r="AQ61" s="1104"/>
      <c r="AR61" s="1104"/>
      <c r="AS61" s="1104"/>
      <c r="AT61" s="1104"/>
      <c r="AU61" s="1104"/>
      <c r="AV61" s="1104"/>
      <c r="AW61" s="1104"/>
      <c r="AX61" s="1104"/>
      <c r="AY61" s="1104"/>
      <c r="AZ61" s="1104"/>
      <c r="BA61" s="1104"/>
      <c r="BB61" s="1104"/>
      <c r="BC61" s="1104"/>
      <c r="BD61" s="1104"/>
      <c r="BE61" s="1104"/>
      <c r="BF61" s="1104"/>
      <c r="BG61" s="1104"/>
      <c r="BH61" s="1104"/>
      <c r="BI61" s="1104"/>
      <c r="BJ61" s="1104"/>
      <c r="BK61" s="1104"/>
      <c r="BL61" s="1104"/>
      <c r="BM61" s="1104"/>
      <c r="BN61" s="1104"/>
      <c r="BO61" s="1104"/>
      <c r="BP61" s="1104"/>
      <c r="BQ61" s="1104"/>
      <c r="BR61" s="1104"/>
      <c r="BS61" s="1104"/>
      <c r="BT61" s="1104"/>
      <c r="BU61" s="1104"/>
      <c r="BV61" s="1104"/>
      <c r="BW61" s="1104"/>
      <c r="BX61" s="1104"/>
      <c r="BY61" s="1104"/>
      <c r="BZ61" s="1104"/>
      <c r="CA61" s="1104"/>
      <c r="CB61" s="1104"/>
      <c r="CC61" s="1104"/>
      <c r="CD61" s="1104"/>
      <c r="CE61" s="1104"/>
      <c r="CF61" s="1104"/>
      <c r="CG61" s="1104"/>
      <c r="CH61" s="1104"/>
      <c r="CI61" s="1104"/>
      <c r="CJ61" s="1104"/>
      <c r="CK61" s="1104"/>
      <c r="CL61" s="1104"/>
      <c r="CM61" s="1104"/>
      <c r="CN61" s="1104"/>
      <c r="CO61" s="1104"/>
      <c r="CP61" s="1104"/>
      <c r="CQ61" s="1104"/>
      <c r="CR61" s="1104"/>
      <c r="CS61" s="1104"/>
      <c r="CT61" s="1104"/>
      <c r="CU61" s="1104"/>
      <c r="CV61" s="1104"/>
      <c r="CW61" s="1104"/>
      <c r="CX61" s="1104"/>
      <c r="CY61" s="1104"/>
      <c r="CZ61" s="1104"/>
      <c r="DA61" s="1104"/>
      <c r="DB61" s="1104"/>
      <c r="DC61" s="1104"/>
      <c r="DD61" s="1104"/>
      <c r="DE61" s="1104"/>
      <c r="DF61" s="1104"/>
      <c r="DG61" s="1104"/>
      <c r="DH61" s="1104"/>
      <c r="DI61" s="1104"/>
      <c r="DJ61" s="1104"/>
      <c r="DK61" s="1104"/>
      <c r="DL61" s="1104"/>
      <c r="DM61" s="1104"/>
      <c r="DN61" s="1104"/>
      <c r="DO61" s="1104"/>
      <c r="DP61" s="1104"/>
      <c r="DQ61" s="1104"/>
      <c r="DR61" s="1104"/>
      <c r="DS61" s="1104"/>
      <c r="DT61" s="1104"/>
      <c r="DU61" s="1104"/>
      <c r="DV61" s="1104"/>
      <c r="DW61" s="1104"/>
      <c r="DX61" s="1104"/>
      <c r="DY61" s="1104"/>
      <c r="DZ61" s="1104"/>
      <c r="EA61" s="1104"/>
      <c r="EB61" s="1104"/>
      <c r="EC61" s="1104"/>
      <c r="ED61" s="1104"/>
      <c r="EE61" s="1104"/>
      <c r="EF61" s="1104"/>
      <c r="EG61" s="1104"/>
      <c r="EH61" s="1104"/>
      <c r="EI61" s="1104"/>
      <c r="EJ61" s="1104"/>
      <c r="EK61" s="1104"/>
      <c r="EL61" s="1104"/>
      <c r="EM61" s="1104"/>
      <c r="EN61" s="1104"/>
      <c r="EO61" s="1104"/>
      <c r="EP61" s="1104"/>
      <c r="EQ61" s="1104"/>
      <c r="ER61" s="1104"/>
      <c r="ES61" s="1104"/>
      <c r="ET61" s="1104"/>
      <c r="EU61" s="1104"/>
      <c r="EV61" s="1104"/>
      <c r="EW61" s="1104"/>
      <c r="EX61" s="1104"/>
      <c r="EY61" s="1104"/>
      <c r="EZ61" s="1104"/>
      <c r="FA61" s="1104"/>
      <c r="FB61" s="1104"/>
      <c r="FC61" s="1104"/>
      <c r="FD61" s="1104"/>
      <c r="FE61" s="1104"/>
      <c r="FF61" s="1104"/>
      <c r="FG61" s="1104"/>
      <c r="FH61" s="1104"/>
      <c r="FI61" s="1104"/>
      <c r="FJ61" s="1104"/>
      <c r="FK61" s="1104"/>
      <c r="FL61" s="1104"/>
      <c r="FM61" s="1104"/>
      <c r="FN61" s="1104"/>
      <c r="FO61" s="1104"/>
      <c r="FP61" s="1104"/>
      <c r="FQ61" s="1104"/>
      <c r="FR61" s="1104"/>
      <c r="FS61" s="1104"/>
      <c r="FT61" s="1104"/>
      <c r="FU61" s="1104"/>
      <c r="FV61" s="1104"/>
      <c r="FW61" s="1104"/>
      <c r="FX61" s="1104"/>
      <c r="FY61" s="1104"/>
      <c r="FZ61" s="1104"/>
      <c r="GA61" s="1104"/>
      <c r="GB61" s="1104"/>
      <c r="GC61" s="1104"/>
      <c r="GD61" s="1104"/>
      <c r="GE61" s="1104"/>
      <c r="GF61" s="1104"/>
      <c r="GG61" s="1104"/>
      <c r="GH61" s="1104"/>
      <c r="GI61" s="1104"/>
      <c r="GJ61" s="1104"/>
      <c r="GK61" s="1104"/>
      <c r="GL61" s="1104"/>
      <c r="GM61" s="1104"/>
    </row>
    <row r="62" spans="1:195" x14ac:dyDescent="0.2">
      <c r="A62" s="1066"/>
      <c r="B62" s="1066"/>
      <c r="C62" s="1066"/>
      <c r="D62" s="1066"/>
      <c r="E62" s="1066"/>
      <c r="F62" s="1066"/>
      <c r="H62" s="1104"/>
      <c r="I62" s="1119"/>
      <c r="J62" s="1104"/>
      <c r="K62" s="1104"/>
      <c r="L62" s="1104"/>
      <c r="M62" s="1104"/>
      <c r="N62" s="1104"/>
      <c r="O62" s="1104"/>
      <c r="P62" s="1104"/>
      <c r="Q62" s="1104"/>
      <c r="R62" s="1104"/>
      <c r="S62" s="1104"/>
      <c r="T62" s="1104"/>
      <c r="U62" s="1104"/>
      <c r="V62" s="1104"/>
      <c r="W62" s="1104"/>
      <c r="X62" s="1104"/>
      <c r="Y62" s="1104"/>
      <c r="Z62" s="1104"/>
      <c r="AA62" s="1104"/>
      <c r="AB62" s="1104"/>
      <c r="AC62" s="1104"/>
      <c r="AD62" s="1104"/>
      <c r="AE62" s="1104"/>
      <c r="AF62" s="1104"/>
      <c r="AG62" s="1104"/>
      <c r="AH62" s="1104"/>
      <c r="AI62" s="1104"/>
      <c r="AJ62" s="1104"/>
      <c r="AK62" s="1104"/>
      <c r="AL62" s="1104"/>
      <c r="AM62" s="1104"/>
      <c r="AN62" s="1104"/>
      <c r="AO62" s="1104"/>
      <c r="AP62" s="1104"/>
      <c r="AQ62" s="1104"/>
      <c r="AR62" s="1104"/>
      <c r="AS62" s="1104"/>
      <c r="AT62" s="1104"/>
      <c r="AU62" s="1104"/>
      <c r="AV62" s="1104"/>
      <c r="AW62" s="1104"/>
      <c r="AX62" s="1104"/>
      <c r="AY62" s="1104"/>
      <c r="AZ62" s="1104"/>
      <c r="BA62" s="1104"/>
      <c r="BB62" s="1104"/>
      <c r="BC62" s="1104"/>
      <c r="BD62" s="1104"/>
      <c r="BE62" s="1104"/>
      <c r="BF62" s="1104"/>
      <c r="BG62" s="1104"/>
      <c r="BH62" s="1104"/>
      <c r="BI62" s="1104"/>
      <c r="BJ62" s="1104"/>
      <c r="BK62" s="1104"/>
      <c r="BL62" s="1104"/>
      <c r="BM62" s="1104"/>
      <c r="BN62" s="1104"/>
      <c r="BO62" s="1104"/>
      <c r="BP62" s="1104"/>
      <c r="BQ62" s="1104"/>
      <c r="BR62" s="1104"/>
      <c r="BS62" s="1104"/>
      <c r="BT62" s="1104"/>
      <c r="BU62" s="1104"/>
      <c r="BV62" s="1104"/>
      <c r="BW62" s="1104"/>
      <c r="BX62" s="1104"/>
      <c r="BY62" s="1104"/>
      <c r="BZ62" s="1104"/>
      <c r="CA62" s="1104"/>
      <c r="CB62" s="1104"/>
      <c r="CC62" s="1104"/>
      <c r="CD62" s="1104"/>
      <c r="CE62" s="1104"/>
      <c r="CF62" s="1104"/>
      <c r="CG62" s="1104"/>
      <c r="CH62" s="1104"/>
      <c r="CI62" s="1104"/>
      <c r="CJ62" s="1104"/>
      <c r="CK62" s="1104"/>
      <c r="CL62" s="1104"/>
      <c r="CM62" s="1104"/>
      <c r="CN62" s="1104"/>
      <c r="CO62" s="1104"/>
      <c r="CP62" s="1104"/>
      <c r="CQ62" s="1104"/>
      <c r="CR62" s="1104"/>
      <c r="CS62" s="1104"/>
      <c r="CT62" s="1104"/>
      <c r="CU62" s="1104"/>
      <c r="CV62" s="1104"/>
      <c r="CW62" s="1104"/>
      <c r="CX62" s="1104"/>
      <c r="CY62" s="1104"/>
      <c r="CZ62" s="1104"/>
      <c r="DA62" s="1104"/>
      <c r="DB62" s="1104"/>
      <c r="DC62" s="1104"/>
      <c r="DD62" s="1104"/>
      <c r="DE62" s="1104"/>
      <c r="DF62" s="1104"/>
      <c r="DG62" s="1104"/>
      <c r="DH62" s="1104"/>
      <c r="DI62" s="1104"/>
      <c r="DJ62" s="1104"/>
      <c r="DK62" s="1104"/>
      <c r="DL62" s="1104"/>
      <c r="DM62" s="1104"/>
      <c r="DN62" s="1104"/>
      <c r="DO62" s="1104"/>
      <c r="DP62" s="1104"/>
      <c r="DQ62" s="1104"/>
      <c r="DR62" s="1104"/>
      <c r="DS62" s="1104"/>
      <c r="DT62" s="1104"/>
      <c r="DU62" s="1104"/>
      <c r="DV62" s="1104"/>
      <c r="DW62" s="1104"/>
      <c r="DX62" s="1104"/>
      <c r="DY62" s="1104"/>
      <c r="DZ62" s="1104"/>
      <c r="EA62" s="1104"/>
      <c r="EB62" s="1104"/>
      <c r="EC62" s="1104"/>
      <c r="ED62" s="1104"/>
      <c r="EE62" s="1104"/>
      <c r="EF62" s="1104"/>
      <c r="EG62" s="1104"/>
      <c r="EH62" s="1104"/>
      <c r="EI62" s="1104"/>
      <c r="EJ62" s="1104"/>
      <c r="EK62" s="1104"/>
      <c r="EL62" s="1104"/>
      <c r="EM62" s="1104"/>
      <c r="EN62" s="1104"/>
      <c r="EO62" s="1104"/>
      <c r="EP62" s="1104"/>
      <c r="EQ62" s="1104"/>
      <c r="ER62" s="1104"/>
      <c r="ES62" s="1104"/>
      <c r="ET62" s="1104"/>
      <c r="EU62" s="1104"/>
      <c r="EV62" s="1104"/>
      <c r="EW62" s="1104"/>
      <c r="EX62" s="1104"/>
      <c r="EY62" s="1104"/>
      <c r="EZ62" s="1104"/>
      <c r="FA62" s="1104"/>
      <c r="FB62" s="1104"/>
      <c r="FC62" s="1104"/>
      <c r="FD62" s="1104"/>
      <c r="FE62" s="1104"/>
      <c r="FF62" s="1104"/>
      <c r="FG62" s="1104"/>
      <c r="FH62" s="1104"/>
      <c r="FI62" s="1104"/>
      <c r="FJ62" s="1104"/>
      <c r="FK62" s="1104"/>
      <c r="FL62" s="1104"/>
      <c r="FM62" s="1104"/>
      <c r="FN62" s="1104"/>
      <c r="FO62" s="1104"/>
      <c r="FP62" s="1104"/>
      <c r="FQ62" s="1104"/>
      <c r="FR62" s="1104"/>
      <c r="FS62" s="1104"/>
      <c r="FT62" s="1104"/>
      <c r="FU62" s="1104"/>
      <c r="FV62" s="1104"/>
      <c r="FW62" s="1104"/>
      <c r="FX62" s="1104"/>
      <c r="FY62" s="1104"/>
      <c r="FZ62" s="1104"/>
      <c r="GA62" s="1104"/>
      <c r="GB62" s="1104"/>
      <c r="GC62" s="1104"/>
      <c r="GD62" s="1104"/>
      <c r="GE62" s="1104"/>
      <c r="GF62" s="1104"/>
      <c r="GG62" s="1104"/>
      <c r="GH62" s="1104"/>
      <c r="GI62" s="1104"/>
      <c r="GJ62" s="1104"/>
      <c r="GK62" s="1104"/>
      <c r="GL62" s="1104"/>
      <c r="GM62" s="1104"/>
    </row>
    <row r="63" spans="1:195" x14ac:dyDescent="0.2">
      <c r="A63" s="1066"/>
      <c r="B63" s="1066"/>
      <c r="C63" s="1066"/>
      <c r="D63" s="1066"/>
      <c r="E63" s="1066"/>
      <c r="F63" s="1066"/>
      <c r="H63" s="1104"/>
      <c r="I63" s="1119"/>
      <c r="J63" s="1104"/>
      <c r="K63" s="1104"/>
      <c r="L63" s="1104"/>
      <c r="M63" s="1104"/>
      <c r="N63" s="1104"/>
      <c r="O63" s="1104"/>
      <c r="P63" s="1104"/>
      <c r="Q63" s="1104"/>
      <c r="R63" s="1104"/>
      <c r="S63" s="1104"/>
      <c r="T63" s="1104"/>
      <c r="U63" s="1104"/>
      <c r="V63" s="1104"/>
      <c r="W63" s="1104"/>
      <c r="X63" s="1104"/>
      <c r="Y63" s="1104"/>
      <c r="Z63" s="1104"/>
      <c r="AA63" s="1104"/>
      <c r="AB63" s="1104"/>
      <c r="AC63" s="1104"/>
      <c r="AD63" s="1104"/>
      <c r="AE63" s="1104"/>
      <c r="AF63" s="1104"/>
      <c r="AG63" s="1104"/>
      <c r="AH63" s="1104"/>
      <c r="AI63" s="1104"/>
      <c r="AJ63" s="1104"/>
      <c r="AK63" s="1104"/>
      <c r="AL63" s="1104"/>
      <c r="AM63" s="1104"/>
      <c r="AN63" s="1104"/>
      <c r="AO63" s="1104"/>
      <c r="AP63" s="1104"/>
      <c r="AQ63" s="1104"/>
      <c r="AR63" s="1104"/>
      <c r="AS63" s="1104"/>
      <c r="AT63" s="1104"/>
      <c r="AU63" s="1104"/>
      <c r="AV63" s="1104"/>
      <c r="AW63" s="1104"/>
      <c r="AX63" s="1104"/>
      <c r="AY63" s="1104"/>
      <c r="AZ63" s="1104"/>
      <c r="BA63" s="1104"/>
      <c r="BB63" s="1104"/>
      <c r="BC63" s="1104"/>
      <c r="BD63" s="1104"/>
      <c r="BE63" s="1104"/>
      <c r="BF63" s="1104"/>
      <c r="BG63" s="1104"/>
      <c r="BH63" s="1104"/>
      <c r="BI63" s="1104"/>
      <c r="BJ63" s="1104"/>
      <c r="BK63" s="1104"/>
      <c r="BL63" s="1104"/>
      <c r="BM63" s="1104"/>
      <c r="BN63" s="1104"/>
      <c r="BO63" s="1104"/>
      <c r="BP63" s="1104"/>
      <c r="BQ63" s="1104"/>
      <c r="BR63" s="1104"/>
      <c r="BS63" s="1104"/>
      <c r="BT63" s="1104"/>
      <c r="BU63" s="1104"/>
      <c r="BV63" s="1104"/>
      <c r="BW63" s="1104"/>
      <c r="BX63" s="1104"/>
      <c r="BY63" s="1104"/>
      <c r="BZ63" s="1104"/>
      <c r="CA63" s="1104"/>
      <c r="CB63" s="1104"/>
      <c r="CC63" s="1104"/>
      <c r="CD63" s="1104"/>
      <c r="CE63" s="1104"/>
      <c r="CF63" s="1104"/>
      <c r="CG63" s="1104"/>
      <c r="CH63" s="1104"/>
      <c r="CI63" s="1104"/>
      <c r="CJ63" s="1104"/>
      <c r="CK63" s="1104"/>
      <c r="CL63" s="1104"/>
      <c r="CM63" s="1104"/>
      <c r="CN63" s="1104"/>
      <c r="CO63" s="1104"/>
      <c r="CP63" s="1104"/>
      <c r="CQ63" s="1104"/>
      <c r="CR63" s="1104"/>
      <c r="CS63" s="1104"/>
      <c r="CT63" s="1104"/>
      <c r="CU63" s="1104"/>
      <c r="CV63" s="1104"/>
      <c r="CW63" s="1104"/>
      <c r="CX63" s="1104"/>
      <c r="CY63" s="1104"/>
      <c r="CZ63" s="1104"/>
      <c r="DA63" s="1104"/>
      <c r="DB63" s="1104"/>
      <c r="DC63" s="1104"/>
      <c r="DD63" s="1104"/>
      <c r="DE63" s="1104"/>
      <c r="DF63" s="1104"/>
      <c r="DG63" s="1104"/>
      <c r="DH63" s="1104"/>
      <c r="DI63" s="1104"/>
      <c r="DJ63" s="1104"/>
      <c r="DK63" s="1104"/>
      <c r="DL63" s="1104"/>
      <c r="DM63" s="1104"/>
      <c r="DN63" s="1104"/>
      <c r="DO63" s="1104"/>
      <c r="DP63" s="1104"/>
      <c r="DQ63" s="1104"/>
      <c r="DR63" s="1104"/>
      <c r="DS63" s="1104"/>
      <c r="DT63" s="1104"/>
      <c r="DU63" s="1104"/>
      <c r="DV63" s="1104"/>
      <c r="DW63" s="1104"/>
      <c r="DX63" s="1104"/>
      <c r="DY63" s="1104"/>
      <c r="DZ63" s="1104"/>
      <c r="EA63" s="1104"/>
      <c r="EB63" s="1104"/>
      <c r="EC63" s="1104"/>
      <c r="ED63" s="1104"/>
      <c r="EE63" s="1104"/>
      <c r="EF63" s="1104"/>
      <c r="EG63" s="1104"/>
      <c r="EH63" s="1104"/>
      <c r="EI63" s="1104"/>
      <c r="EJ63" s="1104"/>
      <c r="EK63" s="1104"/>
      <c r="EL63" s="1104"/>
      <c r="EM63" s="1104"/>
      <c r="EN63" s="1104"/>
      <c r="EO63" s="1104"/>
      <c r="EP63" s="1104"/>
      <c r="EQ63" s="1104"/>
      <c r="ER63" s="1104"/>
      <c r="ES63" s="1104"/>
      <c r="ET63" s="1104"/>
      <c r="EU63" s="1104"/>
      <c r="EV63" s="1104"/>
      <c r="EW63" s="1104"/>
      <c r="EX63" s="1104"/>
      <c r="EY63" s="1104"/>
      <c r="EZ63" s="1104"/>
      <c r="FA63" s="1104"/>
      <c r="FB63" s="1104"/>
      <c r="FC63" s="1104"/>
      <c r="FD63" s="1104"/>
      <c r="FE63" s="1104"/>
      <c r="FF63" s="1104"/>
      <c r="FG63" s="1104"/>
      <c r="FH63" s="1104"/>
      <c r="FI63" s="1104"/>
      <c r="FJ63" s="1104"/>
      <c r="FK63" s="1104"/>
      <c r="FL63" s="1104"/>
      <c r="FM63" s="1104"/>
      <c r="FN63" s="1104"/>
      <c r="FO63" s="1104"/>
      <c r="FP63" s="1104"/>
      <c r="FQ63" s="1104"/>
      <c r="FR63" s="1104"/>
      <c r="FS63" s="1104"/>
      <c r="FT63" s="1104"/>
      <c r="FU63" s="1104"/>
      <c r="FV63" s="1104"/>
      <c r="FW63" s="1104"/>
      <c r="FX63" s="1104"/>
      <c r="FY63" s="1104"/>
      <c r="FZ63" s="1104"/>
      <c r="GA63" s="1104"/>
      <c r="GB63" s="1104"/>
      <c r="GC63" s="1104"/>
      <c r="GD63" s="1104"/>
      <c r="GE63" s="1104"/>
      <c r="GF63" s="1104"/>
      <c r="GG63" s="1104"/>
      <c r="GH63" s="1104"/>
      <c r="GI63" s="1104"/>
      <c r="GJ63" s="1104"/>
      <c r="GK63" s="1104"/>
      <c r="GL63" s="1104"/>
      <c r="GM63" s="1104"/>
    </row>
    <row r="64" spans="1:195" x14ac:dyDescent="0.2">
      <c r="A64" s="1066"/>
      <c r="B64" s="1066"/>
      <c r="C64" s="1066"/>
      <c r="D64" s="1066"/>
      <c r="E64" s="1066"/>
      <c r="F64" s="1066"/>
      <c r="H64" s="1104"/>
      <c r="I64" s="1119"/>
      <c r="J64" s="1104"/>
      <c r="K64" s="1104"/>
      <c r="L64" s="1104"/>
      <c r="M64" s="1104"/>
      <c r="N64" s="1104"/>
      <c r="O64" s="1104"/>
      <c r="P64" s="1104"/>
      <c r="Q64" s="1104"/>
      <c r="R64" s="1104"/>
      <c r="S64" s="1104"/>
      <c r="T64" s="1104"/>
      <c r="U64" s="1104"/>
      <c r="V64" s="1104"/>
      <c r="W64" s="1104"/>
      <c r="X64" s="1104"/>
      <c r="Y64" s="1104"/>
      <c r="Z64" s="1104"/>
      <c r="AA64" s="1104"/>
      <c r="AB64" s="1104"/>
      <c r="AC64" s="1104"/>
      <c r="AD64" s="1104"/>
      <c r="AE64" s="1104"/>
      <c r="AF64" s="1104"/>
      <c r="AG64" s="1104"/>
      <c r="AH64" s="1104"/>
      <c r="AI64" s="1104"/>
      <c r="AJ64" s="1104"/>
      <c r="AK64" s="1104"/>
      <c r="AL64" s="1104"/>
      <c r="AM64" s="1104"/>
      <c r="AN64" s="1104"/>
      <c r="AO64" s="1104"/>
      <c r="AP64" s="1104"/>
      <c r="AQ64" s="1104"/>
      <c r="AR64" s="1104"/>
      <c r="AS64" s="1104"/>
      <c r="AT64" s="1104"/>
      <c r="AU64" s="1104"/>
      <c r="AV64" s="1104"/>
      <c r="AW64" s="1104"/>
      <c r="AX64" s="1104"/>
      <c r="AY64" s="1104"/>
      <c r="AZ64" s="1104"/>
      <c r="BA64" s="1104"/>
      <c r="BB64" s="1104"/>
      <c r="BC64" s="1104"/>
      <c r="BD64" s="1104"/>
      <c r="BE64" s="1104"/>
      <c r="BF64" s="1104"/>
      <c r="BG64" s="1104"/>
      <c r="BH64" s="1104"/>
      <c r="BI64" s="1104"/>
      <c r="BJ64" s="1104"/>
      <c r="BK64" s="1104"/>
      <c r="BL64" s="1104"/>
      <c r="BM64" s="1104"/>
      <c r="BN64" s="1104"/>
      <c r="BO64" s="1104"/>
      <c r="BP64" s="1104"/>
      <c r="BQ64" s="1104"/>
      <c r="BR64" s="1104"/>
      <c r="BS64" s="1104"/>
      <c r="BT64" s="1104"/>
      <c r="BU64" s="1104"/>
      <c r="BV64" s="1104"/>
      <c r="BW64" s="1104"/>
      <c r="BX64" s="1104"/>
      <c r="BY64" s="1104"/>
      <c r="BZ64" s="1104"/>
      <c r="CA64" s="1104"/>
      <c r="CB64" s="1104"/>
      <c r="CC64" s="1104"/>
      <c r="CD64" s="1104"/>
      <c r="CE64" s="1104"/>
      <c r="CF64" s="1104"/>
      <c r="CG64" s="1104"/>
      <c r="CH64" s="1104"/>
      <c r="CI64" s="1104"/>
      <c r="CJ64" s="1104"/>
      <c r="CK64" s="1104"/>
      <c r="CL64" s="1104"/>
      <c r="CM64" s="1104"/>
      <c r="CN64" s="1104"/>
      <c r="CO64" s="1104"/>
      <c r="CP64" s="1104"/>
      <c r="CQ64" s="1104"/>
      <c r="CR64" s="1104"/>
      <c r="CS64" s="1104"/>
      <c r="CT64" s="1104"/>
      <c r="CU64" s="1104"/>
      <c r="CV64" s="1104"/>
      <c r="CW64" s="1104"/>
      <c r="CX64" s="1104"/>
      <c r="CY64" s="1104"/>
      <c r="CZ64" s="1104"/>
      <c r="DA64" s="1104"/>
      <c r="DB64" s="1104"/>
      <c r="DC64" s="1104"/>
      <c r="DD64" s="1104"/>
      <c r="DE64" s="1104"/>
      <c r="DF64" s="1104"/>
      <c r="DG64" s="1104"/>
      <c r="DH64" s="1104"/>
      <c r="DI64" s="1104"/>
      <c r="DJ64" s="1104"/>
      <c r="DK64" s="1104"/>
      <c r="DL64" s="1104"/>
      <c r="DM64" s="1104"/>
      <c r="DN64" s="1104"/>
      <c r="DO64" s="1104"/>
      <c r="DP64" s="1104"/>
      <c r="DQ64" s="1104"/>
      <c r="DR64" s="1104"/>
      <c r="DS64" s="1104"/>
      <c r="DT64" s="1104"/>
      <c r="DU64" s="1104"/>
      <c r="DV64" s="1104"/>
      <c r="DW64" s="1104"/>
      <c r="DX64" s="1104"/>
      <c r="DY64" s="1104"/>
      <c r="DZ64" s="1104"/>
      <c r="EA64" s="1104"/>
      <c r="EB64" s="1104"/>
      <c r="EC64" s="1104"/>
      <c r="ED64" s="1104"/>
      <c r="EE64" s="1104"/>
      <c r="EF64" s="1104"/>
      <c r="EG64" s="1104"/>
      <c r="EH64" s="1104"/>
      <c r="EI64" s="1104"/>
      <c r="EJ64" s="1104"/>
      <c r="EK64" s="1104"/>
      <c r="EL64" s="1104"/>
      <c r="EM64" s="1104"/>
      <c r="EN64" s="1104"/>
      <c r="EO64" s="1104"/>
      <c r="EP64" s="1104"/>
      <c r="EQ64" s="1104"/>
      <c r="ER64" s="1104"/>
      <c r="ES64" s="1104"/>
      <c r="ET64" s="1104"/>
      <c r="EU64" s="1104"/>
      <c r="EV64" s="1104"/>
      <c r="EW64" s="1104"/>
      <c r="EX64" s="1104"/>
      <c r="EY64" s="1104"/>
      <c r="EZ64" s="1104"/>
      <c r="FA64" s="1104"/>
      <c r="FB64" s="1104"/>
      <c r="FC64" s="1104"/>
      <c r="FD64" s="1104"/>
      <c r="FE64" s="1104"/>
      <c r="FF64" s="1104"/>
      <c r="FG64" s="1104"/>
      <c r="FH64" s="1104"/>
      <c r="FI64" s="1104"/>
      <c r="FJ64" s="1104"/>
      <c r="FK64" s="1104"/>
      <c r="FL64" s="1104"/>
      <c r="FM64" s="1104"/>
      <c r="FN64" s="1104"/>
      <c r="FO64" s="1104"/>
      <c r="FP64" s="1104"/>
      <c r="FQ64" s="1104"/>
      <c r="FR64" s="1104"/>
      <c r="FS64" s="1104"/>
      <c r="FT64" s="1104"/>
      <c r="FU64" s="1104"/>
      <c r="FV64" s="1104"/>
      <c r="FW64" s="1104"/>
      <c r="FX64" s="1104"/>
      <c r="FY64" s="1104"/>
      <c r="FZ64" s="1104"/>
      <c r="GA64" s="1104"/>
      <c r="GB64" s="1104"/>
      <c r="GC64" s="1104"/>
      <c r="GD64" s="1104"/>
      <c r="GE64" s="1104"/>
      <c r="GF64" s="1104"/>
      <c r="GG64" s="1104"/>
      <c r="GH64" s="1104"/>
      <c r="GI64" s="1104"/>
      <c r="GJ64" s="1104"/>
      <c r="GK64" s="1104"/>
      <c r="GL64" s="1104"/>
      <c r="GM64" s="1104"/>
    </row>
    <row r="65" spans="1:195" x14ac:dyDescent="0.2">
      <c r="A65" s="1066"/>
      <c r="B65" s="1066"/>
      <c r="C65" s="1066"/>
      <c r="D65" s="1066"/>
      <c r="E65" s="1066"/>
      <c r="F65" s="1066"/>
      <c r="H65" s="1104"/>
      <c r="I65" s="1119"/>
      <c r="J65" s="1104"/>
      <c r="K65" s="1104"/>
      <c r="L65" s="1104"/>
      <c r="M65" s="1104"/>
      <c r="N65" s="1104"/>
      <c r="O65" s="1104"/>
      <c r="P65" s="1104"/>
      <c r="Q65" s="1104"/>
      <c r="R65" s="1104"/>
      <c r="S65" s="1104"/>
      <c r="T65" s="1104"/>
      <c r="U65" s="1104"/>
      <c r="V65" s="1104"/>
      <c r="W65" s="1104"/>
      <c r="X65" s="1104"/>
      <c r="Y65" s="1104"/>
      <c r="Z65" s="1104"/>
      <c r="AA65" s="1104"/>
      <c r="AB65" s="1104"/>
      <c r="AC65" s="1104"/>
      <c r="AD65" s="1104"/>
      <c r="AE65" s="1104"/>
      <c r="AF65" s="1104"/>
      <c r="AG65" s="1104"/>
      <c r="AH65" s="1104"/>
      <c r="AI65" s="1104"/>
      <c r="AJ65" s="1104"/>
      <c r="AK65" s="1104"/>
      <c r="AL65" s="1104"/>
      <c r="AM65" s="1104"/>
      <c r="AN65" s="1104"/>
      <c r="AO65" s="1104"/>
      <c r="AP65" s="1104"/>
      <c r="AQ65" s="1104"/>
      <c r="AR65" s="1104"/>
      <c r="AS65" s="1104"/>
      <c r="AT65" s="1104"/>
      <c r="AU65" s="1104"/>
      <c r="AV65" s="1104"/>
      <c r="AW65" s="1104"/>
      <c r="AX65" s="1104"/>
      <c r="AY65" s="1104"/>
      <c r="AZ65" s="1104"/>
      <c r="BA65" s="1104"/>
      <c r="BB65" s="1104"/>
      <c r="BC65" s="1104"/>
      <c r="BD65" s="1104"/>
      <c r="BE65" s="1104"/>
      <c r="BF65" s="1104"/>
      <c r="BG65" s="1104"/>
      <c r="BH65" s="1104"/>
      <c r="BI65" s="1104"/>
      <c r="BJ65" s="1104"/>
      <c r="BK65" s="1104"/>
      <c r="BL65" s="1104"/>
      <c r="BM65" s="1104"/>
      <c r="BN65" s="1104"/>
      <c r="BO65" s="1104"/>
      <c r="BP65" s="1104"/>
      <c r="BQ65" s="1104"/>
      <c r="BR65" s="1104"/>
      <c r="BS65" s="1104"/>
      <c r="BT65" s="1104"/>
      <c r="BU65" s="1104"/>
      <c r="BV65" s="1104"/>
      <c r="BW65" s="1104"/>
      <c r="BX65" s="1104"/>
      <c r="BY65" s="1104"/>
      <c r="BZ65" s="1104"/>
      <c r="CA65" s="1104"/>
      <c r="CB65" s="1104"/>
      <c r="CC65" s="1104"/>
      <c r="CD65" s="1104"/>
      <c r="CE65" s="1104"/>
      <c r="CF65" s="1104"/>
      <c r="CG65" s="1104"/>
      <c r="CH65" s="1104"/>
      <c r="CI65" s="1104"/>
      <c r="CJ65" s="1104"/>
      <c r="CK65" s="1104"/>
      <c r="CL65" s="1104"/>
      <c r="CM65" s="1104"/>
      <c r="CN65" s="1104"/>
      <c r="CO65" s="1104"/>
      <c r="CP65" s="1104"/>
      <c r="CQ65" s="1104"/>
      <c r="CR65" s="1104"/>
      <c r="CS65" s="1104"/>
      <c r="CT65" s="1104"/>
      <c r="CU65" s="1104"/>
      <c r="CV65" s="1104"/>
      <c r="CW65" s="1104"/>
      <c r="CX65" s="1104"/>
      <c r="CY65" s="1104"/>
      <c r="CZ65" s="1104"/>
      <c r="DA65" s="1104"/>
      <c r="DB65" s="1104"/>
      <c r="DC65" s="1104"/>
      <c r="DD65" s="1104"/>
      <c r="DE65" s="1104"/>
      <c r="DF65" s="1104"/>
      <c r="DG65" s="1104"/>
      <c r="DH65" s="1104"/>
      <c r="DI65" s="1104"/>
      <c r="DJ65" s="1104"/>
      <c r="DK65" s="1104"/>
      <c r="DL65" s="1104"/>
      <c r="DM65" s="1104"/>
      <c r="DN65" s="1104"/>
      <c r="DO65" s="1104"/>
      <c r="DP65" s="1104"/>
      <c r="DQ65" s="1104"/>
      <c r="DR65" s="1104"/>
      <c r="DS65" s="1104"/>
      <c r="DT65" s="1104"/>
      <c r="DU65" s="1104"/>
      <c r="DV65" s="1104"/>
      <c r="DW65" s="1104"/>
      <c r="DX65" s="1104"/>
      <c r="DY65" s="1104"/>
      <c r="DZ65" s="1104"/>
      <c r="EA65" s="1104"/>
      <c r="EB65" s="1104"/>
      <c r="EC65" s="1104"/>
      <c r="ED65" s="1104"/>
      <c r="EE65" s="1104"/>
      <c r="EF65" s="1104"/>
      <c r="EG65" s="1104"/>
      <c r="EH65" s="1104"/>
      <c r="EI65" s="1104"/>
      <c r="EJ65" s="1104"/>
      <c r="EK65" s="1104"/>
      <c r="EL65" s="1104"/>
      <c r="EM65" s="1104"/>
      <c r="EN65" s="1104"/>
      <c r="EO65" s="1104"/>
      <c r="EP65" s="1104"/>
      <c r="EQ65" s="1104"/>
      <c r="ER65" s="1104"/>
      <c r="ES65" s="1104"/>
      <c r="ET65" s="1104"/>
      <c r="EU65" s="1104"/>
      <c r="EV65" s="1104"/>
      <c r="EW65" s="1104"/>
      <c r="EX65" s="1104"/>
      <c r="EY65" s="1104"/>
      <c r="EZ65" s="1104"/>
      <c r="FA65" s="1104"/>
      <c r="FB65" s="1104"/>
      <c r="FC65" s="1104"/>
      <c r="FD65" s="1104"/>
      <c r="FE65" s="1104"/>
      <c r="FF65" s="1104"/>
      <c r="FG65" s="1104"/>
      <c r="FH65" s="1104"/>
      <c r="FI65" s="1104"/>
      <c r="FJ65" s="1104"/>
      <c r="FK65" s="1104"/>
      <c r="FL65" s="1104"/>
      <c r="FM65" s="1104"/>
      <c r="FN65" s="1104"/>
      <c r="FO65" s="1104"/>
      <c r="FP65" s="1104"/>
      <c r="FQ65" s="1104"/>
      <c r="FR65" s="1104"/>
      <c r="FS65" s="1104"/>
      <c r="FT65" s="1104"/>
      <c r="FU65" s="1104"/>
      <c r="FV65" s="1104"/>
      <c r="FW65" s="1104"/>
      <c r="FX65" s="1104"/>
      <c r="FY65" s="1104"/>
      <c r="FZ65" s="1104"/>
      <c r="GA65" s="1104"/>
      <c r="GB65" s="1104"/>
      <c r="GC65" s="1104"/>
      <c r="GD65" s="1104"/>
      <c r="GE65" s="1104"/>
      <c r="GF65" s="1104"/>
      <c r="GG65" s="1104"/>
      <c r="GH65" s="1104"/>
      <c r="GI65" s="1104"/>
      <c r="GJ65" s="1104"/>
      <c r="GK65" s="1104"/>
      <c r="GL65" s="1104"/>
      <c r="GM65" s="1104"/>
    </row>
    <row r="66" spans="1:195" x14ac:dyDescent="0.2">
      <c r="A66" s="1066"/>
      <c r="B66" s="1066"/>
      <c r="C66" s="1066"/>
      <c r="D66" s="1066"/>
      <c r="E66" s="1066"/>
      <c r="F66" s="1066"/>
      <c r="H66" s="1104"/>
      <c r="I66" s="1119"/>
      <c r="J66" s="1104"/>
      <c r="K66" s="1104"/>
      <c r="L66" s="1104"/>
      <c r="M66" s="1104"/>
      <c r="N66" s="1104"/>
      <c r="O66" s="1104"/>
      <c r="P66" s="1104"/>
      <c r="Q66" s="1104"/>
      <c r="R66" s="1104"/>
      <c r="S66" s="1104"/>
      <c r="T66" s="1104"/>
      <c r="U66" s="1104"/>
      <c r="V66" s="1104"/>
      <c r="W66" s="1104"/>
      <c r="X66" s="1104"/>
      <c r="Y66" s="1104"/>
      <c r="Z66" s="1104"/>
      <c r="AA66" s="1104"/>
      <c r="AB66" s="1104"/>
      <c r="AC66" s="1104"/>
      <c r="AD66" s="1104"/>
      <c r="AE66" s="1104"/>
      <c r="AF66" s="1104"/>
      <c r="AG66" s="1104"/>
      <c r="AH66" s="1104"/>
      <c r="AI66" s="1104"/>
      <c r="AJ66" s="1104"/>
      <c r="AK66" s="1104"/>
      <c r="AL66" s="1104"/>
      <c r="AM66" s="1104"/>
      <c r="AN66" s="1104"/>
      <c r="AO66" s="1104"/>
      <c r="AP66" s="1104"/>
      <c r="AQ66" s="1104"/>
      <c r="AR66" s="1104"/>
      <c r="AS66" s="1104"/>
      <c r="AT66" s="1104"/>
      <c r="AU66" s="1104"/>
      <c r="AV66" s="1104"/>
      <c r="AW66" s="1104"/>
      <c r="AX66" s="1104"/>
      <c r="AY66" s="1104"/>
      <c r="AZ66" s="1104"/>
      <c r="BA66" s="1104"/>
      <c r="BB66" s="1104"/>
      <c r="BC66" s="1104"/>
      <c r="BD66" s="1104"/>
      <c r="BE66" s="1104"/>
      <c r="BF66" s="1104"/>
      <c r="BG66" s="1104"/>
      <c r="BH66" s="1104"/>
      <c r="BI66" s="1104"/>
      <c r="BJ66" s="1104"/>
      <c r="BK66" s="1104"/>
      <c r="BL66" s="1104"/>
      <c r="BM66" s="1104"/>
      <c r="BN66" s="1104"/>
      <c r="BO66" s="1104"/>
      <c r="BP66" s="1104"/>
      <c r="BQ66" s="1104"/>
      <c r="BR66" s="1104"/>
      <c r="BS66" s="1104"/>
      <c r="BT66" s="1104"/>
      <c r="BU66" s="1104"/>
      <c r="BV66" s="1104"/>
      <c r="BW66" s="1104"/>
      <c r="BX66" s="1104"/>
      <c r="BY66" s="1104"/>
      <c r="BZ66" s="1104"/>
      <c r="CA66" s="1104"/>
      <c r="CB66" s="1104"/>
      <c r="CC66" s="1104"/>
      <c r="CD66" s="1104"/>
      <c r="CE66" s="1104"/>
      <c r="CF66" s="1104"/>
      <c r="CG66" s="1104"/>
      <c r="CH66" s="1104"/>
      <c r="CI66" s="1104"/>
      <c r="CJ66" s="1104"/>
      <c r="CK66" s="1104"/>
      <c r="CL66" s="1104"/>
      <c r="CM66" s="1104"/>
      <c r="CN66" s="1104"/>
      <c r="CO66" s="1104"/>
      <c r="CP66" s="1104"/>
      <c r="CQ66" s="1104"/>
      <c r="CR66" s="1104"/>
      <c r="CS66" s="1104"/>
      <c r="CT66" s="1104"/>
      <c r="CU66" s="1104"/>
      <c r="CV66" s="1104"/>
      <c r="CW66" s="1104"/>
      <c r="CX66" s="1104"/>
      <c r="CY66" s="1104"/>
      <c r="CZ66" s="1104"/>
      <c r="DA66" s="1104"/>
      <c r="DB66" s="1104"/>
      <c r="DC66" s="1104"/>
      <c r="DD66" s="1104"/>
      <c r="DE66" s="1104"/>
      <c r="DF66" s="1104"/>
      <c r="DG66" s="1104"/>
      <c r="DH66" s="1104"/>
      <c r="DI66" s="1104"/>
      <c r="DJ66" s="1104"/>
      <c r="DK66" s="1104"/>
      <c r="DL66" s="1104"/>
      <c r="DM66" s="1104"/>
      <c r="DN66" s="1104"/>
      <c r="DO66" s="1104"/>
      <c r="DP66" s="1104"/>
      <c r="DQ66" s="1104"/>
      <c r="DR66" s="1104"/>
      <c r="DS66" s="1104"/>
      <c r="DT66" s="1104"/>
      <c r="DU66" s="1104"/>
      <c r="DV66" s="1104"/>
      <c r="DW66" s="1104"/>
      <c r="DX66" s="1104"/>
      <c r="DY66" s="1104"/>
      <c r="DZ66" s="1104"/>
      <c r="EA66" s="1104"/>
      <c r="EB66" s="1104"/>
      <c r="EC66" s="1104"/>
      <c r="ED66" s="1104"/>
      <c r="EE66" s="1104"/>
      <c r="EF66" s="1104"/>
      <c r="EG66" s="1104"/>
      <c r="EH66" s="1104"/>
      <c r="EI66" s="1104"/>
      <c r="EJ66" s="1104"/>
      <c r="EK66" s="1104"/>
      <c r="EL66" s="1104"/>
      <c r="EM66" s="1104"/>
      <c r="EN66" s="1104"/>
      <c r="EO66" s="1104"/>
      <c r="EP66" s="1104"/>
      <c r="EQ66" s="1104"/>
      <c r="ER66" s="1104"/>
      <c r="ES66" s="1104"/>
      <c r="ET66" s="1104"/>
      <c r="EU66" s="1104"/>
      <c r="EV66" s="1104"/>
      <c r="EW66" s="1104"/>
      <c r="EX66" s="1104"/>
      <c r="EY66" s="1104"/>
      <c r="EZ66" s="1104"/>
      <c r="FA66" s="1104"/>
      <c r="FB66" s="1104"/>
      <c r="FC66" s="1104"/>
      <c r="FD66" s="1104"/>
      <c r="FE66" s="1104"/>
      <c r="FF66" s="1104"/>
      <c r="FG66" s="1104"/>
      <c r="FH66" s="1104"/>
      <c r="FI66" s="1104"/>
      <c r="FJ66" s="1104"/>
      <c r="FK66" s="1104"/>
      <c r="FL66" s="1104"/>
      <c r="FM66" s="1104"/>
      <c r="FN66" s="1104"/>
      <c r="FO66" s="1104"/>
      <c r="FP66" s="1104"/>
      <c r="FQ66" s="1104"/>
      <c r="FR66" s="1104"/>
      <c r="FS66" s="1104"/>
      <c r="FT66" s="1104"/>
      <c r="FU66" s="1104"/>
      <c r="FV66" s="1104"/>
      <c r="FW66" s="1104"/>
      <c r="FX66" s="1104"/>
      <c r="FY66" s="1104"/>
      <c r="FZ66" s="1104"/>
      <c r="GA66" s="1104"/>
      <c r="GB66" s="1104"/>
      <c r="GC66" s="1104"/>
      <c r="GD66" s="1104"/>
      <c r="GE66" s="1104"/>
      <c r="GF66" s="1104"/>
      <c r="GG66" s="1104"/>
      <c r="GH66" s="1104"/>
      <c r="GI66" s="1104"/>
      <c r="GJ66" s="1104"/>
      <c r="GK66" s="1104"/>
      <c r="GL66" s="1104"/>
      <c r="GM66" s="1104"/>
    </row>
    <row r="67" spans="1:195" x14ac:dyDescent="0.2">
      <c r="A67" s="1066"/>
      <c r="B67" s="1066"/>
      <c r="C67" s="1066"/>
      <c r="D67" s="1066"/>
      <c r="E67" s="1066"/>
      <c r="F67" s="1066"/>
      <c r="H67" s="1104"/>
      <c r="I67" s="1119"/>
      <c r="J67" s="1104"/>
      <c r="K67" s="1104"/>
      <c r="L67" s="1104"/>
      <c r="M67" s="1104"/>
      <c r="N67" s="1104"/>
      <c r="O67" s="1104"/>
      <c r="P67" s="1104"/>
      <c r="Q67" s="1104"/>
      <c r="R67" s="1104"/>
      <c r="S67" s="1104"/>
      <c r="T67" s="1104"/>
      <c r="U67" s="1104"/>
      <c r="V67" s="1104"/>
      <c r="W67" s="1104"/>
      <c r="X67" s="1104"/>
      <c r="Y67" s="1104"/>
      <c r="Z67" s="1104"/>
      <c r="AA67" s="1104"/>
      <c r="AB67" s="1104"/>
      <c r="AC67" s="1104"/>
      <c r="AD67" s="1104"/>
      <c r="AE67" s="1104"/>
      <c r="AF67" s="1104"/>
      <c r="AG67" s="1104"/>
      <c r="AH67" s="1104"/>
      <c r="AI67" s="1104"/>
      <c r="AJ67" s="1104"/>
      <c r="AK67" s="1104"/>
      <c r="AL67" s="1104"/>
      <c r="AM67" s="1104"/>
      <c r="AN67" s="1104"/>
      <c r="AO67" s="1104"/>
      <c r="AP67" s="1104"/>
      <c r="AQ67" s="1104"/>
      <c r="AR67" s="1104"/>
      <c r="AS67" s="1104"/>
      <c r="AT67" s="1104"/>
      <c r="AU67" s="1104"/>
      <c r="AV67" s="1104"/>
      <c r="AW67" s="1104"/>
      <c r="AX67" s="1104"/>
      <c r="AY67" s="1104"/>
      <c r="AZ67" s="1104"/>
      <c r="BA67" s="1104"/>
      <c r="BB67" s="1104"/>
      <c r="BC67" s="1104"/>
      <c r="BD67" s="1104"/>
      <c r="BE67" s="1104"/>
      <c r="BF67" s="1104"/>
      <c r="BG67" s="1104"/>
      <c r="BH67" s="1104"/>
      <c r="BI67" s="1104"/>
      <c r="BJ67" s="1104"/>
      <c r="BK67" s="1104"/>
      <c r="BL67" s="1104"/>
      <c r="BM67" s="1104"/>
      <c r="BN67" s="1104"/>
      <c r="BO67" s="1104"/>
      <c r="BP67" s="1104"/>
      <c r="BQ67" s="1104"/>
      <c r="BR67" s="1104"/>
      <c r="BS67" s="1104"/>
      <c r="BT67" s="1104"/>
      <c r="BU67" s="1104"/>
      <c r="BV67" s="1104"/>
      <c r="BW67" s="1104"/>
      <c r="BX67" s="1104"/>
      <c r="BY67" s="1104"/>
      <c r="BZ67" s="1104"/>
      <c r="CA67" s="1104"/>
      <c r="CB67" s="1104"/>
      <c r="CC67" s="1104"/>
      <c r="CD67" s="1104"/>
      <c r="CE67" s="1104"/>
      <c r="CF67" s="1104"/>
      <c r="CG67" s="1104"/>
      <c r="CH67" s="1104"/>
      <c r="CI67" s="1104"/>
      <c r="CJ67" s="1104"/>
      <c r="CK67" s="1104"/>
      <c r="CL67" s="1104"/>
      <c r="CM67" s="1104"/>
      <c r="CN67" s="1104"/>
      <c r="CO67" s="1104"/>
      <c r="CP67" s="1104"/>
      <c r="CQ67" s="1104"/>
      <c r="CR67" s="1104"/>
      <c r="CS67" s="1104"/>
      <c r="CT67" s="1104"/>
      <c r="CU67" s="1104"/>
      <c r="CV67" s="1104"/>
      <c r="CW67" s="1104"/>
      <c r="CX67" s="1104"/>
      <c r="CY67" s="1104"/>
      <c r="CZ67" s="1104"/>
      <c r="DA67" s="1104"/>
      <c r="DB67" s="1104"/>
      <c r="DC67" s="1104"/>
      <c r="DD67" s="1104"/>
      <c r="DE67" s="1104"/>
      <c r="DF67" s="1104"/>
      <c r="DG67" s="1104"/>
      <c r="DH67" s="1104"/>
      <c r="DI67" s="1104"/>
      <c r="DJ67" s="1104"/>
      <c r="DK67" s="1104"/>
      <c r="DL67" s="1104"/>
      <c r="DM67" s="1104"/>
      <c r="DN67" s="1104"/>
      <c r="DO67" s="1104"/>
      <c r="DP67" s="1104"/>
      <c r="DQ67" s="1104"/>
      <c r="DR67" s="1104"/>
      <c r="DS67" s="1104"/>
      <c r="DT67" s="1104"/>
      <c r="DU67" s="1104"/>
      <c r="DV67" s="1104"/>
      <c r="DW67" s="1104"/>
      <c r="DX67" s="1104"/>
      <c r="DY67" s="1104"/>
      <c r="DZ67" s="1104"/>
      <c r="EA67" s="1104"/>
      <c r="EB67" s="1104"/>
      <c r="EC67" s="1104"/>
      <c r="ED67" s="1104"/>
      <c r="EE67" s="1104"/>
      <c r="EF67" s="1104"/>
      <c r="EG67" s="1104"/>
      <c r="EH67" s="1104"/>
      <c r="EI67" s="1104"/>
      <c r="EJ67" s="1104"/>
      <c r="EK67" s="1104"/>
      <c r="EL67" s="1104"/>
      <c r="EM67" s="1104"/>
      <c r="EN67" s="1104"/>
      <c r="EO67" s="1104"/>
      <c r="EP67" s="1104"/>
      <c r="EQ67" s="1104"/>
      <c r="ER67" s="1104"/>
      <c r="ES67" s="1104"/>
      <c r="ET67" s="1104"/>
      <c r="EU67" s="1104"/>
      <c r="EV67" s="1104"/>
      <c r="EW67" s="1104"/>
      <c r="EX67" s="1104"/>
      <c r="EY67" s="1104"/>
      <c r="EZ67" s="1104"/>
      <c r="FA67" s="1104"/>
      <c r="FB67" s="1104"/>
      <c r="FC67" s="1104"/>
      <c r="FD67" s="1104"/>
      <c r="FE67" s="1104"/>
      <c r="FF67" s="1104"/>
      <c r="FG67" s="1104"/>
      <c r="FH67" s="1104"/>
      <c r="FI67" s="1104"/>
      <c r="FJ67" s="1104"/>
      <c r="FK67" s="1104"/>
      <c r="FL67" s="1104"/>
      <c r="FM67" s="1104"/>
      <c r="FN67" s="1104"/>
      <c r="FO67" s="1104"/>
      <c r="FP67" s="1104"/>
      <c r="FQ67" s="1104"/>
      <c r="FR67" s="1104"/>
      <c r="FS67" s="1104"/>
      <c r="FT67" s="1104"/>
      <c r="FU67" s="1104"/>
      <c r="FV67" s="1104"/>
      <c r="FW67" s="1104"/>
      <c r="FX67" s="1104"/>
      <c r="FY67" s="1104"/>
      <c r="FZ67" s="1104"/>
      <c r="GA67" s="1104"/>
      <c r="GB67" s="1104"/>
      <c r="GC67" s="1104"/>
      <c r="GD67" s="1104"/>
      <c r="GE67" s="1104"/>
      <c r="GF67" s="1104"/>
      <c r="GG67" s="1104"/>
      <c r="GH67" s="1104"/>
      <c r="GI67" s="1104"/>
      <c r="GJ67" s="1104"/>
      <c r="GK67" s="1104"/>
      <c r="GL67" s="1104"/>
      <c r="GM67" s="1104"/>
    </row>
    <row r="68" spans="1:195" x14ac:dyDescent="0.2">
      <c r="A68" s="1066"/>
      <c r="B68" s="1066"/>
      <c r="C68" s="1066"/>
      <c r="D68" s="1066"/>
      <c r="E68" s="1066"/>
      <c r="F68" s="1066"/>
      <c r="H68" s="1104"/>
      <c r="I68" s="1119"/>
      <c r="J68" s="1104"/>
      <c r="K68" s="1104"/>
      <c r="L68" s="1104"/>
      <c r="M68" s="1104"/>
      <c r="N68" s="1104"/>
      <c r="O68" s="1104"/>
      <c r="P68" s="1104"/>
      <c r="Q68" s="1104"/>
      <c r="R68" s="1104"/>
      <c r="S68" s="1104"/>
      <c r="T68" s="1104"/>
      <c r="U68" s="1104"/>
      <c r="V68" s="1104"/>
      <c r="W68" s="1104"/>
      <c r="X68" s="1104"/>
      <c r="Y68" s="1104"/>
      <c r="Z68" s="1104"/>
      <c r="AA68" s="1104"/>
      <c r="AB68" s="1104"/>
      <c r="AC68" s="1104"/>
      <c r="AD68" s="1104"/>
      <c r="AE68" s="1104"/>
      <c r="AF68" s="1104"/>
      <c r="AG68" s="1104"/>
      <c r="AH68" s="1104"/>
      <c r="AI68" s="1104"/>
      <c r="AJ68" s="1104"/>
      <c r="AK68" s="1104"/>
      <c r="AL68" s="1104"/>
      <c r="AM68" s="1104"/>
      <c r="AN68" s="1104"/>
      <c r="AO68" s="1104"/>
      <c r="AP68" s="1104"/>
      <c r="AQ68" s="1104"/>
      <c r="AR68" s="1104"/>
      <c r="AS68" s="1104"/>
      <c r="AT68" s="1104"/>
      <c r="AU68" s="1104"/>
      <c r="AV68" s="1104"/>
      <c r="AW68" s="1104"/>
      <c r="AX68" s="1104"/>
      <c r="AY68" s="1104"/>
      <c r="AZ68" s="1104"/>
      <c r="BA68" s="1104"/>
      <c r="BB68" s="1104"/>
      <c r="BC68" s="1104"/>
      <c r="BD68" s="1104"/>
      <c r="BE68" s="1104"/>
      <c r="BF68" s="1104"/>
      <c r="BG68" s="1104"/>
      <c r="BH68" s="1104"/>
      <c r="BI68" s="1104"/>
      <c r="BJ68" s="1104"/>
      <c r="BK68" s="1104"/>
      <c r="BL68" s="1104"/>
      <c r="BM68" s="1104"/>
      <c r="BN68" s="1104"/>
      <c r="BO68" s="1104"/>
      <c r="BP68" s="1104"/>
      <c r="BQ68" s="1104"/>
      <c r="BR68" s="1104"/>
      <c r="BS68" s="1104"/>
      <c r="BT68" s="1104"/>
      <c r="BU68" s="1104"/>
      <c r="BV68" s="1104"/>
      <c r="BW68" s="1104"/>
      <c r="BX68" s="1104"/>
      <c r="BY68" s="1104"/>
      <c r="BZ68" s="1104"/>
      <c r="CA68" s="1104"/>
      <c r="CB68" s="1104"/>
      <c r="CC68" s="1104"/>
      <c r="CD68" s="1104"/>
      <c r="CE68" s="1104"/>
      <c r="CF68" s="1104"/>
      <c r="CG68" s="1104"/>
      <c r="CH68" s="1104"/>
      <c r="CI68" s="1104"/>
      <c r="CJ68" s="1104"/>
      <c r="CK68" s="1104"/>
      <c r="CL68" s="1104"/>
      <c r="CM68" s="1104"/>
      <c r="CN68" s="1104"/>
      <c r="CO68" s="1104"/>
      <c r="CP68" s="1104"/>
      <c r="CQ68" s="1104"/>
      <c r="CR68" s="1104"/>
      <c r="CS68" s="1104"/>
      <c r="CT68" s="1104"/>
      <c r="CU68" s="1104"/>
      <c r="CV68" s="1104"/>
      <c r="CW68" s="1104"/>
      <c r="CX68" s="1104"/>
      <c r="CY68" s="1104"/>
      <c r="CZ68" s="1104"/>
      <c r="DA68" s="1104"/>
      <c r="DB68" s="1104"/>
      <c r="DC68" s="1104"/>
      <c r="DD68" s="1104"/>
      <c r="DE68" s="1104"/>
      <c r="DF68" s="1104"/>
      <c r="DG68" s="1104"/>
      <c r="DH68" s="1104"/>
      <c r="DI68" s="1104"/>
      <c r="DJ68" s="1104"/>
      <c r="DK68" s="1104"/>
      <c r="DL68" s="1104"/>
      <c r="DM68" s="1104"/>
      <c r="DN68" s="1104"/>
      <c r="DO68" s="1104"/>
      <c r="DP68" s="1104"/>
      <c r="DQ68" s="1104"/>
      <c r="DR68" s="1104"/>
      <c r="DS68" s="1104"/>
      <c r="DT68" s="1104"/>
      <c r="DU68" s="1104"/>
      <c r="DV68" s="1104"/>
      <c r="DW68" s="1104"/>
      <c r="DX68" s="1104"/>
      <c r="DY68" s="1104"/>
      <c r="DZ68" s="1104"/>
      <c r="EA68" s="1104"/>
      <c r="EB68" s="1104"/>
      <c r="EC68" s="1104"/>
      <c r="ED68" s="1104"/>
      <c r="EE68" s="1104"/>
      <c r="EF68" s="1104"/>
      <c r="EG68" s="1104"/>
      <c r="EH68" s="1104"/>
      <c r="EI68" s="1104"/>
      <c r="EJ68" s="1104"/>
      <c r="EK68" s="1104"/>
      <c r="EL68" s="1104"/>
      <c r="EM68" s="1104"/>
      <c r="EN68" s="1104"/>
      <c r="EO68" s="1104"/>
      <c r="EP68" s="1104"/>
      <c r="EQ68" s="1104"/>
      <c r="ER68" s="1104"/>
      <c r="ES68" s="1104"/>
      <c r="ET68" s="1104"/>
      <c r="EU68" s="1104"/>
      <c r="EV68" s="1104"/>
      <c r="EW68" s="1104"/>
      <c r="EX68" s="1104"/>
      <c r="EY68" s="1104"/>
      <c r="EZ68" s="1104"/>
      <c r="FA68" s="1104"/>
      <c r="FB68" s="1104"/>
      <c r="FC68" s="1104"/>
      <c r="FD68" s="1104"/>
      <c r="FE68" s="1104"/>
      <c r="FF68" s="1104"/>
      <c r="FG68" s="1104"/>
      <c r="FH68" s="1104"/>
      <c r="FI68" s="1104"/>
      <c r="FJ68" s="1104"/>
      <c r="FK68" s="1104"/>
      <c r="FL68" s="1104"/>
      <c r="FM68" s="1104"/>
      <c r="FN68" s="1104"/>
      <c r="FO68" s="1104"/>
      <c r="FP68" s="1104"/>
      <c r="FQ68" s="1104"/>
      <c r="FR68" s="1104"/>
      <c r="FS68" s="1104"/>
      <c r="FT68" s="1104"/>
      <c r="FU68" s="1104"/>
      <c r="FV68" s="1104"/>
      <c r="FW68" s="1104"/>
      <c r="FX68" s="1104"/>
      <c r="FY68" s="1104"/>
      <c r="FZ68" s="1104"/>
      <c r="GA68" s="1104"/>
      <c r="GB68" s="1104"/>
      <c r="GC68" s="1104"/>
      <c r="GD68" s="1104"/>
      <c r="GE68" s="1104"/>
      <c r="GF68" s="1104"/>
      <c r="GG68" s="1104"/>
      <c r="GH68" s="1104"/>
      <c r="GI68" s="1104"/>
      <c r="GJ68" s="1104"/>
      <c r="GK68" s="1104"/>
      <c r="GL68" s="1104"/>
      <c r="GM68" s="1104"/>
    </row>
    <row r="69" spans="1:195" x14ac:dyDescent="0.2">
      <c r="A69" s="1066"/>
      <c r="B69" s="1066"/>
      <c r="C69" s="1066"/>
      <c r="D69" s="1066"/>
      <c r="E69" s="1066"/>
      <c r="F69" s="1066"/>
      <c r="H69" s="1104"/>
      <c r="I69" s="1119"/>
      <c r="J69" s="1104"/>
      <c r="K69" s="1104"/>
      <c r="L69" s="1104"/>
      <c r="M69" s="1104"/>
      <c r="N69" s="1104"/>
      <c r="O69" s="1104"/>
      <c r="P69" s="1104"/>
      <c r="Q69" s="1104"/>
      <c r="R69" s="1104"/>
      <c r="S69" s="1104"/>
      <c r="T69" s="1104"/>
      <c r="U69" s="1104"/>
      <c r="V69" s="1104"/>
      <c r="W69" s="1104"/>
      <c r="X69" s="1104"/>
      <c r="Y69" s="1104"/>
      <c r="Z69" s="1104"/>
      <c r="AA69" s="1104"/>
      <c r="AB69" s="1104"/>
      <c r="AC69" s="1104"/>
      <c r="AD69" s="1104"/>
      <c r="AE69" s="1104"/>
      <c r="AF69" s="1104"/>
      <c r="AG69" s="1104"/>
      <c r="AH69" s="1104"/>
      <c r="AI69" s="1104"/>
      <c r="AJ69" s="1104"/>
      <c r="AK69" s="1104"/>
      <c r="AL69" s="1104"/>
      <c r="AM69" s="1104"/>
      <c r="AN69" s="1104"/>
      <c r="AO69" s="1104"/>
      <c r="AP69" s="1104"/>
      <c r="AQ69" s="1104"/>
      <c r="AR69" s="1104"/>
      <c r="AS69" s="1104"/>
      <c r="AT69" s="1104"/>
      <c r="AU69" s="1104"/>
      <c r="AV69" s="1104"/>
      <c r="AW69" s="1104"/>
      <c r="AX69" s="1104"/>
      <c r="AY69" s="1104"/>
      <c r="AZ69" s="1104"/>
      <c r="BA69" s="1104"/>
      <c r="BB69" s="1104"/>
      <c r="BC69" s="1104"/>
      <c r="BD69" s="1104"/>
      <c r="BE69" s="1104"/>
      <c r="BF69" s="1104"/>
      <c r="BG69" s="1104"/>
      <c r="BH69" s="1104"/>
      <c r="BI69" s="1104"/>
      <c r="BJ69" s="1104"/>
      <c r="BK69" s="1104"/>
      <c r="BL69" s="1104"/>
      <c r="BM69" s="1104"/>
      <c r="BN69" s="1104"/>
      <c r="BO69" s="1104"/>
      <c r="BP69" s="1104"/>
      <c r="BQ69" s="1104"/>
      <c r="BR69" s="1104"/>
      <c r="BS69" s="1104"/>
      <c r="BT69" s="1104"/>
      <c r="BU69" s="1104"/>
      <c r="BV69" s="1104"/>
      <c r="BW69" s="1104"/>
      <c r="BX69" s="1104"/>
      <c r="BY69" s="1104"/>
      <c r="BZ69" s="1104"/>
      <c r="CA69" s="1104"/>
      <c r="CB69" s="1104"/>
      <c r="CC69" s="1104"/>
      <c r="CD69" s="1104"/>
      <c r="CE69" s="1104"/>
      <c r="CF69" s="1104"/>
      <c r="CG69" s="1104"/>
      <c r="CH69" s="1104"/>
      <c r="CI69" s="1104"/>
      <c r="CJ69" s="1104"/>
      <c r="CK69" s="1104"/>
      <c r="CL69" s="1104"/>
      <c r="CM69" s="1104"/>
      <c r="CN69" s="1104"/>
      <c r="CO69" s="1104"/>
      <c r="CP69" s="1104"/>
      <c r="CQ69" s="1104"/>
      <c r="CR69" s="1104"/>
      <c r="CS69" s="1104"/>
      <c r="CT69" s="1104"/>
      <c r="CU69" s="1104"/>
      <c r="CV69" s="1104"/>
      <c r="CW69" s="1104"/>
      <c r="CX69" s="1104"/>
      <c r="CY69" s="1104"/>
      <c r="CZ69" s="1104"/>
      <c r="DA69" s="1104"/>
      <c r="DB69" s="1104"/>
      <c r="DC69" s="1104"/>
      <c r="DD69" s="1104"/>
      <c r="DE69" s="1104"/>
      <c r="DF69" s="1104"/>
      <c r="DG69" s="1104"/>
      <c r="DH69" s="1104"/>
      <c r="DI69" s="1104"/>
      <c r="DJ69" s="1104"/>
      <c r="DK69" s="1104"/>
      <c r="DL69" s="1104"/>
      <c r="DM69" s="1104"/>
      <c r="DN69" s="1104"/>
      <c r="DO69" s="1104"/>
      <c r="DP69" s="1104"/>
      <c r="DQ69" s="1104"/>
      <c r="DR69" s="1104"/>
      <c r="DS69" s="1104"/>
      <c r="DT69" s="1104"/>
      <c r="DU69" s="1104"/>
      <c r="DV69" s="1104"/>
      <c r="DW69" s="1104"/>
      <c r="DX69" s="1104"/>
      <c r="DY69" s="1104"/>
      <c r="DZ69" s="1104"/>
      <c r="EA69" s="1104"/>
      <c r="EB69" s="1104"/>
      <c r="EC69" s="1104"/>
      <c r="ED69" s="1104"/>
      <c r="EE69" s="1104"/>
      <c r="EF69" s="1104"/>
      <c r="EG69" s="1104"/>
      <c r="EH69" s="1104"/>
      <c r="EI69" s="1104"/>
      <c r="EJ69" s="1104"/>
      <c r="EK69" s="1104"/>
      <c r="EL69" s="1104"/>
      <c r="EM69" s="1104"/>
      <c r="EN69" s="1104"/>
      <c r="EO69" s="1104"/>
      <c r="EP69" s="1104"/>
      <c r="EQ69" s="1104"/>
      <c r="ER69" s="1104"/>
      <c r="ES69" s="1104"/>
      <c r="ET69" s="1104"/>
      <c r="EU69" s="1104"/>
      <c r="EV69" s="1104"/>
      <c r="EW69" s="1104"/>
      <c r="EX69" s="1104"/>
      <c r="EY69" s="1104"/>
      <c r="EZ69" s="1104"/>
      <c r="FA69" s="1104"/>
      <c r="FB69" s="1104"/>
      <c r="FC69" s="1104"/>
      <c r="FD69" s="1104"/>
      <c r="FE69" s="1104"/>
      <c r="FF69" s="1104"/>
      <c r="FG69" s="1104"/>
      <c r="FH69" s="1104"/>
      <c r="FI69" s="1104"/>
      <c r="FJ69" s="1104"/>
      <c r="FK69" s="1104"/>
      <c r="FL69" s="1104"/>
      <c r="FM69" s="1104"/>
      <c r="FN69" s="1104"/>
      <c r="FO69" s="1104"/>
      <c r="FP69" s="1104"/>
      <c r="FQ69" s="1104"/>
      <c r="FR69" s="1104"/>
      <c r="FS69" s="1104"/>
      <c r="FT69" s="1104"/>
      <c r="FU69" s="1104"/>
      <c r="FV69" s="1104"/>
      <c r="FW69" s="1104"/>
      <c r="FX69" s="1104"/>
      <c r="FY69" s="1104"/>
      <c r="FZ69" s="1104"/>
      <c r="GA69" s="1104"/>
      <c r="GB69" s="1104"/>
      <c r="GC69" s="1104"/>
      <c r="GD69" s="1104"/>
      <c r="GE69" s="1104"/>
      <c r="GF69" s="1104"/>
      <c r="GG69" s="1104"/>
      <c r="GH69" s="1104"/>
      <c r="GI69" s="1104"/>
      <c r="GJ69" s="1104"/>
      <c r="GK69" s="1104"/>
      <c r="GL69" s="1104"/>
      <c r="GM69" s="1104"/>
    </row>
    <row r="70" spans="1:195" x14ac:dyDescent="0.2">
      <c r="A70" s="1066"/>
      <c r="B70" s="1066"/>
      <c r="C70" s="1066"/>
      <c r="D70" s="1066"/>
      <c r="E70" s="1066"/>
      <c r="F70" s="1066"/>
      <c r="H70" s="1104"/>
      <c r="I70" s="1119"/>
      <c r="J70" s="1104"/>
      <c r="K70" s="1104"/>
      <c r="L70" s="1104"/>
      <c r="M70" s="1104"/>
      <c r="N70" s="1104"/>
      <c r="O70" s="1104"/>
      <c r="P70" s="1104"/>
      <c r="Q70" s="1104"/>
      <c r="R70" s="1104"/>
      <c r="S70" s="1104"/>
      <c r="T70" s="1104"/>
      <c r="U70" s="1104"/>
      <c r="V70" s="1104"/>
      <c r="W70" s="1104"/>
      <c r="X70" s="1104"/>
      <c r="Y70" s="1104"/>
      <c r="Z70" s="1104"/>
      <c r="AA70" s="1104"/>
      <c r="AB70" s="1104"/>
      <c r="AC70" s="1104"/>
      <c r="AD70" s="1104"/>
      <c r="AE70" s="1104"/>
      <c r="AF70" s="1104"/>
      <c r="AG70" s="1104"/>
      <c r="AH70" s="1104"/>
      <c r="AI70" s="1104"/>
      <c r="AJ70" s="1104"/>
      <c r="AK70" s="1104"/>
      <c r="AL70" s="1104"/>
      <c r="AM70" s="1104"/>
      <c r="AN70" s="1104"/>
      <c r="AO70" s="1104"/>
      <c r="AP70" s="1104"/>
      <c r="AQ70" s="1104"/>
      <c r="AR70" s="1104"/>
      <c r="AS70" s="1104"/>
      <c r="AT70" s="1104"/>
      <c r="AU70" s="1104"/>
      <c r="AV70" s="1104"/>
      <c r="AW70" s="1104"/>
      <c r="AX70" s="1104"/>
      <c r="AY70" s="1104"/>
      <c r="AZ70" s="1104"/>
      <c r="BA70" s="1104"/>
      <c r="BB70" s="1104"/>
      <c r="BC70" s="1104"/>
      <c r="BD70" s="1104"/>
      <c r="BE70" s="1104"/>
      <c r="BF70" s="1104"/>
      <c r="BG70" s="1104"/>
      <c r="BH70" s="1104"/>
      <c r="BI70" s="1104"/>
      <c r="BJ70" s="1104"/>
      <c r="BK70" s="1104"/>
      <c r="BL70" s="1104"/>
      <c r="BM70" s="1104"/>
      <c r="BN70" s="1104"/>
      <c r="BO70" s="1104"/>
      <c r="BP70" s="1104"/>
      <c r="BQ70" s="1104"/>
      <c r="BR70" s="1104"/>
      <c r="BS70" s="1104"/>
      <c r="BT70" s="1104"/>
      <c r="BU70" s="1104"/>
      <c r="BV70" s="1104"/>
      <c r="BW70" s="1104"/>
      <c r="BX70" s="1104"/>
      <c r="BY70" s="1104"/>
      <c r="BZ70" s="1104"/>
      <c r="CA70" s="1104"/>
      <c r="CB70" s="1104"/>
      <c r="CC70" s="1104"/>
      <c r="CD70" s="1104"/>
      <c r="CE70" s="1104"/>
      <c r="CF70" s="1104"/>
      <c r="CG70" s="1104"/>
      <c r="CH70" s="1104"/>
      <c r="CI70" s="1104"/>
      <c r="CJ70" s="1104"/>
      <c r="CK70" s="1104"/>
      <c r="CL70" s="1104"/>
      <c r="CM70" s="1104"/>
      <c r="CN70" s="1104"/>
      <c r="CO70" s="1104"/>
      <c r="CP70" s="1104"/>
      <c r="CQ70" s="1104"/>
      <c r="CR70" s="1104"/>
      <c r="CS70" s="1104"/>
      <c r="CT70" s="1104"/>
      <c r="CU70" s="1104"/>
      <c r="CV70" s="1104"/>
      <c r="CW70" s="1104"/>
      <c r="CX70" s="1104"/>
      <c r="CY70" s="1104"/>
      <c r="CZ70" s="1104"/>
      <c r="DA70" s="1104"/>
      <c r="DB70" s="1104"/>
      <c r="DC70" s="1104"/>
      <c r="DD70" s="1104"/>
      <c r="DE70" s="1104"/>
      <c r="DF70" s="1104"/>
      <c r="DG70" s="1104"/>
      <c r="DH70" s="1104"/>
      <c r="DI70" s="1104"/>
      <c r="DJ70" s="1104"/>
      <c r="DK70" s="1104"/>
      <c r="DL70" s="1104"/>
      <c r="DM70" s="1104"/>
      <c r="DN70" s="1104"/>
      <c r="DO70" s="1104"/>
      <c r="DP70" s="1104"/>
      <c r="DQ70" s="1104"/>
      <c r="DR70" s="1104"/>
      <c r="DS70" s="1104"/>
      <c r="DT70" s="1104"/>
      <c r="DU70" s="1104"/>
      <c r="DV70" s="1104"/>
      <c r="DW70" s="1104"/>
      <c r="DX70" s="1104"/>
      <c r="DY70" s="1104"/>
      <c r="DZ70" s="1104"/>
      <c r="EA70" s="1104"/>
      <c r="EB70" s="1104"/>
      <c r="EC70" s="1104"/>
      <c r="ED70" s="1104"/>
      <c r="EE70" s="1104"/>
      <c r="EF70" s="1104"/>
      <c r="EG70" s="1104"/>
      <c r="EH70" s="1104"/>
      <c r="EI70" s="1104"/>
      <c r="EJ70" s="1104"/>
      <c r="EK70" s="1104"/>
      <c r="EL70" s="1104"/>
      <c r="EM70" s="1104"/>
      <c r="EN70" s="1104"/>
      <c r="EO70" s="1104"/>
      <c r="EP70" s="1104"/>
      <c r="EQ70" s="1104"/>
      <c r="ER70" s="1104"/>
      <c r="ES70" s="1104"/>
      <c r="ET70" s="1104"/>
      <c r="EU70" s="1104"/>
      <c r="EV70" s="1104"/>
      <c r="EW70" s="1104"/>
      <c r="EX70" s="1104"/>
      <c r="EY70" s="1104"/>
      <c r="EZ70" s="1104"/>
      <c r="FA70" s="1104"/>
      <c r="FB70" s="1104"/>
      <c r="FC70" s="1104"/>
      <c r="FD70" s="1104"/>
      <c r="FE70" s="1104"/>
      <c r="FF70" s="1104"/>
      <c r="FG70" s="1104"/>
      <c r="FH70" s="1104"/>
      <c r="FI70" s="1104"/>
      <c r="FJ70" s="1104"/>
      <c r="FK70" s="1104"/>
      <c r="FL70" s="1104"/>
      <c r="FM70" s="1104"/>
      <c r="FN70" s="1104"/>
      <c r="FO70" s="1104"/>
      <c r="FP70" s="1104"/>
      <c r="FQ70" s="1104"/>
      <c r="FR70" s="1104"/>
      <c r="FS70" s="1104"/>
      <c r="FT70" s="1104"/>
      <c r="FU70" s="1104"/>
      <c r="FV70" s="1104"/>
      <c r="FW70" s="1104"/>
      <c r="FX70" s="1104"/>
      <c r="FY70" s="1104"/>
      <c r="FZ70" s="1104"/>
      <c r="GA70" s="1104"/>
      <c r="GB70" s="1104"/>
      <c r="GC70" s="1104"/>
      <c r="GD70" s="1104"/>
      <c r="GE70" s="1104"/>
      <c r="GF70" s="1104"/>
      <c r="GG70" s="1104"/>
      <c r="GH70" s="1104"/>
      <c r="GI70" s="1104"/>
      <c r="GJ70" s="1104"/>
      <c r="GK70" s="1104"/>
      <c r="GL70" s="1104"/>
      <c r="GM70" s="1104"/>
    </row>
    <row r="71" spans="1:195" x14ac:dyDescent="0.2">
      <c r="A71" s="1066"/>
      <c r="B71" s="1066"/>
      <c r="C71" s="1066"/>
      <c r="D71" s="1066"/>
      <c r="E71" s="1066"/>
      <c r="F71" s="1066"/>
      <c r="H71" s="1104"/>
      <c r="I71" s="1119"/>
      <c r="J71" s="1104"/>
      <c r="K71" s="1104"/>
      <c r="L71" s="1104"/>
      <c r="M71" s="1104"/>
      <c r="N71" s="1104"/>
      <c r="O71" s="1104"/>
      <c r="P71" s="1104"/>
      <c r="Q71" s="1104"/>
      <c r="R71" s="1104"/>
      <c r="S71" s="1104"/>
      <c r="T71" s="1104"/>
      <c r="U71" s="1104"/>
      <c r="V71" s="1104"/>
      <c r="W71" s="1104"/>
      <c r="X71" s="1104"/>
      <c r="Y71" s="1104"/>
      <c r="Z71" s="1104"/>
      <c r="AA71" s="1104"/>
      <c r="AB71" s="1104"/>
      <c r="AC71" s="1104"/>
      <c r="AD71" s="1104"/>
      <c r="AE71" s="1104"/>
      <c r="AF71" s="1104"/>
      <c r="AG71" s="1104"/>
      <c r="AH71" s="1104"/>
      <c r="AI71" s="1104"/>
      <c r="AJ71" s="1104"/>
      <c r="AK71" s="1104"/>
      <c r="AL71" s="1104"/>
      <c r="AM71" s="1104"/>
      <c r="AN71" s="1104"/>
      <c r="AO71" s="1104"/>
      <c r="AP71" s="1104"/>
      <c r="AQ71" s="1104"/>
      <c r="AR71" s="1104"/>
      <c r="AS71" s="1104"/>
      <c r="AT71" s="1104"/>
      <c r="AU71" s="1104"/>
      <c r="AV71" s="1104"/>
      <c r="AW71" s="1104"/>
      <c r="AX71" s="1104"/>
      <c r="AY71" s="1104"/>
      <c r="AZ71" s="1104"/>
      <c r="BA71" s="1104"/>
      <c r="BB71" s="1104"/>
      <c r="BC71" s="1104"/>
      <c r="BD71" s="1104"/>
      <c r="BE71" s="1104"/>
      <c r="BF71" s="1104"/>
      <c r="BG71" s="1104"/>
      <c r="BH71" s="1104"/>
      <c r="BI71" s="1104"/>
      <c r="BJ71" s="1104"/>
      <c r="BK71" s="1104"/>
      <c r="BL71" s="1104"/>
      <c r="BM71" s="1104"/>
      <c r="BN71" s="1104"/>
      <c r="BO71" s="1104"/>
      <c r="BP71" s="1104"/>
      <c r="BQ71" s="1104"/>
      <c r="BR71" s="1104"/>
      <c r="BS71" s="1104"/>
      <c r="BT71" s="1104"/>
      <c r="BU71" s="1104"/>
      <c r="BV71" s="1104"/>
      <c r="BW71" s="1104"/>
      <c r="BX71" s="1104"/>
      <c r="BY71" s="1104"/>
      <c r="BZ71" s="1104"/>
      <c r="CA71" s="1104"/>
      <c r="CB71" s="1104"/>
      <c r="CC71" s="1104"/>
      <c r="CD71" s="1104"/>
      <c r="CE71" s="1104"/>
      <c r="CF71" s="1104"/>
      <c r="CG71" s="1104"/>
      <c r="CH71" s="1104"/>
      <c r="CI71" s="1104"/>
      <c r="CJ71" s="1104"/>
      <c r="CK71" s="1104"/>
      <c r="CL71" s="1104"/>
      <c r="CM71" s="1104"/>
      <c r="CN71" s="1104"/>
      <c r="CO71" s="1104"/>
      <c r="CP71" s="1104"/>
      <c r="CQ71" s="1104"/>
      <c r="CR71" s="1104"/>
      <c r="CS71" s="1104"/>
      <c r="CT71" s="1104"/>
      <c r="CU71" s="1104"/>
      <c r="CV71" s="1104"/>
      <c r="CW71" s="1104"/>
      <c r="CX71" s="1104"/>
      <c r="CY71" s="1104"/>
      <c r="CZ71" s="1104"/>
      <c r="DA71" s="1104"/>
      <c r="DB71" s="1104"/>
      <c r="DC71" s="1104"/>
      <c r="DD71" s="1104"/>
      <c r="DE71" s="1104"/>
      <c r="DF71" s="1104"/>
      <c r="DG71" s="1104"/>
      <c r="DH71" s="1104"/>
      <c r="DI71" s="1104"/>
      <c r="DJ71" s="1104"/>
      <c r="DK71" s="1104"/>
      <c r="DL71" s="1104"/>
      <c r="DM71" s="1104"/>
      <c r="DN71" s="1104"/>
      <c r="DO71" s="1104"/>
      <c r="DP71" s="1104"/>
      <c r="DQ71" s="1104"/>
      <c r="DR71" s="1104"/>
      <c r="DS71" s="1104"/>
      <c r="DT71" s="1104"/>
      <c r="DU71" s="1104"/>
      <c r="DV71" s="1104"/>
      <c r="DW71" s="1104"/>
      <c r="DX71" s="1104"/>
      <c r="DY71" s="1104"/>
      <c r="DZ71" s="1104"/>
      <c r="EA71" s="1104"/>
      <c r="EB71" s="1104"/>
      <c r="EC71" s="1104"/>
      <c r="ED71" s="1104"/>
      <c r="EE71" s="1104"/>
      <c r="EF71" s="1104"/>
      <c r="EG71" s="1104"/>
      <c r="EH71" s="1104"/>
      <c r="EI71" s="1104"/>
      <c r="EJ71" s="1104"/>
      <c r="EK71" s="1104"/>
      <c r="EL71" s="1104"/>
      <c r="EM71" s="1104"/>
      <c r="EN71" s="1104"/>
      <c r="EO71" s="1104"/>
      <c r="EP71" s="1104"/>
      <c r="EQ71" s="1104"/>
      <c r="ER71" s="1104"/>
      <c r="ES71" s="1104"/>
      <c r="ET71" s="1104"/>
      <c r="EU71" s="1104"/>
      <c r="EV71" s="1104"/>
      <c r="EW71" s="1104"/>
      <c r="EX71" s="1104"/>
      <c r="EY71" s="1104"/>
      <c r="EZ71" s="1104"/>
      <c r="FA71" s="1104"/>
      <c r="FB71" s="1104"/>
      <c r="FC71" s="1104"/>
      <c r="FD71" s="1104"/>
      <c r="FE71" s="1104"/>
      <c r="FF71" s="1104"/>
      <c r="FG71" s="1104"/>
      <c r="FH71" s="1104"/>
      <c r="FI71" s="1104"/>
      <c r="FJ71" s="1104"/>
      <c r="FK71" s="1104"/>
      <c r="FL71" s="1104"/>
      <c r="FM71" s="1104"/>
      <c r="FN71" s="1104"/>
      <c r="FO71" s="1104"/>
      <c r="FP71" s="1104"/>
      <c r="FQ71" s="1104"/>
      <c r="FR71" s="1104"/>
      <c r="FS71" s="1104"/>
      <c r="FT71" s="1104"/>
      <c r="FU71" s="1104"/>
      <c r="FV71" s="1104"/>
      <c r="FW71" s="1104"/>
      <c r="FX71" s="1104"/>
      <c r="FY71" s="1104"/>
      <c r="FZ71" s="1104"/>
      <c r="GA71" s="1104"/>
      <c r="GB71" s="1104"/>
      <c r="GC71" s="1104"/>
      <c r="GD71" s="1104"/>
      <c r="GE71" s="1104"/>
      <c r="GF71" s="1104"/>
      <c r="GG71" s="1104"/>
      <c r="GH71" s="1104"/>
      <c r="GI71" s="1104"/>
      <c r="GJ71" s="1104"/>
      <c r="GK71" s="1104"/>
      <c r="GL71" s="1104"/>
      <c r="GM71" s="1104"/>
    </row>
    <row r="72" spans="1:195" x14ac:dyDescent="0.2">
      <c r="A72" s="1071" t="s">
        <v>182</v>
      </c>
      <c r="B72" s="1071" t="str">
        <f>NewTech!B17</f>
        <v>TBDSLC10</v>
      </c>
      <c r="C72" s="1071" t="str">
        <f>NewTech!C17</f>
        <v>Bus, Conventional Diesel, 2010</v>
      </c>
      <c r="D72" s="1071" t="str">
        <f>NewTech!D17</f>
        <v>bn-vmt, bn-vmt/a</v>
      </c>
      <c r="E72" s="1071" t="str">
        <f>NewTech!E17</f>
        <v>TBDSL</v>
      </c>
      <c r="F72" s="1071" t="str">
        <f>NewTech!F17</f>
        <v>TB</v>
      </c>
      <c r="G72" s="1110" t="s">
        <v>498</v>
      </c>
      <c r="H72" s="1110" t="s">
        <v>499</v>
      </c>
      <c r="I72" s="1112">
        <v>1</v>
      </c>
      <c r="J72" s="1111" t="str">
        <f t="shared" si="37"/>
        <v>Bus-DSL</v>
      </c>
      <c r="K72" s="1111">
        <f>SUMIFS(NewEmisData!E:E, NewEmisData!$A:$A, $G72, NewEmisData!$B:$B, $A72, NewEmisData!$C:$C, $H72, NewEmisData!$D:$D, K$6)</f>
        <v>1573.0981920694501</v>
      </c>
      <c r="L72" s="1111">
        <f>SUMIFS(NewEmisData!F:F, NewEmisData!$A:$A, $G72, NewEmisData!$B:$B, $A72, NewEmisData!$C:$C, $H72, NewEmisData!$D:$D, L$6)</f>
        <v>1544.3679757121099</v>
      </c>
      <c r="M72" s="1111">
        <f>SUMIFS(NewEmisData!G:G, NewEmisData!$A:$A, $G72, NewEmisData!$B:$B, $A72, NewEmisData!$C:$C, $H72, NewEmisData!$D:$D, M$6)</f>
        <v>1916.5843083058301</v>
      </c>
      <c r="N72" s="1111">
        <f>SUMIFS(NewEmisData!H:H, NewEmisData!$A:$A, $G72, NewEmisData!$B:$B, $A72, NewEmisData!$C:$C, $H72, NewEmisData!$D:$D, N$6)</f>
        <v>1868.9930069357799</v>
      </c>
      <c r="O72" s="1111">
        <f>SUMIFS(NewEmisData!I:I, NewEmisData!$A:$A, $G72, NewEmisData!$B:$B, $A72, NewEmisData!$C:$C, $H72, NewEmisData!$D:$D, O$6)</f>
        <v>1812.7966575929599</v>
      </c>
      <c r="P72" s="1111">
        <f>SUMIFS(NewEmisData!J:J, NewEmisData!$A:$A, $G72, NewEmisData!$B:$B, $A72, NewEmisData!$C:$C, $H72, NewEmisData!$D:$D, P$6)</f>
        <v>1785.4009056329501</v>
      </c>
      <c r="Q72" s="1111">
        <f>SUMIFS(NewEmisData!K:K, NewEmisData!$A:$A, $G72, NewEmisData!$B:$B, $A72, NewEmisData!$C:$C, $H72, NewEmisData!$D:$D, Q$6)</f>
        <v>1781.1669913012199</v>
      </c>
      <c r="R72" s="1111">
        <f>SUMIFS(NewEmisData!L:L, NewEmisData!$A:$A, $G72, NewEmisData!$B:$B, $A72, NewEmisData!$C:$C, $H72, NewEmisData!$D:$D, R$6)</f>
        <v>1779.89338532949</v>
      </c>
      <c r="S72" s="1111">
        <f>SUMIFS(NewEmisData!M:M, NewEmisData!$A:$A, $G72, NewEmisData!$B:$B, $A72, NewEmisData!$C:$C, $H72, NewEmisData!$D:$D, S$6)</f>
        <v>1779.28555768666</v>
      </c>
      <c r="T72" s="1111">
        <f t="shared" si="17"/>
        <v>1779.28555768666</v>
      </c>
      <c r="U72" s="1111">
        <f>SUMIFS(NewEmisData!E:E, NewEmisData!$A:$A, $G72, NewEmisData!$B:$B, $A72, NewEmisData!$C:$C, $H72, NewEmisData!$D:$D, U$6)</f>
        <v>25.485894447035299</v>
      </c>
      <c r="V72" s="1111">
        <f>SUMIFS(NewEmisData!F:F, NewEmisData!$A:$A, $G72, NewEmisData!$B:$B, $A72, NewEmisData!$C:$C, $H72, NewEmisData!$D:$D, V$6)</f>
        <v>16.635316417576099</v>
      </c>
      <c r="W72" s="1111">
        <f>SUMIFS(NewEmisData!G:G, NewEmisData!$A:$A, $G72, NewEmisData!$B:$B, $A72, NewEmisData!$C:$C, $H72, NewEmisData!$D:$D, W$6)</f>
        <v>5.6806504273613996</v>
      </c>
      <c r="X72" s="1111">
        <f>SUMIFS(NewEmisData!H:H, NewEmisData!$A:$A, $G72, NewEmisData!$B:$B, $A72, NewEmisData!$C:$C, $H72, NewEmisData!$D:$D, X$6)</f>
        <v>3.05403934027653</v>
      </c>
      <c r="Y72" s="1111">
        <f>SUMIFS(NewEmisData!I:I, NewEmisData!$A:$A, $G72, NewEmisData!$B:$B, $A72, NewEmisData!$C:$C, $H72, NewEmisData!$D:$D, Y$6)</f>
        <v>2.1007258350226801</v>
      </c>
      <c r="Z72" s="1111">
        <f>SUMIFS(NewEmisData!J:J, NewEmisData!$A:$A, $G72, NewEmisData!$B:$B, $A72, NewEmisData!$C:$C, $H72, NewEmisData!$D:$D, Z$6)</f>
        <v>1.87658987655799</v>
      </c>
      <c r="AA72" s="1111">
        <f>SUMIFS(NewEmisData!K:K, NewEmisData!$A:$A, $G72, NewEmisData!$B:$B, $A72, NewEmisData!$C:$C, $H72, NewEmisData!$D:$D, AA$6)</f>
        <v>1.7679420427249899</v>
      </c>
      <c r="AB72" s="1111">
        <f>SUMIFS(NewEmisData!L:L, NewEmisData!$A:$A, $G72, NewEmisData!$B:$B, $A72, NewEmisData!$C:$C, $H72, NewEmisData!$D:$D, AB$6)</f>
        <v>1.7647235248156601</v>
      </c>
      <c r="AC72" s="1111">
        <f>SUMIFS(NewEmisData!M:M, NewEmisData!$A:$A, $G72, NewEmisData!$B:$B, $A72, NewEmisData!$C:$C, $H72, NewEmisData!$D:$D, AC$6)</f>
        <v>1.76351431040301</v>
      </c>
      <c r="AD72" s="1111">
        <f t="shared" si="18"/>
        <v>1.76351431040301</v>
      </c>
      <c r="AE72" s="1111">
        <f t="shared" ref="AE72:AE96" si="113">AF72</f>
        <v>3.9377821944932299E-2</v>
      </c>
      <c r="AF72" s="1111">
        <f>SUMIFS(NewEmisData!E:E, NewEmisData!$A:$A, $G72, NewEmisData!$B:$B, $A72, NewEmisData!$C:$C, $H72, NewEmisData!$D:$D, AF$6)</f>
        <v>3.9377821944932299E-2</v>
      </c>
      <c r="AG72" s="1111">
        <f>SUMIFS(NewEmisData!F:F, NewEmisData!$A:$A, $G72, NewEmisData!$B:$B, $A72, NewEmisData!$C:$C, $H72, NewEmisData!$D:$D, AG$6)</f>
        <v>3.7984236057639099E-2</v>
      </c>
      <c r="AH72" s="1111">
        <f>SUMIFS(NewEmisData!G:G, NewEmisData!$A:$A, $G72, NewEmisData!$B:$B, $A72, NewEmisData!$C:$C, $H72, NewEmisData!$D:$D, AH$6)</f>
        <v>1.6214018510996998E-2</v>
      </c>
      <c r="AI72" s="1111">
        <f>SUMIFS(NewEmisData!H:H, NewEmisData!$A:$A, $G72, NewEmisData!$B:$B, $A72, NewEmisData!$C:$C, $H72, NewEmisData!$D:$D, AI$6)</f>
        <v>1.5642379959483001E-2</v>
      </c>
      <c r="AJ72" s="1111">
        <f>SUMIFS(NewEmisData!I:I, NewEmisData!$A:$A, $G72, NewEmisData!$B:$B, $A72, NewEmisData!$C:$C, $H72, NewEmisData!$D:$D, AJ$6)</f>
        <v>1.5129566396989799E-2</v>
      </c>
      <c r="AK72" s="1111">
        <f>SUMIFS(NewEmisData!J:J, NewEmisData!$A:$A, $G72, NewEmisData!$B:$B, $A72, NewEmisData!$C:$C, $H72, NewEmisData!$D:$D, AK$6)</f>
        <v>1.48940539224115E-2</v>
      </c>
      <c r="AL72" s="1111">
        <f>SUMIFS(NewEmisData!K:K, NewEmisData!$A:$A, $G72, NewEmisData!$B:$B, $A72, NewEmisData!$C:$C, $H72, NewEmisData!$D:$D, AL$6)</f>
        <v>1.48498058438792E-2</v>
      </c>
      <c r="AM72" s="1111">
        <f>SUMIFS(NewEmisData!L:L, NewEmisData!$A:$A, $G72, NewEmisData!$B:$B, $A72, NewEmisData!$C:$C, $H72, NewEmisData!$D:$D, AM$6)</f>
        <v>1.48391871090011E-2</v>
      </c>
      <c r="AN72" s="1111">
        <f>SUMIFS(NewEmisData!M:M, NewEmisData!$A:$A, $G72, NewEmisData!$B:$B, $A72, NewEmisData!$C:$C, $H72, NewEmisData!$D:$D, AN$6)</f>
        <v>1.4834122168645001E-2</v>
      </c>
      <c r="AO72" s="1111">
        <f t="shared" ref="AO72:AO96" si="114">AN72</f>
        <v>1.4834122168645001E-2</v>
      </c>
      <c r="AP72" s="1111">
        <f t="shared" ref="AP72:AP96" si="115">AQ72</f>
        <v>1.6759760982763601</v>
      </c>
      <c r="AQ72" s="1111">
        <f>SUMIFS(NewEmisData!E:E, NewEmisData!$A:$A, $G72, NewEmisData!$B:$B, $A72, NewEmisData!$C:$C, $H72, NewEmisData!$D:$D, AQ$6)</f>
        <v>1.6759760982763601</v>
      </c>
      <c r="AR72" s="1111">
        <f>SUMIFS(NewEmisData!F:F, NewEmisData!$A:$A, $G72, NewEmisData!$B:$B, $A72, NewEmisData!$C:$C, $H72, NewEmisData!$D:$D, AR$6)</f>
        <v>1.2591555489209101</v>
      </c>
      <c r="AS72" s="1111">
        <f>SUMIFS(NewEmisData!G:G, NewEmisData!$A:$A, $G72, NewEmisData!$B:$B, $A72, NewEmisData!$C:$C, $H72, NewEmisData!$D:$D, AS$6)</f>
        <v>0.67744248626063297</v>
      </c>
      <c r="AT72" s="1111">
        <f>SUMIFS(NewEmisData!H:H, NewEmisData!$A:$A, $G72, NewEmisData!$B:$B, $A72, NewEmisData!$C:$C, $H72, NewEmisData!$D:$D, AT$6)</f>
        <v>0.52738778166466604</v>
      </c>
      <c r="AU72" s="1111">
        <f>SUMIFS(NewEmisData!I:I, NewEmisData!$A:$A, $G72, NewEmisData!$B:$B, $A72, NewEmisData!$C:$C, $H72, NewEmisData!$D:$D, AU$6)</f>
        <v>0.48358848951405597</v>
      </c>
      <c r="AV72" s="1111">
        <f>SUMIFS(NewEmisData!J:J, NewEmisData!$A:$A, $G72, NewEmisData!$B:$B, $A72, NewEmisData!$C:$C, $H72, NewEmisData!$D:$D, AV$6)</f>
        <v>0.472761661372815</v>
      </c>
      <c r="AW72" s="1111">
        <f>SUMIFS(NewEmisData!K:K, NewEmisData!$A:$A, $G72, NewEmisData!$B:$B, $A72, NewEmisData!$C:$C, $H72, NewEmisData!$D:$D, AW$6)</f>
        <v>0.46753146166185999</v>
      </c>
      <c r="AX72" s="1111">
        <f>SUMIFS(NewEmisData!L:L, NewEmisData!$A:$A, $G72, NewEmisData!$B:$B, $A72, NewEmisData!$C:$C, $H72, NewEmisData!$D:$D, AX$6)</f>
        <v>0.46733602925816797</v>
      </c>
      <c r="AY72" s="1111">
        <f>SUMIFS(NewEmisData!M:M, NewEmisData!$A:$A, $G72, NewEmisData!$B:$B, $A72, NewEmisData!$C:$C, $H72, NewEmisData!$D:$D, AY$6)</f>
        <v>0.46734012500094102</v>
      </c>
      <c r="AZ72" s="1111">
        <f t="shared" ref="AZ72:AZ96" si="116">AY72</f>
        <v>0.46734012500094102</v>
      </c>
      <c r="BA72" s="1111">
        <f t="shared" ref="BA72:BA96" si="117">BB72</f>
        <v>1.31772095909569</v>
      </c>
      <c r="BB72" s="1111">
        <f>SUMIFS(NewEmisData!E:E, NewEmisData!$A:$A, $G72, NewEmisData!$B:$B, $A72, NewEmisData!$C:$C, $H72, NewEmisData!$D:$D, BB$6)</f>
        <v>1.31772095909569</v>
      </c>
      <c r="BC72" s="1111">
        <f>SUMIFS(NewEmisData!F:F, NewEmisData!$A:$A, $G72, NewEmisData!$B:$B, $A72, NewEmisData!$C:$C, $H72, NewEmisData!$D:$D, BC$6)</f>
        <v>0.93325433252970902</v>
      </c>
      <c r="BD72" s="1111">
        <f>SUMIFS(NewEmisData!G:G, NewEmisData!$A:$A, $G72, NewEmisData!$B:$B, $A72, NewEmisData!$C:$C, $H72, NewEmisData!$D:$D, BD$6)</f>
        <v>0.27440125765457901</v>
      </c>
      <c r="BE72" s="1111">
        <f>SUMIFS(NewEmisData!H:H, NewEmisData!$A:$A, $G72, NewEmisData!$B:$B, $A72, NewEmisData!$C:$C, $H72, NewEmisData!$D:$D, BE$6)</f>
        <v>0.135307690590454</v>
      </c>
      <c r="BF72" s="1111">
        <f>SUMIFS(NewEmisData!I:I, NewEmisData!$A:$A, $G72, NewEmisData!$B:$B, $A72, NewEmisData!$C:$C, $H72, NewEmisData!$D:$D, BF$6)</f>
        <v>0.10091565939698199</v>
      </c>
      <c r="BG72" s="1111">
        <f>SUMIFS(NewEmisData!J:J, NewEmisData!$A:$A, $G72, NewEmisData!$B:$B, $A72, NewEmisData!$C:$C, $H72, NewEmisData!$D:$D, BG$6)</f>
        <v>9.4307179930071303E-2</v>
      </c>
      <c r="BH72" s="1111">
        <f>SUMIFS(NewEmisData!K:K, NewEmisData!$A:$A, $G72, NewEmisData!$B:$B, $A72, NewEmisData!$C:$C, $H72, NewEmisData!$D:$D, BH$6)</f>
        <v>8.9937296191057697E-2</v>
      </c>
      <c r="BI72" s="1111">
        <f>SUMIFS(NewEmisData!L:L, NewEmisData!$A:$A, $G72, NewEmisData!$B:$B, $A72, NewEmisData!$C:$C, $H72, NewEmisData!$D:$D, BI$6)</f>
        <v>8.9863311660723005E-2</v>
      </c>
      <c r="BJ72" s="1111">
        <f>SUMIFS(NewEmisData!M:M, NewEmisData!$A:$A, $G72, NewEmisData!$B:$B, $A72, NewEmisData!$C:$C, $H72, NewEmisData!$D:$D, BJ$6)</f>
        <v>8.9850222817437805E-2</v>
      </c>
      <c r="BK72" s="1111">
        <f t="shared" ref="BK72:BK96" si="118">BJ72</f>
        <v>8.9850222817437805E-2</v>
      </c>
      <c r="BL72" s="1111">
        <f t="shared" ref="BL72:BL96" si="119">BM72</f>
        <v>9.42494595370054</v>
      </c>
      <c r="BM72" s="1111">
        <f>SUMIFS(NewEmisData!E:E, NewEmisData!$A:$A, $G72, NewEmisData!$B:$B, $A72, NewEmisData!$C:$C, $H72, NewEmisData!$D:$D, BM$6)</f>
        <v>9.42494595370054</v>
      </c>
      <c r="BN72" s="1111">
        <f>SUMIFS(NewEmisData!F:F, NewEmisData!$A:$A, $G72, NewEmisData!$B:$B, $A72, NewEmisData!$C:$C, $H72, NewEmisData!$D:$D, BN$6)</f>
        <v>6.5151522418316503</v>
      </c>
      <c r="BO72" s="1111">
        <f>SUMIFS(NewEmisData!G:G, NewEmisData!$A:$A, $G72, NewEmisData!$B:$B, $A72, NewEmisData!$C:$C, $H72, NewEmisData!$D:$D, BO$6)</f>
        <v>2.9013962679725198</v>
      </c>
      <c r="BP72" s="1111">
        <f>SUMIFS(NewEmisData!H:H, NewEmisData!$A:$A, $G72, NewEmisData!$B:$B, $A72, NewEmisData!$C:$C, $H72, NewEmisData!$D:$D, BP$6)</f>
        <v>1.8001555126276301</v>
      </c>
      <c r="BQ72" s="1111">
        <f>SUMIFS(NewEmisData!I:I, NewEmisData!$A:$A, $G72, NewEmisData!$B:$B, $A72, NewEmisData!$C:$C, $H72, NewEmisData!$D:$D, BQ$6)</f>
        <v>1.6438313765408701</v>
      </c>
      <c r="BR72" s="1111">
        <f>SUMIFS(NewEmisData!J:J, NewEmisData!$A:$A, $G72, NewEmisData!$B:$B, $A72, NewEmisData!$C:$C, $H72, NewEmisData!$D:$D, BR$6)</f>
        <v>1.57432933432189</v>
      </c>
      <c r="BS72" s="1111">
        <f>SUMIFS(NewEmisData!K:K, NewEmisData!$A:$A, $G72, NewEmisData!$B:$B, $A72, NewEmisData!$C:$C, $H72, NewEmisData!$D:$D, BS$6)</f>
        <v>1.5408503449425099</v>
      </c>
      <c r="BT72" s="1111">
        <f>SUMIFS(NewEmisData!L:L, NewEmisData!$A:$A, $G72, NewEmisData!$B:$B, $A72, NewEmisData!$C:$C, $H72, NewEmisData!$D:$D, BT$6)</f>
        <v>1.5416002309750501</v>
      </c>
      <c r="BU72" s="1111">
        <f>SUMIFS(NewEmisData!M:M, NewEmisData!$A:$A, $G72, NewEmisData!$B:$B, $A72, NewEmisData!$C:$C, $H72, NewEmisData!$D:$D, BU$6)</f>
        <v>1.54141496966159</v>
      </c>
      <c r="BV72" s="1111">
        <f t="shared" ref="BV72:BV96" si="120">BU72</f>
        <v>1.54141496966159</v>
      </c>
      <c r="BW72" s="1111">
        <f t="shared" ref="BW72:BW96" si="121">BX72</f>
        <v>1.84761615807355</v>
      </c>
      <c r="BX72" s="1111">
        <f>SUMIFS(NewEmisData!E:E, NewEmisData!$A:$A, $G72, NewEmisData!$B:$B, $A72, NewEmisData!$C:$C, $H72, NewEmisData!$D:$D, BX$6)</f>
        <v>1.84761615807355</v>
      </c>
      <c r="BY72" s="1111">
        <f>SUMIFS(NewEmisData!F:F, NewEmisData!$A:$A, $G72, NewEmisData!$B:$B, $A72, NewEmisData!$C:$C, $H72, NewEmisData!$D:$D, BY$6)</f>
        <v>1.40257055938169</v>
      </c>
      <c r="BZ72" s="1111">
        <f>SUMIFS(NewEmisData!G:G, NewEmisData!$A:$A, $G72, NewEmisData!$B:$B, $A72, NewEmisData!$C:$C, $H72, NewEmisData!$D:$D, BZ$6)</f>
        <v>0.61956439340661196</v>
      </c>
      <c r="CA72" s="1111">
        <f>SUMIFS(NewEmisData!H:H, NewEmisData!$A:$A, $G72, NewEmisData!$B:$B, $A72, NewEmisData!$C:$C, $H72, NewEmisData!$D:$D, CA$6)</f>
        <v>0.26929109587747802</v>
      </c>
      <c r="CB72" s="1111">
        <f>SUMIFS(NewEmisData!I:I, NewEmisData!$A:$A, $G72, NewEmisData!$B:$B, $A72, NewEmisData!$C:$C, $H72, NewEmisData!$D:$D, CB$6)</f>
        <v>0.19094706305498699</v>
      </c>
      <c r="CC72" s="1111">
        <f>SUMIFS(NewEmisData!J:J, NewEmisData!$A:$A, $G72, NewEmisData!$B:$B, $A72, NewEmisData!$C:$C, $H72, NewEmisData!$D:$D, CC$6)</f>
        <v>0.172288027054284</v>
      </c>
      <c r="CD72" s="1111">
        <f>SUMIFS(NewEmisData!K:K, NewEmisData!$A:$A, $G72, NewEmisData!$B:$B, $A72, NewEmisData!$C:$C, $H72, NewEmisData!$D:$D, CD$6)</f>
        <v>0.15756259162820199</v>
      </c>
      <c r="CE72" s="1111">
        <f>SUMIFS(NewEmisData!L:L, NewEmisData!$A:$A, $G72, NewEmisData!$B:$B, $A72, NewEmisData!$C:$C, $H72, NewEmisData!$D:$D, CE$6)</f>
        <v>0.157519892644533</v>
      </c>
      <c r="CF72" s="1111">
        <f>SUMIFS(NewEmisData!M:M, NewEmisData!$A:$A, $G72, NewEmisData!$B:$B, $A72, NewEmisData!$C:$C, $H72, NewEmisData!$D:$D, CF$6)</f>
        <v>0.15750071717103001</v>
      </c>
      <c r="CG72" s="1111">
        <f t="shared" ref="CG72:CG96" si="122">CF72</f>
        <v>0.15750071717103001</v>
      </c>
      <c r="CH72" s="1111">
        <f t="shared" ref="CH72:CH96" si="123">CI72</f>
        <v>2.6212030110567601E-2</v>
      </c>
      <c r="CI72" s="1111">
        <f>SUMIFS(NewEmisData!E:E, NewEmisData!$A:$A, $G72, NewEmisData!$B:$B, $A72, NewEmisData!$C:$C, $H72, NewEmisData!$D:$D, CI$6)</f>
        <v>2.6212030110567601E-2</v>
      </c>
      <c r="CJ72" s="1111">
        <f>SUMIFS(NewEmisData!F:F, NewEmisData!$A:$A, $G72, NewEmisData!$B:$B, $A72, NewEmisData!$C:$C, $H72, NewEmisData!$D:$D, CJ$6)</f>
        <v>2.6306147637779401E-2</v>
      </c>
      <c r="CK72" s="1111">
        <f>SUMIFS(NewEmisData!G:G, NewEmisData!$A:$A, $G72, NewEmisData!$B:$B, $A72, NewEmisData!$C:$C, $H72, NewEmisData!$D:$D, CK$6)</f>
        <v>3.6703962076044899E-2</v>
      </c>
      <c r="CL72" s="1111">
        <f>SUMIFS(NewEmisData!H:H, NewEmisData!$A:$A, $G72, NewEmisData!$B:$B, $A72, NewEmisData!$C:$C, $H72, NewEmisData!$D:$D, CL$6)</f>
        <v>3.6724988920478097E-2</v>
      </c>
      <c r="CM72" s="1111">
        <f>SUMIFS(NewEmisData!I:I, NewEmisData!$A:$A, $G72, NewEmisData!$B:$B, $A72, NewEmisData!$C:$C, $H72, NewEmisData!$D:$D, CM$6)</f>
        <v>3.6651621694611301E-2</v>
      </c>
      <c r="CN72" s="1111">
        <f>SUMIFS(NewEmisData!J:J, NewEmisData!$A:$A, $G72, NewEmisData!$B:$B, $A72, NewEmisData!$C:$C, $H72, NewEmisData!$D:$D, CN$6)</f>
        <v>3.6612099035051998E-2</v>
      </c>
      <c r="CO72" s="1111">
        <f>SUMIFS(NewEmisData!K:K, NewEmisData!$A:$A, $G72, NewEmisData!$B:$B, $A72, NewEmisData!$C:$C, $H72, NewEmisData!$D:$D, CO$6)</f>
        <v>3.6606158410121097E-2</v>
      </c>
      <c r="CP72" s="1111">
        <f>SUMIFS(NewEmisData!L:L, NewEmisData!$A:$A, $G72, NewEmisData!$B:$B, $A72, NewEmisData!$C:$C, $H72, NewEmisData!$D:$D, CP$6)</f>
        <v>3.6604649349406201E-2</v>
      </c>
      <c r="CQ72" s="1111">
        <f>SUMIFS(NewEmisData!M:M, NewEmisData!$A:$A, $G72, NewEmisData!$B:$B, $A72, NewEmisData!$C:$C, $H72, NewEmisData!$D:$D, CQ$6)</f>
        <v>3.6605318323892203E-2</v>
      </c>
      <c r="CR72" s="1111">
        <f t="shared" ref="CR72:CR96" si="124">CQ72</f>
        <v>3.6605318323892203E-2</v>
      </c>
      <c r="CS72" s="1111">
        <f t="shared" ref="CS72:CS96" si="125">CT72</f>
        <v>4.9860992358685303E-3</v>
      </c>
      <c r="CT72" s="1111">
        <f>SUMIFS(NewEmisData!E:E, NewEmisData!$A:$A, $G72, NewEmisData!$B:$B, $A72, NewEmisData!$C:$C, $H72, NewEmisData!$D:$D, CT$6)</f>
        <v>4.9860992358685303E-3</v>
      </c>
      <c r="CU72" s="1111">
        <f>SUMIFS(NewEmisData!F:F, NewEmisData!$A:$A, $G72, NewEmisData!$B:$B, $A72, NewEmisData!$C:$C, $H72, NewEmisData!$D:$D, CU$6)</f>
        <v>4.7742875379494596E-3</v>
      </c>
      <c r="CV72" s="1111">
        <f>SUMIFS(NewEmisData!G:G, NewEmisData!$A:$A, $G72, NewEmisData!$B:$B, $A72, NewEmisData!$C:$C, $H72, NewEmisData!$D:$D, CV$6)</f>
        <v>7.2603358828681602E-3</v>
      </c>
      <c r="CW72" s="1111">
        <f>SUMIFS(NewEmisData!H:H, NewEmisData!$A:$A, $G72, NewEmisData!$B:$B, $A72, NewEmisData!$C:$C, $H72, NewEmisData!$D:$D, CW$6)</f>
        <v>7.2661933727351004E-3</v>
      </c>
      <c r="CX72" s="1111">
        <f>SUMIFS(NewEmisData!I:I, NewEmisData!$A:$A, $G72, NewEmisData!$B:$B, $A72, NewEmisData!$C:$C, $H72, NewEmisData!$D:$D, CX$6)</f>
        <v>7.3123890355101103E-3</v>
      </c>
      <c r="CY72" s="1111">
        <f>SUMIFS(NewEmisData!J:J, NewEmisData!$A:$A, $G72, NewEmisData!$B:$B, $A72, NewEmisData!$C:$C, $H72, NewEmisData!$D:$D, CY$6)</f>
        <v>7.3404374727568103E-3</v>
      </c>
      <c r="CZ72" s="1111">
        <f>SUMIFS(NewEmisData!K:K, NewEmisData!$A:$A, $G72, NewEmisData!$B:$B, $A72, NewEmisData!$C:$C, $H72, NewEmisData!$D:$D, CZ$6)</f>
        <v>7.3437457061269196E-3</v>
      </c>
      <c r="DA72" s="1111">
        <f>SUMIFS(NewEmisData!L:L, NewEmisData!$A:$A, $G72, NewEmisData!$B:$B, $A72, NewEmisData!$C:$C, $H72, NewEmisData!$D:$D, DA$6)</f>
        <v>7.3446144592809104E-3</v>
      </c>
      <c r="DB72" s="1111">
        <f>SUMIFS(NewEmisData!M:M, NewEmisData!$A:$A, $G72, NewEmisData!$B:$B, $A72, NewEmisData!$C:$C, $H72, NewEmisData!$D:$D, DB$6)</f>
        <v>7.3444994559674001E-3</v>
      </c>
      <c r="DC72" s="1111">
        <f t="shared" ref="DC72:DC96" si="126">DB72</f>
        <v>7.3444994559674001E-3</v>
      </c>
      <c r="DD72" s="1111">
        <v>0.39300578709389528</v>
      </c>
      <c r="DE72" s="1111">
        <v>0.25218506439547889</v>
      </c>
      <c r="DF72" s="1111">
        <v>9.0680333464346716E-2</v>
      </c>
      <c r="DG72" s="1111">
        <v>1.5259203997944157E-2</v>
      </c>
      <c r="DH72" s="1111">
        <v>1.442984591146376E-3</v>
      </c>
      <c r="DI72" s="1111">
        <v>1.4216300052729372E-3</v>
      </c>
      <c r="DJ72" s="1111">
        <v>1.4222674909691675E-3</v>
      </c>
      <c r="DK72" s="1111">
        <v>1.4222968522144778E-3</v>
      </c>
      <c r="DL72" s="1111">
        <v>1.4226321321994845E-3</v>
      </c>
      <c r="DM72" s="1111">
        <v>1.4227267584946933E-3</v>
      </c>
      <c r="DN72" s="1111">
        <v>1.4227267584946933E-3</v>
      </c>
      <c r="DO72" s="1111">
        <v>0.20788279259438966</v>
      </c>
      <c r="DP72" s="1111">
        <v>0.14188647424950029</v>
      </c>
      <c r="DQ72" s="1111">
        <v>6.2736208538959407E-2</v>
      </c>
      <c r="DR72" s="1111">
        <v>1.2554111333601691E-2</v>
      </c>
      <c r="DS72" s="1111">
        <v>2.5088278770177383E-3</v>
      </c>
      <c r="DT72" s="1111">
        <v>2.4717000504004827E-3</v>
      </c>
      <c r="DU72" s="1111">
        <v>2.472808290816776E-3</v>
      </c>
      <c r="DV72" s="1111">
        <v>2.4728594625776285E-3</v>
      </c>
      <c r="DW72" s="1111">
        <v>2.4734423116144133E-3</v>
      </c>
      <c r="DX72" s="1111">
        <v>2.4736068982878887E-3</v>
      </c>
      <c r="DY72" s="1111">
        <v>2.4736068982878887E-3</v>
      </c>
      <c r="DZ72" s="1111">
        <f t="shared" ref="DZ72:DZ96" si="127">EA72</f>
        <v>1.13593830923209E-2</v>
      </c>
      <c r="EA72" s="1111">
        <f>SUMIFS(NewEmisData!E:E, NewEmisData!$A:$A, $G72, NewEmisData!$B:$B, $A72, NewEmisData!$C:$C, $H72, NewEmisData!$D:$D, EA$6)</f>
        <v>1.13593830923209E-2</v>
      </c>
      <c r="EB72" s="1111">
        <f>SUMIFS(NewEmisData!F:F, NewEmisData!$A:$A, $G72, NewEmisData!$B:$B, $A72, NewEmisData!$C:$C, $H72, NewEmisData!$D:$D, EB$6)</f>
        <v>3.7803123032821302E-2</v>
      </c>
      <c r="EC72" s="1111">
        <f>SUMIFS(NewEmisData!G:G, NewEmisData!$A:$A, $G72, NewEmisData!$B:$B, $A72, NewEmisData!$C:$C, $H72, NewEmisData!$D:$D, EC$6)</f>
        <v>0.124437290193953</v>
      </c>
      <c r="ED72" s="1111">
        <f>SUMIFS(NewEmisData!H:H, NewEmisData!$A:$A, $G72, NewEmisData!$B:$B, $A72, NewEmisData!$C:$C, $H72, NewEmisData!$D:$D, ED$6)</f>
        <v>0.136903583493692</v>
      </c>
      <c r="EE72" s="1111">
        <f>SUMIFS(NewEmisData!I:I, NewEmisData!$A:$A, $G72, NewEmisData!$B:$B, $A72, NewEmisData!$C:$C, $H72, NewEmisData!$D:$D, EE$6)</f>
        <v>0.13674174011835499</v>
      </c>
      <c r="EF72" s="1111">
        <f>SUMIFS(NewEmisData!J:J, NewEmisData!$A:$A, $G72, NewEmisData!$B:$B, $A72, NewEmisData!$C:$C, $H72, NewEmisData!$D:$D, EF$6)</f>
        <v>0.13774221915503501</v>
      </c>
      <c r="EG72" s="1111">
        <f>SUMIFS(NewEmisData!K:K, NewEmisData!$A:$A, $G72, NewEmisData!$B:$B, $A72, NewEmisData!$C:$C, $H72, NewEmisData!$D:$D, EG$6)</f>
        <v>0.13873461497783901</v>
      </c>
      <c r="EH72" s="1111">
        <f>SUMIFS(NewEmisData!L:L, NewEmisData!$A:$A, $G72, NewEmisData!$B:$B, $A72, NewEmisData!$C:$C, $H72, NewEmisData!$D:$D, EH$6)</f>
        <v>0.13871065448301201</v>
      </c>
      <c r="EI72" s="1111">
        <f>SUMIFS(NewEmisData!M:M, NewEmisData!$A:$A, $G72, NewEmisData!$B:$B, $A72, NewEmisData!$C:$C, $H72, NewEmisData!$D:$D, EI$6)</f>
        <v>0.13870041556896201</v>
      </c>
      <c r="EJ72" s="1111">
        <f t="shared" ref="EJ72:EJ96" si="128">EI72</f>
        <v>0.13870041556896201</v>
      </c>
      <c r="EK72" s="1111">
        <f t="shared" ref="EK72:EK96" si="129">EL72</f>
        <v>1573.0981920694501</v>
      </c>
      <c r="EL72" s="1111">
        <f t="shared" si="48"/>
        <v>1573.0981920694501</v>
      </c>
      <c r="EM72" s="1111">
        <f t="shared" si="49"/>
        <v>1544.3679757121099</v>
      </c>
      <c r="EN72" s="1111">
        <f t="shared" si="50"/>
        <v>1916.5843083058301</v>
      </c>
      <c r="EO72" s="1111">
        <f t="shared" si="51"/>
        <v>1868.9930069357799</v>
      </c>
      <c r="EP72" s="1111">
        <f t="shared" si="52"/>
        <v>1812.7966575929599</v>
      </c>
      <c r="EQ72" s="1111">
        <f t="shared" si="53"/>
        <v>1785.4009056329501</v>
      </c>
      <c r="ER72" s="1111">
        <f t="shared" si="54"/>
        <v>1781.1669913012199</v>
      </c>
      <c r="ES72" s="1111">
        <f t="shared" si="55"/>
        <v>1779.89338532949</v>
      </c>
      <c r="ET72" s="1111">
        <f t="shared" si="56"/>
        <v>1779.28555768666</v>
      </c>
      <c r="EU72" s="1111">
        <f t="shared" si="57"/>
        <v>1779.28555768666</v>
      </c>
      <c r="EV72" s="1111">
        <f t="shared" ref="EV72:EV96" si="130">EW72</f>
        <v>25.485894447035299</v>
      </c>
      <c r="EW72" s="1111">
        <f t="shared" si="38"/>
        <v>25.485894447035299</v>
      </c>
      <c r="EX72" s="1111">
        <f t="shared" si="39"/>
        <v>16.635316417576099</v>
      </c>
      <c r="EY72" s="1111">
        <f t="shared" si="40"/>
        <v>5.6806504273613996</v>
      </c>
      <c r="EZ72" s="1111">
        <f t="shared" si="41"/>
        <v>3.05403934027653</v>
      </c>
      <c r="FA72" s="1111">
        <f t="shared" si="42"/>
        <v>2.1007258350226801</v>
      </c>
      <c r="FB72" s="1111">
        <f t="shared" si="43"/>
        <v>1.87658987655799</v>
      </c>
      <c r="FC72" s="1111">
        <f t="shared" si="44"/>
        <v>1.7679420427249899</v>
      </c>
      <c r="FD72" s="1111">
        <f t="shared" si="45"/>
        <v>1.7647235248156601</v>
      </c>
      <c r="FE72" s="1111">
        <f t="shared" si="46"/>
        <v>1.76351431040301</v>
      </c>
      <c r="FF72" s="1111">
        <f t="shared" si="47"/>
        <v>1.76351431040301</v>
      </c>
      <c r="FG72" s="1111">
        <f t="shared" si="100"/>
        <v>3.9377821944932299E-2</v>
      </c>
      <c r="FH72" s="1111">
        <f t="shared" si="101"/>
        <v>3.9377821944932299E-2</v>
      </c>
      <c r="FI72" s="1111">
        <f t="shared" si="102"/>
        <v>3.7984236057639099E-2</v>
      </c>
      <c r="FJ72" s="1111">
        <f t="shared" si="103"/>
        <v>1.6214018510996998E-2</v>
      </c>
      <c r="FK72" s="1111">
        <f t="shared" si="104"/>
        <v>1.5642379959483001E-2</v>
      </c>
      <c r="FL72" s="1111">
        <f t="shared" si="105"/>
        <v>1.5129566396989799E-2</v>
      </c>
      <c r="FM72" s="1111">
        <f t="shared" si="106"/>
        <v>1.48940539224115E-2</v>
      </c>
      <c r="FN72" s="1111">
        <f t="shared" si="107"/>
        <v>1.48498058438792E-2</v>
      </c>
      <c r="FO72" s="1111">
        <f t="shared" si="108"/>
        <v>1.48391871090011E-2</v>
      </c>
      <c r="FP72" s="1111">
        <f t="shared" si="109"/>
        <v>1.4834122168645001E-2</v>
      </c>
      <c r="FQ72" s="1111">
        <f t="shared" si="110"/>
        <v>1.4834122168645001E-2</v>
      </c>
      <c r="FR72" s="1111">
        <f t="shared" si="25"/>
        <v>1.6759760982763601</v>
      </c>
      <c r="FS72" s="1111">
        <f t="shared" si="26"/>
        <v>1.6759760982763601</v>
      </c>
      <c r="FT72" s="1111">
        <f t="shared" si="27"/>
        <v>1.2591555489209101</v>
      </c>
      <c r="FU72" s="1111">
        <f t="shared" si="28"/>
        <v>0.67744248626063297</v>
      </c>
      <c r="FV72" s="1111">
        <f t="shared" si="29"/>
        <v>0.52738778166466604</v>
      </c>
      <c r="FW72" s="1111">
        <f t="shared" si="30"/>
        <v>0.48358848951405597</v>
      </c>
      <c r="FX72" s="1111">
        <f t="shared" si="31"/>
        <v>0.472761661372815</v>
      </c>
      <c r="FY72" s="1111">
        <f t="shared" si="32"/>
        <v>0.46753146166185999</v>
      </c>
      <c r="FZ72" s="1111">
        <f t="shared" si="33"/>
        <v>0.46733602925816797</v>
      </c>
      <c r="GA72" s="1111">
        <f t="shared" si="34"/>
        <v>0.46734012500094102</v>
      </c>
      <c r="GB72" s="1111">
        <f t="shared" si="35"/>
        <v>0.46734012500094102</v>
      </c>
      <c r="GC72" s="1111">
        <f t="shared" si="59"/>
        <v>1.31772095909569</v>
      </c>
      <c r="GD72" s="1111">
        <f t="shared" si="60"/>
        <v>1.31772095909569</v>
      </c>
      <c r="GE72" s="1111">
        <f t="shared" si="61"/>
        <v>0.93325433252970902</v>
      </c>
      <c r="GF72" s="1111">
        <f t="shared" si="62"/>
        <v>0.27440125765457901</v>
      </c>
      <c r="GG72" s="1111">
        <f t="shared" si="63"/>
        <v>0.135307690590454</v>
      </c>
      <c r="GH72" s="1111">
        <f t="shared" si="64"/>
        <v>0.10091565939698199</v>
      </c>
      <c r="GI72" s="1111">
        <f t="shared" si="65"/>
        <v>9.4307179930071303E-2</v>
      </c>
      <c r="GJ72" s="1111">
        <f t="shared" si="66"/>
        <v>8.9937296191057697E-2</v>
      </c>
      <c r="GK72" s="1111">
        <f t="shared" si="67"/>
        <v>8.9863311660723005E-2</v>
      </c>
      <c r="GL72" s="1111">
        <f t="shared" si="68"/>
        <v>8.9850222817437805E-2</v>
      </c>
      <c r="GM72" s="1111">
        <f t="shared" si="69"/>
        <v>8.9850222817437805E-2</v>
      </c>
    </row>
    <row r="73" spans="1:195" x14ac:dyDescent="0.2">
      <c r="A73" s="1071" t="s">
        <v>184</v>
      </c>
      <c r="B73" s="1071" t="str">
        <f>NewTech!B17</f>
        <v>TBDSLC10</v>
      </c>
      <c r="C73" s="1071" t="str">
        <f>NewTech!C17</f>
        <v>Bus, Conventional Diesel, 2010</v>
      </c>
      <c r="D73" s="1071" t="str">
        <f>NewTech!D17</f>
        <v>bn-vmt, bn-vmt/a</v>
      </c>
      <c r="E73" s="1071" t="str">
        <f>NewTech!E17</f>
        <v>TBDSL</v>
      </c>
      <c r="F73" s="1071" t="str">
        <f>NewTech!F17</f>
        <v>TB</v>
      </c>
      <c r="G73" s="1110" t="s">
        <v>498</v>
      </c>
      <c r="H73" s="1110" t="s">
        <v>499</v>
      </c>
      <c r="I73" s="1112">
        <v>1</v>
      </c>
      <c r="J73" s="1111" t="str">
        <f t="shared" si="37"/>
        <v>Bus-DSL</v>
      </c>
      <c r="K73" s="1111">
        <f>SUMIFS(NewEmisData!E:E, NewEmisData!$A:$A, $G73, NewEmisData!$B:$B, $A73, NewEmisData!$C:$C, $H73, NewEmisData!$D:$D, K$6)</f>
        <v>1543.98093106499</v>
      </c>
      <c r="L73" s="1111">
        <f>SUMIFS(NewEmisData!F:F, NewEmisData!$A:$A, $G73, NewEmisData!$B:$B, $A73, NewEmisData!$C:$C, $H73, NewEmisData!$D:$D, L$6)</f>
        <v>1489.5901194539099</v>
      </c>
      <c r="M73" s="1111">
        <f>SUMIFS(NewEmisData!G:G, NewEmisData!$A:$A, $G73, NewEmisData!$B:$B, $A73, NewEmisData!$C:$C, $H73, NewEmisData!$D:$D, M$6)</f>
        <v>1760.12051639078</v>
      </c>
      <c r="N73" s="1111">
        <f>SUMIFS(NewEmisData!H:H, NewEmisData!$A:$A, $G73, NewEmisData!$B:$B, $A73, NewEmisData!$C:$C, $H73, NewEmisData!$D:$D, N$6)</f>
        <v>1725.691003145</v>
      </c>
      <c r="O73" s="1111">
        <f>SUMIFS(NewEmisData!I:I, NewEmisData!$A:$A, $G73, NewEmisData!$B:$B, $A73, NewEmisData!$C:$C, $H73, NewEmisData!$D:$D, O$6)</f>
        <v>1701.2652234181401</v>
      </c>
      <c r="P73" s="1111">
        <f>SUMIFS(NewEmisData!J:J, NewEmisData!$A:$A, $G73, NewEmisData!$B:$B, $A73, NewEmisData!$C:$C, $H73, NewEmisData!$D:$D, P$6)</f>
        <v>1689.2419423004101</v>
      </c>
      <c r="Q73" s="1111">
        <f>SUMIFS(NewEmisData!K:K, NewEmisData!$A:$A, $G73, NewEmisData!$B:$B, $A73, NewEmisData!$C:$C, $H73, NewEmisData!$D:$D, Q$6)</f>
        <v>1686.0310473817101</v>
      </c>
      <c r="R73" s="1111">
        <f>SUMIFS(NewEmisData!L:L, NewEmisData!$A:$A, $G73, NewEmisData!$B:$B, $A73, NewEmisData!$C:$C, $H73, NewEmisData!$D:$D, R$6)</f>
        <v>1684.65387386569</v>
      </c>
      <c r="S73" s="1111">
        <f>SUMIFS(NewEmisData!M:M, NewEmisData!$A:$A, $G73, NewEmisData!$B:$B, $A73, NewEmisData!$C:$C, $H73, NewEmisData!$D:$D, S$6)</f>
        <v>1683.50748414707</v>
      </c>
      <c r="T73" s="1111">
        <f t="shared" si="17"/>
        <v>1683.50748414707</v>
      </c>
      <c r="U73" s="1111">
        <f>SUMIFS(NewEmisData!E:E, NewEmisData!$A:$A, $G73, NewEmisData!$B:$B, $A73, NewEmisData!$C:$C, $H73, NewEmisData!$D:$D, U$6)</f>
        <v>18.668125395756</v>
      </c>
      <c r="V73" s="1111">
        <f>SUMIFS(NewEmisData!F:F, NewEmisData!$A:$A, $G73, NewEmisData!$B:$B, $A73, NewEmisData!$C:$C, $H73, NewEmisData!$D:$D, V$6)</f>
        <v>11.1440380927276</v>
      </c>
      <c r="W73" s="1111">
        <f>SUMIFS(NewEmisData!G:G, NewEmisData!$A:$A, $G73, NewEmisData!$B:$B, $A73, NewEmisData!$C:$C, $H73, NewEmisData!$D:$D, W$6)</f>
        <v>5.7829202038421004</v>
      </c>
      <c r="X73" s="1111">
        <f>SUMIFS(NewEmisData!H:H, NewEmisData!$A:$A, $G73, NewEmisData!$B:$B, $A73, NewEmisData!$C:$C, $H73, NewEmisData!$D:$D, X$6)</f>
        <v>3.20396695130832</v>
      </c>
      <c r="Y73" s="1111">
        <f>SUMIFS(NewEmisData!I:I, NewEmisData!$A:$A, $G73, NewEmisData!$B:$B, $A73, NewEmisData!$C:$C, $H73, NewEmisData!$D:$D, Y$6)</f>
        <v>2.2740618900591598</v>
      </c>
      <c r="Z73" s="1111">
        <f>SUMIFS(NewEmisData!J:J, NewEmisData!$A:$A, $G73, NewEmisData!$B:$B, $A73, NewEmisData!$C:$C, $H73, NewEmisData!$D:$D, Z$6)</f>
        <v>1.9371275562897501</v>
      </c>
      <c r="AA73" s="1111">
        <f>SUMIFS(NewEmisData!K:K, NewEmisData!$A:$A, $G73, NewEmisData!$B:$B, $A73, NewEmisData!$C:$C, $H73, NewEmisData!$D:$D, AA$6)</f>
        <v>1.7456585769951301</v>
      </c>
      <c r="AB73" s="1111">
        <f>SUMIFS(NewEmisData!L:L, NewEmisData!$A:$A, $G73, NewEmisData!$B:$B, $A73, NewEmisData!$C:$C, $H73, NewEmisData!$D:$D, AB$6)</f>
        <v>1.7403372468815299</v>
      </c>
      <c r="AC73" s="1111">
        <f>SUMIFS(NewEmisData!M:M, NewEmisData!$A:$A, $G73, NewEmisData!$B:$B, $A73, NewEmisData!$C:$C, $H73, NewEmisData!$D:$D, AC$6)</f>
        <v>1.7389528033933299</v>
      </c>
      <c r="AD73" s="1111">
        <f t="shared" si="18"/>
        <v>1.7389528033933299</v>
      </c>
      <c r="AE73" s="1111">
        <f t="shared" si="113"/>
        <v>3.8389239139431798E-2</v>
      </c>
      <c r="AF73" s="1111">
        <f>SUMIFS(NewEmisData!E:E, NewEmisData!$A:$A, $G73, NewEmisData!$B:$B, $A73, NewEmisData!$C:$C, $H73, NewEmisData!$D:$D, AF$6)</f>
        <v>3.8389239139431798E-2</v>
      </c>
      <c r="AG73" s="1111">
        <f>SUMIFS(NewEmisData!F:F, NewEmisData!$A:$A, $G73, NewEmisData!$B:$B, $A73, NewEmisData!$C:$C, $H73, NewEmisData!$D:$D, AG$6)</f>
        <v>3.6761798419934502E-2</v>
      </c>
      <c r="AH73" s="1111">
        <f>SUMIFS(NewEmisData!G:G, NewEmisData!$A:$A, $G73, NewEmisData!$B:$B, $A73, NewEmisData!$C:$C, $H73, NewEmisData!$D:$D, AH$6)</f>
        <v>1.4889550958331501E-2</v>
      </c>
      <c r="AI73" s="1111">
        <f>SUMIFS(NewEmisData!H:H, NewEmisData!$A:$A, $G73, NewEmisData!$B:$B, $A73, NewEmisData!$C:$C, $H73, NewEmisData!$D:$D, AI$6)</f>
        <v>1.4468385512049001E-2</v>
      </c>
      <c r="AJ73" s="1111">
        <f>SUMIFS(NewEmisData!I:I, NewEmisData!$A:$A, $G73, NewEmisData!$B:$B, $A73, NewEmisData!$C:$C, $H73, NewEmisData!$D:$D, AJ$6)</f>
        <v>1.4209561374707899E-2</v>
      </c>
      <c r="AK73" s="1111">
        <f>SUMIFS(NewEmisData!J:J, NewEmisData!$A:$A, $G73, NewEmisData!$B:$B, $A73, NewEmisData!$C:$C, $H73, NewEmisData!$D:$D, AK$6)</f>
        <v>1.41029670885105E-2</v>
      </c>
      <c r="AL73" s="1111">
        <f>SUMIFS(NewEmisData!K:K, NewEmisData!$A:$A, $G73, NewEmisData!$B:$B, $A73, NewEmisData!$C:$C, $H73, NewEmisData!$D:$D, AL$6)</f>
        <v>1.4056650783011699E-2</v>
      </c>
      <c r="AM73" s="1111">
        <f>SUMIFS(NewEmisData!L:L, NewEmisData!$A:$A, $G73, NewEmisData!$B:$B, $A73, NewEmisData!$C:$C, $H73, NewEmisData!$D:$D, AM$6)</f>
        <v>1.4045167485360799E-2</v>
      </c>
      <c r="AN73" s="1111">
        <f>SUMIFS(NewEmisData!M:M, NewEmisData!$A:$A, $G73, NewEmisData!$B:$B, $A73, NewEmisData!$C:$C, $H73, NewEmisData!$D:$D, AN$6)</f>
        <v>1.4035601733995101E-2</v>
      </c>
      <c r="AO73" s="1111">
        <f t="shared" si="114"/>
        <v>1.4035601733995101E-2</v>
      </c>
      <c r="AP73" s="1111">
        <f t="shared" si="115"/>
        <v>0.78674550377560604</v>
      </c>
      <c r="AQ73" s="1111">
        <f>SUMIFS(NewEmisData!E:E, NewEmisData!$A:$A, $G73, NewEmisData!$B:$B, $A73, NewEmisData!$C:$C, $H73, NewEmisData!$D:$D, AQ$6)</f>
        <v>0.78674550377560604</v>
      </c>
      <c r="AR73" s="1111">
        <f>SUMIFS(NewEmisData!F:F, NewEmisData!$A:$A, $G73, NewEmisData!$B:$B, $A73, NewEmisData!$C:$C, $H73, NewEmisData!$D:$D, AR$6)</f>
        <v>0.59435851753671198</v>
      </c>
      <c r="AS73" s="1111">
        <f>SUMIFS(NewEmisData!G:G, NewEmisData!$A:$A, $G73, NewEmisData!$B:$B, $A73, NewEmisData!$C:$C, $H73, NewEmisData!$D:$D, AS$6)</f>
        <v>0.48892752894583302</v>
      </c>
      <c r="AT73" s="1111">
        <f>SUMIFS(NewEmisData!H:H, NewEmisData!$A:$A, $G73, NewEmisData!$B:$B, $A73, NewEmisData!$C:$C, $H73, NewEmisData!$D:$D, AT$6)</f>
        <v>0.40673687636699701</v>
      </c>
      <c r="AU73" s="1111">
        <f>SUMIFS(NewEmisData!I:I, NewEmisData!$A:$A, $G73, NewEmisData!$B:$B, $A73, NewEmisData!$C:$C, $H73, NewEmisData!$D:$D, AU$6)</f>
        <v>0.37207197997484598</v>
      </c>
      <c r="AV73" s="1111">
        <f>SUMIFS(NewEmisData!J:J, NewEmisData!$A:$A, $G73, NewEmisData!$B:$B, $A73, NewEmisData!$C:$C, $H73, NewEmisData!$D:$D, AV$6)</f>
        <v>0.366996102766601</v>
      </c>
      <c r="AW73" s="1111">
        <f>SUMIFS(NewEmisData!K:K, NewEmisData!$A:$A, $G73, NewEmisData!$B:$B, $A73, NewEmisData!$C:$C, $H73, NewEmisData!$D:$D, AW$6)</f>
        <v>0.35822974357450499</v>
      </c>
      <c r="AX73" s="1111">
        <f>SUMIFS(NewEmisData!L:L, NewEmisData!$A:$A, $G73, NewEmisData!$B:$B, $A73, NewEmisData!$C:$C, $H73, NewEmisData!$D:$D, AX$6)</f>
        <v>0.35809529827636299</v>
      </c>
      <c r="AY73" s="1111">
        <f>SUMIFS(NewEmisData!M:M, NewEmisData!$A:$A, $G73, NewEmisData!$B:$B, $A73, NewEmisData!$C:$C, $H73, NewEmisData!$D:$D, AY$6)</f>
        <v>0.358118172842192</v>
      </c>
      <c r="AZ73" s="1111">
        <f t="shared" si="116"/>
        <v>0.358118172842192</v>
      </c>
      <c r="BA73" s="1111">
        <f t="shared" si="117"/>
        <v>0.55028448131832597</v>
      </c>
      <c r="BB73" s="1111">
        <f>SUMIFS(NewEmisData!E:E, NewEmisData!$A:$A, $G73, NewEmisData!$B:$B, $A73, NewEmisData!$C:$C, $H73, NewEmisData!$D:$D, BB$6)</f>
        <v>0.55028448131832597</v>
      </c>
      <c r="BC73" s="1111">
        <f>SUMIFS(NewEmisData!F:F, NewEmisData!$A:$A, $G73, NewEmisData!$B:$B, $A73, NewEmisData!$C:$C, $H73, NewEmisData!$D:$D, BC$6)</f>
        <v>0.38400745413618897</v>
      </c>
      <c r="BD73" s="1111">
        <f>SUMIFS(NewEmisData!G:G, NewEmisData!$A:$A, $G73, NewEmisData!$B:$B, $A73, NewEmisData!$C:$C, $H73, NewEmisData!$D:$D, BD$6)</f>
        <v>0.19465121057228399</v>
      </c>
      <c r="BE73" s="1111">
        <f>SUMIFS(NewEmisData!H:H, NewEmisData!$A:$A, $G73, NewEmisData!$B:$B, $A73, NewEmisData!$C:$C, $H73, NewEmisData!$D:$D, BE$6)</f>
        <v>0.118207278051221</v>
      </c>
      <c r="BF73" s="1111">
        <f>SUMIFS(NewEmisData!I:I, NewEmisData!$A:$A, $G73, NewEmisData!$B:$B, $A73, NewEmisData!$C:$C, $H73, NewEmisData!$D:$D, BF$6)</f>
        <v>8.6817069306160496E-2</v>
      </c>
      <c r="BG73" s="1111">
        <f>SUMIFS(NewEmisData!J:J, NewEmisData!$A:$A, $G73, NewEmisData!$B:$B, $A73, NewEmisData!$C:$C, $H73, NewEmisData!$D:$D, BG$6)</f>
        <v>8.22742664951428E-2</v>
      </c>
      <c r="BH73" s="1111">
        <f>SUMIFS(NewEmisData!K:K, NewEmisData!$A:$A, $G73, NewEmisData!$B:$B, $A73, NewEmisData!$C:$C, $H73, NewEmisData!$D:$D, BH$6)</f>
        <v>7.4293747941119301E-2</v>
      </c>
      <c r="BI73" s="1111">
        <f>SUMIFS(NewEmisData!L:L, NewEmisData!$A:$A, $G73, NewEmisData!$B:$B, $A73, NewEmisData!$C:$C, $H73, NewEmisData!$D:$D, BI$6)</f>
        <v>7.4186721872420605E-2</v>
      </c>
      <c r="BJ73" s="1111">
        <f>SUMIFS(NewEmisData!M:M, NewEmisData!$A:$A, $G73, NewEmisData!$B:$B, $A73, NewEmisData!$C:$C, $H73, NewEmisData!$D:$D, BJ$6)</f>
        <v>7.4167760380950506E-2</v>
      </c>
      <c r="BK73" s="1111">
        <f t="shared" si="118"/>
        <v>7.4167760380950506E-2</v>
      </c>
      <c r="BL73" s="1111">
        <f t="shared" si="119"/>
        <v>7.4025631204345501</v>
      </c>
      <c r="BM73" s="1111">
        <f>SUMIFS(NewEmisData!E:E, NewEmisData!$A:$A, $G73, NewEmisData!$B:$B, $A73, NewEmisData!$C:$C, $H73, NewEmisData!$D:$D, BM$6)</f>
        <v>7.4025631204345501</v>
      </c>
      <c r="BN73" s="1111">
        <f>SUMIFS(NewEmisData!F:F, NewEmisData!$A:$A, $G73, NewEmisData!$B:$B, $A73, NewEmisData!$C:$C, $H73, NewEmisData!$D:$D, BN$6)</f>
        <v>5.7928546844056203</v>
      </c>
      <c r="BO73" s="1111">
        <f>SUMIFS(NewEmisData!G:G, NewEmisData!$A:$A, $G73, NewEmisData!$B:$B, $A73, NewEmisData!$C:$C, $H73, NewEmisData!$D:$D, BO$6)</f>
        <v>3.25014237033561</v>
      </c>
      <c r="BP73" s="1111">
        <f>SUMIFS(NewEmisData!H:H, NewEmisData!$A:$A, $G73, NewEmisData!$B:$B, $A73, NewEmisData!$C:$C, $H73, NewEmisData!$D:$D, BP$6)</f>
        <v>2.1022334776789799</v>
      </c>
      <c r="BQ73" s="1111">
        <f>SUMIFS(NewEmisData!I:I, NewEmisData!$A:$A, $G73, NewEmisData!$B:$B, $A73, NewEmisData!$C:$C, $H73, NewEmisData!$D:$D, BQ$6)</f>
        <v>1.90721253550502</v>
      </c>
      <c r="BR73" s="1111">
        <f>SUMIFS(NewEmisData!J:J, NewEmisData!$A:$A, $G73, NewEmisData!$B:$B, $A73, NewEmisData!$C:$C, $H73, NewEmisData!$D:$D, BR$6)</f>
        <v>1.73226494933412</v>
      </c>
      <c r="BS73" s="1111">
        <f>SUMIFS(NewEmisData!K:K, NewEmisData!$A:$A, $G73, NewEmisData!$B:$B, $A73, NewEmisData!$C:$C, $H73, NewEmisData!$D:$D, BS$6)</f>
        <v>1.66295860938386</v>
      </c>
      <c r="BT73" s="1111">
        <f>SUMIFS(NewEmisData!L:L, NewEmisData!$A:$A, $G73, NewEmisData!$B:$B, $A73, NewEmisData!$C:$C, $H73, NewEmisData!$D:$D, BT$6)</f>
        <v>1.6638988091117199</v>
      </c>
      <c r="BU73" s="1111">
        <f>SUMIFS(NewEmisData!M:M, NewEmisData!$A:$A, $G73, NewEmisData!$B:$B, $A73, NewEmisData!$C:$C, $H73, NewEmisData!$D:$D, BU$6)</f>
        <v>1.6592583196978401</v>
      </c>
      <c r="BV73" s="1111">
        <f t="shared" si="120"/>
        <v>1.6592583196978401</v>
      </c>
      <c r="BW73" s="1111">
        <f t="shared" si="121"/>
        <v>1.4473470985210799</v>
      </c>
      <c r="BX73" s="1111">
        <f>SUMIFS(NewEmisData!E:E, NewEmisData!$A:$A, $G73, NewEmisData!$B:$B, $A73, NewEmisData!$C:$C, $H73, NewEmisData!$D:$D, BX$6)</f>
        <v>1.4473470985210799</v>
      </c>
      <c r="BY73" s="1111">
        <f>SUMIFS(NewEmisData!F:F, NewEmisData!$A:$A, $G73, NewEmisData!$B:$B, $A73, NewEmisData!$C:$C, $H73, NewEmisData!$D:$D, BY$6)</f>
        <v>1.1581362740294701</v>
      </c>
      <c r="BZ73" s="1111">
        <f>SUMIFS(NewEmisData!G:G, NewEmisData!$A:$A, $G73, NewEmisData!$B:$B, $A73, NewEmisData!$C:$C, $H73, NewEmisData!$D:$D, BZ$6)</f>
        <v>0.53671452190943902</v>
      </c>
      <c r="CA73" s="1111">
        <f>SUMIFS(NewEmisData!H:H, NewEmisData!$A:$A, $G73, NewEmisData!$B:$B, $A73, NewEmisData!$C:$C, $H73, NewEmisData!$D:$D, CA$6)</f>
        <v>0.27494886385920297</v>
      </c>
      <c r="CB73" s="1111">
        <f>SUMIFS(NewEmisData!I:I, NewEmisData!$A:$A, $G73, NewEmisData!$B:$B, $A73, NewEmisData!$C:$C, $H73, NewEmisData!$D:$D, CB$6)</f>
        <v>0.19325322968969499</v>
      </c>
      <c r="CC73" s="1111">
        <f>SUMIFS(NewEmisData!J:J, NewEmisData!$A:$A, $G73, NewEmisData!$B:$B, $A73, NewEmisData!$C:$C, $H73, NewEmisData!$D:$D, CC$6)</f>
        <v>0.167956894854846</v>
      </c>
      <c r="CD73" s="1111">
        <f>SUMIFS(NewEmisData!K:K, NewEmisData!$A:$A, $G73, NewEmisData!$B:$B, $A73, NewEmisData!$C:$C, $H73, NewEmisData!$D:$D, CD$6)</f>
        <v>0.13892518309640101</v>
      </c>
      <c r="CE73" s="1111">
        <f>SUMIFS(NewEmisData!L:L, NewEmisData!$A:$A, $G73, NewEmisData!$B:$B, $A73, NewEmisData!$C:$C, $H73, NewEmisData!$D:$D, CE$6)</f>
        <v>0.13884600843509601</v>
      </c>
      <c r="CF73" s="1111">
        <f>SUMIFS(NewEmisData!M:M, NewEmisData!$A:$A, $G73, NewEmisData!$B:$B, $A73, NewEmisData!$C:$C, $H73, NewEmisData!$D:$D, CF$6)</f>
        <v>0.13868242154504801</v>
      </c>
      <c r="CG73" s="1111">
        <f t="shared" si="122"/>
        <v>0.13868242154504801</v>
      </c>
      <c r="CH73" s="1111">
        <f t="shared" si="123"/>
        <v>2.5552170890355701E-2</v>
      </c>
      <c r="CI73" s="1111">
        <f>SUMIFS(NewEmisData!E:E, NewEmisData!$A:$A, $G73, NewEmisData!$B:$B, $A73, NewEmisData!$C:$C, $H73, NewEmisData!$D:$D, CI$6)</f>
        <v>2.5552170890355701E-2</v>
      </c>
      <c r="CJ73" s="1111">
        <f>SUMIFS(NewEmisData!F:F, NewEmisData!$A:$A, $G73, NewEmisData!$B:$B, $A73, NewEmisData!$C:$C, $H73, NewEmisData!$D:$D, CJ$6)</f>
        <v>2.53025045921564E-2</v>
      </c>
      <c r="CK73" s="1111">
        <f>SUMIFS(NewEmisData!G:G, NewEmisData!$A:$A, $G73, NewEmisData!$B:$B, $A73, NewEmisData!$C:$C, $H73, NewEmisData!$D:$D, CK$6)</f>
        <v>3.2113726092753501E-2</v>
      </c>
      <c r="CL73" s="1111">
        <f>SUMIFS(NewEmisData!H:H, NewEmisData!$A:$A, $G73, NewEmisData!$B:$B, $A73, NewEmisData!$C:$C, $H73, NewEmisData!$D:$D, CL$6)</f>
        <v>3.2125818354371803E-2</v>
      </c>
      <c r="CM73" s="1111">
        <f>SUMIFS(NewEmisData!I:I, NewEmisData!$A:$A, $G73, NewEmisData!$B:$B, $A73, NewEmisData!$C:$C, $H73, NewEmisData!$D:$D, CM$6)</f>
        <v>3.21152168523616E-2</v>
      </c>
      <c r="CN73" s="1111">
        <f>SUMIFS(NewEmisData!J:J, NewEmisData!$A:$A, $G73, NewEmisData!$B:$B, $A73, NewEmisData!$C:$C, $H73, NewEmisData!$D:$D, CN$6)</f>
        <v>3.21127222738316E-2</v>
      </c>
      <c r="CO73" s="1111">
        <f>SUMIFS(NewEmisData!K:K, NewEmisData!$A:$A, $G73, NewEmisData!$B:$B, $A73, NewEmisData!$C:$C, $H73, NewEmisData!$D:$D, CO$6)</f>
        <v>3.2111195257881399E-2</v>
      </c>
      <c r="CP73" s="1111">
        <f>SUMIFS(NewEmisData!L:L, NewEmisData!$A:$A, $G73, NewEmisData!$B:$B, $A73, NewEmisData!$C:$C, $H73, NewEmisData!$D:$D, CP$6)</f>
        <v>3.21104284845748E-2</v>
      </c>
      <c r="CQ73" s="1111">
        <f>SUMIFS(NewEmisData!M:M, NewEmisData!$A:$A, $G73, NewEmisData!$B:$B, $A73, NewEmisData!$C:$C, $H73, NewEmisData!$D:$D, CQ$6)</f>
        <v>3.2111281698300603E-2</v>
      </c>
      <c r="CR73" s="1111">
        <f t="shared" si="124"/>
        <v>3.2111281698300603E-2</v>
      </c>
      <c r="CS73" s="1111">
        <f t="shared" si="125"/>
        <v>3.4284515149731101E-3</v>
      </c>
      <c r="CT73" s="1111">
        <f>SUMIFS(NewEmisData!E:E, NewEmisData!$A:$A, $G73, NewEmisData!$B:$B, $A73, NewEmisData!$C:$C, $H73, NewEmisData!$D:$D, CT$6)</f>
        <v>3.4284515149731101E-3</v>
      </c>
      <c r="CU73" s="1111">
        <f>SUMIFS(NewEmisData!F:F, NewEmisData!$A:$A, $G73, NewEmisData!$B:$B, $A73, NewEmisData!$C:$C, $H73, NewEmisData!$D:$D, CU$6)</f>
        <v>3.9228568169430503E-3</v>
      </c>
      <c r="CV73" s="1111">
        <f>SUMIFS(NewEmisData!G:G, NewEmisData!$A:$A, $G73, NewEmisData!$B:$B, $A73, NewEmisData!$C:$C, $H73, NewEmisData!$D:$D, CV$6)</f>
        <v>6.0180787362878099E-3</v>
      </c>
      <c r="CW73" s="1111">
        <f>SUMIFS(NewEmisData!H:H, NewEmisData!$A:$A, $G73, NewEmisData!$B:$B, $A73, NewEmisData!$C:$C, $H73, NewEmisData!$D:$D, CW$6)</f>
        <v>6.0081059727209599E-3</v>
      </c>
      <c r="CX73" s="1111">
        <f>SUMIFS(NewEmisData!I:I, NewEmisData!$A:$A, $G73, NewEmisData!$B:$B, $A73, NewEmisData!$C:$C, $H73, NewEmisData!$D:$D, CX$6)</f>
        <v>6.0223865299690697E-3</v>
      </c>
      <c r="CY73" s="1111">
        <f>SUMIFS(NewEmisData!J:J, NewEmisData!$A:$A, $G73, NewEmisData!$B:$B, $A73, NewEmisData!$C:$C, $H73, NewEmisData!$D:$D, CY$6)</f>
        <v>6.0258969594508003E-3</v>
      </c>
      <c r="CZ73" s="1111">
        <f>SUMIFS(NewEmisData!K:K, NewEmisData!$A:$A, $G73, NewEmisData!$B:$B, $A73, NewEmisData!$C:$C, $H73, NewEmisData!$D:$D, CZ$6)</f>
        <v>6.0307176387692897E-3</v>
      </c>
      <c r="DA73" s="1111">
        <f>SUMIFS(NewEmisData!L:L, NewEmisData!$A:$A, $G73, NewEmisData!$B:$B, $A73, NewEmisData!$C:$C, $H73, NewEmisData!$D:$D, DA$6)</f>
        <v>6.0319705845977203E-3</v>
      </c>
      <c r="DB73" s="1111">
        <f>SUMIFS(NewEmisData!M:M, NewEmisData!$A:$A, $G73, NewEmisData!$B:$B, $A73, NewEmisData!$C:$C, $H73, NewEmisData!$D:$D, DB$6)</f>
        <v>6.0283362401861102E-3</v>
      </c>
      <c r="DC73" s="1111">
        <f t="shared" si="126"/>
        <v>6.0283362401861102E-3</v>
      </c>
      <c r="DD73" s="1111"/>
      <c r="DE73" s="1111"/>
      <c r="DF73" s="1111"/>
      <c r="DG73" s="1111"/>
      <c r="DH73" s="1111"/>
      <c r="DI73" s="1111"/>
      <c r="DJ73" s="1111"/>
      <c r="DK73" s="1111"/>
      <c r="DL73" s="1111"/>
      <c r="DM73" s="1111"/>
      <c r="DN73" s="1111"/>
      <c r="DO73" s="1111"/>
      <c r="DP73" s="1111"/>
      <c r="DQ73" s="1111"/>
      <c r="DR73" s="1111"/>
      <c r="DS73" s="1111"/>
      <c r="DT73" s="1111"/>
      <c r="DU73" s="1111"/>
      <c r="DV73" s="1111"/>
      <c r="DW73" s="1111"/>
      <c r="DX73" s="1111"/>
      <c r="DY73" s="1111"/>
      <c r="DZ73" s="1111">
        <f t="shared" si="127"/>
        <v>1.40033005820737E-2</v>
      </c>
      <c r="EA73" s="1111">
        <f>SUMIFS(NewEmisData!E:E, NewEmisData!$A:$A, $G73, NewEmisData!$B:$B, $A73, NewEmisData!$C:$C, $H73, NewEmisData!$D:$D, EA$6)</f>
        <v>1.40033005820737E-2</v>
      </c>
      <c r="EB73" s="1111">
        <f>SUMIFS(NewEmisData!F:F, NewEmisData!$A:$A, $G73, NewEmisData!$B:$B, $A73, NewEmisData!$C:$C, $H73, NewEmisData!$D:$D, EB$6)</f>
        <v>2.6809761202267801E-2</v>
      </c>
      <c r="EC73" s="1111">
        <f>SUMIFS(NewEmisData!G:G, NewEmisData!$A:$A, $G73, NewEmisData!$B:$B, $A73, NewEmisData!$C:$C, $H73, NewEmisData!$D:$D, EC$6)</f>
        <v>0.106442915223567</v>
      </c>
      <c r="ED73" s="1111">
        <f>SUMIFS(NewEmisData!H:H, NewEmisData!$A:$A, $G73, NewEmisData!$B:$B, $A73, NewEmisData!$C:$C, $H73, NewEmisData!$D:$D, ED$6)</f>
        <v>0.114238711864713</v>
      </c>
      <c r="EE73" s="1111">
        <f>SUMIFS(NewEmisData!I:I, NewEmisData!$A:$A, $G73, NewEmisData!$B:$B, $A73, NewEmisData!$C:$C, $H73, NewEmisData!$D:$D, EE$6)</f>
        <v>0.117878139049751</v>
      </c>
      <c r="EF73" s="1111">
        <f>SUMIFS(NewEmisData!J:J, NewEmisData!$A:$A, $G73, NewEmisData!$B:$B, $A73, NewEmisData!$C:$C, $H73, NewEmisData!$D:$D, EF$6)</f>
        <v>0.117418406823893</v>
      </c>
      <c r="EG73" s="1111">
        <f>SUMIFS(NewEmisData!K:K, NewEmisData!$A:$A, $G73, NewEmisData!$B:$B, $A73, NewEmisData!$C:$C, $H73, NewEmisData!$D:$D, EG$6)</f>
        <v>0.12035326609237</v>
      </c>
      <c r="EH73" s="1111">
        <f>SUMIFS(NewEmisData!L:L, NewEmisData!$A:$A, $G73, NewEmisData!$B:$B, $A73, NewEmisData!$C:$C, $H73, NewEmisData!$D:$D, EH$6)</f>
        <v>0.120291917587136</v>
      </c>
      <c r="EI73" s="1111">
        <f>SUMIFS(NewEmisData!M:M, NewEmisData!$A:$A, $G73, NewEmisData!$B:$B, $A73, NewEmisData!$C:$C, $H73, NewEmisData!$D:$D, EI$6)</f>
        <v>0.120135485992918</v>
      </c>
      <c r="EJ73" s="1111">
        <f t="shared" si="128"/>
        <v>0.120135485992918</v>
      </c>
      <c r="EK73" s="1111">
        <f t="shared" si="129"/>
        <v>1543.98093106499</v>
      </c>
      <c r="EL73" s="1111">
        <f t="shared" si="48"/>
        <v>1543.98093106499</v>
      </c>
      <c r="EM73" s="1111">
        <f t="shared" si="49"/>
        <v>1489.5901194539099</v>
      </c>
      <c r="EN73" s="1111">
        <f t="shared" si="50"/>
        <v>1760.12051639078</v>
      </c>
      <c r="EO73" s="1111">
        <f t="shared" si="51"/>
        <v>1725.691003145</v>
      </c>
      <c r="EP73" s="1111">
        <f t="shared" si="52"/>
        <v>1701.2652234181401</v>
      </c>
      <c r="EQ73" s="1111">
        <f t="shared" si="53"/>
        <v>1689.2419423004101</v>
      </c>
      <c r="ER73" s="1111">
        <f t="shared" si="54"/>
        <v>1686.0310473817101</v>
      </c>
      <c r="ES73" s="1111">
        <f t="shared" si="55"/>
        <v>1684.65387386569</v>
      </c>
      <c r="ET73" s="1111">
        <f t="shared" si="56"/>
        <v>1683.50748414707</v>
      </c>
      <c r="EU73" s="1111">
        <f t="shared" si="57"/>
        <v>1683.50748414707</v>
      </c>
      <c r="EV73" s="1111">
        <f t="shared" si="130"/>
        <v>18.668125395756</v>
      </c>
      <c r="EW73" s="1111">
        <f t="shared" si="38"/>
        <v>18.668125395756</v>
      </c>
      <c r="EX73" s="1111">
        <f t="shared" si="39"/>
        <v>11.1440380927276</v>
      </c>
      <c r="EY73" s="1111">
        <f t="shared" si="40"/>
        <v>5.7829202038421004</v>
      </c>
      <c r="EZ73" s="1111">
        <f t="shared" si="41"/>
        <v>3.20396695130832</v>
      </c>
      <c r="FA73" s="1111">
        <f t="shared" si="42"/>
        <v>2.2740618900591598</v>
      </c>
      <c r="FB73" s="1111">
        <f t="shared" si="43"/>
        <v>1.9371275562897501</v>
      </c>
      <c r="FC73" s="1111">
        <f t="shared" si="44"/>
        <v>1.7456585769951301</v>
      </c>
      <c r="FD73" s="1111">
        <f t="shared" si="45"/>
        <v>1.7403372468815299</v>
      </c>
      <c r="FE73" s="1111">
        <f t="shared" si="46"/>
        <v>1.7389528033933299</v>
      </c>
      <c r="FF73" s="1111">
        <f t="shared" si="47"/>
        <v>1.7389528033933299</v>
      </c>
      <c r="FG73" s="1111">
        <f t="shared" si="100"/>
        <v>3.8389239139431798E-2</v>
      </c>
      <c r="FH73" s="1111">
        <f t="shared" si="101"/>
        <v>3.8389239139431798E-2</v>
      </c>
      <c r="FI73" s="1111">
        <f t="shared" si="102"/>
        <v>3.6761798419934502E-2</v>
      </c>
      <c r="FJ73" s="1111">
        <f t="shared" si="103"/>
        <v>1.4889550958331501E-2</v>
      </c>
      <c r="FK73" s="1111">
        <f t="shared" si="104"/>
        <v>1.4468385512049001E-2</v>
      </c>
      <c r="FL73" s="1111">
        <f t="shared" si="105"/>
        <v>1.4209561374707899E-2</v>
      </c>
      <c r="FM73" s="1111">
        <f t="shared" si="106"/>
        <v>1.41029670885105E-2</v>
      </c>
      <c r="FN73" s="1111">
        <f t="shared" si="107"/>
        <v>1.4056650783011699E-2</v>
      </c>
      <c r="FO73" s="1111">
        <f t="shared" si="108"/>
        <v>1.4045167485360799E-2</v>
      </c>
      <c r="FP73" s="1111">
        <f t="shared" si="109"/>
        <v>1.4035601733995101E-2</v>
      </c>
      <c r="FQ73" s="1111">
        <f t="shared" si="110"/>
        <v>1.4035601733995101E-2</v>
      </c>
      <c r="FR73" s="1111">
        <f t="shared" si="25"/>
        <v>0.78674550377560604</v>
      </c>
      <c r="FS73" s="1111">
        <f t="shared" si="26"/>
        <v>0.78674550377560604</v>
      </c>
      <c r="FT73" s="1111">
        <f t="shared" si="27"/>
        <v>0.59435851753671198</v>
      </c>
      <c r="FU73" s="1111">
        <f t="shared" si="28"/>
        <v>0.48892752894583302</v>
      </c>
      <c r="FV73" s="1111">
        <f t="shared" si="29"/>
        <v>0.40673687636699701</v>
      </c>
      <c r="FW73" s="1111">
        <f t="shared" si="30"/>
        <v>0.37207197997484598</v>
      </c>
      <c r="FX73" s="1111">
        <f t="shared" si="31"/>
        <v>0.366996102766601</v>
      </c>
      <c r="FY73" s="1111">
        <f t="shared" si="32"/>
        <v>0.35822974357450499</v>
      </c>
      <c r="FZ73" s="1111">
        <f t="shared" si="33"/>
        <v>0.35809529827636299</v>
      </c>
      <c r="GA73" s="1111">
        <f t="shared" si="34"/>
        <v>0.358118172842192</v>
      </c>
      <c r="GB73" s="1111">
        <f t="shared" si="35"/>
        <v>0.358118172842192</v>
      </c>
      <c r="GC73" s="1111">
        <f t="shared" si="59"/>
        <v>0.55028448131832597</v>
      </c>
      <c r="GD73" s="1111">
        <f t="shared" si="60"/>
        <v>0.55028448131832597</v>
      </c>
      <c r="GE73" s="1111">
        <f t="shared" si="61"/>
        <v>0.38400745413618897</v>
      </c>
      <c r="GF73" s="1111">
        <f t="shared" si="62"/>
        <v>0.19465121057228399</v>
      </c>
      <c r="GG73" s="1111">
        <f t="shared" si="63"/>
        <v>0.118207278051221</v>
      </c>
      <c r="GH73" s="1111">
        <f t="shared" si="64"/>
        <v>8.6817069306160496E-2</v>
      </c>
      <c r="GI73" s="1111">
        <f t="shared" si="65"/>
        <v>8.22742664951428E-2</v>
      </c>
      <c r="GJ73" s="1111">
        <f t="shared" si="66"/>
        <v>7.4293747941119301E-2</v>
      </c>
      <c r="GK73" s="1111">
        <f t="shared" si="67"/>
        <v>7.4186721872420605E-2</v>
      </c>
      <c r="GL73" s="1111">
        <f t="shared" si="68"/>
        <v>7.4167760380950506E-2</v>
      </c>
      <c r="GM73" s="1111">
        <f t="shared" si="69"/>
        <v>7.4167760380950506E-2</v>
      </c>
    </row>
    <row r="74" spans="1:195" x14ac:dyDescent="0.2">
      <c r="A74" s="1071" t="s">
        <v>186</v>
      </c>
      <c r="B74" s="1071" t="str">
        <f>NewTech!B17</f>
        <v>TBDSLC10</v>
      </c>
      <c r="C74" s="1071" t="str">
        <f>NewTech!C17</f>
        <v>Bus, Conventional Diesel, 2010</v>
      </c>
      <c r="D74" s="1071" t="str">
        <f>NewTech!D17</f>
        <v>bn-vmt, bn-vmt/a</v>
      </c>
      <c r="E74" s="1071" t="str">
        <f>NewTech!E17</f>
        <v>TBDSL</v>
      </c>
      <c r="F74" s="1071" t="str">
        <f>NewTech!F17</f>
        <v>TB</v>
      </c>
      <c r="G74" s="1110" t="s">
        <v>498</v>
      </c>
      <c r="H74" s="1110" t="s">
        <v>499</v>
      </c>
      <c r="I74" s="1112">
        <v>1</v>
      </c>
      <c r="J74" s="1111" t="str">
        <f t="shared" si="37"/>
        <v>Bus-DSL</v>
      </c>
      <c r="K74" s="1111">
        <f>SUMIFS(NewEmisData!E:E, NewEmisData!$A:$A, $G74, NewEmisData!$B:$B, $A74, NewEmisData!$C:$C, $H74, NewEmisData!$D:$D, K$6)</f>
        <v>2080.2970890730599</v>
      </c>
      <c r="L74" s="1111">
        <f>SUMIFS(NewEmisData!F:F, NewEmisData!$A:$A, $G74, NewEmisData!$B:$B, $A74, NewEmisData!$C:$C, $H74, NewEmisData!$D:$D, L$6)</f>
        <v>2109.4711930624499</v>
      </c>
      <c r="M74" s="1111">
        <f>SUMIFS(NewEmisData!G:G, NewEmisData!$A:$A, $G74, NewEmisData!$B:$B, $A74, NewEmisData!$C:$C, $H74, NewEmisData!$D:$D, M$6)</f>
        <v>2250.3411144545198</v>
      </c>
      <c r="N74" s="1111">
        <f>SUMIFS(NewEmisData!H:H, NewEmisData!$A:$A, $G74, NewEmisData!$B:$B, $A74, NewEmisData!$C:$C, $H74, NewEmisData!$D:$D, N$6)</f>
        <v>2207.8222571372398</v>
      </c>
      <c r="O74" s="1111">
        <f>SUMIFS(NewEmisData!I:I, NewEmisData!$A:$A, $G74, NewEmisData!$B:$B, $A74, NewEmisData!$C:$C, $H74, NewEmisData!$D:$D, O$6)</f>
        <v>2173.5129182212299</v>
      </c>
      <c r="P74" s="1111">
        <f>SUMIFS(NewEmisData!J:J, NewEmisData!$A:$A, $G74, NewEmisData!$B:$B, $A74, NewEmisData!$C:$C, $H74, NewEmisData!$D:$D, P$6)</f>
        <v>2157.1874680648498</v>
      </c>
      <c r="Q74" s="1111">
        <f>SUMIFS(NewEmisData!K:K, NewEmisData!$A:$A, $G74, NewEmisData!$B:$B, $A74, NewEmisData!$C:$C, $H74, NewEmisData!$D:$D, Q$6)</f>
        <v>2152.6343695246501</v>
      </c>
      <c r="R74" s="1111">
        <f>SUMIFS(NewEmisData!L:L, NewEmisData!$A:$A, $G74, NewEmisData!$B:$B, $A74, NewEmisData!$C:$C, $H74, NewEmisData!$D:$D, R$6)</f>
        <v>2151.1111734661499</v>
      </c>
      <c r="S74" s="1111">
        <f>SUMIFS(NewEmisData!M:M, NewEmisData!$A:$A, $G74, NewEmisData!$B:$B, $A74, NewEmisData!$C:$C, $H74, NewEmisData!$D:$D, S$6)</f>
        <v>2150.6160486070298</v>
      </c>
      <c r="T74" s="1111">
        <f t="shared" si="17"/>
        <v>2150.6160486070298</v>
      </c>
      <c r="U74" s="1111">
        <f>SUMIFS(NewEmisData!E:E, NewEmisData!$A:$A, $G74, NewEmisData!$B:$B, $A74, NewEmisData!$C:$C, $H74, NewEmisData!$D:$D, U$6)</f>
        <v>40.449529533420304</v>
      </c>
      <c r="V74" s="1111">
        <f>SUMIFS(NewEmisData!F:F, NewEmisData!$A:$A, $G74, NewEmisData!$B:$B, $A74, NewEmisData!$C:$C, $H74, NewEmisData!$D:$D, V$6)</f>
        <v>37.425839617300603</v>
      </c>
      <c r="W74" s="1111">
        <f>SUMIFS(NewEmisData!G:G, NewEmisData!$A:$A, $G74, NewEmisData!$B:$B, $A74, NewEmisData!$C:$C, $H74, NewEmisData!$D:$D, W$6)</f>
        <v>6.6428401041299603</v>
      </c>
      <c r="X74" s="1111">
        <f>SUMIFS(NewEmisData!H:H, NewEmisData!$A:$A, $G74, NewEmisData!$B:$B, $A74, NewEmisData!$C:$C, $H74, NewEmisData!$D:$D, X$6)</f>
        <v>3.77567960317164</v>
      </c>
      <c r="Y74" s="1111">
        <f>SUMIFS(NewEmisData!I:I, NewEmisData!$A:$A, $G74, NewEmisData!$B:$B, $A74, NewEmisData!$C:$C, $H74, NewEmisData!$D:$D, Y$6)</f>
        <v>2.6206386180811401</v>
      </c>
      <c r="Z74" s="1111">
        <f>SUMIFS(NewEmisData!J:J, NewEmisData!$A:$A, $G74, NewEmisData!$B:$B, $A74, NewEmisData!$C:$C, $H74, NewEmisData!$D:$D, Z$6)</f>
        <v>2.3009735743661102</v>
      </c>
      <c r="AA74" s="1111">
        <f>SUMIFS(NewEmisData!K:K, NewEmisData!$A:$A, $G74, NewEmisData!$B:$B, $A74, NewEmisData!$C:$C, $H74, NewEmisData!$D:$D, AA$6)</f>
        <v>2.1222500944201301</v>
      </c>
      <c r="AB74" s="1111">
        <f>SUMIFS(NewEmisData!L:L, NewEmisData!$A:$A, $G74, NewEmisData!$B:$B, $A74, NewEmisData!$C:$C, $H74, NewEmisData!$D:$D, AB$6)</f>
        <v>2.1170149680898702</v>
      </c>
      <c r="AC74" s="1111">
        <f>SUMIFS(NewEmisData!M:M, NewEmisData!$A:$A, $G74, NewEmisData!$B:$B, $A74, NewEmisData!$C:$C, $H74, NewEmisData!$D:$D, AC$6)</f>
        <v>2.1153875073054502</v>
      </c>
      <c r="AD74" s="1111">
        <f t="shared" si="18"/>
        <v>2.1153875073054502</v>
      </c>
      <c r="AE74" s="1111">
        <f t="shared" si="113"/>
        <v>5.2255737859281101E-2</v>
      </c>
      <c r="AF74" s="1111">
        <f>SUMIFS(NewEmisData!E:E, NewEmisData!$A:$A, $G74, NewEmisData!$B:$B, $A74, NewEmisData!$C:$C, $H74, NewEmisData!$D:$D, AF$6)</f>
        <v>5.2255737859281101E-2</v>
      </c>
      <c r="AG74" s="1111">
        <f>SUMIFS(NewEmisData!F:F, NewEmisData!$A:$A, $G74, NewEmisData!$B:$B, $A74, NewEmisData!$C:$C, $H74, NewEmisData!$D:$D, AG$6)</f>
        <v>5.2336961474348999E-2</v>
      </c>
      <c r="AH74" s="1111">
        <f>SUMIFS(NewEmisData!G:G, NewEmisData!$A:$A, $G74, NewEmisData!$B:$B, $A74, NewEmisData!$C:$C, $H74, NewEmisData!$D:$D, AH$6)</f>
        <v>1.90120187414001E-2</v>
      </c>
      <c r="AI74" s="1111">
        <f>SUMIFS(NewEmisData!H:H, NewEmisData!$A:$A, $G74, NewEmisData!$B:$B, $A74, NewEmisData!$C:$C, $H74, NewEmisData!$D:$D, AI$6)</f>
        <v>1.84874270200093E-2</v>
      </c>
      <c r="AJ74" s="1111">
        <f>SUMIFS(NewEmisData!I:I, NewEmisData!$A:$A, $G74, NewEmisData!$B:$B, $A74, NewEmisData!$C:$C, $H74, NewEmisData!$D:$D, AJ$6)</f>
        <v>1.8144374000154902E-2</v>
      </c>
      <c r="AK74" s="1111">
        <f>SUMIFS(NewEmisData!J:J, NewEmisData!$A:$A, $G74, NewEmisData!$B:$B, $A74, NewEmisData!$C:$C, $H74, NewEmisData!$D:$D, AK$6)</f>
        <v>1.7999854067365699E-2</v>
      </c>
      <c r="AL74" s="1111">
        <f>SUMIFS(NewEmisData!K:K, NewEmisData!$A:$A, $G74, NewEmisData!$B:$B, $A74, NewEmisData!$C:$C, $H74, NewEmisData!$D:$D, AL$6)</f>
        <v>1.7946771342725602E-2</v>
      </c>
      <c r="AM74" s="1111">
        <f>SUMIFS(NewEmisData!L:L, NewEmisData!$A:$A, $G74, NewEmisData!$B:$B, $A74, NewEmisData!$C:$C, $H74, NewEmisData!$D:$D, AM$6)</f>
        <v>1.7934071003801701E-2</v>
      </c>
      <c r="AN74" s="1111">
        <f>SUMIFS(NewEmisData!M:M, NewEmisData!$A:$A, $G74, NewEmisData!$B:$B, $A74, NewEmisData!$C:$C, $H74, NewEmisData!$D:$D, AN$6)</f>
        <v>1.79299478743845E-2</v>
      </c>
      <c r="AO74" s="1111">
        <f t="shared" si="114"/>
        <v>1.79299478743845E-2</v>
      </c>
      <c r="AP74" s="1111">
        <f t="shared" si="115"/>
        <v>3.1140708935215899</v>
      </c>
      <c r="AQ74" s="1111">
        <f>SUMIFS(NewEmisData!E:E, NewEmisData!$A:$A, $G74, NewEmisData!$B:$B, $A74, NewEmisData!$C:$C, $H74, NewEmisData!$D:$D, AQ$6)</f>
        <v>3.1140708935215899</v>
      </c>
      <c r="AR74" s="1111">
        <f>SUMIFS(NewEmisData!F:F, NewEmisData!$A:$A, $G74, NewEmisData!$B:$B, $A74, NewEmisData!$C:$C, $H74, NewEmisData!$D:$D, AR$6)</f>
        <v>2.8847204358426501</v>
      </c>
      <c r="AS74" s="1111">
        <f>SUMIFS(NewEmisData!G:G, NewEmisData!$A:$A, $G74, NewEmisData!$B:$B, $A74, NewEmisData!$C:$C, $H74, NewEmisData!$D:$D, AS$6)</f>
        <v>0.74809443085481597</v>
      </c>
      <c r="AT74" s="1111">
        <f>SUMIFS(NewEmisData!H:H, NewEmisData!$A:$A, $G74, NewEmisData!$B:$B, $A74, NewEmisData!$C:$C, $H74, NewEmisData!$D:$D, AT$6)</f>
        <v>0.62015789663876097</v>
      </c>
      <c r="AU74" s="1111">
        <f>SUMIFS(NewEmisData!I:I, NewEmisData!$A:$A, $G74, NewEmisData!$B:$B, $A74, NewEmisData!$C:$C, $H74, NewEmisData!$D:$D, AU$6)</f>
        <v>0.57506450514365803</v>
      </c>
      <c r="AV74" s="1111">
        <f>SUMIFS(NewEmisData!J:J, NewEmisData!$A:$A, $G74, NewEmisData!$B:$B, $A74, NewEmisData!$C:$C, $H74, NewEmisData!$D:$D, AV$6)</f>
        <v>0.56761442636626203</v>
      </c>
      <c r="AW74" s="1111">
        <f>SUMIFS(NewEmisData!K:K, NewEmisData!$A:$A, $G74, NewEmisData!$B:$B, $A74, NewEmisData!$C:$C, $H74, NewEmisData!$D:$D, AW$6)</f>
        <v>0.55955127050834697</v>
      </c>
      <c r="AX74" s="1111">
        <f>SUMIFS(NewEmisData!L:L, NewEmisData!$A:$A, $G74, NewEmisData!$B:$B, $A74, NewEmisData!$C:$C, $H74, NewEmisData!$D:$D, AX$6)</f>
        <v>0.55939324929766499</v>
      </c>
      <c r="AY74" s="1111">
        <f>SUMIFS(NewEmisData!M:M, NewEmisData!$A:$A, $G74, NewEmisData!$B:$B, $A74, NewEmisData!$C:$C, $H74, NewEmisData!$D:$D, AY$6)</f>
        <v>0.55957008556142196</v>
      </c>
      <c r="AZ74" s="1111">
        <f t="shared" si="116"/>
        <v>0.55957008556142196</v>
      </c>
      <c r="BA74" s="1111">
        <f t="shared" si="117"/>
        <v>2.5303145316281501</v>
      </c>
      <c r="BB74" s="1111">
        <f>SUMIFS(NewEmisData!E:E, NewEmisData!$A:$A, $G74, NewEmisData!$B:$B, $A74, NewEmisData!$C:$C, $H74, NewEmisData!$D:$D, BB$6)</f>
        <v>2.5303145316281501</v>
      </c>
      <c r="BC74" s="1111">
        <f>SUMIFS(NewEmisData!F:F, NewEmisData!$A:$A, $G74, NewEmisData!$B:$B, $A74, NewEmisData!$C:$C, $H74, NewEmisData!$D:$D, BC$6)</f>
        <v>2.3086681022657398</v>
      </c>
      <c r="BD74" s="1111">
        <f>SUMIFS(NewEmisData!G:G, NewEmisData!$A:$A, $G74, NewEmisData!$B:$B, $A74, NewEmisData!$C:$C, $H74, NewEmisData!$D:$D, BD$6)</f>
        <v>0.28378444504223299</v>
      </c>
      <c r="BE74" s="1111">
        <f>SUMIFS(NewEmisData!H:H, NewEmisData!$A:$A, $G74, NewEmisData!$B:$B, $A74, NewEmisData!$C:$C, $H74, NewEmisData!$D:$D, BE$6)</f>
        <v>0.16305711430309899</v>
      </c>
      <c r="BF74" s="1111">
        <f>SUMIFS(NewEmisData!I:I, NewEmisData!$A:$A, $G74, NewEmisData!$B:$B, $A74, NewEmisData!$C:$C, $H74, NewEmisData!$D:$D, BF$6)</f>
        <v>0.12268206574598001</v>
      </c>
      <c r="BG74" s="1111">
        <f>SUMIFS(NewEmisData!J:J, NewEmisData!$A:$A, $G74, NewEmisData!$B:$B, $A74, NewEmisData!$C:$C, $H74, NewEmisData!$D:$D, BG$6)</f>
        <v>0.11582611815709799</v>
      </c>
      <c r="BH74" s="1111">
        <f>SUMIFS(NewEmisData!K:K, NewEmisData!$A:$A, $G74, NewEmisData!$B:$B, $A74, NewEmisData!$C:$C, $H74, NewEmisData!$D:$D, BH$6)</f>
        <v>0.108668011205409</v>
      </c>
      <c r="BI74" s="1111">
        <f>SUMIFS(NewEmisData!L:L, NewEmisData!$A:$A, $G74, NewEmisData!$B:$B, $A74, NewEmisData!$C:$C, $H74, NewEmisData!$D:$D, BI$6)</f>
        <v>0.108570916199558</v>
      </c>
      <c r="BJ74" s="1111">
        <f>SUMIFS(NewEmisData!M:M, NewEmisData!$A:$A, $G74, NewEmisData!$B:$B, $A74, NewEmisData!$C:$C, $H74, NewEmisData!$D:$D, BJ$6)</f>
        <v>0.108581014611937</v>
      </c>
      <c r="BK74" s="1111">
        <f t="shared" si="118"/>
        <v>0.108581014611937</v>
      </c>
      <c r="BL74" s="1111">
        <f t="shared" si="119"/>
        <v>11.394784821519901</v>
      </c>
      <c r="BM74" s="1111">
        <f>SUMIFS(NewEmisData!E:E, NewEmisData!$A:$A, $G74, NewEmisData!$B:$B, $A74, NewEmisData!$C:$C, $H74, NewEmisData!$D:$D, BM$6)</f>
        <v>11.394784821519901</v>
      </c>
      <c r="BN74" s="1111">
        <f>SUMIFS(NewEmisData!F:F, NewEmisData!$A:$A, $G74, NewEmisData!$B:$B, $A74, NewEmisData!$C:$C, $H74, NewEmisData!$D:$D, BN$6)</f>
        <v>10.6563815549337</v>
      </c>
      <c r="BO74" s="1111">
        <f>SUMIFS(NewEmisData!G:G, NewEmisData!$A:$A, $G74, NewEmisData!$B:$B, $A74, NewEmisData!$C:$C, $H74, NewEmisData!$D:$D, BO$6)</f>
        <v>2.5217312345554999</v>
      </c>
      <c r="BP74" s="1111">
        <f>SUMIFS(NewEmisData!H:H, NewEmisData!$A:$A, $G74, NewEmisData!$B:$B, $A74, NewEmisData!$C:$C, $H74, NewEmisData!$D:$D, BP$6)</f>
        <v>1.32179357333326</v>
      </c>
      <c r="BQ74" s="1111">
        <f>SUMIFS(NewEmisData!I:I, NewEmisData!$A:$A, $G74, NewEmisData!$B:$B, $A74, NewEmisData!$C:$C, $H74, NewEmisData!$D:$D, BQ$6)</f>
        <v>1.08738121961483</v>
      </c>
      <c r="BR74" s="1111">
        <f>SUMIFS(NewEmisData!J:J, NewEmisData!$A:$A, $G74, NewEmisData!$B:$B, $A74, NewEmisData!$C:$C, $H74, NewEmisData!$D:$D, BR$6)</f>
        <v>0.93269004563424096</v>
      </c>
      <c r="BS74" s="1111">
        <f>SUMIFS(NewEmisData!K:K, NewEmisData!$A:$A, $G74, NewEmisData!$B:$B, $A74, NewEmisData!$C:$C, $H74, NewEmisData!$D:$D, BS$6)</f>
        <v>0.871599531751862</v>
      </c>
      <c r="BT74" s="1111">
        <f>SUMIFS(NewEmisData!L:L, NewEmisData!$A:$A, $G74, NewEmisData!$B:$B, $A74, NewEmisData!$C:$C, $H74, NewEmisData!$D:$D, BT$6)</f>
        <v>0.87139254201649397</v>
      </c>
      <c r="BU74" s="1111">
        <f>SUMIFS(NewEmisData!M:M, NewEmisData!$A:$A, $G74, NewEmisData!$B:$B, $A74, NewEmisData!$C:$C, $H74, NewEmisData!$D:$D, BU$6)</f>
        <v>0.870328181669625</v>
      </c>
      <c r="BV74" s="1111">
        <f t="shared" si="120"/>
        <v>0.870328181669625</v>
      </c>
      <c r="BW74" s="1111">
        <f t="shared" si="121"/>
        <v>2.3752781774376901</v>
      </c>
      <c r="BX74" s="1111">
        <f>SUMIFS(NewEmisData!E:E, NewEmisData!$A:$A, $G74, NewEmisData!$B:$B, $A74, NewEmisData!$C:$C, $H74, NewEmisData!$D:$D, BX$6)</f>
        <v>2.3752781774376901</v>
      </c>
      <c r="BY74" s="1111">
        <f>SUMIFS(NewEmisData!F:F, NewEmisData!$A:$A, $G74, NewEmisData!$B:$B, $A74, NewEmisData!$C:$C, $H74, NewEmisData!$D:$D, BY$6)</f>
        <v>2.1942926985453299</v>
      </c>
      <c r="BZ74" s="1111">
        <f>SUMIFS(NewEmisData!G:G, NewEmisData!$A:$A, $G74, NewEmisData!$B:$B, $A74, NewEmisData!$C:$C, $H74, NewEmisData!$D:$D, BZ$6)</f>
        <v>0.59763355306084598</v>
      </c>
      <c r="CA74" s="1111">
        <f>SUMIFS(NewEmisData!H:H, NewEmisData!$A:$A, $G74, NewEmisData!$B:$B, $A74, NewEmisData!$C:$C, $H74, NewEmisData!$D:$D, CA$6)</f>
        <v>0.29137621139391601</v>
      </c>
      <c r="CB74" s="1111">
        <f>SUMIFS(NewEmisData!I:I, NewEmisData!$A:$A, $G74, NewEmisData!$B:$B, $A74, NewEmisData!$C:$C, $H74, NewEmisData!$D:$D, CB$6)</f>
        <v>0.200801002522528</v>
      </c>
      <c r="CC74" s="1111">
        <f>SUMIFS(NewEmisData!J:J, NewEmisData!$A:$A, $G74, NewEmisData!$B:$B, $A74, NewEmisData!$C:$C, $H74, NewEmisData!$D:$D, CC$6)</f>
        <v>0.17642712606932701</v>
      </c>
      <c r="CD74" s="1111">
        <f>SUMIFS(NewEmisData!K:K, NewEmisData!$A:$A, $G74, NewEmisData!$B:$B, $A74, NewEmisData!$C:$C, $H74, NewEmisData!$D:$D, CD$6)</f>
        <v>0.151845237690554</v>
      </c>
      <c r="CE74" s="1111">
        <f>SUMIFS(NewEmisData!L:L, NewEmisData!$A:$A, $G74, NewEmisData!$B:$B, $A74, NewEmisData!$C:$C, $H74, NewEmisData!$D:$D, CE$6)</f>
        <v>0.15173882312273401</v>
      </c>
      <c r="CF74" s="1111">
        <f>SUMIFS(NewEmisData!M:M, NewEmisData!$A:$A, $G74, NewEmisData!$B:$B, $A74, NewEmisData!$C:$C, $H74, NewEmisData!$D:$D, CF$6)</f>
        <v>0.15169469158436399</v>
      </c>
      <c r="CG74" s="1111">
        <f t="shared" si="122"/>
        <v>0.15169469158436399</v>
      </c>
      <c r="CH74" s="1111">
        <f t="shared" si="123"/>
        <v>3.4941772828006E-2</v>
      </c>
      <c r="CI74" s="1111">
        <f>SUMIFS(NewEmisData!E:E, NewEmisData!$A:$A, $G74, NewEmisData!$B:$B, $A74, NewEmisData!$C:$C, $H74, NewEmisData!$D:$D, CI$6)</f>
        <v>3.4941772828006E-2</v>
      </c>
      <c r="CJ74" s="1111">
        <f>SUMIFS(NewEmisData!F:F, NewEmisData!$A:$A, $G74, NewEmisData!$B:$B, $A74, NewEmisData!$C:$C, $H74, NewEmisData!$D:$D, CJ$6)</f>
        <v>3.50217450182281E-2</v>
      </c>
      <c r="CK74" s="1111">
        <f>SUMIFS(NewEmisData!G:G, NewEmisData!$A:$A, $G74, NewEmisData!$B:$B, $A74, NewEmisData!$C:$C, $H74, NewEmisData!$D:$D, CK$6)</f>
        <v>3.9477724835296803E-2</v>
      </c>
      <c r="CL74" s="1111">
        <f>SUMIFS(NewEmisData!H:H, NewEmisData!$A:$A, $G74, NewEmisData!$B:$B, $A74, NewEmisData!$C:$C, $H74, NewEmisData!$D:$D, CL$6)</f>
        <v>3.9528644727434697E-2</v>
      </c>
      <c r="CM74" s="1111">
        <f>SUMIFS(NewEmisData!I:I, NewEmisData!$A:$A, $G74, NewEmisData!$B:$B, $A74, NewEmisData!$C:$C, $H74, NewEmisData!$D:$D, CM$6)</f>
        <v>3.95085168774486E-2</v>
      </c>
      <c r="CN74" s="1111">
        <f>SUMIFS(NewEmisData!J:J, NewEmisData!$A:$A, $G74, NewEmisData!$B:$B, $A74, NewEmisData!$C:$C, $H74, NewEmisData!$D:$D, CN$6)</f>
        <v>3.9508343326223903E-2</v>
      </c>
      <c r="CO74" s="1111">
        <f>SUMIFS(NewEmisData!K:K, NewEmisData!$A:$A, $G74, NewEmisData!$B:$B, $A74, NewEmisData!$C:$C, $H74, NewEmisData!$D:$D, CO$6)</f>
        <v>3.9503822065767399E-2</v>
      </c>
      <c r="CP74" s="1111">
        <f>SUMIFS(NewEmisData!L:L, NewEmisData!$A:$A, $G74, NewEmisData!$B:$B, $A74, NewEmisData!$C:$C, $H74, NewEmisData!$D:$D, CP$6)</f>
        <v>3.9502771622416701E-2</v>
      </c>
      <c r="CQ74" s="1111">
        <f>SUMIFS(NewEmisData!M:M, NewEmisData!$A:$A, $G74, NewEmisData!$B:$B, $A74, NewEmisData!$C:$C, $H74, NewEmisData!$D:$D, CQ$6)</f>
        <v>3.9505510322833698E-2</v>
      </c>
      <c r="CR74" s="1111">
        <f t="shared" si="124"/>
        <v>3.9505510322833698E-2</v>
      </c>
      <c r="CS74" s="1111">
        <f t="shared" si="125"/>
        <v>6.6012209147156302E-3</v>
      </c>
      <c r="CT74" s="1111">
        <f>SUMIFS(NewEmisData!E:E, NewEmisData!$A:$A, $G74, NewEmisData!$B:$B, $A74, NewEmisData!$C:$C, $H74, NewEmisData!$D:$D, CT$6)</f>
        <v>6.6012209147156302E-3</v>
      </c>
      <c r="CU74" s="1111">
        <f>SUMIFS(NewEmisData!F:F, NewEmisData!$A:$A, $G74, NewEmisData!$B:$B, $A74, NewEmisData!$C:$C, $H74, NewEmisData!$D:$D, CU$6)</f>
        <v>6.4073594557178398E-3</v>
      </c>
      <c r="CV74" s="1111">
        <f>SUMIFS(NewEmisData!G:G, NewEmisData!$A:$A, $G74, NewEmisData!$B:$B, $A74, NewEmisData!$C:$C, $H74, NewEmisData!$D:$D, CV$6)</f>
        <v>7.1648137678451997E-3</v>
      </c>
      <c r="CW74" s="1111">
        <f>SUMIFS(NewEmisData!H:H, NewEmisData!$A:$A, $G74, NewEmisData!$B:$B, $A74, NewEmisData!$C:$C, $H74, NewEmisData!$D:$D, CW$6)</f>
        <v>7.1602087071173399E-3</v>
      </c>
      <c r="CX74" s="1111">
        <f>SUMIFS(NewEmisData!I:I, NewEmisData!$A:$A, $G74, NewEmisData!$B:$B, $A74, NewEmisData!$C:$C, $H74, NewEmisData!$D:$D, CX$6)</f>
        <v>7.16455163233476E-3</v>
      </c>
      <c r="CY74" s="1111">
        <f>SUMIFS(NewEmisData!J:J, NewEmisData!$A:$A, $G74, NewEmisData!$B:$B, $A74, NewEmisData!$C:$C, $H74, NewEmisData!$D:$D, CY$6)</f>
        <v>7.1645367912074997E-3</v>
      </c>
      <c r="CZ74" s="1111">
        <f>SUMIFS(NewEmisData!K:K, NewEmisData!$A:$A, $G74, NewEmisData!$B:$B, $A74, NewEmisData!$C:$C, $H74, NewEmisData!$D:$D, CZ$6)</f>
        <v>7.1656509510186596E-3</v>
      </c>
      <c r="DA74" s="1111">
        <f>SUMIFS(NewEmisData!L:L, NewEmisData!$A:$A, $G74, NewEmisData!$B:$B, $A74, NewEmisData!$C:$C, $H74, NewEmisData!$D:$D, DA$6)</f>
        <v>7.1659123166224799E-3</v>
      </c>
      <c r="DB74" s="1111">
        <f>SUMIFS(NewEmisData!M:M, NewEmisData!$A:$A, $G74, NewEmisData!$B:$B, $A74, NewEmisData!$C:$C, $H74, NewEmisData!$D:$D, DB$6)</f>
        <v>7.1650737318779897E-3</v>
      </c>
      <c r="DC74" s="1111">
        <f t="shared" si="126"/>
        <v>7.1650737318779897E-3</v>
      </c>
      <c r="DD74" s="1111"/>
      <c r="DE74" s="1111"/>
      <c r="DF74" s="1111"/>
      <c r="DG74" s="1111"/>
      <c r="DH74" s="1111"/>
      <c r="DI74" s="1111"/>
      <c r="DJ74" s="1111"/>
      <c r="DK74" s="1111"/>
      <c r="DL74" s="1111"/>
      <c r="DM74" s="1111"/>
      <c r="DN74" s="1111"/>
      <c r="DO74" s="1111"/>
      <c r="DP74" s="1111"/>
      <c r="DQ74" s="1111"/>
      <c r="DR74" s="1111"/>
      <c r="DS74" s="1111"/>
      <c r="DT74" s="1111"/>
      <c r="DU74" s="1111"/>
      <c r="DV74" s="1111"/>
      <c r="DW74" s="1111"/>
      <c r="DX74" s="1111"/>
      <c r="DY74" s="1111"/>
      <c r="DZ74" s="1111">
        <f t="shared" si="127"/>
        <v>1.10654250023199E-2</v>
      </c>
      <c r="EA74" s="1111">
        <f>SUMIFS(NewEmisData!E:E, NewEmisData!$A:$A, $G74, NewEmisData!$B:$B, $A74, NewEmisData!$C:$C, $H74, NewEmisData!$D:$D, EA$6)</f>
        <v>1.10654250023199E-2</v>
      </c>
      <c r="EB74" s="1111">
        <f>SUMIFS(NewEmisData!F:F, NewEmisData!$A:$A, $G74, NewEmisData!$B:$B, $A74, NewEmisData!$C:$C, $H74, NewEmisData!$D:$D, EB$6)</f>
        <v>3.5717908538474501E-2</v>
      </c>
      <c r="EC74" s="1111">
        <f>SUMIFS(NewEmisData!G:G, NewEmisData!$A:$A, $G74, NewEmisData!$B:$B, $A74, NewEmisData!$C:$C, $H74, NewEmisData!$D:$D, EC$6)</f>
        <v>0.116951384194715</v>
      </c>
      <c r="ED74" s="1111">
        <f>SUMIFS(NewEmisData!H:H, NewEmisData!$A:$A, $G74, NewEmisData!$B:$B, $A74, NewEmisData!$C:$C, $H74, NewEmisData!$D:$D, ED$6)</f>
        <v>0.12541769151994001</v>
      </c>
      <c r="EE74" s="1111">
        <f>SUMIFS(NewEmisData!I:I, NewEmisData!$A:$A, $G74, NewEmisData!$B:$B, $A74, NewEmisData!$C:$C, $H74, NewEmisData!$D:$D, EE$6)</f>
        <v>0.12528032512760801</v>
      </c>
      <c r="EF74" s="1111">
        <f>SUMIFS(NewEmisData!J:J, NewEmisData!$A:$A, $G74, NewEmisData!$B:$B, $A74, NewEmisData!$C:$C, $H74, NewEmisData!$D:$D, EF$6)</f>
        <v>0.124793701298803</v>
      </c>
      <c r="EG74" s="1111">
        <f>SUMIFS(NewEmisData!K:K, NewEmisData!$A:$A, $G74, NewEmisData!$B:$B, $A74, NewEmisData!$C:$C, $H74, NewEmisData!$D:$D, EG$6)</f>
        <v>0.126229069683536</v>
      </c>
      <c r="EH74" s="1111">
        <f>SUMIFS(NewEmisData!L:L, NewEmisData!$A:$A, $G74, NewEmisData!$B:$B, $A74, NewEmisData!$C:$C, $H74, NewEmisData!$D:$D, EH$6)</f>
        <v>0.126140757204284</v>
      </c>
      <c r="EI74" s="1111">
        <f>SUMIFS(NewEmisData!M:M, NewEmisData!$A:$A, $G74, NewEmisData!$B:$B, $A74, NewEmisData!$C:$C, $H74, NewEmisData!$D:$D, EI$6)</f>
        <v>0.126101847596616</v>
      </c>
      <c r="EJ74" s="1111">
        <f t="shared" si="128"/>
        <v>0.126101847596616</v>
      </c>
      <c r="EK74" s="1111">
        <f t="shared" si="129"/>
        <v>2080.2970890730599</v>
      </c>
      <c r="EL74" s="1111">
        <f t="shared" si="48"/>
        <v>2080.2970890730599</v>
      </c>
      <c r="EM74" s="1111">
        <f t="shared" si="49"/>
        <v>2109.4711930624499</v>
      </c>
      <c r="EN74" s="1111">
        <f t="shared" si="50"/>
        <v>2250.3411144545198</v>
      </c>
      <c r="EO74" s="1111">
        <f t="shared" si="51"/>
        <v>2207.8222571372398</v>
      </c>
      <c r="EP74" s="1111">
        <f t="shared" si="52"/>
        <v>2173.5129182212299</v>
      </c>
      <c r="EQ74" s="1111">
        <f t="shared" si="53"/>
        <v>2157.1874680648498</v>
      </c>
      <c r="ER74" s="1111">
        <f t="shared" si="54"/>
        <v>2152.6343695246501</v>
      </c>
      <c r="ES74" s="1111">
        <f t="shared" si="55"/>
        <v>2151.1111734661499</v>
      </c>
      <c r="ET74" s="1111">
        <f t="shared" si="56"/>
        <v>2150.6160486070298</v>
      </c>
      <c r="EU74" s="1111">
        <f t="shared" si="57"/>
        <v>2150.6160486070298</v>
      </c>
      <c r="EV74" s="1111">
        <f t="shared" si="130"/>
        <v>40.449529533420304</v>
      </c>
      <c r="EW74" s="1111">
        <f t="shared" si="38"/>
        <v>40.449529533420304</v>
      </c>
      <c r="EX74" s="1111">
        <f t="shared" si="39"/>
        <v>37.425839617300603</v>
      </c>
      <c r="EY74" s="1111">
        <f t="shared" si="40"/>
        <v>6.6428401041299603</v>
      </c>
      <c r="EZ74" s="1111">
        <f t="shared" si="41"/>
        <v>3.77567960317164</v>
      </c>
      <c r="FA74" s="1111">
        <f t="shared" si="42"/>
        <v>2.6206386180811401</v>
      </c>
      <c r="FB74" s="1111">
        <f t="shared" si="43"/>
        <v>2.3009735743661102</v>
      </c>
      <c r="FC74" s="1111">
        <f t="shared" si="44"/>
        <v>2.1222500944201301</v>
      </c>
      <c r="FD74" s="1111">
        <f t="shared" si="45"/>
        <v>2.1170149680898702</v>
      </c>
      <c r="FE74" s="1111">
        <f t="shared" si="46"/>
        <v>2.1153875073054502</v>
      </c>
      <c r="FF74" s="1111">
        <f t="shared" si="47"/>
        <v>2.1153875073054502</v>
      </c>
      <c r="FG74" s="1111">
        <f t="shared" si="100"/>
        <v>5.2255737859281101E-2</v>
      </c>
      <c r="FH74" s="1111">
        <f t="shared" si="101"/>
        <v>5.2255737859281101E-2</v>
      </c>
      <c r="FI74" s="1111">
        <f t="shared" si="102"/>
        <v>5.2336961474348999E-2</v>
      </c>
      <c r="FJ74" s="1111">
        <f t="shared" si="103"/>
        <v>1.90120187414001E-2</v>
      </c>
      <c r="FK74" s="1111">
        <f t="shared" si="104"/>
        <v>1.84874270200093E-2</v>
      </c>
      <c r="FL74" s="1111">
        <f t="shared" si="105"/>
        <v>1.8144374000154902E-2</v>
      </c>
      <c r="FM74" s="1111">
        <f t="shared" si="106"/>
        <v>1.7999854067365699E-2</v>
      </c>
      <c r="FN74" s="1111">
        <f t="shared" si="107"/>
        <v>1.7946771342725602E-2</v>
      </c>
      <c r="FO74" s="1111">
        <f t="shared" si="108"/>
        <v>1.7934071003801701E-2</v>
      </c>
      <c r="FP74" s="1111">
        <f t="shared" si="109"/>
        <v>1.79299478743845E-2</v>
      </c>
      <c r="FQ74" s="1111">
        <f t="shared" si="110"/>
        <v>1.79299478743845E-2</v>
      </c>
      <c r="FR74" s="1111">
        <f t="shared" si="25"/>
        <v>3.1140708935215899</v>
      </c>
      <c r="FS74" s="1111">
        <f t="shared" si="26"/>
        <v>3.1140708935215899</v>
      </c>
      <c r="FT74" s="1111">
        <f t="shared" si="27"/>
        <v>2.8847204358426501</v>
      </c>
      <c r="FU74" s="1111">
        <f t="shared" si="28"/>
        <v>0.74809443085481597</v>
      </c>
      <c r="FV74" s="1111">
        <f t="shared" si="29"/>
        <v>0.62015789663876097</v>
      </c>
      <c r="FW74" s="1111">
        <f t="shared" si="30"/>
        <v>0.57506450514365803</v>
      </c>
      <c r="FX74" s="1111">
        <f t="shared" si="31"/>
        <v>0.56761442636626203</v>
      </c>
      <c r="FY74" s="1111">
        <f t="shared" si="32"/>
        <v>0.55955127050834697</v>
      </c>
      <c r="FZ74" s="1111">
        <f t="shared" si="33"/>
        <v>0.55939324929766499</v>
      </c>
      <c r="GA74" s="1111">
        <f t="shared" si="34"/>
        <v>0.55957008556142196</v>
      </c>
      <c r="GB74" s="1111">
        <f t="shared" si="35"/>
        <v>0.55957008556142196</v>
      </c>
      <c r="GC74" s="1111">
        <f t="shared" si="59"/>
        <v>2.5303145316281501</v>
      </c>
      <c r="GD74" s="1111">
        <f t="shared" si="60"/>
        <v>2.5303145316281501</v>
      </c>
      <c r="GE74" s="1111">
        <f t="shared" si="61"/>
        <v>2.3086681022657398</v>
      </c>
      <c r="GF74" s="1111">
        <f t="shared" si="62"/>
        <v>0.28378444504223299</v>
      </c>
      <c r="GG74" s="1111">
        <f t="shared" si="63"/>
        <v>0.16305711430309899</v>
      </c>
      <c r="GH74" s="1111">
        <f t="shared" si="64"/>
        <v>0.12268206574598001</v>
      </c>
      <c r="GI74" s="1111">
        <f t="shared" si="65"/>
        <v>0.11582611815709799</v>
      </c>
      <c r="GJ74" s="1111">
        <f t="shared" si="66"/>
        <v>0.108668011205409</v>
      </c>
      <c r="GK74" s="1111">
        <f t="shared" si="67"/>
        <v>0.108570916199558</v>
      </c>
      <c r="GL74" s="1111">
        <f t="shared" si="68"/>
        <v>0.108581014611937</v>
      </c>
      <c r="GM74" s="1111">
        <f t="shared" si="69"/>
        <v>0.108581014611937</v>
      </c>
    </row>
    <row r="75" spans="1:195" x14ac:dyDescent="0.2">
      <c r="A75" s="1071" t="s">
        <v>188</v>
      </c>
      <c r="B75" s="1071" t="str">
        <f>NewTech!B17</f>
        <v>TBDSLC10</v>
      </c>
      <c r="C75" s="1071" t="str">
        <f>NewTech!C17</f>
        <v>Bus, Conventional Diesel, 2010</v>
      </c>
      <c r="D75" s="1071" t="str">
        <f>NewTech!D17</f>
        <v>bn-vmt, bn-vmt/a</v>
      </c>
      <c r="E75" s="1071" t="str">
        <f>NewTech!E17</f>
        <v>TBDSL</v>
      </c>
      <c r="F75" s="1071" t="str">
        <f>NewTech!F17</f>
        <v>TB</v>
      </c>
      <c r="G75" s="1110" t="s">
        <v>498</v>
      </c>
      <c r="H75" s="1110" t="s">
        <v>499</v>
      </c>
      <c r="I75" s="1112">
        <v>1</v>
      </c>
      <c r="J75" s="1111" t="str">
        <f t="shared" si="37"/>
        <v>Bus-DSL</v>
      </c>
      <c r="K75" s="1111">
        <f>SUMIFS(NewEmisData!E:E, NewEmisData!$A:$A, $G75, NewEmisData!$B:$B, $A75, NewEmisData!$C:$C, $H75, NewEmisData!$D:$D, K$6)</f>
        <v>1490.2976816476501</v>
      </c>
      <c r="L75" s="1111">
        <f>SUMIFS(NewEmisData!F:F, NewEmisData!$A:$A, $G75, NewEmisData!$B:$B, $A75, NewEmisData!$C:$C, $H75, NewEmisData!$D:$D, L$6)</f>
        <v>1626.84882020706</v>
      </c>
      <c r="M75" s="1111">
        <f>SUMIFS(NewEmisData!G:G, NewEmisData!$A:$A, $G75, NewEmisData!$B:$B, $A75, NewEmisData!$C:$C, $H75, NewEmisData!$D:$D, M$6)</f>
        <v>1458.6179661731101</v>
      </c>
      <c r="N75" s="1111">
        <f>SUMIFS(NewEmisData!H:H, NewEmisData!$A:$A, $G75, NewEmisData!$B:$B, $A75, NewEmisData!$C:$C, $H75, NewEmisData!$D:$D, N$6)</f>
        <v>1416.37770823441</v>
      </c>
      <c r="O75" s="1111">
        <f>SUMIFS(NewEmisData!I:I, NewEmisData!$A:$A, $G75, NewEmisData!$B:$B, $A75, NewEmisData!$C:$C, $H75, NewEmisData!$D:$D, O$6)</f>
        <v>1353.32178885294</v>
      </c>
      <c r="P75" s="1111">
        <f>SUMIFS(NewEmisData!J:J, NewEmisData!$A:$A, $G75, NewEmisData!$B:$B, $A75, NewEmisData!$C:$C, $H75, NewEmisData!$D:$D, P$6)</f>
        <v>1322.46976433435</v>
      </c>
      <c r="Q75" s="1111">
        <f>SUMIFS(NewEmisData!K:K, NewEmisData!$A:$A, $G75, NewEmisData!$B:$B, $A75, NewEmisData!$C:$C, $H75, NewEmisData!$D:$D, Q$6)</f>
        <v>1318.4113892753701</v>
      </c>
      <c r="R75" s="1111">
        <f>SUMIFS(NewEmisData!L:L, NewEmisData!$A:$A, $G75, NewEmisData!$B:$B, $A75, NewEmisData!$C:$C, $H75, NewEmisData!$D:$D, R$6)</f>
        <v>1317.4103236998201</v>
      </c>
      <c r="S75" s="1111">
        <f>SUMIFS(NewEmisData!M:M, NewEmisData!$A:$A, $G75, NewEmisData!$B:$B, $A75, NewEmisData!$C:$C, $H75, NewEmisData!$D:$D, S$6)</f>
        <v>1317.2762015215601</v>
      </c>
      <c r="T75" s="1111">
        <f t="shared" si="17"/>
        <v>1317.2762015215601</v>
      </c>
      <c r="U75" s="1111">
        <f>SUMIFS(NewEmisData!E:E, NewEmisData!$A:$A, $G75, NewEmisData!$B:$B, $A75, NewEmisData!$C:$C, $H75, NewEmisData!$D:$D, U$6)</f>
        <v>11.691833793473601</v>
      </c>
      <c r="V75" s="1111">
        <f>SUMIFS(NewEmisData!F:F, NewEmisData!$A:$A, $G75, NewEmisData!$B:$B, $A75, NewEmisData!$C:$C, $H75, NewEmisData!$D:$D, V$6)</f>
        <v>5.3676771149688802</v>
      </c>
      <c r="W75" s="1111">
        <f>SUMIFS(NewEmisData!G:G, NewEmisData!$A:$A, $G75, NewEmisData!$B:$B, $A75, NewEmisData!$C:$C, $H75, NewEmisData!$D:$D, W$6)</f>
        <v>3.6137202505642398</v>
      </c>
      <c r="X75" s="1111">
        <f>SUMIFS(NewEmisData!H:H, NewEmisData!$A:$A, $G75, NewEmisData!$B:$B, $A75, NewEmisData!$C:$C, $H75, NewEmisData!$D:$D, X$6)</f>
        <v>1.93222611085197</v>
      </c>
      <c r="Y75" s="1111">
        <f>SUMIFS(NewEmisData!I:I, NewEmisData!$A:$A, $G75, NewEmisData!$B:$B, $A75, NewEmisData!$C:$C, $H75, NewEmisData!$D:$D, Y$6)</f>
        <v>1.2904635466224801</v>
      </c>
      <c r="Z75" s="1111">
        <f>SUMIFS(NewEmisData!J:J, NewEmisData!$A:$A, $G75, NewEmisData!$B:$B, $A75, NewEmisData!$C:$C, $H75, NewEmisData!$D:$D, Z$6)</f>
        <v>1.20804258245566</v>
      </c>
      <c r="AA75" s="1111">
        <f>SUMIFS(NewEmisData!K:K, NewEmisData!$A:$A, $G75, NewEmisData!$B:$B, $A75, NewEmisData!$C:$C, $H75, NewEmisData!$D:$D, AA$6)</f>
        <v>1.1760366424397</v>
      </c>
      <c r="AB75" s="1111">
        <f>SUMIFS(NewEmisData!L:L, NewEmisData!$A:$A, $G75, NewEmisData!$B:$B, $A75, NewEmisData!$C:$C, $H75, NewEmisData!$D:$D, AB$6)</f>
        <v>1.1748287303099401</v>
      </c>
      <c r="AC75" s="1111">
        <f>SUMIFS(NewEmisData!M:M, NewEmisData!$A:$A, $G75, NewEmisData!$B:$B, $A75, NewEmisData!$C:$C, $H75, NewEmisData!$D:$D, AC$6)</f>
        <v>1.17443815932545</v>
      </c>
      <c r="AD75" s="1111">
        <f t="shared" si="18"/>
        <v>1.17443815932545</v>
      </c>
      <c r="AE75" s="1111">
        <f t="shared" si="113"/>
        <v>3.6717879284551301E-2</v>
      </c>
      <c r="AF75" s="1111">
        <f>SUMIFS(NewEmisData!E:E, NewEmisData!$A:$A, $G75, NewEmisData!$B:$B, $A75, NewEmisData!$C:$C, $H75, NewEmisData!$D:$D, AF$6)</f>
        <v>3.6717879284551301E-2</v>
      </c>
      <c r="AG75" s="1111">
        <f>SUMIFS(NewEmisData!F:F, NewEmisData!$A:$A, $G75, NewEmisData!$B:$B, $A75, NewEmisData!$C:$C, $H75, NewEmisData!$D:$D, AG$6)</f>
        <v>3.9098355675890401E-2</v>
      </c>
      <c r="AH75" s="1111">
        <f>SUMIFS(NewEmisData!G:G, NewEmisData!$A:$A, $G75, NewEmisData!$B:$B, $A75, NewEmisData!$C:$C, $H75, NewEmisData!$D:$D, AH$6)</f>
        <v>1.2334311567984301E-2</v>
      </c>
      <c r="AI75" s="1111">
        <f>SUMIFS(NewEmisData!H:H, NewEmisData!$A:$A, $G75, NewEmisData!$B:$B, $A75, NewEmisData!$C:$C, $H75, NewEmisData!$D:$D, AI$6)</f>
        <v>1.1840116163087199E-2</v>
      </c>
      <c r="AJ75" s="1111">
        <f>SUMIFS(NewEmisData!I:I, NewEmisData!$A:$A, $G75, NewEmisData!$B:$B, $A75, NewEmisData!$C:$C, $H75, NewEmisData!$D:$D, AJ$6)</f>
        <v>1.12892010251304E-2</v>
      </c>
      <c r="AK75" s="1111">
        <f>SUMIFS(NewEmisData!J:J, NewEmisData!$A:$A, $G75, NewEmisData!$B:$B, $A75, NewEmisData!$C:$C, $H75, NewEmisData!$D:$D, AK$6)</f>
        <v>1.10267582574557E-2</v>
      </c>
      <c r="AL75" s="1111">
        <f>SUMIFS(NewEmisData!K:K, NewEmisData!$A:$A, $G75, NewEmisData!$B:$B, $A75, NewEmisData!$C:$C, $H75, NewEmisData!$D:$D, AL$6)</f>
        <v>1.0991760238511099E-2</v>
      </c>
      <c r="AM75" s="1111">
        <f>SUMIFS(NewEmisData!L:L, NewEmisData!$A:$A, $G75, NewEmisData!$B:$B, $A75, NewEmisData!$C:$C, $H75, NewEmisData!$D:$D, AM$6)</f>
        <v>1.09834074162082E-2</v>
      </c>
      <c r="AN75" s="1111">
        <f>SUMIFS(NewEmisData!M:M, NewEmisData!$A:$A, $G75, NewEmisData!$B:$B, $A75, NewEmisData!$C:$C, $H75, NewEmisData!$D:$D, AN$6)</f>
        <v>1.09822886490272E-2</v>
      </c>
      <c r="AO75" s="1111">
        <f t="shared" si="114"/>
        <v>1.09822886490272E-2</v>
      </c>
      <c r="AP75" s="1111">
        <f t="shared" si="115"/>
        <v>1.1044131831227499</v>
      </c>
      <c r="AQ75" s="1111">
        <f>SUMIFS(NewEmisData!E:E, NewEmisData!$A:$A, $G75, NewEmisData!$B:$B, $A75, NewEmisData!$C:$C, $H75, NewEmisData!$D:$D, AQ$6)</f>
        <v>1.1044131831227499</v>
      </c>
      <c r="AR75" s="1111">
        <f>SUMIFS(NewEmisData!F:F, NewEmisData!$A:$A, $G75, NewEmisData!$B:$B, $A75, NewEmisData!$C:$C, $H75, NewEmisData!$D:$D, AR$6)</f>
        <v>0.69596448890826201</v>
      </c>
      <c r="AS75" s="1111">
        <f>SUMIFS(NewEmisData!G:G, NewEmisData!$A:$A, $G75, NewEmisData!$B:$B, $A75, NewEmisData!$C:$C, $H75, NewEmisData!$D:$D, AS$6)</f>
        <v>0.41688561176651601</v>
      </c>
      <c r="AT75" s="1111">
        <f>SUMIFS(NewEmisData!H:H, NewEmisData!$A:$A, $G75, NewEmisData!$B:$B, $A75, NewEmisData!$C:$C, $H75, NewEmisData!$D:$D, AT$6)</f>
        <v>0.29523682935823298</v>
      </c>
      <c r="AU75" s="1111">
        <f>SUMIFS(NewEmisData!I:I, NewEmisData!$A:$A, $G75, NewEmisData!$B:$B, $A75, NewEmisData!$C:$C, $H75, NewEmisData!$D:$D, AU$6)</f>
        <v>0.26722857671539402</v>
      </c>
      <c r="AV75" s="1111">
        <f>SUMIFS(NewEmisData!J:J, NewEmisData!$A:$A, $G75, NewEmisData!$B:$B, $A75, NewEmisData!$C:$C, $H75, NewEmisData!$D:$D, AV$6)</f>
        <v>0.259356859155779</v>
      </c>
      <c r="AW75" s="1111">
        <f>SUMIFS(NewEmisData!K:K, NewEmisData!$A:$A, $G75, NewEmisData!$B:$B, $A75, NewEmisData!$C:$C, $H75, NewEmisData!$D:$D, AW$6)</f>
        <v>0.25811596391799502</v>
      </c>
      <c r="AX75" s="1111">
        <f>SUMIFS(NewEmisData!L:L, NewEmisData!$A:$A, $G75, NewEmisData!$B:$B, $A75, NewEmisData!$C:$C, $H75, NewEmisData!$D:$D, AX$6)</f>
        <v>0.25800802926334099</v>
      </c>
      <c r="AY75" s="1111">
        <f>SUMIFS(NewEmisData!M:M, NewEmisData!$A:$A, $G75, NewEmisData!$B:$B, $A75, NewEmisData!$C:$C, $H75, NewEmisData!$D:$D, AY$6)</f>
        <v>0.258000316903299</v>
      </c>
      <c r="AZ75" s="1111">
        <f t="shared" si="116"/>
        <v>0.258000316903299</v>
      </c>
      <c r="BA75" s="1111">
        <f t="shared" si="117"/>
        <v>0.80515128163926197</v>
      </c>
      <c r="BB75" s="1111">
        <f>SUMIFS(NewEmisData!E:E, NewEmisData!$A:$A, $G75, NewEmisData!$B:$B, $A75, NewEmisData!$C:$C, $H75, NewEmisData!$D:$D, BB$6)</f>
        <v>0.80515128163926197</v>
      </c>
      <c r="BC75" s="1111">
        <f>SUMIFS(NewEmisData!F:F, NewEmisData!$A:$A, $G75, NewEmisData!$B:$B, $A75, NewEmisData!$C:$C, $H75, NewEmisData!$D:$D, BC$6)</f>
        <v>0.40385030676064299</v>
      </c>
      <c r="BD75" s="1111">
        <f>SUMIFS(NewEmisData!G:G, NewEmisData!$A:$A, $G75, NewEmisData!$B:$B, $A75, NewEmisData!$C:$C, $H75, NewEmisData!$D:$D, BD$6)</f>
        <v>0.191914712359671</v>
      </c>
      <c r="BE75" s="1111">
        <f>SUMIFS(NewEmisData!H:H, NewEmisData!$A:$A, $G75, NewEmisData!$B:$B, $A75, NewEmisData!$C:$C, $H75, NewEmisData!$D:$D, BE$6)</f>
        <v>7.9817965863261897E-2</v>
      </c>
      <c r="BF75" s="1111">
        <f>SUMIFS(NewEmisData!I:I, NewEmisData!$A:$A, $G75, NewEmisData!$B:$B, $A75, NewEmisData!$C:$C, $H75, NewEmisData!$D:$D, BF$6)</f>
        <v>5.8587138047291203E-2</v>
      </c>
      <c r="BG75" s="1111">
        <f>SUMIFS(NewEmisData!J:J, NewEmisData!$A:$A, $G75, NewEmisData!$B:$B, $A75, NewEmisData!$C:$C, $H75, NewEmisData!$D:$D, BG$6)</f>
        <v>5.3925401266024603E-2</v>
      </c>
      <c r="BH75" s="1111">
        <f>SUMIFS(NewEmisData!K:K, NewEmisData!$A:$A, $G75, NewEmisData!$B:$B, $A75, NewEmisData!$C:$C, $H75, NewEmisData!$D:$D, BH$6)</f>
        <v>5.3085681499215498E-2</v>
      </c>
      <c r="BI75" s="1111">
        <f>SUMIFS(NewEmisData!L:L, NewEmisData!$A:$A, $G75, NewEmisData!$B:$B, $A75, NewEmisData!$C:$C, $H75, NewEmisData!$D:$D, BI$6)</f>
        <v>5.3060223447352402E-2</v>
      </c>
      <c r="BJ75" s="1111">
        <f>SUMIFS(NewEmisData!M:M, NewEmisData!$A:$A, $G75, NewEmisData!$B:$B, $A75, NewEmisData!$C:$C, $H75, NewEmisData!$D:$D, BJ$6)</f>
        <v>5.30583578225301E-2</v>
      </c>
      <c r="BK75" s="1111">
        <f t="shared" si="118"/>
        <v>5.30583578225301E-2</v>
      </c>
      <c r="BL75" s="1111">
        <f t="shared" si="119"/>
        <v>5.0811910165099299</v>
      </c>
      <c r="BM75" s="1111">
        <f>SUMIFS(NewEmisData!E:E, NewEmisData!$A:$A, $G75, NewEmisData!$B:$B, $A75, NewEmisData!$C:$C, $H75, NewEmisData!$D:$D, BM$6)</f>
        <v>5.0811910165099299</v>
      </c>
      <c r="BN75" s="1111">
        <f>SUMIFS(NewEmisData!F:F, NewEmisData!$A:$A, $G75, NewEmisData!$B:$B, $A75, NewEmisData!$C:$C, $H75, NewEmisData!$D:$D, BN$6)</f>
        <v>2.7268470265204399</v>
      </c>
      <c r="BO75" s="1111">
        <f>SUMIFS(NewEmisData!G:G, NewEmisData!$A:$A, $G75, NewEmisData!$B:$B, $A75, NewEmisData!$C:$C, $H75, NewEmisData!$D:$D, BO$6)</f>
        <v>1.5355914449636101</v>
      </c>
      <c r="BP75" s="1111">
        <f>SUMIFS(NewEmisData!H:H, NewEmisData!$A:$A, $G75, NewEmisData!$B:$B, $A75, NewEmisData!$C:$C, $H75, NewEmisData!$D:$D, BP$6)</f>
        <v>0.89657237406968604</v>
      </c>
      <c r="BQ75" s="1111">
        <f>SUMIFS(NewEmisData!I:I, NewEmisData!$A:$A, $G75, NewEmisData!$B:$B, $A75, NewEmisData!$C:$C, $H75, NewEmisData!$D:$D, BQ$6)</f>
        <v>0.79413479693216504</v>
      </c>
      <c r="BR75" s="1111">
        <f>SUMIFS(NewEmisData!J:J, NewEmisData!$A:$A, $G75, NewEmisData!$B:$B, $A75, NewEmisData!$C:$C, $H75, NewEmisData!$D:$D, BR$6)</f>
        <v>0.78234582666351604</v>
      </c>
      <c r="BS75" s="1111">
        <f>SUMIFS(NewEmisData!K:K, NewEmisData!$A:$A, $G75, NewEmisData!$B:$B, $A75, NewEmisData!$C:$C, $H75, NewEmisData!$D:$D, BS$6)</f>
        <v>0.77895631877372495</v>
      </c>
      <c r="BT75" s="1111">
        <f>SUMIFS(NewEmisData!L:L, NewEmisData!$A:$A, $G75, NewEmisData!$B:$B, $A75, NewEmisData!$C:$C, $H75, NewEmisData!$D:$D, BT$6)</f>
        <v>0.77927504109494905</v>
      </c>
      <c r="BU75" s="1111">
        <f>SUMIFS(NewEmisData!M:M, NewEmisData!$A:$A, $G75, NewEmisData!$B:$B, $A75, NewEmisData!$C:$C, $H75, NewEmisData!$D:$D, BU$6)</f>
        <v>0.77930513165756399</v>
      </c>
      <c r="BV75" s="1111">
        <f t="shared" si="120"/>
        <v>0.77930513165756399</v>
      </c>
      <c r="BW75" s="1111">
        <f t="shared" si="121"/>
        <v>1.4965442116421701</v>
      </c>
      <c r="BX75" s="1111">
        <f>SUMIFS(NewEmisData!E:E, NewEmisData!$A:$A, $G75, NewEmisData!$B:$B, $A75, NewEmisData!$C:$C, $H75, NewEmisData!$D:$D, BX$6)</f>
        <v>1.4965442116421701</v>
      </c>
      <c r="BY75" s="1111">
        <f>SUMIFS(NewEmisData!F:F, NewEmisData!$A:$A, $G75, NewEmisData!$B:$B, $A75, NewEmisData!$C:$C, $H75, NewEmisData!$D:$D, BY$6)</f>
        <v>0.81900820559121901</v>
      </c>
      <c r="BZ75" s="1111">
        <f>SUMIFS(NewEmisData!G:G, NewEmisData!$A:$A, $G75, NewEmisData!$B:$B, $A75, NewEmisData!$C:$C, $H75, NewEmisData!$D:$D, BZ$6)</f>
        <v>0.36146735176794997</v>
      </c>
      <c r="CA75" s="1111">
        <f>SUMIFS(NewEmisData!H:H, NewEmisData!$A:$A, $G75, NewEmisData!$B:$B, $A75, NewEmisData!$C:$C, $H75, NewEmisData!$D:$D, CA$6)</f>
        <v>0.14039143137271001</v>
      </c>
      <c r="CB75" s="1111">
        <f>SUMIFS(NewEmisData!I:I, NewEmisData!$A:$A, $G75, NewEmisData!$B:$B, $A75, NewEmisData!$C:$C, $H75, NewEmisData!$D:$D, CB$6)</f>
        <v>0.101873557704856</v>
      </c>
      <c r="CC75" s="1111">
        <f>SUMIFS(NewEmisData!J:J, NewEmisData!$A:$A, $G75, NewEmisData!$B:$B, $A75, NewEmisData!$C:$C, $H75, NewEmisData!$D:$D, CC$6)</f>
        <v>9.43838462975264E-2</v>
      </c>
      <c r="CD75" s="1111">
        <f>SUMIFS(NewEmisData!K:K, NewEmisData!$A:$A, $G75, NewEmisData!$B:$B, $A75, NewEmisData!$C:$C, $H75, NewEmisData!$D:$D, CD$6)</f>
        <v>9.2903808201499405E-2</v>
      </c>
      <c r="CE75" s="1111">
        <f>SUMIFS(NewEmisData!L:L, NewEmisData!$A:$A, $G75, NewEmisData!$B:$B, $A75, NewEmisData!$C:$C, $H75, NewEmisData!$D:$D, CE$6)</f>
        <v>9.2890797107212E-2</v>
      </c>
      <c r="CF75" s="1111">
        <f>SUMIFS(NewEmisData!M:M, NewEmisData!$A:$A, $G75, NewEmisData!$B:$B, $A75, NewEmisData!$C:$C, $H75, NewEmisData!$D:$D, CF$6)</f>
        <v>9.2889380350906603E-2</v>
      </c>
      <c r="CG75" s="1111">
        <f t="shared" si="122"/>
        <v>9.2889380350906603E-2</v>
      </c>
      <c r="CH75" s="1111">
        <f t="shared" si="123"/>
        <v>2.6549169080668199E-2</v>
      </c>
      <c r="CI75" s="1111">
        <f>SUMIFS(NewEmisData!E:E, NewEmisData!$A:$A, $G75, NewEmisData!$B:$B, $A75, NewEmisData!$C:$C, $H75, NewEmisData!$D:$D, CI$6)</f>
        <v>2.6549169080668199E-2</v>
      </c>
      <c r="CJ75" s="1111">
        <f>SUMIFS(NewEmisData!F:F, NewEmisData!$A:$A, $G75, NewEmisData!$B:$B, $A75, NewEmisData!$C:$C, $H75, NewEmisData!$D:$D, CJ$6)</f>
        <v>2.7077377373300401E-2</v>
      </c>
      <c r="CK75" s="1111">
        <f>SUMIFS(NewEmisData!G:G, NewEmisData!$A:$A, $G75, NewEmisData!$B:$B, $A75, NewEmisData!$C:$C, $H75, NewEmisData!$D:$D, CK$6)</f>
        <v>2.6663646209720601E-2</v>
      </c>
      <c r="CL75" s="1111">
        <f>SUMIFS(NewEmisData!H:H, NewEmisData!$A:$A, $G75, NewEmisData!$B:$B, $A75, NewEmisData!$C:$C, $H75, NewEmisData!$D:$D, CL$6)</f>
        <v>2.6672380848637399E-2</v>
      </c>
      <c r="CM75" s="1111">
        <f>SUMIFS(NewEmisData!I:I, NewEmisData!$A:$A, $G75, NewEmisData!$B:$B, $A75, NewEmisData!$C:$C, $H75, NewEmisData!$D:$D, CM$6)</f>
        <v>2.6520469832871599E-2</v>
      </c>
      <c r="CN75" s="1111">
        <f>SUMIFS(NewEmisData!J:J, NewEmisData!$A:$A, $G75, NewEmisData!$B:$B, $A75, NewEmisData!$C:$C, $H75, NewEmisData!$D:$D, CN$6)</f>
        <v>2.64339024674058E-2</v>
      </c>
      <c r="CO75" s="1111">
        <f>SUMIFS(NewEmisData!K:K, NewEmisData!$A:$A, $G75, NewEmisData!$B:$B, $A75, NewEmisData!$C:$C, $H75, NewEmisData!$D:$D, CO$6)</f>
        <v>2.64237151596389E-2</v>
      </c>
      <c r="CP75" s="1111">
        <f>SUMIFS(NewEmisData!L:L, NewEmisData!$A:$A, $G75, NewEmisData!$B:$B, $A75, NewEmisData!$C:$C, $H75, NewEmisData!$D:$D, CP$6)</f>
        <v>2.64212319492989E-2</v>
      </c>
      <c r="CQ75" s="1111">
        <f>SUMIFS(NewEmisData!M:M, NewEmisData!$A:$A, $G75, NewEmisData!$B:$B, $A75, NewEmisData!$C:$C, $H75, NewEmisData!$D:$D, CQ$6)</f>
        <v>2.6421096884032502E-2</v>
      </c>
      <c r="CR75" s="1111">
        <f t="shared" si="124"/>
        <v>2.6421096884032502E-2</v>
      </c>
      <c r="CS75" s="1111">
        <f t="shared" si="125"/>
        <v>4.7042787259816803E-3</v>
      </c>
      <c r="CT75" s="1111">
        <f>SUMIFS(NewEmisData!E:E, NewEmisData!$A:$A, $G75, NewEmisData!$B:$B, $A75, NewEmisData!$C:$C, $H75, NewEmisData!$D:$D, CT$6)</f>
        <v>4.7042787259816803E-3</v>
      </c>
      <c r="CU75" s="1111">
        <f>SUMIFS(NewEmisData!F:F, NewEmisData!$A:$A, $G75, NewEmisData!$B:$B, $A75, NewEmisData!$C:$C, $H75, NewEmisData!$D:$D, CU$6)</f>
        <v>4.1781828368015099E-3</v>
      </c>
      <c r="CV75" s="1111">
        <f>SUMIFS(NewEmisData!G:G, NewEmisData!$A:$A, $G75, NewEmisData!$B:$B, $A75, NewEmisData!$C:$C, $H75, NewEmisData!$D:$D, CV$6)</f>
        <v>3.8352946013813899E-3</v>
      </c>
      <c r="CW75" s="1111">
        <f>SUMIFS(NewEmisData!H:H, NewEmisData!$A:$A, $G75, NewEmisData!$B:$B, $A75, NewEmisData!$C:$C, $H75, NewEmisData!$D:$D, CW$6)</f>
        <v>3.83525379596238E-3</v>
      </c>
      <c r="CX75" s="1111">
        <f>SUMIFS(NewEmisData!I:I, NewEmisData!$A:$A, $G75, NewEmisData!$B:$B, $A75, NewEmisData!$C:$C, $H75, NewEmisData!$D:$D, CX$6)</f>
        <v>3.8551413423649401E-3</v>
      </c>
      <c r="CY75" s="1111">
        <f>SUMIFS(NewEmisData!J:J, NewEmisData!$A:$A, $G75, NewEmisData!$B:$B, $A75, NewEmisData!$C:$C, $H75, NewEmisData!$D:$D, CY$6)</f>
        <v>3.8664534081897001E-3</v>
      </c>
      <c r="CZ75" s="1111">
        <f>SUMIFS(NewEmisData!K:K, NewEmisData!$A:$A, $G75, NewEmisData!$B:$B, $A75, NewEmisData!$C:$C, $H75, NewEmisData!$D:$D, CZ$6)</f>
        <v>3.8677677567543899E-3</v>
      </c>
      <c r="DA75" s="1111">
        <f>SUMIFS(NewEmisData!L:L, NewEmisData!$A:$A, $G75, NewEmisData!$B:$B, $A75, NewEmisData!$C:$C, $H75, NewEmisData!$D:$D, DA$6)</f>
        <v>3.8680901701993102E-3</v>
      </c>
      <c r="DB75" s="1111">
        <f>SUMIFS(NewEmisData!M:M, NewEmisData!$A:$A, $G75, NewEmisData!$B:$B, $A75, NewEmisData!$C:$C, $H75, NewEmisData!$D:$D, DB$6)</f>
        <v>3.86811796361387E-3</v>
      </c>
      <c r="DC75" s="1111">
        <f t="shared" si="126"/>
        <v>3.86811796361387E-3</v>
      </c>
      <c r="DD75" s="1111"/>
      <c r="DE75" s="1111"/>
      <c r="DF75" s="1111"/>
      <c r="DG75" s="1111"/>
      <c r="DH75" s="1111"/>
      <c r="DI75" s="1111"/>
      <c r="DJ75" s="1111"/>
      <c r="DK75" s="1111"/>
      <c r="DL75" s="1111"/>
      <c r="DM75" s="1111"/>
      <c r="DN75" s="1111"/>
      <c r="DO75" s="1111"/>
      <c r="DP75" s="1111"/>
      <c r="DQ75" s="1111"/>
      <c r="DR75" s="1111"/>
      <c r="DS75" s="1111"/>
      <c r="DT75" s="1111"/>
      <c r="DU75" s="1111"/>
      <c r="DV75" s="1111"/>
      <c r="DW75" s="1111"/>
      <c r="DX75" s="1111"/>
      <c r="DY75" s="1111"/>
      <c r="DZ75" s="1111">
        <f t="shared" si="127"/>
        <v>2.6013362636086799E-2</v>
      </c>
      <c r="EA75" s="1111">
        <f>SUMIFS(NewEmisData!E:E, NewEmisData!$A:$A, $G75, NewEmisData!$B:$B, $A75, NewEmisData!$C:$C, $H75, NewEmisData!$D:$D, EA$6)</f>
        <v>2.6013362636086799E-2</v>
      </c>
      <c r="EB75" s="1111">
        <f>SUMIFS(NewEmisData!F:F, NewEmisData!$A:$A, $G75, NewEmisData!$B:$B, $A75, NewEmisData!$C:$C, $H75, NewEmisData!$D:$D, EB$6)</f>
        <v>4.8912608547457603E-2</v>
      </c>
      <c r="EC75" s="1111">
        <f>SUMIFS(NewEmisData!G:G, NewEmisData!$A:$A, $G75, NewEmisData!$B:$B, $A75, NewEmisData!$C:$C, $H75, NewEmisData!$D:$D, EC$6)</f>
        <v>7.1548320352667602E-2</v>
      </c>
      <c r="ED75" s="1111">
        <f>SUMIFS(NewEmisData!H:H, NewEmisData!$A:$A, $G75, NewEmisData!$B:$B, $A75, NewEmisData!$C:$C, $H75, NewEmisData!$D:$D, ED$6)</f>
        <v>7.9138988379146596E-2</v>
      </c>
      <c r="EE75" s="1111">
        <f>SUMIFS(NewEmisData!I:I, NewEmisData!$A:$A, $G75, NewEmisData!$B:$B, $A75, NewEmisData!$C:$C, $H75, NewEmisData!$D:$D, EE$6)</f>
        <v>7.6655521242650904E-2</v>
      </c>
      <c r="EF75" s="1111">
        <f>SUMIFS(NewEmisData!J:J, NewEmisData!$A:$A, $G75, NewEmisData!$B:$B, $A75, NewEmisData!$C:$C, $H75, NewEmisData!$D:$D, EF$6)</f>
        <v>7.7190277276734304E-2</v>
      </c>
      <c r="EG75" s="1111">
        <f>SUMIFS(NewEmisData!K:K, NewEmisData!$A:$A, $G75, NewEmisData!$B:$B, $A75, NewEmisData!$C:$C, $H75, NewEmisData!$D:$D, EG$6)</f>
        <v>7.7123926881226601E-2</v>
      </c>
      <c r="EH75" s="1111">
        <f>SUMIFS(NewEmisData!L:L, NewEmisData!$A:$A, $G75, NewEmisData!$B:$B, $A75, NewEmisData!$C:$C, $H75, NewEmisData!$D:$D, EH$6)</f>
        <v>7.7127166689512902E-2</v>
      </c>
      <c r="EI75" s="1111">
        <f>SUMIFS(NewEmisData!M:M, NewEmisData!$A:$A, $G75, NewEmisData!$B:$B, $A75, NewEmisData!$C:$C, $H75, NewEmisData!$D:$D, EI$6)</f>
        <v>7.71279806751477E-2</v>
      </c>
      <c r="EJ75" s="1111">
        <f t="shared" si="128"/>
        <v>7.71279806751477E-2</v>
      </c>
      <c r="EK75" s="1111">
        <f t="shared" si="129"/>
        <v>1490.2976816476501</v>
      </c>
      <c r="EL75" s="1111">
        <f t="shared" si="48"/>
        <v>1490.2976816476501</v>
      </c>
      <c r="EM75" s="1111">
        <f t="shared" si="49"/>
        <v>1626.84882020706</v>
      </c>
      <c r="EN75" s="1111">
        <f t="shared" si="50"/>
        <v>1458.6179661731101</v>
      </c>
      <c r="EO75" s="1111">
        <f t="shared" si="51"/>
        <v>1416.37770823441</v>
      </c>
      <c r="EP75" s="1111">
        <f t="shared" si="52"/>
        <v>1353.32178885294</v>
      </c>
      <c r="EQ75" s="1111">
        <f t="shared" si="53"/>
        <v>1322.46976433435</v>
      </c>
      <c r="ER75" s="1111">
        <f t="shared" si="54"/>
        <v>1318.4113892753701</v>
      </c>
      <c r="ES75" s="1111">
        <f t="shared" si="55"/>
        <v>1317.4103236998201</v>
      </c>
      <c r="ET75" s="1111">
        <f t="shared" si="56"/>
        <v>1317.2762015215601</v>
      </c>
      <c r="EU75" s="1111">
        <f t="shared" si="57"/>
        <v>1317.2762015215601</v>
      </c>
      <c r="EV75" s="1111">
        <f t="shared" si="130"/>
        <v>11.691833793473601</v>
      </c>
      <c r="EW75" s="1111">
        <f t="shared" si="38"/>
        <v>11.691833793473601</v>
      </c>
      <c r="EX75" s="1111">
        <f t="shared" si="39"/>
        <v>5.3676771149688802</v>
      </c>
      <c r="EY75" s="1111">
        <f t="shared" si="40"/>
        <v>3.6137202505642398</v>
      </c>
      <c r="EZ75" s="1111">
        <f t="shared" si="41"/>
        <v>1.93222611085197</v>
      </c>
      <c r="FA75" s="1111">
        <f t="shared" si="42"/>
        <v>1.2904635466224801</v>
      </c>
      <c r="FB75" s="1111">
        <f t="shared" si="43"/>
        <v>1.20804258245566</v>
      </c>
      <c r="FC75" s="1111">
        <f t="shared" si="44"/>
        <v>1.1760366424397</v>
      </c>
      <c r="FD75" s="1111">
        <f t="shared" si="45"/>
        <v>1.1748287303099401</v>
      </c>
      <c r="FE75" s="1111">
        <f t="shared" si="46"/>
        <v>1.17443815932545</v>
      </c>
      <c r="FF75" s="1111">
        <f t="shared" si="47"/>
        <v>1.17443815932545</v>
      </c>
      <c r="FG75" s="1111">
        <f t="shared" si="100"/>
        <v>3.6717879284551301E-2</v>
      </c>
      <c r="FH75" s="1111">
        <f t="shared" si="101"/>
        <v>3.6717879284551301E-2</v>
      </c>
      <c r="FI75" s="1111">
        <f t="shared" si="102"/>
        <v>3.9098355675890401E-2</v>
      </c>
      <c r="FJ75" s="1111">
        <f t="shared" si="103"/>
        <v>1.2334311567984301E-2</v>
      </c>
      <c r="FK75" s="1111">
        <f t="shared" si="104"/>
        <v>1.1840116163087199E-2</v>
      </c>
      <c r="FL75" s="1111">
        <f t="shared" si="105"/>
        <v>1.12892010251304E-2</v>
      </c>
      <c r="FM75" s="1111">
        <f t="shared" si="106"/>
        <v>1.10267582574557E-2</v>
      </c>
      <c r="FN75" s="1111">
        <f t="shared" si="107"/>
        <v>1.0991760238511099E-2</v>
      </c>
      <c r="FO75" s="1111">
        <f t="shared" si="108"/>
        <v>1.09834074162082E-2</v>
      </c>
      <c r="FP75" s="1111">
        <f t="shared" si="109"/>
        <v>1.09822886490272E-2</v>
      </c>
      <c r="FQ75" s="1111">
        <f t="shared" si="110"/>
        <v>1.09822886490272E-2</v>
      </c>
      <c r="FR75" s="1111">
        <f t="shared" si="25"/>
        <v>1.1044131831227499</v>
      </c>
      <c r="FS75" s="1111">
        <f t="shared" si="26"/>
        <v>1.1044131831227499</v>
      </c>
      <c r="FT75" s="1111">
        <f t="shared" si="27"/>
        <v>0.69596448890826201</v>
      </c>
      <c r="FU75" s="1111">
        <f t="shared" si="28"/>
        <v>0.41688561176651601</v>
      </c>
      <c r="FV75" s="1111">
        <f t="shared" si="29"/>
        <v>0.29523682935823298</v>
      </c>
      <c r="FW75" s="1111">
        <f t="shared" si="30"/>
        <v>0.26722857671539402</v>
      </c>
      <c r="FX75" s="1111">
        <f t="shared" si="31"/>
        <v>0.259356859155779</v>
      </c>
      <c r="FY75" s="1111">
        <f t="shared" si="32"/>
        <v>0.25811596391799502</v>
      </c>
      <c r="FZ75" s="1111">
        <f t="shared" si="33"/>
        <v>0.25800802926334099</v>
      </c>
      <c r="GA75" s="1111">
        <f t="shared" si="34"/>
        <v>0.258000316903299</v>
      </c>
      <c r="GB75" s="1111">
        <f t="shared" si="35"/>
        <v>0.258000316903299</v>
      </c>
      <c r="GC75" s="1111">
        <f t="shared" si="59"/>
        <v>0.80515128163926197</v>
      </c>
      <c r="GD75" s="1111">
        <f t="shared" si="60"/>
        <v>0.80515128163926197</v>
      </c>
      <c r="GE75" s="1111">
        <f t="shared" si="61"/>
        <v>0.40385030676064299</v>
      </c>
      <c r="GF75" s="1111">
        <f t="shared" si="62"/>
        <v>0.191914712359671</v>
      </c>
      <c r="GG75" s="1111">
        <f t="shared" si="63"/>
        <v>7.9817965863261897E-2</v>
      </c>
      <c r="GH75" s="1111">
        <f t="shared" si="64"/>
        <v>5.8587138047291203E-2</v>
      </c>
      <c r="GI75" s="1111">
        <f t="shared" si="65"/>
        <v>5.3925401266024603E-2</v>
      </c>
      <c r="GJ75" s="1111">
        <f t="shared" si="66"/>
        <v>5.3085681499215498E-2</v>
      </c>
      <c r="GK75" s="1111">
        <f t="shared" si="67"/>
        <v>5.3060223447352402E-2</v>
      </c>
      <c r="GL75" s="1111">
        <f t="shared" si="68"/>
        <v>5.30583578225301E-2</v>
      </c>
      <c r="GM75" s="1111">
        <f t="shared" si="69"/>
        <v>5.30583578225301E-2</v>
      </c>
    </row>
    <row r="76" spans="1:195" x14ac:dyDescent="0.2">
      <c r="A76" s="1071" t="s">
        <v>190</v>
      </c>
      <c r="B76" s="1071" t="str">
        <f>NewTech!B17</f>
        <v>TBDSLC10</v>
      </c>
      <c r="C76" s="1071" t="str">
        <f>NewTech!C17</f>
        <v>Bus, Conventional Diesel, 2010</v>
      </c>
      <c r="D76" s="1071" t="str">
        <f>NewTech!D17</f>
        <v>bn-vmt, bn-vmt/a</v>
      </c>
      <c r="E76" s="1071" t="str">
        <f>NewTech!E17</f>
        <v>TBDSL</v>
      </c>
      <c r="F76" s="1071" t="str">
        <f>NewTech!F17</f>
        <v>TB</v>
      </c>
      <c r="G76" s="1110" t="s">
        <v>498</v>
      </c>
      <c r="H76" s="1110" t="s">
        <v>499</v>
      </c>
      <c r="I76" s="1112">
        <v>1</v>
      </c>
      <c r="J76" s="1111" t="str">
        <f t="shared" si="37"/>
        <v>Bus-DSL</v>
      </c>
      <c r="K76" s="1111">
        <f>SUMIFS(NewEmisData!E:E, NewEmisData!$A:$A, $G76, NewEmisData!$B:$B, $A76, NewEmisData!$C:$C, $H76, NewEmisData!$D:$D, K$6)</f>
        <v>1790.56535119264</v>
      </c>
      <c r="L76" s="1111">
        <f>SUMIFS(NewEmisData!F:F, NewEmisData!$A:$A, $G76, NewEmisData!$B:$B, $A76, NewEmisData!$C:$C, $H76, NewEmisData!$D:$D, L$6)</f>
        <v>1706.0851984819999</v>
      </c>
      <c r="M76" s="1111">
        <f>SUMIFS(NewEmisData!G:G, NewEmisData!$A:$A, $G76, NewEmisData!$B:$B, $A76, NewEmisData!$C:$C, $H76, NewEmisData!$D:$D, M$6)</f>
        <v>1916.4119570956</v>
      </c>
      <c r="N76" s="1111">
        <f>SUMIFS(NewEmisData!H:H, NewEmisData!$A:$A, $G76, NewEmisData!$B:$B, $A76, NewEmisData!$C:$C, $H76, NewEmisData!$D:$D, N$6)</f>
        <v>1866.18041191016</v>
      </c>
      <c r="O76" s="1111">
        <f>SUMIFS(NewEmisData!I:I, NewEmisData!$A:$A, $G76, NewEmisData!$B:$B, $A76, NewEmisData!$C:$C, $H76, NewEmisData!$D:$D, O$6)</f>
        <v>1811.71928124037</v>
      </c>
      <c r="P76" s="1111">
        <f>SUMIFS(NewEmisData!J:J, NewEmisData!$A:$A, $G76, NewEmisData!$B:$B, $A76, NewEmisData!$C:$C, $H76, NewEmisData!$D:$D, P$6)</f>
        <v>1782.46239941771</v>
      </c>
      <c r="Q76" s="1111">
        <f>SUMIFS(NewEmisData!K:K, NewEmisData!$A:$A, $G76, NewEmisData!$B:$B, $A76, NewEmisData!$C:$C, $H76, NewEmisData!$D:$D, Q$6)</f>
        <v>1777.87090074862</v>
      </c>
      <c r="R76" s="1111">
        <f>SUMIFS(NewEmisData!L:L, NewEmisData!$A:$A, $G76, NewEmisData!$B:$B, $A76, NewEmisData!$C:$C, $H76, NewEmisData!$D:$D, R$6)</f>
        <v>1776.69085043776</v>
      </c>
      <c r="S76" s="1111">
        <f>SUMIFS(NewEmisData!M:M, NewEmisData!$A:$A, $G76, NewEmisData!$B:$B, $A76, NewEmisData!$C:$C, $H76, NewEmisData!$D:$D, S$6)</f>
        <v>1776.5151337741499</v>
      </c>
      <c r="T76" s="1111">
        <f t="shared" si="17"/>
        <v>1776.5151337741499</v>
      </c>
      <c r="U76" s="1111">
        <f>SUMIFS(NewEmisData!E:E, NewEmisData!$A:$A, $G76, NewEmisData!$B:$B, $A76, NewEmisData!$C:$C, $H76, NewEmisData!$D:$D, U$6)</f>
        <v>16.722091046014601</v>
      </c>
      <c r="V76" s="1111">
        <f>SUMIFS(NewEmisData!F:F, NewEmisData!$A:$A, $G76, NewEmisData!$B:$B, $A76, NewEmisData!$C:$C, $H76, NewEmisData!$D:$D, V$6)</f>
        <v>9.0752835435872505</v>
      </c>
      <c r="W76" s="1111">
        <f>SUMIFS(NewEmisData!G:G, NewEmisData!$A:$A, $G76, NewEmisData!$B:$B, $A76, NewEmisData!$C:$C, $H76, NewEmisData!$D:$D, W$6)</f>
        <v>4.5245768386744603</v>
      </c>
      <c r="X76" s="1111">
        <f>SUMIFS(NewEmisData!H:H, NewEmisData!$A:$A, $G76, NewEmisData!$B:$B, $A76, NewEmisData!$C:$C, $H76, NewEmisData!$D:$D, X$6)</f>
        <v>2.5948057206972099</v>
      </c>
      <c r="Y76" s="1111">
        <f>SUMIFS(NewEmisData!I:I, NewEmisData!$A:$A, $G76, NewEmisData!$B:$B, $A76, NewEmisData!$C:$C, $H76, NewEmisData!$D:$D, Y$6)</f>
        <v>1.7233209257637201</v>
      </c>
      <c r="Z76" s="1111">
        <f>SUMIFS(NewEmisData!J:J, NewEmisData!$A:$A, $G76, NewEmisData!$B:$B, $A76, NewEmisData!$C:$C, $H76, NewEmisData!$D:$D, Z$6)</f>
        <v>1.5952418098202701</v>
      </c>
      <c r="AA76" s="1111">
        <f>SUMIFS(NewEmisData!K:K, NewEmisData!$A:$A, $G76, NewEmisData!$B:$B, $A76, NewEmisData!$C:$C, $H76, NewEmisData!$D:$D, AA$6)</f>
        <v>1.5343950737018299</v>
      </c>
      <c r="AB76" s="1111">
        <f>SUMIFS(NewEmisData!L:L, NewEmisData!$A:$A, $G76, NewEmisData!$B:$B, $A76, NewEmisData!$C:$C, $H76, NewEmisData!$D:$D, AB$6)</f>
        <v>1.53213591619592</v>
      </c>
      <c r="AC76" s="1111">
        <f>SUMIFS(NewEmisData!M:M, NewEmisData!$A:$A, $G76, NewEmisData!$B:$B, $A76, NewEmisData!$C:$C, $H76, NewEmisData!$D:$D, AC$6)</f>
        <v>1.5313515267339699</v>
      </c>
      <c r="AD76" s="1111">
        <f t="shared" si="18"/>
        <v>1.5313515267339699</v>
      </c>
      <c r="AE76" s="1111">
        <f t="shared" si="113"/>
        <v>4.4119301126388497E-2</v>
      </c>
      <c r="AF76" s="1111">
        <f>SUMIFS(NewEmisData!E:E, NewEmisData!$A:$A, $G76, NewEmisData!$B:$B, $A76, NewEmisData!$C:$C, $H76, NewEmisData!$D:$D, AF$6)</f>
        <v>4.4119301126388497E-2</v>
      </c>
      <c r="AG76" s="1111">
        <f>SUMIFS(NewEmisData!F:F, NewEmisData!$A:$A, $G76, NewEmisData!$B:$B, $A76, NewEmisData!$C:$C, $H76, NewEmisData!$D:$D, AG$6)</f>
        <v>4.1262348975755703E-2</v>
      </c>
      <c r="AH76" s="1111">
        <f>SUMIFS(NewEmisData!G:G, NewEmisData!$A:$A, $G76, NewEmisData!$B:$B, $A76, NewEmisData!$C:$C, $H76, NewEmisData!$D:$D, AH$6)</f>
        <v>1.6180608348462199E-2</v>
      </c>
      <c r="AI76" s="1111">
        <f>SUMIFS(NewEmisData!H:H, NewEmisData!$A:$A, $G76, NewEmisData!$B:$B, $A76, NewEmisData!$C:$C, $H76, NewEmisData!$D:$D, AI$6)</f>
        <v>1.5603448697606799E-2</v>
      </c>
      <c r="AJ76" s="1111">
        <f>SUMIFS(NewEmisData!I:I, NewEmisData!$A:$A, $G76, NewEmisData!$B:$B, $A76, NewEmisData!$C:$C, $H76, NewEmisData!$D:$D, AJ$6)</f>
        <v>1.51144360777349E-2</v>
      </c>
      <c r="AK76" s="1111">
        <f>SUMIFS(NewEmisData!J:J, NewEmisData!$A:$A, $G76, NewEmisData!$B:$B, $A76, NewEmisData!$C:$C, $H76, NewEmisData!$D:$D, AK$6)</f>
        <v>1.48632492208765E-2</v>
      </c>
      <c r="AL76" s="1111">
        <f>SUMIFS(NewEmisData!K:K, NewEmisData!$A:$A, $G76, NewEmisData!$B:$B, $A76, NewEmisData!$C:$C, $H76, NewEmisData!$D:$D, AL$6)</f>
        <v>1.48223265055839E-2</v>
      </c>
      <c r="AM76" s="1111">
        <f>SUMIFS(NewEmisData!L:L, NewEmisData!$A:$A, $G76, NewEmisData!$B:$B, $A76, NewEmisData!$C:$C, $H76, NewEmisData!$D:$D, AM$6)</f>
        <v>1.4812489715302499E-2</v>
      </c>
      <c r="AN76" s="1111">
        <f>SUMIFS(NewEmisData!M:M, NewEmisData!$A:$A, $G76, NewEmisData!$B:$B, $A76, NewEmisData!$C:$C, $H76, NewEmisData!$D:$D, AN$6)</f>
        <v>1.4811022783827199E-2</v>
      </c>
      <c r="AO76" s="1111">
        <f t="shared" si="114"/>
        <v>1.4811022783827199E-2</v>
      </c>
      <c r="AP76" s="1111">
        <f t="shared" si="115"/>
        <v>1.28818009730681</v>
      </c>
      <c r="AQ76" s="1111">
        <f>SUMIFS(NewEmisData!E:E, NewEmisData!$A:$A, $G76, NewEmisData!$B:$B, $A76, NewEmisData!$C:$C, $H76, NewEmisData!$D:$D, AQ$6)</f>
        <v>1.28818009730681</v>
      </c>
      <c r="AR76" s="1111">
        <f>SUMIFS(NewEmisData!F:F, NewEmisData!$A:$A, $G76, NewEmisData!$B:$B, $A76, NewEmisData!$C:$C, $H76, NewEmisData!$D:$D, AR$6)</f>
        <v>0.82680779710365904</v>
      </c>
      <c r="AS76" s="1111">
        <f>SUMIFS(NewEmisData!G:G, NewEmisData!$A:$A, $G76, NewEmisData!$B:$B, $A76, NewEmisData!$C:$C, $H76, NewEmisData!$D:$D, AS$6)</f>
        <v>0.60179805225314997</v>
      </c>
      <c r="AT76" s="1111">
        <f>SUMIFS(NewEmisData!H:H, NewEmisData!$A:$A, $G76, NewEmisData!$B:$B, $A76, NewEmisData!$C:$C, $H76, NewEmisData!$D:$D, AT$6)</f>
        <v>0.46595581954183302</v>
      </c>
      <c r="AU76" s="1111">
        <f>SUMIFS(NewEmisData!I:I, NewEmisData!$A:$A, $G76, NewEmisData!$B:$B, $A76, NewEmisData!$C:$C, $H76, NewEmisData!$D:$D, AU$6)</f>
        <v>0.42951735045103701</v>
      </c>
      <c r="AV76" s="1111">
        <f>SUMIFS(NewEmisData!J:J, NewEmisData!$A:$A, $G76, NewEmisData!$B:$B, $A76, NewEmisData!$C:$C, $H76, NewEmisData!$D:$D, AV$6)</f>
        <v>0.41980468763527201</v>
      </c>
      <c r="AW76" s="1111">
        <f>SUMIFS(NewEmisData!K:K, NewEmisData!$A:$A, $G76, NewEmisData!$B:$B, $A76, NewEmisData!$C:$C, $H76, NewEmisData!$D:$D, AW$6)</f>
        <v>0.41759644007116198</v>
      </c>
      <c r="AX76" s="1111">
        <f>SUMIFS(NewEmisData!L:L, NewEmisData!$A:$A, $G76, NewEmisData!$B:$B, $A76, NewEmisData!$C:$C, $H76, NewEmisData!$D:$D, AX$6)</f>
        <v>0.41747064951560697</v>
      </c>
      <c r="AY76" s="1111">
        <f>SUMIFS(NewEmisData!M:M, NewEmisData!$A:$A, $G76, NewEmisData!$B:$B, $A76, NewEmisData!$C:$C, $H76, NewEmisData!$D:$D, AY$6)</f>
        <v>0.41748018000731701</v>
      </c>
      <c r="AZ76" s="1111">
        <f t="shared" si="116"/>
        <v>0.41748018000731701</v>
      </c>
      <c r="BA76" s="1111">
        <f t="shared" si="117"/>
        <v>0.93126594217890002</v>
      </c>
      <c r="BB76" s="1111">
        <f>SUMIFS(NewEmisData!E:E, NewEmisData!$A:$A, $G76, NewEmisData!$B:$B, $A76, NewEmisData!$C:$C, $H76, NewEmisData!$D:$D, BB$6)</f>
        <v>0.93126594217890002</v>
      </c>
      <c r="BC76" s="1111">
        <f>SUMIFS(NewEmisData!F:F, NewEmisData!$A:$A, $G76, NewEmisData!$B:$B, $A76, NewEmisData!$C:$C, $H76, NewEmisData!$D:$D, BC$6)</f>
        <v>0.51703307471742999</v>
      </c>
      <c r="BD76" s="1111">
        <f>SUMIFS(NewEmisData!G:G, NewEmisData!$A:$A, $G76, NewEmisData!$B:$B, $A76, NewEmisData!$C:$C, $H76, NewEmisData!$D:$D, BD$6)</f>
        <v>0.24432975283286401</v>
      </c>
      <c r="BE76" s="1111">
        <f>SUMIFS(NewEmisData!H:H, NewEmisData!$A:$A, $G76, NewEmisData!$B:$B, $A76, NewEmisData!$C:$C, $H76, NewEmisData!$D:$D, BE$6)</f>
        <v>0.11886455572614001</v>
      </c>
      <c r="BF76" s="1111">
        <f>SUMIFS(NewEmisData!I:I, NewEmisData!$A:$A, $G76, NewEmisData!$B:$B, $A76, NewEmisData!$C:$C, $H76, NewEmisData!$D:$D, BF$6)</f>
        <v>8.9573048763309293E-2</v>
      </c>
      <c r="BG76" s="1111">
        <f>SUMIFS(NewEmisData!J:J, NewEmisData!$A:$A, $G76, NewEmisData!$B:$B, $A76, NewEmisData!$C:$C, $H76, NewEmisData!$D:$D, BG$6)</f>
        <v>8.3197971818451094E-2</v>
      </c>
      <c r="BH76" s="1111">
        <f>SUMIFS(NewEmisData!K:K, NewEmisData!$A:$A, $G76, NewEmisData!$B:$B, $A76, NewEmisData!$C:$C, $H76, NewEmisData!$D:$D, BH$6)</f>
        <v>8.15020489665223E-2</v>
      </c>
      <c r="BI76" s="1111">
        <f>SUMIFS(NewEmisData!L:L, NewEmisData!$A:$A, $G76, NewEmisData!$B:$B, $A76, NewEmisData!$C:$C, $H76, NewEmisData!$D:$D, BI$6)</f>
        <v>8.1467138980072906E-2</v>
      </c>
      <c r="BJ76" s="1111">
        <f>SUMIFS(NewEmisData!M:M, NewEmisData!$A:$A, $G76, NewEmisData!$B:$B, $A76, NewEmisData!$C:$C, $H76, NewEmisData!$D:$D, BJ$6)</f>
        <v>8.1466979548160803E-2</v>
      </c>
      <c r="BK76" s="1111">
        <f t="shared" si="118"/>
        <v>8.1466979548160803E-2</v>
      </c>
      <c r="BL76" s="1111">
        <f t="shared" si="119"/>
        <v>4.9983132073964702</v>
      </c>
      <c r="BM76" s="1111">
        <f>SUMIFS(NewEmisData!E:E, NewEmisData!$A:$A, $G76, NewEmisData!$B:$B, $A76, NewEmisData!$C:$C, $H76, NewEmisData!$D:$D, BM$6)</f>
        <v>4.9983132073964702</v>
      </c>
      <c r="BN76" s="1111">
        <f>SUMIFS(NewEmisData!F:F, NewEmisData!$A:$A, $G76, NewEmisData!$B:$B, $A76, NewEmisData!$C:$C, $H76, NewEmisData!$D:$D, BN$6)</f>
        <v>3.3127673342487598</v>
      </c>
      <c r="BO76" s="1111">
        <f>SUMIFS(NewEmisData!G:G, NewEmisData!$A:$A, $G76, NewEmisData!$B:$B, $A76, NewEmisData!$C:$C, $H76, NewEmisData!$D:$D, BO$6)</f>
        <v>1.60960521526057</v>
      </c>
      <c r="BP76" s="1111">
        <f>SUMIFS(NewEmisData!H:H, NewEmisData!$A:$A, $G76, NewEmisData!$B:$B, $A76, NewEmisData!$C:$C, $H76, NewEmisData!$D:$D, BP$6)</f>
        <v>0.894212041026479</v>
      </c>
      <c r="BQ76" s="1111">
        <f>SUMIFS(NewEmisData!I:I, NewEmisData!$A:$A, $G76, NewEmisData!$B:$B, $A76, NewEmisData!$C:$C, $H76, NewEmisData!$D:$D, BQ$6)</f>
        <v>0.75145962562216695</v>
      </c>
      <c r="BR76" s="1111">
        <f>SUMIFS(NewEmisData!J:J, NewEmisData!$A:$A, $G76, NewEmisData!$B:$B, $A76, NewEmisData!$C:$C, $H76, NewEmisData!$D:$D, BR$6)</f>
        <v>0.72015406798909798</v>
      </c>
      <c r="BS76" s="1111">
        <f>SUMIFS(NewEmisData!K:K, NewEmisData!$A:$A, $G76, NewEmisData!$B:$B, $A76, NewEmisData!$C:$C, $H76, NewEmisData!$D:$D, BS$6)</f>
        <v>0.710754907060967</v>
      </c>
      <c r="BT76" s="1111">
        <f>SUMIFS(NewEmisData!L:L, NewEmisData!$A:$A, $G76, NewEmisData!$B:$B, $A76, NewEmisData!$C:$C, $H76, NewEmisData!$D:$D, BT$6)</f>
        <v>0.71094846275188905</v>
      </c>
      <c r="BU76" s="1111">
        <f>SUMIFS(NewEmisData!M:M, NewEmisData!$A:$A, $G76, NewEmisData!$B:$B, $A76, NewEmisData!$C:$C, $H76, NewEmisData!$D:$D, BU$6)</f>
        <v>0.71093129266241195</v>
      </c>
      <c r="BV76" s="1111">
        <f t="shared" si="120"/>
        <v>0.71093129266241195</v>
      </c>
      <c r="BW76" s="1111">
        <f t="shared" si="121"/>
        <v>1.2734247511090699</v>
      </c>
      <c r="BX76" s="1111">
        <f>SUMIFS(NewEmisData!E:E, NewEmisData!$A:$A, $G76, NewEmisData!$B:$B, $A76, NewEmisData!$C:$C, $H76, NewEmisData!$D:$D, BX$6)</f>
        <v>1.2734247511090699</v>
      </c>
      <c r="BY76" s="1111">
        <f>SUMIFS(NewEmisData!F:F, NewEmisData!$A:$A, $G76, NewEmisData!$B:$B, $A76, NewEmisData!$C:$C, $H76, NewEmisData!$D:$D, BY$6)</f>
        <v>0.85962926200607204</v>
      </c>
      <c r="BZ76" s="1111">
        <f>SUMIFS(NewEmisData!G:G, NewEmisData!$A:$A, $G76, NewEmisData!$B:$B, $A76, NewEmisData!$C:$C, $H76, NewEmisData!$D:$D, BZ$6)</f>
        <v>0.40893411947898201</v>
      </c>
      <c r="CA76" s="1111">
        <f>SUMIFS(NewEmisData!H:H, NewEmisData!$A:$A, $G76, NewEmisData!$B:$B, $A76, NewEmisData!$C:$C, $H76, NewEmisData!$D:$D, CA$6)</f>
        <v>0.18002819141014001</v>
      </c>
      <c r="CB76" s="1111">
        <f>SUMIFS(NewEmisData!I:I, NewEmisData!$A:$A, $G76, NewEmisData!$B:$B, $A76, NewEmisData!$C:$C, $H76, NewEmisData!$D:$D, CB$6)</f>
        <v>0.13027199977422399</v>
      </c>
      <c r="CC76" s="1111">
        <f>SUMIFS(NewEmisData!J:J, NewEmisData!$A:$A, $G76, NewEmisData!$B:$B, $A76, NewEmisData!$C:$C, $H76, NewEmisData!$D:$D, CC$6)</f>
        <v>0.11933161730892</v>
      </c>
      <c r="CD76" s="1111">
        <f>SUMIFS(NewEmisData!K:K, NewEmisData!$A:$A, $G76, NewEmisData!$B:$B, $A76, NewEmisData!$C:$C, $H76, NewEmisData!$D:$D, CD$6)</f>
        <v>0.115736737885468</v>
      </c>
      <c r="CE76" s="1111">
        <f>SUMIFS(NewEmisData!L:L, NewEmisData!$A:$A, $G76, NewEmisData!$B:$B, $A76, NewEmisData!$C:$C, $H76, NewEmisData!$D:$D, CE$6)</f>
        <v>0.11570899631981101</v>
      </c>
      <c r="CF76" s="1111">
        <f>SUMIFS(NewEmisData!M:M, NewEmisData!$A:$A, $G76, NewEmisData!$B:$B, $A76, NewEmisData!$C:$C, $H76, NewEmisData!$D:$D, CF$6)</f>
        <v>0.115706029517275</v>
      </c>
      <c r="CG76" s="1111">
        <f t="shared" si="122"/>
        <v>0.115706029517275</v>
      </c>
      <c r="CH76" s="1111">
        <f t="shared" si="123"/>
        <v>2.7041321564936001E-2</v>
      </c>
      <c r="CI76" s="1111">
        <f>SUMIFS(NewEmisData!E:E, NewEmisData!$A:$A, $G76, NewEmisData!$B:$B, $A76, NewEmisData!$C:$C, $H76, NewEmisData!$D:$D, CI$6)</f>
        <v>2.7041321564936001E-2</v>
      </c>
      <c r="CJ76" s="1111">
        <f>SUMIFS(NewEmisData!F:F, NewEmisData!$A:$A, $G76, NewEmisData!$B:$B, $A76, NewEmisData!$C:$C, $H76, NewEmisData!$D:$D, CJ$6)</f>
        <v>2.68548734432397E-2</v>
      </c>
      <c r="CK76" s="1111">
        <f>SUMIFS(NewEmisData!G:G, NewEmisData!$A:$A, $G76, NewEmisData!$B:$B, $A76, NewEmisData!$C:$C, $H76, NewEmisData!$D:$D, CK$6)</f>
        <v>3.1678107064147802E-2</v>
      </c>
      <c r="CL76" s="1111">
        <f>SUMIFS(NewEmisData!H:H, NewEmisData!$A:$A, $G76, NewEmisData!$B:$B, $A76, NewEmisData!$C:$C, $H76, NewEmisData!$D:$D, CL$6)</f>
        <v>3.16916643909044E-2</v>
      </c>
      <c r="CM76" s="1111">
        <f>SUMIFS(NewEmisData!I:I, NewEmisData!$A:$A, $G76, NewEmisData!$B:$B, $A76, NewEmisData!$C:$C, $H76, NewEmisData!$D:$D, CM$6)</f>
        <v>3.16017171085268E-2</v>
      </c>
      <c r="CN76" s="1111">
        <f>SUMIFS(NewEmisData!J:J, NewEmisData!$A:$A, $G76, NewEmisData!$B:$B, $A76, NewEmisData!$C:$C, $H76, NewEmisData!$D:$D, CN$6)</f>
        <v>3.1547836778164702E-2</v>
      </c>
      <c r="CO76" s="1111">
        <f>SUMIFS(NewEmisData!K:K, NewEmisData!$A:$A, $G76, NewEmisData!$B:$B, $A76, NewEmisData!$C:$C, $H76, NewEmisData!$D:$D, CO$6)</f>
        <v>3.1540538757987402E-2</v>
      </c>
      <c r="CP76" s="1111">
        <f>SUMIFS(NewEmisData!L:L, NewEmisData!$A:$A, $G76, NewEmisData!$B:$B, $A76, NewEmisData!$C:$C, $H76, NewEmisData!$D:$D, CP$6)</f>
        <v>3.1538787124503802E-2</v>
      </c>
      <c r="CQ76" s="1111">
        <f>SUMIFS(NewEmisData!M:M, NewEmisData!$A:$A, $G76, NewEmisData!$B:$B, $A76, NewEmisData!$C:$C, $H76, NewEmisData!$D:$D, CQ$6)</f>
        <v>3.1539113108823097E-2</v>
      </c>
      <c r="CR76" s="1111">
        <f t="shared" si="124"/>
        <v>3.1539113108823097E-2</v>
      </c>
      <c r="CS76" s="1111">
        <f t="shared" si="125"/>
        <v>3.8053813200333601E-3</v>
      </c>
      <c r="CT76" s="1111">
        <f>SUMIFS(NewEmisData!E:E, NewEmisData!$A:$A, $G76, NewEmisData!$B:$B, $A76, NewEmisData!$C:$C, $H76, NewEmisData!$D:$D, CT$6)</f>
        <v>3.8053813200333601E-3</v>
      </c>
      <c r="CU76" s="1111">
        <f>SUMIFS(NewEmisData!F:F, NewEmisData!$A:$A, $G76, NewEmisData!$B:$B, $A76, NewEmisData!$C:$C, $H76, NewEmisData!$D:$D, CU$6)</f>
        <v>3.8816671778757802E-3</v>
      </c>
      <c r="CV76" s="1111">
        <f>SUMIFS(NewEmisData!G:G, NewEmisData!$A:$A, $G76, NewEmisData!$B:$B, $A76, NewEmisData!$C:$C, $H76, NewEmisData!$D:$D, CV$6)</f>
        <v>4.8845093825486303E-3</v>
      </c>
      <c r="CW76" s="1111">
        <f>SUMIFS(NewEmisData!H:H, NewEmisData!$A:$A, $G76, NewEmisData!$B:$B, $A76, NewEmisData!$C:$C, $H76, NewEmisData!$D:$D, CW$6)</f>
        <v>4.8845901221928898E-3</v>
      </c>
      <c r="CX76" s="1111">
        <f>SUMIFS(NewEmisData!I:I, NewEmisData!$A:$A, $G76, NewEmisData!$B:$B, $A76, NewEmisData!$C:$C, $H76, NewEmisData!$D:$D, CX$6)</f>
        <v>4.8982998611774697E-3</v>
      </c>
      <c r="CY76" s="1111">
        <f>SUMIFS(NewEmisData!J:J, NewEmisData!$A:$A, $G76, NewEmisData!$B:$B, $A76, NewEmisData!$C:$C, $H76, NewEmisData!$D:$D, CY$6)</f>
        <v>4.9066620573488097E-3</v>
      </c>
      <c r="CZ76" s="1111">
        <f>SUMIFS(NewEmisData!K:K, NewEmisData!$A:$A, $G76, NewEmisData!$B:$B, $A76, NewEmisData!$C:$C, $H76, NewEmisData!$D:$D, CZ$6)</f>
        <v>4.90771522630959E-3</v>
      </c>
      <c r="DA76" s="1111">
        <f>SUMIFS(NewEmisData!L:L, NewEmisData!$A:$A, $G76, NewEmisData!$B:$B, $A76, NewEmisData!$C:$C, $H76, NewEmisData!$D:$D, DA$6)</f>
        <v>4.90797605756731E-3</v>
      </c>
      <c r="DB76" s="1111">
        <f>SUMIFS(NewEmisData!M:M, NewEmisData!$A:$A, $G76, NewEmisData!$B:$B, $A76, NewEmisData!$C:$C, $H76, NewEmisData!$D:$D, DB$6)</f>
        <v>4.9079610813754703E-3</v>
      </c>
      <c r="DC76" s="1111">
        <f t="shared" si="126"/>
        <v>4.9079610813754703E-3</v>
      </c>
      <c r="DD76" s="1111"/>
      <c r="DE76" s="1111"/>
      <c r="DF76" s="1111"/>
      <c r="DG76" s="1111"/>
      <c r="DH76" s="1111"/>
      <c r="DI76" s="1111"/>
      <c r="DJ76" s="1111"/>
      <c r="DK76" s="1111"/>
      <c r="DL76" s="1111"/>
      <c r="DM76" s="1111"/>
      <c r="DN76" s="1111"/>
      <c r="DO76" s="1111"/>
      <c r="DP76" s="1111"/>
      <c r="DQ76" s="1111"/>
      <c r="DR76" s="1111"/>
      <c r="DS76" s="1111"/>
      <c r="DT76" s="1111"/>
      <c r="DU76" s="1111"/>
      <c r="DV76" s="1111"/>
      <c r="DW76" s="1111"/>
      <c r="DX76" s="1111"/>
      <c r="DY76" s="1111"/>
      <c r="DZ76" s="1111">
        <f t="shared" si="127"/>
        <v>2.3788532853898401E-2</v>
      </c>
      <c r="EA76" s="1111">
        <f>SUMIFS(NewEmisData!E:E, NewEmisData!$A:$A, $G76, NewEmisData!$B:$B, $A76, NewEmisData!$C:$C, $H76, NewEmisData!$D:$D, EA$6)</f>
        <v>2.3788532853898401E-2</v>
      </c>
      <c r="EB76" s="1111">
        <f>SUMIFS(NewEmisData!F:F, NewEmisData!$A:$A, $G76, NewEmisData!$B:$B, $A76, NewEmisData!$C:$C, $H76, NewEmisData!$D:$D, EB$6)</f>
        <v>5.06232638400895E-2</v>
      </c>
      <c r="EC76" s="1111">
        <f>SUMIFS(NewEmisData!G:G, NewEmisData!$A:$A, $G76, NewEmisData!$B:$B, $A76, NewEmisData!$C:$C, $H76, NewEmisData!$D:$D, EC$6)</f>
        <v>8.7009713960661303E-2</v>
      </c>
      <c r="ED76" s="1111">
        <f>SUMIFS(NewEmisData!H:H, NewEmisData!$A:$A, $G76, NewEmisData!$B:$B, $A76, NewEmisData!$C:$C, $H76, NewEmisData!$D:$D, ED$6)</f>
        <v>9.5942830597456105E-2</v>
      </c>
      <c r="EE76" s="1111">
        <f>SUMIFS(NewEmisData!I:I, NewEmisData!$A:$A, $G76, NewEmisData!$B:$B, $A76, NewEmisData!$C:$C, $H76, NewEmisData!$D:$D, EE$6)</f>
        <v>9.3344720302396503E-2</v>
      </c>
      <c r="EF76" s="1111">
        <f>SUMIFS(NewEmisData!J:J, NewEmisData!$A:$A, $G76, NewEmisData!$B:$B, $A76, NewEmisData!$C:$C, $H76, NewEmisData!$D:$D, EF$6)</f>
        <v>9.3797490813894005E-2</v>
      </c>
      <c r="EG76" s="1111">
        <f>SUMIFS(NewEmisData!K:K, NewEmisData!$A:$A, $G76, NewEmisData!$B:$B, $A76, NewEmisData!$C:$C, $H76, NewEmisData!$D:$D, EG$6)</f>
        <v>9.3753547263910497E-2</v>
      </c>
      <c r="EH76" s="1111">
        <f>SUMIFS(NewEmisData!L:L, NewEmisData!$A:$A, $G76, NewEmisData!$B:$B, $A76, NewEmisData!$C:$C, $H76, NewEmisData!$D:$D, EH$6)</f>
        <v>9.3744088393244801E-2</v>
      </c>
      <c r="EI76" s="1111">
        <f>SUMIFS(NewEmisData!M:M, NewEmisData!$A:$A, $G76, NewEmisData!$B:$B, $A76, NewEmisData!$C:$C, $H76, NewEmisData!$D:$D, EI$6)</f>
        <v>9.3743919124561703E-2</v>
      </c>
      <c r="EJ76" s="1111">
        <f t="shared" si="128"/>
        <v>9.3743919124561703E-2</v>
      </c>
      <c r="EK76" s="1111">
        <f t="shared" si="129"/>
        <v>1790.56535119264</v>
      </c>
      <c r="EL76" s="1111">
        <f t="shared" si="48"/>
        <v>1790.56535119264</v>
      </c>
      <c r="EM76" s="1111">
        <f t="shared" si="49"/>
        <v>1706.0851984819999</v>
      </c>
      <c r="EN76" s="1111">
        <f t="shared" si="50"/>
        <v>1916.4119570956</v>
      </c>
      <c r="EO76" s="1111">
        <f t="shared" si="51"/>
        <v>1866.18041191016</v>
      </c>
      <c r="EP76" s="1111">
        <f t="shared" si="52"/>
        <v>1811.71928124037</v>
      </c>
      <c r="EQ76" s="1111">
        <f t="shared" si="53"/>
        <v>1782.46239941771</v>
      </c>
      <c r="ER76" s="1111">
        <f t="shared" si="54"/>
        <v>1777.87090074862</v>
      </c>
      <c r="ES76" s="1111">
        <f t="shared" si="55"/>
        <v>1776.69085043776</v>
      </c>
      <c r="ET76" s="1111">
        <f t="shared" si="56"/>
        <v>1776.5151337741499</v>
      </c>
      <c r="EU76" s="1111">
        <f t="shared" si="57"/>
        <v>1776.5151337741499</v>
      </c>
      <c r="EV76" s="1111">
        <f t="shared" si="130"/>
        <v>16.722091046014601</v>
      </c>
      <c r="EW76" s="1111">
        <f t="shared" si="38"/>
        <v>16.722091046014601</v>
      </c>
      <c r="EX76" s="1111">
        <f t="shared" si="39"/>
        <v>9.0752835435872505</v>
      </c>
      <c r="EY76" s="1111">
        <f t="shared" si="40"/>
        <v>4.5245768386744603</v>
      </c>
      <c r="EZ76" s="1111">
        <f t="shared" si="41"/>
        <v>2.5948057206972099</v>
      </c>
      <c r="FA76" s="1111">
        <f t="shared" si="42"/>
        <v>1.7233209257637201</v>
      </c>
      <c r="FB76" s="1111">
        <f t="shared" si="43"/>
        <v>1.5952418098202701</v>
      </c>
      <c r="FC76" s="1111">
        <f t="shared" si="44"/>
        <v>1.5343950737018299</v>
      </c>
      <c r="FD76" s="1111">
        <f t="shared" si="45"/>
        <v>1.53213591619592</v>
      </c>
      <c r="FE76" s="1111">
        <f t="shared" si="46"/>
        <v>1.5313515267339699</v>
      </c>
      <c r="FF76" s="1111">
        <f t="shared" si="47"/>
        <v>1.5313515267339699</v>
      </c>
      <c r="FG76" s="1111">
        <f t="shared" si="100"/>
        <v>4.4119301126388497E-2</v>
      </c>
      <c r="FH76" s="1111">
        <f t="shared" si="101"/>
        <v>4.4119301126388497E-2</v>
      </c>
      <c r="FI76" s="1111">
        <f t="shared" si="102"/>
        <v>4.1262348975755703E-2</v>
      </c>
      <c r="FJ76" s="1111">
        <f t="shared" si="103"/>
        <v>1.6180608348462199E-2</v>
      </c>
      <c r="FK76" s="1111">
        <f t="shared" si="104"/>
        <v>1.5603448697606799E-2</v>
      </c>
      <c r="FL76" s="1111">
        <f t="shared" si="105"/>
        <v>1.51144360777349E-2</v>
      </c>
      <c r="FM76" s="1111">
        <f t="shared" si="106"/>
        <v>1.48632492208765E-2</v>
      </c>
      <c r="FN76" s="1111">
        <f t="shared" si="107"/>
        <v>1.48223265055839E-2</v>
      </c>
      <c r="FO76" s="1111">
        <f t="shared" si="108"/>
        <v>1.4812489715302499E-2</v>
      </c>
      <c r="FP76" s="1111">
        <f t="shared" si="109"/>
        <v>1.4811022783827199E-2</v>
      </c>
      <c r="FQ76" s="1111">
        <f t="shared" si="110"/>
        <v>1.4811022783827199E-2</v>
      </c>
      <c r="FR76" s="1111">
        <f t="shared" si="25"/>
        <v>1.28818009730681</v>
      </c>
      <c r="FS76" s="1111">
        <f t="shared" si="26"/>
        <v>1.28818009730681</v>
      </c>
      <c r="FT76" s="1111">
        <f t="shared" si="27"/>
        <v>0.82680779710365904</v>
      </c>
      <c r="FU76" s="1111">
        <f t="shared" si="28"/>
        <v>0.60179805225314997</v>
      </c>
      <c r="FV76" s="1111">
        <f t="shared" si="29"/>
        <v>0.46595581954183302</v>
      </c>
      <c r="FW76" s="1111">
        <f t="shared" si="30"/>
        <v>0.42951735045103701</v>
      </c>
      <c r="FX76" s="1111">
        <f t="shared" si="31"/>
        <v>0.41980468763527201</v>
      </c>
      <c r="FY76" s="1111">
        <f t="shared" si="32"/>
        <v>0.41759644007116198</v>
      </c>
      <c r="FZ76" s="1111">
        <f t="shared" si="33"/>
        <v>0.41747064951560697</v>
      </c>
      <c r="GA76" s="1111">
        <f t="shared" si="34"/>
        <v>0.41748018000731701</v>
      </c>
      <c r="GB76" s="1111">
        <f t="shared" si="35"/>
        <v>0.41748018000731701</v>
      </c>
      <c r="GC76" s="1111">
        <f t="shared" si="59"/>
        <v>0.93126594217890002</v>
      </c>
      <c r="GD76" s="1111">
        <f t="shared" si="60"/>
        <v>0.93126594217890002</v>
      </c>
      <c r="GE76" s="1111">
        <f t="shared" si="61"/>
        <v>0.51703307471742999</v>
      </c>
      <c r="GF76" s="1111">
        <f t="shared" si="62"/>
        <v>0.24432975283286401</v>
      </c>
      <c r="GG76" s="1111">
        <f t="shared" si="63"/>
        <v>0.11886455572614001</v>
      </c>
      <c r="GH76" s="1111">
        <f t="shared" si="64"/>
        <v>8.9573048763309293E-2</v>
      </c>
      <c r="GI76" s="1111">
        <f t="shared" si="65"/>
        <v>8.3197971818451094E-2</v>
      </c>
      <c r="GJ76" s="1111">
        <f t="shared" si="66"/>
        <v>8.15020489665223E-2</v>
      </c>
      <c r="GK76" s="1111">
        <f t="shared" si="67"/>
        <v>8.1467138980072906E-2</v>
      </c>
      <c r="GL76" s="1111">
        <f t="shared" si="68"/>
        <v>8.1466979548160803E-2</v>
      </c>
      <c r="GM76" s="1111">
        <f t="shared" si="69"/>
        <v>8.1466979548160803E-2</v>
      </c>
    </row>
    <row r="77" spans="1:195" x14ac:dyDescent="0.2">
      <c r="A77" s="1071" t="s">
        <v>182</v>
      </c>
      <c r="B77" s="1071" t="str">
        <f>NewTech!B18</f>
        <v>TBDSLC</v>
      </c>
      <c r="C77" s="1071" t="str">
        <f>NewTech!C18</f>
        <v>Bus, Conventional Diesel</v>
      </c>
      <c r="D77" s="1071" t="str">
        <f>NewTech!D18</f>
        <v>bn-vmt, bn-vmt/a</v>
      </c>
      <c r="E77" s="1071" t="str">
        <f>NewTech!E18</f>
        <v>TBDSL</v>
      </c>
      <c r="F77" s="1071" t="str">
        <f>NewTech!F18</f>
        <v>TB</v>
      </c>
      <c r="G77" s="1110" t="s">
        <v>498</v>
      </c>
      <c r="H77" s="1110" t="s">
        <v>499</v>
      </c>
      <c r="I77" s="1112">
        <v>1</v>
      </c>
      <c r="J77" s="1111" t="str">
        <f t="shared" si="37"/>
        <v>Bus-DSL</v>
      </c>
      <c r="K77" s="1111">
        <f>SUMIFS(NewEmisData!E:E, NewEmisData!$A:$A, $G77, NewEmisData!$B:$B, $A77, NewEmisData!$C:$C, $H77, NewEmisData!$D:$D, K$6)</f>
        <v>1573.0981920694501</v>
      </c>
      <c r="L77" s="1111">
        <f>SUMIFS(NewEmisData!F:F, NewEmisData!$A:$A, $G77, NewEmisData!$B:$B, $A77, NewEmisData!$C:$C, $H77, NewEmisData!$D:$D, L$6)</f>
        <v>1544.3679757121099</v>
      </c>
      <c r="M77" s="1111">
        <f>SUMIFS(NewEmisData!G:G, NewEmisData!$A:$A, $G77, NewEmisData!$B:$B, $A77, NewEmisData!$C:$C, $H77, NewEmisData!$D:$D, M$6)</f>
        <v>1916.5843083058301</v>
      </c>
      <c r="N77" s="1111">
        <f>SUMIFS(NewEmisData!H:H, NewEmisData!$A:$A, $G77, NewEmisData!$B:$B, $A77, NewEmisData!$C:$C, $H77, NewEmisData!$D:$D, N$6)</f>
        <v>1868.9930069357799</v>
      </c>
      <c r="O77" s="1111">
        <f>SUMIFS(NewEmisData!I:I, NewEmisData!$A:$A, $G77, NewEmisData!$B:$B, $A77, NewEmisData!$C:$C, $H77, NewEmisData!$D:$D, O$6)</f>
        <v>1812.7966575929599</v>
      </c>
      <c r="P77" s="1111">
        <f>SUMIFS(NewEmisData!J:J, NewEmisData!$A:$A, $G77, NewEmisData!$B:$B, $A77, NewEmisData!$C:$C, $H77, NewEmisData!$D:$D, P$6)</f>
        <v>1785.4009056329501</v>
      </c>
      <c r="Q77" s="1111">
        <f>SUMIFS(NewEmisData!K:K, NewEmisData!$A:$A, $G77, NewEmisData!$B:$B, $A77, NewEmisData!$C:$C, $H77, NewEmisData!$D:$D, Q$6)</f>
        <v>1781.1669913012199</v>
      </c>
      <c r="R77" s="1111">
        <f>SUMIFS(NewEmisData!L:L, NewEmisData!$A:$A, $G77, NewEmisData!$B:$B, $A77, NewEmisData!$C:$C, $H77, NewEmisData!$D:$D, R$6)</f>
        <v>1779.89338532949</v>
      </c>
      <c r="S77" s="1111">
        <f>SUMIFS(NewEmisData!M:M, NewEmisData!$A:$A, $G77, NewEmisData!$B:$B, $A77, NewEmisData!$C:$C, $H77, NewEmisData!$D:$D, S$6)</f>
        <v>1779.28555768666</v>
      </c>
      <c r="T77" s="1111">
        <f t="shared" si="17"/>
        <v>1779.28555768666</v>
      </c>
      <c r="U77" s="1111">
        <f>SUMIFS(NewEmisData!E:E, NewEmisData!$A:$A, $G77, NewEmisData!$B:$B, $A77, NewEmisData!$C:$C, $H77, NewEmisData!$D:$D, U$6)</f>
        <v>25.485894447035299</v>
      </c>
      <c r="V77" s="1111">
        <f>SUMIFS(NewEmisData!F:F, NewEmisData!$A:$A, $G77, NewEmisData!$B:$B, $A77, NewEmisData!$C:$C, $H77, NewEmisData!$D:$D, V$6)</f>
        <v>16.635316417576099</v>
      </c>
      <c r="W77" s="1111">
        <f>SUMIFS(NewEmisData!G:G, NewEmisData!$A:$A, $G77, NewEmisData!$B:$B, $A77, NewEmisData!$C:$C, $H77, NewEmisData!$D:$D, W$6)</f>
        <v>5.6806504273613996</v>
      </c>
      <c r="X77" s="1111">
        <f>SUMIFS(NewEmisData!H:H, NewEmisData!$A:$A, $G77, NewEmisData!$B:$B, $A77, NewEmisData!$C:$C, $H77, NewEmisData!$D:$D, X$6)</f>
        <v>3.05403934027653</v>
      </c>
      <c r="Y77" s="1111">
        <f>SUMIFS(NewEmisData!I:I, NewEmisData!$A:$A, $G77, NewEmisData!$B:$B, $A77, NewEmisData!$C:$C, $H77, NewEmisData!$D:$D, Y$6)</f>
        <v>2.1007258350226801</v>
      </c>
      <c r="Z77" s="1111">
        <f>SUMIFS(NewEmisData!J:J, NewEmisData!$A:$A, $G77, NewEmisData!$B:$B, $A77, NewEmisData!$C:$C, $H77, NewEmisData!$D:$D, Z$6)</f>
        <v>1.87658987655799</v>
      </c>
      <c r="AA77" s="1111">
        <f>SUMIFS(NewEmisData!K:K, NewEmisData!$A:$A, $G77, NewEmisData!$B:$B, $A77, NewEmisData!$C:$C, $H77, NewEmisData!$D:$D, AA$6)</f>
        <v>1.7679420427249899</v>
      </c>
      <c r="AB77" s="1111">
        <f>SUMIFS(NewEmisData!L:L, NewEmisData!$A:$A, $G77, NewEmisData!$B:$B, $A77, NewEmisData!$C:$C, $H77, NewEmisData!$D:$D, AB$6)</f>
        <v>1.7647235248156601</v>
      </c>
      <c r="AC77" s="1111">
        <f>SUMIFS(NewEmisData!M:M, NewEmisData!$A:$A, $G77, NewEmisData!$B:$B, $A77, NewEmisData!$C:$C, $H77, NewEmisData!$D:$D, AC$6)</f>
        <v>1.76351431040301</v>
      </c>
      <c r="AD77" s="1111">
        <f t="shared" si="18"/>
        <v>1.76351431040301</v>
      </c>
      <c r="AE77" s="1111">
        <f t="shared" si="113"/>
        <v>3.9377821944932299E-2</v>
      </c>
      <c r="AF77" s="1111">
        <f>SUMIFS(NewEmisData!E:E, NewEmisData!$A:$A, $G77, NewEmisData!$B:$B, $A77, NewEmisData!$C:$C, $H77, NewEmisData!$D:$D, AF$6)</f>
        <v>3.9377821944932299E-2</v>
      </c>
      <c r="AG77" s="1111">
        <f>SUMIFS(NewEmisData!F:F, NewEmisData!$A:$A, $G77, NewEmisData!$B:$B, $A77, NewEmisData!$C:$C, $H77, NewEmisData!$D:$D, AG$6)</f>
        <v>3.7984236057639099E-2</v>
      </c>
      <c r="AH77" s="1111">
        <f>SUMIFS(NewEmisData!G:G, NewEmisData!$A:$A, $G77, NewEmisData!$B:$B, $A77, NewEmisData!$C:$C, $H77, NewEmisData!$D:$D, AH$6)</f>
        <v>1.6214018510996998E-2</v>
      </c>
      <c r="AI77" s="1111">
        <f>SUMIFS(NewEmisData!H:H, NewEmisData!$A:$A, $G77, NewEmisData!$B:$B, $A77, NewEmisData!$C:$C, $H77, NewEmisData!$D:$D, AI$6)</f>
        <v>1.5642379959483001E-2</v>
      </c>
      <c r="AJ77" s="1111">
        <f>SUMIFS(NewEmisData!I:I, NewEmisData!$A:$A, $G77, NewEmisData!$B:$B, $A77, NewEmisData!$C:$C, $H77, NewEmisData!$D:$D, AJ$6)</f>
        <v>1.5129566396989799E-2</v>
      </c>
      <c r="AK77" s="1111">
        <f>SUMIFS(NewEmisData!J:J, NewEmisData!$A:$A, $G77, NewEmisData!$B:$B, $A77, NewEmisData!$C:$C, $H77, NewEmisData!$D:$D, AK$6)</f>
        <v>1.48940539224115E-2</v>
      </c>
      <c r="AL77" s="1111">
        <f>SUMIFS(NewEmisData!K:K, NewEmisData!$A:$A, $G77, NewEmisData!$B:$B, $A77, NewEmisData!$C:$C, $H77, NewEmisData!$D:$D, AL$6)</f>
        <v>1.48498058438792E-2</v>
      </c>
      <c r="AM77" s="1111">
        <f>SUMIFS(NewEmisData!L:L, NewEmisData!$A:$A, $G77, NewEmisData!$B:$B, $A77, NewEmisData!$C:$C, $H77, NewEmisData!$D:$D, AM$6)</f>
        <v>1.48391871090011E-2</v>
      </c>
      <c r="AN77" s="1111">
        <f>SUMIFS(NewEmisData!M:M, NewEmisData!$A:$A, $G77, NewEmisData!$B:$B, $A77, NewEmisData!$C:$C, $H77, NewEmisData!$D:$D, AN$6)</f>
        <v>1.4834122168645001E-2</v>
      </c>
      <c r="AO77" s="1111">
        <f t="shared" si="114"/>
        <v>1.4834122168645001E-2</v>
      </c>
      <c r="AP77" s="1111">
        <f t="shared" si="115"/>
        <v>1.6759760982763601</v>
      </c>
      <c r="AQ77" s="1111">
        <f>SUMIFS(NewEmisData!E:E, NewEmisData!$A:$A, $G77, NewEmisData!$B:$B, $A77, NewEmisData!$C:$C, $H77, NewEmisData!$D:$D, AQ$6)</f>
        <v>1.6759760982763601</v>
      </c>
      <c r="AR77" s="1111">
        <f>SUMIFS(NewEmisData!F:F, NewEmisData!$A:$A, $G77, NewEmisData!$B:$B, $A77, NewEmisData!$C:$C, $H77, NewEmisData!$D:$D, AR$6)</f>
        <v>1.2591555489209101</v>
      </c>
      <c r="AS77" s="1111">
        <f>SUMIFS(NewEmisData!G:G, NewEmisData!$A:$A, $G77, NewEmisData!$B:$B, $A77, NewEmisData!$C:$C, $H77, NewEmisData!$D:$D, AS$6)</f>
        <v>0.67744248626063297</v>
      </c>
      <c r="AT77" s="1111">
        <f>SUMIFS(NewEmisData!H:H, NewEmisData!$A:$A, $G77, NewEmisData!$B:$B, $A77, NewEmisData!$C:$C, $H77, NewEmisData!$D:$D, AT$6)</f>
        <v>0.52738778166466604</v>
      </c>
      <c r="AU77" s="1111">
        <f>SUMIFS(NewEmisData!I:I, NewEmisData!$A:$A, $G77, NewEmisData!$B:$B, $A77, NewEmisData!$C:$C, $H77, NewEmisData!$D:$D, AU$6)</f>
        <v>0.48358848951405597</v>
      </c>
      <c r="AV77" s="1111">
        <f>SUMIFS(NewEmisData!J:J, NewEmisData!$A:$A, $G77, NewEmisData!$B:$B, $A77, NewEmisData!$C:$C, $H77, NewEmisData!$D:$D, AV$6)</f>
        <v>0.472761661372815</v>
      </c>
      <c r="AW77" s="1111">
        <f>SUMIFS(NewEmisData!K:K, NewEmisData!$A:$A, $G77, NewEmisData!$B:$B, $A77, NewEmisData!$C:$C, $H77, NewEmisData!$D:$D, AW$6)</f>
        <v>0.46753146166185999</v>
      </c>
      <c r="AX77" s="1111">
        <f>SUMIFS(NewEmisData!L:L, NewEmisData!$A:$A, $G77, NewEmisData!$B:$B, $A77, NewEmisData!$C:$C, $H77, NewEmisData!$D:$D, AX$6)</f>
        <v>0.46733602925816797</v>
      </c>
      <c r="AY77" s="1111">
        <f>SUMIFS(NewEmisData!M:M, NewEmisData!$A:$A, $G77, NewEmisData!$B:$B, $A77, NewEmisData!$C:$C, $H77, NewEmisData!$D:$D, AY$6)</f>
        <v>0.46734012500094102</v>
      </c>
      <c r="AZ77" s="1111">
        <f t="shared" si="116"/>
        <v>0.46734012500094102</v>
      </c>
      <c r="BA77" s="1111">
        <f t="shared" si="117"/>
        <v>1.31772095909569</v>
      </c>
      <c r="BB77" s="1111">
        <f>SUMIFS(NewEmisData!E:E, NewEmisData!$A:$A, $G77, NewEmisData!$B:$B, $A77, NewEmisData!$C:$C, $H77, NewEmisData!$D:$D, BB$6)</f>
        <v>1.31772095909569</v>
      </c>
      <c r="BC77" s="1111">
        <f>SUMIFS(NewEmisData!F:F, NewEmisData!$A:$A, $G77, NewEmisData!$B:$B, $A77, NewEmisData!$C:$C, $H77, NewEmisData!$D:$D, BC$6)</f>
        <v>0.93325433252970902</v>
      </c>
      <c r="BD77" s="1111">
        <f>SUMIFS(NewEmisData!G:G, NewEmisData!$A:$A, $G77, NewEmisData!$B:$B, $A77, NewEmisData!$C:$C, $H77, NewEmisData!$D:$D, BD$6)</f>
        <v>0.27440125765457901</v>
      </c>
      <c r="BE77" s="1111">
        <f>SUMIFS(NewEmisData!H:H, NewEmisData!$A:$A, $G77, NewEmisData!$B:$B, $A77, NewEmisData!$C:$C, $H77, NewEmisData!$D:$D, BE$6)</f>
        <v>0.135307690590454</v>
      </c>
      <c r="BF77" s="1111">
        <f>SUMIFS(NewEmisData!I:I, NewEmisData!$A:$A, $G77, NewEmisData!$B:$B, $A77, NewEmisData!$C:$C, $H77, NewEmisData!$D:$D, BF$6)</f>
        <v>0.10091565939698199</v>
      </c>
      <c r="BG77" s="1111">
        <f>SUMIFS(NewEmisData!J:J, NewEmisData!$A:$A, $G77, NewEmisData!$B:$B, $A77, NewEmisData!$C:$C, $H77, NewEmisData!$D:$D, BG$6)</f>
        <v>9.4307179930071303E-2</v>
      </c>
      <c r="BH77" s="1111">
        <f>SUMIFS(NewEmisData!K:K, NewEmisData!$A:$A, $G77, NewEmisData!$B:$B, $A77, NewEmisData!$C:$C, $H77, NewEmisData!$D:$D, BH$6)</f>
        <v>8.9937296191057697E-2</v>
      </c>
      <c r="BI77" s="1111">
        <f>SUMIFS(NewEmisData!L:L, NewEmisData!$A:$A, $G77, NewEmisData!$B:$B, $A77, NewEmisData!$C:$C, $H77, NewEmisData!$D:$D, BI$6)</f>
        <v>8.9863311660723005E-2</v>
      </c>
      <c r="BJ77" s="1111">
        <f>SUMIFS(NewEmisData!M:M, NewEmisData!$A:$A, $G77, NewEmisData!$B:$B, $A77, NewEmisData!$C:$C, $H77, NewEmisData!$D:$D, BJ$6)</f>
        <v>8.9850222817437805E-2</v>
      </c>
      <c r="BK77" s="1111">
        <f t="shared" si="118"/>
        <v>8.9850222817437805E-2</v>
      </c>
      <c r="BL77" s="1111">
        <f t="shared" si="119"/>
        <v>9.42494595370054</v>
      </c>
      <c r="BM77" s="1111">
        <f>SUMIFS(NewEmisData!E:E, NewEmisData!$A:$A, $G77, NewEmisData!$B:$B, $A77, NewEmisData!$C:$C, $H77, NewEmisData!$D:$D, BM$6)</f>
        <v>9.42494595370054</v>
      </c>
      <c r="BN77" s="1111">
        <f>SUMIFS(NewEmisData!F:F, NewEmisData!$A:$A, $G77, NewEmisData!$B:$B, $A77, NewEmisData!$C:$C, $H77, NewEmisData!$D:$D, BN$6)</f>
        <v>6.5151522418316503</v>
      </c>
      <c r="BO77" s="1111">
        <f>SUMIFS(NewEmisData!G:G, NewEmisData!$A:$A, $G77, NewEmisData!$B:$B, $A77, NewEmisData!$C:$C, $H77, NewEmisData!$D:$D, BO$6)</f>
        <v>2.9013962679725198</v>
      </c>
      <c r="BP77" s="1111">
        <f>SUMIFS(NewEmisData!H:H, NewEmisData!$A:$A, $G77, NewEmisData!$B:$B, $A77, NewEmisData!$C:$C, $H77, NewEmisData!$D:$D, BP$6)</f>
        <v>1.8001555126276301</v>
      </c>
      <c r="BQ77" s="1111">
        <f>SUMIFS(NewEmisData!I:I, NewEmisData!$A:$A, $G77, NewEmisData!$B:$B, $A77, NewEmisData!$C:$C, $H77, NewEmisData!$D:$D, BQ$6)</f>
        <v>1.6438313765408701</v>
      </c>
      <c r="BR77" s="1111">
        <f>SUMIFS(NewEmisData!J:J, NewEmisData!$A:$A, $G77, NewEmisData!$B:$B, $A77, NewEmisData!$C:$C, $H77, NewEmisData!$D:$D, BR$6)</f>
        <v>1.57432933432189</v>
      </c>
      <c r="BS77" s="1111">
        <f>SUMIFS(NewEmisData!K:K, NewEmisData!$A:$A, $G77, NewEmisData!$B:$B, $A77, NewEmisData!$C:$C, $H77, NewEmisData!$D:$D, BS$6)</f>
        <v>1.5408503449425099</v>
      </c>
      <c r="BT77" s="1111">
        <f>SUMIFS(NewEmisData!L:L, NewEmisData!$A:$A, $G77, NewEmisData!$B:$B, $A77, NewEmisData!$C:$C, $H77, NewEmisData!$D:$D, BT$6)</f>
        <v>1.5416002309750501</v>
      </c>
      <c r="BU77" s="1111">
        <f>SUMIFS(NewEmisData!M:M, NewEmisData!$A:$A, $G77, NewEmisData!$B:$B, $A77, NewEmisData!$C:$C, $H77, NewEmisData!$D:$D, BU$6)</f>
        <v>1.54141496966159</v>
      </c>
      <c r="BV77" s="1111">
        <f t="shared" si="120"/>
        <v>1.54141496966159</v>
      </c>
      <c r="BW77" s="1111">
        <f t="shared" si="121"/>
        <v>1.84761615807355</v>
      </c>
      <c r="BX77" s="1111">
        <f>SUMIFS(NewEmisData!E:E, NewEmisData!$A:$A, $G77, NewEmisData!$B:$B, $A77, NewEmisData!$C:$C, $H77, NewEmisData!$D:$D, BX$6)</f>
        <v>1.84761615807355</v>
      </c>
      <c r="BY77" s="1111">
        <f>SUMIFS(NewEmisData!F:F, NewEmisData!$A:$A, $G77, NewEmisData!$B:$B, $A77, NewEmisData!$C:$C, $H77, NewEmisData!$D:$D, BY$6)</f>
        <v>1.40257055938169</v>
      </c>
      <c r="BZ77" s="1111">
        <f>SUMIFS(NewEmisData!G:G, NewEmisData!$A:$A, $G77, NewEmisData!$B:$B, $A77, NewEmisData!$C:$C, $H77, NewEmisData!$D:$D, BZ$6)</f>
        <v>0.61956439340661196</v>
      </c>
      <c r="CA77" s="1111">
        <f>SUMIFS(NewEmisData!H:H, NewEmisData!$A:$A, $G77, NewEmisData!$B:$B, $A77, NewEmisData!$C:$C, $H77, NewEmisData!$D:$D, CA$6)</f>
        <v>0.26929109587747802</v>
      </c>
      <c r="CB77" s="1111">
        <f>SUMIFS(NewEmisData!I:I, NewEmisData!$A:$A, $G77, NewEmisData!$B:$B, $A77, NewEmisData!$C:$C, $H77, NewEmisData!$D:$D, CB$6)</f>
        <v>0.19094706305498699</v>
      </c>
      <c r="CC77" s="1111">
        <f>SUMIFS(NewEmisData!J:J, NewEmisData!$A:$A, $G77, NewEmisData!$B:$B, $A77, NewEmisData!$C:$C, $H77, NewEmisData!$D:$D, CC$6)</f>
        <v>0.172288027054284</v>
      </c>
      <c r="CD77" s="1111">
        <f>SUMIFS(NewEmisData!K:K, NewEmisData!$A:$A, $G77, NewEmisData!$B:$B, $A77, NewEmisData!$C:$C, $H77, NewEmisData!$D:$D, CD$6)</f>
        <v>0.15756259162820199</v>
      </c>
      <c r="CE77" s="1111">
        <f>SUMIFS(NewEmisData!L:L, NewEmisData!$A:$A, $G77, NewEmisData!$B:$B, $A77, NewEmisData!$C:$C, $H77, NewEmisData!$D:$D, CE$6)</f>
        <v>0.157519892644533</v>
      </c>
      <c r="CF77" s="1111">
        <f>SUMIFS(NewEmisData!M:M, NewEmisData!$A:$A, $G77, NewEmisData!$B:$B, $A77, NewEmisData!$C:$C, $H77, NewEmisData!$D:$D, CF$6)</f>
        <v>0.15750071717103001</v>
      </c>
      <c r="CG77" s="1111">
        <f t="shared" si="122"/>
        <v>0.15750071717103001</v>
      </c>
      <c r="CH77" s="1111">
        <f t="shared" si="123"/>
        <v>2.6212030110567601E-2</v>
      </c>
      <c r="CI77" s="1111">
        <f>SUMIFS(NewEmisData!E:E, NewEmisData!$A:$A, $G77, NewEmisData!$B:$B, $A77, NewEmisData!$C:$C, $H77, NewEmisData!$D:$D, CI$6)</f>
        <v>2.6212030110567601E-2</v>
      </c>
      <c r="CJ77" s="1111">
        <f>SUMIFS(NewEmisData!F:F, NewEmisData!$A:$A, $G77, NewEmisData!$B:$B, $A77, NewEmisData!$C:$C, $H77, NewEmisData!$D:$D, CJ$6)</f>
        <v>2.6306147637779401E-2</v>
      </c>
      <c r="CK77" s="1111">
        <f>SUMIFS(NewEmisData!G:G, NewEmisData!$A:$A, $G77, NewEmisData!$B:$B, $A77, NewEmisData!$C:$C, $H77, NewEmisData!$D:$D, CK$6)</f>
        <v>3.6703962076044899E-2</v>
      </c>
      <c r="CL77" s="1111">
        <f>SUMIFS(NewEmisData!H:H, NewEmisData!$A:$A, $G77, NewEmisData!$B:$B, $A77, NewEmisData!$C:$C, $H77, NewEmisData!$D:$D, CL$6)</f>
        <v>3.6724988920478097E-2</v>
      </c>
      <c r="CM77" s="1111">
        <f>SUMIFS(NewEmisData!I:I, NewEmisData!$A:$A, $G77, NewEmisData!$B:$B, $A77, NewEmisData!$C:$C, $H77, NewEmisData!$D:$D, CM$6)</f>
        <v>3.6651621694611301E-2</v>
      </c>
      <c r="CN77" s="1111">
        <f>SUMIFS(NewEmisData!J:J, NewEmisData!$A:$A, $G77, NewEmisData!$B:$B, $A77, NewEmisData!$C:$C, $H77, NewEmisData!$D:$D, CN$6)</f>
        <v>3.6612099035051998E-2</v>
      </c>
      <c r="CO77" s="1111">
        <f>SUMIFS(NewEmisData!K:K, NewEmisData!$A:$A, $G77, NewEmisData!$B:$B, $A77, NewEmisData!$C:$C, $H77, NewEmisData!$D:$D, CO$6)</f>
        <v>3.6606158410121097E-2</v>
      </c>
      <c r="CP77" s="1111">
        <f>SUMIFS(NewEmisData!L:L, NewEmisData!$A:$A, $G77, NewEmisData!$B:$B, $A77, NewEmisData!$C:$C, $H77, NewEmisData!$D:$D, CP$6)</f>
        <v>3.6604649349406201E-2</v>
      </c>
      <c r="CQ77" s="1111">
        <f>SUMIFS(NewEmisData!M:M, NewEmisData!$A:$A, $G77, NewEmisData!$B:$B, $A77, NewEmisData!$C:$C, $H77, NewEmisData!$D:$D, CQ$6)</f>
        <v>3.6605318323892203E-2</v>
      </c>
      <c r="CR77" s="1111">
        <f t="shared" si="124"/>
        <v>3.6605318323892203E-2</v>
      </c>
      <c r="CS77" s="1111">
        <f t="shared" si="125"/>
        <v>4.9860992358685303E-3</v>
      </c>
      <c r="CT77" s="1111">
        <f>SUMIFS(NewEmisData!E:E, NewEmisData!$A:$A, $G77, NewEmisData!$B:$B, $A77, NewEmisData!$C:$C, $H77, NewEmisData!$D:$D, CT$6)</f>
        <v>4.9860992358685303E-3</v>
      </c>
      <c r="CU77" s="1111">
        <f>SUMIFS(NewEmisData!F:F, NewEmisData!$A:$A, $G77, NewEmisData!$B:$B, $A77, NewEmisData!$C:$C, $H77, NewEmisData!$D:$D, CU$6)</f>
        <v>4.7742875379494596E-3</v>
      </c>
      <c r="CV77" s="1111">
        <f>SUMIFS(NewEmisData!G:G, NewEmisData!$A:$A, $G77, NewEmisData!$B:$B, $A77, NewEmisData!$C:$C, $H77, NewEmisData!$D:$D, CV$6)</f>
        <v>7.2603358828681602E-3</v>
      </c>
      <c r="CW77" s="1111">
        <f>SUMIFS(NewEmisData!H:H, NewEmisData!$A:$A, $G77, NewEmisData!$B:$B, $A77, NewEmisData!$C:$C, $H77, NewEmisData!$D:$D, CW$6)</f>
        <v>7.2661933727351004E-3</v>
      </c>
      <c r="CX77" s="1111">
        <f>SUMIFS(NewEmisData!I:I, NewEmisData!$A:$A, $G77, NewEmisData!$B:$B, $A77, NewEmisData!$C:$C, $H77, NewEmisData!$D:$D, CX$6)</f>
        <v>7.3123890355101103E-3</v>
      </c>
      <c r="CY77" s="1111">
        <f>SUMIFS(NewEmisData!J:J, NewEmisData!$A:$A, $G77, NewEmisData!$B:$B, $A77, NewEmisData!$C:$C, $H77, NewEmisData!$D:$D, CY$6)</f>
        <v>7.3404374727568103E-3</v>
      </c>
      <c r="CZ77" s="1111">
        <f>SUMIFS(NewEmisData!K:K, NewEmisData!$A:$A, $G77, NewEmisData!$B:$B, $A77, NewEmisData!$C:$C, $H77, NewEmisData!$D:$D, CZ$6)</f>
        <v>7.3437457061269196E-3</v>
      </c>
      <c r="DA77" s="1111">
        <f>SUMIFS(NewEmisData!L:L, NewEmisData!$A:$A, $G77, NewEmisData!$B:$B, $A77, NewEmisData!$C:$C, $H77, NewEmisData!$D:$D, DA$6)</f>
        <v>7.3446144592809104E-3</v>
      </c>
      <c r="DB77" s="1111">
        <f>SUMIFS(NewEmisData!M:M, NewEmisData!$A:$A, $G77, NewEmisData!$B:$B, $A77, NewEmisData!$C:$C, $H77, NewEmisData!$D:$D, DB$6)</f>
        <v>7.3444994559674001E-3</v>
      </c>
      <c r="DC77" s="1111">
        <f t="shared" si="126"/>
        <v>7.3444994559674001E-3</v>
      </c>
      <c r="DD77" s="1111">
        <v>0.39300578709389528</v>
      </c>
      <c r="DE77" s="1111">
        <v>0.25218506439547889</v>
      </c>
      <c r="DF77" s="1111">
        <v>9.0680333464346716E-2</v>
      </c>
      <c r="DG77" s="1111">
        <v>1.5259203997944157E-2</v>
      </c>
      <c r="DH77" s="1111">
        <v>1.442984591146376E-3</v>
      </c>
      <c r="DI77" s="1111">
        <v>1.4216300052729372E-3</v>
      </c>
      <c r="DJ77" s="1111">
        <v>1.4222674909691675E-3</v>
      </c>
      <c r="DK77" s="1111">
        <v>1.4222968522144778E-3</v>
      </c>
      <c r="DL77" s="1111">
        <v>1.4226321321994845E-3</v>
      </c>
      <c r="DM77" s="1111">
        <v>1.4227267584946933E-3</v>
      </c>
      <c r="DN77" s="1111">
        <v>1.4227267584946933E-3</v>
      </c>
      <c r="DO77" s="1111">
        <v>0.20788279259438966</v>
      </c>
      <c r="DP77" s="1111">
        <v>0.14188647424950029</v>
      </c>
      <c r="DQ77" s="1111">
        <v>6.2736208538959407E-2</v>
      </c>
      <c r="DR77" s="1111">
        <v>1.2554111333601691E-2</v>
      </c>
      <c r="DS77" s="1111">
        <v>2.5088278770177383E-3</v>
      </c>
      <c r="DT77" s="1111">
        <v>2.4717000504004827E-3</v>
      </c>
      <c r="DU77" s="1111">
        <v>2.472808290816776E-3</v>
      </c>
      <c r="DV77" s="1111">
        <v>2.4728594625776285E-3</v>
      </c>
      <c r="DW77" s="1111">
        <v>2.4734423116144133E-3</v>
      </c>
      <c r="DX77" s="1111">
        <v>2.4736068982878887E-3</v>
      </c>
      <c r="DY77" s="1111">
        <v>2.4736068982878887E-3</v>
      </c>
      <c r="DZ77" s="1111">
        <f t="shared" si="127"/>
        <v>1.13593830923209E-2</v>
      </c>
      <c r="EA77" s="1111">
        <f>SUMIFS(NewEmisData!E:E, NewEmisData!$A:$A, $G77, NewEmisData!$B:$B, $A77, NewEmisData!$C:$C, $H77, NewEmisData!$D:$D, EA$6)</f>
        <v>1.13593830923209E-2</v>
      </c>
      <c r="EB77" s="1111">
        <f>SUMIFS(NewEmisData!F:F, NewEmisData!$A:$A, $G77, NewEmisData!$B:$B, $A77, NewEmisData!$C:$C, $H77, NewEmisData!$D:$D, EB$6)</f>
        <v>3.7803123032821302E-2</v>
      </c>
      <c r="EC77" s="1111">
        <f>SUMIFS(NewEmisData!G:G, NewEmisData!$A:$A, $G77, NewEmisData!$B:$B, $A77, NewEmisData!$C:$C, $H77, NewEmisData!$D:$D, EC$6)</f>
        <v>0.124437290193953</v>
      </c>
      <c r="ED77" s="1111">
        <f>SUMIFS(NewEmisData!H:H, NewEmisData!$A:$A, $G77, NewEmisData!$B:$B, $A77, NewEmisData!$C:$C, $H77, NewEmisData!$D:$D, ED$6)</f>
        <v>0.136903583493692</v>
      </c>
      <c r="EE77" s="1111">
        <f>SUMIFS(NewEmisData!I:I, NewEmisData!$A:$A, $G77, NewEmisData!$B:$B, $A77, NewEmisData!$C:$C, $H77, NewEmisData!$D:$D, EE$6)</f>
        <v>0.13674174011835499</v>
      </c>
      <c r="EF77" s="1111">
        <f>SUMIFS(NewEmisData!J:J, NewEmisData!$A:$A, $G77, NewEmisData!$B:$B, $A77, NewEmisData!$C:$C, $H77, NewEmisData!$D:$D, EF$6)</f>
        <v>0.13774221915503501</v>
      </c>
      <c r="EG77" s="1111">
        <f>SUMIFS(NewEmisData!K:K, NewEmisData!$A:$A, $G77, NewEmisData!$B:$B, $A77, NewEmisData!$C:$C, $H77, NewEmisData!$D:$D, EG$6)</f>
        <v>0.13873461497783901</v>
      </c>
      <c r="EH77" s="1111">
        <f>SUMIFS(NewEmisData!L:L, NewEmisData!$A:$A, $G77, NewEmisData!$B:$B, $A77, NewEmisData!$C:$C, $H77, NewEmisData!$D:$D, EH$6)</f>
        <v>0.13871065448301201</v>
      </c>
      <c r="EI77" s="1111">
        <f>SUMIFS(NewEmisData!M:M, NewEmisData!$A:$A, $G77, NewEmisData!$B:$B, $A77, NewEmisData!$C:$C, $H77, NewEmisData!$D:$D, EI$6)</f>
        <v>0.13870041556896201</v>
      </c>
      <c r="EJ77" s="1111">
        <f t="shared" si="128"/>
        <v>0.13870041556896201</v>
      </c>
      <c r="EK77" s="1111">
        <f t="shared" si="129"/>
        <v>1573.0981920694501</v>
      </c>
      <c r="EL77" s="1111">
        <f t="shared" si="48"/>
        <v>1573.0981920694501</v>
      </c>
      <c r="EM77" s="1111">
        <f t="shared" si="49"/>
        <v>1544.3679757121099</v>
      </c>
      <c r="EN77" s="1111">
        <f t="shared" si="50"/>
        <v>1916.5843083058301</v>
      </c>
      <c r="EO77" s="1111">
        <f t="shared" si="51"/>
        <v>1868.9930069357799</v>
      </c>
      <c r="EP77" s="1111">
        <f t="shared" si="52"/>
        <v>1812.7966575929599</v>
      </c>
      <c r="EQ77" s="1111">
        <f t="shared" si="53"/>
        <v>1785.4009056329501</v>
      </c>
      <c r="ER77" s="1111">
        <f t="shared" si="54"/>
        <v>1781.1669913012199</v>
      </c>
      <c r="ES77" s="1111">
        <f t="shared" si="55"/>
        <v>1779.89338532949</v>
      </c>
      <c r="ET77" s="1111">
        <f t="shared" si="56"/>
        <v>1779.28555768666</v>
      </c>
      <c r="EU77" s="1111">
        <f t="shared" si="57"/>
        <v>1779.28555768666</v>
      </c>
      <c r="EV77" s="1111">
        <f t="shared" si="130"/>
        <v>25.485894447035299</v>
      </c>
      <c r="EW77" s="1111">
        <f t="shared" si="38"/>
        <v>25.485894447035299</v>
      </c>
      <c r="EX77" s="1111">
        <f t="shared" si="39"/>
        <v>16.635316417576099</v>
      </c>
      <c r="EY77" s="1111">
        <f t="shared" si="40"/>
        <v>5.6806504273613996</v>
      </c>
      <c r="EZ77" s="1111">
        <f t="shared" si="41"/>
        <v>3.05403934027653</v>
      </c>
      <c r="FA77" s="1111">
        <f t="shared" si="42"/>
        <v>2.1007258350226801</v>
      </c>
      <c r="FB77" s="1111">
        <f t="shared" si="43"/>
        <v>1.87658987655799</v>
      </c>
      <c r="FC77" s="1111">
        <f t="shared" si="44"/>
        <v>1.7679420427249899</v>
      </c>
      <c r="FD77" s="1111">
        <f t="shared" si="45"/>
        <v>1.7647235248156601</v>
      </c>
      <c r="FE77" s="1111">
        <f t="shared" si="46"/>
        <v>1.76351431040301</v>
      </c>
      <c r="FF77" s="1111">
        <f t="shared" si="47"/>
        <v>1.76351431040301</v>
      </c>
      <c r="FG77" s="1111">
        <f t="shared" si="100"/>
        <v>3.9377821944932299E-2</v>
      </c>
      <c r="FH77" s="1111">
        <f t="shared" si="101"/>
        <v>3.9377821944932299E-2</v>
      </c>
      <c r="FI77" s="1111">
        <f t="shared" si="102"/>
        <v>3.7984236057639099E-2</v>
      </c>
      <c r="FJ77" s="1111">
        <f t="shared" si="103"/>
        <v>1.6214018510996998E-2</v>
      </c>
      <c r="FK77" s="1111">
        <f t="shared" si="104"/>
        <v>1.5642379959483001E-2</v>
      </c>
      <c r="FL77" s="1111">
        <f t="shared" si="105"/>
        <v>1.5129566396989799E-2</v>
      </c>
      <c r="FM77" s="1111">
        <f t="shared" si="106"/>
        <v>1.48940539224115E-2</v>
      </c>
      <c r="FN77" s="1111">
        <f t="shared" si="107"/>
        <v>1.48498058438792E-2</v>
      </c>
      <c r="FO77" s="1111">
        <f t="shared" si="108"/>
        <v>1.48391871090011E-2</v>
      </c>
      <c r="FP77" s="1111">
        <f t="shared" si="109"/>
        <v>1.4834122168645001E-2</v>
      </c>
      <c r="FQ77" s="1111">
        <f t="shared" si="110"/>
        <v>1.4834122168645001E-2</v>
      </c>
      <c r="FR77" s="1111">
        <f t="shared" si="25"/>
        <v>1.6759760982763601</v>
      </c>
      <c r="FS77" s="1111">
        <f t="shared" si="26"/>
        <v>1.6759760982763601</v>
      </c>
      <c r="FT77" s="1111">
        <f t="shared" si="27"/>
        <v>1.2591555489209101</v>
      </c>
      <c r="FU77" s="1111">
        <f t="shared" si="28"/>
        <v>0.67744248626063297</v>
      </c>
      <c r="FV77" s="1111">
        <f t="shared" si="29"/>
        <v>0.52738778166466604</v>
      </c>
      <c r="FW77" s="1111">
        <f t="shared" si="30"/>
        <v>0.48358848951405597</v>
      </c>
      <c r="FX77" s="1111">
        <f t="shared" si="31"/>
        <v>0.472761661372815</v>
      </c>
      <c r="FY77" s="1111">
        <f t="shared" si="32"/>
        <v>0.46753146166185999</v>
      </c>
      <c r="FZ77" s="1111">
        <f t="shared" si="33"/>
        <v>0.46733602925816797</v>
      </c>
      <c r="GA77" s="1111">
        <f t="shared" si="34"/>
        <v>0.46734012500094102</v>
      </c>
      <c r="GB77" s="1111">
        <f t="shared" si="35"/>
        <v>0.46734012500094102</v>
      </c>
      <c r="GC77" s="1111">
        <f t="shared" si="59"/>
        <v>1.31772095909569</v>
      </c>
      <c r="GD77" s="1111">
        <f t="shared" si="60"/>
        <v>1.31772095909569</v>
      </c>
      <c r="GE77" s="1111">
        <f t="shared" si="61"/>
        <v>0.93325433252970902</v>
      </c>
      <c r="GF77" s="1111">
        <f t="shared" si="62"/>
        <v>0.27440125765457901</v>
      </c>
      <c r="GG77" s="1111">
        <f t="shared" si="63"/>
        <v>0.135307690590454</v>
      </c>
      <c r="GH77" s="1111">
        <f t="shared" si="64"/>
        <v>0.10091565939698199</v>
      </c>
      <c r="GI77" s="1111">
        <f t="shared" si="65"/>
        <v>9.4307179930071303E-2</v>
      </c>
      <c r="GJ77" s="1111">
        <f t="shared" si="66"/>
        <v>8.9937296191057697E-2</v>
      </c>
      <c r="GK77" s="1111">
        <f t="shared" si="67"/>
        <v>8.9863311660723005E-2</v>
      </c>
      <c r="GL77" s="1111">
        <f t="shared" si="68"/>
        <v>8.9850222817437805E-2</v>
      </c>
      <c r="GM77" s="1111">
        <f t="shared" si="69"/>
        <v>8.9850222817437805E-2</v>
      </c>
    </row>
    <row r="78" spans="1:195" x14ac:dyDescent="0.2">
      <c r="A78" s="1071" t="s">
        <v>184</v>
      </c>
      <c r="B78" s="1071" t="str">
        <f>NewTech!B18</f>
        <v>TBDSLC</v>
      </c>
      <c r="C78" s="1071" t="str">
        <f>NewTech!C18</f>
        <v>Bus, Conventional Diesel</v>
      </c>
      <c r="D78" s="1071" t="str">
        <f>NewTech!D18</f>
        <v>bn-vmt, bn-vmt/a</v>
      </c>
      <c r="E78" s="1071" t="str">
        <f>NewTech!E18</f>
        <v>TBDSL</v>
      </c>
      <c r="F78" s="1071" t="str">
        <f>NewTech!F18</f>
        <v>TB</v>
      </c>
      <c r="G78" s="1110" t="s">
        <v>498</v>
      </c>
      <c r="H78" s="1110" t="s">
        <v>499</v>
      </c>
      <c r="I78" s="1112">
        <v>1</v>
      </c>
      <c r="J78" s="1111" t="str">
        <f t="shared" si="37"/>
        <v>Bus-DSL</v>
      </c>
      <c r="K78" s="1111">
        <f>SUMIFS(NewEmisData!E:E, NewEmisData!$A:$A, $G78, NewEmisData!$B:$B, $A78, NewEmisData!$C:$C, $H78, NewEmisData!$D:$D, K$6)</f>
        <v>1543.98093106499</v>
      </c>
      <c r="L78" s="1111">
        <f>SUMIFS(NewEmisData!F:F, NewEmisData!$A:$A, $G78, NewEmisData!$B:$B, $A78, NewEmisData!$C:$C, $H78, NewEmisData!$D:$D, L$6)</f>
        <v>1489.5901194539099</v>
      </c>
      <c r="M78" s="1111">
        <f>SUMIFS(NewEmisData!G:G, NewEmisData!$A:$A, $G78, NewEmisData!$B:$B, $A78, NewEmisData!$C:$C, $H78, NewEmisData!$D:$D, M$6)</f>
        <v>1760.12051639078</v>
      </c>
      <c r="N78" s="1111">
        <f>SUMIFS(NewEmisData!H:H, NewEmisData!$A:$A, $G78, NewEmisData!$B:$B, $A78, NewEmisData!$C:$C, $H78, NewEmisData!$D:$D, N$6)</f>
        <v>1725.691003145</v>
      </c>
      <c r="O78" s="1111">
        <f>SUMIFS(NewEmisData!I:I, NewEmisData!$A:$A, $G78, NewEmisData!$B:$B, $A78, NewEmisData!$C:$C, $H78, NewEmisData!$D:$D, O$6)</f>
        <v>1701.2652234181401</v>
      </c>
      <c r="P78" s="1111">
        <f>SUMIFS(NewEmisData!J:J, NewEmisData!$A:$A, $G78, NewEmisData!$B:$B, $A78, NewEmisData!$C:$C, $H78, NewEmisData!$D:$D, P$6)</f>
        <v>1689.2419423004101</v>
      </c>
      <c r="Q78" s="1111">
        <f>SUMIFS(NewEmisData!K:K, NewEmisData!$A:$A, $G78, NewEmisData!$B:$B, $A78, NewEmisData!$C:$C, $H78, NewEmisData!$D:$D, Q$6)</f>
        <v>1686.0310473817101</v>
      </c>
      <c r="R78" s="1111">
        <f>SUMIFS(NewEmisData!L:L, NewEmisData!$A:$A, $G78, NewEmisData!$B:$B, $A78, NewEmisData!$C:$C, $H78, NewEmisData!$D:$D, R$6)</f>
        <v>1684.65387386569</v>
      </c>
      <c r="S78" s="1111">
        <f>SUMIFS(NewEmisData!M:M, NewEmisData!$A:$A, $G78, NewEmisData!$B:$B, $A78, NewEmisData!$C:$C, $H78, NewEmisData!$D:$D, S$6)</f>
        <v>1683.50748414707</v>
      </c>
      <c r="T78" s="1111">
        <f t="shared" si="17"/>
        <v>1683.50748414707</v>
      </c>
      <c r="U78" s="1111">
        <f>SUMIFS(NewEmisData!E:E, NewEmisData!$A:$A, $G78, NewEmisData!$B:$B, $A78, NewEmisData!$C:$C, $H78, NewEmisData!$D:$D, U$6)</f>
        <v>18.668125395756</v>
      </c>
      <c r="V78" s="1111">
        <f>SUMIFS(NewEmisData!F:F, NewEmisData!$A:$A, $G78, NewEmisData!$B:$B, $A78, NewEmisData!$C:$C, $H78, NewEmisData!$D:$D, V$6)</f>
        <v>11.1440380927276</v>
      </c>
      <c r="W78" s="1111">
        <f>SUMIFS(NewEmisData!G:G, NewEmisData!$A:$A, $G78, NewEmisData!$B:$B, $A78, NewEmisData!$C:$C, $H78, NewEmisData!$D:$D, W$6)</f>
        <v>5.7829202038421004</v>
      </c>
      <c r="X78" s="1111">
        <f>SUMIFS(NewEmisData!H:H, NewEmisData!$A:$A, $G78, NewEmisData!$B:$B, $A78, NewEmisData!$C:$C, $H78, NewEmisData!$D:$D, X$6)</f>
        <v>3.20396695130832</v>
      </c>
      <c r="Y78" s="1111">
        <f>SUMIFS(NewEmisData!I:I, NewEmisData!$A:$A, $G78, NewEmisData!$B:$B, $A78, NewEmisData!$C:$C, $H78, NewEmisData!$D:$D, Y$6)</f>
        <v>2.2740618900591598</v>
      </c>
      <c r="Z78" s="1111">
        <f>SUMIFS(NewEmisData!J:J, NewEmisData!$A:$A, $G78, NewEmisData!$B:$B, $A78, NewEmisData!$C:$C, $H78, NewEmisData!$D:$D, Z$6)</f>
        <v>1.9371275562897501</v>
      </c>
      <c r="AA78" s="1111">
        <f>SUMIFS(NewEmisData!K:K, NewEmisData!$A:$A, $G78, NewEmisData!$B:$B, $A78, NewEmisData!$C:$C, $H78, NewEmisData!$D:$D, AA$6)</f>
        <v>1.7456585769951301</v>
      </c>
      <c r="AB78" s="1111">
        <f>SUMIFS(NewEmisData!L:L, NewEmisData!$A:$A, $G78, NewEmisData!$B:$B, $A78, NewEmisData!$C:$C, $H78, NewEmisData!$D:$D, AB$6)</f>
        <v>1.7403372468815299</v>
      </c>
      <c r="AC78" s="1111">
        <f>SUMIFS(NewEmisData!M:M, NewEmisData!$A:$A, $G78, NewEmisData!$B:$B, $A78, NewEmisData!$C:$C, $H78, NewEmisData!$D:$D, AC$6)</f>
        <v>1.7389528033933299</v>
      </c>
      <c r="AD78" s="1111">
        <f t="shared" si="18"/>
        <v>1.7389528033933299</v>
      </c>
      <c r="AE78" s="1111">
        <f t="shared" si="113"/>
        <v>3.8389239139431798E-2</v>
      </c>
      <c r="AF78" s="1111">
        <f>SUMIFS(NewEmisData!E:E, NewEmisData!$A:$A, $G78, NewEmisData!$B:$B, $A78, NewEmisData!$C:$C, $H78, NewEmisData!$D:$D, AF$6)</f>
        <v>3.8389239139431798E-2</v>
      </c>
      <c r="AG78" s="1111">
        <f>SUMIFS(NewEmisData!F:F, NewEmisData!$A:$A, $G78, NewEmisData!$B:$B, $A78, NewEmisData!$C:$C, $H78, NewEmisData!$D:$D, AG$6)</f>
        <v>3.6761798419934502E-2</v>
      </c>
      <c r="AH78" s="1111">
        <f>SUMIFS(NewEmisData!G:G, NewEmisData!$A:$A, $G78, NewEmisData!$B:$B, $A78, NewEmisData!$C:$C, $H78, NewEmisData!$D:$D, AH$6)</f>
        <v>1.4889550958331501E-2</v>
      </c>
      <c r="AI78" s="1111">
        <f>SUMIFS(NewEmisData!H:H, NewEmisData!$A:$A, $G78, NewEmisData!$B:$B, $A78, NewEmisData!$C:$C, $H78, NewEmisData!$D:$D, AI$6)</f>
        <v>1.4468385512049001E-2</v>
      </c>
      <c r="AJ78" s="1111">
        <f>SUMIFS(NewEmisData!I:I, NewEmisData!$A:$A, $G78, NewEmisData!$B:$B, $A78, NewEmisData!$C:$C, $H78, NewEmisData!$D:$D, AJ$6)</f>
        <v>1.4209561374707899E-2</v>
      </c>
      <c r="AK78" s="1111">
        <f>SUMIFS(NewEmisData!J:J, NewEmisData!$A:$A, $G78, NewEmisData!$B:$B, $A78, NewEmisData!$C:$C, $H78, NewEmisData!$D:$D, AK$6)</f>
        <v>1.41029670885105E-2</v>
      </c>
      <c r="AL78" s="1111">
        <f>SUMIFS(NewEmisData!K:K, NewEmisData!$A:$A, $G78, NewEmisData!$B:$B, $A78, NewEmisData!$C:$C, $H78, NewEmisData!$D:$D, AL$6)</f>
        <v>1.4056650783011699E-2</v>
      </c>
      <c r="AM78" s="1111">
        <f>SUMIFS(NewEmisData!L:L, NewEmisData!$A:$A, $G78, NewEmisData!$B:$B, $A78, NewEmisData!$C:$C, $H78, NewEmisData!$D:$D, AM$6)</f>
        <v>1.4045167485360799E-2</v>
      </c>
      <c r="AN78" s="1111">
        <f>SUMIFS(NewEmisData!M:M, NewEmisData!$A:$A, $G78, NewEmisData!$B:$B, $A78, NewEmisData!$C:$C, $H78, NewEmisData!$D:$D, AN$6)</f>
        <v>1.4035601733995101E-2</v>
      </c>
      <c r="AO78" s="1111">
        <f t="shared" si="114"/>
        <v>1.4035601733995101E-2</v>
      </c>
      <c r="AP78" s="1111">
        <f t="shared" si="115"/>
        <v>0.78674550377560604</v>
      </c>
      <c r="AQ78" s="1111">
        <f>SUMIFS(NewEmisData!E:E, NewEmisData!$A:$A, $G78, NewEmisData!$B:$B, $A78, NewEmisData!$C:$C, $H78, NewEmisData!$D:$D, AQ$6)</f>
        <v>0.78674550377560604</v>
      </c>
      <c r="AR78" s="1111">
        <f>SUMIFS(NewEmisData!F:F, NewEmisData!$A:$A, $G78, NewEmisData!$B:$B, $A78, NewEmisData!$C:$C, $H78, NewEmisData!$D:$D, AR$6)</f>
        <v>0.59435851753671198</v>
      </c>
      <c r="AS78" s="1111">
        <f>SUMIFS(NewEmisData!G:G, NewEmisData!$A:$A, $G78, NewEmisData!$B:$B, $A78, NewEmisData!$C:$C, $H78, NewEmisData!$D:$D, AS$6)</f>
        <v>0.48892752894583302</v>
      </c>
      <c r="AT78" s="1111">
        <f>SUMIFS(NewEmisData!H:H, NewEmisData!$A:$A, $G78, NewEmisData!$B:$B, $A78, NewEmisData!$C:$C, $H78, NewEmisData!$D:$D, AT$6)</f>
        <v>0.40673687636699701</v>
      </c>
      <c r="AU78" s="1111">
        <f>SUMIFS(NewEmisData!I:I, NewEmisData!$A:$A, $G78, NewEmisData!$B:$B, $A78, NewEmisData!$C:$C, $H78, NewEmisData!$D:$D, AU$6)</f>
        <v>0.37207197997484598</v>
      </c>
      <c r="AV78" s="1111">
        <f>SUMIFS(NewEmisData!J:J, NewEmisData!$A:$A, $G78, NewEmisData!$B:$B, $A78, NewEmisData!$C:$C, $H78, NewEmisData!$D:$D, AV$6)</f>
        <v>0.366996102766601</v>
      </c>
      <c r="AW78" s="1111">
        <f>SUMIFS(NewEmisData!K:K, NewEmisData!$A:$A, $G78, NewEmisData!$B:$B, $A78, NewEmisData!$C:$C, $H78, NewEmisData!$D:$D, AW$6)</f>
        <v>0.35822974357450499</v>
      </c>
      <c r="AX78" s="1111">
        <f>SUMIFS(NewEmisData!L:L, NewEmisData!$A:$A, $G78, NewEmisData!$B:$B, $A78, NewEmisData!$C:$C, $H78, NewEmisData!$D:$D, AX$6)</f>
        <v>0.35809529827636299</v>
      </c>
      <c r="AY78" s="1111">
        <f>SUMIFS(NewEmisData!M:M, NewEmisData!$A:$A, $G78, NewEmisData!$B:$B, $A78, NewEmisData!$C:$C, $H78, NewEmisData!$D:$D, AY$6)</f>
        <v>0.358118172842192</v>
      </c>
      <c r="AZ78" s="1111">
        <f t="shared" si="116"/>
        <v>0.358118172842192</v>
      </c>
      <c r="BA78" s="1111">
        <f t="shared" si="117"/>
        <v>0.55028448131832597</v>
      </c>
      <c r="BB78" s="1111">
        <f>SUMIFS(NewEmisData!E:E, NewEmisData!$A:$A, $G78, NewEmisData!$B:$B, $A78, NewEmisData!$C:$C, $H78, NewEmisData!$D:$D, BB$6)</f>
        <v>0.55028448131832597</v>
      </c>
      <c r="BC78" s="1111">
        <f>SUMIFS(NewEmisData!F:F, NewEmisData!$A:$A, $G78, NewEmisData!$B:$B, $A78, NewEmisData!$C:$C, $H78, NewEmisData!$D:$D, BC$6)</f>
        <v>0.38400745413618897</v>
      </c>
      <c r="BD78" s="1111">
        <f>SUMIFS(NewEmisData!G:G, NewEmisData!$A:$A, $G78, NewEmisData!$B:$B, $A78, NewEmisData!$C:$C, $H78, NewEmisData!$D:$D, BD$6)</f>
        <v>0.19465121057228399</v>
      </c>
      <c r="BE78" s="1111">
        <f>SUMIFS(NewEmisData!H:H, NewEmisData!$A:$A, $G78, NewEmisData!$B:$B, $A78, NewEmisData!$C:$C, $H78, NewEmisData!$D:$D, BE$6)</f>
        <v>0.118207278051221</v>
      </c>
      <c r="BF78" s="1111">
        <f>SUMIFS(NewEmisData!I:I, NewEmisData!$A:$A, $G78, NewEmisData!$B:$B, $A78, NewEmisData!$C:$C, $H78, NewEmisData!$D:$D, BF$6)</f>
        <v>8.6817069306160496E-2</v>
      </c>
      <c r="BG78" s="1111">
        <f>SUMIFS(NewEmisData!J:J, NewEmisData!$A:$A, $G78, NewEmisData!$B:$B, $A78, NewEmisData!$C:$C, $H78, NewEmisData!$D:$D, BG$6)</f>
        <v>8.22742664951428E-2</v>
      </c>
      <c r="BH78" s="1111">
        <f>SUMIFS(NewEmisData!K:K, NewEmisData!$A:$A, $G78, NewEmisData!$B:$B, $A78, NewEmisData!$C:$C, $H78, NewEmisData!$D:$D, BH$6)</f>
        <v>7.4293747941119301E-2</v>
      </c>
      <c r="BI78" s="1111">
        <f>SUMIFS(NewEmisData!L:L, NewEmisData!$A:$A, $G78, NewEmisData!$B:$B, $A78, NewEmisData!$C:$C, $H78, NewEmisData!$D:$D, BI$6)</f>
        <v>7.4186721872420605E-2</v>
      </c>
      <c r="BJ78" s="1111">
        <f>SUMIFS(NewEmisData!M:M, NewEmisData!$A:$A, $G78, NewEmisData!$B:$B, $A78, NewEmisData!$C:$C, $H78, NewEmisData!$D:$D, BJ$6)</f>
        <v>7.4167760380950506E-2</v>
      </c>
      <c r="BK78" s="1111">
        <f t="shared" si="118"/>
        <v>7.4167760380950506E-2</v>
      </c>
      <c r="BL78" s="1111">
        <f t="shared" si="119"/>
        <v>7.4025631204345501</v>
      </c>
      <c r="BM78" s="1111">
        <f>SUMIFS(NewEmisData!E:E, NewEmisData!$A:$A, $G78, NewEmisData!$B:$B, $A78, NewEmisData!$C:$C, $H78, NewEmisData!$D:$D, BM$6)</f>
        <v>7.4025631204345501</v>
      </c>
      <c r="BN78" s="1111">
        <f>SUMIFS(NewEmisData!F:F, NewEmisData!$A:$A, $G78, NewEmisData!$B:$B, $A78, NewEmisData!$C:$C, $H78, NewEmisData!$D:$D, BN$6)</f>
        <v>5.7928546844056203</v>
      </c>
      <c r="BO78" s="1111">
        <f>SUMIFS(NewEmisData!G:G, NewEmisData!$A:$A, $G78, NewEmisData!$B:$B, $A78, NewEmisData!$C:$C, $H78, NewEmisData!$D:$D, BO$6)</f>
        <v>3.25014237033561</v>
      </c>
      <c r="BP78" s="1111">
        <f>SUMIFS(NewEmisData!H:H, NewEmisData!$A:$A, $G78, NewEmisData!$B:$B, $A78, NewEmisData!$C:$C, $H78, NewEmisData!$D:$D, BP$6)</f>
        <v>2.1022334776789799</v>
      </c>
      <c r="BQ78" s="1111">
        <f>SUMIFS(NewEmisData!I:I, NewEmisData!$A:$A, $G78, NewEmisData!$B:$B, $A78, NewEmisData!$C:$C, $H78, NewEmisData!$D:$D, BQ$6)</f>
        <v>1.90721253550502</v>
      </c>
      <c r="BR78" s="1111">
        <f>SUMIFS(NewEmisData!J:J, NewEmisData!$A:$A, $G78, NewEmisData!$B:$B, $A78, NewEmisData!$C:$C, $H78, NewEmisData!$D:$D, BR$6)</f>
        <v>1.73226494933412</v>
      </c>
      <c r="BS78" s="1111">
        <f>SUMIFS(NewEmisData!K:K, NewEmisData!$A:$A, $G78, NewEmisData!$B:$B, $A78, NewEmisData!$C:$C, $H78, NewEmisData!$D:$D, BS$6)</f>
        <v>1.66295860938386</v>
      </c>
      <c r="BT78" s="1111">
        <f>SUMIFS(NewEmisData!L:L, NewEmisData!$A:$A, $G78, NewEmisData!$B:$B, $A78, NewEmisData!$C:$C, $H78, NewEmisData!$D:$D, BT$6)</f>
        <v>1.6638988091117199</v>
      </c>
      <c r="BU78" s="1111">
        <f>SUMIFS(NewEmisData!M:M, NewEmisData!$A:$A, $G78, NewEmisData!$B:$B, $A78, NewEmisData!$C:$C, $H78, NewEmisData!$D:$D, BU$6)</f>
        <v>1.6592583196978401</v>
      </c>
      <c r="BV78" s="1111">
        <f t="shared" si="120"/>
        <v>1.6592583196978401</v>
      </c>
      <c r="BW78" s="1111">
        <f t="shared" si="121"/>
        <v>1.4473470985210799</v>
      </c>
      <c r="BX78" s="1111">
        <f>SUMIFS(NewEmisData!E:E, NewEmisData!$A:$A, $G78, NewEmisData!$B:$B, $A78, NewEmisData!$C:$C, $H78, NewEmisData!$D:$D, BX$6)</f>
        <v>1.4473470985210799</v>
      </c>
      <c r="BY78" s="1111">
        <f>SUMIFS(NewEmisData!F:F, NewEmisData!$A:$A, $G78, NewEmisData!$B:$B, $A78, NewEmisData!$C:$C, $H78, NewEmisData!$D:$D, BY$6)</f>
        <v>1.1581362740294701</v>
      </c>
      <c r="BZ78" s="1111">
        <f>SUMIFS(NewEmisData!G:G, NewEmisData!$A:$A, $G78, NewEmisData!$B:$B, $A78, NewEmisData!$C:$C, $H78, NewEmisData!$D:$D, BZ$6)</f>
        <v>0.53671452190943902</v>
      </c>
      <c r="CA78" s="1111">
        <f>SUMIFS(NewEmisData!H:H, NewEmisData!$A:$A, $G78, NewEmisData!$B:$B, $A78, NewEmisData!$C:$C, $H78, NewEmisData!$D:$D, CA$6)</f>
        <v>0.27494886385920297</v>
      </c>
      <c r="CB78" s="1111">
        <f>SUMIFS(NewEmisData!I:I, NewEmisData!$A:$A, $G78, NewEmisData!$B:$B, $A78, NewEmisData!$C:$C, $H78, NewEmisData!$D:$D, CB$6)</f>
        <v>0.19325322968969499</v>
      </c>
      <c r="CC78" s="1111">
        <f>SUMIFS(NewEmisData!J:J, NewEmisData!$A:$A, $G78, NewEmisData!$B:$B, $A78, NewEmisData!$C:$C, $H78, NewEmisData!$D:$D, CC$6)</f>
        <v>0.167956894854846</v>
      </c>
      <c r="CD78" s="1111">
        <f>SUMIFS(NewEmisData!K:K, NewEmisData!$A:$A, $G78, NewEmisData!$B:$B, $A78, NewEmisData!$C:$C, $H78, NewEmisData!$D:$D, CD$6)</f>
        <v>0.13892518309640101</v>
      </c>
      <c r="CE78" s="1111">
        <f>SUMIFS(NewEmisData!L:L, NewEmisData!$A:$A, $G78, NewEmisData!$B:$B, $A78, NewEmisData!$C:$C, $H78, NewEmisData!$D:$D, CE$6)</f>
        <v>0.13884600843509601</v>
      </c>
      <c r="CF78" s="1111">
        <f>SUMIFS(NewEmisData!M:M, NewEmisData!$A:$A, $G78, NewEmisData!$B:$B, $A78, NewEmisData!$C:$C, $H78, NewEmisData!$D:$D, CF$6)</f>
        <v>0.13868242154504801</v>
      </c>
      <c r="CG78" s="1111">
        <f t="shared" si="122"/>
        <v>0.13868242154504801</v>
      </c>
      <c r="CH78" s="1111">
        <f t="shared" si="123"/>
        <v>2.5552170890355701E-2</v>
      </c>
      <c r="CI78" s="1111">
        <f>SUMIFS(NewEmisData!E:E, NewEmisData!$A:$A, $G78, NewEmisData!$B:$B, $A78, NewEmisData!$C:$C, $H78, NewEmisData!$D:$D, CI$6)</f>
        <v>2.5552170890355701E-2</v>
      </c>
      <c r="CJ78" s="1111">
        <f>SUMIFS(NewEmisData!F:F, NewEmisData!$A:$A, $G78, NewEmisData!$B:$B, $A78, NewEmisData!$C:$C, $H78, NewEmisData!$D:$D, CJ$6)</f>
        <v>2.53025045921564E-2</v>
      </c>
      <c r="CK78" s="1111">
        <f>SUMIFS(NewEmisData!G:G, NewEmisData!$A:$A, $G78, NewEmisData!$B:$B, $A78, NewEmisData!$C:$C, $H78, NewEmisData!$D:$D, CK$6)</f>
        <v>3.2113726092753501E-2</v>
      </c>
      <c r="CL78" s="1111">
        <f>SUMIFS(NewEmisData!H:H, NewEmisData!$A:$A, $G78, NewEmisData!$B:$B, $A78, NewEmisData!$C:$C, $H78, NewEmisData!$D:$D, CL$6)</f>
        <v>3.2125818354371803E-2</v>
      </c>
      <c r="CM78" s="1111">
        <f>SUMIFS(NewEmisData!I:I, NewEmisData!$A:$A, $G78, NewEmisData!$B:$B, $A78, NewEmisData!$C:$C, $H78, NewEmisData!$D:$D, CM$6)</f>
        <v>3.21152168523616E-2</v>
      </c>
      <c r="CN78" s="1111">
        <f>SUMIFS(NewEmisData!J:J, NewEmisData!$A:$A, $G78, NewEmisData!$B:$B, $A78, NewEmisData!$C:$C, $H78, NewEmisData!$D:$D, CN$6)</f>
        <v>3.21127222738316E-2</v>
      </c>
      <c r="CO78" s="1111">
        <f>SUMIFS(NewEmisData!K:K, NewEmisData!$A:$A, $G78, NewEmisData!$B:$B, $A78, NewEmisData!$C:$C, $H78, NewEmisData!$D:$D, CO$6)</f>
        <v>3.2111195257881399E-2</v>
      </c>
      <c r="CP78" s="1111">
        <f>SUMIFS(NewEmisData!L:L, NewEmisData!$A:$A, $G78, NewEmisData!$B:$B, $A78, NewEmisData!$C:$C, $H78, NewEmisData!$D:$D, CP$6)</f>
        <v>3.21104284845748E-2</v>
      </c>
      <c r="CQ78" s="1111">
        <f>SUMIFS(NewEmisData!M:M, NewEmisData!$A:$A, $G78, NewEmisData!$B:$B, $A78, NewEmisData!$C:$C, $H78, NewEmisData!$D:$D, CQ$6)</f>
        <v>3.2111281698300603E-2</v>
      </c>
      <c r="CR78" s="1111">
        <f t="shared" si="124"/>
        <v>3.2111281698300603E-2</v>
      </c>
      <c r="CS78" s="1111">
        <f t="shared" si="125"/>
        <v>3.4284515149731101E-3</v>
      </c>
      <c r="CT78" s="1111">
        <f>SUMIFS(NewEmisData!E:E, NewEmisData!$A:$A, $G78, NewEmisData!$B:$B, $A78, NewEmisData!$C:$C, $H78, NewEmisData!$D:$D, CT$6)</f>
        <v>3.4284515149731101E-3</v>
      </c>
      <c r="CU78" s="1111">
        <f>SUMIFS(NewEmisData!F:F, NewEmisData!$A:$A, $G78, NewEmisData!$B:$B, $A78, NewEmisData!$C:$C, $H78, NewEmisData!$D:$D, CU$6)</f>
        <v>3.9228568169430503E-3</v>
      </c>
      <c r="CV78" s="1111">
        <f>SUMIFS(NewEmisData!G:G, NewEmisData!$A:$A, $G78, NewEmisData!$B:$B, $A78, NewEmisData!$C:$C, $H78, NewEmisData!$D:$D, CV$6)</f>
        <v>6.0180787362878099E-3</v>
      </c>
      <c r="CW78" s="1111">
        <f>SUMIFS(NewEmisData!H:H, NewEmisData!$A:$A, $G78, NewEmisData!$B:$B, $A78, NewEmisData!$C:$C, $H78, NewEmisData!$D:$D, CW$6)</f>
        <v>6.0081059727209599E-3</v>
      </c>
      <c r="CX78" s="1111">
        <f>SUMIFS(NewEmisData!I:I, NewEmisData!$A:$A, $G78, NewEmisData!$B:$B, $A78, NewEmisData!$C:$C, $H78, NewEmisData!$D:$D, CX$6)</f>
        <v>6.0223865299690697E-3</v>
      </c>
      <c r="CY78" s="1111">
        <f>SUMIFS(NewEmisData!J:J, NewEmisData!$A:$A, $G78, NewEmisData!$B:$B, $A78, NewEmisData!$C:$C, $H78, NewEmisData!$D:$D, CY$6)</f>
        <v>6.0258969594508003E-3</v>
      </c>
      <c r="CZ78" s="1111">
        <f>SUMIFS(NewEmisData!K:K, NewEmisData!$A:$A, $G78, NewEmisData!$B:$B, $A78, NewEmisData!$C:$C, $H78, NewEmisData!$D:$D, CZ$6)</f>
        <v>6.0307176387692897E-3</v>
      </c>
      <c r="DA78" s="1111">
        <f>SUMIFS(NewEmisData!L:L, NewEmisData!$A:$A, $G78, NewEmisData!$B:$B, $A78, NewEmisData!$C:$C, $H78, NewEmisData!$D:$D, DA$6)</f>
        <v>6.0319705845977203E-3</v>
      </c>
      <c r="DB78" s="1111">
        <f>SUMIFS(NewEmisData!M:M, NewEmisData!$A:$A, $G78, NewEmisData!$B:$B, $A78, NewEmisData!$C:$C, $H78, NewEmisData!$D:$D, DB$6)</f>
        <v>6.0283362401861102E-3</v>
      </c>
      <c r="DC78" s="1111">
        <f t="shared" si="126"/>
        <v>6.0283362401861102E-3</v>
      </c>
      <c r="DD78" s="1111"/>
      <c r="DE78" s="1111"/>
      <c r="DF78" s="1111"/>
      <c r="DG78" s="1111"/>
      <c r="DH78" s="1111"/>
      <c r="DI78" s="1111"/>
      <c r="DJ78" s="1111"/>
      <c r="DK78" s="1111"/>
      <c r="DL78" s="1111"/>
      <c r="DM78" s="1111"/>
      <c r="DN78" s="1111"/>
      <c r="DO78" s="1111"/>
      <c r="DP78" s="1111"/>
      <c r="DQ78" s="1111"/>
      <c r="DR78" s="1111"/>
      <c r="DS78" s="1111"/>
      <c r="DT78" s="1111"/>
      <c r="DU78" s="1111"/>
      <c r="DV78" s="1111"/>
      <c r="DW78" s="1111"/>
      <c r="DX78" s="1111"/>
      <c r="DY78" s="1111"/>
      <c r="DZ78" s="1111">
        <f t="shared" si="127"/>
        <v>1.40033005820737E-2</v>
      </c>
      <c r="EA78" s="1111">
        <f>SUMIFS(NewEmisData!E:E, NewEmisData!$A:$A, $G78, NewEmisData!$B:$B, $A78, NewEmisData!$C:$C, $H78, NewEmisData!$D:$D, EA$6)</f>
        <v>1.40033005820737E-2</v>
      </c>
      <c r="EB78" s="1111">
        <f>SUMIFS(NewEmisData!F:F, NewEmisData!$A:$A, $G78, NewEmisData!$B:$B, $A78, NewEmisData!$C:$C, $H78, NewEmisData!$D:$D, EB$6)</f>
        <v>2.6809761202267801E-2</v>
      </c>
      <c r="EC78" s="1111">
        <f>SUMIFS(NewEmisData!G:G, NewEmisData!$A:$A, $G78, NewEmisData!$B:$B, $A78, NewEmisData!$C:$C, $H78, NewEmisData!$D:$D, EC$6)</f>
        <v>0.106442915223567</v>
      </c>
      <c r="ED78" s="1111">
        <f>SUMIFS(NewEmisData!H:H, NewEmisData!$A:$A, $G78, NewEmisData!$B:$B, $A78, NewEmisData!$C:$C, $H78, NewEmisData!$D:$D, ED$6)</f>
        <v>0.114238711864713</v>
      </c>
      <c r="EE78" s="1111">
        <f>SUMIFS(NewEmisData!I:I, NewEmisData!$A:$A, $G78, NewEmisData!$B:$B, $A78, NewEmisData!$C:$C, $H78, NewEmisData!$D:$D, EE$6)</f>
        <v>0.117878139049751</v>
      </c>
      <c r="EF78" s="1111">
        <f>SUMIFS(NewEmisData!J:J, NewEmisData!$A:$A, $G78, NewEmisData!$B:$B, $A78, NewEmisData!$C:$C, $H78, NewEmisData!$D:$D, EF$6)</f>
        <v>0.117418406823893</v>
      </c>
      <c r="EG78" s="1111">
        <f>SUMIFS(NewEmisData!K:K, NewEmisData!$A:$A, $G78, NewEmisData!$B:$B, $A78, NewEmisData!$C:$C, $H78, NewEmisData!$D:$D, EG$6)</f>
        <v>0.12035326609237</v>
      </c>
      <c r="EH78" s="1111">
        <f>SUMIFS(NewEmisData!L:L, NewEmisData!$A:$A, $G78, NewEmisData!$B:$B, $A78, NewEmisData!$C:$C, $H78, NewEmisData!$D:$D, EH$6)</f>
        <v>0.120291917587136</v>
      </c>
      <c r="EI78" s="1111">
        <f>SUMIFS(NewEmisData!M:M, NewEmisData!$A:$A, $G78, NewEmisData!$B:$B, $A78, NewEmisData!$C:$C, $H78, NewEmisData!$D:$D, EI$6)</f>
        <v>0.120135485992918</v>
      </c>
      <c r="EJ78" s="1111">
        <f t="shared" si="128"/>
        <v>0.120135485992918</v>
      </c>
      <c r="EK78" s="1111">
        <f t="shared" si="129"/>
        <v>1543.98093106499</v>
      </c>
      <c r="EL78" s="1111">
        <f t="shared" si="48"/>
        <v>1543.98093106499</v>
      </c>
      <c r="EM78" s="1111">
        <f t="shared" si="49"/>
        <v>1489.5901194539099</v>
      </c>
      <c r="EN78" s="1111">
        <f t="shared" si="50"/>
        <v>1760.12051639078</v>
      </c>
      <c r="EO78" s="1111">
        <f t="shared" si="51"/>
        <v>1725.691003145</v>
      </c>
      <c r="EP78" s="1111">
        <f t="shared" si="52"/>
        <v>1701.2652234181401</v>
      </c>
      <c r="EQ78" s="1111">
        <f t="shared" si="53"/>
        <v>1689.2419423004101</v>
      </c>
      <c r="ER78" s="1111">
        <f t="shared" si="54"/>
        <v>1686.0310473817101</v>
      </c>
      <c r="ES78" s="1111">
        <f t="shared" si="55"/>
        <v>1684.65387386569</v>
      </c>
      <c r="ET78" s="1111">
        <f t="shared" si="56"/>
        <v>1683.50748414707</v>
      </c>
      <c r="EU78" s="1111">
        <f t="shared" si="57"/>
        <v>1683.50748414707</v>
      </c>
      <c r="EV78" s="1111">
        <f t="shared" si="130"/>
        <v>18.668125395756</v>
      </c>
      <c r="EW78" s="1111">
        <f t="shared" si="38"/>
        <v>18.668125395756</v>
      </c>
      <c r="EX78" s="1111">
        <f t="shared" si="39"/>
        <v>11.1440380927276</v>
      </c>
      <c r="EY78" s="1111">
        <f t="shared" si="40"/>
        <v>5.7829202038421004</v>
      </c>
      <c r="EZ78" s="1111">
        <f t="shared" si="41"/>
        <v>3.20396695130832</v>
      </c>
      <c r="FA78" s="1111">
        <f t="shared" si="42"/>
        <v>2.2740618900591598</v>
      </c>
      <c r="FB78" s="1111">
        <f t="shared" si="43"/>
        <v>1.9371275562897501</v>
      </c>
      <c r="FC78" s="1111">
        <f t="shared" si="44"/>
        <v>1.7456585769951301</v>
      </c>
      <c r="FD78" s="1111">
        <f t="shared" si="45"/>
        <v>1.7403372468815299</v>
      </c>
      <c r="FE78" s="1111">
        <f t="shared" si="46"/>
        <v>1.7389528033933299</v>
      </c>
      <c r="FF78" s="1111">
        <f t="shared" si="47"/>
        <v>1.7389528033933299</v>
      </c>
      <c r="FG78" s="1111">
        <f t="shared" si="100"/>
        <v>3.8389239139431798E-2</v>
      </c>
      <c r="FH78" s="1111">
        <f t="shared" si="101"/>
        <v>3.8389239139431798E-2</v>
      </c>
      <c r="FI78" s="1111">
        <f t="shared" si="102"/>
        <v>3.6761798419934502E-2</v>
      </c>
      <c r="FJ78" s="1111">
        <f t="shared" si="103"/>
        <v>1.4889550958331501E-2</v>
      </c>
      <c r="FK78" s="1111">
        <f t="shared" si="104"/>
        <v>1.4468385512049001E-2</v>
      </c>
      <c r="FL78" s="1111">
        <f t="shared" si="105"/>
        <v>1.4209561374707899E-2</v>
      </c>
      <c r="FM78" s="1111">
        <f t="shared" si="106"/>
        <v>1.41029670885105E-2</v>
      </c>
      <c r="FN78" s="1111">
        <f t="shared" si="107"/>
        <v>1.4056650783011699E-2</v>
      </c>
      <c r="FO78" s="1111">
        <f t="shared" si="108"/>
        <v>1.4045167485360799E-2</v>
      </c>
      <c r="FP78" s="1111">
        <f t="shared" si="109"/>
        <v>1.4035601733995101E-2</v>
      </c>
      <c r="FQ78" s="1111">
        <f t="shared" si="110"/>
        <v>1.4035601733995101E-2</v>
      </c>
      <c r="FR78" s="1111">
        <f t="shared" si="25"/>
        <v>0.78674550377560604</v>
      </c>
      <c r="FS78" s="1111">
        <f t="shared" si="26"/>
        <v>0.78674550377560604</v>
      </c>
      <c r="FT78" s="1111">
        <f t="shared" si="27"/>
        <v>0.59435851753671198</v>
      </c>
      <c r="FU78" s="1111">
        <f t="shared" si="28"/>
        <v>0.48892752894583302</v>
      </c>
      <c r="FV78" s="1111">
        <f t="shared" si="29"/>
        <v>0.40673687636699701</v>
      </c>
      <c r="FW78" s="1111">
        <f t="shared" si="30"/>
        <v>0.37207197997484598</v>
      </c>
      <c r="FX78" s="1111">
        <f t="shared" si="31"/>
        <v>0.366996102766601</v>
      </c>
      <c r="FY78" s="1111">
        <f t="shared" si="32"/>
        <v>0.35822974357450499</v>
      </c>
      <c r="FZ78" s="1111">
        <f t="shared" si="33"/>
        <v>0.35809529827636299</v>
      </c>
      <c r="GA78" s="1111">
        <f t="shared" si="34"/>
        <v>0.358118172842192</v>
      </c>
      <c r="GB78" s="1111">
        <f t="shared" si="35"/>
        <v>0.358118172842192</v>
      </c>
      <c r="GC78" s="1111">
        <f t="shared" si="59"/>
        <v>0.55028448131832597</v>
      </c>
      <c r="GD78" s="1111">
        <f t="shared" si="60"/>
        <v>0.55028448131832597</v>
      </c>
      <c r="GE78" s="1111">
        <f t="shared" si="61"/>
        <v>0.38400745413618897</v>
      </c>
      <c r="GF78" s="1111">
        <f t="shared" si="62"/>
        <v>0.19465121057228399</v>
      </c>
      <c r="GG78" s="1111">
        <f t="shared" si="63"/>
        <v>0.118207278051221</v>
      </c>
      <c r="GH78" s="1111">
        <f t="shared" si="64"/>
        <v>8.6817069306160496E-2</v>
      </c>
      <c r="GI78" s="1111">
        <f t="shared" si="65"/>
        <v>8.22742664951428E-2</v>
      </c>
      <c r="GJ78" s="1111">
        <f t="shared" si="66"/>
        <v>7.4293747941119301E-2</v>
      </c>
      <c r="GK78" s="1111">
        <f t="shared" si="67"/>
        <v>7.4186721872420605E-2</v>
      </c>
      <c r="GL78" s="1111">
        <f t="shared" si="68"/>
        <v>7.4167760380950506E-2</v>
      </c>
      <c r="GM78" s="1111">
        <f t="shared" si="69"/>
        <v>7.4167760380950506E-2</v>
      </c>
    </row>
    <row r="79" spans="1:195" x14ac:dyDescent="0.2">
      <c r="A79" s="1071" t="s">
        <v>186</v>
      </c>
      <c r="B79" s="1071" t="str">
        <f>NewTech!B18</f>
        <v>TBDSLC</v>
      </c>
      <c r="C79" s="1071" t="str">
        <f>NewTech!C18</f>
        <v>Bus, Conventional Diesel</v>
      </c>
      <c r="D79" s="1071" t="str">
        <f>NewTech!D18</f>
        <v>bn-vmt, bn-vmt/a</v>
      </c>
      <c r="E79" s="1071" t="str">
        <f>NewTech!E18</f>
        <v>TBDSL</v>
      </c>
      <c r="F79" s="1071" t="str">
        <f>NewTech!F18</f>
        <v>TB</v>
      </c>
      <c r="G79" s="1110" t="s">
        <v>498</v>
      </c>
      <c r="H79" s="1110" t="s">
        <v>499</v>
      </c>
      <c r="I79" s="1112">
        <v>1</v>
      </c>
      <c r="J79" s="1111" t="str">
        <f t="shared" si="37"/>
        <v>Bus-DSL</v>
      </c>
      <c r="K79" s="1111">
        <f>SUMIFS(NewEmisData!E:E, NewEmisData!$A:$A, $G79, NewEmisData!$B:$B, $A79, NewEmisData!$C:$C, $H79, NewEmisData!$D:$D, K$6)</f>
        <v>2080.2970890730599</v>
      </c>
      <c r="L79" s="1111">
        <f>SUMIFS(NewEmisData!F:F, NewEmisData!$A:$A, $G79, NewEmisData!$B:$B, $A79, NewEmisData!$C:$C, $H79, NewEmisData!$D:$D, L$6)</f>
        <v>2109.4711930624499</v>
      </c>
      <c r="M79" s="1111">
        <f>SUMIFS(NewEmisData!G:G, NewEmisData!$A:$A, $G79, NewEmisData!$B:$B, $A79, NewEmisData!$C:$C, $H79, NewEmisData!$D:$D, M$6)</f>
        <v>2250.3411144545198</v>
      </c>
      <c r="N79" s="1111">
        <f>SUMIFS(NewEmisData!H:H, NewEmisData!$A:$A, $G79, NewEmisData!$B:$B, $A79, NewEmisData!$C:$C, $H79, NewEmisData!$D:$D, N$6)</f>
        <v>2207.8222571372398</v>
      </c>
      <c r="O79" s="1111">
        <f>SUMIFS(NewEmisData!I:I, NewEmisData!$A:$A, $G79, NewEmisData!$B:$B, $A79, NewEmisData!$C:$C, $H79, NewEmisData!$D:$D, O$6)</f>
        <v>2173.5129182212299</v>
      </c>
      <c r="P79" s="1111">
        <f>SUMIFS(NewEmisData!J:J, NewEmisData!$A:$A, $G79, NewEmisData!$B:$B, $A79, NewEmisData!$C:$C, $H79, NewEmisData!$D:$D, P$6)</f>
        <v>2157.1874680648498</v>
      </c>
      <c r="Q79" s="1111">
        <f>SUMIFS(NewEmisData!K:K, NewEmisData!$A:$A, $G79, NewEmisData!$B:$B, $A79, NewEmisData!$C:$C, $H79, NewEmisData!$D:$D, Q$6)</f>
        <v>2152.6343695246501</v>
      </c>
      <c r="R79" s="1111">
        <f>SUMIFS(NewEmisData!L:L, NewEmisData!$A:$A, $G79, NewEmisData!$B:$B, $A79, NewEmisData!$C:$C, $H79, NewEmisData!$D:$D, R$6)</f>
        <v>2151.1111734661499</v>
      </c>
      <c r="S79" s="1111">
        <f>SUMIFS(NewEmisData!M:M, NewEmisData!$A:$A, $G79, NewEmisData!$B:$B, $A79, NewEmisData!$C:$C, $H79, NewEmisData!$D:$D, S$6)</f>
        <v>2150.6160486070298</v>
      </c>
      <c r="T79" s="1111">
        <f t="shared" si="17"/>
        <v>2150.6160486070298</v>
      </c>
      <c r="U79" s="1111">
        <f>SUMIFS(NewEmisData!E:E, NewEmisData!$A:$A, $G79, NewEmisData!$B:$B, $A79, NewEmisData!$C:$C, $H79, NewEmisData!$D:$D, U$6)</f>
        <v>40.449529533420304</v>
      </c>
      <c r="V79" s="1111">
        <f>SUMIFS(NewEmisData!F:F, NewEmisData!$A:$A, $G79, NewEmisData!$B:$B, $A79, NewEmisData!$C:$C, $H79, NewEmisData!$D:$D, V$6)</f>
        <v>37.425839617300603</v>
      </c>
      <c r="W79" s="1111">
        <f>SUMIFS(NewEmisData!G:G, NewEmisData!$A:$A, $G79, NewEmisData!$B:$B, $A79, NewEmisData!$C:$C, $H79, NewEmisData!$D:$D, W$6)</f>
        <v>6.6428401041299603</v>
      </c>
      <c r="X79" s="1111">
        <f>SUMIFS(NewEmisData!H:H, NewEmisData!$A:$A, $G79, NewEmisData!$B:$B, $A79, NewEmisData!$C:$C, $H79, NewEmisData!$D:$D, X$6)</f>
        <v>3.77567960317164</v>
      </c>
      <c r="Y79" s="1111">
        <f>SUMIFS(NewEmisData!I:I, NewEmisData!$A:$A, $G79, NewEmisData!$B:$B, $A79, NewEmisData!$C:$C, $H79, NewEmisData!$D:$D, Y$6)</f>
        <v>2.6206386180811401</v>
      </c>
      <c r="Z79" s="1111">
        <f>SUMIFS(NewEmisData!J:J, NewEmisData!$A:$A, $G79, NewEmisData!$B:$B, $A79, NewEmisData!$C:$C, $H79, NewEmisData!$D:$D, Z$6)</f>
        <v>2.3009735743661102</v>
      </c>
      <c r="AA79" s="1111">
        <f>SUMIFS(NewEmisData!K:K, NewEmisData!$A:$A, $G79, NewEmisData!$B:$B, $A79, NewEmisData!$C:$C, $H79, NewEmisData!$D:$D, AA$6)</f>
        <v>2.1222500944201301</v>
      </c>
      <c r="AB79" s="1111">
        <f>SUMIFS(NewEmisData!L:L, NewEmisData!$A:$A, $G79, NewEmisData!$B:$B, $A79, NewEmisData!$C:$C, $H79, NewEmisData!$D:$D, AB$6)</f>
        <v>2.1170149680898702</v>
      </c>
      <c r="AC79" s="1111">
        <f>SUMIFS(NewEmisData!M:M, NewEmisData!$A:$A, $G79, NewEmisData!$B:$B, $A79, NewEmisData!$C:$C, $H79, NewEmisData!$D:$D, AC$6)</f>
        <v>2.1153875073054502</v>
      </c>
      <c r="AD79" s="1111">
        <f t="shared" si="18"/>
        <v>2.1153875073054502</v>
      </c>
      <c r="AE79" s="1111">
        <f t="shared" si="113"/>
        <v>5.2255737859281101E-2</v>
      </c>
      <c r="AF79" s="1111">
        <f>SUMIFS(NewEmisData!E:E, NewEmisData!$A:$A, $G79, NewEmisData!$B:$B, $A79, NewEmisData!$C:$C, $H79, NewEmisData!$D:$D, AF$6)</f>
        <v>5.2255737859281101E-2</v>
      </c>
      <c r="AG79" s="1111">
        <f>SUMIFS(NewEmisData!F:F, NewEmisData!$A:$A, $G79, NewEmisData!$B:$B, $A79, NewEmisData!$C:$C, $H79, NewEmisData!$D:$D, AG$6)</f>
        <v>5.2336961474348999E-2</v>
      </c>
      <c r="AH79" s="1111">
        <f>SUMIFS(NewEmisData!G:G, NewEmisData!$A:$A, $G79, NewEmisData!$B:$B, $A79, NewEmisData!$C:$C, $H79, NewEmisData!$D:$D, AH$6)</f>
        <v>1.90120187414001E-2</v>
      </c>
      <c r="AI79" s="1111">
        <f>SUMIFS(NewEmisData!H:H, NewEmisData!$A:$A, $G79, NewEmisData!$B:$B, $A79, NewEmisData!$C:$C, $H79, NewEmisData!$D:$D, AI$6)</f>
        <v>1.84874270200093E-2</v>
      </c>
      <c r="AJ79" s="1111">
        <f>SUMIFS(NewEmisData!I:I, NewEmisData!$A:$A, $G79, NewEmisData!$B:$B, $A79, NewEmisData!$C:$C, $H79, NewEmisData!$D:$D, AJ$6)</f>
        <v>1.8144374000154902E-2</v>
      </c>
      <c r="AK79" s="1111">
        <f>SUMIFS(NewEmisData!J:J, NewEmisData!$A:$A, $G79, NewEmisData!$B:$B, $A79, NewEmisData!$C:$C, $H79, NewEmisData!$D:$D, AK$6)</f>
        <v>1.7999854067365699E-2</v>
      </c>
      <c r="AL79" s="1111">
        <f>SUMIFS(NewEmisData!K:K, NewEmisData!$A:$A, $G79, NewEmisData!$B:$B, $A79, NewEmisData!$C:$C, $H79, NewEmisData!$D:$D, AL$6)</f>
        <v>1.7946771342725602E-2</v>
      </c>
      <c r="AM79" s="1111">
        <f>SUMIFS(NewEmisData!L:L, NewEmisData!$A:$A, $G79, NewEmisData!$B:$B, $A79, NewEmisData!$C:$C, $H79, NewEmisData!$D:$D, AM$6)</f>
        <v>1.7934071003801701E-2</v>
      </c>
      <c r="AN79" s="1111">
        <f>SUMIFS(NewEmisData!M:M, NewEmisData!$A:$A, $G79, NewEmisData!$B:$B, $A79, NewEmisData!$C:$C, $H79, NewEmisData!$D:$D, AN$6)</f>
        <v>1.79299478743845E-2</v>
      </c>
      <c r="AO79" s="1111">
        <f t="shared" si="114"/>
        <v>1.79299478743845E-2</v>
      </c>
      <c r="AP79" s="1111">
        <f t="shared" si="115"/>
        <v>3.1140708935215899</v>
      </c>
      <c r="AQ79" s="1111">
        <f>SUMIFS(NewEmisData!E:E, NewEmisData!$A:$A, $G79, NewEmisData!$B:$B, $A79, NewEmisData!$C:$C, $H79, NewEmisData!$D:$D, AQ$6)</f>
        <v>3.1140708935215899</v>
      </c>
      <c r="AR79" s="1111">
        <f>SUMIFS(NewEmisData!F:F, NewEmisData!$A:$A, $G79, NewEmisData!$B:$B, $A79, NewEmisData!$C:$C, $H79, NewEmisData!$D:$D, AR$6)</f>
        <v>2.8847204358426501</v>
      </c>
      <c r="AS79" s="1111">
        <f>SUMIFS(NewEmisData!G:G, NewEmisData!$A:$A, $G79, NewEmisData!$B:$B, $A79, NewEmisData!$C:$C, $H79, NewEmisData!$D:$D, AS$6)</f>
        <v>0.74809443085481597</v>
      </c>
      <c r="AT79" s="1111">
        <f>SUMIFS(NewEmisData!H:H, NewEmisData!$A:$A, $G79, NewEmisData!$B:$B, $A79, NewEmisData!$C:$C, $H79, NewEmisData!$D:$D, AT$6)</f>
        <v>0.62015789663876097</v>
      </c>
      <c r="AU79" s="1111">
        <f>SUMIFS(NewEmisData!I:I, NewEmisData!$A:$A, $G79, NewEmisData!$B:$B, $A79, NewEmisData!$C:$C, $H79, NewEmisData!$D:$D, AU$6)</f>
        <v>0.57506450514365803</v>
      </c>
      <c r="AV79" s="1111">
        <f>SUMIFS(NewEmisData!J:J, NewEmisData!$A:$A, $G79, NewEmisData!$B:$B, $A79, NewEmisData!$C:$C, $H79, NewEmisData!$D:$D, AV$6)</f>
        <v>0.56761442636626203</v>
      </c>
      <c r="AW79" s="1111">
        <f>SUMIFS(NewEmisData!K:K, NewEmisData!$A:$A, $G79, NewEmisData!$B:$B, $A79, NewEmisData!$C:$C, $H79, NewEmisData!$D:$D, AW$6)</f>
        <v>0.55955127050834697</v>
      </c>
      <c r="AX79" s="1111">
        <f>SUMIFS(NewEmisData!L:L, NewEmisData!$A:$A, $G79, NewEmisData!$B:$B, $A79, NewEmisData!$C:$C, $H79, NewEmisData!$D:$D, AX$6)</f>
        <v>0.55939324929766499</v>
      </c>
      <c r="AY79" s="1111">
        <f>SUMIFS(NewEmisData!M:M, NewEmisData!$A:$A, $G79, NewEmisData!$B:$B, $A79, NewEmisData!$C:$C, $H79, NewEmisData!$D:$D, AY$6)</f>
        <v>0.55957008556142196</v>
      </c>
      <c r="AZ79" s="1111">
        <f t="shared" si="116"/>
        <v>0.55957008556142196</v>
      </c>
      <c r="BA79" s="1111">
        <f t="shared" si="117"/>
        <v>2.5303145316281501</v>
      </c>
      <c r="BB79" s="1111">
        <f>SUMIFS(NewEmisData!E:E, NewEmisData!$A:$A, $G79, NewEmisData!$B:$B, $A79, NewEmisData!$C:$C, $H79, NewEmisData!$D:$D, BB$6)</f>
        <v>2.5303145316281501</v>
      </c>
      <c r="BC79" s="1111">
        <f>SUMIFS(NewEmisData!F:F, NewEmisData!$A:$A, $G79, NewEmisData!$B:$B, $A79, NewEmisData!$C:$C, $H79, NewEmisData!$D:$D, BC$6)</f>
        <v>2.3086681022657398</v>
      </c>
      <c r="BD79" s="1111">
        <f>SUMIFS(NewEmisData!G:G, NewEmisData!$A:$A, $G79, NewEmisData!$B:$B, $A79, NewEmisData!$C:$C, $H79, NewEmisData!$D:$D, BD$6)</f>
        <v>0.28378444504223299</v>
      </c>
      <c r="BE79" s="1111">
        <f>SUMIFS(NewEmisData!H:H, NewEmisData!$A:$A, $G79, NewEmisData!$B:$B, $A79, NewEmisData!$C:$C, $H79, NewEmisData!$D:$D, BE$6)</f>
        <v>0.16305711430309899</v>
      </c>
      <c r="BF79" s="1111">
        <f>SUMIFS(NewEmisData!I:I, NewEmisData!$A:$A, $G79, NewEmisData!$B:$B, $A79, NewEmisData!$C:$C, $H79, NewEmisData!$D:$D, BF$6)</f>
        <v>0.12268206574598001</v>
      </c>
      <c r="BG79" s="1111">
        <f>SUMIFS(NewEmisData!J:J, NewEmisData!$A:$A, $G79, NewEmisData!$B:$B, $A79, NewEmisData!$C:$C, $H79, NewEmisData!$D:$D, BG$6)</f>
        <v>0.11582611815709799</v>
      </c>
      <c r="BH79" s="1111">
        <f>SUMIFS(NewEmisData!K:K, NewEmisData!$A:$A, $G79, NewEmisData!$B:$B, $A79, NewEmisData!$C:$C, $H79, NewEmisData!$D:$D, BH$6)</f>
        <v>0.108668011205409</v>
      </c>
      <c r="BI79" s="1111">
        <f>SUMIFS(NewEmisData!L:L, NewEmisData!$A:$A, $G79, NewEmisData!$B:$B, $A79, NewEmisData!$C:$C, $H79, NewEmisData!$D:$D, BI$6)</f>
        <v>0.108570916199558</v>
      </c>
      <c r="BJ79" s="1111">
        <f>SUMIFS(NewEmisData!M:M, NewEmisData!$A:$A, $G79, NewEmisData!$B:$B, $A79, NewEmisData!$C:$C, $H79, NewEmisData!$D:$D, BJ$6)</f>
        <v>0.108581014611937</v>
      </c>
      <c r="BK79" s="1111">
        <f t="shared" si="118"/>
        <v>0.108581014611937</v>
      </c>
      <c r="BL79" s="1111">
        <f t="shared" si="119"/>
        <v>11.394784821519901</v>
      </c>
      <c r="BM79" s="1111">
        <f>SUMIFS(NewEmisData!E:E, NewEmisData!$A:$A, $G79, NewEmisData!$B:$B, $A79, NewEmisData!$C:$C, $H79, NewEmisData!$D:$D, BM$6)</f>
        <v>11.394784821519901</v>
      </c>
      <c r="BN79" s="1111">
        <f>SUMIFS(NewEmisData!F:F, NewEmisData!$A:$A, $G79, NewEmisData!$B:$B, $A79, NewEmisData!$C:$C, $H79, NewEmisData!$D:$D, BN$6)</f>
        <v>10.6563815549337</v>
      </c>
      <c r="BO79" s="1111">
        <f>SUMIFS(NewEmisData!G:G, NewEmisData!$A:$A, $G79, NewEmisData!$B:$B, $A79, NewEmisData!$C:$C, $H79, NewEmisData!$D:$D, BO$6)</f>
        <v>2.5217312345554999</v>
      </c>
      <c r="BP79" s="1111">
        <f>SUMIFS(NewEmisData!H:H, NewEmisData!$A:$A, $G79, NewEmisData!$B:$B, $A79, NewEmisData!$C:$C, $H79, NewEmisData!$D:$D, BP$6)</f>
        <v>1.32179357333326</v>
      </c>
      <c r="BQ79" s="1111">
        <f>SUMIFS(NewEmisData!I:I, NewEmisData!$A:$A, $G79, NewEmisData!$B:$B, $A79, NewEmisData!$C:$C, $H79, NewEmisData!$D:$D, BQ$6)</f>
        <v>1.08738121961483</v>
      </c>
      <c r="BR79" s="1111">
        <f>SUMIFS(NewEmisData!J:J, NewEmisData!$A:$A, $G79, NewEmisData!$B:$B, $A79, NewEmisData!$C:$C, $H79, NewEmisData!$D:$D, BR$6)</f>
        <v>0.93269004563424096</v>
      </c>
      <c r="BS79" s="1111">
        <f>SUMIFS(NewEmisData!K:K, NewEmisData!$A:$A, $G79, NewEmisData!$B:$B, $A79, NewEmisData!$C:$C, $H79, NewEmisData!$D:$D, BS$6)</f>
        <v>0.871599531751862</v>
      </c>
      <c r="BT79" s="1111">
        <f>SUMIFS(NewEmisData!L:L, NewEmisData!$A:$A, $G79, NewEmisData!$B:$B, $A79, NewEmisData!$C:$C, $H79, NewEmisData!$D:$D, BT$6)</f>
        <v>0.87139254201649397</v>
      </c>
      <c r="BU79" s="1111">
        <f>SUMIFS(NewEmisData!M:M, NewEmisData!$A:$A, $G79, NewEmisData!$B:$B, $A79, NewEmisData!$C:$C, $H79, NewEmisData!$D:$D, BU$6)</f>
        <v>0.870328181669625</v>
      </c>
      <c r="BV79" s="1111">
        <f t="shared" si="120"/>
        <v>0.870328181669625</v>
      </c>
      <c r="BW79" s="1111">
        <f t="shared" si="121"/>
        <v>2.3752781774376901</v>
      </c>
      <c r="BX79" s="1111">
        <f>SUMIFS(NewEmisData!E:E, NewEmisData!$A:$A, $G79, NewEmisData!$B:$B, $A79, NewEmisData!$C:$C, $H79, NewEmisData!$D:$D, BX$6)</f>
        <v>2.3752781774376901</v>
      </c>
      <c r="BY79" s="1111">
        <f>SUMIFS(NewEmisData!F:F, NewEmisData!$A:$A, $G79, NewEmisData!$B:$B, $A79, NewEmisData!$C:$C, $H79, NewEmisData!$D:$D, BY$6)</f>
        <v>2.1942926985453299</v>
      </c>
      <c r="BZ79" s="1111">
        <f>SUMIFS(NewEmisData!G:G, NewEmisData!$A:$A, $G79, NewEmisData!$B:$B, $A79, NewEmisData!$C:$C, $H79, NewEmisData!$D:$D, BZ$6)</f>
        <v>0.59763355306084598</v>
      </c>
      <c r="CA79" s="1111">
        <f>SUMIFS(NewEmisData!H:H, NewEmisData!$A:$A, $G79, NewEmisData!$B:$B, $A79, NewEmisData!$C:$C, $H79, NewEmisData!$D:$D, CA$6)</f>
        <v>0.29137621139391601</v>
      </c>
      <c r="CB79" s="1111">
        <f>SUMIFS(NewEmisData!I:I, NewEmisData!$A:$A, $G79, NewEmisData!$B:$B, $A79, NewEmisData!$C:$C, $H79, NewEmisData!$D:$D, CB$6)</f>
        <v>0.200801002522528</v>
      </c>
      <c r="CC79" s="1111">
        <f>SUMIFS(NewEmisData!J:J, NewEmisData!$A:$A, $G79, NewEmisData!$B:$B, $A79, NewEmisData!$C:$C, $H79, NewEmisData!$D:$D, CC$6)</f>
        <v>0.17642712606932701</v>
      </c>
      <c r="CD79" s="1111">
        <f>SUMIFS(NewEmisData!K:K, NewEmisData!$A:$A, $G79, NewEmisData!$B:$B, $A79, NewEmisData!$C:$C, $H79, NewEmisData!$D:$D, CD$6)</f>
        <v>0.151845237690554</v>
      </c>
      <c r="CE79" s="1111">
        <f>SUMIFS(NewEmisData!L:L, NewEmisData!$A:$A, $G79, NewEmisData!$B:$B, $A79, NewEmisData!$C:$C, $H79, NewEmisData!$D:$D, CE$6)</f>
        <v>0.15173882312273401</v>
      </c>
      <c r="CF79" s="1111">
        <f>SUMIFS(NewEmisData!M:M, NewEmisData!$A:$A, $G79, NewEmisData!$B:$B, $A79, NewEmisData!$C:$C, $H79, NewEmisData!$D:$D, CF$6)</f>
        <v>0.15169469158436399</v>
      </c>
      <c r="CG79" s="1111">
        <f t="shared" si="122"/>
        <v>0.15169469158436399</v>
      </c>
      <c r="CH79" s="1111">
        <f t="shared" si="123"/>
        <v>3.4941772828006E-2</v>
      </c>
      <c r="CI79" s="1111">
        <f>SUMIFS(NewEmisData!E:E, NewEmisData!$A:$A, $G79, NewEmisData!$B:$B, $A79, NewEmisData!$C:$C, $H79, NewEmisData!$D:$D, CI$6)</f>
        <v>3.4941772828006E-2</v>
      </c>
      <c r="CJ79" s="1111">
        <f>SUMIFS(NewEmisData!F:F, NewEmisData!$A:$A, $G79, NewEmisData!$B:$B, $A79, NewEmisData!$C:$C, $H79, NewEmisData!$D:$D, CJ$6)</f>
        <v>3.50217450182281E-2</v>
      </c>
      <c r="CK79" s="1111">
        <f>SUMIFS(NewEmisData!G:G, NewEmisData!$A:$A, $G79, NewEmisData!$B:$B, $A79, NewEmisData!$C:$C, $H79, NewEmisData!$D:$D, CK$6)</f>
        <v>3.9477724835296803E-2</v>
      </c>
      <c r="CL79" s="1111">
        <f>SUMIFS(NewEmisData!H:H, NewEmisData!$A:$A, $G79, NewEmisData!$B:$B, $A79, NewEmisData!$C:$C, $H79, NewEmisData!$D:$D, CL$6)</f>
        <v>3.9528644727434697E-2</v>
      </c>
      <c r="CM79" s="1111">
        <f>SUMIFS(NewEmisData!I:I, NewEmisData!$A:$A, $G79, NewEmisData!$B:$B, $A79, NewEmisData!$C:$C, $H79, NewEmisData!$D:$D, CM$6)</f>
        <v>3.95085168774486E-2</v>
      </c>
      <c r="CN79" s="1111">
        <f>SUMIFS(NewEmisData!J:J, NewEmisData!$A:$A, $G79, NewEmisData!$B:$B, $A79, NewEmisData!$C:$C, $H79, NewEmisData!$D:$D, CN$6)</f>
        <v>3.9508343326223903E-2</v>
      </c>
      <c r="CO79" s="1111">
        <f>SUMIFS(NewEmisData!K:K, NewEmisData!$A:$A, $G79, NewEmisData!$B:$B, $A79, NewEmisData!$C:$C, $H79, NewEmisData!$D:$D, CO$6)</f>
        <v>3.9503822065767399E-2</v>
      </c>
      <c r="CP79" s="1111">
        <f>SUMIFS(NewEmisData!L:L, NewEmisData!$A:$A, $G79, NewEmisData!$B:$B, $A79, NewEmisData!$C:$C, $H79, NewEmisData!$D:$D, CP$6)</f>
        <v>3.9502771622416701E-2</v>
      </c>
      <c r="CQ79" s="1111">
        <f>SUMIFS(NewEmisData!M:M, NewEmisData!$A:$A, $G79, NewEmisData!$B:$B, $A79, NewEmisData!$C:$C, $H79, NewEmisData!$D:$D, CQ$6)</f>
        <v>3.9505510322833698E-2</v>
      </c>
      <c r="CR79" s="1111">
        <f t="shared" si="124"/>
        <v>3.9505510322833698E-2</v>
      </c>
      <c r="CS79" s="1111">
        <f t="shared" si="125"/>
        <v>6.6012209147156302E-3</v>
      </c>
      <c r="CT79" s="1111">
        <f>SUMIFS(NewEmisData!E:E, NewEmisData!$A:$A, $G79, NewEmisData!$B:$B, $A79, NewEmisData!$C:$C, $H79, NewEmisData!$D:$D, CT$6)</f>
        <v>6.6012209147156302E-3</v>
      </c>
      <c r="CU79" s="1111">
        <f>SUMIFS(NewEmisData!F:F, NewEmisData!$A:$A, $G79, NewEmisData!$B:$B, $A79, NewEmisData!$C:$C, $H79, NewEmisData!$D:$D, CU$6)</f>
        <v>6.4073594557178398E-3</v>
      </c>
      <c r="CV79" s="1111">
        <f>SUMIFS(NewEmisData!G:G, NewEmisData!$A:$A, $G79, NewEmisData!$B:$B, $A79, NewEmisData!$C:$C, $H79, NewEmisData!$D:$D, CV$6)</f>
        <v>7.1648137678451997E-3</v>
      </c>
      <c r="CW79" s="1111">
        <f>SUMIFS(NewEmisData!H:H, NewEmisData!$A:$A, $G79, NewEmisData!$B:$B, $A79, NewEmisData!$C:$C, $H79, NewEmisData!$D:$D, CW$6)</f>
        <v>7.1602087071173399E-3</v>
      </c>
      <c r="CX79" s="1111">
        <f>SUMIFS(NewEmisData!I:I, NewEmisData!$A:$A, $G79, NewEmisData!$B:$B, $A79, NewEmisData!$C:$C, $H79, NewEmisData!$D:$D, CX$6)</f>
        <v>7.16455163233476E-3</v>
      </c>
      <c r="CY79" s="1111">
        <f>SUMIFS(NewEmisData!J:J, NewEmisData!$A:$A, $G79, NewEmisData!$B:$B, $A79, NewEmisData!$C:$C, $H79, NewEmisData!$D:$D, CY$6)</f>
        <v>7.1645367912074997E-3</v>
      </c>
      <c r="CZ79" s="1111">
        <f>SUMIFS(NewEmisData!K:K, NewEmisData!$A:$A, $G79, NewEmisData!$B:$B, $A79, NewEmisData!$C:$C, $H79, NewEmisData!$D:$D, CZ$6)</f>
        <v>7.1656509510186596E-3</v>
      </c>
      <c r="DA79" s="1111">
        <f>SUMIFS(NewEmisData!L:L, NewEmisData!$A:$A, $G79, NewEmisData!$B:$B, $A79, NewEmisData!$C:$C, $H79, NewEmisData!$D:$D, DA$6)</f>
        <v>7.1659123166224799E-3</v>
      </c>
      <c r="DB79" s="1111">
        <f>SUMIFS(NewEmisData!M:M, NewEmisData!$A:$A, $G79, NewEmisData!$B:$B, $A79, NewEmisData!$C:$C, $H79, NewEmisData!$D:$D, DB$6)</f>
        <v>7.1650737318779897E-3</v>
      </c>
      <c r="DC79" s="1111">
        <f t="shared" si="126"/>
        <v>7.1650737318779897E-3</v>
      </c>
      <c r="DD79" s="1111"/>
      <c r="DE79" s="1111"/>
      <c r="DF79" s="1111"/>
      <c r="DG79" s="1111"/>
      <c r="DH79" s="1111"/>
      <c r="DI79" s="1111"/>
      <c r="DJ79" s="1111"/>
      <c r="DK79" s="1111"/>
      <c r="DL79" s="1111"/>
      <c r="DM79" s="1111"/>
      <c r="DN79" s="1111"/>
      <c r="DO79" s="1111"/>
      <c r="DP79" s="1111"/>
      <c r="DQ79" s="1111"/>
      <c r="DR79" s="1111"/>
      <c r="DS79" s="1111"/>
      <c r="DT79" s="1111"/>
      <c r="DU79" s="1111"/>
      <c r="DV79" s="1111"/>
      <c r="DW79" s="1111"/>
      <c r="DX79" s="1111"/>
      <c r="DY79" s="1111"/>
      <c r="DZ79" s="1111">
        <f t="shared" si="127"/>
        <v>1.10654250023199E-2</v>
      </c>
      <c r="EA79" s="1111">
        <f>SUMIFS(NewEmisData!E:E, NewEmisData!$A:$A, $G79, NewEmisData!$B:$B, $A79, NewEmisData!$C:$C, $H79, NewEmisData!$D:$D, EA$6)</f>
        <v>1.10654250023199E-2</v>
      </c>
      <c r="EB79" s="1111">
        <f>SUMIFS(NewEmisData!F:F, NewEmisData!$A:$A, $G79, NewEmisData!$B:$B, $A79, NewEmisData!$C:$C, $H79, NewEmisData!$D:$D, EB$6)</f>
        <v>3.5717908538474501E-2</v>
      </c>
      <c r="EC79" s="1111">
        <f>SUMIFS(NewEmisData!G:G, NewEmisData!$A:$A, $G79, NewEmisData!$B:$B, $A79, NewEmisData!$C:$C, $H79, NewEmisData!$D:$D, EC$6)</f>
        <v>0.116951384194715</v>
      </c>
      <c r="ED79" s="1111">
        <f>SUMIFS(NewEmisData!H:H, NewEmisData!$A:$A, $G79, NewEmisData!$B:$B, $A79, NewEmisData!$C:$C, $H79, NewEmisData!$D:$D, ED$6)</f>
        <v>0.12541769151994001</v>
      </c>
      <c r="EE79" s="1111">
        <f>SUMIFS(NewEmisData!I:I, NewEmisData!$A:$A, $G79, NewEmisData!$B:$B, $A79, NewEmisData!$C:$C, $H79, NewEmisData!$D:$D, EE$6)</f>
        <v>0.12528032512760801</v>
      </c>
      <c r="EF79" s="1111">
        <f>SUMIFS(NewEmisData!J:J, NewEmisData!$A:$A, $G79, NewEmisData!$B:$B, $A79, NewEmisData!$C:$C, $H79, NewEmisData!$D:$D, EF$6)</f>
        <v>0.124793701298803</v>
      </c>
      <c r="EG79" s="1111">
        <f>SUMIFS(NewEmisData!K:K, NewEmisData!$A:$A, $G79, NewEmisData!$B:$B, $A79, NewEmisData!$C:$C, $H79, NewEmisData!$D:$D, EG$6)</f>
        <v>0.126229069683536</v>
      </c>
      <c r="EH79" s="1111">
        <f>SUMIFS(NewEmisData!L:L, NewEmisData!$A:$A, $G79, NewEmisData!$B:$B, $A79, NewEmisData!$C:$C, $H79, NewEmisData!$D:$D, EH$6)</f>
        <v>0.126140757204284</v>
      </c>
      <c r="EI79" s="1111">
        <f>SUMIFS(NewEmisData!M:M, NewEmisData!$A:$A, $G79, NewEmisData!$B:$B, $A79, NewEmisData!$C:$C, $H79, NewEmisData!$D:$D, EI$6)</f>
        <v>0.126101847596616</v>
      </c>
      <c r="EJ79" s="1111">
        <f t="shared" si="128"/>
        <v>0.126101847596616</v>
      </c>
      <c r="EK79" s="1111">
        <f t="shared" si="129"/>
        <v>2080.2970890730599</v>
      </c>
      <c r="EL79" s="1111">
        <f t="shared" si="48"/>
        <v>2080.2970890730599</v>
      </c>
      <c r="EM79" s="1111">
        <f t="shared" si="49"/>
        <v>2109.4711930624499</v>
      </c>
      <c r="EN79" s="1111">
        <f t="shared" si="50"/>
        <v>2250.3411144545198</v>
      </c>
      <c r="EO79" s="1111">
        <f t="shared" si="51"/>
        <v>2207.8222571372398</v>
      </c>
      <c r="EP79" s="1111">
        <f t="shared" si="52"/>
        <v>2173.5129182212299</v>
      </c>
      <c r="EQ79" s="1111">
        <f t="shared" si="53"/>
        <v>2157.1874680648498</v>
      </c>
      <c r="ER79" s="1111">
        <f t="shared" si="54"/>
        <v>2152.6343695246501</v>
      </c>
      <c r="ES79" s="1111">
        <f t="shared" si="55"/>
        <v>2151.1111734661499</v>
      </c>
      <c r="ET79" s="1111">
        <f t="shared" si="56"/>
        <v>2150.6160486070298</v>
      </c>
      <c r="EU79" s="1111">
        <f t="shared" si="57"/>
        <v>2150.6160486070298</v>
      </c>
      <c r="EV79" s="1111">
        <f t="shared" si="130"/>
        <v>40.449529533420304</v>
      </c>
      <c r="EW79" s="1111">
        <f t="shared" si="38"/>
        <v>40.449529533420304</v>
      </c>
      <c r="EX79" s="1111">
        <f t="shared" si="39"/>
        <v>37.425839617300603</v>
      </c>
      <c r="EY79" s="1111">
        <f t="shared" si="40"/>
        <v>6.6428401041299603</v>
      </c>
      <c r="EZ79" s="1111">
        <f t="shared" si="41"/>
        <v>3.77567960317164</v>
      </c>
      <c r="FA79" s="1111">
        <f t="shared" si="42"/>
        <v>2.6206386180811401</v>
      </c>
      <c r="FB79" s="1111">
        <f t="shared" si="43"/>
        <v>2.3009735743661102</v>
      </c>
      <c r="FC79" s="1111">
        <f t="shared" si="44"/>
        <v>2.1222500944201301</v>
      </c>
      <c r="FD79" s="1111">
        <f t="shared" si="45"/>
        <v>2.1170149680898702</v>
      </c>
      <c r="FE79" s="1111">
        <f t="shared" si="46"/>
        <v>2.1153875073054502</v>
      </c>
      <c r="FF79" s="1111">
        <f t="shared" si="47"/>
        <v>2.1153875073054502</v>
      </c>
      <c r="FG79" s="1111">
        <f t="shared" si="100"/>
        <v>5.2255737859281101E-2</v>
      </c>
      <c r="FH79" s="1111">
        <f t="shared" si="101"/>
        <v>5.2255737859281101E-2</v>
      </c>
      <c r="FI79" s="1111">
        <f t="shared" si="102"/>
        <v>5.2336961474348999E-2</v>
      </c>
      <c r="FJ79" s="1111">
        <f t="shared" si="103"/>
        <v>1.90120187414001E-2</v>
      </c>
      <c r="FK79" s="1111">
        <f t="shared" si="104"/>
        <v>1.84874270200093E-2</v>
      </c>
      <c r="FL79" s="1111">
        <f t="shared" si="105"/>
        <v>1.8144374000154902E-2</v>
      </c>
      <c r="FM79" s="1111">
        <f t="shared" si="106"/>
        <v>1.7999854067365699E-2</v>
      </c>
      <c r="FN79" s="1111">
        <f t="shared" si="107"/>
        <v>1.7946771342725602E-2</v>
      </c>
      <c r="FO79" s="1111">
        <f t="shared" si="108"/>
        <v>1.7934071003801701E-2</v>
      </c>
      <c r="FP79" s="1111">
        <f t="shared" si="109"/>
        <v>1.79299478743845E-2</v>
      </c>
      <c r="FQ79" s="1111">
        <f t="shared" si="110"/>
        <v>1.79299478743845E-2</v>
      </c>
      <c r="FR79" s="1111">
        <f t="shared" si="25"/>
        <v>3.1140708935215899</v>
      </c>
      <c r="FS79" s="1111">
        <f t="shared" si="26"/>
        <v>3.1140708935215899</v>
      </c>
      <c r="FT79" s="1111">
        <f t="shared" si="27"/>
        <v>2.8847204358426501</v>
      </c>
      <c r="FU79" s="1111">
        <f t="shared" si="28"/>
        <v>0.74809443085481597</v>
      </c>
      <c r="FV79" s="1111">
        <f t="shared" si="29"/>
        <v>0.62015789663876097</v>
      </c>
      <c r="FW79" s="1111">
        <f t="shared" si="30"/>
        <v>0.57506450514365803</v>
      </c>
      <c r="FX79" s="1111">
        <f t="shared" si="31"/>
        <v>0.56761442636626203</v>
      </c>
      <c r="FY79" s="1111">
        <f t="shared" si="32"/>
        <v>0.55955127050834697</v>
      </c>
      <c r="FZ79" s="1111">
        <f t="shared" si="33"/>
        <v>0.55939324929766499</v>
      </c>
      <c r="GA79" s="1111">
        <f t="shared" si="34"/>
        <v>0.55957008556142196</v>
      </c>
      <c r="GB79" s="1111">
        <f t="shared" si="35"/>
        <v>0.55957008556142196</v>
      </c>
      <c r="GC79" s="1111">
        <f t="shared" si="59"/>
        <v>2.5303145316281501</v>
      </c>
      <c r="GD79" s="1111">
        <f t="shared" si="60"/>
        <v>2.5303145316281501</v>
      </c>
      <c r="GE79" s="1111">
        <f t="shared" si="61"/>
        <v>2.3086681022657398</v>
      </c>
      <c r="GF79" s="1111">
        <f t="shared" si="62"/>
        <v>0.28378444504223299</v>
      </c>
      <c r="GG79" s="1111">
        <f t="shared" si="63"/>
        <v>0.16305711430309899</v>
      </c>
      <c r="GH79" s="1111">
        <f t="shared" si="64"/>
        <v>0.12268206574598001</v>
      </c>
      <c r="GI79" s="1111">
        <f t="shared" si="65"/>
        <v>0.11582611815709799</v>
      </c>
      <c r="GJ79" s="1111">
        <f t="shared" si="66"/>
        <v>0.108668011205409</v>
      </c>
      <c r="GK79" s="1111">
        <f t="shared" si="67"/>
        <v>0.108570916199558</v>
      </c>
      <c r="GL79" s="1111">
        <f t="shared" si="68"/>
        <v>0.108581014611937</v>
      </c>
      <c r="GM79" s="1111">
        <f t="shared" si="69"/>
        <v>0.108581014611937</v>
      </c>
    </row>
    <row r="80" spans="1:195" x14ac:dyDescent="0.2">
      <c r="A80" s="1071" t="s">
        <v>188</v>
      </c>
      <c r="B80" s="1071" t="str">
        <f>NewTech!B18</f>
        <v>TBDSLC</v>
      </c>
      <c r="C80" s="1071" t="str">
        <f>NewTech!C18</f>
        <v>Bus, Conventional Diesel</v>
      </c>
      <c r="D80" s="1071" t="str">
        <f>NewTech!D18</f>
        <v>bn-vmt, bn-vmt/a</v>
      </c>
      <c r="E80" s="1071" t="str">
        <f>NewTech!E18</f>
        <v>TBDSL</v>
      </c>
      <c r="F80" s="1071" t="str">
        <f>NewTech!F18</f>
        <v>TB</v>
      </c>
      <c r="G80" s="1110" t="s">
        <v>498</v>
      </c>
      <c r="H80" s="1110" t="s">
        <v>499</v>
      </c>
      <c r="I80" s="1112">
        <v>1</v>
      </c>
      <c r="J80" s="1111" t="str">
        <f t="shared" si="37"/>
        <v>Bus-DSL</v>
      </c>
      <c r="K80" s="1111">
        <f>SUMIFS(NewEmisData!E:E, NewEmisData!$A:$A, $G80, NewEmisData!$B:$B, $A80, NewEmisData!$C:$C, $H80, NewEmisData!$D:$D, K$6)</f>
        <v>1490.2976816476501</v>
      </c>
      <c r="L80" s="1111">
        <f>SUMIFS(NewEmisData!F:F, NewEmisData!$A:$A, $G80, NewEmisData!$B:$B, $A80, NewEmisData!$C:$C, $H80, NewEmisData!$D:$D, L$6)</f>
        <v>1626.84882020706</v>
      </c>
      <c r="M80" s="1111">
        <f>SUMIFS(NewEmisData!G:G, NewEmisData!$A:$A, $G80, NewEmisData!$B:$B, $A80, NewEmisData!$C:$C, $H80, NewEmisData!$D:$D, M$6)</f>
        <v>1458.6179661731101</v>
      </c>
      <c r="N80" s="1111">
        <f>SUMIFS(NewEmisData!H:H, NewEmisData!$A:$A, $G80, NewEmisData!$B:$B, $A80, NewEmisData!$C:$C, $H80, NewEmisData!$D:$D, N$6)</f>
        <v>1416.37770823441</v>
      </c>
      <c r="O80" s="1111">
        <f>SUMIFS(NewEmisData!I:I, NewEmisData!$A:$A, $G80, NewEmisData!$B:$B, $A80, NewEmisData!$C:$C, $H80, NewEmisData!$D:$D, O$6)</f>
        <v>1353.32178885294</v>
      </c>
      <c r="P80" s="1111">
        <f>SUMIFS(NewEmisData!J:J, NewEmisData!$A:$A, $G80, NewEmisData!$B:$B, $A80, NewEmisData!$C:$C, $H80, NewEmisData!$D:$D, P$6)</f>
        <v>1322.46976433435</v>
      </c>
      <c r="Q80" s="1111">
        <f>SUMIFS(NewEmisData!K:K, NewEmisData!$A:$A, $G80, NewEmisData!$B:$B, $A80, NewEmisData!$C:$C, $H80, NewEmisData!$D:$D, Q$6)</f>
        <v>1318.4113892753701</v>
      </c>
      <c r="R80" s="1111">
        <f>SUMIFS(NewEmisData!L:L, NewEmisData!$A:$A, $G80, NewEmisData!$B:$B, $A80, NewEmisData!$C:$C, $H80, NewEmisData!$D:$D, R$6)</f>
        <v>1317.4103236998201</v>
      </c>
      <c r="S80" s="1111">
        <f>SUMIFS(NewEmisData!M:M, NewEmisData!$A:$A, $G80, NewEmisData!$B:$B, $A80, NewEmisData!$C:$C, $H80, NewEmisData!$D:$D, S$6)</f>
        <v>1317.2762015215601</v>
      </c>
      <c r="T80" s="1111">
        <f t="shared" si="17"/>
        <v>1317.2762015215601</v>
      </c>
      <c r="U80" s="1111">
        <f>SUMIFS(NewEmisData!E:E, NewEmisData!$A:$A, $G80, NewEmisData!$B:$B, $A80, NewEmisData!$C:$C, $H80, NewEmisData!$D:$D, U$6)</f>
        <v>11.691833793473601</v>
      </c>
      <c r="V80" s="1111">
        <f>SUMIFS(NewEmisData!F:F, NewEmisData!$A:$A, $G80, NewEmisData!$B:$B, $A80, NewEmisData!$C:$C, $H80, NewEmisData!$D:$D, V$6)</f>
        <v>5.3676771149688802</v>
      </c>
      <c r="W80" s="1111">
        <f>SUMIFS(NewEmisData!G:G, NewEmisData!$A:$A, $G80, NewEmisData!$B:$B, $A80, NewEmisData!$C:$C, $H80, NewEmisData!$D:$D, W$6)</f>
        <v>3.6137202505642398</v>
      </c>
      <c r="X80" s="1111">
        <f>SUMIFS(NewEmisData!H:H, NewEmisData!$A:$A, $G80, NewEmisData!$B:$B, $A80, NewEmisData!$C:$C, $H80, NewEmisData!$D:$D, X$6)</f>
        <v>1.93222611085197</v>
      </c>
      <c r="Y80" s="1111">
        <f>SUMIFS(NewEmisData!I:I, NewEmisData!$A:$A, $G80, NewEmisData!$B:$B, $A80, NewEmisData!$C:$C, $H80, NewEmisData!$D:$D, Y$6)</f>
        <v>1.2904635466224801</v>
      </c>
      <c r="Z80" s="1111">
        <f>SUMIFS(NewEmisData!J:J, NewEmisData!$A:$A, $G80, NewEmisData!$B:$B, $A80, NewEmisData!$C:$C, $H80, NewEmisData!$D:$D, Z$6)</f>
        <v>1.20804258245566</v>
      </c>
      <c r="AA80" s="1111">
        <f>SUMIFS(NewEmisData!K:K, NewEmisData!$A:$A, $G80, NewEmisData!$B:$B, $A80, NewEmisData!$C:$C, $H80, NewEmisData!$D:$D, AA$6)</f>
        <v>1.1760366424397</v>
      </c>
      <c r="AB80" s="1111">
        <f>SUMIFS(NewEmisData!L:L, NewEmisData!$A:$A, $G80, NewEmisData!$B:$B, $A80, NewEmisData!$C:$C, $H80, NewEmisData!$D:$D, AB$6)</f>
        <v>1.1748287303099401</v>
      </c>
      <c r="AC80" s="1111">
        <f>SUMIFS(NewEmisData!M:M, NewEmisData!$A:$A, $G80, NewEmisData!$B:$B, $A80, NewEmisData!$C:$C, $H80, NewEmisData!$D:$D, AC$6)</f>
        <v>1.17443815932545</v>
      </c>
      <c r="AD80" s="1111">
        <f t="shared" si="18"/>
        <v>1.17443815932545</v>
      </c>
      <c r="AE80" s="1111">
        <f t="shared" si="113"/>
        <v>3.6717879284551301E-2</v>
      </c>
      <c r="AF80" s="1111">
        <f>SUMIFS(NewEmisData!E:E, NewEmisData!$A:$A, $G80, NewEmisData!$B:$B, $A80, NewEmisData!$C:$C, $H80, NewEmisData!$D:$D, AF$6)</f>
        <v>3.6717879284551301E-2</v>
      </c>
      <c r="AG80" s="1111">
        <f>SUMIFS(NewEmisData!F:F, NewEmisData!$A:$A, $G80, NewEmisData!$B:$B, $A80, NewEmisData!$C:$C, $H80, NewEmisData!$D:$D, AG$6)</f>
        <v>3.9098355675890401E-2</v>
      </c>
      <c r="AH80" s="1111">
        <f>SUMIFS(NewEmisData!G:G, NewEmisData!$A:$A, $G80, NewEmisData!$B:$B, $A80, NewEmisData!$C:$C, $H80, NewEmisData!$D:$D, AH$6)</f>
        <v>1.2334311567984301E-2</v>
      </c>
      <c r="AI80" s="1111">
        <f>SUMIFS(NewEmisData!H:H, NewEmisData!$A:$A, $G80, NewEmisData!$B:$B, $A80, NewEmisData!$C:$C, $H80, NewEmisData!$D:$D, AI$6)</f>
        <v>1.1840116163087199E-2</v>
      </c>
      <c r="AJ80" s="1111">
        <f>SUMIFS(NewEmisData!I:I, NewEmisData!$A:$A, $G80, NewEmisData!$B:$B, $A80, NewEmisData!$C:$C, $H80, NewEmisData!$D:$D, AJ$6)</f>
        <v>1.12892010251304E-2</v>
      </c>
      <c r="AK80" s="1111">
        <f>SUMIFS(NewEmisData!J:J, NewEmisData!$A:$A, $G80, NewEmisData!$B:$B, $A80, NewEmisData!$C:$C, $H80, NewEmisData!$D:$D, AK$6)</f>
        <v>1.10267582574557E-2</v>
      </c>
      <c r="AL80" s="1111">
        <f>SUMIFS(NewEmisData!K:K, NewEmisData!$A:$A, $G80, NewEmisData!$B:$B, $A80, NewEmisData!$C:$C, $H80, NewEmisData!$D:$D, AL$6)</f>
        <v>1.0991760238511099E-2</v>
      </c>
      <c r="AM80" s="1111">
        <f>SUMIFS(NewEmisData!L:L, NewEmisData!$A:$A, $G80, NewEmisData!$B:$B, $A80, NewEmisData!$C:$C, $H80, NewEmisData!$D:$D, AM$6)</f>
        <v>1.09834074162082E-2</v>
      </c>
      <c r="AN80" s="1111">
        <f>SUMIFS(NewEmisData!M:M, NewEmisData!$A:$A, $G80, NewEmisData!$B:$B, $A80, NewEmisData!$C:$C, $H80, NewEmisData!$D:$D, AN$6)</f>
        <v>1.09822886490272E-2</v>
      </c>
      <c r="AO80" s="1111">
        <f t="shared" si="114"/>
        <v>1.09822886490272E-2</v>
      </c>
      <c r="AP80" s="1111">
        <f t="shared" si="115"/>
        <v>1.1044131831227499</v>
      </c>
      <c r="AQ80" s="1111">
        <f>SUMIFS(NewEmisData!E:E, NewEmisData!$A:$A, $G80, NewEmisData!$B:$B, $A80, NewEmisData!$C:$C, $H80, NewEmisData!$D:$D, AQ$6)</f>
        <v>1.1044131831227499</v>
      </c>
      <c r="AR80" s="1111">
        <f>SUMIFS(NewEmisData!F:F, NewEmisData!$A:$A, $G80, NewEmisData!$B:$B, $A80, NewEmisData!$C:$C, $H80, NewEmisData!$D:$D, AR$6)</f>
        <v>0.69596448890826201</v>
      </c>
      <c r="AS80" s="1111">
        <f>SUMIFS(NewEmisData!G:G, NewEmisData!$A:$A, $G80, NewEmisData!$B:$B, $A80, NewEmisData!$C:$C, $H80, NewEmisData!$D:$D, AS$6)</f>
        <v>0.41688561176651601</v>
      </c>
      <c r="AT80" s="1111">
        <f>SUMIFS(NewEmisData!H:H, NewEmisData!$A:$A, $G80, NewEmisData!$B:$B, $A80, NewEmisData!$C:$C, $H80, NewEmisData!$D:$D, AT$6)</f>
        <v>0.29523682935823298</v>
      </c>
      <c r="AU80" s="1111">
        <f>SUMIFS(NewEmisData!I:I, NewEmisData!$A:$A, $G80, NewEmisData!$B:$B, $A80, NewEmisData!$C:$C, $H80, NewEmisData!$D:$D, AU$6)</f>
        <v>0.26722857671539402</v>
      </c>
      <c r="AV80" s="1111">
        <f>SUMIFS(NewEmisData!J:J, NewEmisData!$A:$A, $G80, NewEmisData!$B:$B, $A80, NewEmisData!$C:$C, $H80, NewEmisData!$D:$D, AV$6)</f>
        <v>0.259356859155779</v>
      </c>
      <c r="AW80" s="1111">
        <f>SUMIFS(NewEmisData!K:K, NewEmisData!$A:$A, $G80, NewEmisData!$B:$B, $A80, NewEmisData!$C:$C, $H80, NewEmisData!$D:$D, AW$6)</f>
        <v>0.25811596391799502</v>
      </c>
      <c r="AX80" s="1111">
        <f>SUMIFS(NewEmisData!L:L, NewEmisData!$A:$A, $G80, NewEmisData!$B:$B, $A80, NewEmisData!$C:$C, $H80, NewEmisData!$D:$D, AX$6)</f>
        <v>0.25800802926334099</v>
      </c>
      <c r="AY80" s="1111">
        <f>SUMIFS(NewEmisData!M:M, NewEmisData!$A:$A, $G80, NewEmisData!$B:$B, $A80, NewEmisData!$C:$C, $H80, NewEmisData!$D:$D, AY$6)</f>
        <v>0.258000316903299</v>
      </c>
      <c r="AZ80" s="1111">
        <f t="shared" si="116"/>
        <v>0.258000316903299</v>
      </c>
      <c r="BA80" s="1111">
        <f t="shared" si="117"/>
        <v>0.80515128163926197</v>
      </c>
      <c r="BB80" s="1111">
        <f>SUMIFS(NewEmisData!E:E, NewEmisData!$A:$A, $G80, NewEmisData!$B:$B, $A80, NewEmisData!$C:$C, $H80, NewEmisData!$D:$D, BB$6)</f>
        <v>0.80515128163926197</v>
      </c>
      <c r="BC80" s="1111">
        <f>SUMIFS(NewEmisData!F:F, NewEmisData!$A:$A, $G80, NewEmisData!$B:$B, $A80, NewEmisData!$C:$C, $H80, NewEmisData!$D:$D, BC$6)</f>
        <v>0.40385030676064299</v>
      </c>
      <c r="BD80" s="1111">
        <f>SUMIFS(NewEmisData!G:G, NewEmisData!$A:$A, $G80, NewEmisData!$B:$B, $A80, NewEmisData!$C:$C, $H80, NewEmisData!$D:$D, BD$6)</f>
        <v>0.191914712359671</v>
      </c>
      <c r="BE80" s="1111">
        <f>SUMIFS(NewEmisData!H:H, NewEmisData!$A:$A, $G80, NewEmisData!$B:$B, $A80, NewEmisData!$C:$C, $H80, NewEmisData!$D:$D, BE$6)</f>
        <v>7.9817965863261897E-2</v>
      </c>
      <c r="BF80" s="1111">
        <f>SUMIFS(NewEmisData!I:I, NewEmisData!$A:$A, $G80, NewEmisData!$B:$B, $A80, NewEmisData!$C:$C, $H80, NewEmisData!$D:$D, BF$6)</f>
        <v>5.8587138047291203E-2</v>
      </c>
      <c r="BG80" s="1111">
        <f>SUMIFS(NewEmisData!J:J, NewEmisData!$A:$A, $G80, NewEmisData!$B:$B, $A80, NewEmisData!$C:$C, $H80, NewEmisData!$D:$D, BG$6)</f>
        <v>5.3925401266024603E-2</v>
      </c>
      <c r="BH80" s="1111">
        <f>SUMIFS(NewEmisData!K:K, NewEmisData!$A:$A, $G80, NewEmisData!$B:$B, $A80, NewEmisData!$C:$C, $H80, NewEmisData!$D:$D, BH$6)</f>
        <v>5.3085681499215498E-2</v>
      </c>
      <c r="BI80" s="1111">
        <f>SUMIFS(NewEmisData!L:L, NewEmisData!$A:$A, $G80, NewEmisData!$B:$B, $A80, NewEmisData!$C:$C, $H80, NewEmisData!$D:$D, BI$6)</f>
        <v>5.3060223447352402E-2</v>
      </c>
      <c r="BJ80" s="1111">
        <f>SUMIFS(NewEmisData!M:M, NewEmisData!$A:$A, $G80, NewEmisData!$B:$B, $A80, NewEmisData!$C:$C, $H80, NewEmisData!$D:$D, BJ$6)</f>
        <v>5.30583578225301E-2</v>
      </c>
      <c r="BK80" s="1111">
        <f t="shared" si="118"/>
        <v>5.30583578225301E-2</v>
      </c>
      <c r="BL80" s="1111">
        <f t="shared" si="119"/>
        <v>5.0811910165099299</v>
      </c>
      <c r="BM80" s="1111">
        <f>SUMIFS(NewEmisData!E:E, NewEmisData!$A:$A, $G80, NewEmisData!$B:$B, $A80, NewEmisData!$C:$C, $H80, NewEmisData!$D:$D, BM$6)</f>
        <v>5.0811910165099299</v>
      </c>
      <c r="BN80" s="1111">
        <f>SUMIFS(NewEmisData!F:F, NewEmisData!$A:$A, $G80, NewEmisData!$B:$B, $A80, NewEmisData!$C:$C, $H80, NewEmisData!$D:$D, BN$6)</f>
        <v>2.7268470265204399</v>
      </c>
      <c r="BO80" s="1111">
        <f>SUMIFS(NewEmisData!G:G, NewEmisData!$A:$A, $G80, NewEmisData!$B:$B, $A80, NewEmisData!$C:$C, $H80, NewEmisData!$D:$D, BO$6)</f>
        <v>1.5355914449636101</v>
      </c>
      <c r="BP80" s="1111">
        <f>SUMIFS(NewEmisData!H:H, NewEmisData!$A:$A, $G80, NewEmisData!$B:$B, $A80, NewEmisData!$C:$C, $H80, NewEmisData!$D:$D, BP$6)</f>
        <v>0.89657237406968604</v>
      </c>
      <c r="BQ80" s="1111">
        <f>SUMIFS(NewEmisData!I:I, NewEmisData!$A:$A, $G80, NewEmisData!$B:$B, $A80, NewEmisData!$C:$C, $H80, NewEmisData!$D:$D, BQ$6)</f>
        <v>0.79413479693216504</v>
      </c>
      <c r="BR80" s="1111">
        <f>SUMIFS(NewEmisData!J:J, NewEmisData!$A:$A, $G80, NewEmisData!$B:$B, $A80, NewEmisData!$C:$C, $H80, NewEmisData!$D:$D, BR$6)</f>
        <v>0.78234582666351604</v>
      </c>
      <c r="BS80" s="1111">
        <f>SUMIFS(NewEmisData!K:K, NewEmisData!$A:$A, $G80, NewEmisData!$B:$B, $A80, NewEmisData!$C:$C, $H80, NewEmisData!$D:$D, BS$6)</f>
        <v>0.77895631877372495</v>
      </c>
      <c r="BT80" s="1111">
        <f>SUMIFS(NewEmisData!L:L, NewEmisData!$A:$A, $G80, NewEmisData!$B:$B, $A80, NewEmisData!$C:$C, $H80, NewEmisData!$D:$D, BT$6)</f>
        <v>0.77927504109494905</v>
      </c>
      <c r="BU80" s="1111">
        <f>SUMIFS(NewEmisData!M:M, NewEmisData!$A:$A, $G80, NewEmisData!$B:$B, $A80, NewEmisData!$C:$C, $H80, NewEmisData!$D:$D, BU$6)</f>
        <v>0.77930513165756399</v>
      </c>
      <c r="BV80" s="1111">
        <f t="shared" si="120"/>
        <v>0.77930513165756399</v>
      </c>
      <c r="BW80" s="1111">
        <f t="shared" si="121"/>
        <v>1.4965442116421701</v>
      </c>
      <c r="BX80" s="1111">
        <f>SUMIFS(NewEmisData!E:E, NewEmisData!$A:$A, $G80, NewEmisData!$B:$B, $A80, NewEmisData!$C:$C, $H80, NewEmisData!$D:$D, BX$6)</f>
        <v>1.4965442116421701</v>
      </c>
      <c r="BY80" s="1111">
        <f>SUMIFS(NewEmisData!F:F, NewEmisData!$A:$A, $G80, NewEmisData!$B:$B, $A80, NewEmisData!$C:$C, $H80, NewEmisData!$D:$D, BY$6)</f>
        <v>0.81900820559121901</v>
      </c>
      <c r="BZ80" s="1111">
        <f>SUMIFS(NewEmisData!G:G, NewEmisData!$A:$A, $G80, NewEmisData!$B:$B, $A80, NewEmisData!$C:$C, $H80, NewEmisData!$D:$D, BZ$6)</f>
        <v>0.36146735176794997</v>
      </c>
      <c r="CA80" s="1111">
        <f>SUMIFS(NewEmisData!H:H, NewEmisData!$A:$A, $G80, NewEmisData!$B:$B, $A80, NewEmisData!$C:$C, $H80, NewEmisData!$D:$D, CA$6)</f>
        <v>0.14039143137271001</v>
      </c>
      <c r="CB80" s="1111">
        <f>SUMIFS(NewEmisData!I:I, NewEmisData!$A:$A, $G80, NewEmisData!$B:$B, $A80, NewEmisData!$C:$C, $H80, NewEmisData!$D:$D, CB$6)</f>
        <v>0.101873557704856</v>
      </c>
      <c r="CC80" s="1111">
        <f>SUMIFS(NewEmisData!J:J, NewEmisData!$A:$A, $G80, NewEmisData!$B:$B, $A80, NewEmisData!$C:$C, $H80, NewEmisData!$D:$D, CC$6)</f>
        <v>9.43838462975264E-2</v>
      </c>
      <c r="CD80" s="1111">
        <f>SUMIFS(NewEmisData!K:K, NewEmisData!$A:$A, $G80, NewEmisData!$B:$B, $A80, NewEmisData!$C:$C, $H80, NewEmisData!$D:$D, CD$6)</f>
        <v>9.2903808201499405E-2</v>
      </c>
      <c r="CE80" s="1111">
        <f>SUMIFS(NewEmisData!L:L, NewEmisData!$A:$A, $G80, NewEmisData!$B:$B, $A80, NewEmisData!$C:$C, $H80, NewEmisData!$D:$D, CE$6)</f>
        <v>9.2890797107212E-2</v>
      </c>
      <c r="CF80" s="1111">
        <f>SUMIFS(NewEmisData!M:M, NewEmisData!$A:$A, $G80, NewEmisData!$B:$B, $A80, NewEmisData!$C:$C, $H80, NewEmisData!$D:$D, CF$6)</f>
        <v>9.2889380350906603E-2</v>
      </c>
      <c r="CG80" s="1111">
        <f t="shared" si="122"/>
        <v>9.2889380350906603E-2</v>
      </c>
      <c r="CH80" s="1111">
        <f t="shared" si="123"/>
        <v>2.6549169080668199E-2</v>
      </c>
      <c r="CI80" s="1111">
        <f>SUMIFS(NewEmisData!E:E, NewEmisData!$A:$A, $G80, NewEmisData!$B:$B, $A80, NewEmisData!$C:$C, $H80, NewEmisData!$D:$D, CI$6)</f>
        <v>2.6549169080668199E-2</v>
      </c>
      <c r="CJ80" s="1111">
        <f>SUMIFS(NewEmisData!F:F, NewEmisData!$A:$A, $G80, NewEmisData!$B:$B, $A80, NewEmisData!$C:$C, $H80, NewEmisData!$D:$D, CJ$6)</f>
        <v>2.7077377373300401E-2</v>
      </c>
      <c r="CK80" s="1111">
        <f>SUMIFS(NewEmisData!G:G, NewEmisData!$A:$A, $G80, NewEmisData!$B:$B, $A80, NewEmisData!$C:$C, $H80, NewEmisData!$D:$D, CK$6)</f>
        <v>2.6663646209720601E-2</v>
      </c>
      <c r="CL80" s="1111">
        <f>SUMIFS(NewEmisData!H:H, NewEmisData!$A:$A, $G80, NewEmisData!$B:$B, $A80, NewEmisData!$C:$C, $H80, NewEmisData!$D:$D, CL$6)</f>
        <v>2.6672380848637399E-2</v>
      </c>
      <c r="CM80" s="1111">
        <f>SUMIFS(NewEmisData!I:I, NewEmisData!$A:$A, $G80, NewEmisData!$B:$B, $A80, NewEmisData!$C:$C, $H80, NewEmisData!$D:$D, CM$6)</f>
        <v>2.6520469832871599E-2</v>
      </c>
      <c r="CN80" s="1111">
        <f>SUMIFS(NewEmisData!J:J, NewEmisData!$A:$A, $G80, NewEmisData!$B:$B, $A80, NewEmisData!$C:$C, $H80, NewEmisData!$D:$D, CN$6)</f>
        <v>2.64339024674058E-2</v>
      </c>
      <c r="CO80" s="1111">
        <f>SUMIFS(NewEmisData!K:K, NewEmisData!$A:$A, $G80, NewEmisData!$B:$B, $A80, NewEmisData!$C:$C, $H80, NewEmisData!$D:$D, CO$6)</f>
        <v>2.64237151596389E-2</v>
      </c>
      <c r="CP80" s="1111">
        <f>SUMIFS(NewEmisData!L:L, NewEmisData!$A:$A, $G80, NewEmisData!$B:$B, $A80, NewEmisData!$C:$C, $H80, NewEmisData!$D:$D, CP$6)</f>
        <v>2.64212319492989E-2</v>
      </c>
      <c r="CQ80" s="1111">
        <f>SUMIFS(NewEmisData!M:M, NewEmisData!$A:$A, $G80, NewEmisData!$B:$B, $A80, NewEmisData!$C:$C, $H80, NewEmisData!$D:$D, CQ$6)</f>
        <v>2.6421096884032502E-2</v>
      </c>
      <c r="CR80" s="1111">
        <f t="shared" si="124"/>
        <v>2.6421096884032502E-2</v>
      </c>
      <c r="CS80" s="1111">
        <f t="shared" si="125"/>
        <v>4.7042787259816803E-3</v>
      </c>
      <c r="CT80" s="1111">
        <f>SUMIFS(NewEmisData!E:E, NewEmisData!$A:$A, $G80, NewEmisData!$B:$B, $A80, NewEmisData!$C:$C, $H80, NewEmisData!$D:$D, CT$6)</f>
        <v>4.7042787259816803E-3</v>
      </c>
      <c r="CU80" s="1111">
        <f>SUMIFS(NewEmisData!F:F, NewEmisData!$A:$A, $G80, NewEmisData!$B:$B, $A80, NewEmisData!$C:$C, $H80, NewEmisData!$D:$D, CU$6)</f>
        <v>4.1781828368015099E-3</v>
      </c>
      <c r="CV80" s="1111">
        <f>SUMIFS(NewEmisData!G:G, NewEmisData!$A:$A, $G80, NewEmisData!$B:$B, $A80, NewEmisData!$C:$C, $H80, NewEmisData!$D:$D, CV$6)</f>
        <v>3.8352946013813899E-3</v>
      </c>
      <c r="CW80" s="1111">
        <f>SUMIFS(NewEmisData!H:H, NewEmisData!$A:$A, $G80, NewEmisData!$B:$B, $A80, NewEmisData!$C:$C, $H80, NewEmisData!$D:$D, CW$6)</f>
        <v>3.83525379596238E-3</v>
      </c>
      <c r="CX80" s="1111">
        <f>SUMIFS(NewEmisData!I:I, NewEmisData!$A:$A, $G80, NewEmisData!$B:$B, $A80, NewEmisData!$C:$C, $H80, NewEmisData!$D:$D, CX$6)</f>
        <v>3.8551413423649401E-3</v>
      </c>
      <c r="CY80" s="1111">
        <f>SUMIFS(NewEmisData!J:J, NewEmisData!$A:$A, $G80, NewEmisData!$B:$B, $A80, NewEmisData!$C:$C, $H80, NewEmisData!$D:$D, CY$6)</f>
        <v>3.8664534081897001E-3</v>
      </c>
      <c r="CZ80" s="1111">
        <f>SUMIFS(NewEmisData!K:K, NewEmisData!$A:$A, $G80, NewEmisData!$B:$B, $A80, NewEmisData!$C:$C, $H80, NewEmisData!$D:$D, CZ$6)</f>
        <v>3.8677677567543899E-3</v>
      </c>
      <c r="DA80" s="1111">
        <f>SUMIFS(NewEmisData!L:L, NewEmisData!$A:$A, $G80, NewEmisData!$B:$B, $A80, NewEmisData!$C:$C, $H80, NewEmisData!$D:$D, DA$6)</f>
        <v>3.8680901701993102E-3</v>
      </c>
      <c r="DB80" s="1111">
        <f>SUMIFS(NewEmisData!M:M, NewEmisData!$A:$A, $G80, NewEmisData!$B:$B, $A80, NewEmisData!$C:$C, $H80, NewEmisData!$D:$D, DB$6)</f>
        <v>3.86811796361387E-3</v>
      </c>
      <c r="DC80" s="1111">
        <f t="shared" si="126"/>
        <v>3.86811796361387E-3</v>
      </c>
      <c r="DD80" s="1111"/>
      <c r="DE80" s="1111"/>
      <c r="DF80" s="1111"/>
      <c r="DG80" s="1111"/>
      <c r="DH80" s="1111"/>
      <c r="DI80" s="1111"/>
      <c r="DJ80" s="1111"/>
      <c r="DK80" s="1111"/>
      <c r="DL80" s="1111"/>
      <c r="DM80" s="1111"/>
      <c r="DN80" s="1111"/>
      <c r="DO80" s="1111"/>
      <c r="DP80" s="1111"/>
      <c r="DQ80" s="1111"/>
      <c r="DR80" s="1111"/>
      <c r="DS80" s="1111"/>
      <c r="DT80" s="1111"/>
      <c r="DU80" s="1111"/>
      <c r="DV80" s="1111"/>
      <c r="DW80" s="1111"/>
      <c r="DX80" s="1111"/>
      <c r="DY80" s="1111"/>
      <c r="DZ80" s="1111">
        <f t="shared" si="127"/>
        <v>2.6013362636086799E-2</v>
      </c>
      <c r="EA80" s="1111">
        <f>SUMIFS(NewEmisData!E:E, NewEmisData!$A:$A, $G80, NewEmisData!$B:$B, $A80, NewEmisData!$C:$C, $H80, NewEmisData!$D:$D, EA$6)</f>
        <v>2.6013362636086799E-2</v>
      </c>
      <c r="EB80" s="1111">
        <f>SUMIFS(NewEmisData!F:F, NewEmisData!$A:$A, $G80, NewEmisData!$B:$B, $A80, NewEmisData!$C:$C, $H80, NewEmisData!$D:$D, EB$6)</f>
        <v>4.8912608547457603E-2</v>
      </c>
      <c r="EC80" s="1111">
        <f>SUMIFS(NewEmisData!G:G, NewEmisData!$A:$A, $G80, NewEmisData!$B:$B, $A80, NewEmisData!$C:$C, $H80, NewEmisData!$D:$D, EC$6)</f>
        <v>7.1548320352667602E-2</v>
      </c>
      <c r="ED80" s="1111">
        <f>SUMIFS(NewEmisData!H:H, NewEmisData!$A:$A, $G80, NewEmisData!$B:$B, $A80, NewEmisData!$C:$C, $H80, NewEmisData!$D:$D, ED$6)</f>
        <v>7.9138988379146596E-2</v>
      </c>
      <c r="EE80" s="1111">
        <f>SUMIFS(NewEmisData!I:I, NewEmisData!$A:$A, $G80, NewEmisData!$B:$B, $A80, NewEmisData!$C:$C, $H80, NewEmisData!$D:$D, EE$6)</f>
        <v>7.6655521242650904E-2</v>
      </c>
      <c r="EF80" s="1111">
        <f>SUMIFS(NewEmisData!J:J, NewEmisData!$A:$A, $G80, NewEmisData!$B:$B, $A80, NewEmisData!$C:$C, $H80, NewEmisData!$D:$D, EF$6)</f>
        <v>7.7190277276734304E-2</v>
      </c>
      <c r="EG80" s="1111">
        <f>SUMIFS(NewEmisData!K:K, NewEmisData!$A:$A, $G80, NewEmisData!$B:$B, $A80, NewEmisData!$C:$C, $H80, NewEmisData!$D:$D, EG$6)</f>
        <v>7.7123926881226601E-2</v>
      </c>
      <c r="EH80" s="1111">
        <f>SUMIFS(NewEmisData!L:L, NewEmisData!$A:$A, $G80, NewEmisData!$B:$B, $A80, NewEmisData!$C:$C, $H80, NewEmisData!$D:$D, EH$6)</f>
        <v>7.7127166689512902E-2</v>
      </c>
      <c r="EI80" s="1111">
        <f>SUMIFS(NewEmisData!M:M, NewEmisData!$A:$A, $G80, NewEmisData!$B:$B, $A80, NewEmisData!$C:$C, $H80, NewEmisData!$D:$D, EI$6)</f>
        <v>7.71279806751477E-2</v>
      </c>
      <c r="EJ80" s="1111">
        <f t="shared" si="128"/>
        <v>7.71279806751477E-2</v>
      </c>
      <c r="EK80" s="1111">
        <f t="shared" si="129"/>
        <v>1490.2976816476501</v>
      </c>
      <c r="EL80" s="1111">
        <f t="shared" si="48"/>
        <v>1490.2976816476501</v>
      </c>
      <c r="EM80" s="1111">
        <f t="shared" si="49"/>
        <v>1626.84882020706</v>
      </c>
      <c r="EN80" s="1111">
        <f t="shared" si="50"/>
        <v>1458.6179661731101</v>
      </c>
      <c r="EO80" s="1111">
        <f t="shared" si="51"/>
        <v>1416.37770823441</v>
      </c>
      <c r="EP80" s="1111">
        <f t="shared" si="52"/>
        <v>1353.32178885294</v>
      </c>
      <c r="EQ80" s="1111">
        <f t="shared" si="53"/>
        <v>1322.46976433435</v>
      </c>
      <c r="ER80" s="1111">
        <f t="shared" si="54"/>
        <v>1318.4113892753701</v>
      </c>
      <c r="ES80" s="1111">
        <f t="shared" si="55"/>
        <v>1317.4103236998201</v>
      </c>
      <c r="ET80" s="1111">
        <f t="shared" si="56"/>
        <v>1317.2762015215601</v>
      </c>
      <c r="EU80" s="1111">
        <f t="shared" si="57"/>
        <v>1317.2762015215601</v>
      </c>
      <c r="EV80" s="1111">
        <f t="shared" si="130"/>
        <v>11.691833793473601</v>
      </c>
      <c r="EW80" s="1111">
        <f t="shared" si="38"/>
        <v>11.691833793473601</v>
      </c>
      <c r="EX80" s="1111">
        <f t="shared" si="39"/>
        <v>5.3676771149688802</v>
      </c>
      <c r="EY80" s="1111">
        <f t="shared" si="40"/>
        <v>3.6137202505642398</v>
      </c>
      <c r="EZ80" s="1111">
        <f t="shared" si="41"/>
        <v>1.93222611085197</v>
      </c>
      <c r="FA80" s="1111">
        <f t="shared" si="42"/>
        <v>1.2904635466224801</v>
      </c>
      <c r="FB80" s="1111">
        <f t="shared" si="43"/>
        <v>1.20804258245566</v>
      </c>
      <c r="FC80" s="1111">
        <f t="shared" si="44"/>
        <v>1.1760366424397</v>
      </c>
      <c r="FD80" s="1111">
        <f t="shared" si="45"/>
        <v>1.1748287303099401</v>
      </c>
      <c r="FE80" s="1111">
        <f t="shared" si="46"/>
        <v>1.17443815932545</v>
      </c>
      <c r="FF80" s="1111">
        <f t="shared" si="47"/>
        <v>1.17443815932545</v>
      </c>
      <c r="FG80" s="1111">
        <f t="shared" si="100"/>
        <v>3.6717879284551301E-2</v>
      </c>
      <c r="FH80" s="1111">
        <f t="shared" si="101"/>
        <v>3.6717879284551301E-2</v>
      </c>
      <c r="FI80" s="1111">
        <f t="shared" si="102"/>
        <v>3.9098355675890401E-2</v>
      </c>
      <c r="FJ80" s="1111">
        <f t="shared" si="103"/>
        <v>1.2334311567984301E-2</v>
      </c>
      <c r="FK80" s="1111">
        <f t="shared" si="104"/>
        <v>1.1840116163087199E-2</v>
      </c>
      <c r="FL80" s="1111">
        <f t="shared" si="105"/>
        <v>1.12892010251304E-2</v>
      </c>
      <c r="FM80" s="1111">
        <f t="shared" si="106"/>
        <v>1.10267582574557E-2</v>
      </c>
      <c r="FN80" s="1111">
        <f t="shared" si="107"/>
        <v>1.0991760238511099E-2</v>
      </c>
      <c r="FO80" s="1111">
        <f t="shared" si="108"/>
        <v>1.09834074162082E-2</v>
      </c>
      <c r="FP80" s="1111">
        <f t="shared" si="109"/>
        <v>1.09822886490272E-2</v>
      </c>
      <c r="FQ80" s="1111">
        <f t="shared" si="110"/>
        <v>1.09822886490272E-2</v>
      </c>
      <c r="FR80" s="1111">
        <f t="shared" si="25"/>
        <v>1.1044131831227499</v>
      </c>
      <c r="FS80" s="1111">
        <f t="shared" si="26"/>
        <v>1.1044131831227499</v>
      </c>
      <c r="FT80" s="1111">
        <f t="shared" si="27"/>
        <v>0.69596448890826201</v>
      </c>
      <c r="FU80" s="1111">
        <f t="shared" si="28"/>
        <v>0.41688561176651601</v>
      </c>
      <c r="FV80" s="1111">
        <f t="shared" si="29"/>
        <v>0.29523682935823298</v>
      </c>
      <c r="FW80" s="1111">
        <f t="shared" si="30"/>
        <v>0.26722857671539402</v>
      </c>
      <c r="FX80" s="1111">
        <f t="shared" si="31"/>
        <v>0.259356859155779</v>
      </c>
      <c r="FY80" s="1111">
        <f t="shared" si="32"/>
        <v>0.25811596391799502</v>
      </c>
      <c r="FZ80" s="1111">
        <f t="shared" si="33"/>
        <v>0.25800802926334099</v>
      </c>
      <c r="GA80" s="1111">
        <f t="shared" si="34"/>
        <v>0.258000316903299</v>
      </c>
      <c r="GB80" s="1111">
        <f t="shared" si="35"/>
        <v>0.258000316903299</v>
      </c>
      <c r="GC80" s="1111">
        <f t="shared" si="59"/>
        <v>0.80515128163926197</v>
      </c>
      <c r="GD80" s="1111">
        <f t="shared" si="60"/>
        <v>0.80515128163926197</v>
      </c>
      <c r="GE80" s="1111">
        <f t="shared" si="61"/>
        <v>0.40385030676064299</v>
      </c>
      <c r="GF80" s="1111">
        <f t="shared" si="62"/>
        <v>0.191914712359671</v>
      </c>
      <c r="GG80" s="1111">
        <f t="shared" si="63"/>
        <v>7.9817965863261897E-2</v>
      </c>
      <c r="GH80" s="1111">
        <f t="shared" si="64"/>
        <v>5.8587138047291203E-2</v>
      </c>
      <c r="GI80" s="1111">
        <f t="shared" si="65"/>
        <v>5.3925401266024603E-2</v>
      </c>
      <c r="GJ80" s="1111">
        <f t="shared" si="66"/>
        <v>5.3085681499215498E-2</v>
      </c>
      <c r="GK80" s="1111">
        <f t="shared" si="67"/>
        <v>5.3060223447352402E-2</v>
      </c>
      <c r="GL80" s="1111">
        <f t="shared" si="68"/>
        <v>5.30583578225301E-2</v>
      </c>
      <c r="GM80" s="1111">
        <f t="shared" si="69"/>
        <v>5.30583578225301E-2</v>
      </c>
    </row>
    <row r="81" spans="1:195" x14ac:dyDescent="0.2">
      <c r="A81" s="1071" t="s">
        <v>190</v>
      </c>
      <c r="B81" s="1071" t="str">
        <f>NewTech!B18</f>
        <v>TBDSLC</v>
      </c>
      <c r="C81" s="1071" t="str">
        <f>NewTech!C18</f>
        <v>Bus, Conventional Diesel</v>
      </c>
      <c r="D81" s="1071" t="str">
        <f>NewTech!D18</f>
        <v>bn-vmt, bn-vmt/a</v>
      </c>
      <c r="E81" s="1071" t="str">
        <f>NewTech!E18</f>
        <v>TBDSL</v>
      </c>
      <c r="F81" s="1071" t="str">
        <f>NewTech!F18</f>
        <v>TB</v>
      </c>
      <c r="G81" s="1110" t="s">
        <v>498</v>
      </c>
      <c r="H81" s="1110" t="s">
        <v>499</v>
      </c>
      <c r="I81" s="1112">
        <v>1</v>
      </c>
      <c r="J81" s="1111" t="str">
        <f t="shared" si="37"/>
        <v>Bus-DSL</v>
      </c>
      <c r="K81" s="1111">
        <f>SUMIFS(NewEmisData!E:E, NewEmisData!$A:$A, $G81, NewEmisData!$B:$B, $A81, NewEmisData!$C:$C, $H81, NewEmisData!$D:$D, K$6)</f>
        <v>1790.56535119264</v>
      </c>
      <c r="L81" s="1111">
        <f>SUMIFS(NewEmisData!F:F, NewEmisData!$A:$A, $G81, NewEmisData!$B:$B, $A81, NewEmisData!$C:$C, $H81, NewEmisData!$D:$D, L$6)</f>
        <v>1706.0851984819999</v>
      </c>
      <c r="M81" s="1111">
        <f>SUMIFS(NewEmisData!G:G, NewEmisData!$A:$A, $G81, NewEmisData!$B:$B, $A81, NewEmisData!$C:$C, $H81, NewEmisData!$D:$D, M$6)</f>
        <v>1916.4119570956</v>
      </c>
      <c r="N81" s="1111">
        <f>SUMIFS(NewEmisData!H:H, NewEmisData!$A:$A, $G81, NewEmisData!$B:$B, $A81, NewEmisData!$C:$C, $H81, NewEmisData!$D:$D, N$6)</f>
        <v>1866.18041191016</v>
      </c>
      <c r="O81" s="1111">
        <f>SUMIFS(NewEmisData!I:I, NewEmisData!$A:$A, $G81, NewEmisData!$B:$B, $A81, NewEmisData!$C:$C, $H81, NewEmisData!$D:$D, O$6)</f>
        <v>1811.71928124037</v>
      </c>
      <c r="P81" s="1111">
        <f>SUMIFS(NewEmisData!J:J, NewEmisData!$A:$A, $G81, NewEmisData!$B:$B, $A81, NewEmisData!$C:$C, $H81, NewEmisData!$D:$D, P$6)</f>
        <v>1782.46239941771</v>
      </c>
      <c r="Q81" s="1111">
        <f>SUMIFS(NewEmisData!K:K, NewEmisData!$A:$A, $G81, NewEmisData!$B:$B, $A81, NewEmisData!$C:$C, $H81, NewEmisData!$D:$D, Q$6)</f>
        <v>1777.87090074862</v>
      </c>
      <c r="R81" s="1111">
        <f>SUMIFS(NewEmisData!L:L, NewEmisData!$A:$A, $G81, NewEmisData!$B:$B, $A81, NewEmisData!$C:$C, $H81, NewEmisData!$D:$D, R$6)</f>
        <v>1776.69085043776</v>
      </c>
      <c r="S81" s="1111">
        <f>SUMIFS(NewEmisData!M:M, NewEmisData!$A:$A, $G81, NewEmisData!$B:$B, $A81, NewEmisData!$C:$C, $H81, NewEmisData!$D:$D, S$6)</f>
        <v>1776.5151337741499</v>
      </c>
      <c r="T81" s="1111">
        <f t="shared" si="17"/>
        <v>1776.5151337741499</v>
      </c>
      <c r="U81" s="1111">
        <f>SUMIFS(NewEmisData!E:E, NewEmisData!$A:$A, $G81, NewEmisData!$B:$B, $A81, NewEmisData!$C:$C, $H81, NewEmisData!$D:$D, U$6)</f>
        <v>16.722091046014601</v>
      </c>
      <c r="V81" s="1111">
        <f>SUMIFS(NewEmisData!F:F, NewEmisData!$A:$A, $G81, NewEmisData!$B:$B, $A81, NewEmisData!$C:$C, $H81, NewEmisData!$D:$D, V$6)</f>
        <v>9.0752835435872505</v>
      </c>
      <c r="W81" s="1111">
        <f>SUMIFS(NewEmisData!G:G, NewEmisData!$A:$A, $G81, NewEmisData!$B:$B, $A81, NewEmisData!$C:$C, $H81, NewEmisData!$D:$D, W$6)</f>
        <v>4.5245768386744603</v>
      </c>
      <c r="X81" s="1111">
        <f>SUMIFS(NewEmisData!H:H, NewEmisData!$A:$A, $G81, NewEmisData!$B:$B, $A81, NewEmisData!$C:$C, $H81, NewEmisData!$D:$D, X$6)</f>
        <v>2.5948057206972099</v>
      </c>
      <c r="Y81" s="1111">
        <f>SUMIFS(NewEmisData!I:I, NewEmisData!$A:$A, $G81, NewEmisData!$B:$B, $A81, NewEmisData!$C:$C, $H81, NewEmisData!$D:$D, Y$6)</f>
        <v>1.7233209257637201</v>
      </c>
      <c r="Z81" s="1111">
        <f>SUMIFS(NewEmisData!J:J, NewEmisData!$A:$A, $G81, NewEmisData!$B:$B, $A81, NewEmisData!$C:$C, $H81, NewEmisData!$D:$D, Z$6)</f>
        <v>1.5952418098202701</v>
      </c>
      <c r="AA81" s="1111">
        <f>SUMIFS(NewEmisData!K:K, NewEmisData!$A:$A, $G81, NewEmisData!$B:$B, $A81, NewEmisData!$C:$C, $H81, NewEmisData!$D:$D, AA$6)</f>
        <v>1.5343950737018299</v>
      </c>
      <c r="AB81" s="1111">
        <f>SUMIFS(NewEmisData!L:L, NewEmisData!$A:$A, $G81, NewEmisData!$B:$B, $A81, NewEmisData!$C:$C, $H81, NewEmisData!$D:$D, AB$6)</f>
        <v>1.53213591619592</v>
      </c>
      <c r="AC81" s="1111">
        <f>SUMIFS(NewEmisData!M:M, NewEmisData!$A:$A, $G81, NewEmisData!$B:$B, $A81, NewEmisData!$C:$C, $H81, NewEmisData!$D:$D, AC$6)</f>
        <v>1.5313515267339699</v>
      </c>
      <c r="AD81" s="1111">
        <f t="shared" si="18"/>
        <v>1.5313515267339699</v>
      </c>
      <c r="AE81" s="1111">
        <f t="shared" si="113"/>
        <v>4.4119301126388497E-2</v>
      </c>
      <c r="AF81" s="1111">
        <f>SUMIFS(NewEmisData!E:E, NewEmisData!$A:$A, $G81, NewEmisData!$B:$B, $A81, NewEmisData!$C:$C, $H81, NewEmisData!$D:$D, AF$6)</f>
        <v>4.4119301126388497E-2</v>
      </c>
      <c r="AG81" s="1111">
        <f>SUMIFS(NewEmisData!F:F, NewEmisData!$A:$A, $G81, NewEmisData!$B:$B, $A81, NewEmisData!$C:$C, $H81, NewEmisData!$D:$D, AG$6)</f>
        <v>4.1262348975755703E-2</v>
      </c>
      <c r="AH81" s="1111">
        <f>SUMIFS(NewEmisData!G:G, NewEmisData!$A:$A, $G81, NewEmisData!$B:$B, $A81, NewEmisData!$C:$C, $H81, NewEmisData!$D:$D, AH$6)</f>
        <v>1.6180608348462199E-2</v>
      </c>
      <c r="AI81" s="1111">
        <f>SUMIFS(NewEmisData!H:H, NewEmisData!$A:$A, $G81, NewEmisData!$B:$B, $A81, NewEmisData!$C:$C, $H81, NewEmisData!$D:$D, AI$6)</f>
        <v>1.5603448697606799E-2</v>
      </c>
      <c r="AJ81" s="1111">
        <f>SUMIFS(NewEmisData!I:I, NewEmisData!$A:$A, $G81, NewEmisData!$B:$B, $A81, NewEmisData!$C:$C, $H81, NewEmisData!$D:$D, AJ$6)</f>
        <v>1.51144360777349E-2</v>
      </c>
      <c r="AK81" s="1111">
        <f>SUMIFS(NewEmisData!J:J, NewEmisData!$A:$A, $G81, NewEmisData!$B:$B, $A81, NewEmisData!$C:$C, $H81, NewEmisData!$D:$D, AK$6)</f>
        <v>1.48632492208765E-2</v>
      </c>
      <c r="AL81" s="1111">
        <f>SUMIFS(NewEmisData!K:K, NewEmisData!$A:$A, $G81, NewEmisData!$B:$B, $A81, NewEmisData!$C:$C, $H81, NewEmisData!$D:$D, AL$6)</f>
        <v>1.48223265055839E-2</v>
      </c>
      <c r="AM81" s="1111">
        <f>SUMIFS(NewEmisData!L:L, NewEmisData!$A:$A, $G81, NewEmisData!$B:$B, $A81, NewEmisData!$C:$C, $H81, NewEmisData!$D:$D, AM$6)</f>
        <v>1.4812489715302499E-2</v>
      </c>
      <c r="AN81" s="1111">
        <f>SUMIFS(NewEmisData!M:M, NewEmisData!$A:$A, $G81, NewEmisData!$B:$B, $A81, NewEmisData!$C:$C, $H81, NewEmisData!$D:$D, AN$6)</f>
        <v>1.4811022783827199E-2</v>
      </c>
      <c r="AO81" s="1111">
        <f t="shared" si="114"/>
        <v>1.4811022783827199E-2</v>
      </c>
      <c r="AP81" s="1111">
        <f t="shared" si="115"/>
        <v>1.28818009730681</v>
      </c>
      <c r="AQ81" s="1111">
        <f>SUMIFS(NewEmisData!E:E, NewEmisData!$A:$A, $G81, NewEmisData!$B:$B, $A81, NewEmisData!$C:$C, $H81, NewEmisData!$D:$D, AQ$6)</f>
        <v>1.28818009730681</v>
      </c>
      <c r="AR81" s="1111">
        <f>SUMIFS(NewEmisData!F:F, NewEmisData!$A:$A, $G81, NewEmisData!$B:$B, $A81, NewEmisData!$C:$C, $H81, NewEmisData!$D:$D, AR$6)</f>
        <v>0.82680779710365904</v>
      </c>
      <c r="AS81" s="1111">
        <f>SUMIFS(NewEmisData!G:G, NewEmisData!$A:$A, $G81, NewEmisData!$B:$B, $A81, NewEmisData!$C:$C, $H81, NewEmisData!$D:$D, AS$6)</f>
        <v>0.60179805225314997</v>
      </c>
      <c r="AT81" s="1111">
        <f>SUMIFS(NewEmisData!H:H, NewEmisData!$A:$A, $G81, NewEmisData!$B:$B, $A81, NewEmisData!$C:$C, $H81, NewEmisData!$D:$D, AT$6)</f>
        <v>0.46595581954183302</v>
      </c>
      <c r="AU81" s="1111">
        <f>SUMIFS(NewEmisData!I:I, NewEmisData!$A:$A, $G81, NewEmisData!$B:$B, $A81, NewEmisData!$C:$C, $H81, NewEmisData!$D:$D, AU$6)</f>
        <v>0.42951735045103701</v>
      </c>
      <c r="AV81" s="1111">
        <f>SUMIFS(NewEmisData!J:J, NewEmisData!$A:$A, $G81, NewEmisData!$B:$B, $A81, NewEmisData!$C:$C, $H81, NewEmisData!$D:$D, AV$6)</f>
        <v>0.41980468763527201</v>
      </c>
      <c r="AW81" s="1111">
        <f>SUMIFS(NewEmisData!K:K, NewEmisData!$A:$A, $G81, NewEmisData!$B:$B, $A81, NewEmisData!$C:$C, $H81, NewEmisData!$D:$D, AW$6)</f>
        <v>0.41759644007116198</v>
      </c>
      <c r="AX81" s="1111">
        <f>SUMIFS(NewEmisData!L:L, NewEmisData!$A:$A, $G81, NewEmisData!$B:$B, $A81, NewEmisData!$C:$C, $H81, NewEmisData!$D:$D, AX$6)</f>
        <v>0.41747064951560697</v>
      </c>
      <c r="AY81" s="1111">
        <f>SUMIFS(NewEmisData!M:M, NewEmisData!$A:$A, $G81, NewEmisData!$B:$B, $A81, NewEmisData!$C:$C, $H81, NewEmisData!$D:$D, AY$6)</f>
        <v>0.41748018000731701</v>
      </c>
      <c r="AZ81" s="1111">
        <f t="shared" si="116"/>
        <v>0.41748018000731701</v>
      </c>
      <c r="BA81" s="1111">
        <f t="shared" si="117"/>
        <v>0.93126594217890002</v>
      </c>
      <c r="BB81" s="1111">
        <f>SUMIFS(NewEmisData!E:E, NewEmisData!$A:$A, $G81, NewEmisData!$B:$B, $A81, NewEmisData!$C:$C, $H81, NewEmisData!$D:$D, BB$6)</f>
        <v>0.93126594217890002</v>
      </c>
      <c r="BC81" s="1111">
        <f>SUMIFS(NewEmisData!F:F, NewEmisData!$A:$A, $G81, NewEmisData!$B:$B, $A81, NewEmisData!$C:$C, $H81, NewEmisData!$D:$D, BC$6)</f>
        <v>0.51703307471742999</v>
      </c>
      <c r="BD81" s="1111">
        <f>SUMIFS(NewEmisData!G:G, NewEmisData!$A:$A, $G81, NewEmisData!$B:$B, $A81, NewEmisData!$C:$C, $H81, NewEmisData!$D:$D, BD$6)</f>
        <v>0.24432975283286401</v>
      </c>
      <c r="BE81" s="1111">
        <f>SUMIFS(NewEmisData!H:H, NewEmisData!$A:$A, $G81, NewEmisData!$B:$B, $A81, NewEmisData!$C:$C, $H81, NewEmisData!$D:$D, BE$6)</f>
        <v>0.11886455572614001</v>
      </c>
      <c r="BF81" s="1111">
        <f>SUMIFS(NewEmisData!I:I, NewEmisData!$A:$A, $G81, NewEmisData!$B:$B, $A81, NewEmisData!$C:$C, $H81, NewEmisData!$D:$D, BF$6)</f>
        <v>8.9573048763309293E-2</v>
      </c>
      <c r="BG81" s="1111">
        <f>SUMIFS(NewEmisData!J:J, NewEmisData!$A:$A, $G81, NewEmisData!$B:$B, $A81, NewEmisData!$C:$C, $H81, NewEmisData!$D:$D, BG$6)</f>
        <v>8.3197971818451094E-2</v>
      </c>
      <c r="BH81" s="1111">
        <f>SUMIFS(NewEmisData!K:K, NewEmisData!$A:$A, $G81, NewEmisData!$B:$B, $A81, NewEmisData!$C:$C, $H81, NewEmisData!$D:$D, BH$6)</f>
        <v>8.15020489665223E-2</v>
      </c>
      <c r="BI81" s="1111">
        <f>SUMIFS(NewEmisData!L:L, NewEmisData!$A:$A, $G81, NewEmisData!$B:$B, $A81, NewEmisData!$C:$C, $H81, NewEmisData!$D:$D, BI$6)</f>
        <v>8.1467138980072906E-2</v>
      </c>
      <c r="BJ81" s="1111">
        <f>SUMIFS(NewEmisData!M:M, NewEmisData!$A:$A, $G81, NewEmisData!$B:$B, $A81, NewEmisData!$C:$C, $H81, NewEmisData!$D:$D, BJ$6)</f>
        <v>8.1466979548160803E-2</v>
      </c>
      <c r="BK81" s="1111">
        <f t="shared" si="118"/>
        <v>8.1466979548160803E-2</v>
      </c>
      <c r="BL81" s="1111">
        <f t="shared" si="119"/>
        <v>4.9983132073964702</v>
      </c>
      <c r="BM81" s="1111">
        <f>SUMIFS(NewEmisData!E:E, NewEmisData!$A:$A, $G81, NewEmisData!$B:$B, $A81, NewEmisData!$C:$C, $H81, NewEmisData!$D:$D, BM$6)</f>
        <v>4.9983132073964702</v>
      </c>
      <c r="BN81" s="1111">
        <f>SUMIFS(NewEmisData!F:F, NewEmisData!$A:$A, $G81, NewEmisData!$B:$B, $A81, NewEmisData!$C:$C, $H81, NewEmisData!$D:$D, BN$6)</f>
        <v>3.3127673342487598</v>
      </c>
      <c r="BO81" s="1111">
        <f>SUMIFS(NewEmisData!G:G, NewEmisData!$A:$A, $G81, NewEmisData!$B:$B, $A81, NewEmisData!$C:$C, $H81, NewEmisData!$D:$D, BO$6)</f>
        <v>1.60960521526057</v>
      </c>
      <c r="BP81" s="1111">
        <f>SUMIFS(NewEmisData!H:H, NewEmisData!$A:$A, $G81, NewEmisData!$B:$B, $A81, NewEmisData!$C:$C, $H81, NewEmisData!$D:$D, BP$6)</f>
        <v>0.894212041026479</v>
      </c>
      <c r="BQ81" s="1111">
        <f>SUMIFS(NewEmisData!I:I, NewEmisData!$A:$A, $G81, NewEmisData!$B:$B, $A81, NewEmisData!$C:$C, $H81, NewEmisData!$D:$D, BQ$6)</f>
        <v>0.75145962562216695</v>
      </c>
      <c r="BR81" s="1111">
        <f>SUMIFS(NewEmisData!J:J, NewEmisData!$A:$A, $G81, NewEmisData!$B:$B, $A81, NewEmisData!$C:$C, $H81, NewEmisData!$D:$D, BR$6)</f>
        <v>0.72015406798909798</v>
      </c>
      <c r="BS81" s="1111">
        <f>SUMIFS(NewEmisData!K:K, NewEmisData!$A:$A, $G81, NewEmisData!$B:$B, $A81, NewEmisData!$C:$C, $H81, NewEmisData!$D:$D, BS$6)</f>
        <v>0.710754907060967</v>
      </c>
      <c r="BT81" s="1111">
        <f>SUMIFS(NewEmisData!L:L, NewEmisData!$A:$A, $G81, NewEmisData!$B:$B, $A81, NewEmisData!$C:$C, $H81, NewEmisData!$D:$D, BT$6)</f>
        <v>0.71094846275188905</v>
      </c>
      <c r="BU81" s="1111">
        <f>SUMIFS(NewEmisData!M:M, NewEmisData!$A:$A, $G81, NewEmisData!$B:$B, $A81, NewEmisData!$C:$C, $H81, NewEmisData!$D:$D, BU$6)</f>
        <v>0.71093129266241195</v>
      </c>
      <c r="BV81" s="1111">
        <f t="shared" si="120"/>
        <v>0.71093129266241195</v>
      </c>
      <c r="BW81" s="1111">
        <f t="shared" si="121"/>
        <v>1.2734247511090699</v>
      </c>
      <c r="BX81" s="1111">
        <f>SUMIFS(NewEmisData!E:E, NewEmisData!$A:$A, $G81, NewEmisData!$B:$B, $A81, NewEmisData!$C:$C, $H81, NewEmisData!$D:$D, BX$6)</f>
        <v>1.2734247511090699</v>
      </c>
      <c r="BY81" s="1111">
        <f>SUMIFS(NewEmisData!F:F, NewEmisData!$A:$A, $G81, NewEmisData!$B:$B, $A81, NewEmisData!$C:$C, $H81, NewEmisData!$D:$D, BY$6)</f>
        <v>0.85962926200607204</v>
      </c>
      <c r="BZ81" s="1111">
        <f>SUMIFS(NewEmisData!G:G, NewEmisData!$A:$A, $G81, NewEmisData!$B:$B, $A81, NewEmisData!$C:$C, $H81, NewEmisData!$D:$D, BZ$6)</f>
        <v>0.40893411947898201</v>
      </c>
      <c r="CA81" s="1111">
        <f>SUMIFS(NewEmisData!H:H, NewEmisData!$A:$A, $G81, NewEmisData!$B:$B, $A81, NewEmisData!$C:$C, $H81, NewEmisData!$D:$D, CA$6)</f>
        <v>0.18002819141014001</v>
      </c>
      <c r="CB81" s="1111">
        <f>SUMIFS(NewEmisData!I:I, NewEmisData!$A:$A, $G81, NewEmisData!$B:$B, $A81, NewEmisData!$C:$C, $H81, NewEmisData!$D:$D, CB$6)</f>
        <v>0.13027199977422399</v>
      </c>
      <c r="CC81" s="1111">
        <f>SUMIFS(NewEmisData!J:J, NewEmisData!$A:$A, $G81, NewEmisData!$B:$B, $A81, NewEmisData!$C:$C, $H81, NewEmisData!$D:$D, CC$6)</f>
        <v>0.11933161730892</v>
      </c>
      <c r="CD81" s="1111">
        <f>SUMIFS(NewEmisData!K:K, NewEmisData!$A:$A, $G81, NewEmisData!$B:$B, $A81, NewEmisData!$C:$C, $H81, NewEmisData!$D:$D, CD$6)</f>
        <v>0.115736737885468</v>
      </c>
      <c r="CE81" s="1111">
        <f>SUMIFS(NewEmisData!L:L, NewEmisData!$A:$A, $G81, NewEmisData!$B:$B, $A81, NewEmisData!$C:$C, $H81, NewEmisData!$D:$D, CE$6)</f>
        <v>0.11570899631981101</v>
      </c>
      <c r="CF81" s="1111">
        <f>SUMIFS(NewEmisData!M:M, NewEmisData!$A:$A, $G81, NewEmisData!$B:$B, $A81, NewEmisData!$C:$C, $H81, NewEmisData!$D:$D, CF$6)</f>
        <v>0.115706029517275</v>
      </c>
      <c r="CG81" s="1111">
        <f t="shared" si="122"/>
        <v>0.115706029517275</v>
      </c>
      <c r="CH81" s="1111">
        <f t="shared" si="123"/>
        <v>2.7041321564936001E-2</v>
      </c>
      <c r="CI81" s="1111">
        <f>SUMIFS(NewEmisData!E:E, NewEmisData!$A:$A, $G81, NewEmisData!$B:$B, $A81, NewEmisData!$C:$C, $H81, NewEmisData!$D:$D, CI$6)</f>
        <v>2.7041321564936001E-2</v>
      </c>
      <c r="CJ81" s="1111">
        <f>SUMIFS(NewEmisData!F:F, NewEmisData!$A:$A, $G81, NewEmisData!$B:$B, $A81, NewEmisData!$C:$C, $H81, NewEmisData!$D:$D, CJ$6)</f>
        <v>2.68548734432397E-2</v>
      </c>
      <c r="CK81" s="1111">
        <f>SUMIFS(NewEmisData!G:G, NewEmisData!$A:$A, $G81, NewEmisData!$B:$B, $A81, NewEmisData!$C:$C, $H81, NewEmisData!$D:$D, CK$6)</f>
        <v>3.1678107064147802E-2</v>
      </c>
      <c r="CL81" s="1111">
        <f>SUMIFS(NewEmisData!H:H, NewEmisData!$A:$A, $G81, NewEmisData!$B:$B, $A81, NewEmisData!$C:$C, $H81, NewEmisData!$D:$D, CL$6)</f>
        <v>3.16916643909044E-2</v>
      </c>
      <c r="CM81" s="1111">
        <f>SUMIFS(NewEmisData!I:I, NewEmisData!$A:$A, $G81, NewEmisData!$B:$B, $A81, NewEmisData!$C:$C, $H81, NewEmisData!$D:$D, CM$6)</f>
        <v>3.16017171085268E-2</v>
      </c>
      <c r="CN81" s="1111">
        <f>SUMIFS(NewEmisData!J:J, NewEmisData!$A:$A, $G81, NewEmisData!$B:$B, $A81, NewEmisData!$C:$C, $H81, NewEmisData!$D:$D, CN$6)</f>
        <v>3.1547836778164702E-2</v>
      </c>
      <c r="CO81" s="1111">
        <f>SUMIFS(NewEmisData!K:K, NewEmisData!$A:$A, $G81, NewEmisData!$B:$B, $A81, NewEmisData!$C:$C, $H81, NewEmisData!$D:$D, CO$6)</f>
        <v>3.1540538757987402E-2</v>
      </c>
      <c r="CP81" s="1111">
        <f>SUMIFS(NewEmisData!L:L, NewEmisData!$A:$A, $G81, NewEmisData!$B:$B, $A81, NewEmisData!$C:$C, $H81, NewEmisData!$D:$D, CP$6)</f>
        <v>3.1538787124503802E-2</v>
      </c>
      <c r="CQ81" s="1111">
        <f>SUMIFS(NewEmisData!M:M, NewEmisData!$A:$A, $G81, NewEmisData!$B:$B, $A81, NewEmisData!$C:$C, $H81, NewEmisData!$D:$D, CQ$6)</f>
        <v>3.1539113108823097E-2</v>
      </c>
      <c r="CR81" s="1111">
        <f t="shared" si="124"/>
        <v>3.1539113108823097E-2</v>
      </c>
      <c r="CS81" s="1111">
        <f t="shared" si="125"/>
        <v>3.8053813200333601E-3</v>
      </c>
      <c r="CT81" s="1111">
        <f>SUMIFS(NewEmisData!E:E, NewEmisData!$A:$A, $G81, NewEmisData!$B:$B, $A81, NewEmisData!$C:$C, $H81, NewEmisData!$D:$D, CT$6)</f>
        <v>3.8053813200333601E-3</v>
      </c>
      <c r="CU81" s="1111">
        <f>SUMIFS(NewEmisData!F:F, NewEmisData!$A:$A, $G81, NewEmisData!$B:$B, $A81, NewEmisData!$C:$C, $H81, NewEmisData!$D:$D, CU$6)</f>
        <v>3.8816671778757802E-3</v>
      </c>
      <c r="CV81" s="1111">
        <f>SUMIFS(NewEmisData!G:G, NewEmisData!$A:$A, $G81, NewEmisData!$B:$B, $A81, NewEmisData!$C:$C, $H81, NewEmisData!$D:$D, CV$6)</f>
        <v>4.8845093825486303E-3</v>
      </c>
      <c r="CW81" s="1111">
        <f>SUMIFS(NewEmisData!H:H, NewEmisData!$A:$A, $G81, NewEmisData!$B:$B, $A81, NewEmisData!$C:$C, $H81, NewEmisData!$D:$D, CW$6)</f>
        <v>4.8845901221928898E-3</v>
      </c>
      <c r="CX81" s="1111">
        <f>SUMIFS(NewEmisData!I:I, NewEmisData!$A:$A, $G81, NewEmisData!$B:$B, $A81, NewEmisData!$C:$C, $H81, NewEmisData!$D:$D, CX$6)</f>
        <v>4.8982998611774697E-3</v>
      </c>
      <c r="CY81" s="1111">
        <f>SUMIFS(NewEmisData!J:J, NewEmisData!$A:$A, $G81, NewEmisData!$B:$B, $A81, NewEmisData!$C:$C, $H81, NewEmisData!$D:$D, CY$6)</f>
        <v>4.9066620573488097E-3</v>
      </c>
      <c r="CZ81" s="1111">
        <f>SUMIFS(NewEmisData!K:K, NewEmisData!$A:$A, $G81, NewEmisData!$B:$B, $A81, NewEmisData!$C:$C, $H81, NewEmisData!$D:$D, CZ$6)</f>
        <v>4.90771522630959E-3</v>
      </c>
      <c r="DA81" s="1111">
        <f>SUMIFS(NewEmisData!L:L, NewEmisData!$A:$A, $G81, NewEmisData!$B:$B, $A81, NewEmisData!$C:$C, $H81, NewEmisData!$D:$D, DA$6)</f>
        <v>4.90797605756731E-3</v>
      </c>
      <c r="DB81" s="1111">
        <f>SUMIFS(NewEmisData!M:M, NewEmisData!$A:$A, $G81, NewEmisData!$B:$B, $A81, NewEmisData!$C:$C, $H81, NewEmisData!$D:$D, DB$6)</f>
        <v>4.9079610813754703E-3</v>
      </c>
      <c r="DC81" s="1111">
        <f t="shared" si="126"/>
        <v>4.9079610813754703E-3</v>
      </c>
      <c r="DD81" s="1111"/>
      <c r="DE81" s="1111"/>
      <c r="DF81" s="1111"/>
      <c r="DG81" s="1111"/>
      <c r="DH81" s="1111"/>
      <c r="DI81" s="1111"/>
      <c r="DJ81" s="1111"/>
      <c r="DK81" s="1111"/>
      <c r="DL81" s="1111"/>
      <c r="DM81" s="1111"/>
      <c r="DN81" s="1111"/>
      <c r="DO81" s="1111"/>
      <c r="DP81" s="1111"/>
      <c r="DQ81" s="1111"/>
      <c r="DR81" s="1111"/>
      <c r="DS81" s="1111"/>
      <c r="DT81" s="1111"/>
      <c r="DU81" s="1111"/>
      <c r="DV81" s="1111"/>
      <c r="DW81" s="1111"/>
      <c r="DX81" s="1111"/>
      <c r="DY81" s="1111"/>
      <c r="DZ81" s="1111">
        <f t="shared" si="127"/>
        <v>2.3788532853898401E-2</v>
      </c>
      <c r="EA81" s="1111">
        <f>SUMIFS(NewEmisData!E:E, NewEmisData!$A:$A, $G81, NewEmisData!$B:$B, $A81, NewEmisData!$C:$C, $H81, NewEmisData!$D:$D, EA$6)</f>
        <v>2.3788532853898401E-2</v>
      </c>
      <c r="EB81" s="1111">
        <f>SUMIFS(NewEmisData!F:F, NewEmisData!$A:$A, $G81, NewEmisData!$B:$B, $A81, NewEmisData!$C:$C, $H81, NewEmisData!$D:$D, EB$6)</f>
        <v>5.06232638400895E-2</v>
      </c>
      <c r="EC81" s="1111">
        <f>SUMIFS(NewEmisData!G:G, NewEmisData!$A:$A, $G81, NewEmisData!$B:$B, $A81, NewEmisData!$C:$C, $H81, NewEmisData!$D:$D, EC$6)</f>
        <v>8.7009713960661303E-2</v>
      </c>
      <c r="ED81" s="1111">
        <f>SUMIFS(NewEmisData!H:H, NewEmisData!$A:$A, $G81, NewEmisData!$B:$B, $A81, NewEmisData!$C:$C, $H81, NewEmisData!$D:$D, ED$6)</f>
        <v>9.5942830597456105E-2</v>
      </c>
      <c r="EE81" s="1111">
        <f>SUMIFS(NewEmisData!I:I, NewEmisData!$A:$A, $G81, NewEmisData!$B:$B, $A81, NewEmisData!$C:$C, $H81, NewEmisData!$D:$D, EE$6)</f>
        <v>9.3344720302396503E-2</v>
      </c>
      <c r="EF81" s="1111">
        <f>SUMIFS(NewEmisData!J:J, NewEmisData!$A:$A, $G81, NewEmisData!$B:$B, $A81, NewEmisData!$C:$C, $H81, NewEmisData!$D:$D, EF$6)</f>
        <v>9.3797490813894005E-2</v>
      </c>
      <c r="EG81" s="1111">
        <f>SUMIFS(NewEmisData!K:K, NewEmisData!$A:$A, $G81, NewEmisData!$B:$B, $A81, NewEmisData!$C:$C, $H81, NewEmisData!$D:$D, EG$6)</f>
        <v>9.3753547263910497E-2</v>
      </c>
      <c r="EH81" s="1111">
        <f>SUMIFS(NewEmisData!L:L, NewEmisData!$A:$A, $G81, NewEmisData!$B:$B, $A81, NewEmisData!$C:$C, $H81, NewEmisData!$D:$D, EH$6)</f>
        <v>9.3744088393244801E-2</v>
      </c>
      <c r="EI81" s="1111">
        <f>SUMIFS(NewEmisData!M:M, NewEmisData!$A:$A, $G81, NewEmisData!$B:$B, $A81, NewEmisData!$C:$C, $H81, NewEmisData!$D:$D, EI$6)</f>
        <v>9.3743919124561703E-2</v>
      </c>
      <c r="EJ81" s="1111">
        <f t="shared" si="128"/>
        <v>9.3743919124561703E-2</v>
      </c>
      <c r="EK81" s="1111">
        <f t="shared" si="129"/>
        <v>1790.56535119264</v>
      </c>
      <c r="EL81" s="1111">
        <f t="shared" si="48"/>
        <v>1790.56535119264</v>
      </c>
      <c r="EM81" s="1111">
        <f t="shared" si="49"/>
        <v>1706.0851984819999</v>
      </c>
      <c r="EN81" s="1111">
        <f t="shared" si="50"/>
        <v>1916.4119570956</v>
      </c>
      <c r="EO81" s="1111">
        <f t="shared" si="51"/>
        <v>1866.18041191016</v>
      </c>
      <c r="EP81" s="1111">
        <f t="shared" si="52"/>
        <v>1811.71928124037</v>
      </c>
      <c r="EQ81" s="1111">
        <f t="shared" si="53"/>
        <v>1782.46239941771</v>
      </c>
      <c r="ER81" s="1111">
        <f t="shared" si="54"/>
        <v>1777.87090074862</v>
      </c>
      <c r="ES81" s="1111">
        <f t="shared" si="55"/>
        <v>1776.69085043776</v>
      </c>
      <c r="ET81" s="1111">
        <f t="shared" si="56"/>
        <v>1776.5151337741499</v>
      </c>
      <c r="EU81" s="1111">
        <f t="shared" si="57"/>
        <v>1776.5151337741499</v>
      </c>
      <c r="EV81" s="1111">
        <f t="shared" si="130"/>
        <v>16.722091046014601</v>
      </c>
      <c r="EW81" s="1111">
        <f t="shared" si="38"/>
        <v>16.722091046014601</v>
      </c>
      <c r="EX81" s="1111">
        <f t="shared" si="39"/>
        <v>9.0752835435872505</v>
      </c>
      <c r="EY81" s="1111">
        <f t="shared" si="40"/>
        <v>4.5245768386744603</v>
      </c>
      <c r="EZ81" s="1111">
        <f t="shared" si="41"/>
        <v>2.5948057206972099</v>
      </c>
      <c r="FA81" s="1111">
        <f t="shared" si="42"/>
        <v>1.7233209257637201</v>
      </c>
      <c r="FB81" s="1111">
        <f t="shared" si="43"/>
        <v>1.5952418098202701</v>
      </c>
      <c r="FC81" s="1111">
        <f t="shared" si="44"/>
        <v>1.5343950737018299</v>
      </c>
      <c r="FD81" s="1111">
        <f t="shared" si="45"/>
        <v>1.53213591619592</v>
      </c>
      <c r="FE81" s="1111">
        <f t="shared" si="46"/>
        <v>1.5313515267339699</v>
      </c>
      <c r="FF81" s="1111">
        <f t="shared" si="47"/>
        <v>1.5313515267339699</v>
      </c>
      <c r="FG81" s="1111">
        <f t="shared" si="100"/>
        <v>4.4119301126388497E-2</v>
      </c>
      <c r="FH81" s="1111">
        <f t="shared" si="101"/>
        <v>4.4119301126388497E-2</v>
      </c>
      <c r="FI81" s="1111">
        <f t="shared" si="102"/>
        <v>4.1262348975755703E-2</v>
      </c>
      <c r="FJ81" s="1111">
        <f t="shared" si="103"/>
        <v>1.6180608348462199E-2</v>
      </c>
      <c r="FK81" s="1111">
        <f t="shared" si="104"/>
        <v>1.5603448697606799E-2</v>
      </c>
      <c r="FL81" s="1111">
        <f t="shared" si="105"/>
        <v>1.51144360777349E-2</v>
      </c>
      <c r="FM81" s="1111">
        <f t="shared" si="106"/>
        <v>1.48632492208765E-2</v>
      </c>
      <c r="FN81" s="1111">
        <f t="shared" si="107"/>
        <v>1.48223265055839E-2</v>
      </c>
      <c r="FO81" s="1111">
        <f t="shared" si="108"/>
        <v>1.4812489715302499E-2</v>
      </c>
      <c r="FP81" s="1111">
        <f t="shared" si="109"/>
        <v>1.4811022783827199E-2</v>
      </c>
      <c r="FQ81" s="1111">
        <f t="shared" si="110"/>
        <v>1.4811022783827199E-2</v>
      </c>
      <c r="FR81" s="1111">
        <f t="shared" si="25"/>
        <v>1.28818009730681</v>
      </c>
      <c r="FS81" s="1111">
        <f t="shared" si="26"/>
        <v>1.28818009730681</v>
      </c>
      <c r="FT81" s="1111">
        <f t="shared" si="27"/>
        <v>0.82680779710365904</v>
      </c>
      <c r="FU81" s="1111">
        <f t="shared" si="28"/>
        <v>0.60179805225314997</v>
      </c>
      <c r="FV81" s="1111">
        <f t="shared" si="29"/>
        <v>0.46595581954183302</v>
      </c>
      <c r="FW81" s="1111">
        <f t="shared" si="30"/>
        <v>0.42951735045103701</v>
      </c>
      <c r="FX81" s="1111">
        <f t="shared" si="31"/>
        <v>0.41980468763527201</v>
      </c>
      <c r="FY81" s="1111">
        <f t="shared" si="32"/>
        <v>0.41759644007116198</v>
      </c>
      <c r="FZ81" s="1111">
        <f t="shared" si="33"/>
        <v>0.41747064951560697</v>
      </c>
      <c r="GA81" s="1111">
        <f t="shared" si="34"/>
        <v>0.41748018000731701</v>
      </c>
      <c r="GB81" s="1111">
        <f t="shared" si="35"/>
        <v>0.41748018000731701</v>
      </c>
      <c r="GC81" s="1111">
        <f t="shared" si="59"/>
        <v>0.93126594217890002</v>
      </c>
      <c r="GD81" s="1111">
        <f t="shared" si="60"/>
        <v>0.93126594217890002</v>
      </c>
      <c r="GE81" s="1111">
        <f t="shared" si="61"/>
        <v>0.51703307471742999</v>
      </c>
      <c r="GF81" s="1111">
        <f t="shared" si="62"/>
        <v>0.24432975283286401</v>
      </c>
      <c r="GG81" s="1111">
        <f t="shared" si="63"/>
        <v>0.11886455572614001</v>
      </c>
      <c r="GH81" s="1111">
        <f t="shared" si="64"/>
        <v>8.9573048763309293E-2</v>
      </c>
      <c r="GI81" s="1111">
        <f t="shared" si="65"/>
        <v>8.3197971818451094E-2</v>
      </c>
      <c r="GJ81" s="1111">
        <f t="shared" si="66"/>
        <v>8.15020489665223E-2</v>
      </c>
      <c r="GK81" s="1111">
        <f t="shared" si="67"/>
        <v>8.1467138980072906E-2</v>
      </c>
      <c r="GL81" s="1111">
        <f t="shared" si="68"/>
        <v>8.1466979548160803E-2</v>
      </c>
      <c r="GM81" s="1111">
        <f t="shared" si="69"/>
        <v>8.1466979548160803E-2</v>
      </c>
    </row>
    <row r="82" spans="1:195" x14ac:dyDescent="0.2">
      <c r="A82" s="1071" t="s">
        <v>182</v>
      </c>
      <c r="B82" s="1071" t="str">
        <f>NewTech!B19</f>
        <v>TBDSLIM</v>
      </c>
      <c r="C82" s="1071" t="str">
        <f>NewTech!C19</f>
        <v>Bus, Improved Diesel</v>
      </c>
      <c r="D82" s="1071" t="str">
        <f>NewTech!D19</f>
        <v>bn-vmt, bn-vmt/a</v>
      </c>
      <c r="E82" s="1071" t="str">
        <f>NewTech!E19</f>
        <v>TBDSL</v>
      </c>
      <c r="F82" s="1071" t="str">
        <f>NewTech!F19</f>
        <v>TB</v>
      </c>
      <c r="G82" s="1110" t="s">
        <v>498</v>
      </c>
      <c r="H82" s="1110" t="s">
        <v>499</v>
      </c>
      <c r="I82" s="1112">
        <v>1</v>
      </c>
      <c r="J82" s="1111" t="str">
        <f t="shared" si="37"/>
        <v>Bus-DSL</v>
      </c>
      <c r="K82" s="1111">
        <f>SUMIFS(NewEmisData!E:E, NewEmisData!$A:$A, $G82, NewEmisData!$B:$B, $A82, NewEmisData!$C:$C, $H82, NewEmisData!$D:$D, K$6)</f>
        <v>1573.0981920694501</v>
      </c>
      <c r="L82" s="1111">
        <f>SUMIFS(NewEmisData!F:F, NewEmisData!$A:$A, $G82, NewEmisData!$B:$B, $A82, NewEmisData!$C:$C, $H82, NewEmisData!$D:$D, L$6)</f>
        <v>1544.3679757121099</v>
      </c>
      <c r="M82" s="1111">
        <f>SUMIFS(NewEmisData!G:G, NewEmisData!$A:$A, $G82, NewEmisData!$B:$B, $A82, NewEmisData!$C:$C, $H82, NewEmisData!$D:$D, M$6)</f>
        <v>1916.5843083058301</v>
      </c>
      <c r="N82" s="1111">
        <f>SUMIFS(NewEmisData!H:H, NewEmisData!$A:$A, $G82, NewEmisData!$B:$B, $A82, NewEmisData!$C:$C, $H82, NewEmisData!$D:$D, N$6)</f>
        <v>1868.9930069357799</v>
      </c>
      <c r="O82" s="1111">
        <f>SUMIFS(NewEmisData!I:I, NewEmisData!$A:$A, $G82, NewEmisData!$B:$B, $A82, NewEmisData!$C:$C, $H82, NewEmisData!$D:$D, O$6)</f>
        <v>1812.7966575929599</v>
      </c>
      <c r="P82" s="1111">
        <f>SUMIFS(NewEmisData!J:J, NewEmisData!$A:$A, $G82, NewEmisData!$B:$B, $A82, NewEmisData!$C:$C, $H82, NewEmisData!$D:$D, P$6)</f>
        <v>1785.4009056329501</v>
      </c>
      <c r="Q82" s="1111">
        <f>SUMIFS(NewEmisData!K:K, NewEmisData!$A:$A, $G82, NewEmisData!$B:$B, $A82, NewEmisData!$C:$C, $H82, NewEmisData!$D:$D, Q$6)</f>
        <v>1781.1669913012199</v>
      </c>
      <c r="R82" s="1111">
        <f>SUMIFS(NewEmisData!L:L, NewEmisData!$A:$A, $G82, NewEmisData!$B:$B, $A82, NewEmisData!$C:$C, $H82, NewEmisData!$D:$D, R$6)</f>
        <v>1779.89338532949</v>
      </c>
      <c r="S82" s="1111">
        <f>SUMIFS(NewEmisData!M:M, NewEmisData!$A:$A, $G82, NewEmisData!$B:$B, $A82, NewEmisData!$C:$C, $H82, NewEmisData!$D:$D, S$6)</f>
        <v>1779.28555768666</v>
      </c>
      <c r="T82" s="1111">
        <f t="shared" si="17"/>
        <v>1779.28555768666</v>
      </c>
      <c r="U82" s="1111">
        <f>SUMIFS(NewEmisData!E:E, NewEmisData!$A:$A, $G82, NewEmisData!$B:$B, $A82, NewEmisData!$C:$C, $H82, NewEmisData!$D:$D, U$6)</f>
        <v>25.485894447035299</v>
      </c>
      <c r="V82" s="1111">
        <f>SUMIFS(NewEmisData!F:F, NewEmisData!$A:$A, $G82, NewEmisData!$B:$B, $A82, NewEmisData!$C:$C, $H82, NewEmisData!$D:$D, V$6)</f>
        <v>16.635316417576099</v>
      </c>
      <c r="W82" s="1111">
        <f>SUMIFS(NewEmisData!G:G, NewEmisData!$A:$A, $G82, NewEmisData!$B:$B, $A82, NewEmisData!$C:$C, $H82, NewEmisData!$D:$D, W$6)</f>
        <v>5.6806504273613996</v>
      </c>
      <c r="X82" s="1111">
        <f>SUMIFS(NewEmisData!H:H, NewEmisData!$A:$A, $G82, NewEmisData!$B:$B, $A82, NewEmisData!$C:$C, $H82, NewEmisData!$D:$D, X$6)</f>
        <v>3.05403934027653</v>
      </c>
      <c r="Y82" s="1111">
        <f>SUMIFS(NewEmisData!I:I, NewEmisData!$A:$A, $G82, NewEmisData!$B:$B, $A82, NewEmisData!$C:$C, $H82, NewEmisData!$D:$D, Y$6)</f>
        <v>2.1007258350226801</v>
      </c>
      <c r="Z82" s="1111">
        <f>SUMIFS(NewEmisData!J:J, NewEmisData!$A:$A, $G82, NewEmisData!$B:$B, $A82, NewEmisData!$C:$C, $H82, NewEmisData!$D:$D, Z$6)</f>
        <v>1.87658987655799</v>
      </c>
      <c r="AA82" s="1111">
        <f>SUMIFS(NewEmisData!K:K, NewEmisData!$A:$A, $G82, NewEmisData!$B:$B, $A82, NewEmisData!$C:$C, $H82, NewEmisData!$D:$D, AA$6)</f>
        <v>1.7679420427249899</v>
      </c>
      <c r="AB82" s="1111">
        <f>SUMIFS(NewEmisData!L:L, NewEmisData!$A:$A, $G82, NewEmisData!$B:$B, $A82, NewEmisData!$C:$C, $H82, NewEmisData!$D:$D, AB$6)</f>
        <v>1.7647235248156601</v>
      </c>
      <c r="AC82" s="1111">
        <f>SUMIFS(NewEmisData!M:M, NewEmisData!$A:$A, $G82, NewEmisData!$B:$B, $A82, NewEmisData!$C:$C, $H82, NewEmisData!$D:$D, AC$6)</f>
        <v>1.76351431040301</v>
      </c>
      <c r="AD82" s="1111">
        <f t="shared" si="18"/>
        <v>1.76351431040301</v>
      </c>
      <c r="AE82" s="1111">
        <f t="shared" si="113"/>
        <v>3.9377821944932299E-2</v>
      </c>
      <c r="AF82" s="1111">
        <f>SUMIFS(NewEmisData!E:E, NewEmisData!$A:$A, $G82, NewEmisData!$B:$B, $A82, NewEmisData!$C:$C, $H82, NewEmisData!$D:$D, AF$6)</f>
        <v>3.9377821944932299E-2</v>
      </c>
      <c r="AG82" s="1111">
        <f>SUMIFS(NewEmisData!F:F, NewEmisData!$A:$A, $G82, NewEmisData!$B:$B, $A82, NewEmisData!$C:$C, $H82, NewEmisData!$D:$D, AG$6)</f>
        <v>3.7984236057639099E-2</v>
      </c>
      <c r="AH82" s="1111">
        <f>SUMIFS(NewEmisData!G:G, NewEmisData!$A:$A, $G82, NewEmisData!$B:$B, $A82, NewEmisData!$C:$C, $H82, NewEmisData!$D:$D, AH$6)</f>
        <v>1.6214018510996998E-2</v>
      </c>
      <c r="AI82" s="1111">
        <f>SUMIFS(NewEmisData!H:H, NewEmisData!$A:$A, $G82, NewEmisData!$B:$B, $A82, NewEmisData!$C:$C, $H82, NewEmisData!$D:$D, AI$6)</f>
        <v>1.5642379959483001E-2</v>
      </c>
      <c r="AJ82" s="1111">
        <f>SUMIFS(NewEmisData!I:I, NewEmisData!$A:$A, $G82, NewEmisData!$B:$B, $A82, NewEmisData!$C:$C, $H82, NewEmisData!$D:$D, AJ$6)</f>
        <v>1.5129566396989799E-2</v>
      </c>
      <c r="AK82" s="1111">
        <f>SUMIFS(NewEmisData!J:J, NewEmisData!$A:$A, $G82, NewEmisData!$B:$B, $A82, NewEmisData!$C:$C, $H82, NewEmisData!$D:$D, AK$6)</f>
        <v>1.48940539224115E-2</v>
      </c>
      <c r="AL82" s="1111">
        <f>SUMIFS(NewEmisData!K:K, NewEmisData!$A:$A, $G82, NewEmisData!$B:$B, $A82, NewEmisData!$C:$C, $H82, NewEmisData!$D:$D, AL$6)</f>
        <v>1.48498058438792E-2</v>
      </c>
      <c r="AM82" s="1111">
        <f>SUMIFS(NewEmisData!L:L, NewEmisData!$A:$A, $G82, NewEmisData!$B:$B, $A82, NewEmisData!$C:$C, $H82, NewEmisData!$D:$D, AM$6)</f>
        <v>1.48391871090011E-2</v>
      </c>
      <c r="AN82" s="1111">
        <f>SUMIFS(NewEmisData!M:M, NewEmisData!$A:$A, $G82, NewEmisData!$B:$B, $A82, NewEmisData!$C:$C, $H82, NewEmisData!$D:$D, AN$6)</f>
        <v>1.4834122168645001E-2</v>
      </c>
      <c r="AO82" s="1111">
        <f t="shared" si="114"/>
        <v>1.4834122168645001E-2</v>
      </c>
      <c r="AP82" s="1111">
        <f t="shared" si="115"/>
        <v>1.6759760982763601</v>
      </c>
      <c r="AQ82" s="1111">
        <f>SUMIFS(NewEmisData!E:E, NewEmisData!$A:$A, $G82, NewEmisData!$B:$B, $A82, NewEmisData!$C:$C, $H82, NewEmisData!$D:$D, AQ$6)</f>
        <v>1.6759760982763601</v>
      </c>
      <c r="AR82" s="1111">
        <f>SUMIFS(NewEmisData!F:F, NewEmisData!$A:$A, $G82, NewEmisData!$B:$B, $A82, NewEmisData!$C:$C, $H82, NewEmisData!$D:$D, AR$6)</f>
        <v>1.2591555489209101</v>
      </c>
      <c r="AS82" s="1111">
        <f>SUMIFS(NewEmisData!G:G, NewEmisData!$A:$A, $G82, NewEmisData!$B:$B, $A82, NewEmisData!$C:$C, $H82, NewEmisData!$D:$D, AS$6)</f>
        <v>0.67744248626063297</v>
      </c>
      <c r="AT82" s="1111">
        <f>SUMIFS(NewEmisData!H:H, NewEmisData!$A:$A, $G82, NewEmisData!$B:$B, $A82, NewEmisData!$C:$C, $H82, NewEmisData!$D:$D, AT$6)</f>
        <v>0.52738778166466604</v>
      </c>
      <c r="AU82" s="1111">
        <f>SUMIFS(NewEmisData!I:I, NewEmisData!$A:$A, $G82, NewEmisData!$B:$B, $A82, NewEmisData!$C:$C, $H82, NewEmisData!$D:$D, AU$6)</f>
        <v>0.48358848951405597</v>
      </c>
      <c r="AV82" s="1111">
        <f>SUMIFS(NewEmisData!J:J, NewEmisData!$A:$A, $G82, NewEmisData!$B:$B, $A82, NewEmisData!$C:$C, $H82, NewEmisData!$D:$D, AV$6)</f>
        <v>0.472761661372815</v>
      </c>
      <c r="AW82" s="1111">
        <f>SUMIFS(NewEmisData!K:K, NewEmisData!$A:$A, $G82, NewEmisData!$B:$B, $A82, NewEmisData!$C:$C, $H82, NewEmisData!$D:$D, AW$6)</f>
        <v>0.46753146166185999</v>
      </c>
      <c r="AX82" s="1111">
        <f>SUMIFS(NewEmisData!L:L, NewEmisData!$A:$A, $G82, NewEmisData!$B:$B, $A82, NewEmisData!$C:$C, $H82, NewEmisData!$D:$D, AX$6)</f>
        <v>0.46733602925816797</v>
      </c>
      <c r="AY82" s="1111">
        <f>SUMIFS(NewEmisData!M:M, NewEmisData!$A:$A, $G82, NewEmisData!$B:$B, $A82, NewEmisData!$C:$C, $H82, NewEmisData!$D:$D, AY$6)</f>
        <v>0.46734012500094102</v>
      </c>
      <c r="AZ82" s="1111">
        <f t="shared" si="116"/>
        <v>0.46734012500094102</v>
      </c>
      <c r="BA82" s="1111">
        <f t="shared" si="117"/>
        <v>1.31772095909569</v>
      </c>
      <c r="BB82" s="1111">
        <f>SUMIFS(NewEmisData!E:E, NewEmisData!$A:$A, $G82, NewEmisData!$B:$B, $A82, NewEmisData!$C:$C, $H82, NewEmisData!$D:$D, BB$6)</f>
        <v>1.31772095909569</v>
      </c>
      <c r="BC82" s="1111">
        <f>SUMIFS(NewEmisData!F:F, NewEmisData!$A:$A, $G82, NewEmisData!$B:$B, $A82, NewEmisData!$C:$C, $H82, NewEmisData!$D:$D, BC$6)</f>
        <v>0.93325433252970902</v>
      </c>
      <c r="BD82" s="1111">
        <f>SUMIFS(NewEmisData!G:G, NewEmisData!$A:$A, $G82, NewEmisData!$B:$B, $A82, NewEmisData!$C:$C, $H82, NewEmisData!$D:$D, BD$6)</f>
        <v>0.27440125765457901</v>
      </c>
      <c r="BE82" s="1111">
        <f>SUMIFS(NewEmisData!H:H, NewEmisData!$A:$A, $G82, NewEmisData!$B:$B, $A82, NewEmisData!$C:$C, $H82, NewEmisData!$D:$D, BE$6)</f>
        <v>0.135307690590454</v>
      </c>
      <c r="BF82" s="1111">
        <f>SUMIFS(NewEmisData!I:I, NewEmisData!$A:$A, $G82, NewEmisData!$B:$B, $A82, NewEmisData!$C:$C, $H82, NewEmisData!$D:$D, BF$6)</f>
        <v>0.10091565939698199</v>
      </c>
      <c r="BG82" s="1111">
        <f>SUMIFS(NewEmisData!J:J, NewEmisData!$A:$A, $G82, NewEmisData!$B:$B, $A82, NewEmisData!$C:$C, $H82, NewEmisData!$D:$D, BG$6)</f>
        <v>9.4307179930071303E-2</v>
      </c>
      <c r="BH82" s="1111">
        <f>SUMIFS(NewEmisData!K:K, NewEmisData!$A:$A, $G82, NewEmisData!$B:$B, $A82, NewEmisData!$C:$C, $H82, NewEmisData!$D:$D, BH$6)</f>
        <v>8.9937296191057697E-2</v>
      </c>
      <c r="BI82" s="1111">
        <f>SUMIFS(NewEmisData!L:L, NewEmisData!$A:$A, $G82, NewEmisData!$B:$B, $A82, NewEmisData!$C:$C, $H82, NewEmisData!$D:$D, BI$6)</f>
        <v>8.9863311660723005E-2</v>
      </c>
      <c r="BJ82" s="1111">
        <f>SUMIFS(NewEmisData!M:M, NewEmisData!$A:$A, $G82, NewEmisData!$B:$B, $A82, NewEmisData!$C:$C, $H82, NewEmisData!$D:$D, BJ$6)</f>
        <v>8.9850222817437805E-2</v>
      </c>
      <c r="BK82" s="1111">
        <f t="shared" si="118"/>
        <v>8.9850222817437805E-2</v>
      </c>
      <c r="BL82" s="1111">
        <f t="shared" si="119"/>
        <v>9.42494595370054</v>
      </c>
      <c r="BM82" s="1111">
        <f>SUMIFS(NewEmisData!E:E, NewEmisData!$A:$A, $G82, NewEmisData!$B:$B, $A82, NewEmisData!$C:$C, $H82, NewEmisData!$D:$D, BM$6)</f>
        <v>9.42494595370054</v>
      </c>
      <c r="BN82" s="1111">
        <f>SUMIFS(NewEmisData!F:F, NewEmisData!$A:$A, $G82, NewEmisData!$B:$B, $A82, NewEmisData!$C:$C, $H82, NewEmisData!$D:$D, BN$6)</f>
        <v>6.5151522418316503</v>
      </c>
      <c r="BO82" s="1111">
        <f>SUMIFS(NewEmisData!G:G, NewEmisData!$A:$A, $G82, NewEmisData!$B:$B, $A82, NewEmisData!$C:$C, $H82, NewEmisData!$D:$D, BO$6)</f>
        <v>2.9013962679725198</v>
      </c>
      <c r="BP82" s="1111">
        <f>SUMIFS(NewEmisData!H:H, NewEmisData!$A:$A, $G82, NewEmisData!$B:$B, $A82, NewEmisData!$C:$C, $H82, NewEmisData!$D:$D, BP$6)</f>
        <v>1.8001555126276301</v>
      </c>
      <c r="BQ82" s="1111">
        <f>SUMIFS(NewEmisData!I:I, NewEmisData!$A:$A, $G82, NewEmisData!$B:$B, $A82, NewEmisData!$C:$C, $H82, NewEmisData!$D:$D, BQ$6)</f>
        <v>1.6438313765408701</v>
      </c>
      <c r="BR82" s="1111">
        <f>SUMIFS(NewEmisData!J:J, NewEmisData!$A:$A, $G82, NewEmisData!$B:$B, $A82, NewEmisData!$C:$C, $H82, NewEmisData!$D:$D, BR$6)</f>
        <v>1.57432933432189</v>
      </c>
      <c r="BS82" s="1111">
        <f>SUMIFS(NewEmisData!K:K, NewEmisData!$A:$A, $G82, NewEmisData!$B:$B, $A82, NewEmisData!$C:$C, $H82, NewEmisData!$D:$D, BS$6)</f>
        <v>1.5408503449425099</v>
      </c>
      <c r="BT82" s="1111">
        <f>SUMIFS(NewEmisData!L:L, NewEmisData!$A:$A, $G82, NewEmisData!$B:$B, $A82, NewEmisData!$C:$C, $H82, NewEmisData!$D:$D, BT$6)</f>
        <v>1.5416002309750501</v>
      </c>
      <c r="BU82" s="1111">
        <f>SUMIFS(NewEmisData!M:M, NewEmisData!$A:$A, $G82, NewEmisData!$B:$B, $A82, NewEmisData!$C:$C, $H82, NewEmisData!$D:$D, BU$6)</f>
        <v>1.54141496966159</v>
      </c>
      <c r="BV82" s="1111">
        <f t="shared" si="120"/>
        <v>1.54141496966159</v>
      </c>
      <c r="BW82" s="1111">
        <f t="shared" si="121"/>
        <v>1.84761615807355</v>
      </c>
      <c r="BX82" s="1111">
        <f>SUMIFS(NewEmisData!E:E, NewEmisData!$A:$A, $G82, NewEmisData!$B:$B, $A82, NewEmisData!$C:$C, $H82, NewEmisData!$D:$D, BX$6)</f>
        <v>1.84761615807355</v>
      </c>
      <c r="BY82" s="1111">
        <f>SUMIFS(NewEmisData!F:F, NewEmisData!$A:$A, $G82, NewEmisData!$B:$B, $A82, NewEmisData!$C:$C, $H82, NewEmisData!$D:$D, BY$6)</f>
        <v>1.40257055938169</v>
      </c>
      <c r="BZ82" s="1111">
        <f>SUMIFS(NewEmisData!G:G, NewEmisData!$A:$A, $G82, NewEmisData!$B:$B, $A82, NewEmisData!$C:$C, $H82, NewEmisData!$D:$D, BZ$6)</f>
        <v>0.61956439340661196</v>
      </c>
      <c r="CA82" s="1111">
        <f>SUMIFS(NewEmisData!H:H, NewEmisData!$A:$A, $G82, NewEmisData!$B:$B, $A82, NewEmisData!$C:$C, $H82, NewEmisData!$D:$D, CA$6)</f>
        <v>0.26929109587747802</v>
      </c>
      <c r="CB82" s="1111">
        <f>SUMIFS(NewEmisData!I:I, NewEmisData!$A:$A, $G82, NewEmisData!$B:$B, $A82, NewEmisData!$C:$C, $H82, NewEmisData!$D:$D, CB$6)</f>
        <v>0.19094706305498699</v>
      </c>
      <c r="CC82" s="1111">
        <f>SUMIFS(NewEmisData!J:J, NewEmisData!$A:$A, $G82, NewEmisData!$B:$B, $A82, NewEmisData!$C:$C, $H82, NewEmisData!$D:$D, CC$6)</f>
        <v>0.172288027054284</v>
      </c>
      <c r="CD82" s="1111">
        <f>SUMIFS(NewEmisData!K:K, NewEmisData!$A:$A, $G82, NewEmisData!$B:$B, $A82, NewEmisData!$C:$C, $H82, NewEmisData!$D:$D, CD$6)</f>
        <v>0.15756259162820199</v>
      </c>
      <c r="CE82" s="1111">
        <f>SUMIFS(NewEmisData!L:L, NewEmisData!$A:$A, $G82, NewEmisData!$B:$B, $A82, NewEmisData!$C:$C, $H82, NewEmisData!$D:$D, CE$6)</f>
        <v>0.157519892644533</v>
      </c>
      <c r="CF82" s="1111">
        <f>SUMIFS(NewEmisData!M:M, NewEmisData!$A:$A, $G82, NewEmisData!$B:$B, $A82, NewEmisData!$C:$C, $H82, NewEmisData!$D:$D, CF$6)</f>
        <v>0.15750071717103001</v>
      </c>
      <c r="CG82" s="1111">
        <f t="shared" si="122"/>
        <v>0.15750071717103001</v>
      </c>
      <c r="CH82" s="1111">
        <f t="shared" si="123"/>
        <v>2.6212030110567601E-2</v>
      </c>
      <c r="CI82" s="1111">
        <f>SUMIFS(NewEmisData!E:E, NewEmisData!$A:$A, $G82, NewEmisData!$B:$B, $A82, NewEmisData!$C:$C, $H82, NewEmisData!$D:$D, CI$6)</f>
        <v>2.6212030110567601E-2</v>
      </c>
      <c r="CJ82" s="1111">
        <f>SUMIFS(NewEmisData!F:F, NewEmisData!$A:$A, $G82, NewEmisData!$B:$B, $A82, NewEmisData!$C:$C, $H82, NewEmisData!$D:$D, CJ$6)</f>
        <v>2.6306147637779401E-2</v>
      </c>
      <c r="CK82" s="1111">
        <f>SUMIFS(NewEmisData!G:G, NewEmisData!$A:$A, $G82, NewEmisData!$B:$B, $A82, NewEmisData!$C:$C, $H82, NewEmisData!$D:$D, CK$6)</f>
        <v>3.6703962076044899E-2</v>
      </c>
      <c r="CL82" s="1111">
        <f>SUMIFS(NewEmisData!H:H, NewEmisData!$A:$A, $G82, NewEmisData!$B:$B, $A82, NewEmisData!$C:$C, $H82, NewEmisData!$D:$D, CL$6)</f>
        <v>3.6724988920478097E-2</v>
      </c>
      <c r="CM82" s="1111">
        <f>SUMIFS(NewEmisData!I:I, NewEmisData!$A:$A, $G82, NewEmisData!$B:$B, $A82, NewEmisData!$C:$C, $H82, NewEmisData!$D:$D, CM$6)</f>
        <v>3.6651621694611301E-2</v>
      </c>
      <c r="CN82" s="1111">
        <f>SUMIFS(NewEmisData!J:J, NewEmisData!$A:$A, $G82, NewEmisData!$B:$B, $A82, NewEmisData!$C:$C, $H82, NewEmisData!$D:$D, CN$6)</f>
        <v>3.6612099035051998E-2</v>
      </c>
      <c r="CO82" s="1111">
        <f>SUMIFS(NewEmisData!K:K, NewEmisData!$A:$A, $G82, NewEmisData!$B:$B, $A82, NewEmisData!$C:$C, $H82, NewEmisData!$D:$D, CO$6)</f>
        <v>3.6606158410121097E-2</v>
      </c>
      <c r="CP82" s="1111">
        <f>SUMIFS(NewEmisData!L:L, NewEmisData!$A:$A, $G82, NewEmisData!$B:$B, $A82, NewEmisData!$C:$C, $H82, NewEmisData!$D:$D, CP$6)</f>
        <v>3.6604649349406201E-2</v>
      </c>
      <c r="CQ82" s="1111">
        <f>SUMIFS(NewEmisData!M:M, NewEmisData!$A:$A, $G82, NewEmisData!$B:$B, $A82, NewEmisData!$C:$C, $H82, NewEmisData!$D:$D, CQ$6)</f>
        <v>3.6605318323892203E-2</v>
      </c>
      <c r="CR82" s="1111">
        <f t="shared" si="124"/>
        <v>3.6605318323892203E-2</v>
      </c>
      <c r="CS82" s="1111">
        <f t="shared" si="125"/>
        <v>4.9860992358685303E-3</v>
      </c>
      <c r="CT82" s="1111">
        <f>SUMIFS(NewEmisData!E:E, NewEmisData!$A:$A, $G82, NewEmisData!$B:$B, $A82, NewEmisData!$C:$C, $H82, NewEmisData!$D:$D, CT$6)</f>
        <v>4.9860992358685303E-3</v>
      </c>
      <c r="CU82" s="1111">
        <f>SUMIFS(NewEmisData!F:F, NewEmisData!$A:$A, $G82, NewEmisData!$B:$B, $A82, NewEmisData!$C:$C, $H82, NewEmisData!$D:$D, CU$6)</f>
        <v>4.7742875379494596E-3</v>
      </c>
      <c r="CV82" s="1111">
        <f>SUMIFS(NewEmisData!G:G, NewEmisData!$A:$A, $G82, NewEmisData!$B:$B, $A82, NewEmisData!$C:$C, $H82, NewEmisData!$D:$D, CV$6)</f>
        <v>7.2603358828681602E-3</v>
      </c>
      <c r="CW82" s="1111">
        <f>SUMIFS(NewEmisData!H:H, NewEmisData!$A:$A, $G82, NewEmisData!$B:$B, $A82, NewEmisData!$C:$C, $H82, NewEmisData!$D:$D, CW$6)</f>
        <v>7.2661933727351004E-3</v>
      </c>
      <c r="CX82" s="1111">
        <f>SUMIFS(NewEmisData!I:I, NewEmisData!$A:$A, $G82, NewEmisData!$B:$B, $A82, NewEmisData!$C:$C, $H82, NewEmisData!$D:$D, CX$6)</f>
        <v>7.3123890355101103E-3</v>
      </c>
      <c r="CY82" s="1111">
        <f>SUMIFS(NewEmisData!J:J, NewEmisData!$A:$A, $G82, NewEmisData!$B:$B, $A82, NewEmisData!$C:$C, $H82, NewEmisData!$D:$D, CY$6)</f>
        <v>7.3404374727568103E-3</v>
      </c>
      <c r="CZ82" s="1111">
        <f>SUMIFS(NewEmisData!K:K, NewEmisData!$A:$A, $G82, NewEmisData!$B:$B, $A82, NewEmisData!$C:$C, $H82, NewEmisData!$D:$D, CZ$6)</f>
        <v>7.3437457061269196E-3</v>
      </c>
      <c r="DA82" s="1111">
        <f>SUMIFS(NewEmisData!L:L, NewEmisData!$A:$A, $G82, NewEmisData!$B:$B, $A82, NewEmisData!$C:$C, $H82, NewEmisData!$D:$D, DA$6)</f>
        <v>7.3446144592809104E-3</v>
      </c>
      <c r="DB82" s="1111">
        <f>SUMIFS(NewEmisData!M:M, NewEmisData!$A:$A, $G82, NewEmisData!$B:$B, $A82, NewEmisData!$C:$C, $H82, NewEmisData!$D:$D, DB$6)</f>
        <v>7.3444994559674001E-3</v>
      </c>
      <c r="DC82" s="1111">
        <f t="shared" si="126"/>
        <v>7.3444994559674001E-3</v>
      </c>
      <c r="DD82" s="1111">
        <v>0.39300578709389528</v>
      </c>
      <c r="DE82" s="1111">
        <v>0.25218506439547889</v>
      </c>
      <c r="DF82" s="1111">
        <v>9.0680333464346716E-2</v>
      </c>
      <c r="DG82" s="1111">
        <v>1.5259203997944157E-2</v>
      </c>
      <c r="DH82" s="1111">
        <v>1.442984591146376E-3</v>
      </c>
      <c r="DI82" s="1111">
        <v>1.4216300052729372E-3</v>
      </c>
      <c r="DJ82" s="1111">
        <v>1.4222674909691675E-3</v>
      </c>
      <c r="DK82" s="1111">
        <v>1.4222968522144778E-3</v>
      </c>
      <c r="DL82" s="1111">
        <v>1.4226321321994845E-3</v>
      </c>
      <c r="DM82" s="1111">
        <v>1.4227267584946933E-3</v>
      </c>
      <c r="DN82" s="1111">
        <v>1.4227267584946933E-3</v>
      </c>
      <c r="DO82" s="1111">
        <v>0.20788279259438966</v>
      </c>
      <c r="DP82" s="1111">
        <v>0.14188647424950029</v>
      </c>
      <c r="DQ82" s="1111">
        <v>6.2736208538959407E-2</v>
      </c>
      <c r="DR82" s="1111">
        <v>1.2554111333601691E-2</v>
      </c>
      <c r="DS82" s="1111">
        <v>2.5088278770177383E-3</v>
      </c>
      <c r="DT82" s="1111">
        <v>2.4717000504004827E-3</v>
      </c>
      <c r="DU82" s="1111">
        <v>2.472808290816776E-3</v>
      </c>
      <c r="DV82" s="1111">
        <v>2.4728594625776285E-3</v>
      </c>
      <c r="DW82" s="1111">
        <v>2.4734423116144133E-3</v>
      </c>
      <c r="DX82" s="1111">
        <v>2.4736068982878887E-3</v>
      </c>
      <c r="DY82" s="1111">
        <v>2.4736068982878887E-3</v>
      </c>
      <c r="DZ82" s="1111">
        <f t="shared" si="127"/>
        <v>1.13593830923209E-2</v>
      </c>
      <c r="EA82" s="1111">
        <f>SUMIFS(NewEmisData!E:E, NewEmisData!$A:$A, $G82, NewEmisData!$B:$B, $A82, NewEmisData!$C:$C, $H82, NewEmisData!$D:$D, EA$6)</f>
        <v>1.13593830923209E-2</v>
      </c>
      <c r="EB82" s="1111">
        <f>SUMIFS(NewEmisData!F:F, NewEmisData!$A:$A, $G82, NewEmisData!$B:$B, $A82, NewEmisData!$C:$C, $H82, NewEmisData!$D:$D, EB$6)</f>
        <v>3.7803123032821302E-2</v>
      </c>
      <c r="EC82" s="1111">
        <f>SUMIFS(NewEmisData!G:G, NewEmisData!$A:$A, $G82, NewEmisData!$B:$B, $A82, NewEmisData!$C:$C, $H82, NewEmisData!$D:$D, EC$6)</f>
        <v>0.124437290193953</v>
      </c>
      <c r="ED82" s="1111">
        <f>SUMIFS(NewEmisData!H:H, NewEmisData!$A:$A, $G82, NewEmisData!$B:$B, $A82, NewEmisData!$C:$C, $H82, NewEmisData!$D:$D, ED$6)</f>
        <v>0.136903583493692</v>
      </c>
      <c r="EE82" s="1111">
        <f>SUMIFS(NewEmisData!I:I, NewEmisData!$A:$A, $G82, NewEmisData!$B:$B, $A82, NewEmisData!$C:$C, $H82, NewEmisData!$D:$D, EE$6)</f>
        <v>0.13674174011835499</v>
      </c>
      <c r="EF82" s="1111">
        <f>SUMIFS(NewEmisData!J:J, NewEmisData!$A:$A, $G82, NewEmisData!$B:$B, $A82, NewEmisData!$C:$C, $H82, NewEmisData!$D:$D, EF$6)</f>
        <v>0.13774221915503501</v>
      </c>
      <c r="EG82" s="1111">
        <f>SUMIFS(NewEmisData!K:K, NewEmisData!$A:$A, $G82, NewEmisData!$B:$B, $A82, NewEmisData!$C:$C, $H82, NewEmisData!$D:$D, EG$6)</f>
        <v>0.13873461497783901</v>
      </c>
      <c r="EH82" s="1111">
        <f>SUMIFS(NewEmisData!L:L, NewEmisData!$A:$A, $G82, NewEmisData!$B:$B, $A82, NewEmisData!$C:$C, $H82, NewEmisData!$D:$D, EH$6)</f>
        <v>0.13871065448301201</v>
      </c>
      <c r="EI82" s="1111">
        <f>SUMIFS(NewEmisData!M:M, NewEmisData!$A:$A, $G82, NewEmisData!$B:$B, $A82, NewEmisData!$C:$C, $H82, NewEmisData!$D:$D, EI$6)</f>
        <v>0.13870041556896201</v>
      </c>
      <c r="EJ82" s="1111">
        <f t="shared" si="128"/>
        <v>0.13870041556896201</v>
      </c>
      <c r="EK82" s="1111">
        <f t="shared" si="129"/>
        <v>1573.0981920694501</v>
      </c>
      <c r="EL82" s="1111">
        <f t="shared" si="48"/>
        <v>1573.0981920694501</v>
      </c>
      <c r="EM82" s="1111">
        <f t="shared" si="49"/>
        <v>1544.3679757121099</v>
      </c>
      <c r="EN82" s="1111">
        <f t="shared" si="50"/>
        <v>1916.5843083058301</v>
      </c>
      <c r="EO82" s="1111">
        <f t="shared" si="51"/>
        <v>1868.9930069357799</v>
      </c>
      <c r="EP82" s="1111">
        <f t="shared" si="52"/>
        <v>1812.7966575929599</v>
      </c>
      <c r="EQ82" s="1111">
        <f t="shared" si="53"/>
        <v>1785.4009056329501</v>
      </c>
      <c r="ER82" s="1111">
        <f t="shared" si="54"/>
        <v>1781.1669913012199</v>
      </c>
      <c r="ES82" s="1111">
        <f t="shared" si="55"/>
        <v>1779.89338532949</v>
      </c>
      <c r="ET82" s="1111">
        <f t="shared" si="56"/>
        <v>1779.28555768666</v>
      </c>
      <c r="EU82" s="1111">
        <f t="shared" si="57"/>
        <v>1779.28555768666</v>
      </c>
      <c r="EV82" s="1111">
        <f t="shared" si="130"/>
        <v>25.485894447035299</v>
      </c>
      <c r="EW82" s="1111">
        <f t="shared" si="38"/>
        <v>25.485894447035299</v>
      </c>
      <c r="EX82" s="1111">
        <f t="shared" si="39"/>
        <v>16.635316417576099</v>
      </c>
      <c r="EY82" s="1111">
        <f t="shared" si="40"/>
        <v>5.6806504273613996</v>
      </c>
      <c r="EZ82" s="1111">
        <f t="shared" si="41"/>
        <v>3.05403934027653</v>
      </c>
      <c r="FA82" s="1111">
        <f t="shared" si="42"/>
        <v>2.1007258350226801</v>
      </c>
      <c r="FB82" s="1111">
        <f t="shared" si="43"/>
        <v>1.87658987655799</v>
      </c>
      <c r="FC82" s="1111">
        <f t="shared" si="44"/>
        <v>1.7679420427249899</v>
      </c>
      <c r="FD82" s="1111">
        <f t="shared" si="45"/>
        <v>1.7647235248156601</v>
      </c>
      <c r="FE82" s="1111">
        <f t="shared" si="46"/>
        <v>1.76351431040301</v>
      </c>
      <c r="FF82" s="1111">
        <f t="shared" si="47"/>
        <v>1.76351431040301</v>
      </c>
      <c r="FG82" s="1111">
        <f t="shared" si="100"/>
        <v>3.9377821944932299E-2</v>
      </c>
      <c r="FH82" s="1111">
        <f t="shared" si="101"/>
        <v>3.9377821944932299E-2</v>
      </c>
      <c r="FI82" s="1111">
        <f t="shared" si="102"/>
        <v>3.7984236057639099E-2</v>
      </c>
      <c r="FJ82" s="1111">
        <f t="shared" si="103"/>
        <v>1.6214018510996998E-2</v>
      </c>
      <c r="FK82" s="1111">
        <f t="shared" si="104"/>
        <v>1.5642379959483001E-2</v>
      </c>
      <c r="FL82" s="1111">
        <f t="shared" si="105"/>
        <v>1.5129566396989799E-2</v>
      </c>
      <c r="FM82" s="1111">
        <f t="shared" si="106"/>
        <v>1.48940539224115E-2</v>
      </c>
      <c r="FN82" s="1111">
        <f t="shared" si="107"/>
        <v>1.48498058438792E-2</v>
      </c>
      <c r="FO82" s="1111">
        <f t="shared" si="108"/>
        <v>1.48391871090011E-2</v>
      </c>
      <c r="FP82" s="1111">
        <f t="shared" si="109"/>
        <v>1.4834122168645001E-2</v>
      </c>
      <c r="FQ82" s="1111">
        <f t="shared" si="110"/>
        <v>1.4834122168645001E-2</v>
      </c>
      <c r="FR82" s="1111">
        <f t="shared" si="25"/>
        <v>1.6759760982763601</v>
      </c>
      <c r="FS82" s="1111">
        <f t="shared" si="26"/>
        <v>1.6759760982763601</v>
      </c>
      <c r="FT82" s="1111">
        <f t="shared" si="27"/>
        <v>1.2591555489209101</v>
      </c>
      <c r="FU82" s="1111">
        <f t="shared" si="28"/>
        <v>0.67744248626063297</v>
      </c>
      <c r="FV82" s="1111">
        <f t="shared" si="29"/>
        <v>0.52738778166466604</v>
      </c>
      <c r="FW82" s="1111">
        <f t="shared" si="30"/>
        <v>0.48358848951405597</v>
      </c>
      <c r="FX82" s="1111">
        <f t="shared" si="31"/>
        <v>0.472761661372815</v>
      </c>
      <c r="FY82" s="1111">
        <f t="shared" si="32"/>
        <v>0.46753146166185999</v>
      </c>
      <c r="FZ82" s="1111">
        <f t="shared" si="33"/>
        <v>0.46733602925816797</v>
      </c>
      <c r="GA82" s="1111">
        <f t="shared" si="34"/>
        <v>0.46734012500094102</v>
      </c>
      <c r="GB82" s="1111">
        <f t="shared" si="35"/>
        <v>0.46734012500094102</v>
      </c>
      <c r="GC82" s="1111">
        <f t="shared" si="59"/>
        <v>1.31772095909569</v>
      </c>
      <c r="GD82" s="1111">
        <f t="shared" si="60"/>
        <v>1.31772095909569</v>
      </c>
      <c r="GE82" s="1111">
        <f t="shared" si="61"/>
        <v>0.93325433252970902</v>
      </c>
      <c r="GF82" s="1111">
        <f t="shared" si="62"/>
        <v>0.27440125765457901</v>
      </c>
      <c r="GG82" s="1111">
        <f t="shared" si="63"/>
        <v>0.135307690590454</v>
      </c>
      <c r="GH82" s="1111">
        <f t="shared" si="64"/>
        <v>0.10091565939698199</v>
      </c>
      <c r="GI82" s="1111">
        <f t="shared" si="65"/>
        <v>9.4307179930071303E-2</v>
      </c>
      <c r="GJ82" s="1111">
        <f t="shared" si="66"/>
        <v>8.9937296191057697E-2</v>
      </c>
      <c r="GK82" s="1111">
        <f t="shared" si="67"/>
        <v>8.9863311660723005E-2</v>
      </c>
      <c r="GL82" s="1111">
        <f t="shared" si="68"/>
        <v>8.9850222817437805E-2</v>
      </c>
      <c r="GM82" s="1111">
        <f t="shared" si="69"/>
        <v>8.9850222817437805E-2</v>
      </c>
    </row>
    <row r="83" spans="1:195" x14ac:dyDescent="0.2">
      <c r="A83" s="1071" t="s">
        <v>184</v>
      </c>
      <c r="B83" s="1071" t="str">
        <f>NewTech!B19</f>
        <v>TBDSLIM</v>
      </c>
      <c r="C83" s="1071" t="str">
        <f>NewTech!C19</f>
        <v>Bus, Improved Diesel</v>
      </c>
      <c r="D83" s="1071" t="str">
        <f>NewTech!D19</f>
        <v>bn-vmt, bn-vmt/a</v>
      </c>
      <c r="E83" s="1071" t="str">
        <f>NewTech!E19</f>
        <v>TBDSL</v>
      </c>
      <c r="F83" s="1071" t="str">
        <f>NewTech!F19</f>
        <v>TB</v>
      </c>
      <c r="G83" s="1110" t="s">
        <v>498</v>
      </c>
      <c r="H83" s="1110" t="s">
        <v>499</v>
      </c>
      <c r="I83" s="1112">
        <v>1</v>
      </c>
      <c r="J83" s="1111" t="str">
        <f t="shared" si="37"/>
        <v>Bus-DSL</v>
      </c>
      <c r="K83" s="1111">
        <f>SUMIFS(NewEmisData!E:E, NewEmisData!$A:$A, $G83, NewEmisData!$B:$B, $A83, NewEmisData!$C:$C, $H83, NewEmisData!$D:$D, K$6)</f>
        <v>1543.98093106499</v>
      </c>
      <c r="L83" s="1111">
        <f>SUMIFS(NewEmisData!F:F, NewEmisData!$A:$A, $G83, NewEmisData!$B:$B, $A83, NewEmisData!$C:$C, $H83, NewEmisData!$D:$D, L$6)</f>
        <v>1489.5901194539099</v>
      </c>
      <c r="M83" s="1111">
        <f>SUMIFS(NewEmisData!G:G, NewEmisData!$A:$A, $G83, NewEmisData!$B:$B, $A83, NewEmisData!$C:$C, $H83, NewEmisData!$D:$D, M$6)</f>
        <v>1760.12051639078</v>
      </c>
      <c r="N83" s="1111">
        <f>SUMIFS(NewEmisData!H:H, NewEmisData!$A:$A, $G83, NewEmisData!$B:$B, $A83, NewEmisData!$C:$C, $H83, NewEmisData!$D:$D, N$6)</f>
        <v>1725.691003145</v>
      </c>
      <c r="O83" s="1111">
        <f>SUMIFS(NewEmisData!I:I, NewEmisData!$A:$A, $G83, NewEmisData!$B:$B, $A83, NewEmisData!$C:$C, $H83, NewEmisData!$D:$D, O$6)</f>
        <v>1701.2652234181401</v>
      </c>
      <c r="P83" s="1111">
        <f>SUMIFS(NewEmisData!J:J, NewEmisData!$A:$A, $G83, NewEmisData!$B:$B, $A83, NewEmisData!$C:$C, $H83, NewEmisData!$D:$D, P$6)</f>
        <v>1689.2419423004101</v>
      </c>
      <c r="Q83" s="1111">
        <f>SUMIFS(NewEmisData!K:K, NewEmisData!$A:$A, $G83, NewEmisData!$B:$B, $A83, NewEmisData!$C:$C, $H83, NewEmisData!$D:$D, Q$6)</f>
        <v>1686.0310473817101</v>
      </c>
      <c r="R83" s="1111">
        <f>SUMIFS(NewEmisData!L:L, NewEmisData!$A:$A, $G83, NewEmisData!$B:$B, $A83, NewEmisData!$C:$C, $H83, NewEmisData!$D:$D, R$6)</f>
        <v>1684.65387386569</v>
      </c>
      <c r="S83" s="1111">
        <f>SUMIFS(NewEmisData!M:M, NewEmisData!$A:$A, $G83, NewEmisData!$B:$B, $A83, NewEmisData!$C:$C, $H83, NewEmisData!$D:$D, S$6)</f>
        <v>1683.50748414707</v>
      </c>
      <c r="T83" s="1111">
        <f t="shared" si="17"/>
        <v>1683.50748414707</v>
      </c>
      <c r="U83" s="1111">
        <f>SUMIFS(NewEmisData!E:E, NewEmisData!$A:$A, $G83, NewEmisData!$B:$B, $A83, NewEmisData!$C:$C, $H83, NewEmisData!$D:$D, U$6)</f>
        <v>18.668125395756</v>
      </c>
      <c r="V83" s="1111">
        <f>SUMIFS(NewEmisData!F:F, NewEmisData!$A:$A, $G83, NewEmisData!$B:$B, $A83, NewEmisData!$C:$C, $H83, NewEmisData!$D:$D, V$6)</f>
        <v>11.1440380927276</v>
      </c>
      <c r="W83" s="1111">
        <f>SUMIFS(NewEmisData!G:G, NewEmisData!$A:$A, $G83, NewEmisData!$B:$B, $A83, NewEmisData!$C:$C, $H83, NewEmisData!$D:$D, W$6)</f>
        <v>5.7829202038421004</v>
      </c>
      <c r="X83" s="1111">
        <f>SUMIFS(NewEmisData!H:H, NewEmisData!$A:$A, $G83, NewEmisData!$B:$B, $A83, NewEmisData!$C:$C, $H83, NewEmisData!$D:$D, X$6)</f>
        <v>3.20396695130832</v>
      </c>
      <c r="Y83" s="1111">
        <f>SUMIFS(NewEmisData!I:I, NewEmisData!$A:$A, $G83, NewEmisData!$B:$B, $A83, NewEmisData!$C:$C, $H83, NewEmisData!$D:$D, Y$6)</f>
        <v>2.2740618900591598</v>
      </c>
      <c r="Z83" s="1111">
        <f>SUMIFS(NewEmisData!J:J, NewEmisData!$A:$A, $G83, NewEmisData!$B:$B, $A83, NewEmisData!$C:$C, $H83, NewEmisData!$D:$D, Z$6)</f>
        <v>1.9371275562897501</v>
      </c>
      <c r="AA83" s="1111">
        <f>SUMIFS(NewEmisData!K:K, NewEmisData!$A:$A, $G83, NewEmisData!$B:$B, $A83, NewEmisData!$C:$C, $H83, NewEmisData!$D:$D, AA$6)</f>
        <v>1.7456585769951301</v>
      </c>
      <c r="AB83" s="1111">
        <f>SUMIFS(NewEmisData!L:L, NewEmisData!$A:$A, $G83, NewEmisData!$B:$B, $A83, NewEmisData!$C:$C, $H83, NewEmisData!$D:$D, AB$6)</f>
        <v>1.7403372468815299</v>
      </c>
      <c r="AC83" s="1111">
        <f>SUMIFS(NewEmisData!M:M, NewEmisData!$A:$A, $G83, NewEmisData!$B:$B, $A83, NewEmisData!$C:$C, $H83, NewEmisData!$D:$D, AC$6)</f>
        <v>1.7389528033933299</v>
      </c>
      <c r="AD83" s="1111">
        <f t="shared" si="18"/>
        <v>1.7389528033933299</v>
      </c>
      <c r="AE83" s="1111">
        <f t="shared" si="113"/>
        <v>3.8389239139431798E-2</v>
      </c>
      <c r="AF83" s="1111">
        <f>SUMIFS(NewEmisData!E:E, NewEmisData!$A:$A, $G83, NewEmisData!$B:$B, $A83, NewEmisData!$C:$C, $H83, NewEmisData!$D:$D, AF$6)</f>
        <v>3.8389239139431798E-2</v>
      </c>
      <c r="AG83" s="1111">
        <f>SUMIFS(NewEmisData!F:F, NewEmisData!$A:$A, $G83, NewEmisData!$B:$B, $A83, NewEmisData!$C:$C, $H83, NewEmisData!$D:$D, AG$6)</f>
        <v>3.6761798419934502E-2</v>
      </c>
      <c r="AH83" s="1111">
        <f>SUMIFS(NewEmisData!G:G, NewEmisData!$A:$A, $G83, NewEmisData!$B:$B, $A83, NewEmisData!$C:$C, $H83, NewEmisData!$D:$D, AH$6)</f>
        <v>1.4889550958331501E-2</v>
      </c>
      <c r="AI83" s="1111">
        <f>SUMIFS(NewEmisData!H:H, NewEmisData!$A:$A, $G83, NewEmisData!$B:$B, $A83, NewEmisData!$C:$C, $H83, NewEmisData!$D:$D, AI$6)</f>
        <v>1.4468385512049001E-2</v>
      </c>
      <c r="AJ83" s="1111">
        <f>SUMIFS(NewEmisData!I:I, NewEmisData!$A:$A, $G83, NewEmisData!$B:$B, $A83, NewEmisData!$C:$C, $H83, NewEmisData!$D:$D, AJ$6)</f>
        <v>1.4209561374707899E-2</v>
      </c>
      <c r="AK83" s="1111">
        <f>SUMIFS(NewEmisData!J:J, NewEmisData!$A:$A, $G83, NewEmisData!$B:$B, $A83, NewEmisData!$C:$C, $H83, NewEmisData!$D:$D, AK$6)</f>
        <v>1.41029670885105E-2</v>
      </c>
      <c r="AL83" s="1111">
        <f>SUMIFS(NewEmisData!K:K, NewEmisData!$A:$A, $G83, NewEmisData!$B:$B, $A83, NewEmisData!$C:$C, $H83, NewEmisData!$D:$D, AL$6)</f>
        <v>1.4056650783011699E-2</v>
      </c>
      <c r="AM83" s="1111">
        <f>SUMIFS(NewEmisData!L:L, NewEmisData!$A:$A, $G83, NewEmisData!$B:$B, $A83, NewEmisData!$C:$C, $H83, NewEmisData!$D:$D, AM$6)</f>
        <v>1.4045167485360799E-2</v>
      </c>
      <c r="AN83" s="1111">
        <f>SUMIFS(NewEmisData!M:M, NewEmisData!$A:$A, $G83, NewEmisData!$B:$B, $A83, NewEmisData!$C:$C, $H83, NewEmisData!$D:$D, AN$6)</f>
        <v>1.4035601733995101E-2</v>
      </c>
      <c r="AO83" s="1111">
        <f t="shared" si="114"/>
        <v>1.4035601733995101E-2</v>
      </c>
      <c r="AP83" s="1111">
        <f t="shared" si="115"/>
        <v>0.78674550377560604</v>
      </c>
      <c r="AQ83" s="1111">
        <f>SUMIFS(NewEmisData!E:E, NewEmisData!$A:$A, $G83, NewEmisData!$B:$B, $A83, NewEmisData!$C:$C, $H83, NewEmisData!$D:$D, AQ$6)</f>
        <v>0.78674550377560604</v>
      </c>
      <c r="AR83" s="1111">
        <f>SUMIFS(NewEmisData!F:F, NewEmisData!$A:$A, $G83, NewEmisData!$B:$B, $A83, NewEmisData!$C:$C, $H83, NewEmisData!$D:$D, AR$6)</f>
        <v>0.59435851753671198</v>
      </c>
      <c r="AS83" s="1111">
        <f>SUMIFS(NewEmisData!G:G, NewEmisData!$A:$A, $G83, NewEmisData!$B:$B, $A83, NewEmisData!$C:$C, $H83, NewEmisData!$D:$D, AS$6)</f>
        <v>0.48892752894583302</v>
      </c>
      <c r="AT83" s="1111">
        <f>SUMIFS(NewEmisData!H:H, NewEmisData!$A:$A, $G83, NewEmisData!$B:$B, $A83, NewEmisData!$C:$C, $H83, NewEmisData!$D:$D, AT$6)</f>
        <v>0.40673687636699701</v>
      </c>
      <c r="AU83" s="1111">
        <f>SUMIFS(NewEmisData!I:I, NewEmisData!$A:$A, $G83, NewEmisData!$B:$B, $A83, NewEmisData!$C:$C, $H83, NewEmisData!$D:$D, AU$6)</f>
        <v>0.37207197997484598</v>
      </c>
      <c r="AV83" s="1111">
        <f>SUMIFS(NewEmisData!J:J, NewEmisData!$A:$A, $G83, NewEmisData!$B:$B, $A83, NewEmisData!$C:$C, $H83, NewEmisData!$D:$D, AV$6)</f>
        <v>0.366996102766601</v>
      </c>
      <c r="AW83" s="1111">
        <f>SUMIFS(NewEmisData!K:K, NewEmisData!$A:$A, $G83, NewEmisData!$B:$B, $A83, NewEmisData!$C:$C, $H83, NewEmisData!$D:$D, AW$6)</f>
        <v>0.35822974357450499</v>
      </c>
      <c r="AX83" s="1111">
        <f>SUMIFS(NewEmisData!L:L, NewEmisData!$A:$A, $G83, NewEmisData!$B:$B, $A83, NewEmisData!$C:$C, $H83, NewEmisData!$D:$D, AX$6)</f>
        <v>0.35809529827636299</v>
      </c>
      <c r="AY83" s="1111">
        <f>SUMIFS(NewEmisData!M:M, NewEmisData!$A:$A, $G83, NewEmisData!$B:$B, $A83, NewEmisData!$C:$C, $H83, NewEmisData!$D:$D, AY$6)</f>
        <v>0.358118172842192</v>
      </c>
      <c r="AZ83" s="1111">
        <f t="shared" si="116"/>
        <v>0.358118172842192</v>
      </c>
      <c r="BA83" s="1111">
        <f t="shared" si="117"/>
        <v>0.55028448131832597</v>
      </c>
      <c r="BB83" s="1111">
        <f>SUMIFS(NewEmisData!E:E, NewEmisData!$A:$A, $G83, NewEmisData!$B:$B, $A83, NewEmisData!$C:$C, $H83, NewEmisData!$D:$D, BB$6)</f>
        <v>0.55028448131832597</v>
      </c>
      <c r="BC83" s="1111">
        <f>SUMIFS(NewEmisData!F:F, NewEmisData!$A:$A, $G83, NewEmisData!$B:$B, $A83, NewEmisData!$C:$C, $H83, NewEmisData!$D:$D, BC$6)</f>
        <v>0.38400745413618897</v>
      </c>
      <c r="BD83" s="1111">
        <f>SUMIFS(NewEmisData!G:G, NewEmisData!$A:$A, $G83, NewEmisData!$B:$B, $A83, NewEmisData!$C:$C, $H83, NewEmisData!$D:$D, BD$6)</f>
        <v>0.19465121057228399</v>
      </c>
      <c r="BE83" s="1111">
        <f>SUMIFS(NewEmisData!H:H, NewEmisData!$A:$A, $G83, NewEmisData!$B:$B, $A83, NewEmisData!$C:$C, $H83, NewEmisData!$D:$D, BE$6)</f>
        <v>0.118207278051221</v>
      </c>
      <c r="BF83" s="1111">
        <f>SUMIFS(NewEmisData!I:I, NewEmisData!$A:$A, $G83, NewEmisData!$B:$B, $A83, NewEmisData!$C:$C, $H83, NewEmisData!$D:$D, BF$6)</f>
        <v>8.6817069306160496E-2</v>
      </c>
      <c r="BG83" s="1111">
        <f>SUMIFS(NewEmisData!J:J, NewEmisData!$A:$A, $G83, NewEmisData!$B:$B, $A83, NewEmisData!$C:$C, $H83, NewEmisData!$D:$D, BG$6)</f>
        <v>8.22742664951428E-2</v>
      </c>
      <c r="BH83" s="1111">
        <f>SUMIFS(NewEmisData!K:K, NewEmisData!$A:$A, $G83, NewEmisData!$B:$B, $A83, NewEmisData!$C:$C, $H83, NewEmisData!$D:$D, BH$6)</f>
        <v>7.4293747941119301E-2</v>
      </c>
      <c r="BI83" s="1111">
        <f>SUMIFS(NewEmisData!L:L, NewEmisData!$A:$A, $G83, NewEmisData!$B:$B, $A83, NewEmisData!$C:$C, $H83, NewEmisData!$D:$D, BI$6)</f>
        <v>7.4186721872420605E-2</v>
      </c>
      <c r="BJ83" s="1111">
        <f>SUMIFS(NewEmisData!M:M, NewEmisData!$A:$A, $G83, NewEmisData!$B:$B, $A83, NewEmisData!$C:$C, $H83, NewEmisData!$D:$D, BJ$6)</f>
        <v>7.4167760380950506E-2</v>
      </c>
      <c r="BK83" s="1111">
        <f t="shared" si="118"/>
        <v>7.4167760380950506E-2</v>
      </c>
      <c r="BL83" s="1111">
        <f t="shared" si="119"/>
        <v>7.4025631204345501</v>
      </c>
      <c r="BM83" s="1111">
        <f>SUMIFS(NewEmisData!E:E, NewEmisData!$A:$A, $G83, NewEmisData!$B:$B, $A83, NewEmisData!$C:$C, $H83, NewEmisData!$D:$D, BM$6)</f>
        <v>7.4025631204345501</v>
      </c>
      <c r="BN83" s="1111">
        <f>SUMIFS(NewEmisData!F:F, NewEmisData!$A:$A, $G83, NewEmisData!$B:$B, $A83, NewEmisData!$C:$C, $H83, NewEmisData!$D:$D, BN$6)</f>
        <v>5.7928546844056203</v>
      </c>
      <c r="BO83" s="1111">
        <f>SUMIFS(NewEmisData!G:G, NewEmisData!$A:$A, $G83, NewEmisData!$B:$B, $A83, NewEmisData!$C:$C, $H83, NewEmisData!$D:$D, BO$6)</f>
        <v>3.25014237033561</v>
      </c>
      <c r="BP83" s="1111">
        <f>SUMIFS(NewEmisData!H:H, NewEmisData!$A:$A, $G83, NewEmisData!$B:$B, $A83, NewEmisData!$C:$C, $H83, NewEmisData!$D:$D, BP$6)</f>
        <v>2.1022334776789799</v>
      </c>
      <c r="BQ83" s="1111">
        <f>SUMIFS(NewEmisData!I:I, NewEmisData!$A:$A, $G83, NewEmisData!$B:$B, $A83, NewEmisData!$C:$C, $H83, NewEmisData!$D:$D, BQ$6)</f>
        <v>1.90721253550502</v>
      </c>
      <c r="BR83" s="1111">
        <f>SUMIFS(NewEmisData!J:J, NewEmisData!$A:$A, $G83, NewEmisData!$B:$B, $A83, NewEmisData!$C:$C, $H83, NewEmisData!$D:$D, BR$6)</f>
        <v>1.73226494933412</v>
      </c>
      <c r="BS83" s="1111">
        <f>SUMIFS(NewEmisData!K:K, NewEmisData!$A:$A, $G83, NewEmisData!$B:$B, $A83, NewEmisData!$C:$C, $H83, NewEmisData!$D:$D, BS$6)</f>
        <v>1.66295860938386</v>
      </c>
      <c r="BT83" s="1111">
        <f>SUMIFS(NewEmisData!L:L, NewEmisData!$A:$A, $G83, NewEmisData!$B:$B, $A83, NewEmisData!$C:$C, $H83, NewEmisData!$D:$D, BT$6)</f>
        <v>1.6638988091117199</v>
      </c>
      <c r="BU83" s="1111">
        <f>SUMIFS(NewEmisData!M:M, NewEmisData!$A:$A, $G83, NewEmisData!$B:$B, $A83, NewEmisData!$C:$C, $H83, NewEmisData!$D:$D, BU$6)</f>
        <v>1.6592583196978401</v>
      </c>
      <c r="BV83" s="1111">
        <f t="shared" si="120"/>
        <v>1.6592583196978401</v>
      </c>
      <c r="BW83" s="1111">
        <f t="shared" si="121"/>
        <v>1.4473470985210799</v>
      </c>
      <c r="BX83" s="1111">
        <f>SUMIFS(NewEmisData!E:E, NewEmisData!$A:$A, $G83, NewEmisData!$B:$B, $A83, NewEmisData!$C:$C, $H83, NewEmisData!$D:$D, BX$6)</f>
        <v>1.4473470985210799</v>
      </c>
      <c r="BY83" s="1111">
        <f>SUMIFS(NewEmisData!F:F, NewEmisData!$A:$A, $G83, NewEmisData!$B:$B, $A83, NewEmisData!$C:$C, $H83, NewEmisData!$D:$D, BY$6)</f>
        <v>1.1581362740294701</v>
      </c>
      <c r="BZ83" s="1111">
        <f>SUMIFS(NewEmisData!G:G, NewEmisData!$A:$A, $G83, NewEmisData!$B:$B, $A83, NewEmisData!$C:$C, $H83, NewEmisData!$D:$D, BZ$6)</f>
        <v>0.53671452190943902</v>
      </c>
      <c r="CA83" s="1111">
        <f>SUMIFS(NewEmisData!H:H, NewEmisData!$A:$A, $G83, NewEmisData!$B:$B, $A83, NewEmisData!$C:$C, $H83, NewEmisData!$D:$D, CA$6)</f>
        <v>0.27494886385920297</v>
      </c>
      <c r="CB83" s="1111">
        <f>SUMIFS(NewEmisData!I:I, NewEmisData!$A:$A, $G83, NewEmisData!$B:$B, $A83, NewEmisData!$C:$C, $H83, NewEmisData!$D:$D, CB$6)</f>
        <v>0.19325322968969499</v>
      </c>
      <c r="CC83" s="1111">
        <f>SUMIFS(NewEmisData!J:J, NewEmisData!$A:$A, $G83, NewEmisData!$B:$B, $A83, NewEmisData!$C:$C, $H83, NewEmisData!$D:$D, CC$6)</f>
        <v>0.167956894854846</v>
      </c>
      <c r="CD83" s="1111">
        <f>SUMIFS(NewEmisData!K:K, NewEmisData!$A:$A, $G83, NewEmisData!$B:$B, $A83, NewEmisData!$C:$C, $H83, NewEmisData!$D:$D, CD$6)</f>
        <v>0.13892518309640101</v>
      </c>
      <c r="CE83" s="1111">
        <f>SUMIFS(NewEmisData!L:L, NewEmisData!$A:$A, $G83, NewEmisData!$B:$B, $A83, NewEmisData!$C:$C, $H83, NewEmisData!$D:$D, CE$6)</f>
        <v>0.13884600843509601</v>
      </c>
      <c r="CF83" s="1111">
        <f>SUMIFS(NewEmisData!M:M, NewEmisData!$A:$A, $G83, NewEmisData!$B:$B, $A83, NewEmisData!$C:$C, $H83, NewEmisData!$D:$D, CF$6)</f>
        <v>0.13868242154504801</v>
      </c>
      <c r="CG83" s="1111">
        <f t="shared" si="122"/>
        <v>0.13868242154504801</v>
      </c>
      <c r="CH83" s="1111">
        <f t="shared" si="123"/>
        <v>2.5552170890355701E-2</v>
      </c>
      <c r="CI83" s="1111">
        <f>SUMIFS(NewEmisData!E:E, NewEmisData!$A:$A, $G83, NewEmisData!$B:$B, $A83, NewEmisData!$C:$C, $H83, NewEmisData!$D:$D, CI$6)</f>
        <v>2.5552170890355701E-2</v>
      </c>
      <c r="CJ83" s="1111">
        <f>SUMIFS(NewEmisData!F:F, NewEmisData!$A:$A, $G83, NewEmisData!$B:$B, $A83, NewEmisData!$C:$C, $H83, NewEmisData!$D:$D, CJ$6)</f>
        <v>2.53025045921564E-2</v>
      </c>
      <c r="CK83" s="1111">
        <f>SUMIFS(NewEmisData!G:G, NewEmisData!$A:$A, $G83, NewEmisData!$B:$B, $A83, NewEmisData!$C:$C, $H83, NewEmisData!$D:$D, CK$6)</f>
        <v>3.2113726092753501E-2</v>
      </c>
      <c r="CL83" s="1111">
        <f>SUMIFS(NewEmisData!H:H, NewEmisData!$A:$A, $G83, NewEmisData!$B:$B, $A83, NewEmisData!$C:$C, $H83, NewEmisData!$D:$D, CL$6)</f>
        <v>3.2125818354371803E-2</v>
      </c>
      <c r="CM83" s="1111">
        <f>SUMIFS(NewEmisData!I:I, NewEmisData!$A:$A, $G83, NewEmisData!$B:$B, $A83, NewEmisData!$C:$C, $H83, NewEmisData!$D:$D, CM$6)</f>
        <v>3.21152168523616E-2</v>
      </c>
      <c r="CN83" s="1111">
        <f>SUMIFS(NewEmisData!J:J, NewEmisData!$A:$A, $G83, NewEmisData!$B:$B, $A83, NewEmisData!$C:$C, $H83, NewEmisData!$D:$D, CN$6)</f>
        <v>3.21127222738316E-2</v>
      </c>
      <c r="CO83" s="1111">
        <f>SUMIFS(NewEmisData!K:K, NewEmisData!$A:$A, $G83, NewEmisData!$B:$B, $A83, NewEmisData!$C:$C, $H83, NewEmisData!$D:$D, CO$6)</f>
        <v>3.2111195257881399E-2</v>
      </c>
      <c r="CP83" s="1111">
        <f>SUMIFS(NewEmisData!L:L, NewEmisData!$A:$A, $G83, NewEmisData!$B:$B, $A83, NewEmisData!$C:$C, $H83, NewEmisData!$D:$D, CP$6)</f>
        <v>3.21104284845748E-2</v>
      </c>
      <c r="CQ83" s="1111">
        <f>SUMIFS(NewEmisData!M:M, NewEmisData!$A:$A, $G83, NewEmisData!$B:$B, $A83, NewEmisData!$C:$C, $H83, NewEmisData!$D:$D, CQ$6)</f>
        <v>3.2111281698300603E-2</v>
      </c>
      <c r="CR83" s="1111">
        <f t="shared" si="124"/>
        <v>3.2111281698300603E-2</v>
      </c>
      <c r="CS83" s="1111">
        <f t="shared" si="125"/>
        <v>3.4284515149731101E-3</v>
      </c>
      <c r="CT83" s="1111">
        <f>SUMIFS(NewEmisData!E:E, NewEmisData!$A:$A, $G83, NewEmisData!$B:$B, $A83, NewEmisData!$C:$C, $H83, NewEmisData!$D:$D, CT$6)</f>
        <v>3.4284515149731101E-3</v>
      </c>
      <c r="CU83" s="1111">
        <f>SUMIFS(NewEmisData!F:F, NewEmisData!$A:$A, $G83, NewEmisData!$B:$B, $A83, NewEmisData!$C:$C, $H83, NewEmisData!$D:$D, CU$6)</f>
        <v>3.9228568169430503E-3</v>
      </c>
      <c r="CV83" s="1111">
        <f>SUMIFS(NewEmisData!G:G, NewEmisData!$A:$A, $G83, NewEmisData!$B:$B, $A83, NewEmisData!$C:$C, $H83, NewEmisData!$D:$D, CV$6)</f>
        <v>6.0180787362878099E-3</v>
      </c>
      <c r="CW83" s="1111">
        <f>SUMIFS(NewEmisData!H:H, NewEmisData!$A:$A, $G83, NewEmisData!$B:$B, $A83, NewEmisData!$C:$C, $H83, NewEmisData!$D:$D, CW$6)</f>
        <v>6.0081059727209599E-3</v>
      </c>
      <c r="CX83" s="1111">
        <f>SUMIFS(NewEmisData!I:I, NewEmisData!$A:$A, $G83, NewEmisData!$B:$B, $A83, NewEmisData!$C:$C, $H83, NewEmisData!$D:$D, CX$6)</f>
        <v>6.0223865299690697E-3</v>
      </c>
      <c r="CY83" s="1111">
        <f>SUMIFS(NewEmisData!J:J, NewEmisData!$A:$A, $G83, NewEmisData!$B:$B, $A83, NewEmisData!$C:$C, $H83, NewEmisData!$D:$D, CY$6)</f>
        <v>6.0258969594508003E-3</v>
      </c>
      <c r="CZ83" s="1111">
        <f>SUMIFS(NewEmisData!K:K, NewEmisData!$A:$A, $G83, NewEmisData!$B:$B, $A83, NewEmisData!$C:$C, $H83, NewEmisData!$D:$D, CZ$6)</f>
        <v>6.0307176387692897E-3</v>
      </c>
      <c r="DA83" s="1111">
        <f>SUMIFS(NewEmisData!L:L, NewEmisData!$A:$A, $G83, NewEmisData!$B:$B, $A83, NewEmisData!$C:$C, $H83, NewEmisData!$D:$D, DA$6)</f>
        <v>6.0319705845977203E-3</v>
      </c>
      <c r="DB83" s="1111">
        <f>SUMIFS(NewEmisData!M:M, NewEmisData!$A:$A, $G83, NewEmisData!$B:$B, $A83, NewEmisData!$C:$C, $H83, NewEmisData!$D:$D, DB$6)</f>
        <v>6.0283362401861102E-3</v>
      </c>
      <c r="DC83" s="1111">
        <f t="shared" si="126"/>
        <v>6.0283362401861102E-3</v>
      </c>
      <c r="DD83" s="1111"/>
      <c r="DE83" s="1111"/>
      <c r="DF83" s="1111"/>
      <c r="DG83" s="1111"/>
      <c r="DH83" s="1111"/>
      <c r="DI83" s="1111"/>
      <c r="DJ83" s="1111"/>
      <c r="DK83" s="1111"/>
      <c r="DL83" s="1111"/>
      <c r="DM83" s="1111"/>
      <c r="DN83" s="1111"/>
      <c r="DO83" s="1111"/>
      <c r="DP83" s="1111"/>
      <c r="DQ83" s="1111"/>
      <c r="DR83" s="1111"/>
      <c r="DS83" s="1111"/>
      <c r="DT83" s="1111"/>
      <c r="DU83" s="1111"/>
      <c r="DV83" s="1111"/>
      <c r="DW83" s="1111"/>
      <c r="DX83" s="1111"/>
      <c r="DY83" s="1111"/>
      <c r="DZ83" s="1111">
        <f t="shared" si="127"/>
        <v>1.40033005820737E-2</v>
      </c>
      <c r="EA83" s="1111">
        <f>SUMIFS(NewEmisData!E:E, NewEmisData!$A:$A, $G83, NewEmisData!$B:$B, $A83, NewEmisData!$C:$C, $H83, NewEmisData!$D:$D, EA$6)</f>
        <v>1.40033005820737E-2</v>
      </c>
      <c r="EB83" s="1111">
        <f>SUMIFS(NewEmisData!F:F, NewEmisData!$A:$A, $G83, NewEmisData!$B:$B, $A83, NewEmisData!$C:$C, $H83, NewEmisData!$D:$D, EB$6)</f>
        <v>2.6809761202267801E-2</v>
      </c>
      <c r="EC83" s="1111">
        <f>SUMIFS(NewEmisData!G:G, NewEmisData!$A:$A, $G83, NewEmisData!$B:$B, $A83, NewEmisData!$C:$C, $H83, NewEmisData!$D:$D, EC$6)</f>
        <v>0.106442915223567</v>
      </c>
      <c r="ED83" s="1111">
        <f>SUMIFS(NewEmisData!H:H, NewEmisData!$A:$A, $G83, NewEmisData!$B:$B, $A83, NewEmisData!$C:$C, $H83, NewEmisData!$D:$D, ED$6)</f>
        <v>0.114238711864713</v>
      </c>
      <c r="EE83" s="1111">
        <f>SUMIFS(NewEmisData!I:I, NewEmisData!$A:$A, $G83, NewEmisData!$B:$B, $A83, NewEmisData!$C:$C, $H83, NewEmisData!$D:$D, EE$6)</f>
        <v>0.117878139049751</v>
      </c>
      <c r="EF83" s="1111">
        <f>SUMIFS(NewEmisData!J:J, NewEmisData!$A:$A, $G83, NewEmisData!$B:$B, $A83, NewEmisData!$C:$C, $H83, NewEmisData!$D:$D, EF$6)</f>
        <v>0.117418406823893</v>
      </c>
      <c r="EG83" s="1111">
        <f>SUMIFS(NewEmisData!K:K, NewEmisData!$A:$A, $G83, NewEmisData!$B:$B, $A83, NewEmisData!$C:$C, $H83, NewEmisData!$D:$D, EG$6)</f>
        <v>0.12035326609237</v>
      </c>
      <c r="EH83" s="1111">
        <f>SUMIFS(NewEmisData!L:L, NewEmisData!$A:$A, $G83, NewEmisData!$B:$B, $A83, NewEmisData!$C:$C, $H83, NewEmisData!$D:$D, EH$6)</f>
        <v>0.120291917587136</v>
      </c>
      <c r="EI83" s="1111">
        <f>SUMIFS(NewEmisData!M:M, NewEmisData!$A:$A, $G83, NewEmisData!$B:$B, $A83, NewEmisData!$C:$C, $H83, NewEmisData!$D:$D, EI$6)</f>
        <v>0.120135485992918</v>
      </c>
      <c r="EJ83" s="1111">
        <f t="shared" si="128"/>
        <v>0.120135485992918</v>
      </c>
      <c r="EK83" s="1111">
        <f t="shared" si="129"/>
        <v>1543.98093106499</v>
      </c>
      <c r="EL83" s="1111">
        <f t="shared" si="48"/>
        <v>1543.98093106499</v>
      </c>
      <c r="EM83" s="1111">
        <f t="shared" si="49"/>
        <v>1489.5901194539099</v>
      </c>
      <c r="EN83" s="1111">
        <f t="shared" si="50"/>
        <v>1760.12051639078</v>
      </c>
      <c r="EO83" s="1111">
        <f t="shared" si="51"/>
        <v>1725.691003145</v>
      </c>
      <c r="EP83" s="1111">
        <f t="shared" si="52"/>
        <v>1701.2652234181401</v>
      </c>
      <c r="EQ83" s="1111">
        <f t="shared" si="53"/>
        <v>1689.2419423004101</v>
      </c>
      <c r="ER83" s="1111">
        <f t="shared" si="54"/>
        <v>1686.0310473817101</v>
      </c>
      <c r="ES83" s="1111">
        <f t="shared" si="55"/>
        <v>1684.65387386569</v>
      </c>
      <c r="ET83" s="1111">
        <f t="shared" si="56"/>
        <v>1683.50748414707</v>
      </c>
      <c r="EU83" s="1111">
        <f t="shared" si="57"/>
        <v>1683.50748414707</v>
      </c>
      <c r="EV83" s="1111">
        <f t="shared" si="130"/>
        <v>18.668125395756</v>
      </c>
      <c r="EW83" s="1111">
        <f t="shared" si="38"/>
        <v>18.668125395756</v>
      </c>
      <c r="EX83" s="1111">
        <f t="shared" si="39"/>
        <v>11.1440380927276</v>
      </c>
      <c r="EY83" s="1111">
        <f t="shared" si="40"/>
        <v>5.7829202038421004</v>
      </c>
      <c r="EZ83" s="1111">
        <f t="shared" si="41"/>
        <v>3.20396695130832</v>
      </c>
      <c r="FA83" s="1111">
        <f t="shared" si="42"/>
        <v>2.2740618900591598</v>
      </c>
      <c r="FB83" s="1111">
        <f t="shared" si="43"/>
        <v>1.9371275562897501</v>
      </c>
      <c r="FC83" s="1111">
        <f t="shared" si="44"/>
        <v>1.7456585769951301</v>
      </c>
      <c r="FD83" s="1111">
        <f t="shared" si="45"/>
        <v>1.7403372468815299</v>
      </c>
      <c r="FE83" s="1111">
        <f t="shared" si="46"/>
        <v>1.7389528033933299</v>
      </c>
      <c r="FF83" s="1111">
        <f t="shared" si="47"/>
        <v>1.7389528033933299</v>
      </c>
      <c r="FG83" s="1111">
        <f t="shared" si="100"/>
        <v>3.8389239139431798E-2</v>
      </c>
      <c r="FH83" s="1111">
        <f t="shared" si="101"/>
        <v>3.8389239139431798E-2</v>
      </c>
      <c r="FI83" s="1111">
        <f t="shared" si="102"/>
        <v>3.6761798419934502E-2</v>
      </c>
      <c r="FJ83" s="1111">
        <f t="shared" si="103"/>
        <v>1.4889550958331501E-2</v>
      </c>
      <c r="FK83" s="1111">
        <f t="shared" si="104"/>
        <v>1.4468385512049001E-2</v>
      </c>
      <c r="FL83" s="1111">
        <f t="shared" si="105"/>
        <v>1.4209561374707899E-2</v>
      </c>
      <c r="FM83" s="1111">
        <f t="shared" si="106"/>
        <v>1.41029670885105E-2</v>
      </c>
      <c r="FN83" s="1111">
        <f t="shared" si="107"/>
        <v>1.4056650783011699E-2</v>
      </c>
      <c r="FO83" s="1111">
        <f t="shared" si="108"/>
        <v>1.4045167485360799E-2</v>
      </c>
      <c r="FP83" s="1111">
        <f t="shared" si="109"/>
        <v>1.4035601733995101E-2</v>
      </c>
      <c r="FQ83" s="1111">
        <f t="shared" si="110"/>
        <v>1.4035601733995101E-2</v>
      </c>
      <c r="FR83" s="1111">
        <f t="shared" si="25"/>
        <v>0.78674550377560604</v>
      </c>
      <c r="FS83" s="1111">
        <f t="shared" si="26"/>
        <v>0.78674550377560604</v>
      </c>
      <c r="FT83" s="1111">
        <f t="shared" si="27"/>
        <v>0.59435851753671198</v>
      </c>
      <c r="FU83" s="1111">
        <f t="shared" si="28"/>
        <v>0.48892752894583302</v>
      </c>
      <c r="FV83" s="1111">
        <f t="shared" si="29"/>
        <v>0.40673687636699701</v>
      </c>
      <c r="FW83" s="1111">
        <f t="shared" si="30"/>
        <v>0.37207197997484598</v>
      </c>
      <c r="FX83" s="1111">
        <f t="shared" si="31"/>
        <v>0.366996102766601</v>
      </c>
      <c r="FY83" s="1111">
        <f t="shared" si="32"/>
        <v>0.35822974357450499</v>
      </c>
      <c r="FZ83" s="1111">
        <f t="shared" si="33"/>
        <v>0.35809529827636299</v>
      </c>
      <c r="GA83" s="1111">
        <f t="shared" si="34"/>
        <v>0.358118172842192</v>
      </c>
      <c r="GB83" s="1111">
        <f t="shared" si="35"/>
        <v>0.358118172842192</v>
      </c>
      <c r="GC83" s="1111">
        <f t="shared" si="59"/>
        <v>0.55028448131832597</v>
      </c>
      <c r="GD83" s="1111">
        <f t="shared" si="60"/>
        <v>0.55028448131832597</v>
      </c>
      <c r="GE83" s="1111">
        <f t="shared" si="61"/>
        <v>0.38400745413618897</v>
      </c>
      <c r="GF83" s="1111">
        <f t="shared" si="62"/>
        <v>0.19465121057228399</v>
      </c>
      <c r="GG83" s="1111">
        <f t="shared" si="63"/>
        <v>0.118207278051221</v>
      </c>
      <c r="GH83" s="1111">
        <f t="shared" si="64"/>
        <v>8.6817069306160496E-2</v>
      </c>
      <c r="GI83" s="1111">
        <f t="shared" si="65"/>
        <v>8.22742664951428E-2</v>
      </c>
      <c r="GJ83" s="1111">
        <f t="shared" si="66"/>
        <v>7.4293747941119301E-2</v>
      </c>
      <c r="GK83" s="1111">
        <f t="shared" si="67"/>
        <v>7.4186721872420605E-2</v>
      </c>
      <c r="GL83" s="1111">
        <f t="shared" si="68"/>
        <v>7.4167760380950506E-2</v>
      </c>
      <c r="GM83" s="1111">
        <f t="shared" si="69"/>
        <v>7.4167760380950506E-2</v>
      </c>
    </row>
    <row r="84" spans="1:195" x14ac:dyDescent="0.2">
      <c r="A84" s="1071" t="s">
        <v>186</v>
      </c>
      <c r="B84" s="1071" t="str">
        <f>NewTech!B19</f>
        <v>TBDSLIM</v>
      </c>
      <c r="C84" s="1071" t="str">
        <f>NewTech!C19</f>
        <v>Bus, Improved Diesel</v>
      </c>
      <c r="D84" s="1071" t="str">
        <f>NewTech!D19</f>
        <v>bn-vmt, bn-vmt/a</v>
      </c>
      <c r="E84" s="1071" t="str">
        <f>NewTech!E19</f>
        <v>TBDSL</v>
      </c>
      <c r="F84" s="1071" t="str">
        <f>NewTech!F19</f>
        <v>TB</v>
      </c>
      <c r="G84" s="1110" t="s">
        <v>498</v>
      </c>
      <c r="H84" s="1110" t="s">
        <v>499</v>
      </c>
      <c r="I84" s="1112">
        <v>1</v>
      </c>
      <c r="J84" s="1111" t="str">
        <f t="shared" si="37"/>
        <v>Bus-DSL</v>
      </c>
      <c r="K84" s="1111">
        <f>SUMIFS(NewEmisData!E:E, NewEmisData!$A:$A, $G84, NewEmisData!$B:$B, $A84, NewEmisData!$C:$C, $H84, NewEmisData!$D:$D, K$6)</f>
        <v>2080.2970890730599</v>
      </c>
      <c r="L84" s="1111">
        <f>SUMIFS(NewEmisData!F:F, NewEmisData!$A:$A, $G84, NewEmisData!$B:$B, $A84, NewEmisData!$C:$C, $H84, NewEmisData!$D:$D, L$6)</f>
        <v>2109.4711930624499</v>
      </c>
      <c r="M84" s="1111">
        <f>SUMIFS(NewEmisData!G:G, NewEmisData!$A:$A, $G84, NewEmisData!$B:$B, $A84, NewEmisData!$C:$C, $H84, NewEmisData!$D:$D, M$6)</f>
        <v>2250.3411144545198</v>
      </c>
      <c r="N84" s="1111">
        <f>SUMIFS(NewEmisData!H:H, NewEmisData!$A:$A, $G84, NewEmisData!$B:$B, $A84, NewEmisData!$C:$C, $H84, NewEmisData!$D:$D, N$6)</f>
        <v>2207.8222571372398</v>
      </c>
      <c r="O84" s="1111">
        <f>SUMIFS(NewEmisData!I:I, NewEmisData!$A:$A, $G84, NewEmisData!$B:$B, $A84, NewEmisData!$C:$C, $H84, NewEmisData!$D:$D, O$6)</f>
        <v>2173.5129182212299</v>
      </c>
      <c r="P84" s="1111">
        <f>SUMIFS(NewEmisData!J:J, NewEmisData!$A:$A, $G84, NewEmisData!$B:$B, $A84, NewEmisData!$C:$C, $H84, NewEmisData!$D:$D, P$6)</f>
        <v>2157.1874680648498</v>
      </c>
      <c r="Q84" s="1111">
        <f>SUMIFS(NewEmisData!K:K, NewEmisData!$A:$A, $G84, NewEmisData!$B:$B, $A84, NewEmisData!$C:$C, $H84, NewEmisData!$D:$D, Q$6)</f>
        <v>2152.6343695246501</v>
      </c>
      <c r="R84" s="1111">
        <f>SUMIFS(NewEmisData!L:L, NewEmisData!$A:$A, $G84, NewEmisData!$B:$B, $A84, NewEmisData!$C:$C, $H84, NewEmisData!$D:$D, R$6)</f>
        <v>2151.1111734661499</v>
      </c>
      <c r="S84" s="1111">
        <f>SUMIFS(NewEmisData!M:M, NewEmisData!$A:$A, $G84, NewEmisData!$B:$B, $A84, NewEmisData!$C:$C, $H84, NewEmisData!$D:$D, S$6)</f>
        <v>2150.6160486070298</v>
      </c>
      <c r="T84" s="1111">
        <f t="shared" si="17"/>
        <v>2150.6160486070298</v>
      </c>
      <c r="U84" s="1111">
        <f>SUMIFS(NewEmisData!E:E, NewEmisData!$A:$A, $G84, NewEmisData!$B:$B, $A84, NewEmisData!$C:$C, $H84, NewEmisData!$D:$D, U$6)</f>
        <v>40.449529533420304</v>
      </c>
      <c r="V84" s="1111">
        <f>SUMIFS(NewEmisData!F:F, NewEmisData!$A:$A, $G84, NewEmisData!$B:$B, $A84, NewEmisData!$C:$C, $H84, NewEmisData!$D:$D, V$6)</f>
        <v>37.425839617300603</v>
      </c>
      <c r="W84" s="1111">
        <f>SUMIFS(NewEmisData!G:G, NewEmisData!$A:$A, $G84, NewEmisData!$B:$B, $A84, NewEmisData!$C:$C, $H84, NewEmisData!$D:$D, W$6)</f>
        <v>6.6428401041299603</v>
      </c>
      <c r="X84" s="1111">
        <f>SUMIFS(NewEmisData!H:H, NewEmisData!$A:$A, $G84, NewEmisData!$B:$B, $A84, NewEmisData!$C:$C, $H84, NewEmisData!$D:$D, X$6)</f>
        <v>3.77567960317164</v>
      </c>
      <c r="Y84" s="1111">
        <f>SUMIFS(NewEmisData!I:I, NewEmisData!$A:$A, $G84, NewEmisData!$B:$B, $A84, NewEmisData!$C:$C, $H84, NewEmisData!$D:$D, Y$6)</f>
        <v>2.6206386180811401</v>
      </c>
      <c r="Z84" s="1111">
        <f>SUMIFS(NewEmisData!J:J, NewEmisData!$A:$A, $G84, NewEmisData!$B:$B, $A84, NewEmisData!$C:$C, $H84, NewEmisData!$D:$D, Z$6)</f>
        <v>2.3009735743661102</v>
      </c>
      <c r="AA84" s="1111">
        <f>SUMIFS(NewEmisData!K:K, NewEmisData!$A:$A, $G84, NewEmisData!$B:$B, $A84, NewEmisData!$C:$C, $H84, NewEmisData!$D:$D, AA$6)</f>
        <v>2.1222500944201301</v>
      </c>
      <c r="AB84" s="1111">
        <f>SUMIFS(NewEmisData!L:L, NewEmisData!$A:$A, $G84, NewEmisData!$B:$B, $A84, NewEmisData!$C:$C, $H84, NewEmisData!$D:$D, AB$6)</f>
        <v>2.1170149680898702</v>
      </c>
      <c r="AC84" s="1111">
        <f>SUMIFS(NewEmisData!M:M, NewEmisData!$A:$A, $G84, NewEmisData!$B:$B, $A84, NewEmisData!$C:$C, $H84, NewEmisData!$D:$D, AC$6)</f>
        <v>2.1153875073054502</v>
      </c>
      <c r="AD84" s="1111">
        <f t="shared" si="18"/>
        <v>2.1153875073054502</v>
      </c>
      <c r="AE84" s="1111">
        <f t="shared" si="113"/>
        <v>5.2255737859281101E-2</v>
      </c>
      <c r="AF84" s="1111">
        <f>SUMIFS(NewEmisData!E:E, NewEmisData!$A:$A, $G84, NewEmisData!$B:$B, $A84, NewEmisData!$C:$C, $H84, NewEmisData!$D:$D, AF$6)</f>
        <v>5.2255737859281101E-2</v>
      </c>
      <c r="AG84" s="1111">
        <f>SUMIFS(NewEmisData!F:F, NewEmisData!$A:$A, $G84, NewEmisData!$B:$B, $A84, NewEmisData!$C:$C, $H84, NewEmisData!$D:$D, AG$6)</f>
        <v>5.2336961474348999E-2</v>
      </c>
      <c r="AH84" s="1111">
        <f>SUMIFS(NewEmisData!G:G, NewEmisData!$A:$A, $G84, NewEmisData!$B:$B, $A84, NewEmisData!$C:$C, $H84, NewEmisData!$D:$D, AH$6)</f>
        <v>1.90120187414001E-2</v>
      </c>
      <c r="AI84" s="1111">
        <f>SUMIFS(NewEmisData!H:H, NewEmisData!$A:$A, $G84, NewEmisData!$B:$B, $A84, NewEmisData!$C:$C, $H84, NewEmisData!$D:$D, AI$6)</f>
        <v>1.84874270200093E-2</v>
      </c>
      <c r="AJ84" s="1111">
        <f>SUMIFS(NewEmisData!I:I, NewEmisData!$A:$A, $G84, NewEmisData!$B:$B, $A84, NewEmisData!$C:$C, $H84, NewEmisData!$D:$D, AJ$6)</f>
        <v>1.8144374000154902E-2</v>
      </c>
      <c r="AK84" s="1111">
        <f>SUMIFS(NewEmisData!J:J, NewEmisData!$A:$A, $G84, NewEmisData!$B:$B, $A84, NewEmisData!$C:$C, $H84, NewEmisData!$D:$D, AK$6)</f>
        <v>1.7999854067365699E-2</v>
      </c>
      <c r="AL84" s="1111">
        <f>SUMIFS(NewEmisData!K:K, NewEmisData!$A:$A, $G84, NewEmisData!$B:$B, $A84, NewEmisData!$C:$C, $H84, NewEmisData!$D:$D, AL$6)</f>
        <v>1.7946771342725602E-2</v>
      </c>
      <c r="AM84" s="1111">
        <f>SUMIFS(NewEmisData!L:L, NewEmisData!$A:$A, $G84, NewEmisData!$B:$B, $A84, NewEmisData!$C:$C, $H84, NewEmisData!$D:$D, AM$6)</f>
        <v>1.7934071003801701E-2</v>
      </c>
      <c r="AN84" s="1111">
        <f>SUMIFS(NewEmisData!M:M, NewEmisData!$A:$A, $G84, NewEmisData!$B:$B, $A84, NewEmisData!$C:$C, $H84, NewEmisData!$D:$D, AN$6)</f>
        <v>1.79299478743845E-2</v>
      </c>
      <c r="AO84" s="1111">
        <f t="shared" si="114"/>
        <v>1.79299478743845E-2</v>
      </c>
      <c r="AP84" s="1111">
        <f t="shared" si="115"/>
        <v>3.1140708935215899</v>
      </c>
      <c r="AQ84" s="1111">
        <f>SUMIFS(NewEmisData!E:E, NewEmisData!$A:$A, $G84, NewEmisData!$B:$B, $A84, NewEmisData!$C:$C, $H84, NewEmisData!$D:$D, AQ$6)</f>
        <v>3.1140708935215899</v>
      </c>
      <c r="AR84" s="1111">
        <f>SUMIFS(NewEmisData!F:F, NewEmisData!$A:$A, $G84, NewEmisData!$B:$B, $A84, NewEmisData!$C:$C, $H84, NewEmisData!$D:$D, AR$6)</f>
        <v>2.8847204358426501</v>
      </c>
      <c r="AS84" s="1111">
        <f>SUMIFS(NewEmisData!G:G, NewEmisData!$A:$A, $G84, NewEmisData!$B:$B, $A84, NewEmisData!$C:$C, $H84, NewEmisData!$D:$D, AS$6)</f>
        <v>0.74809443085481597</v>
      </c>
      <c r="AT84" s="1111">
        <f>SUMIFS(NewEmisData!H:H, NewEmisData!$A:$A, $G84, NewEmisData!$B:$B, $A84, NewEmisData!$C:$C, $H84, NewEmisData!$D:$D, AT$6)</f>
        <v>0.62015789663876097</v>
      </c>
      <c r="AU84" s="1111">
        <f>SUMIFS(NewEmisData!I:I, NewEmisData!$A:$A, $G84, NewEmisData!$B:$B, $A84, NewEmisData!$C:$C, $H84, NewEmisData!$D:$D, AU$6)</f>
        <v>0.57506450514365803</v>
      </c>
      <c r="AV84" s="1111">
        <f>SUMIFS(NewEmisData!J:J, NewEmisData!$A:$A, $G84, NewEmisData!$B:$B, $A84, NewEmisData!$C:$C, $H84, NewEmisData!$D:$D, AV$6)</f>
        <v>0.56761442636626203</v>
      </c>
      <c r="AW84" s="1111">
        <f>SUMIFS(NewEmisData!K:K, NewEmisData!$A:$A, $G84, NewEmisData!$B:$B, $A84, NewEmisData!$C:$C, $H84, NewEmisData!$D:$D, AW$6)</f>
        <v>0.55955127050834697</v>
      </c>
      <c r="AX84" s="1111">
        <f>SUMIFS(NewEmisData!L:L, NewEmisData!$A:$A, $G84, NewEmisData!$B:$B, $A84, NewEmisData!$C:$C, $H84, NewEmisData!$D:$D, AX$6)</f>
        <v>0.55939324929766499</v>
      </c>
      <c r="AY84" s="1111">
        <f>SUMIFS(NewEmisData!M:M, NewEmisData!$A:$A, $G84, NewEmisData!$B:$B, $A84, NewEmisData!$C:$C, $H84, NewEmisData!$D:$D, AY$6)</f>
        <v>0.55957008556142196</v>
      </c>
      <c r="AZ84" s="1111">
        <f t="shared" si="116"/>
        <v>0.55957008556142196</v>
      </c>
      <c r="BA84" s="1111">
        <f t="shared" si="117"/>
        <v>2.5303145316281501</v>
      </c>
      <c r="BB84" s="1111">
        <f>SUMIFS(NewEmisData!E:E, NewEmisData!$A:$A, $G84, NewEmisData!$B:$B, $A84, NewEmisData!$C:$C, $H84, NewEmisData!$D:$D, BB$6)</f>
        <v>2.5303145316281501</v>
      </c>
      <c r="BC84" s="1111">
        <f>SUMIFS(NewEmisData!F:F, NewEmisData!$A:$A, $G84, NewEmisData!$B:$B, $A84, NewEmisData!$C:$C, $H84, NewEmisData!$D:$D, BC$6)</f>
        <v>2.3086681022657398</v>
      </c>
      <c r="BD84" s="1111">
        <f>SUMIFS(NewEmisData!G:G, NewEmisData!$A:$A, $G84, NewEmisData!$B:$B, $A84, NewEmisData!$C:$C, $H84, NewEmisData!$D:$D, BD$6)</f>
        <v>0.28378444504223299</v>
      </c>
      <c r="BE84" s="1111">
        <f>SUMIFS(NewEmisData!H:H, NewEmisData!$A:$A, $G84, NewEmisData!$B:$B, $A84, NewEmisData!$C:$C, $H84, NewEmisData!$D:$D, BE$6)</f>
        <v>0.16305711430309899</v>
      </c>
      <c r="BF84" s="1111">
        <f>SUMIFS(NewEmisData!I:I, NewEmisData!$A:$A, $G84, NewEmisData!$B:$B, $A84, NewEmisData!$C:$C, $H84, NewEmisData!$D:$D, BF$6)</f>
        <v>0.12268206574598001</v>
      </c>
      <c r="BG84" s="1111">
        <f>SUMIFS(NewEmisData!J:J, NewEmisData!$A:$A, $G84, NewEmisData!$B:$B, $A84, NewEmisData!$C:$C, $H84, NewEmisData!$D:$D, BG$6)</f>
        <v>0.11582611815709799</v>
      </c>
      <c r="BH84" s="1111">
        <f>SUMIFS(NewEmisData!K:K, NewEmisData!$A:$A, $G84, NewEmisData!$B:$B, $A84, NewEmisData!$C:$C, $H84, NewEmisData!$D:$D, BH$6)</f>
        <v>0.108668011205409</v>
      </c>
      <c r="BI84" s="1111">
        <f>SUMIFS(NewEmisData!L:L, NewEmisData!$A:$A, $G84, NewEmisData!$B:$B, $A84, NewEmisData!$C:$C, $H84, NewEmisData!$D:$D, BI$6)</f>
        <v>0.108570916199558</v>
      </c>
      <c r="BJ84" s="1111">
        <f>SUMIFS(NewEmisData!M:M, NewEmisData!$A:$A, $G84, NewEmisData!$B:$B, $A84, NewEmisData!$C:$C, $H84, NewEmisData!$D:$D, BJ$6)</f>
        <v>0.108581014611937</v>
      </c>
      <c r="BK84" s="1111">
        <f t="shared" si="118"/>
        <v>0.108581014611937</v>
      </c>
      <c r="BL84" s="1111">
        <f t="shared" si="119"/>
        <v>11.394784821519901</v>
      </c>
      <c r="BM84" s="1111">
        <f>SUMIFS(NewEmisData!E:E, NewEmisData!$A:$A, $G84, NewEmisData!$B:$B, $A84, NewEmisData!$C:$C, $H84, NewEmisData!$D:$D, BM$6)</f>
        <v>11.394784821519901</v>
      </c>
      <c r="BN84" s="1111">
        <f>SUMIFS(NewEmisData!F:F, NewEmisData!$A:$A, $G84, NewEmisData!$B:$B, $A84, NewEmisData!$C:$C, $H84, NewEmisData!$D:$D, BN$6)</f>
        <v>10.6563815549337</v>
      </c>
      <c r="BO84" s="1111">
        <f>SUMIFS(NewEmisData!G:G, NewEmisData!$A:$A, $G84, NewEmisData!$B:$B, $A84, NewEmisData!$C:$C, $H84, NewEmisData!$D:$D, BO$6)</f>
        <v>2.5217312345554999</v>
      </c>
      <c r="BP84" s="1111">
        <f>SUMIFS(NewEmisData!H:H, NewEmisData!$A:$A, $G84, NewEmisData!$B:$B, $A84, NewEmisData!$C:$C, $H84, NewEmisData!$D:$D, BP$6)</f>
        <v>1.32179357333326</v>
      </c>
      <c r="BQ84" s="1111">
        <f>SUMIFS(NewEmisData!I:I, NewEmisData!$A:$A, $G84, NewEmisData!$B:$B, $A84, NewEmisData!$C:$C, $H84, NewEmisData!$D:$D, BQ$6)</f>
        <v>1.08738121961483</v>
      </c>
      <c r="BR84" s="1111">
        <f>SUMIFS(NewEmisData!J:J, NewEmisData!$A:$A, $G84, NewEmisData!$B:$B, $A84, NewEmisData!$C:$C, $H84, NewEmisData!$D:$D, BR$6)</f>
        <v>0.93269004563424096</v>
      </c>
      <c r="BS84" s="1111">
        <f>SUMIFS(NewEmisData!K:K, NewEmisData!$A:$A, $G84, NewEmisData!$B:$B, $A84, NewEmisData!$C:$C, $H84, NewEmisData!$D:$D, BS$6)</f>
        <v>0.871599531751862</v>
      </c>
      <c r="BT84" s="1111">
        <f>SUMIFS(NewEmisData!L:L, NewEmisData!$A:$A, $G84, NewEmisData!$B:$B, $A84, NewEmisData!$C:$C, $H84, NewEmisData!$D:$D, BT$6)</f>
        <v>0.87139254201649397</v>
      </c>
      <c r="BU84" s="1111">
        <f>SUMIFS(NewEmisData!M:M, NewEmisData!$A:$A, $G84, NewEmisData!$B:$B, $A84, NewEmisData!$C:$C, $H84, NewEmisData!$D:$D, BU$6)</f>
        <v>0.870328181669625</v>
      </c>
      <c r="BV84" s="1111">
        <f t="shared" si="120"/>
        <v>0.870328181669625</v>
      </c>
      <c r="BW84" s="1111">
        <f t="shared" si="121"/>
        <v>2.3752781774376901</v>
      </c>
      <c r="BX84" s="1111">
        <f>SUMIFS(NewEmisData!E:E, NewEmisData!$A:$A, $G84, NewEmisData!$B:$B, $A84, NewEmisData!$C:$C, $H84, NewEmisData!$D:$D, BX$6)</f>
        <v>2.3752781774376901</v>
      </c>
      <c r="BY84" s="1111">
        <f>SUMIFS(NewEmisData!F:F, NewEmisData!$A:$A, $G84, NewEmisData!$B:$B, $A84, NewEmisData!$C:$C, $H84, NewEmisData!$D:$D, BY$6)</f>
        <v>2.1942926985453299</v>
      </c>
      <c r="BZ84" s="1111">
        <f>SUMIFS(NewEmisData!G:G, NewEmisData!$A:$A, $G84, NewEmisData!$B:$B, $A84, NewEmisData!$C:$C, $H84, NewEmisData!$D:$D, BZ$6)</f>
        <v>0.59763355306084598</v>
      </c>
      <c r="CA84" s="1111">
        <f>SUMIFS(NewEmisData!H:H, NewEmisData!$A:$A, $G84, NewEmisData!$B:$B, $A84, NewEmisData!$C:$C, $H84, NewEmisData!$D:$D, CA$6)</f>
        <v>0.29137621139391601</v>
      </c>
      <c r="CB84" s="1111">
        <f>SUMIFS(NewEmisData!I:I, NewEmisData!$A:$A, $G84, NewEmisData!$B:$B, $A84, NewEmisData!$C:$C, $H84, NewEmisData!$D:$D, CB$6)</f>
        <v>0.200801002522528</v>
      </c>
      <c r="CC84" s="1111">
        <f>SUMIFS(NewEmisData!J:J, NewEmisData!$A:$A, $G84, NewEmisData!$B:$B, $A84, NewEmisData!$C:$C, $H84, NewEmisData!$D:$D, CC$6)</f>
        <v>0.17642712606932701</v>
      </c>
      <c r="CD84" s="1111">
        <f>SUMIFS(NewEmisData!K:K, NewEmisData!$A:$A, $G84, NewEmisData!$B:$B, $A84, NewEmisData!$C:$C, $H84, NewEmisData!$D:$D, CD$6)</f>
        <v>0.151845237690554</v>
      </c>
      <c r="CE84" s="1111">
        <f>SUMIFS(NewEmisData!L:L, NewEmisData!$A:$A, $G84, NewEmisData!$B:$B, $A84, NewEmisData!$C:$C, $H84, NewEmisData!$D:$D, CE$6)</f>
        <v>0.15173882312273401</v>
      </c>
      <c r="CF84" s="1111">
        <f>SUMIFS(NewEmisData!M:M, NewEmisData!$A:$A, $G84, NewEmisData!$B:$B, $A84, NewEmisData!$C:$C, $H84, NewEmisData!$D:$D, CF$6)</f>
        <v>0.15169469158436399</v>
      </c>
      <c r="CG84" s="1111">
        <f t="shared" si="122"/>
        <v>0.15169469158436399</v>
      </c>
      <c r="CH84" s="1111">
        <f t="shared" si="123"/>
        <v>3.4941772828006E-2</v>
      </c>
      <c r="CI84" s="1111">
        <f>SUMIFS(NewEmisData!E:E, NewEmisData!$A:$A, $G84, NewEmisData!$B:$B, $A84, NewEmisData!$C:$C, $H84, NewEmisData!$D:$D, CI$6)</f>
        <v>3.4941772828006E-2</v>
      </c>
      <c r="CJ84" s="1111">
        <f>SUMIFS(NewEmisData!F:F, NewEmisData!$A:$A, $G84, NewEmisData!$B:$B, $A84, NewEmisData!$C:$C, $H84, NewEmisData!$D:$D, CJ$6)</f>
        <v>3.50217450182281E-2</v>
      </c>
      <c r="CK84" s="1111">
        <f>SUMIFS(NewEmisData!G:G, NewEmisData!$A:$A, $G84, NewEmisData!$B:$B, $A84, NewEmisData!$C:$C, $H84, NewEmisData!$D:$D, CK$6)</f>
        <v>3.9477724835296803E-2</v>
      </c>
      <c r="CL84" s="1111">
        <f>SUMIFS(NewEmisData!H:H, NewEmisData!$A:$A, $G84, NewEmisData!$B:$B, $A84, NewEmisData!$C:$C, $H84, NewEmisData!$D:$D, CL$6)</f>
        <v>3.9528644727434697E-2</v>
      </c>
      <c r="CM84" s="1111">
        <f>SUMIFS(NewEmisData!I:I, NewEmisData!$A:$A, $G84, NewEmisData!$B:$B, $A84, NewEmisData!$C:$C, $H84, NewEmisData!$D:$D, CM$6)</f>
        <v>3.95085168774486E-2</v>
      </c>
      <c r="CN84" s="1111">
        <f>SUMIFS(NewEmisData!J:J, NewEmisData!$A:$A, $G84, NewEmisData!$B:$B, $A84, NewEmisData!$C:$C, $H84, NewEmisData!$D:$D, CN$6)</f>
        <v>3.9508343326223903E-2</v>
      </c>
      <c r="CO84" s="1111">
        <f>SUMIFS(NewEmisData!K:K, NewEmisData!$A:$A, $G84, NewEmisData!$B:$B, $A84, NewEmisData!$C:$C, $H84, NewEmisData!$D:$D, CO$6)</f>
        <v>3.9503822065767399E-2</v>
      </c>
      <c r="CP84" s="1111">
        <f>SUMIFS(NewEmisData!L:L, NewEmisData!$A:$A, $G84, NewEmisData!$B:$B, $A84, NewEmisData!$C:$C, $H84, NewEmisData!$D:$D, CP$6)</f>
        <v>3.9502771622416701E-2</v>
      </c>
      <c r="CQ84" s="1111">
        <f>SUMIFS(NewEmisData!M:M, NewEmisData!$A:$A, $G84, NewEmisData!$B:$B, $A84, NewEmisData!$C:$C, $H84, NewEmisData!$D:$D, CQ$6)</f>
        <v>3.9505510322833698E-2</v>
      </c>
      <c r="CR84" s="1111">
        <f t="shared" si="124"/>
        <v>3.9505510322833698E-2</v>
      </c>
      <c r="CS84" s="1111">
        <f t="shared" si="125"/>
        <v>6.6012209147156302E-3</v>
      </c>
      <c r="CT84" s="1111">
        <f>SUMIFS(NewEmisData!E:E, NewEmisData!$A:$A, $G84, NewEmisData!$B:$B, $A84, NewEmisData!$C:$C, $H84, NewEmisData!$D:$D, CT$6)</f>
        <v>6.6012209147156302E-3</v>
      </c>
      <c r="CU84" s="1111">
        <f>SUMIFS(NewEmisData!F:F, NewEmisData!$A:$A, $G84, NewEmisData!$B:$B, $A84, NewEmisData!$C:$C, $H84, NewEmisData!$D:$D, CU$6)</f>
        <v>6.4073594557178398E-3</v>
      </c>
      <c r="CV84" s="1111">
        <f>SUMIFS(NewEmisData!G:G, NewEmisData!$A:$A, $G84, NewEmisData!$B:$B, $A84, NewEmisData!$C:$C, $H84, NewEmisData!$D:$D, CV$6)</f>
        <v>7.1648137678451997E-3</v>
      </c>
      <c r="CW84" s="1111">
        <f>SUMIFS(NewEmisData!H:H, NewEmisData!$A:$A, $G84, NewEmisData!$B:$B, $A84, NewEmisData!$C:$C, $H84, NewEmisData!$D:$D, CW$6)</f>
        <v>7.1602087071173399E-3</v>
      </c>
      <c r="CX84" s="1111">
        <f>SUMIFS(NewEmisData!I:I, NewEmisData!$A:$A, $G84, NewEmisData!$B:$B, $A84, NewEmisData!$C:$C, $H84, NewEmisData!$D:$D, CX$6)</f>
        <v>7.16455163233476E-3</v>
      </c>
      <c r="CY84" s="1111">
        <f>SUMIFS(NewEmisData!J:J, NewEmisData!$A:$A, $G84, NewEmisData!$B:$B, $A84, NewEmisData!$C:$C, $H84, NewEmisData!$D:$D, CY$6)</f>
        <v>7.1645367912074997E-3</v>
      </c>
      <c r="CZ84" s="1111">
        <f>SUMIFS(NewEmisData!K:K, NewEmisData!$A:$A, $G84, NewEmisData!$B:$B, $A84, NewEmisData!$C:$C, $H84, NewEmisData!$D:$D, CZ$6)</f>
        <v>7.1656509510186596E-3</v>
      </c>
      <c r="DA84" s="1111">
        <f>SUMIFS(NewEmisData!L:L, NewEmisData!$A:$A, $G84, NewEmisData!$B:$B, $A84, NewEmisData!$C:$C, $H84, NewEmisData!$D:$D, DA$6)</f>
        <v>7.1659123166224799E-3</v>
      </c>
      <c r="DB84" s="1111">
        <f>SUMIFS(NewEmisData!M:M, NewEmisData!$A:$A, $G84, NewEmisData!$B:$B, $A84, NewEmisData!$C:$C, $H84, NewEmisData!$D:$D, DB$6)</f>
        <v>7.1650737318779897E-3</v>
      </c>
      <c r="DC84" s="1111">
        <f t="shared" si="126"/>
        <v>7.1650737318779897E-3</v>
      </c>
      <c r="DD84" s="1111"/>
      <c r="DE84" s="1111"/>
      <c r="DF84" s="1111"/>
      <c r="DG84" s="1111"/>
      <c r="DH84" s="1111"/>
      <c r="DI84" s="1111"/>
      <c r="DJ84" s="1111"/>
      <c r="DK84" s="1111"/>
      <c r="DL84" s="1111"/>
      <c r="DM84" s="1111"/>
      <c r="DN84" s="1111"/>
      <c r="DO84" s="1111"/>
      <c r="DP84" s="1111"/>
      <c r="DQ84" s="1111"/>
      <c r="DR84" s="1111"/>
      <c r="DS84" s="1111"/>
      <c r="DT84" s="1111"/>
      <c r="DU84" s="1111"/>
      <c r="DV84" s="1111"/>
      <c r="DW84" s="1111"/>
      <c r="DX84" s="1111"/>
      <c r="DY84" s="1111"/>
      <c r="DZ84" s="1111">
        <f t="shared" si="127"/>
        <v>1.10654250023199E-2</v>
      </c>
      <c r="EA84" s="1111">
        <f>SUMIFS(NewEmisData!E:E, NewEmisData!$A:$A, $G84, NewEmisData!$B:$B, $A84, NewEmisData!$C:$C, $H84, NewEmisData!$D:$D, EA$6)</f>
        <v>1.10654250023199E-2</v>
      </c>
      <c r="EB84" s="1111">
        <f>SUMIFS(NewEmisData!F:F, NewEmisData!$A:$A, $G84, NewEmisData!$B:$B, $A84, NewEmisData!$C:$C, $H84, NewEmisData!$D:$D, EB$6)</f>
        <v>3.5717908538474501E-2</v>
      </c>
      <c r="EC84" s="1111">
        <f>SUMIFS(NewEmisData!G:G, NewEmisData!$A:$A, $G84, NewEmisData!$B:$B, $A84, NewEmisData!$C:$C, $H84, NewEmisData!$D:$D, EC$6)</f>
        <v>0.116951384194715</v>
      </c>
      <c r="ED84" s="1111">
        <f>SUMIFS(NewEmisData!H:H, NewEmisData!$A:$A, $G84, NewEmisData!$B:$B, $A84, NewEmisData!$C:$C, $H84, NewEmisData!$D:$D, ED$6)</f>
        <v>0.12541769151994001</v>
      </c>
      <c r="EE84" s="1111">
        <f>SUMIFS(NewEmisData!I:I, NewEmisData!$A:$A, $G84, NewEmisData!$B:$B, $A84, NewEmisData!$C:$C, $H84, NewEmisData!$D:$D, EE$6)</f>
        <v>0.12528032512760801</v>
      </c>
      <c r="EF84" s="1111">
        <f>SUMIFS(NewEmisData!J:J, NewEmisData!$A:$A, $G84, NewEmisData!$B:$B, $A84, NewEmisData!$C:$C, $H84, NewEmisData!$D:$D, EF$6)</f>
        <v>0.124793701298803</v>
      </c>
      <c r="EG84" s="1111">
        <f>SUMIFS(NewEmisData!K:K, NewEmisData!$A:$A, $G84, NewEmisData!$B:$B, $A84, NewEmisData!$C:$C, $H84, NewEmisData!$D:$D, EG$6)</f>
        <v>0.126229069683536</v>
      </c>
      <c r="EH84" s="1111">
        <f>SUMIFS(NewEmisData!L:L, NewEmisData!$A:$A, $G84, NewEmisData!$B:$B, $A84, NewEmisData!$C:$C, $H84, NewEmisData!$D:$D, EH$6)</f>
        <v>0.126140757204284</v>
      </c>
      <c r="EI84" s="1111">
        <f>SUMIFS(NewEmisData!M:M, NewEmisData!$A:$A, $G84, NewEmisData!$B:$B, $A84, NewEmisData!$C:$C, $H84, NewEmisData!$D:$D, EI$6)</f>
        <v>0.126101847596616</v>
      </c>
      <c r="EJ84" s="1111">
        <f t="shared" si="128"/>
        <v>0.126101847596616</v>
      </c>
      <c r="EK84" s="1111">
        <f t="shared" si="129"/>
        <v>2080.2970890730599</v>
      </c>
      <c r="EL84" s="1111">
        <f t="shared" si="48"/>
        <v>2080.2970890730599</v>
      </c>
      <c r="EM84" s="1111">
        <f t="shared" si="49"/>
        <v>2109.4711930624499</v>
      </c>
      <c r="EN84" s="1111">
        <f t="shared" si="50"/>
        <v>2250.3411144545198</v>
      </c>
      <c r="EO84" s="1111">
        <f t="shared" si="51"/>
        <v>2207.8222571372398</v>
      </c>
      <c r="EP84" s="1111">
        <f t="shared" si="52"/>
        <v>2173.5129182212299</v>
      </c>
      <c r="EQ84" s="1111">
        <f t="shared" si="53"/>
        <v>2157.1874680648498</v>
      </c>
      <c r="ER84" s="1111">
        <f t="shared" si="54"/>
        <v>2152.6343695246501</v>
      </c>
      <c r="ES84" s="1111">
        <f t="shared" si="55"/>
        <v>2151.1111734661499</v>
      </c>
      <c r="ET84" s="1111">
        <f t="shared" si="56"/>
        <v>2150.6160486070298</v>
      </c>
      <c r="EU84" s="1111">
        <f t="shared" si="57"/>
        <v>2150.6160486070298</v>
      </c>
      <c r="EV84" s="1111">
        <f t="shared" si="130"/>
        <v>40.449529533420304</v>
      </c>
      <c r="EW84" s="1111">
        <f t="shared" si="38"/>
        <v>40.449529533420304</v>
      </c>
      <c r="EX84" s="1111">
        <f t="shared" si="39"/>
        <v>37.425839617300603</v>
      </c>
      <c r="EY84" s="1111">
        <f t="shared" si="40"/>
        <v>6.6428401041299603</v>
      </c>
      <c r="EZ84" s="1111">
        <f t="shared" si="41"/>
        <v>3.77567960317164</v>
      </c>
      <c r="FA84" s="1111">
        <f t="shared" si="42"/>
        <v>2.6206386180811401</v>
      </c>
      <c r="FB84" s="1111">
        <f t="shared" si="43"/>
        <v>2.3009735743661102</v>
      </c>
      <c r="FC84" s="1111">
        <f t="shared" si="44"/>
        <v>2.1222500944201301</v>
      </c>
      <c r="FD84" s="1111">
        <f t="shared" si="45"/>
        <v>2.1170149680898702</v>
      </c>
      <c r="FE84" s="1111">
        <f t="shared" si="46"/>
        <v>2.1153875073054502</v>
      </c>
      <c r="FF84" s="1111">
        <f t="shared" si="47"/>
        <v>2.1153875073054502</v>
      </c>
      <c r="FG84" s="1111">
        <f t="shared" si="100"/>
        <v>5.2255737859281101E-2</v>
      </c>
      <c r="FH84" s="1111">
        <f t="shared" si="101"/>
        <v>5.2255737859281101E-2</v>
      </c>
      <c r="FI84" s="1111">
        <f t="shared" si="102"/>
        <v>5.2336961474348999E-2</v>
      </c>
      <c r="FJ84" s="1111">
        <f t="shared" si="103"/>
        <v>1.90120187414001E-2</v>
      </c>
      <c r="FK84" s="1111">
        <f t="shared" si="104"/>
        <v>1.84874270200093E-2</v>
      </c>
      <c r="FL84" s="1111">
        <f t="shared" si="105"/>
        <v>1.8144374000154902E-2</v>
      </c>
      <c r="FM84" s="1111">
        <f t="shared" si="106"/>
        <v>1.7999854067365699E-2</v>
      </c>
      <c r="FN84" s="1111">
        <f t="shared" si="107"/>
        <v>1.7946771342725602E-2</v>
      </c>
      <c r="FO84" s="1111">
        <f t="shared" si="108"/>
        <v>1.7934071003801701E-2</v>
      </c>
      <c r="FP84" s="1111">
        <f t="shared" si="109"/>
        <v>1.79299478743845E-2</v>
      </c>
      <c r="FQ84" s="1111">
        <f t="shared" si="110"/>
        <v>1.79299478743845E-2</v>
      </c>
      <c r="FR84" s="1111">
        <f t="shared" si="25"/>
        <v>3.1140708935215899</v>
      </c>
      <c r="FS84" s="1111">
        <f t="shared" si="26"/>
        <v>3.1140708935215899</v>
      </c>
      <c r="FT84" s="1111">
        <f t="shared" si="27"/>
        <v>2.8847204358426501</v>
      </c>
      <c r="FU84" s="1111">
        <f t="shared" si="28"/>
        <v>0.74809443085481597</v>
      </c>
      <c r="FV84" s="1111">
        <f t="shared" si="29"/>
        <v>0.62015789663876097</v>
      </c>
      <c r="FW84" s="1111">
        <f t="shared" si="30"/>
        <v>0.57506450514365803</v>
      </c>
      <c r="FX84" s="1111">
        <f t="shared" si="31"/>
        <v>0.56761442636626203</v>
      </c>
      <c r="FY84" s="1111">
        <f t="shared" si="32"/>
        <v>0.55955127050834697</v>
      </c>
      <c r="FZ84" s="1111">
        <f t="shared" si="33"/>
        <v>0.55939324929766499</v>
      </c>
      <c r="GA84" s="1111">
        <f t="shared" si="34"/>
        <v>0.55957008556142196</v>
      </c>
      <c r="GB84" s="1111">
        <f t="shared" si="35"/>
        <v>0.55957008556142196</v>
      </c>
      <c r="GC84" s="1111">
        <f t="shared" si="59"/>
        <v>2.5303145316281501</v>
      </c>
      <c r="GD84" s="1111">
        <f t="shared" si="60"/>
        <v>2.5303145316281501</v>
      </c>
      <c r="GE84" s="1111">
        <f t="shared" si="61"/>
        <v>2.3086681022657398</v>
      </c>
      <c r="GF84" s="1111">
        <f t="shared" si="62"/>
        <v>0.28378444504223299</v>
      </c>
      <c r="GG84" s="1111">
        <f t="shared" si="63"/>
        <v>0.16305711430309899</v>
      </c>
      <c r="GH84" s="1111">
        <f t="shared" si="64"/>
        <v>0.12268206574598001</v>
      </c>
      <c r="GI84" s="1111">
        <f t="shared" si="65"/>
        <v>0.11582611815709799</v>
      </c>
      <c r="GJ84" s="1111">
        <f t="shared" si="66"/>
        <v>0.108668011205409</v>
      </c>
      <c r="GK84" s="1111">
        <f t="shared" si="67"/>
        <v>0.108570916199558</v>
      </c>
      <c r="GL84" s="1111">
        <f t="shared" si="68"/>
        <v>0.108581014611937</v>
      </c>
      <c r="GM84" s="1111">
        <f t="shared" si="69"/>
        <v>0.108581014611937</v>
      </c>
    </row>
    <row r="85" spans="1:195" x14ac:dyDescent="0.2">
      <c r="A85" s="1071" t="s">
        <v>188</v>
      </c>
      <c r="B85" s="1071" t="str">
        <f>NewTech!B19</f>
        <v>TBDSLIM</v>
      </c>
      <c r="C85" s="1071" t="str">
        <f>NewTech!C19</f>
        <v>Bus, Improved Diesel</v>
      </c>
      <c r="D85" s="1071" t="str">
        <f>NewTech!D19</f>
        <v>bn-vmt, bn-vmt/a</v>
      </c>
      <c r="E85" s="1071" t="str">
        <f>NewTech!E19</f>
        <v>TBDSL</v>
      </c>
      <c r="F85" s="1071" t="str">
        <f>NewTech!F19</f>
        <v>TB</v>
      </c>
      <c r="G85" s="1110" t="s">
        <v>498</v>
      </c>
      <c r="H85" s="1110" t="s">
        <v>499</v>
      </c>
      <c r="I85" s="1112">
        <v>1</v>
      </c>
      <c r="J85" s="1111" t="str">
        <f t="shared" si="37"/>
        <v>Bus-DSL</v>
      </c>
      <c r="K85" s="1111">
        <f>SUMIFS(NewEmisData!E:E, NewEmisData!$A:$A, $G85, NewEmisData!$B:$B, $A85, NewEmisData!$C:$C, $H85, NewEmisData!$D:$D, K$6)</f>
        <v>1490.2976816476501</v>
      </c>
      <c r="L85" s="1111">
        <f>SUMIFS(NewEmisData!F:F, NewEmisData!$A:$A, $G85, NewEmisData!$B:$B, $A85, NewEmisData!$C:$C, $H85, NewEmisData!$D:$D, L$6)</f>
        <v>1626.84882020706</v>
      </c>
      <c r="M85" s="1111">
        <f>SUMIFS(NewEmisData!G:G, NewEmisData!$A:$A, $G85, NewEmisData!$B:$B, $A85, NewEmisData!$C:$C, $H85, NewEmisData!$D:$D, M$6)</f>
        <v>1458.6179661731101</v>
      </c>
      <c r="N85" s="1111">
        <f>SUMIFS(NewEmisData!H:H, NewEmisData!$A:$A, $G85, NewEmisData!$B:$B, $A85, NewEmisData!$C:$C, $H85, NewEmisData!$D:$D, N$6)</f>
        <v>1416.37770823441</v>
      </c>
      <c r="O85" s="1111">
        <f>SUMIFS(NewEmisData!I:I, NewEmisData!$A:$A, $G85, NewEmisData!$B:$B, $A85, NewEmisData!$C:$C, $H85, NewEmisData!$D:$D, O$6)</f>
        <v>1353.32178885294</v>
      </c>
      <c r="P85" s="1111">
        <f>SUMIFS(NewEmisData!J:J, NewEmisData!$A:$A, $G85, NewEmisData!$B:$B, $A85, NewEmisData!$C:$C, $H85, NewEmisData!$D:$D, P$6)</f>
        <v>1322.46976433435</v>
      </c>
      <c r="Q85" s="1111">
        <f>SUMIFS(NewEmisData!K:K, NewEmisData!$A:$A, $G85, NewEmisData!$B:$B, $A85, NewEmisData!$C:$C, $H85, NewEmisData!$D:$D, Q$6)</f>
        <v>1318.4113892753701</v>
      </c>
      <c r="R85" s="1111">
        <f>SUMIFS(NewEmisData!L:L, NewEmisData!$A:$A, $G85, NewEmisData!$B:$B, $A85, NewEmisData!$C:$C, $H85, NewEmisData!$D:$D, R$6)</f>
        <v>1317.4103236998201</v>
      </c>
      <c r="S85" s="1111">
        <f>SUMIFS(NewEmisData!M:M, NewEmisData!$A:$A, $G85, NewEmisData!$B:$B, $A85, NewEmisData!$C:$C, $H85, NewEmisData!$D:$D, S$6)</f>
        <v>1317.2762015215601</v>
      </c>
      <c r="T85" s="1111">
        <f t="shared" si="17"/>
        <v>1317.2762015215601</v>
      </c>
      <c r="U85" s="1111">
        <f>SUMIFS(NewEmisData!E:E, NewEmisData!$A:$A, $G85, NewEmisData!$B:$B, $A85, NewEmisData!$C:$C, $H85, NewEmisData!$D:$D, U$6)</f>
        <v>11.691833793473601</v>
      </c>
      <c r="V85" s="1111">
        <f>SUMIFS(NewEmisData!F:F, NewEmisData!$A:$A, $G85, NewEmisData!$B:$B, $A85, NewEmisData!$C:$C, $H85, NewEmisData!$D:$D, V$6)</f>
        <v>5.3676771149688802</v>
      </c>
      <c r="W85" s="1111">
        <f>SUMIFS(NewEmisData!G:G, NewEmisData!$A:$A, $G85, NewEmisData!$B:$B, $A85, NewEmisData!$C:$C, $H85, NewEmisData!$D:$D, W$6)</f>
        <v>3.6137202505642398</v>
      </c>
      <c r="X85" s="1111">
        <f>SUMIFS(NewEmisData!H:H, NewEmisData!$A:$A, $G85, NewEmisData!$B:$B, $A85, NewEmisData!$C:$C, $H85, NewEmisData!$D:$D, X$6)</f>
        <v>1.93222611085197</v>
      </c>
      <c r="Y85" s="1111">
        <f>SUMIFS(NewEmisData!I:I, NewEmisData!$A:$A, $G85, NewEmisData!$B:$B, $A85, NewEmisData!$C:$C, $H85, NewEmisData!$D:$D, Y$6)</f>
        <v>1.2904635466224801</v>
      </c>
      <c r="Z85" s="1111">
        <f>SUMIFS(NewEmisData!J:J, NewEmisData!$A:$A, $G85, NewEmisData!$B:$B, $A85, NewEmisData!$C:$C, $H85, NewEmisData!$D:$D, Z$6)</f>
        <v>1.20804258245566</v>
      </c>
      <c r="AA85" s="1111">
        <f>SUMIFS(NewEmisData!K:K, NewEmisData!$A:$A, $G85, NewEmisData!$B:$B, $A85, NewEmisData!$C:$C, $H85, NewEmisData!$D:$D, AA$6)</f>
        <v>1.1760366424397</v>
      </c>
      <c r="AB85" s="1111">
        <f>SUMIFS(NewEmisData!L:L, NewEmisData!$A:$A, $G85, NewEmisData!$B:$B, $A85, NewEmisData!$C:$C, $H85, NewEmisData!$D:$D, AB$6)</f>
        <v>1.1748287303099401</v>
      </c>
      <c r="AC85" s="1111">
        <f>SUMIFS(NewEmisData!M:M, NewEmisData!$A:$A, $G85, NewEmisData!$B:$B, $A85, NewEmisData!$C:$C, $H85, NewEmisData!$D:$D, AC$6)</f>
        <v>1.17443815932545</v>
      </c>
      <c r="AD85" s="1111">
        <f t="shared" si="18"/>
        <v>1.17443815932545</v>
      </c>
      <c r="AE85" s="1111">
        <f t="shared" si="113"/>
        <v>3.6717879284551301E-2</v>
      </c>
      <c r="AF85" s="1111">
        <f>SUMIFS(NewEmisData!E:E, NewEmisData!$A:$A, $G85, NewEmisData!$B:$B, $A85, NewEmisData!$C:$C, $H85, NewEmisData!$D:$D, AF$6)</f>
        <v>3.6717879284551301E-2</v>
      </c>
      <c r="AG85" s="1111">
        <f>SUMIFS(NewEmisData!F:F, NewEmisData!$A:$A, $G85, NewEmisData!$B:$B, $A85, NewEmisData!$C:$C, $H85, NewEmisData!$D:$D, AG$6)</f>
        <v>3.9098355675890401E-2</v>
      </c>
      <c r="AH85" s="1111">
        <f>SUMIFS(NewEmisData!G:G, NewEmisData!$A:$A, $G85, NewEmisData!$B:$B, $A85, NewEmisData!$C:$C, $H85, NewEmisData!$D:$D, AH$6)</f>
        <v>1.2334311567984301E-2</v>
      </c>
      <c r="AI85" s="1111">
        <f>SUMIFS(NewEmisData!H:H, NewEmisData!$A:$A, $G85, NewEmisData!$B:$B, $A85, NewEmisData!$C:$C, $H85, NewEmisData!$D:$D, AI$6)</f>
        <v>1.1840116163087199E-2</v>
      </c>
      <c r="AJ85" s="1111">
        <f>SUMIFS(NewEmisData!I:I, NewEmisData!$A:$A, $G85, NewEmisData!$B:$B, $A85, NewEmisData!$C:$C, $H85, NewEmisData!$D:$D, AJ$6)</f>
        <v>1.12892010251304E-2</v>
      </c>
      <c r="AK85" s="1111">
        <f>SUMIFS(NewEmisData!J:J, NewEmisData!$A:$A, $G85, NewEmisData!$B:$B, $A85, NewEmisData!$C:$C, $H85, NewEmisData!$D:$D, AK$6)</f>
        <v>1.10267582574557E-2</v>
      </c>
      <c r="AL85" s="1111">
        <f>SUMIFS(NewEmisData!K:K, NewEmisData!$A:$A, $G85, NewEmisData!$B:$B, $A85, NewEmisData!$C:$C, $H85, NewEmisData!$D:$D, AL$6)</f>
        <v>1.0991760238511099E-2</v>
      </c>
      <c r="AM85" s="1111">
        <f>SUMIFS(NewEmisData!L:L, NewEmisData!$A:$A, $G85, NewEmisData!$B:$B, $A85, NewEmisData!$C:$C, $H85, NewEmisData!$D:$D, AM$6)</f>
        <v>1.09834074162082E-2</v>
      </c>
      <c r="AN85" s="1111">
        <f>SUMIFS(NewEmisData!M:M, NewEmisData!$A:$A, $G85, NewEmisData!$B:$B, $A85, NewEmisData!$C:$C, $H85, NewEmisData!$D:$D, AN$6)</f>
        <v>1.09822886490272E-2</v>
      </c>
      <c r="AO85" s="1111">
        <f t="shared" si="114"/>
        <v>1.09822886490272E-2</v>
      </c>
      <c r="AP85" s="1111">
        <f t="shared" si="115"/>
        <v>1.1044131831227499</v>
      </c>
      <c r="AQ85" s="1111">
        <f>SUMIFS(NewEmisData!E:E, NewEmisData!$A:$A, $G85, NewEmisData!$B:$B, $A85, NewEmisData!$C:$C, $H85, NewEmisData!$D:$D, AQ$6)</f>
        <v>1.1044131831227499</v>
      </c>
      <c r="AR85" s="1111">
        <f>SUMIFS(NewEmisData!F:F, NewEmisData!$A:$A, $G85, NewEmisData!$B:$B, $A85, NewEmisData!$C:$C, $H85, NewEmisData!$D:$D, AR$6)</f>
        <v>0.69596448890826201</v>
      </c>
      <c r="AS85" s="1111">
        <f>SUMIFS(NewEmisData!G:G, NewEmisData!$A:$A, $G85, NewEmisData!$B:$B, $A85, NewEmisData!$C:$C, $H85, NewEmisData!$D:$D, AS$6)</f>
        <v>0.41688561176651601</v>
      </c>
      <c r="AT85" s="1111">
        <f>SUMIFS(NewEmisData!H:H, NewEmisData!$A:$A, $G85, NewEmisData!$B:$B, $A85, NewEmisData!$C:$C, $H85, NewEmisData!$D:$D, AT$6)</f>
        <v>0.29523682935823298</v>
      </c>
      <c r="AU85" s="1111">
        <f>SUMIFS(NewEmisData!I:I, NewEmisData!$A:$A, $G85, NewEmisData!$B:$B, $A85, NewEmisData!$C:$C, $H85, NewEmisData!$D:$D, AU$6)</f>
        <v>0.26722857671539402</v>
      </c>
      <c r="AV85" s="1111">
        <f>SUMIFS(NewEmisData!J:J, NewEmisData!$A:$A, $G85, NewEmisData!$B:$B, $A85, NewEmisData!$C:$C, $H85, NewEmisData!$D:$D, AV$6)</f>
        <v>0.259356859155779</v>
      </c>
      <c r="AW85" s="1111">
        <f>SUMIFS(NewEmisData!K:K, NewEmisData!$A:$A, $G85, NewEmisData!$B:$B, $A85, NewEmisData!$C:$C, $H85, NewEmisData!$D:$D, AW$6)</f>
        <v>0.25811596391799502</v>
      </c>
      <c r="AX85" s="1111">
        <f>SUMIFS(NewEmisData!L:L, NewEmisData!$A:$A, $G85, NewEmisData!$B:$B, $A85, NewEmisData!$C:$C, $H85, NewEmisData!$D:$D, AX$6)</f>
        <v>0.25800802926334099</v>
      </c>
      <c r="AY85" s="1111">
        <f>SUMIFS(NewEmisData!M:M, NewEmisData!$A:$A, $G85, NewEmisData!$B:$B, $A85, NewEmisData!$C:$C, $H85, NewEmisData!$D:$D, AY$6)</f>
        <v>0.258000316903299</v>
      </c>
      <c r="AZ85" s="1111">
        <f t="shared" si="116"/>
        <v>0.258000316903299</v>
      </c>
      <c r="BA85" s="1111">
        <f t="shared" si="117"/>
        <v>0.80515128163926197</v>
      </c>
      <c r="BB85" s="1111">
        <f>SUMIFS(NewEmisData!E:E, NewEmisData!$A:$A, $G85, NewEmisData!$B:$B, $A85, NewEmisData!$C:$C, $H85, NewEmisData!$D:$D, BB$6)</f>
        <v>0.80515128163926197</v>
      </c>
      <c r="BC85" s="1111">
        <f>SUMIFS(NewEmisData!F:F, NewEmisData!$A:$A, $G85, NewEmisData!$B:$B, $A85, NewEmisData!$C:$C, $H85, NewEmisData!$D:$D, BC$6)</f>
        <v>0.40385030676064299</v>
      </c>
      <c r="BD85" s="1111">
        <f>SUMIFS(NewEmisData!G:G, NewEmisData!$A:$A, $G85, NewEmisData!$B:$B, $A85, NewEmisData!$C:$C, $H85, NewEmisData!$D:$D, BD$6)</f>
        <v>0.191914712359671</v>
      </c>
      <c r="BE85" s="1111">
        <f>SUMIFS(NewEmisData!H:H, NewEmisData!$A:$A, $G85, NewEmisData!$B:$B, $A85, NewEmisData!$C:$C, $H85, NewEmisData!$D:$D, BE$6)</f>
        <v>7.9817965863261897E-2</v>
      </c>
      <c r="BF85" s="1111">
        <f>SUMIFS(NewEmisData!I:I, NewEmisData!$A:$A, $G85, NewEmisData!$B:$B, $A85, NewEmisData!$C:$C, $H85, NewEmisData!$D:$D, BF$6)</f>
        <v>5.8587138047291203E-2</v>
      </c>
      <c r="BG85" s="1111">
        <f>SUMIFS(NewEmisData!J:J, NewEmisData!$A:$A, $G85, NewEmisData!$B:$B, $A85, NewEmisData!$C:$C, $H85, NewEmisData!$D:$D, BG$6)</f>
        <v>5.3925401266024603E-2</v>
      </c>
      <c r="BH85" s="1111">
        <f>SUMIFS(NewEmisData!K:K, NewEmisData!$A:$A, $G85, NewEmisData!$B:$B, $A85, NewEmisData!$C:$C, $H85, NewEmisData!$D:$D, BH$6)</f>
        <v>5.3085681499215498E-2</v>
      </c>
      <c r="BI85" s="1111">
        <f>SUMIFS(NewEmisData!L:L, NewEmisData!$A:$A, $G85, NewEmisData!$B:$B, $A85, NewEmisData!$C:$C, $H85, NewEmisData!$D:$D, BI$6)</f>
        <v>5.3060223447352402E-2</v>
      </c>
      <c r="BJ85" s="1111">
        <f>SUMIFS(NewEmisData!M:M, NewEmisData!$A:$A, $G85, NewEmisData!$B:$B, $A85, NewEmisData!$C:$C, $H85, NewEmisData!$D:$D, BJ$6)</f>
        <v>5.30583578225301E-2</v>
      </c>
      <c r="BK85" s="1111">
        <f t="shared" si="118"/>
        <v>5.30583578225301E-2</v>
      </c>
      <c r="BL85" s="1111">
        <f t="shared" si="119"/>
        <v>5.0811910165099299</v>
      </c>
      <c r="BM85" s="1111">
        <f>SUMIFS(NewEmisData!E:E, NewEmisData!$A:$A, $G85, NewEmisData!$B:$B, $A85, NewEmisData!$C:$C, $H85, NewEmisData!$D:$D, BM$6)</f>
        <v>5.0811910165099299</v>
      </c>
      <c r="BN85" s="1111">
        <f>SUMIFS(NewEmisData!F:F, NewEmisData!$A:$A, $G85, NewEmisData!$B:$B, $A85, NewEmisData!$C:$C, $H85, NewEmisData!$D:$D, BN$6)</f>
        <v>2.7268470265204399</v>
      </c>
      <c r="BO85" s="1111">
        <f>SUMIFS(NewEmisData!G:G, NewEmisData!$A:$A, $G85, NewEmisData!$B:$B, $A85, NewEmisData!$C:$C, $H85, NewEmisData!$D:$D, BO$6)</f>
        <v>1.5355914449636101</v>
      </c>
      <c r="BP85" s="1111">
        <f>SUMIFS(NewEmisData!H:H, NewEmisData!$A:$A, $G85, NewEmisData!$B:$B, $A85, NewEmisData!$C:$C, $H85, NewEmisData!$D:$D, BP$6)</f>
        <v>0.89657237406968604</v>
      </c>
      <c r="BQ85" s="1111">
        <f>SUMIFS(NewEmisData!I:I, NewEmisData!$A:$A, $G85, NewEmisData!$B:$B, $A85, NewEmisData!$C:$C, $H85, NewEmisData!$D:$D, BQ$6)</f>
        <v>0.79413479693216504</v>
      </c>
      <c r="BR85" s="1111">
        <f>SUMIFS(NewEmisData!J:J, NewEmisData!$A:$A, $G85, NewEmisData!$B:$B, $A85, NewEmisData!$C:$C, $H85, NewEmisData!$D:$D, BR$6)</f>
        <v>0.78234582666351604</v>
      </c>
      <c r="BS85" s="1111">
        <f>SUMIFS(NewEmisData!K:K, NewEmisData!$A:$A, $G85, NewEmisData!$B:$B, $A85, NewEmisData!$C:$C, $H85, NewEmisData!$D:$D, BS$6)</f>
        <v>0.77895631877372495</v>
      </c>
      <c r="BT85" s="1111">
        <f>SUMIFS(NewEmisData!L:L, NewEmisData!$A:$A, $G85, NewEmisData!$B:$B, $A85, NewEmisData!$C:$C, $H85, NewEmisData!$D:$D, BT$6)</f>
        <v>0.77927504109494905</v>
      </c>
      <c r="BU85" s="1111">
        <f>SUMIFS(NewEmisData!M:M, NewEmisData!$A:$A, $G85, NewEmisData!$B:$B, $A85, NewEmisData!$C:$C, $H85, NewEmisData!$D:$D, BU$6)</f>
        <v>0.77930513165756399</v>
      </c>
      <c r="BV85" s="1111">
        <f t="shared" si="120"/>
        <v>0.77930513165756399</v>
      </c>
      <c r="BW85" s="1111">
        <f t="shared" si="121"/>
        <v>1.4965442116421701</v>
      </c>
      <c r="BX85" s="1111">
        <f>SUMIFS(NewEmisData!E:E, NewEmisData!$A:$A, $G85, NewEmisData!$B:$B, $A85, NewEmisData!$C:$C, $H85, NewEmisData!$D:$D, BX$6)</f>
        <v>1.4965442116421701</v>
      </c>
      <c r="BY85" s="1111">
        <f>SUMIFS(NewEmisData!F:F, NewEmisData!$A:$A, $G85, NewEmisData!$B:$B, $A85, NewEmisData!$C:$C, $H85, NewEmisData!$D:$D, BY$6)</f>
        <v>0.81900820559121901</v>
      </c>
      <c r="BZ85" s="1111">
        <f>SUMIFS(NewEmisData!G:G, NewEmisData!$A:$A, $G85, NewEmisData!$B:$B, $A85, NewEmisData!$C:$C, $H85, NewEmisData!$D:$D, BZ$6)</f>
        <v>0.36146735176794997</v>
      </c>
      <c r="CA85" s="1111">
        <f>SUMIFS(NewEmisData!H:H, NewEmisData!$A:$A, $G85, NewEmisData!$B:$B, $A85, NewEmisData!$C:$C, $H85, NewEmisData!$D:$D, CA$6)</f>
        <v>0.14039143137271001</v>
      </c>
      <c r="CB85" s="1111">
        <f>SUMIFS(NewEmisData!I:I, NewEmisData!$A:$A, $G85, NewEmisData!$B:$B, $A85, NewEmisData!$C:$C, $H85, NewEmisData!$D:$D, CB$6)</f>
        <v>0.101873557704856</v>
      </c>
      <c r="CC85" s="1111">
        <f>SUMIFS(NewEmisData!J:J, NewEmisData!$A:$A, $G85, NewEmisData!$B:$B, $A85, NewEmisData!$C:$C, $H85, NewEmisData!$D:$D, CC$6)</f>
        <v>9.43838462975264E-2</v>
      </c>
      <c r="CD85" s="1111">
        <f>SUMIFS(NewEmisData!K:K, NewEmisData!$A:$A, $G85, NewEmisData!$B:$B, $A85, NewEmisData!$C:$C, $H85, NewEmisData!$D:$D, CD$6)</f>
        <v>9.2903808201499405E-2</v>
      </c>
      <c r="CE85" s="1111">
        <f>SUMIFS(NewEmisData!L:L, NewEmisData!$A:$A, $G85, NewEmisData!$B:$B, $A85, NewEmisData!$C:$C, $H85, NewEmisData!$D:$D, CE$6)</f>
        <v>9.2890797107212E-2</v>
      </c>
      <c r="CF85" s="1111">
        <f>SUMIFS(NewEmisData!M:M, NewEmisData!$A:$A, $G85, NewEmisData!$B:$B, $A85, NewEmisData!$C:$C, $H85, NewEmisData!$D:$D, CF$6)</f>
        <v>9.2889380350906603E-2</v>
      </c>
      <c r="CG85" s="1111">
        <f t="shared" si="122"/>
        <v>9.2889380350906603E-2</v>
      </c>
      <c r="CH85" s="1111">
        <f t="shared" si="123"/>
        <v>2.6549169080668199E-2</v>
      </c>
      <c r="CI85" s="1111">
        <f>SUMIFS(NewEmisData!E:E, NewEmisData!$A:$A, $G85, NewEmisData!$B:$B, $A85, NewEmisData!$C:$C, $H85, NewEmisData!$D:$D, CI$6)</f>
        <v>2.6549169080668199E-2</v>
      </c>
      <c r="CJ85" s="1111">
        <f>SUMIFS(NewEmisData!F:F, NewEmisData!$A:$A, $G85, NewEmisData!$B:$B, $A85, NewEmisData!$C:$C, $H85, NewEmisData!$D:$D, CJ$6)</f>
        <v>2.7077377373300401E-2</v>
      </c>
      <c r="CK85" s="1111">
        <f>SUMIFS(NewEmisData!G:G, NewEmisData!$A:$A, $G85, NewEmisData!$B:$B, $A85, NewEmisData!$C:$C, $H85, NewEmisData!$D:$D, CK$6)</f>
        <v>2.6663646209720601E-2</v>
      </c>
      <c r="CL85" s="1111">
        <f>SUMIFS(NewEmisData!H:H, NewEmisData!$A:$A, $G85, NewEmisData!$B:$B, $A85, NewEmisData!$C:$C, $H85, NewEmisData!$D:$D, CL$6)</f>
        <v>2.6672380848637399E-2</v>
      </c>
      <c r="CM85" s="1111">
        <f>SUMIFS(NewEmisData!I:I, NewEmisData!$A:$A, $G85, NewEmisData!$B:$B, $A85, NewEmisData!$C:$C, $H85, NewEmisData!$D:$D, CM$6)</f>
        <v>2.6520469832871599E-2</v>
      </c>
      <c r="CN85" s="1111">
        <f>SUMIFS(NewEmisData!J:J, NewEmisData!$A:$A, $G85, NewEmisData!$B:$B, $A85, NewEmisData!$C:$C, $H85, NewEmisData!$D:$D, CN$6)</f>
        <v>2.64339024674058E-2</v>
      </c>
      <c r="CO85" s="1111">
        <f>SUMIFS(NewEmisData!K:K, NewEmisData!$A:$A, $G85, NewEmisData!$B:$B, $A85, NewEmisData!$C:$C, $H85, NewEmisData!$D:$D, CO$6)</f>
        <v>2.64237151596389E-2</v>
      </c>
      <c r="CP85" s="1111">
        <f>SUMIFS(NewEmisData!L:L, NewEmisData!$A:$A, $G85, NewEmisData!$B:$B, $A85, NewEmisData!$C:$C, $H85, NewEmisData!$D:$D, CP$6)</f>
        <v>2.64212319492989E-2</v>
      </c>
      <c r="CQ85" s="1111">
        <f>SUMIFS(NewEmisData!M:M, NewEmisData!$A:$A, $G85, NewEmisData!$B:$B, $A85, NewEmisData!$C:$C, $H85, NewEmisData!$D:$D, CQ$6)</f>
        <v>2.6421096884032502E-2</v>
      </c>
      <c r="CR85" s="1111">
        <f t="shared" si="124"/>
        <v>2.6421096884032502E-2</v>
      </c>
      <c r="CS85" s="1111">
        <f t="shared" si="125"/>
        <v>4.7042787259816803E-3</v>
      </c>
      <c r="CT85" s="1111">
        <f>SUMIFS(NewEmisData!E:E, NewEmisData!$A:$A, $G85, NewEmisData!$B:$B, $A85, NewEmisData!$C:$C, $H85, NewEmisData!$D:$D, CT$6)</f>
        <v>4.7042787259816803E-3</v>
      </c>
      <c r="CU85" s="1111">
        <f>SUMIFS(NewEmisData!F:F, NewEmisData!$A:$A, $G85, NewEmisData!$B:$B, $A85, NewEmisData!$C:$C, $H85, NewEmisData!$D:$D, CU$6)</f>
        <v>4.1781828368015099E-3</v>
      </c>
      <c r="CV85" s="1111">
        <f>SUMIFS(NewEmisData!G:G, NewEmisData!$A:$A, $G85, NewEmisData!$B:$B, $A85, NewEmisData!$C:$C, $H85, NewEmisData!$D:$D, CV$6)</f>
        <v>3.8352946013813899E-3</v>
      </c>
      <c r="CW85" s="1111">
        <f>SUMIFS(NewEmisData!H:H, NewEmisData!$A:$A, $G85, NewEmisData!$B:$B, $A85, NewEmisData!$C:$C, $H85, NewEmisData!$D:$D, CW$6)</f>
        <v>3.83525379596238E-3</v>
      </c>
      <c r="CX85" s="1111">
        <f>SUMIFS(NewEmisData!I:I, NewEmisData!$A:$A, $G85, NewEmisData!$B:$B, $A85, NewEmisData!$C:$C, $H85, NewEmisData!$D:$D, CX$6)</f>
        <v>3.8551413423649401E-3</v>
      </c>
      <c r="CY85" s="1111">
        <f>SUMIFS(NewEmisData!J:J, NewEmisData!$A:$A, $G85, NewEmisData!$B:$B, $A85, NewEmisData!$C:$C, $H85, NewEmisData!$D:$D, CY$6)</f>
        <v>3.8664534081897001E-3</v>
      </c>
      <c r="CZ85" s="1111">
        <f>SUMIFS(NewEmisData!K:K, NewEmisData!$A:$A, $G85, NewEmisData!$B:$B, $A85, NewEmisData!$C:$C, $H85, NewEmisData!$D:$D, CZ$6)</f>
        <v>3.8677677567543899E-3</v>
      </c>
      <c r="DA85" s="1111">
        <f>SUMIFS(NewEmisData!L:L, NewEmisData!$A:$A, $G85, NewEmisData!$B:$B, $A85, NewEmisData!$C:$C, $H85, NewEmisData!$D:$D, DA$6)</f>
        <v>3.8680901701993102E-3</v>
      </c>
      <c r="DB85" s="1111">
        <f>SUMIFS(NewEmisData!M:M, NewEmisData!$A:$A, $G85, NewEmisData!$B:$B, $A85, NewEmisData!$C:$C, $H85, NewEmisData!$D:$D, DB$6)</f>
        <v>3.86811796361387E-3</v>
      </c>
      <c r="DC85" s="1111">
        <f t="shared" si="126"/>
        <v>3.86811796361387E-3</v>
      </c>
      <c r="DD85" s="1111"/>
      <c r="DE85" s="1111"/>
      <c r="DF85" s="1111"/>
      <c r="DG85" s="1111"/>
      <c r="DH85" s="1111"/>
      <c r="DI85" s="1111"/>
      <c r="DJ85" s="1111"/>
      <c r="DK85" s="1111"/>
      <c r="DL85" s="1111"/>
      <c r="DM85" s="1111"/>
      <c r="DN85" s="1111"/>
      <c r="DO85" s="1111"/>
      <c r="DP85" s="1111"/>
      <c r="DQ85" s="1111"/>
      <c r="DR85" s="1111"/>
      <c r="DS85" s="1111"/>
      <c r="DT85" s="1111"/>
      <c r="DU85" s="1111"/>
      <c r="DV85" s="1111"/>
      <c r="DW85" s="1111"/>
      <c r="DX85" s="1111"/>
      <c r="DY85" s="1111"/>
      <c r="DZ85" s="1111">
        <f t="shared" si="127"/>
        <v>2.6013362636086799E-2</v>
      </c>
      <c r="EA85" s="1111">
        <f>SUMIFS(NewEmisData!E:E, NewEmisData!$A:$A, $G85, NewEmisData!$B:$B, $A85, NewEmisData!$C:$C, $H85, NewEmisData!$D:$D, EA$6)</f>
        <v>2.6013362636086799E-2</v>
      </c>
      <c r="EB85" s="1111">
        <f>SUMIFS(NewEmisData!F:F, NewEmisData!$A:$A, $G85, NewEmisData!$B:$B, $A85, NewEmisData!$C:$C, $H85, NewEmisData!$D:$D, EB$6)</f>
        <v>4.8912608547457603E-2</v>
      </c>
      <c r="EC85" s="1111">
        <f>SUMIFS(NewEmisData!G:G, NewEmisData!$A:$A, $G85, NewEmisData!$B:$B, $A85, NewEmisData!$C:$C, $H85, NewEmisData!$D:$D, EC$6)</f>
        <v>7.1548320352667602E-2</v>
      </c>
      <c r="ED85" s="1111">
        <f>SUMIFS(NewEmisData!H:H, NewEmisData!$A:$A, $G85, NewEmisData!$B:$B, $A85, NewEmisData!$C:$C, $H85, NewEmisData!$D:$D, ED$6)</f>
        <v>7.9138988379146596E-2</v>
      </c>
      <c r="EE85" s="1111">
        <f>SUMIFS(NewEmisData!I:I, NewEmisData!$A:$A, $G85, NewEmisData!$B:$B, $A85, NewEmisData!$C:$C, $H85, NewEmisData!$D:$D, EE$6)</f>
        <v>7.6655521242650904E-2</v>
      </c>
      <c r="EF85" s="1111">
        <f>SUMIFS(NewEmisData!J:J, NewEmisData!$A:$A, $G85, NewEmisData!$B:$B, $A85, NewEmisData!$C:$C, $H85, NewEmisData!$D:$D, EF$6)</f>
        <v>7.7190277276734304E-2</v>
      </c>
      <c r="EG85" s="1111">
        <f>SUMIFS(NewEmisData!K:K, NewEmisData!$A:$A, $G85, NewEmisData!$B:$B, $A85, NewEmisData!$C:$C, $H85, NewEmisData!$D:$D, EG$6)</f>
        <v>7.7123926881226601E-2</v>
      </c>
      <c r="EH85" s="1111">
        <f>SUMIFS(NewEmisData!L:L, NewEmisData!$A:$A, $G85, NewEmisData!$B:$B, $A85, NewEmisData!$C:$C, $H85, NewEmisData!$D:$D, EH$6)</f>
        <v>7.7127166689512902E-2</v>
      </c>
      <c r="EI85" s="1111">
        <f>SUMIFS(NewEmisData!M:M, NewEmisData!$A:$A, $G85, NewEmisData!$B:$B, $A85, NewEmisData!$C:$C, $H85, NewEmisData!$D:$D, EI$6)</f>
        <v>7.71279806751477E-2</v>
      </c>
      <c r="EJ85" s="1111">
        <f t="shared" si="128"/>
        <v>7.71279806751477E-2</v>
      </c>
      <c r="EK85" s="1111">
        <f t="shared" si="129"/>
        <v>1490.2976816476501</v>
      </c>
      <c r="EL85" s="1111">
        <f t="shared" si="48"/>
        <v>1490.2976816476501</v>
      </c>
      <c r="EM85" s="1111">
        <f t="shared" si="49"/>
        <v>1626.84882020706</v>
      </c>
      <c r="EN85" s="1111">
        <f t="shared" si="50"/>
        <v>1458.6179661731101</v>
      </c>
      <c r="EO85" s="1111">
        <f t="shared" si="51"/>
        <v>1416.37770823441</v>
      </c>
      <c r="EP85" s="1111">
        <f t="shared" si="52"/>
        <v>1353.32178885294</v>
      </c>
      <c r="EQ85" s="1111">
        <f t="shared" si="53"/>
        <v>1322.46976433435</v>
      </c>
      <c r="ER85" s="1111">
        <f t="shared" si="54"/>
        <v>1318.4113892753701</v>
      </c>
      <c r="ES85" s="1111">
        <f t="shared" si="55"/>
        <v>1317.4103236998201</v>
      </c>
      <c r="ET85" s="1111">
        <f t="shared" si="56"/>
        <v>1317.2762015215601</v>
      </c>
      <c r="EU85" s="1111">
        <f t="shared" si="57"/>
        <v>1317.2762015215601</v>
      </c>
      <c r="EV85" s="1111">
        <f t="shared" si="130"/>
        <v>11.691833793473601</v>
      </c>
      <c r="EW85" s="1111">
        <f t="shared" si="38"/>
        <v>11.691833793473601</v>
      </c>
      <c r="EX85" s="1111">
        <f t="shared" si="39"/>
        <v>5.3676771149688802</v>
      </c>
      <c r="EY85" s="1111">
        <f t="shared" si="40"/>
        <v>3.6137202505642398</v>
      </c>
      <c r="EZ85" s="1111">
        <f t="shared" si="41"/>
        <v>1.93222611085197</v>
      </c>
      <c r="FA85" s="1111">
        <f t="shared" si="42"/>
        <v>1.2904635466224801</v>
      </c>
      <c r="FB85" s="1111">
        <f t="shared" si="43"/>
        <v>1.20804258245566</v>
      </c>
      <c r="FC85" s="1111">
        <f t="shared" si="44"/>
        <v>1.1760366424397</v>
      </c>
      <c r="FD85" s="1111">
        <f t="shared" si="45"/>
        <v>1.1748287303099401</v>
      </c>
      <c r="FE85" s="1111">
        <f t="shared" si="46"/>
        <v>1.17443815932545</v>
      </c>
      <c r="FF85" s="1111">
        <f t="shared" si="47"/>
        <v>1.17443815932545</v>
      </c>
      <c r="FG85" s="1111">
        <f t="shared" si="100"/>
        <v>3.6717879284551301E-2</v>
      </c>
      <c r="FH85" s="1111">
        <f t="shared" si="101"/>
        <v>3.6717879284551301E-2</v>
      </c>
      <c r="FI85" s="1111">
        <f t="shared" si="102"/>
        <v>3.9098355675890401E-2</v>
      </c>
      <c r="FJ85" s="1111">
        <f t="shared" si="103"/>
        <v>1.2334311567984301E-2</v>
      </c>
      <c r="FK85" s="1111">
        <f t="shared" si="104"/>
        <v>1.1840116163087199E-2</v>
      </c>
      <c r="FL85" s="1111">
        <f t="shared" si="105"/>
        <v>1.12892010251304E-2</v>
      </c>
      <c r="FM85" s="1111">
        <f t="shared" si="106"/>
        <v>1.10267582574557E-2</v>
      </c>
      <c r="FN85" s="1111">
        <f t="shared" si="107"/>
        <v>1.0991760238511099E-2</v>
      </c>
      <c r="FO85" s="1111">
        <f t="shared" si="108"/>
        <v>1.09834074162082E-2</v>
      </c>
      <c r="FP85" s="1111">
        <f t="shared" si="109"/>
        <v>1.09822886490272E-2</v>
      </c>
      <c r="FQ85" s="1111">
        <f t="shared" si="110"/>
        <v>1.09822886490272E-2</v>
      </c>
      <c r="FR85" s="1111">
        <f t="shared" si="25"/>
        <v>1.1044131831227499</v>
      </c>
      <c r="FS85" s="1111">
        <f t="shared" si="26"/>
        <v>1.1044131831227499</v>
      </c>
      <c r="FT85" s="1111">
        <f t="shared" si="27"/>
        <v>0.69596448890826201</v>
      </c>
      <c r="FU85" s="1111">
        <f t="shared" si="28"/>
        <v>0.41688561176651601</v>
      </c>
      <c r="FV85" s="1111">
        <f t="shared" si="29"/>
        <v>0.29523682935823298</v>
      </c>
      <c r="FW85" s="1111">
        <f t="shared" si="30"/>
        <v>0.26722857671539402</v>
      </c>
      <c r="FX85" s="1111">
        <f t="shared" si="31"/>
        <v>0.259356859155779</v>
      </c>
      <c r="FY85" s="1111">
        <f t="shared" si="32"/>
        <v>0.25811596391799502</v>
      </c>
      <c r="FZ85" s="1111">
        <f t="shared" si="33"/>
        <v>0.25800802926334099</v>
      </c>
      <c r="GA85" s="1111">
        <f t="shared" si="34"/>
        <v>0.258000316903299</v>
      </c>
      <c r="GB85" s="1111">
        <f t="shared" si="35"/>
        <v>0.258000316903299</v>
      </c>
      <c r="GC85" s="1111">
        <f t="shared" si="59"/>
        <v>0.80515128163926197</v>
      </c>
      <c r="GD85" s="1111">
        <f t="shared" si="60"/>
        <v>0.80515128163926197</v>
      </c>
      <c r="GE85" s="1111">
        <f t="shared" si="61"/>
        <v>0.40385030676064299</v>
      </c>
      <c r="GF85" s="1111">
        <f t="shared" si="62"/>
        <v>0.191914712359671</v>
      </c>
      <c r="GG85" s="1111">
        <f t="shared" si="63"/>
        <v>7.9817965863261897E-2</v>
      </c>
      <c r="GH85" s="1111">
        <f t="shared" si="64"/>
        <v>5.8587138047291203E-2</v>
      </c>
      <c r="GI85" s="1111">
        <f t="shared" si="65"/>
        <v>5.3925401266024603E-2</v>
      </c>
      <c r="GJ85" s="1111">
        <f t="shared" si="66"/>
        <v>5.3085681499215498E-2</v>
      </c>
      <c r="GK85" s="1111">
        <f t="shared" si="67"/>
        <v>5.3060223447352402E-2</v>
      </c>
      <c r="GL85" s="1111">
        <f t="shared" si="68"/>
        <v>5.30583578225301E-2</v>
      </c>
      <c r="GM85" s="1111">
        <f t="shared" si="69"/>
        <v>5.30583578225301E-2</v>
      </c>
    </row>
    <row r="86" spans="1:195" x14ac:dyDescent="0.2">
      <c r="A86" s="1071" t="s">
        <v>190</v>
      </c>
      <c r="B86" s="1071" t="str">
        <f>NewTech!B19</f>
        <v>TBDSLIM</v>
      </c>
      <c r="C86" s="1071" t="str">
        <f>NewTech!C19</f>
        <v>Bus, Improved Diesel</v>
      </c>
      <c r="D86" s="1071" t="str">
        <f>NewTech!D19</f>
        <v>bn-vmt, bn-vmt/a</v>
      </c>
      <c r="E86" s="1071" t="str">
        <f>NewTech!E19</f>
        <v>TBDSL</v>
      </c>
      <c r="F86" s="1071" t="str">
        <f>NewTech!F19</f>
        <v>TB</v>
      </c>
      <c r="G86" s="1110" t="s">
        <v>498</v>
      </c>
      <c r="H86" s="1110" t="s">
        <v>499</v>
      </c>
      <c r="I86" s="1112">
        <v>1</v>
      </c>
      <c r="J86" s="1111" t="str">
        <f t="shared" si="37"/>
        <v>Bus-DSL</v>
      </c>
      <c r="K86" s="1111">
        <f>SUMIFS(NewEmisData!E:E, NewEmisData!$A:$A, $G86, NewEmisData!$B:$B, $A86, NewEmisData!$C:$C, $H86, NewEmisData!$D:$D, K$6)</f>
        <v>1790.56535119264</v>
      </c>
      <c r="L86" s="1111">
        <f>SUMIFS(NewEmisData!F:F, NewEmisData!$A:$A, $G86, NewEmisData!$B:$B, $A86, NewEmisData!$C:$C, $H86, NewEmisData!$D:$D, L$6)</f>
        <v>1706.0851984819999</v>
      </c>
      <c r="M86" s="1111">
        <f>SUMIFS(NewEmisData!G:G, NewEmisData!$A:$A, $G86, NewEmisData!$B:$B, $A86, NewEmisData!$C:$C, $H86, NewEmisData!$D:$D, M$6)</f>
        <v>1916.4119570956</v>
      </c>
      <c r="N86" s="1111">
        <f>SUMIFS(NewEmisData!H:H, NewEmisData!$A:$A, $G86, NewEmisData!$B:$B, $A86, NewEmisData!$C:$C, $H86, NewEmisData!$D:$D, N$6)</f>
        <v>1866.18041191016</v>
      </c>
      <c r="O86" s="1111">
        <f>SUMIFS(NewEmisData!I:I, NewEmisData!$A:$A, $G86, NewEmisData!$B:$B, $A86, NewEmisData!$C:$C, $H86, NewEmisData!$D:$D, O$6)</f>
        <v>1811.71928124037</v>
      </c>
      <c r="P86" s="1111">
        <f>SUMIFS(NewEmisData!J:J, NewEmisData!$A:$A, $G86, NewEmisData!$B:$B, $A86, NewEmisData!$C:$C, $H86, NewEmisData!$D:$D, P$6)</f>
        <v>1782.46239941771</v>
      </c>
      <c r="Q86" s="1111">
        <f>SUMIFS(NewEmisData!K:K, NewEmisData!$A:$A, $G86, NewEmisData!$B:$B, $A86, NewEmisData!$C:$C, $H86, NewEmisData!$D:$D, Q$6)</f>
        <v>1777.87090074862</v>
      </c>
      <c r="R86" s="1111">
        <f>SUMIFS(NewEmisData!L:L, NewEmisData!$A:$A, $G86, NewEmisData!$B:$B, $A86, NewEmisData!$C:$C, $H86, NewEmisData!$D:$D, R$6)</f>
        <v>1776.69085043776</v>
      </c>
      <c r="S86" s="1111">
        <f>SUMIFS(NewEmisData!M:M, NewEmisData!$A:$A, $G86, NewEmisData!$B:$B, $A86, NewEmisData!$C:$C, $H86, NewEmisData!$D:$D, S$6)</f>
        <v>1776.5151337741499</v>
      </c>
      <c r="T86" s="1111">
        <f t="shared" si="17"/>
        <v>1776.5151337741499</v>
      </c>
      <c r="U86" s="1111">
        <f>SUMIFS(NewEmisData!E:E, NewEmisData!$A:$A, $G86, NewEmisData!$B:$B, $A86, NewEmisData!$C:$C, $H86, NewEmisData!$D:$D, U$6)</f>
        <v>16.722091046014601</v>
      </c>
      <c r="V86" s="1111">
        <f>SUMIFS(NewEmisData!F:F, NewEmisData!$A:$A, $G86, NewEmisData!$B:$B, $A86, NewEmisData!$C:$C, $H86, NewEmisData!$D:$D, V$6)</f>
        <v>9.0752835435872505</v>
      </c>
      <c r="W86" s="1111">
        <f>SUMIFS(NewEmisData!G:G, NewEmisData!$A:$A, $G86, NewEmisData!$B:$B, $A86, NewEmisData!$C:$C, $H86, NewEmisData!$D:$D, W$6)</f>
        <v>4.5245768386744603</v>
      </c>
      <c r="X86" s="1111">
        <f>SUMIFS(NewEmisData!H:H, NewEmisData!$A:$A, $G86, NewEmisData!$B:$B, $A86, NewEmisData!$C:$C, $H86, NewEmisData!$D:$D, X$6)</f>
        <v>2.5948057206972099</v>
      </c>
      <c r="Y86" s="1111">
        <f>SUMIFS(NewEmisData!I:I, NewEmisData!$A:$A, $G86, NewEmisData!$B:$B, $A86, NewEmisData!$C:$C, $H86, NewEmisData!$D:$D, Y$6)</f>
        <v>1.7233209257637201</v>
      </c>
      <c r="Z86" s="1111">
        <f>SUMIFS(NewEmisData!J:J, NewEmisData!$A:$A, $G86, NewEmisData!$B:$B, $A86, NewEmisData!$C:$C, $H86, NewEmisData!$D:$D, Z$6)</f>
        <v>1.5952418098202701</v>
      </c>
      <c r="AA86" s="1111">
        <f>SUMIFS(NewEmisData!K:K, NewEmisData!$A:$A, $G86, NewEmisData!$B:$B, $A86, NewEmisData!$C:$C, $H86, NewEmisData!$D:$D, AA$6)</f>
        <v>1.5343950737018299</v>
      </c>
      <c r="AB86" s="1111">
        <f>SUMIFS(NewEmisData!L:L, NewEmisData!$A:$A, $G86, NewEmisData!$B:$B, $A86, NewEmisData!$C:$C, $H86, NewEmisData!$D:$D, AB$6)</f>
        <v>1.53213591619592</v>
      </c>
      <c r="AC86" s="1111">
        <f>SUMIFS(NewEmisData!M:M, NewEmisData!$A:$A, $G86, NewEmisData!$B:$B, $A86, NewEmisData!$C:$C, $H86, NewEmisData!$D:$D, AC$6)</f>
        <v>1.5313515267339699</v>
      </c>
      <c r="AD86" s="1111">
        <f t="shared" si="18"/>
        <v>1.5313515267339699</v>
      </c>
      <c r="AE86" s="1111">
        <f t="shared" si="113"/>
        <v>4.4119301126388497E-2</v>
      </c>
      <c r="AF86" s="1111">
        <f>SUMIFS(NewEmisData!E:E, NewEmisData!$A:$A, $G86, NewEmisData!$B:$B, $A86, NewEmisData!$C:$C, $H86, NewEmisData!$D:$D, AF$6)</f>
        <v>4.4119301126388497E-2</v>
      </c>
      <c r="AG86" s="1111">
        <f>SUMIFS(NewEmisData!F:F, NewEmisData!$A:$A, $G86, NewEmisData!$B:$B, $A86, NewEmisData!$C:$C, $H86, NewEmisData!$D:$D, AG$6)</f>
        <v>4.1262348975755703E-2</v>
      </c>
      <c r="AH86" s="1111">
        <f>SUMIFS(NewEmisData!G:G, NewEmisData!$A:$A, $G86, NewEmisData!$B:$B, $A86, NewEmisData!$C:$C, $H86, NewEmisData!$D:$D, AH$6)</f>
        <v>1.6180608348462199E-2</v>
      </c>
      <c r="AI86" s="1111">
        <f>SUMIFS(NewEmisData!H:H, NewEmisData!$A:$A, $G86, NewEmisData!$B:$B, $A86, NewEmisData!$C:$C, $H86, NewEmisData!$D:$D, AI$6)</f>
        <v>1.5603448697606799E-2</v>
      </c>
      <c r="AJ86" s="1111">
        <f>SUMIFS(NewEmisData!I:I, NewEmisData!$A:$A, $G86, NewEmisData!$B:$B, $A86, NewEmisData!$C:$C, $H86, NewEmisData!$D:$D, AJ$6)</f>
        <v>1.51144360777349E-2</v>
      </c>
      <c r="AK86" s="1111">
        <f>SUMIFS(NewEmisData!J:J, NewEmisData!$A:$A, $G86, NewEmisData!$B:$B, $A86, NewEmisData!$C:$C, $H86, NewEmisData!$D:$D, AK$6)</f>
        <v>1.48632492208765E-2</v>
      </c>
      <c r="AL86" s="1111">
        <f>SUMIFS(NewEmisData!K:K, NewEmisData!$A:$A, $G86, NewEmisData!$B:$B, $A86, NewEmisData!$C:$C, $H86, NewEmisData!$D:$D, AL$6)</f>
        <v>1.48223265055839E-2</v>
      </c>
      <c r="AM86" s="1111">
        <f>SUMIFS(NewEmisData!L:L, NewEmisData!$A:$A, $G86, NewEmisData!$B:$B, $A86, NewEmisData!$C:$C, $H86, NewEmisData!$D:$D, AM$6)</f>
        <v>1.4812489715302499E-2</v>
      </c>
      <c r="AN86" s="1111">
        <f>SUMIFS(NewEmisData!M:M, NewEmisData!$A:$A, $G86, NewEmisData!$B:$B, $A86, NewEmisData!$C:$C, $H86, NewEmisData!$D:$D, AN$6)</f>
        <v>1.4811022783827199E-2</v>
      </c>
      <c r="AO86" s="1111">
        <f t="shared" si="114"/>
        <v>1.4811022783827199E-2</v>
      </c>
      <c r="AP86" s="1111">
        <f t="shared" si="115"/>
        <v>1.28818009730681</v>
      </c>
      <c r="AQ86" s="1111">
        <f>SUMIFS(NewEmisData!E:E, NewEmisData!$A:$A, $G86, NewEmisData!$B:$B, $A86, NewEmisData!$C:$C, $H86, NewEmisData!$D:$D, AQ$6)</f>
        <v>1.28818009730681</v>
      </c>
      <c r="AR86" s="1111">
        <f>SUMIFS(NewEmisData!F:F, NewEmisData!$A:$A, $G86, NewEmisData!$B:$B, $A86, NewEmisData!$C:$C, $H86, NewEmisData!$D:$D, AR$6)</f>
        <v>0.82680779710365904</v>
      </c>
      <c r="AS86" s="1111">
        <f>SUMIFS(NewEmisData!G:G, NewEmisData!$A:$A, $G86, NewEmisData!$B:$B, $A86, NewEmisData!$C:$C, $H86, NewEmisData!$D:$D, AS$6)</f>
        <v>0.60179805225314997</v>
      </c>
      <c r="AT86" s="1111">
        <f>SUMIFS(NewEmisData!H:H, NewEmisData!$A:$A, $G86, NewEmisData!$B:$B, $A86, NewEmisData!$C:$C, $H86, NewEmisData!$D:$D, AT$6)</f>
        <v>0.46595581954183302</v>
      </c>
      <c r="AU86" s="1111">
        <f>SUMIFS(NewEmisData!I:I, NewEmisData!$A:$A, $G86, NewEmisData!$B:$B, $A86, NewEmisData!$C:$C, $H86, NewEmisData!$D:$D, AU$6)</f>
        <v>0.42951735045103701</v>
      </c>
      <c r="AV86" s="1111">
        <f>SUMIFS(NewEmisData!J:J, NewEmisData!$A:$A, $G86, NewEmisData!$B:$B, $A86, NewEmisData!$C:$C, $H86, NewEmisData!$D:$D, AV$6)</f>
        <v>0.41980468763527201</v>
      </c>
      <c r="AW86" s="1111">
        <f>SUMIFS(NewEmisData!K:K, NewEmisData!$A:$A, $G86, NewEmisData!$B:$B, $A86, NewEmisData!$C:$C, $H86, NewEmisData!$D:$D, AW$6)</f>
        <v>0.41759644007116198</v>
      </c>
      <c r="AX86" s="1111">
        <f>SUMIFS(NewEmisData!L:L, NewEmisData!$A:$A, $G86, NewEmisData!$B:$B, $A86, NewEmisData!$C:$C, $H86, NewEmisData!$D:$D, AX$6)</f>
        <v>0.41747064951560697</v>
      </c>
      <c r="AY86" s="1111">
        <f>SUMIFS(NewEmisData!M:M, NewEmisData!$A:$A, $G86, NewEmisData!$B:$B, $A86, NewEmisData!$C:$C, $H86, NewEmisData!$D:$D, AY$6)</f>
        <v>0.41748018000731701</v>
      </c>
      <c r="AZ86" s="1111">
        <f t="shared" si="116"/>
        <v>0.41748018000731701</v>
      </c>
      <c r="BA86" s="1111">
        <f t="shared" si="117"/>
        <v>0.93126594217890002</v>
      </c>
      <c r="BB86" s="1111">
        <f>SUMIFS(NewEmisData!E:E, NewEmisData!$A:$A, $G86, NewEmisData!$B:$B, $A86, NewEmisData!$C:$C, $H86, NewEmisData!$D:$D, BB$6)</f>
        <v>0.93126594217890002</v>
      </c>
      <c r="BC86" s="1111">
        <f>SUMIFS(NewEmisData!F:F, NewEmisData!$A:$A, $G86, NewEmisData!$B:$B, $A86, NewEmisData!$C:$C, $H86, NewEmisData!$D:$D, BC$6)</f>
        <v>0.51703307471742999</v>
      </c>
      <c r="BD86" s="1111">
        <f>SUMIFS(NewEmisData!G:G, NewEmisData!$A:$A, $G86, NewEmisData!$B:$B, $A86, NewEmisData!$C:$C, $H86, NewEmisData!$D:$D, BD$6)</f>
        <v>0.24432975283286401</v>
      </c>
      <c r="BE86" s="1111">
        <f>SUMIFS(NewEmisData!H:H, NewEmisData!$A:$A, $G86, NewEmisData!$B:$B, $A86, NewEmisData!$C:$C, $H86, NewEmisData!$D:$D, BE$6)</f>
        <v>0.11886455572614001</v>
      </c>
      <c r="BF86" s="1111">
        <f>SUMIFS(NewEmisData!I:I, NewEmisData!$A:$A, $G86, NewEmisData!$B:$B, $A86, NewEmisData!$C:$C, $H86, NewEmisData!$D:$D, BF$6)</f>
        <v>8.9573048763309293E-2</v>
      </c>
      <c r="BG86" s="1111">
        <f>SUMIFS(NewEmisData!J:J, NewEmisData!$A:$A, $G86, NewEmisData!$B:$B, $A86, NewEmisData!$C:$C, $H86, NewEmisData!$D:$D, BG$6)</f>
        <v>8.3197971818451094E-2</v>
      </c>
      <c r="BH86" s="1111">
        <f>SUMIFS(NewEmisData!K:K, NewEmisData!$A:$A, $G86, NewEmisData!$B:$B, $A86, NewEmisData!$C:$C, $H86, NewEmisData!$D:$D, BH$6)</f>
        <v>8.15020489665223E-2</v>
      </c>
      <c r="BI86" s="1111">
        <f>SUMIFS(NewEmisData!L:L, NewEmisData!$A:$A, $G86, NewEmisData!$B:$B, $A86, NewEmisData!$C:$C, $H86, NewEmisData!$D:$D, BI$6)</f>
        <v>8.1467138980072906E-2</v>
      </c>
      <c r="BJ86" s="1111">
        <f>SUMIFS(NewEmisData!M:M, NewEmisData!$A:$A, $G86, NewEmisData!$B:$B, $A86, NewEmisData!$C:$C, $H86, NewEmisData!$D:$D, BJ$6)</f>
        <v>8.1466979548160803E-2</v>
      </c>
      <c r="BK86" s="1111">
        <f t="shared" si="118"/>
        <v>8.1466979548160803E-2</v>
      </c>
      <c r="BL86" s="1111">
        <f t="shared" si="119"/>
        <v>4.9983132073964702</v>
      </c>
      <c r="BM86" s="1111">
        <f>SUMIFS(NewEmisData!E:E, NewEmisData!$A:$A, $G86, NewEmisData!$B:$B, $A86, NewEmisData!$C:$C, $H86, NewEmisData!$D:$D, BM$6)</f>
        <v>4.9983132073964702</v>
      </c>
      <c r="BN86" s="1111">
        <f>SUMIFS(NewEmisData!F:F, NewEmisData!$A:$A, $G86, NewEmisData!$B:$B, $A86, NewEmisData!$C:$C, $H86, NewEmisData!$D:$D, BN$6)</f>
        <v>3.3127673342487598</v>
      </c>
      <c r="BO86" s="1111">
        <f>SUMIFS(NewEmisData!G:G, NewEmisData!$A:$A, $G86, NewEmisData!$B:$B, $A86, NewEmisData!$C:$C, $H86, NewEmisData!$D:$D, BO$6)</f>
        <v>1.60960521526057</v>
      </c>
      <c r="BP86" s="1111">
        <f>SUMIFS(NewEmisData!H:H, NewEmisData!$A:$A, $G86, NewEmisData!$B:$B, $A86, NewEmisData!$C:$C, $H86, NewEmisData!$D:$D, BP$6)</f>
        <v>0.894212041026479</v>
      </c>
      <c r="BQ86" s="1111">
        <f>SUMIFS(NewEmisData!I:I, NewEmisData!$A:$A, $G86, NewEmisData!$B:$B, $A86, NewEmisData!$C:$C, $H86, NewEmisData!$D:$D, BQ$6)</f>
        <v>0.75145962562216695</v>
      </c>
      <c r="BR86" s="1111">
        <f>SUMIFS(NewEmisData!J:J, NewEmisData!$A:$A, $G86, NewEmisData!$B:$B, $A86, NewEmisData!$C:$C, $H86, NewEmisData!$D:$D, BR$6)</f>
        <v>0.72015406798909798</v>
      </c>
      <c r="BS86" s="1111">
        <f>SUMIFS(NewEmisData!K:K, NewEmisData!$A:$A, $G86, NewEmisData!$B:$B, $A86, NewEmisData!$C:$C, $H86, NewEmisData!$D:$D, BS$6)</f>
        <v>0.710754907060967</v>
      </c>
      <c r="BT86" s="1111">
        <f>SUMIFS(NewEmisData!L:L, NewEmisData!$A:$A, $G86, NewEmisData!$B:$B, $A86, NewEmisData!$C:$C, $H86, NewEmisData!$D:$D, BT$6)</f>
        <v>0.71094846275188905</v>
      </c>
      <c r="BU86" s="1111">
        <f>SUMIFS(NewEmisData!M:M, NewEmisData!$A:$A, $G86, NewEmisData!$B:$B, $A86, NewEmisData!$C:$C, $H86, NewEmisData!$D:$D, BU$6)</f>
        <v>0.71093129266241195</v>
      </c>
      <c r="BV86" s="1111">
        <f t="shared" si="120"/>
        <v>0.71093129266241195</v>
      </c>
      <c r="BW86" s="1111">
        <f t="shared" si="121"/>
        <v>1.2734247511090699</v>
      </c>
      <c r="BX86" s="1111">
        <f>SUMIFS(NewEmisData!E:E, NewEmisData!$A:$A, $G86, NewEmisData!$B:$B, $A86, NewEmisData!$C:$C, $H86, NewEmisData!$D:$D, BX$6)</f>
        <v>1.2734247511090699</v>
      </c>
      <c r="BY86" s="1111">
        <f>SUMIFS(NewEmisData!F:F, NewEmisData!$A:$A, $G86, NewEmisData!$B:$B, $A86, NewEmisData!$C:$C, $H86, NewEmisData!$D:$D, BY$6)</f>
        <v>0.85962926200607204</v>
      </c>
      <c r="BZ86" s="1111">
        <f>SUMIFS(NewEmisData!G:G, NewEmisData!$A:$A, $G86, NewEmisData!$B:$B, $A86, NewEmisData!$C:$C, $H86, NewEmisData!$D:$D, BZ$6)</f>
        <v>0.40893411947898201</v>
      </c>
      <c r="CA86" s="1111">
        <f>SUMIFS(NewEmisData!H:H, NewEmisData!$A:$A, $G86, NewEmisData!$B:$B, $A86, NewEmisData!$C:$C, $H86, NewEmisData!$D:$D, CA$6)</f>
        <v>0.18002819141014001</v>
      </c>
      <c r="CB86" s="1111">
        <f>SUMIFS(NewEmisData!I:I, NewEmisData!$A:$A, $G86, NewEmisData!$B:$B, $A86, NewEmisData!$C:$C, $H86, NewEmisData!$D:$D, CB$6)</f>
        <v>0.13027199977422399</v>
      </c>
      <c r="CC86" s="1111">
        <f>SUMIFS(NewEmisData!J:J, NewEmisData!$A:$A, $G86, NewEmisData!$B:$B, $A86, NewEmisData!$C:$C, $H86, NewEmisData!$D:$D, CC$6)</f>
        <v>0.11933161730892</v>
      </c>
      <c r="CD86" s="1111">
        <f>SUMIFS(NewEmisData!K:K, NewEmisData!$A:$A, $G86, NewEmisData!$B:$B, $A86, NewEmisData!$C:$C, $H86, NewEmisData!$D:$D, CD$6)</f>
        <v>0.115736737885468</v>
      </c>
      <c r="CE86" s="1111">
        <f>SUMIFS(NewEmisData!L:L, NewEmisData!$A:$A, $G86, NewEmisData!$B:$B, $A86, NewEmisData!$C:$C, $H86, NewEmisData!$D:$D, CE$6)</f>
        <v>0.11570899631981101</v>
      </c>
      <c r="CF86" s="1111">
        <f>SUMIFS(NewEmisData!M:M, NewEmisData!$A:$A, $G86, NewEmisData!$B:$B, $A86, NewEmisData!$C:$C, $H86, NewEmisData!$D:$D, CF$6)</f>
        <v>0.115706029517275</v>
      </c>
      <c r="CG86" s="1111">
        <f t="shared" si="122"/>
        <v>0.115706029517275</v>
      </c>
      <c r="CH86" s="1111">
        <f t="shared" si="123"/>
        <v>2.7041321564936001E-2</v>
      </c>
      <c r="CI86" s="1111">
        <f>SUMIFS(NewEmisData!E:E, NewEmisData!$A:$A, $G86, NewEmisData!$B:$B, $A86, NewEmisData!$C:$C, $H86, NewEmisData!$D:$D, CI$6)</f>
        <v>2.7041321564936001E-2</v>
      </c>
      <c r="CJ86" s="1111">
        <f>SUMIFS(NewEmisData!F:F, NewEmisData!$A:$A, $G86, NewEmisData!$B:$B, $A86, NewEmisData!$C:$C, $H86, NewEmisData!$D:$D, CJ$6)</f>
        <v>2.68548734432397E-2</v>
      </c>
      <c r="CK86" s="1111">
        <f>SUMIFS(NewEmisData!G:G, NewEmisData!$A:$A, $G86, NewEmisData!$B:$B, $A86, NewEmisData!$C:$C, $H86, NewEmisData!$D:$D, CK$6)</f>
        <v>3.1678107064147802E-2</v>
      </c>
      <c r="CL86" s="1111">
        <f>SUMIFS(NewEmisData!H:H, NewEmisData!$A:$A, $G86, NewEmisData!$B:$B, $A86, NewEmisData!$C:$C, $H86, NewEmisData!$D:$D, CL$6)</f>
        <v>3.16916643909044E-2</v>
      </c>
      <c r="CM86" s="1111">
        <f>SUMIFS(NewEmisData!I:I, NewEmisData!$A:$A, $G86, NewEmisData!$B:$B, $A86, NewEmisData!$C:$C, $H86, NewEmisData!$D:$D, CM$6)</f>
        <v>3.16017171085268E-2</v>
      </c>
      <c r="CN86" s="1111">
        <f>SUMIFS(NewEmisData!J:J, NewEmisData!$A:$A, $G86, NewEmisData!$B:$B, $A86, NewEmisData!$C:$C, $H86, NewEmisData!$D:$D, CN$6)</f>
        <v>3.1547836778164702E-2</v>
      </c>
      <c r="CO86" s="1111">
        <f>SUMIFS(NewEmisData!K:K, NewEmisData!$A:$A, $G86, NewEmisData!$B:$B, $A86, NewEmisData!$C:$C, $H86, NewEmisData!$D:$D, CO$6)</f>
        <v>3.1540538757987402E-2</v>
      </c>
      <c r="CP86" s="1111">
        <f>SUMIFS(NewEmisData!L:L, NewEmisData!$A:$A, $G86, NewEmisData!$B:$B, $A86, NewEmisData!$C:$C, $H86, NewEmisData!$D:$D, CP$6)</f>
        <v>3.1538787124503802E-2</v>
      </c>
      <c r="CQ86" s="1111">
        <f>SUMIFS(NewEmisData!M:M, NewEmisData!$A:$A, $G86, NewEmisData!$B:$B, $A86, NewEmisData!$C:$C, $H86, NewEmisData!$D:$D, CQ$6)</f>
        <v>3.1539113108823097E-2</v>
      </c>
      <c r="CR86" s="1111">
        <f t="shared" si="124"/>
        <v>3.1539113108823097E-2</v>
      </c>
      <c r="CS86" s="1111">
        <f t="shared" si="125"/>
        <v>3.8053813200333601E-3</v>
      </c>
      <c r="CT86" s="1111">
        <f>SUMIFS(NewEmisData!E:E, NewEmisData!$A:$A, $G86, NewEmisData!$B:$B, $A86, NewEmisData!$C:$C, $H86, NewEmisData!$D:$D, CT$6)</f>
        <v>3.8053813200333601E-3</v>
      </c>
      <c r="CU86" s="1111">
        <f>SUMIFS(NewEmisData!F:F, NewEmisData!$A:$A, $G86, NewEmisData!$B:$B, $A86, NewEmisData!$C:$C, $H86, NewEmisData!$D:$D, CU$6)</f>
        <v>3.8816671778757802E-3</v>
      </c>
      <c r="CV86" s="1111">
        <f>SUMIFS(NewEmisData!G:G, NewEmisData!$A:$A, $G86, NewEmisData!$B:$B, $A86, NewEmisData!$C:$C, $H86, NewEmisData!$D:$D, CV$6)</f>
        <v>4.8845093825486303E-3</v>
      </c>
      <c r="CW86" s="1111">
        <f>SUMIFS(NewEmisData!H:H, NewEmisData!$A:$A, $G86, NewEmisData!$B:$B, $A86, NewEmisData!$C:$C, $H86, NewEmisData!$D:$D, CW$6)</f>
        <v>4.8845901221928898E-3</v>
      </c>
      <c r="CX86" s="1111">
        <f>SUMIFS(NewEmisData!I:I, NewEmisData!$A:$A, $G86, NewEmisData!$B:$B, $A86, NewEmisData!$C:$C, $H86, NewEmisData!$D:$D, CX$6)</f>
        <v>4.8982998611774697E-3</v>
      </c>
      <c r="CY86" s="1111">
        <f>SUMIFS(NewEmisData!J:J, NewEmisData!$A:$A, $G86, NewEmisData!$B:$B, $A86, NewEmisData!$C:$C, $H86, NewEmisData!$D:$D, CY$6)</f>
        <v>4.9066620573488097E-3</v>
      </c>
      <c r="CZ86" s="1111">
        <f>SUMIFS(NewEmisData!K:K, NewEmisData!$A:$A, $G86, NewEmisData!$B:$B, $A86, NewEmisData!$C:$C, $H86, NewEmisData!$D:$D, CZ$6)</f>
        <v>4.90771522630959E-3</v>
      </c>
      <c r="DA86" s="1111">
        <f>SUMIFS(NewEmisData!L:L, NewEmisData!$A:$A, $G86, NewEmisData!$B:$B, $A86, NewEmisData!$C:$C, $H86, NewEmisData!$D:$D, DA$6)</f>
        <v>4.90797605756731E-3</v>
      </c>
      <c r="DB86" s="1111">
        <f>SUMIFS(NewEmisData!M:M, NewEmisData!$A:$A, $G86, NewEmisData!$B:$B, $A86, NewEmisData!$C:$C, $H86, NewEmisData!$D:$D, DB$6)</f>
        <v>4.9079610813754703E-3</v>
      </c>
      <c r="DC86" s="1111">
        <f t="shared" si="126"/>
        <v>4.9079610813754703E-3</v>
      </c>
      <c r="DD86" s="1111"/>
      <c r="DE86" s="1111"/>
      <c r="DF86" s="1111"/>
      <c r="DG86" s="1111"/>
      <c r="DH86" s="1111"/>
      <c r="DI86" s="1111"/>
      <c r="DJ86" s="1111"/>
      <c r="DK86" s="1111"/>
      <c r="DL86" s="1111"/>
      <c r="DM86" s="1111"/>
      <c r="DN86" s="1111"/>
      <c r="DO86" s="1111"/>
      <c r="DP86" s="1111"/>
      <c r="DQ86" s="1111"/>
      <c r="DR86" s="1111"/>
      <c r="DS86" s="1111"/>
      <c r="DT86" s="1111"/>
      <c r="DU86" s="1111"/>
      <c r="DV86" s="1111"/>
      <c r="DW86" s="1111"/>
      <c r="DX86" s="1111"/>
      <c r="DY86" s="1111"/>
      <c r="DZ86" s="1111">
        <f t="shared" si="127"/>
        <v>2.3788532853898401E-2</v>
      </c>
      <c r="EA86" s="1111">
        <f>SUMIFS(NewEmisData!E:E, NewEmisData!$A:$A, $G86, NewEmisData!$B:$B, $A86, NewEmisData!$C:$C, $H86, NewEmisData!$D:$D, EA$6)</f>
        <v>2.3788532853898401E-2</v>
      </c>
      <c r="EB86" s="1111">
        <f>SUMIFS(NewEmisData!F:F, NewEmisData!$A:$A, $G86, NewEmisData!$B:$B, $A86, NewEmisData!$C:$C, $H86, NewEmisData!$D:$D, EB$6)</f>
        <v>5.06232638400895E-2</v>
      </c>
      <c r="EC86" s="1111">
        <f>SUMIFS(NewEmisData!G:G, NewEmisData!$A:$A, $G86, NewEmisData!$B:$B, $A86, NewEmisData!$C:$C, $H86, NewEmisData!$D:$D, EC$6)</f>
        <v>8.7009713960661303E-2</v>
      </c>
      <c r="ED86" s="1111">
        <f>SUMIFS(NewEmisData!H:H, NewEmisData!$A:$A, $G86, NewEmisData!$B:$B, $A86, NewEmisData!$C:$C, $H86, NewEmisData!$D:$D, ED$6)</f>
        <v>9.5942830597456105E-2</v>
      </c>
      <c r="EE86" s="1111">
        <f>SUMIFS(NewEmisData!I:I, NewEmisData!$A:$A, $G86, NewEmisData!$B:$B, $A86, NewEmisData!$C:$C, $H86, NewEmisData!$D:$D, EE$6)</f>
        <v>9.3344720302396503E-2</v>
      </c>
      <c r="EF86" s="1111">
        <f>SUMIFS(NewEmisData!J:J, NewEmisData!$A:$A, $G86, NewEmisData!$B:$B, $A86, NewEmisData!$C:$C, $H86, NewEmisData!$D:$D, EF$6)</f>
        <v>9.3797490813894005E-2</v>
      </c>
      <c r="EG86" s="1111">
        <f>SUMIFS(NewEmisData!K:K, NewEmisData!$A:$A, $G86, NewEmisData!$B:$B, $A86, NewEmisData!$C:$C, $H86, NewEmisData!$D:$D, EG$6)</f>
        <v>9.3753547263910497E-2</v>
      </c>
      <c r="EH86" s="1111">
        <f>SUMIFS(NewEmisData!L:L, NewEmisData!$A:$A, $G86, NewEmisData!$B:$B, $A86, NewEmisData!$C:$C, $H86, NewEmisData!$D:$D, EH$6)</f>
        <v>9.3744088393244801E-2</v>
      </c>
      <c r="EI86" s="1111">
        <f>SUMIFS(NewEmisData!M:M, NewEmisData!$A:$A, $G86, NewEmisData!$B:$B, $A86, NewEmisData!$C:$C, $H86, NewEmisData!$D:$D, EI$6)</f>
        <v>9.3743919124561703E-2</v>
      </c>
      <c r="EJ86" s="1111">
        <f t="shared" si="128"/>
        <v>9.3743919124561703E-2</v>
      </c>
      <c r="EK86" s="1111">
        <f t="shared" si="129"/>
        <v>1790.56535119264</v>
      </c>
      <c r="EL86" s="1111">
        <f t="shared" si="48"/>
        <v>1790.56535119264</v>
      </c>
      <c r="EM86" s="1111">
        <f t="shared" si="49"/>
        <v>1706.0851984819999</v>
      </c>
      <c r="EN86" s="1111">
        <f t="shared" si="50"/>
        <v>1916.4119570956</v>
      </c>
      <c r="EO86" s="1111">
        <f t="shared" si="51"/>
        <v>1866.18041191016</v>
      </c>
      <c r="EP86" s="1111">
        <f t="shared" si="52"/>
        <v>1811.71928124037</v>
      </c>
      <c r="EQ86" s="1111">
        <f t="shared" si="53"/>
        <v>1782.46239941771</v>
      </c>
      <c r="ER86" s="1111">
        <f t="shared" si="54"/>
        <v>1777.87090074862</v>
      </c>
      <c r="ES86" s="1111">
        <f t="shared" si="55"/>
        <v>1776.69085043776</v>
      </c>
      <c r="ET86" s="1111">
        <f t="shared" si="56"/>
        <v>1776.5151337741499</v>
      </c>
      <c r="EU86" s="1111">
        <f t="shared" si="57"/>
        <v>1776.5151337741499</v>
      </c>
      <c r="EV86" s="1111">
        <f t="shared" si="130"/>
        <v>16.722091046014601</v>
      </c>
      <c r="EW86" s="1111">
        <f t="shared" si="38"/>
        <v>16.722091046014601</v>
      </c>
      <c r="EX86" s="1111">
        <f t="shared" si="39"/>
        <v>9.0752835435872505</v>
      </c>
      <c r="EY86" s="1111">
        <f t="shared" si="40"/>
        <v>4.5245768386744603</v>
      </c>
      <c r="EZ86" s="1111">
        <f t="shared" si="41"/>
        <v>2.5948057206972099</v>
      </c>
      <c r="FA86" s="1111">
        <f t="shared" si="42"/>
        <v>1.7233209257637201</v>
      </c>
      <c r="FB86" s="1111">
        <f t="shared" si="43"/>
        <v>1.5952418098202701</v>
      </c>
      <c r="FC86" s="1111">
        <f t="shared" si="44"/>
        <v>1.5343950737018299</v>
      </c>
      <c r="FD86" s="1111">
        <f t="shared" si="45"/>
        <v>1.53213591619592</v>
      </c>
      <c r="FE86" s="1111">
        <f t="shared" si="46"/>
        <v>1.5313515267339699</v>
      </c>
      <c r="FF86" s="1111">
        <f t="shared" si="47"/>
        <v>1.5313515267339699</v>
      </c>
      <c r="FG86" s="1111">
        <f t="shared" si="100"/>
        <v>4.4119301126388497E-2</v>
      </c>
      <c r="FH86" s="1111">
        <f t="shared" si="101"/>
        <v>4.4119301126388497E-2</v>
      </c>
      <c r="FI86" s="1111">
        <f t="shared" si="102"/>
        <v>4.1262348975755703E-2</v>
      </c>
      <c r="FJ86" s="1111">
        <f t="shared" si="103"/>
        <v>1.6180608348462199E-2</v>
      </c>
      <c r="FK86" s="1111">
        <f t="shared" si="104"/>
        <v>1.5603448697606799E-2</v>
      </c>
      <c r="FL86" s="1111">
        <f t="shared" si="105"/>
        <v>1.51144360777349E-2</v>
      </c>
      <c r="FM86" s="1111">
        <f t="shared" si="106"/>
        <v>1.48632492208765E-2</v>
      </c>
      <c r="FN86" s="1111">
        <f t="shared" si="107"/>
        <v>1.48223265055839E-2</v>
      </c>
      <c r="FO86" s="1111">
        <f t="shared" si="108"/>
        <v>1.4812489715302499E-2</v>
      </c>
      <c r="FP86" s="1111">
        <f t="shared" si="109"/>
        <v>1.4811022783827199E-2</v>
      </c>
      <c r="FQ86" s="1111">
        <f t="shared" si="110"/>
        <v>1.4811022783827199E-2</v>
      </c>
      <c r="FR86" s="1111">
        <f t="shared" si="25"/>
        <v>1.28818009730681</v>
      </c>
      <c r="FS86" s="1111">
        <f t="shared" si="26"/>
        <v>1.28818009730681</v>
      </c>
      <c r="FT86" s="1111">
        <f t="shared" si="27"/>
        <v>0.82680779710365904</v>
      </c>
      <c r="FU86" s="1111">
        <f t="shared" si="28"/>
        <v>0.60179805225314997</v>
      </c>
      <c r="FV86" s="1111">
        <f t="shared" si="29"/>
        <v>0.46595581954183302</v>
      </c>
      <c r="FW86" s="1111">
        <f t="shared" si="30"/>
        <v>0.42951735045103701</v>
      </c>
      <c r="FX86" s="1111">
        <f t="shared" si="31"/>
        <v>0.41980468763527201</v>
      </c>
      <c r="FY86" s="1111">
        <f t="shared" si="32"/>
        <v>0.41759644007116198</v>
      </c>
      <c r="FZ86" s="1111">
        <f t="shared" si="33"/>
        <v>0.41747064951560697</v>
      </c>
      <c r="GA86" s="1111">
        <f t="shared" si="34"/>
        <v>0.41748018000731701</v>
      </c>
      <c r="GB86" s="1111">
        <f t="shared" si="35"/>
        <v>0.41748018000731701</v>
      </c>
      <c r="GC86" s="1111">
        <f t="shared" si="59"/>
        <v>0.93126594217890002</v>
      </c>
      <c r="GD86" s="1111">
        <f t="shared" si="60"/>
        <v>0.93126594217890002</v>
      </c>
      <c r="GE86" s="1111">
        <f t="shared" si="61"/>
        <v>0.51703307471742999</v>
      </c>
      <c r="GF86" s="1111">
        <f t="shared" si="62"/>
        <v>0.24432975283286401</v>
      </c>
      <c r="GG86" s="1111">
        <f t="shared" si="63"/>
        <v>0.11886455572614001</v>
      </c>
      <c r="GH86" s="1111">
        <f t="shared" si="64"/>
        <v>8.9573048763309293E-2</v>
      </c>
      <c r="GI86" s="1111">
        <f t="shared" si="65"/>
        <v>8.3197971818451094E-2</v>
      </c>
      <c r="GJ86" s="1111">
        <f t="shared" si="66"/>
        <v>8.15020489665223E-2</v>
      </c>
      <c r="GK86" s="1111">
        <f t="shared" si="67"/>
        <v>8.1467138980072906E-2</v>
      </c>
      <c r="GL86" s="1111">
        <f t="shared" si="68"/>
        <v>8.1466979548160803E-2</v>
      </c>
      <c r="GM86" s="1111">
        <f t="shared" si="69"/>
        <v>8.1466979548160803E-2</v>
      </c>
    </row>
    <row r="87" spans="1:195" x14ac:dyDescent="0.2">
      <c r="A87" s="1071" t="s">
        <v>182</v>
      </c>
      <c r="B87" s="1071" t="str">
        <f>NewTech!B20</f>
        <v>TBDSLADV</v>
      </c>
      <c r="C87" s="1071" t="str">
        <f>NewTech!C20</f>
        <v>Bus, Advanced Tech Diesel</v>
      </c>
      <c r="D87" s="1071" t="str">
        <f>NewTech!D20</f>
        <v>bn-vmt, bn-vmt/a</v>
      </c>
      <c r="E87" s="1071" t="str">
        <f>NewTech!E20</f>
        <v>TBDSL</v>
      </c>
      <c r="F87" s="1071" t="str">
        <f>NewTech!F20</f>
        <v>TB</v>
      </c>
      <c r="G87" s="1110" t="s">
        <v>498</v>
      </c>
      <c r="H87" s="1110" t="s">
        <v>499</v>
      </c>
      <c r="I87" s="1112">
        <v>1</v>
      </c>
      <c r="J87" s="1111" t="str">
        <f t="shared" si="37"/>
        <v>Bus-DSL</v>
      </c>
      <c r="K87" s="1111">
        <f>SUMIFS(NewEmisData!E:E, NewEmisData!$A:$A, $G87, NewEmisData!$B:$B, $A87, NewEmisData!$C:$C, $H87, NewEmisData!$D:$D, K$6)</f>
        <v>1573.0981920694501</v>
      </c>
      <c r="L87" s="1111">
        <f>SUMIFS(NewEmisData!F:F, NewEmisData!$A:$A, $G87, NewEmisData!$B:$B, $A87, NewEmisData!$C:$C, $H87, NewEmisData!$D:$D, L$6)</f>
        <v>1544.3679757121099</v>
      </c>
      <c r="M87" s="1111">
        <f>SUMIFS(NewEmisData!G:G, NewEmisData!$A:$A, $G87, NewEmisData!$B:$B, $A87, NewEmisData!$C:$C, $H87, NewEmisData!$D:$D, M$6)</f>
        <v>1916.5843083058301</v>
      </c>
      <c r="N87" s="1111">
        <f>SUMIFS(NewEmisData!H:H, NewEmisData!$A:$A, $G87, NewEmisData!$B:$B, $A87, NewEmisData!$C:$C, $H87, NewEmisData!$D:$D, N$6)</f>
        <v>1868.9930069357799</v>
      </c>
      <c r="O87" s="1111">
        <f>SUMIFS(NewEmisData!I:I, NewEmisData!$A:$A, $G87, NewEmisData!$B:$B, $A87, NewEmisData!$C:$C, $H87, NewEmisData!$D:$D, O$6)</f>
        <v>1812.7966575929599</v>
      </c>
      <c r="P87" s="1111">
        <f>SUMIFS(NewEmisData!J:J, NewEmisData!$A:$A, $G87, NewEmisData!$B:$B, $A87, NewEmisData!$C:$C, $H87, NewEmisData!$D:$D, P$6)</f>
        <v>1785.4009056329501</v>
      </c>
      <c r="Q87" s="1111">
        <f>SUMIFS(NewEmisData!K:K, NewEmisData!$A:$A, $G87, NewEmisData!$B:$B, $A87, NewEmisData!$C:$C, $H87, NewEmisData!$D:$D, Q$6)</f>
        <v>1781.1669913012199</v>
      </c>
      <c r="R87" s="1111">
        <f>SUMIFS(NewEmisData!L:L, NewEmisData!$A:$A, $G87, NewEmisData!$B:$B, $A87, NewEmisData!$C:$C, $H87, NewEmisData!$D:$D, R$6)</f>
        <v>1779.89338532949</v>
      </c>
      <c r="S87" s="1111">
        <f>SUMIFS(NewEmisData!M:M, NewEmisData!$A:$A, $G87, NewEmisData!$B:$B, $A87, NewEmisData!$C:$C, $H87, NewEmisData!$D:$D, S$6)</f>
        <v>1779.28555768666</v>
      </c>
      <c r="T87" s="1111">
        <f t="shared" si="17"/>
        <v>1779.28555768666</v>
      </c>
      <c r="U87" s="1111">
        <f>SUMIFS(NewEmisData!E:E, NewEmisData!$A:$A, $G87, NewEmisData!$B:$B, $A87, NewEmisData!$C:$C, $H87, NewEmisData!$D:$D, U$6)</f>
        <v>25.485894447035299</v>
      </c>
      <c r="V87" s="1111">
        <f>SUMIFS(NewEmisData!F:F, NewEmisData!$A:$A, $G87, NewEmisData!$B:$B, $A87, NewEmisData!$C:$C, $H87, NewEmisData!$D:$D, V$6)</f>
        <v>16.635316417576099</v>
      </c>
      <c r="W87" s="1111">
        <f>SUMIFS(NewEmisData!G:G, NewEmisData!$A:$A, $G87, NewEmisData!$B:$B, $A87, NewEmisData!$C:$C, $H87, NewEmisData!$D:$D, W$6)</f>
        <v>5.6806504273613996</v>
      </c>
      <c r="X87" s="1111">
        <f>SUMIFS(NewEmisData!H:H, NewEmisData!$A:$A, $G87, NewEmisData!$B:$B, $A87, NewEmisData!$C:$C, $H87, NewEmisData!$D:$D, X$6)</f>
        <v>3.05403934027653</v>
      </c>
      <c r="Y87" s="1111">
        <f>SUMIFS(NewEmisData!I:I, NewEmisData!$A:$A, $G87, NewEmisData!$B:$B, $A87, NewEmisData!$C:$C, $H87, NewEmisData!$D:$D, Y$6)</f>
        <v>2.1007258350226801</v>
      </c>
      <c r="Z87" s="1111">
        <f>SUMIFS(NewEmisData!J:J, NewEmisData!$A:$A, $G87, NewEmisData!$B:$B, $A87, NewEmisData!$C:$C, $H87, NewEmisData!$D:$D, Z$6)</f>
        <v>1.87658987655799</v>
      </c>
      <c r="AA87" s="1111">
        <f>SUMIFS(NewEmisData!K:K, NewEmisData!$A:$A, $G87, NewEmisData!$B:$B, $A87, NewEmisData!$C:$C, $H87, NewEmisData!$D:$D, AA$6)</f>
        <v>1.7679420427249899</v>
      </c>
      <c r="AB87" s="1111">
        <f>SUMIFS(NewEmisData!L:L, NewEmisData!$A:$A, $G87, NewEmisData!$B:$B, $A87, NewEmisData!$C:$C, $H87, NewEmisData!$D:$D, AB$6)</f>
        <v>1.7647235248156601</v>
      </c>
      <c r="AC87" s="1111">
        <f>SUMIFS(NewEmisData!M:M, NewEmisData!$A:$A, $G87, NewEmisData!$B:$B, $A87, NewEmisData!$C:$C, $H87, NewEmisData!$D:$D, AC$6)</f>
        <v>1.76351431040301</v>
      </c>
      <c r="AD87" s="1111">
        <f t="shared" si="18"/>
        <v>1.76351431040301</v>
      </c>
      <c r="AE87" s="1111">
        <f t="shared" si="113"/>
        <v>3.9377821944932299E-2</v>
      </c>
      <c r="AF87" s="1111">
        <f>SUMIFS(NewEmisData!E:E, NewEmisData!$A:$A, $G87, NewEmisData!$B:$B, $A87, NewEmisData!$C:$C, $H87, NewEmisData!$D:$D, AF$6)</f>
        <v>3.9377821944932299E-2</v>
      </c>
      <c r="AG87" s="1111">
        <f>SUMIFS(NewEmisData!F:F, NewEmisData!$A:$A, $G87, NewEmisData!$B:$B, $A87, NewEmisData!$C:$C, $H87, NewEmisData!$D:$D, AG$6)</f>
        <v>3.7984236057639099E-2</v>
      </c>
      <c r="AH87" s="1111">
        <f>SUMIFS(NewEmisData!G:G, NewEmisData!$A:$A, $G87, NewEmisData!$B:$B, $A87, NewEmisData!$C:$C, $H87, NewEmisData!$D:$D, AH$6)</f>
        <v>1.6214018510996998E-2</v>
      </c>
      <c r="AI87" s="1111">
        <f>SUMIFS(NewEmisData!H:H, NewEmisData!$A:$A, $G87, NewEmisData!$B:$B, $A87, NewEmisData!$C:$C, $H87, NewEmisData!$D:$D, AI$6)</f>
        <v>1.5642379959483001E-2</v>
      </c>
      <c r="AJ87" s="1111">
        <f>SUMIFS(NewEmisData!I:I, NewEmisData!$A:$A, $G87, NewEmisData!$B:$B, $A87, NewEmisData!$C:$C, $H87, NewEmisData!$D:$D, AJ$6)</f>
        <v>1.5129566396989799E-2</v>
      </c>
      <c r="AK87" s="1111">
        <f>SUMIFS(NewEmisData!J:J, NewEmisData!$A:$A, $G87, NewEmisData!$B:$B, $A87, NewEmisData!$C:$C, $H87, NewEmisData!$D:$D, AK$6)</f>
        <v>1.48940539224115E-2</v>
      </c>
      <c r="AL87" s="1111">
        <f>SUMIFS(NewEmisData!K:K, NewEmisData!$A:$A, $G87, NewEmisData!$B:$B, $A87, NewEmisData!$C:$C, $H87, NewEmisData!$D:$D, AL$6)</f>
        <v>1.48498058438792E-2</v>
      </c>
      <c r="AM87" s="1111">
        <f>SUMIFS(NewEmisData!L:L, NewEmisData!$A:$A, $G87, NewEmisData!$B:$B, $A87, NewEmisData!$C:$C, $H87, NewEmisData!$D:$D, AM$6)</f>
        <v>1.48391871090011E-2</v>
      </c>
      <c r="AN87" s="1111">
        <f>SUMIFS(NewEmisData!M:M, NewEmisData!$A:$A, $G87, NewEmisData!$B:$B, $A87, NewEmisData!$C:$C, $H87, NewEmisData!$D:$D, AN$6)</f>
        <v>1.4834122168645001E-2</v>
      </c>
      <c r="AO87" s="1111">
        <f t="shared" si="114"/>
        <v>1.4834122168645001E-2</v>
      </c>
      <c r="AP87" s="1111">
        <f t="shared" si="115"/>
        <v>1.6759760982763601</v>
      </c>
      <c r="AQ87" s="1111">
        <f>SUMIFS(NewEmisData!E:E, NewEmisData!$A:$A, $G87, NewEmisData!$B:$B, $A87, NewEmisData!$C:$C, $H87, NewEmisData!$D:$D, AQ$6)</f>
        <v>1.6759760982763601</v>
      </c>
      <c r="AR87" s="1111">
        <f>SUMIFS(NewEmisData!F:F, NewEmisData!$A:$A, $G87, NewEmisData!$B:$B, $A87, NewEmisData!$C:$C, $H87, NewEmisData!$D:$D, AR$6)</f>
        <v>1.2591555489209101</v>
      </c>
      <c r="AS87" s="1111">
        <f>SUMIFS(NewEmisData!G:G, NewEmisData!$A:$A, $G87, NewEmisData!$B:$B, $A87, NewEmisData!$C:$C, $H87, NewEmisData!$D:$D, AS$6)</f>
        <v>0.67744248626063297</v>
      </c>
      <c r="AT87" s="1111">
        <f>SUMIFS(NewEmisData!H:H, NewEmisData!$A:$A, $G87, NewEmisData!$B:$B, $A87, NewEmisData!$C:$C, $H87, NewEmisData!$D:$D, AT$6)</f>
        <v>0.52738778166466604</v>
      </c>
      <c r="AU87" s="1111">
        <f>SUMIFS(NewEmisData!I:I, NewEmisData!$A:$A, $G87, NewEmisData!$B:$B, $A87, NewEmisData!$C:$C, $H87, NewEmisData!$D:$D, AU$6)</f>
        <v>0.48358848951405597</v>
      </c>
      <c r="AV87" s="1111">
        <f>SUMIFS(NewEmisData!J:J, NewEmisData!$A:$A, $G87, NewEmisData!$B:$B, $A87, NewEmisData!$C:$C, $H87, NewEmisData!$D:$D, AV$6)</f>
        <v>0.472761661372815</v>
      </c>
      <c r="AW87" s="1111">
        <f>SUMIFS(NewEmisData!K:K, NewEmisData!$A:$A, $G87, NewEmisData!$B:$B, $A87, NewEmisData!$C:$C, $H87, NewEmisData!$D:$D, AW$6)</f>
        <v>0.46753146166185999</v>
      </c>
      <c r="AX87" s="1111">
        <f>SUMIFS(NewEmisData!L:L, NewEmisData!$A:$A, $G87, NewEmisData!$B:$B, $A87, NewEmisData!$C:$C, $H87, NewEmisData!$D:$D, AX$6)</f>
        <v>0.46733602925816797</v>
      </c>
      <c r="AY87" s="1111">
        <f>SUMIFS(NewEmisData!M:M, NewEmisData!$A:$A, $G87, NewEmisData!$B:$B, $A87, NewEmisData!$C:$C, $H87, NewEmisData!$D:$D, AY$6)</f>
        <v>0.46734012500094102</v>
      </c>
      <c r="AZ87" s="1111">
        <f t="shared" si="116"/>
        <v>0.46734012500094102</v>
      </c>
      <c r="BA87" s="1111">
        <f t="shared" si="117"/>
        <v>1.31772095909569</v>
      </c>
      <c r="BB87" s="1111">
        <f>SUMIFS(NewEmisData!E:E, NewEmisData!$A:$A, $G87, NewEmisData!$B:$B, $A87, NewEmisData!$C:$C, $H87, NewEmisData!$D:$D, BB$6)</f>
        <v>1.31772095909569</v>
      </c>
      <c r="BC87" s="1111">
        <f>SUMIFS(NewEmisData!F:F, NewEmisData!$A:$A, $G87, NewEmisData!$B:$B, $A87, NewEmisData!$C:$C, $H87, NewEmisData!$D:$D, BC$6)</f>
        <v>0.93325433252970902</v>
      </c>
      <c r="BD87" s="1111">
        <f>SUMIFS(NewEmisData!G:G, NewEmisData!$A:$A, $G87, NewEmisData!$B:$B, $A87, NewEmisData!$C:$C, $H87, NewEmisData!$D:$D, BD$6)</f>
        <v>0.27440125765457901</v>
      </c>
      <c r="BE87" s="1111">
        <f>SUMIFS(NewEmisData!H:H, NewEmisData!$A:$A, $G87, NewEmisData!$B:$B, $A87, NewEmisData!$C:$C, $H87, NewEmisData!$D:$D, BE$6)</f>
        <v>0.135307690590454</v>
      </c>
      <c r="BF87" s="1111">
        <f>SUMIFS(NewEmisData!I:I, NewEmisData!$A:$A, $G87, NewEmisData!$B:$B, $A87, NewEmisData!$C:$C, $H87, NewEmisData!$D:$D, BF$6)</f>
        <v>0.10091565939698199</v>
      </c>
      <c r="BG87" s="1111">
        <f>SUMIFS(NewEmisData!J:J, NewEmisData!$A:$A, $G87, NewEmisData!$B:$B, $A87, NewEmisData!$C:$C, $H87, NewEmisData!$D:$D, BG$6)</f>
        <v>9.4307179930071303E-2</v>
      </c>
      <c r="BH87" s="1111">
        <f>SUMIFS(NewEmisData!K:K, NewEmisData!$A:$A, $G87, NewEmisData!$B:$B, $A87, NewEmisData!$C:$C, $H87, NewEmisData!$D:$D, BH$6)</f>
        <v>8.9937296191057697E-2</v>
      </c>
      <c r="BI87" s="1111">
        <f>SUMIFS(NewEmisData!L:L, NewEmisData!$A:$A, $G87, NewEmisData!$B:$B, $A87, NewEmisData!$C:$C, $H87, NewEmisData!$D:$D, BI$6)</f>
        <v>8.9863311660723005E-2</v>
      </c>
      <c r="BJ87" s="1111">
        <f>SUMIFS(NewEmisData!M:M, NewEmisData!$A:$A, $G87, NewEmisData!$B:$B, $A87, NewEmisData!$C:$C, $H87, NewEmisData!$D:$D, BJ$6)</f>
        <v>8.9850222817437805E-2</v>
      </c>
      <c r="BK87" s="1111">
        <f t="shared" si="118"/>
        <v>8.9850222817437805E-2</v>
      </c>
      <c r="BL87" s="1111">
        <f t="shared" si="119"/>
        <v>9.42494595370054</v>
      </c>
      <c r="BM87" s="1111">
        <f>SUMIFS(NewEmisData!E:E, NewEmisData!$A:$A, $G87, NewEmisData!$B:$B, $A87, NewEmisData!$C:$C, $H87, NewEmisData!$D:$D, BM$6)</f>
        <v>9.42494595370054</v>
      </c>
      <c r="BN87" s="1111">
        <f>SUMIFS(NewEmisData!F:F, NewEmisData!$A:$A, $G87, NewEmisData!$B:$B, $A87, NewEmisData!$C:$C, $H87, NewEmisData!$D:$D, BN$6)</f>
        <v>6.5151522418316503</v>
      </c>
      <c r="BO87" s="1111">
        <f>SUMIFS(NewEmisData!G:G, NewEmisData!$A:$A, $G87, NewEmisData!$B:$B, $A87, NewEmisData!$C:$C, $H87, NewEmisData!$D:$D, BO$6)</f>
        <v>2.9013962679725198</v>
      </c>
      <c r="BP87" s="1111">
        <f>SUMIFS(NewEmisData!H:H, NewEmisData!$A:$A, $G87, NewEmisData!$B:$B, $A87, NewEmisData!$C:$C, $H87, NewEmisData!$D:$D, BP$6)</f>
        <v>1.8001555126276301</v>
      </c>
      <c r="BQ87" s="1111">
        <f>SUMIFS(NewEmisData!I:I, NewEmisData!$A:$A, $G87, NewEmisData!$B:$B, $A87, NewEmisData!$C:$C, $H87, NewEmisData!$D:$D, BQ$6)</f>
        <v>1.6438313765408701</v>
      </c>
      <c r="BR87" s="1111">
        <f>SUMIFS(NewEmisData!J:J, NewEmisData!$A:$A, $G87, NewEmisData!$B:$B, $A87, NewEmisData!$C:$C, $H87, NewEmisData!$D:$D, BR$6)</f>
        <v>1.57432933432189</v>
      </c>
      <c r="BS87" s="1111">
        <f>SUMIFS(NewEmisData!K:K, NewEmisData!$A:$A, $G87, NewEmisData!$B:$B, $A87, NewEmisData!$C:$C, $H87, NewEmisData!$D:$D, BS$6)</f>
        <v>1.5408503449425099</v>
      </c>
      <c r="BT87" s="1111">
        <f>SUMIFS(NewEmisData!L:L, NewEmisData!$A:$A, $G87, NewEmisData!$B:$B, $A87, NewEmisData!$C:$C, $H87, NewEmisData!$D:$D, BT$6)</f>
        <v>1.5416002309750501</v>
      </c>
      <c r="BU87" s="1111">
        <f>SUMIFS(NewEmisData!M:M, NewEmisData!$A:$A, $G87, NewEmisData!$B:$B, $A87, NewEmisData!$C:$C, $H87, NewEmisData!$D:$D, BU$6)</f>
        <v>1.54141496966159</v>
      </c>
      <c r="BV87" s="1111">
        <f t="shared" si="120"/>
        <v>1.54141496966159</v>
      </c>
      <c r="BW87" s="1111">
        <f t="shared" si="121"/>
        <v>1.84761615807355</v>
      </c>
      <c r="BX87" s="1111">
        <f>SUMIFS(NewEmisData!E:E, NewEmisData!$A:$A, $G87, NewEmisData!$B:$B, $A87, NewEmisData!$C:$C, $H87, NewEmisData!$D:$D, BX$6)</f>
        <v>1.84761615807355</v>
      </c>
      <c r="BY87" s="1111">
        <f>SUMIFS(NewEmisData!F:F, NewEmisData!$A:$A, $G87, NewEmisData!$B:$B, $A87, NewEmisData!$C:$C, $H87, NewEmisData!$D:$D, BY$6)</f>
        <v>1.40257055938169</v>
      </c>
      <c r="BZ87" s="1111">
        <f>SUMIFS(NewEmisData!G:G, NewEmisData!$A:$A, $G87, NewEmisData!$B:$B, $A87, NewEmisData!$C:$C, $H87, NewEmisData!$D:$D, BZ$6)</f>
        <v>0.61956439340661196</v>
      </c>
      <c r="CA87" s="1111">
        <f>SUMIFS(NewEmisData!H:H, NewEmisData!$A:$A, $G87, NewEmisData!$B:$B, $A87, NewEmisData!$C:$C, $H87, NewEmisData!$D:$D, CA$6)</f>
        <v>0.26929109587747802</v>
      </c>
      <c r="CB87" s="1111">
        <f>SUMIFS(NewEmisData!I:I, NewEmisData!$A:$A, $G87, NewEmisData!$B:$B, $A87, NewEmisData!$C:$C, $H87, NewEmisData!$D:$D, CB$6)</f>
        <v>0.19094706305498699</v>
      </c>
      <c r="CC87" s="1111">
        <f>SUMIFS(NewEmisData!J:J, NewEmisData!$A:$A, $G87, NewEmisData!$B:$B, $A87, NewEmisData!$C:$C, $H87, NewEmisData!$D:$D, CC$6)</f>
        <v>0.172288027054284</v>
      </c>
      <c r="CD87" s="1111">
        <f>SUMIFS(NewEmisData!K:K, NewEmisData!$A:$A, $G87, NewEmisData!$B:$B, $A87, NewEmisData!$C:$C, $H87, NewEmisData!$D:$D, CD$6)</f>
        <v>0.15756259162820199</v>
      </c>
      <c r="CE87" s="1111">
        <f>SUMIFS(NewEmisData!L:L, NewEmisData!$A:$A, $G87, NewEmisData!$B:$B, $A87, NewEmisData!$C:$C, $H87, NewEmisData!$D:$D, CE$6)</f>
        <v>0.157519892644533</v>
      </c>
      <c r="CF87" s="1111">
        <f>SUMIFS(NewEmisData!M:M, NewEmisData!$A:$A, $G87, NewEmisData!$B:$B, $A87, NewEmisData!$C:$C, $H87, NewEmisData!$D:$D, CF$6)</f>
        <v>0.15750071717103001</v>
      </c>
      <c r="CG87" s="1111">
        <f t="shared" si="122"/>
        <v>0.15750071717103001</v>
      </c>
      <c r="CH87" s="1111">
        <f t="shared" si="123"/>
        <v>2.6212030110567601E-2</v>
      </c>
      <c r="CI87" s="1111">
        <f>SUMIFS(NewEmisData!E:E, NewEmisData!$A:$A, $G87, NewEmisData!$B:$B, $A87, NewEmisData!$C:$C, $H87, NewEmisData!$D:$D, CI$6)</f>
        <v>2.6212030110567601E-2</v>
      </c>
      <c r="CJ87" s="1111">
        <f>SUMIFS(NewEmisData!F:F, NewEmisData!$A:$A, $G87, NewEmisData!$B:$B, $A87, NewEmisData!$C:$C, $H87, NewEmisData!$D:$D, CJ$6)</f>
        <v>2.6306147637779401E-2</v>
      </c>
      <c r="CK87" s="1111">
        <f>SUMIFS(NewEmisData!G:G, NewEmisData!$A:$A, $G87, NewEmisData!$B:$B, $A87, NewEmisData!$C:$C, $H87, NewEmisData!$D:$D, CK$6)</f>
        <v>3.6703962076044899E-2</v>
      </c>
      <c r="CL87" s="1111">
        <f>SUMIFS(NewEmisData!H:H, NewEmisData!$A:$A, $G87, NewEmisData!$B:$B, $A87, NewEmisData!$C:$C, $H87, NewEmisData!$D:$D, CL$6)</f>
        <v>3.6724988920478097E-2</v>
      </c>
      <c r="CM87" s="1111">
        <f>SUMIFS(NewEmisData!I:I, NewEmisData!$A:$A, $G87, NewEmisData!$B:$B, $A87, NewEmisData!$C:$C, $H87, NewEmisData!$D:$D, CM$6)</f>
        <v>3.6651621694611301E-2</v>
      </c>
      <c r="CN87" s="1111">
        <f>SUMIFS(NewEmisData!J:J, NewEmisData!$A:$A, $G87, NewEmisData!$B:$B, $A87, NewEmisData!$C:$C, $H87, NewEmisData!$D:$D, CN$6)</f>
        <v>3.6612099035051998E-2</v>
      </c>
      <c r="CO87" s="1111">
        <f>SUMIFS(NewEmisData!K:K, NewEmisData!$A:$A, $G87, NewEmisData!$B:$B, $A87, NewEmisData!$C:$C, $H87, NewEmisData!$D:$D, CO$6)</f>
        <v>3.6606158410121097E-2</v>
      </c>
      <c r="CP87" s="1111">
        <f>SUMIFS(NewEmisData!L:L, NewEmisData!$A:$A, $G87, NewEmisData!$B:$B, $A87, NewEmisData!$C:$C, $H87, NewEmisData!$D:$D, CP$6)</f>
        <v>3.6604649349406201E-2</v>
      </c>
      <c r="CQ87" s="1111">
        <f>SUMIFS(NewEmisData!M:M, NewEmisData!$A:$A, $G87, NewEmisData!$B:$B, $A87, NewEmisData!$C:$C, $H87, NewEmisData!$D:$D, CQ$6)</f>
        <v>3.6605318323892203E-2</v>
      </c>
      <c r="CR87" s="1111">
        <f t="shared" si="124"/>
        <v>3.6605318323892203E-2</v>
      </c>
      <c r="CS87" s="1111">
        <f t="shared" si="125"/>
        <v>4.9860992358685303E-3</v>
      </c>
      <c r="CT87" s="1111">
        <f>SUMIFS(NewEmisData!E:E, NewEmisData!$A:$A, $G87, NewEmisData!$B:$B, $A87, NewEmisData!$C:$C, $H87, NewEmisData!$D:$D, CT$6)</f>
        <v>4.9860992358685303E-3</v>
      </c>
      <c r="CU87" s="1111">
        <f>SUMIFS(NewEmisData!F:F, NewEmisData!$A:$A, $G87, NewEmisData!$B:$B, $A87, NewEmisData!$C:$C, $H87, NewEmisData!$D:$D, CU$6)</f>
        <v>4.7742875379494596E-3</v>
      </c>
      <c r="CV87" s="1111">
        <f>SUMIFS(NewEmisData!G:G, NewEmisData!$A:$A, $G87, NewEmisData!$B:$B, $A87, NewEmisData!$C:$C, $H87, NewEmisData!$D:$D, CV$6)</f>
        <v>7.2603358828681602E-3</v>
      </c>
      <c r="CW87" s="1111">
        <f>SUMIFS(NewEmisData!H:H, NewEmisData!$A:$A, $G87, NewEmisData!$B:$B, $A87, NewEmisData!$C:$C, $H87, NewEmisData!$D:$D, CW$6)</f>
        <v>7.2661933727351004E-3</v>
      </c>
      <c r="CX87" s="1111">
        <f>SUMIFS(NewEmisData!I:I, NewEmisData!$A:$A, $G87, NewEmisData!$B:$B, $A87, NewEmisData!$C:$C, $H87, NewEmisData!$D:$D, CX$6)</f>
        <v>7.3123890355101103E-3</v>
      </c>
      <c r="CY87" s="1111">
        <f>SUMIFS(NewEmisData!J:J, NewEmisData!$A:$A, $G87, NewEmisData!$B:$B, $A87, NewEmisData!$C:$C, $H87, NewEmisData!$D:$D, CY$6)</f>
        <v>7.3404374727568103E-3</v>
      </c>
      <c r="CZ87" s="1111">
        <f>SUMIFS(NewEmisData!K:K, NewEmisData!$A:$A, $G87, NewEmisData!$B:$B, $A87, NewEmisData!$C:$C, $H87, NewEmisData!$D:$D, CZ$6)</f>
        <v>7.3437457061269196E-3</v>
      </c>
      <c r="DA87" s="1111">
        <f>SUMIFS(NewEmisData!L:L, NewEmisData!$A:$A, $G87, NewEmisData!$B:$B, $A87, NewEmisData!$C:$C, $H87, NewEmisData!$D:$D, DA$6)</f>
        <v>7.3446144592809104E-3</v>
      </c>
      <c r="DB87" s="1111">
        <f>SUMIFS(NewEmisData!M:M, NewEmisData!$A:$A, $G87, NewEmisData!$B:$B, $A87, NewEmisData!$C:$C, $H87, NewEmisData!$D:$D, DB$6)</f>
        <v>7.3444994559674001E-3</v>
      </c>
      <c r="DC87" s="1111">
        <f t="shared" si="126"/>
        <v>7.3444994559674001E-3</v>
      </c>
      <c r="DD87" s="1111">
        <v>0.39300578709389528</v>
      </c>
      <c r="DE87" s="1111">
        <v>0.25218506439547889</v>
      </c>
      <c r="DF87" s="1111">
        <v>9.0680333464346716E-2</v>
      </c>
      <c r="DG87" s="1111">
        <v>1.5259203997944157E-2</v>
      </c>
      <c r="DH87" s="1111">
        <v>1.442984591146376E-3</v>
      </c>
      <c r="DI87" s="1111">
        <v>1.4216300052729372E-3</v>
      </c>
      <c r="DJ87" s="1111">
        <v>1.4222674909691675E-3</v>
      </c>
      <c r="DK87" s="1111">
        <v>1.4222968522144778E-3</v>
      </c>
      <c r="DL87" s="1111">
        <v>1.4226321321994845E-3</v>
      </c>
      <c r="DM87" s="1111">
        <v>1.4227267584946933E-3</v>
      </c>
      <c r="DN87" s="1111">
        <v>1.4227267584946933E-3</v>
      </c>
      <c r="DO87" s="1111">
        <v>0.20788279259438966</v>
      </c>
      <c r="DP87" s="1111">
        <v>0.14188647424950029</v>
      </c>
      <c r="DQ87" s="1111">
        <v>6.2736208538959407E-2</v>
      </c>
      <c r="DR87" s="1111">
        <v>1.2554111333601691E-2</v>
      </c>
      <c r="DS87" s="1111">
        <v>2.5088278770177383E-3</v>
      </c>
      <c r="DT87" s="1111">
        <v>2.4717000504004827E-3</v>
      </c>
      <c r="DU87" s="1111">
        <v>2.472808290816776E-3</v>
      </c>
      <c r="DV87" s="1111">
        <v>2.4728594625776285E-3</v>
      </c>
      <c r="DW87" s="1111">
        <v>2.4734423116144133E-3</v>
      </c>
      <c r="DX87" s="1111">
        <v>2.4736068982878887E-3</v>
      </c>
      <c r="DY87" s="1111">
        <v>2.4736068982878887E-3</v>
      </c>
      <c r="DZ87" s="1111">
        <f t="shared" si="127"/>
        <v>1.13593830923209E-2</v>
      </c>
      <c r="EA87" s="1111">
        <f>SUMIFS(NewEmisData!E:E, NewEmisData!$A:$A, $G87, NewEmisData!$B:$B, $A87, NewEmisData!$C:$C, $H87, NewEmisData!$D:$D, EA$6)</f>
        <v>1.13593830923209E-2</v>
      </c>
      <c r="EB87" s="1111">
        <f>SUMIFS(NewEmisData!F:F, NewEmisData!$A:$A, $G87, NewEmisData!$B:$B, $A87, NewEmisData!$C:$C, $H87, NewEmisData!$D:$D, EB$6)</f>
        <v>3.7803123032821302E-2</v>
      </c>
      <c r="EC87" s="1111">
        <f>SUMIFS(NewEmisData!G:G, NewEmisData!$A:$A, $G87, NewEmisData!$B:$B, $A87, NewEmisData!$C:$C, $H87, NewEmisData!$D:$D, EC$6)</f>
        <v>0.124437290193953</v>
      </c>
      <c r="ED87" s="1111">
        <f>SUMIFS(NewEmisData!H:H, NewEmisData!$A:$A, $G87, NewEmisData!$B:$B, $A87, NewEmisData!$C:$C, $H87, NewEmisData!$D:$D, ED$6)</f>
        <v>0.136903583493692</v>
      </c>
      <c r="EE87" s="1111">
        <f>SUMIFS(NewEmisData!I:I, NewEmisData!$A:$A, $G87, NewEmisData!$B:$B, $A87, NewEmisData!$C:$C, $H87, NewEmisData!$D:$D, EE$6)</f>
        <v>0.13674174011835499</v>
      </c>
      <c r="EF87" s="1111">
        <f>SUMIFS(NewEmisData!J:J, NewEmisData!$A:$A, $G87, NewEmisData!$B:$B, $A87, NewEmisData!$C:$C, $H87, NewEmisData!$D:$D, EF$6)</f>
        <v>0.13774221915503501</v>
      </c>
      <c r="EG87" s="1111">
        <f>SUMIFS(NewEmisData!K:K, NewEmisData!$A:$A, $G87, NewEmisData!$B:$B, $A87, NewEmisData!$C:$C, $H87, NewEmisData!$D:$D, EG$6)</f>
        <v>0.13873461497783901</v>
      </c>
      <c r="EH87" s="1111">
        <f>SUMIFS(NewEmisData!L:L, NewEmisData!$A:$A, $G87, NewEmisData!$B:$B, $A87, NewEmisData!$C:$C, $H87, NewEmisData!$D:$D, EH$6)</f>
        <v>0.13871065448301201</v>
      </c>
      <c r="EI87" s="1111">
        <f>SUMIFS(NewEmisData!M:M, NewEmisData!$A:$A, $G87, NewEmisData!$B:$B, $A87, NewEmisData!$C:$C, $H87, NewEmisData!$D:$D, EI$6)</f>
        <v>0.13870041556896201</v>
      </c>
      <c r="EJ87" s="1111">
        <f t="shared" si="128"/>
        <v>0.13870041556896201</v>
      </c>
      <c r="EK87" s="1111">
        <f t="shared" si="129"/>
        <v>1573.0981920694501</v>
      </c>
      <c r="EL87" s="1111">
        <f t="shared" si="48"/>
        <v>1573.0981920694501</v>
      </c>
      <c r="EM87" s="1111">
        <f t="shared" si="49"/>
        <v>1544.3679757121099</v>
      </c>
      <c r="EN87" s="1111">
        <f t="shared" si="50"/>
        <v>1916.5843083058301</v>
      </c>
      <c r="EO87" s="1111">
        <f t="shared" si="51"/>
        <v>1868.9930069357799</v>
      </c>
      <c r="EP87" s="1111">
        <f t="shared" si="52"/>
        <v>1812.7966575929599</v>
      </c>
      <c r="EQ87" s="1111">
        <f t="shared" si="53"/>
        <v>1785.4009056329501</v>
      </c>
      <c r="ER87" s="1111">
        <f t="shared" si="54"/>
        <v>1781.1669913012199</v>
      </c>
      <c r="ES87" s="1111">
        <f t="shared" si="55"/>
        <v>1779.89338532949</v>
      </c>
      <c r="ET87" s="1111">
        <f t="shared" si="56"/>
        <v>1779.28555768666</v>
      </c>
      <c r="EU87" s="1111">
        <f t="shared" si="57"/>
        <v>1779.28555768666</v>
      </c>
      <c r="EV87" s="1111">
        <f t="shared" si="130"/>
        <v>25.485894447035299</v>
      </c>
      <c r="EW87" s="1111">
        <f t="shared" si="38"/>
        <v>25.485894447035299</v>
      </c>
      <c r="EX87" s="1111">
        <f t="shared" si="39"/>
        <v>16.635316417576099</v>
      </c>
      <c r="EY87" s="1111">
        <f t="shared" si="40"/>
        <v>5.6806504273613996</v>
      </c>
      <c r="EZ87" s="1111">
        <f t="shared" si="41"/>
        <v>3.05403934027653</v>
      </c>
      <c r="FA87" s="1111">
        <f t="shared" si="42"/>
        <v>2.1007258350226801</v>
      </c>
      <c r="FB87" s="1111">
        <f t="shared" si="43"/>
        <v>1.87658987655799</v>
      </c>
      <c r="FC87" s="1111">
        <f t="shared" si="44"/>
        <v>1.7679420427249899</v>
      </c>
      <c r="FD87" s="1111">
        <f t="shared" si="45"/>
        <v>1.7647235248156601</v>
      </c>
      <c r="FE87" s="1111">
        <f t="shared" si="46"/>
        <v>1.76351431040301</v>
      </c>
      <c r="FF87" s="1111">
        <f t="shared" si="47"/>
        <v>1.76351431040301</v>
      </c>
      <c r="FG87" s="1111">
        <f t="shared" si="100"/>
        <v>3.9377821944932299E-2</v>
      </c>
      <c r="FH87" s="1111">
        <f t="shared" si="101"/>
        <v>3.9377821944932299E-2</v>
      </c>
      <c r="FI87" s="1111">
        <f t="shared" si="102"/>
        <v>3.7984236057639099E-2</v>
      </c>
      <c r="FJ87" s="1111">
        <f t="shared" si="103"/>
        <v>1.6214018510996998E-2</v>
      </c>
      <c r="FK87" s="1111">
        <f t="shared" si="104"/>
        <v>1.5642379959483001E-2</v>
      </c>
      <c r="FL87" s="1111">
        <f t="shared" si="105"/>
        <v>1.5129566396989799E-2</v>
      </c>
      <c r="FM87" s="1111">
        <f t="shared" si="106"/>
        <v>1.48940539224115E-2</v>
      </c>
      <c r="FN87" s="1111">
        <f t="shared" si="107"/>
        <v>1.48498058438792E-2</v>
      </c>
      <c r="FO87" s="1111">
        <f t="shared" si="108"/>
        <v>1.48391871090011E-2</v>
      </c>
      <c r="FP87" s="1111">
        <f t="shared" si="109"/>
        <v>1.4834122168645001E-2</v>
      </c>
      <c r="FQ87" s="1111">
        <f t="shared" si="110"/>
        <v>1.4834122168645001E-2</v>
      </c>
      <c r="FR87" s="1111">
        <f t="shared" si="25"/>
        <v>1.6759760982763601</v>
      </c>
      <c r="FS87" s="1111">
        <f t="shared" si="26"/>
        <v>1.6759760982763601</v>
      </c>
      <c r="FT87" s="1111">
        <f t="shared" si="27"/>
        <v>1.2591555489209101</v>
      </c>
      <c r="FU87" s="1111">
        <f t="shared" si="28"/>
        <v>0.67744248626063297</v>
      </c>
      <c r="FV87" s="1111">
        <f t="shared" si="29"/>
        <v>0.52738778166466604</v>
      </c>
      <c r="FW87" s="1111">
        <f t="shared" si="30"/>
        <v>0.48358848951405597</v>
      </c>
      <c r="FX87" s="1111">
        <f t="shared" si="31"/>
        <v>0.472761661372815</v>
      </c>
      <c r="FY87" s="1111">
        <f t="shared" si="32"/>
        <v>0.46753146166185999</v>
      </c>
      <c r="FZ87" s="1111">
        <f t="shared" si="33"/>
        <v>0.46733602925816797</v>
      </c>
      <c r="GA87" s="1111">
        <f t="shared" si="34"/>
        <v>0.46734012500094102</v>
      </c>
      <c r="GB87" s="1111">
        <f t="shared" si="35"/>
        <v>0.46734012500094102</v>
      </c>
      <c r="GC87" s="1111">
        <f t="shared" si="59"/>
        <v>1.31772095909569</v>
      </c>
      <c r="GD87" s="1111">
        <f t="shared" si="60"/>
        <v>1.31772095909569</v>
      </c>
      <c r="GE87" s="1111">
        <f t="shared" si="61"/>
        <v>0.93325433252970902</v>
      </c>
      <c r="GF87" s="1111">
        <f t="shared" si="62"/>
        <v>0.27440125765457901</v>
      </c>
      <c r="GG87" s="1111">
        <f t="shared" si="63"/>
        <v>0.135307690590454</v>
      </c>
      <c r="GH87" s="1111">
        <f t="shared" si="64"/>
        <v>0.10091565939698199</v>
      </c>
      <c r="GI87" s="1111">
        <f t="shared" si="65"/>
        <v>9.4307179930071303E-2</v>
      </c>
      <c r="GJ87" s="1111">
        <f t="shared" si="66"/>
        <v>8.9937296191057697E-2</v>
      </c>
      <c r="GK87" s="1111">
        <f t="shared" si="67"/>
        <v>8.9863311660723005E-2</v>
      </c>
      <c r="GL87" s="1111">
        <f t="shared" si="68"/>
        <v>8.9850222817437805E-2</v>
      </c>
      <c r="GM87" s="1111">
        <f t="shared" si="69"/>
        <v>8.9850222817437805E-2</v>
      </c>
    </row>
    <row r="88" spans="1:195" x14ac:dyDescent="0.2">
      <c r="A88" s="1071" t="s">
        <v>184</v>
      </c>
      <c r="B88" s="1071" t="str">
        <f>NewTech!B20</f>
        <v>TBDSLADV</v>
      </c>
      <c r="C88" s="1071" t="str">
        <f>NewTech!C20</f>
        <v>Bus, Advanced Tech Diesel</v>
      </c>
      <c r="D88" s="1071" t="str">
        <f>NewTech!D20</f>
        <v>bn-vmt, bn-vmt/a</v>
      </c>
      <c r="E88" s="1071" t="str">
        <f>NewTech!E20</f>
        <v>TBDSL</v>
      </c>
      <c r="F88" s="1071" t="str">
        <f>NewTech!F20</f>
        <v>TB</v>
      </c>
      <c r="G88" s="1110" t="s">
        <v>498</v>
      </c>
      <c r="H88" s="1110" t="s">
        <v>499</v>
      </c>
      <c r="I88" s="1112">
        <v>1</v>
      </c>
      <c r="J88" s="1111" t="str">
        <f t="shared" si="37"/>
        <v>Bus-DSL</v>
      </c>
      <c r="K88" s="1111">
        <f>SUMIFS(NewEmisData!E:E, NewEmisData!$A:$A, $G88, NewEmisData!$B:$B, $A88, NewEmisData!$C:$C, $H88, NewEmisData!$D:$D, K$6)</f>
        <v>1543.98093106499</v>
      </c>
      <c r="L88" s="1111">
        <f>SUMIFS(NewEmisData!F:F, NewEmisData!$A:$A, $G88, NewEmisData!$B:$B, $A88, NewEmisData!$C:$C, $H88, NewEmisData!$D:$D, L$6)</f>
        <v>1489.5901194539099</v>
      </c>
      <c r="M88" s="1111">
        <f>SUMIFS(NewEmisData!G:G, NewEmisData!$A:$A, $G88, NewEmisData!$B:$B, $A88, NewEmisData!$C:$C, $H88, NewEmisData!$D:$D, M$6)</f>
        <v>1760.12051639078</v>
      </c>
      <c r="N88" s="1111">
        <f>SUMIFS(NewEmisData!H:H, NewEmisData!$A:$A, $G88, NewEmisData!$B:$B, $A88, NewEmisData!$C:$C, $H88, NewEmisData!$D:$D, N$6)</f>
        <v>1725.691003145</v>
      </c>
      <c r="O88" s="1111">
        <f>SUMIFS(NewEmisData!I:I, NewEmisData!$A:$A, $G88, NewEmisData!$B:$B, $A88, NewEmisData!$C:$C, $H88, NewEmisData!$D:$D, O$6)</f>
        <v>1701.2652234181401</v>
      </c>
      <c r="P88" s="1111">
        <f>SUMIFS(NewEmisData!J:J, NewEmisData!$A:$A, $G88, NewEmisData!$B:$B, $A88, NewEmisData!$C:$C, $H88, NewEmisData!$D:$D, P$6)</f>
        <v>1689.2419423004101</v>
      </c>
      <c r="Q88" s="1111">
        <f>SUMIFS(NewEmisData!K:K, NewEmisData!$A:$A, $G88, NewEmisData!$B:$B, $A88, NewEmisData!$C:$C, $H88, NewEmisData!$D:$D, Q$6)</f>
        <v>1686.0310473817101</v>
      </c>
      <c r="R88" s="1111">
        <f>SUMIFS(NewEmisData!L:L, NewEmisData!$A:$A, $G88, NewEmisData!$B:$B, $A88, NewEmisData!$C:$C, $H88, NewEmisData!$D:$D, R$6)</f>
        <v>1684.65387386569</v>
      </c>
      <c r="S88" s="1111">
        <f>SUMIFS(NewEmisData!M:M, NewEmisData!$A:$A, $G88, NewEmisData!$B:$B, $A88, NewEmisData!$C:$C, $H88, NewEmisData!$D:$D, S$6)</f>
        <v>1683.50748414707</v>
      </c>
      <c r="T88" s="1111">
        <f t="shared" si="17"/>
        <v>1683.50748414707</v>
      </c>
      <c r="U88" s="1111">
        <f>SUMIFS(NewEmisData!E:E, NewEmisData!$A:$A, $G88, NewEmisData!$B:$B, $A88, NewEmisData!$C:$C, $H88, NewEmisData!$D:$D, U$6)</f>
        <v>18.668125395756</v>
      </c>
      <c r="V88" s="1111">
        <f>SUMIFS(NewEmisData!F:F, NewEmisData!$A:$A, $G88, NewEmisData!$B:$B, $A88, NewEmisData!$C:$C, $H88, NewEmisData!$D:$D, V$6)</f>
        <v>11.1440380927276</v>
      </c>
      <c r="W88" s="1111">
        <f>SUMIFS(NewEmisData!G:G, NewEmisData!$A:$A, $G88, NewEmisData!$B:$B, $A88, NewEmisData!$C:$C, $H88, NewEmisData!$D:$D, W$6)</f>
        <v>5.7829202038421004</v>
      </c>
      <c r="X88" s="1111">
        <f>SUMIFS(NewEmisData!H:H, NewEmisData!$A:$A, $G88, NewEmisData!$B:$B, $A88, NewEmisData!$C:$C, $H88, NewEmisData!$D:$D, X$6)</f>
        <v>3.20396695130832</v>
      </c>
      <c r="Y88" s="1111">
        <f>SUMIFS(NewEmisData!I:I, NewEmisData!$A:$A, $G88, NewEmisData!$B:$B, $A88, NewEmisData!$C:$C, $H88, NewEmisData!$D:$D, Y$6)</f>
        <v>2.2740618900591598</v>
      </c>
      <c r="Z88" s="1111">
        <f>SUMIFS(NewEmisData!J:J, NewEmisData!$A:$A, $G88, NewEmisData!$B:$B, $A88, NewEmisData!$C:$C, $H88, NewEmisData!$D:$D, Z$6)</f>
        <v>1.9371275562897501</v>
      </c>
      <c r="AA88" s="1111">
        <f>SUMIFS(NewEmisData!K:K, NewEmisData!$A:$A, $G88, NewEmisData!$B:$B, $A88, NewEmisData!$C:$C, $H88, NewEmisData!$D:$D, AA$6)</f>
        <v>1.7456585769951301</v>
      </c>
      <c r="AB88" s="1111">
        <f>SUMIFS(NewEmisData!L:L, NewEmisData!$A:$A, $G88, NewEmisData!$B:$B, $A88, NewEmisData!$C:$C, $H88, NewEmisData!$D:$D, AB$6)</f>
        <v>1.7403372468815299</v>
      </c>
      <c r="AC88" s="1111">
        <f>SUMIFS(NewEmisData!M:M, NewEmisData!$A:$A, $G88, NewEmisData!$B:$B, $A88, NewEmisData!$C:$C, $H88, NewEmisData!$D:$D, AC$6)</f>
        <v>1.7389528033933299</v>
      </c>
      <c r="AD88" s="1111">
        <f t="shared" si="18"/>
        <v>1.7389528033933299</v>
      </c>
      <c r="AE88" s="1111">
        <f t="shared" si="113"/>
        <v>3.8389239139431798E-2</v>
      </c>
      <c r="AF88" s="1111">
        <f>SUMIFS(NewEmisData!E:E, NewEmisData!$A:$A, $G88, NewEmisData!$B:$B, $A88, NewEmisData!$C:$C, $H88, NewEmisData!$D:$D, AF$6)</f>
        <v>3.8389239139431798E-2</v>
      </c>
      <c r="AG88" s="1111">
        <f>SUMIFS(NewEmisData!F:F, NewEmisData!$A:$A, $G88, NewEmisData!$B:$B, $A88, NewEmisData!$C:$C, $H88, NewEmisData!$D:$D, AG$6)</f>
        <v>3.6761798419934502E-2</v>
      </c>
      <c r="AH88" s="1111">
        <f>SUMIFS(NewEmisData!G:G, NewEmisData!$A:$A, $G88, NewEmisData!$B:$B, $A88, NewEmisData!$C:$C, $H88, NewEmisData!$D:$D, AH$6)</f>
        <v>1.4889550958331501E-2</v>
      </c>
      <c r="AI88" s="1111">
        <f>SUMIFS(NewEmisData!H:H, NewEmisData!$A:$A, $G88, NewEmisData!$B:$B, $A88, NewEmisData!$C:$C, $H88, NewEmisData!$D:$D, AI$6)</f>
        <v>1.4468385512049001E-2</v>
      </c>
      <c r="AJ88" s="1111">
        <f>SUMIFS(NewEmisData!I:I, NewEmisData!$A:$A, $G88, NewEmisData!$B:$B, $A88, NewEmisData!$C:$C, $H88, NewEmisData!$D:$D, AJ$6)</f>
        <v>1.4209561374707899E-2</v>
      </c>
      <c r="AK88" s="1111">
        <f>SUMIFS(NewEmisData!J:J, NewEmisData!$A:$A, $G88, NewEmisData!$B:$B, $A88, NewEmisData!$C:$C, $H88, NewEmisData!$D:$D, AK$6)</f>
        <v>1.41029670885105E-2</v>
      </c>
      <c r="AL88" s="1111">
        <f>SUMIFS(NewEmisData!K:K, NewEmisData!$A:$A, $G88, NewEmisData!$B:$B, $A88, NewEmisData!$C:$C, $H88, NewEmisData!$D:$D, AL$6)</f>
        <v>1.4056650783011699E-2</v>
      </c>
      <c r="AM88" s="1111">
        <f>SUMIFS(NewEmisData!L:L, NewEmisData!$A:$A, $G88, NewEmisData!$B:$B, $A88, NewEmisData!$C:$C, $H88, NewEmisData!$D:$D, AM$6)</f>
        <v>1.4045167485360799E-2</v>
      </c>
      <c r="AN88" s="1111">
        <f>SUMIFS(NewEmisData!M:M, NewEmisData!$A:$A, $G88, NewEmisData!$B:$B, $A88, NewEmisData!$C:$C, $H88, NewEmisData!$D:$D, AN$6)</f>
        <v>1.4035601733995101E-2</v>
      </c>
      <c r="AO88" s="1111">
        <f t="shared" si="114"/>
        <v>1.4035601733995101E-2</v>
      </c>
      <c r="AP88" s="1111">
        <f t="shared" si="115"/>
        <v>0.78674550377560604</v>
      </c>
      <c r="AQ88" s="1111">
        <f>SUMIFS(NewEmisData!E:E, NewEmisData!$A:$A, $G88, NewEmisData!$B:$B, $A88, NewEmisData!$C:$C, $H88, NewEmisData!$D:$D, AQ$6)</f>
        <v>0.78674550377560604</v>
      </c>
      <c r="AR88" s="1111">
        <f>SUMIFS(NewEmisData!F:F, NewEmisData!$A:$A, $G88, NewEmisData!$B:$B, $A88, NewEmisData!$C:$C, $H88, NewEmisData!$D:$D, AR$6)</f>
        <v>0.59435851753671198</v>
      </c>
      <c r="AS88" s="1111">
        <f>SUMIFS(NewEmisData!G:G, NewEmisData!$A:$A, $G88, NewEmisData!$B:$B, $A88, NewEmisData!$C:$C, $H88, NewEmisData!$D:$D, AS$6)</f>
        <v>0.48892752894583302</v>
      </c>
      <c r="AT88" s="1111">
        <f>SUMIFS(NewEmisData!H:H, NewEmisData!$A:$A, $G88, NewEmisData!$B:$B, $A88, NewEmisData!$C:$C, $H88, NewEmisData!$D:$D, AT$6)</f>
        <v>0.40673687636699701</v>
      </c>
      <c r="AU88" s="1111">
        <f>SUMIFS(NewEmisData!I:I, NewEmisData!$A:$A, $G88, NewEmisData!$B:$B, $A88, NewEmisData!$C:$C, $H88, NewEmisData!$D:$D, AU$6)</f>
        <v>0.37207197997484598</v>
      </c>
      <c r="AV88" s="1111">
        <f>SUMIFS(NewEmisData!J:J, NewEmisData!$A:$A, $G88, NewEmisData!$B:$B, $A88, NewEmisData!$C:$C, $H88, NewEmisData!$D:$D, AV$6)</f>
        <v>0.366996102766601</v>
      </c>
      <c r="AW88" s="1111">
        <f>SUMIFS(NewEmisData!K:K, NewEmisData!$A:$A, $G88, NewEmisData!$B:$B, $A88, NewEmisData!$C:$C, $H88, NewEmisData!$D:$D, AW$6)</f>
        <v>0.35822974357450499</v>
      </c>
      <c r="AX88" s="1111">
        <f>SUMIFS(NewEmisData!L:L, NewEmisData!$A:$A, $G88, NewEmisData!$B:$B, $A88, NewEmisData!$C:$C, $H88, NewEmisData!$D:$D, AX$6)</f>
        <v>0.35809529827636299</v>
      </c>
      <c r="AY88" s="1111">
        <f>SUMIFS(NewEmisData!M:M, NewEmisData!$A:$A, $G88, NewEmisData!$B:$B, $A88, NewEmisData!$C:$C, $H88, NewEmisData!$D:$D, AY$6)</f>
        <v>0.358118172842192</v>
      </c>
      <c r="AZ88" s="1111">
        <f t="shared" si="116"/>
        <v>0.358118172842192</v>
      </c>
      <c r="BA88" s="1111">
        <f t="shared" si="117"/>
        <v>0.55028448131832597</v>
      </c>
      <c r="BB88" s="1111">
        <f>SUMIFS(NewEmisData!E:E, NewEmisData!$A:$A, $G88, NewEmisData!$B:$B, $A88, NewEmisData!$C:$C, $H88, NewEmisData!$D:$D, BB$6)</f>
        <v>0.55028448131832597</v>
      </c>
      <c r="BC88" s="1111">
        <f>SUMIFS(NewEmisData!F:F, NewEmisData!$A:$A, $G88, NewEmisData!$B:$B, $A88, NewEmisData!$C:$C, $H88, NewEmisData!$D:$D, BC$6)</f>
        <v>0.38400745413618897</v>
      </c>
      <c r="BD88" s="1111">
        <f>SUMIFS(NewEmisData!G:G, NewEmisData!$A:$A, $G88, NewEmisData!$B:$B, $A88, NewEmisData!$C:$C, $H88, NewEmisData!$D:$D, BD$6)</f>
        <v>0.19465121057228399</v>
      </c>
      <c r="BE88" s="1111">
        <f>SUMIFS(NewEmisData!H:H, NewEmisData!$A:$A, $G88, NewEmisData!$B:$B, $A88, NewEmisData!$C:$C, $H88, NewEmisData!$D:$D, BE$6)</f>
        <v>0.118207278051221</v>
      </c>
      <c r="BF88" s="1111">
        <f>SUMIFS(NewEmisData!I:I, NewEmisData!$A:$A, $G88, NewEmisData!$B:$B, $A88, NewEmisData!$C:$C, $H88, NewEmisData!$D:$D, BF$6)</f>
        <v>8.6817069306160496E-2</v>
      </c>
      <c r="BG88" s="1111">
        <f>SUMIFS(NewEmisData!J:J, NewEmisData!$A:$A, $G88, NewEmisData!$B:$B, $A88, NewEmisData!$C:$C, $H88, NewEmisData!$D:$D, BG$6)</f>
        <v>8.22742664951428E-2</v>
      </c>
      <c r="BH88" s="1111">
        <f>SUMIFS(NewEmisData!K:K, NewEmisData!$A:$A, $G88, NewEmisData!$B:$B, $A88, NewEmisData!$C:$C, $H88, NewEmisData!$D:$D, BH$6)</f>
        <v>7.4293747941119301E-2</v>
      </c>
      <c r="BI88" s="1111">
        <f>SUMIFS(NewEmisData!L:L, NewEmisData!$A:$A, $G88, NewEmisData!$B:$B, $A88, NewEmisData!$C:$C, $H88, NewEmisData!$D:$D, BI$6)</f>
        <v>7.4186721872420605E-2</v>
      </c>
      <c r="BJ88" s="1111">
        <f>SUMIFS(NewEmisData!M:M, NewEmisData!$A:$A, $G88, NewEmisData!$B:$B, $A88, NewEmisData!$C:$C, $H88, NewEmisData!$D:$D, BJ$6)</f>
        <v>7.4167760380950506E-2</v>
      </c>
      <c r="BK88" s="1111">
        <f t="shared" si="118"/>
        <v>7.4167760380950506E-2</v>
      </c>
      <c r="BL88" s="1111">
        <f t="shared" si="119"/>
        <v>7.4025631204345501</v>
      </c>
      <c r="BM88" s="1111">
        <f>SUMIFS(NewEmisData!E:E, NewEmisData!$A:$A, $G88, NewEmisData!$B:$B, $A88, NewEmisData!$C:$C, $H88, NewEmisData!$D:$D, BM$6)</f>
        <v>7.4025631204345501</v>
      </c>
      <c r="BN88" s="1111">
        <f>SUMIFS(NewEmisData!F:F, NewEmisData!$A:$A, $G88, NewEmisData!$B:$B, $A88, NewEmisData!$C:$C, $H88, NewEmisData!$D:$D, BN$6)</f>
        <v>5.7928546844056203</v>
      </c>
      <c r="BO88" s="1111">
        <f>SUMIFS(NewEmisData!G:G, NewEmisData!$A:$A, $G88, NewEmisData!$B:$B, $A88, NewEmisData!$C:$C, $H88, NewEmisData!$D:$D, BO$6)</f>
        <v>3.25014237033561</v>
      </c>
      <c r="BP88" s="1111">
        <f>SUMIFS(NewEmisData!H:H, NewEmisData!$A:$A, $G88, NewEmisData!$B:$B, $A88, NewEmisData!$C:$C, $H88, NewEmisData!$D:$D, BP$6)</f>
        <v>2.1022334776789799</v>
      </c>
      <c r="BQ88" s="1111">
        <f>SUMIFS(NewEmisData!I:I, NewEmisData!$A:$A, $G88, NewEmisData!$B:$B, $A88, NewEmisData!$C:$C, $H88, NewEmisData!$D:$D, BQ$6)</f>
        <v>1.90721253550502</v>
      </c>
      <c r="BR88" s="1111">
        <f>SUMIFS(NewEmisData!J:J, NewEmisData!$A:$A, $G88, NewEmisData!$B:$B, $A88, NewEmisData!$C:$C, $H88, NewEmisData!$D:$D, BR$6)</f>
        <v>1.73226494933412</v>
      </c>
      <c r="BS88" s="1111">
        <f>SUMIFS(NewEmisData!K:K, NewEmisData!$A:$A, $G88, NewEmisData!$B:$B, $A88, NewEmisData!$C:$C, $H88, NewEmisData!$D:$D, BS$6)</f>
        <v>1.66295860938386</v>
      </c>
      <c r="BT88" s="1111">
        <f>SUMIFS(NewEmisData!L:L, NewEmisData!$A:$A, $G88, NewEmisData!$B:$B, $A88, NewEmisData!$C:$C, $H88, NewEmisData!$D:$D, BT$6)</f>
        <v>1.6638988091117199</v>
      </c>
      <c r="BU88" s="1111">
        <f>SUMIFS(NewEmisData!M:M, NewEmisData!$A:$A, $G88, NewEmisData!$B:$B, $A88, NewEmisData!$C:$C, $H88, NewEmisData!$D:$D, BU$6)</f>
        <v>1.6592583196978401</v>
      </c>
      <c r="BV88" s="1111">
        <f t="shared" si="120"/>
        <v>1.6592583196978401</v>
      </c>
      <c r="BW88" s="1111">
        <f t="shared" si="121"/>
        <v>1.4473470985210799</v>
      </c>
      <c r="BX88" s="1111">
        <f>SUMIFS(NewEmisData!E:E, NewEmisData!$A:$A, $G88, NewEmisData!$B:$B, $A88, NewEmisData!$C:$C, $H88, NewEmisData!$D:$D, BX$6)</f>
        <v>1.4473470985210799</v>
      </c>
      <c r="BY88" s="1111">
        <f>SUMIFS(NewEmisData!F:F, NewEmisData!$A:$A, $G88, NewEmisData!$B:$B, $A88, NewEmisData!$C:$C, $H88, NewEmisData!$D:$D, BY$6)</f>
        <v>1.1581362740294701</v>
      </c>
      <c r="BZ88" s="1111">
        <f>SUMIFS(NewEmisData!G:G, NewEmisData!$A:$A, $G88, NewEmisData!$B:$B, $A88, NewEmisData!$C:$C, $H88, NewEmisData!$D:$D, BZ$6)</f>
        <v>0.53671452190943902</v>
      </c>
      <c r="CA88" s="1111">
        <f>SUMIFS(NewEmisData!H:H, NewEmisData!$A:$A, $G88, NewEmisData!$B:$B, $A88, NewEmisData!$C:$C, $H88, NewEmisData!$D:$D, CA$6)</f>
        <v>0.27494886385920297</v>
      </c>
      <c r="CB88" s="1111">
        <f>SUMIFS(NewEmisData!I:I, NewEmisData!$A:$A, $G88, NewEmisData!$B:$B, $A88, NewEmisData!$C:$C, $H88, NewEmisData!$D:$D, CB$6)</f>
        <v>0.19325322968969499</v>
      </c>
      <c r="CC88" s="1111">
        <f>SUMIFS(NewEmisData!J:J, NewEmisData!$A:$A, $G88, NewEmisData!$B:$B, $A88, NewEmisData!$C:$C, $H88, NewEmisData!$D:$D, CC$6)</f>
        <v>0.167956894854846</v>
      </c>
      <c r="CD88" s="1111">
        <f>SUMIFS(NewEmisData!K:K, NewEmisData!$A:$A, $G88, NewEmisData!$B:$B, $A88, NewEmisData!$C:$C, $H88, NewEmisData!$D:$D, CD$6)</f>
        <v>0.13892518309640101</v>
      </c>
      <c r="CE88" s="1111">
        <f>SUMIFS(NewEmisData!L:L, NewEmisData!$A:$A, $G88, NewEmisData!$B:$B, $A88, NewEmisData!$C:$C, $H88, NewEmisData!$D:$D, CE$6)</f>
        <v>0.13884600843509601</v>
      </c>
      <c r="CF88" s="1111">
        <f>SUMIFS(NewEmisData!M:M, NewEmisData!$A:$A, $G88, NewEmisData!$B:$B, $A88, NewEmisData!$C:$C, $H88, NewEmisData!$D:$D, CF$6)</f>
        <v>0.13868242154504801</v>
      </c>
      <c r="CG88" s="1111">
        <f t="shared" si="122"/>
        <v>0.13868242154504801</v>
      </c>
      <c r="CH88" s="1111">
        <f t="shared" si="123"/>
        <v>2.5552170890355701E-2</v>
      </c>
      <c r="CI88" s="1111">
        <f>SUMIFS(NewEmisData!E:E, NewEmisData!$A:$A, $G88, NewEmisData!$B:$B, $A88, NewEmisData!$C:$C, $H88, NewEmisData!$D:$D, CI$6)</f>
        <v>2.5552170890355701E-2</v>
      </c>
      <c r="CJ88" s="1111">
        <f>SUMIFS(NewEmisData!F:F, NewEmisData!$A:$A, $G88, NewEmisData!$B:$B, $A88, NewEmisData!$C:$C, $H88, NewEmisData!$D:$D, CJ$6)</f>
        <v>2.53025045921564E-2</v>
      </c>
      <c r="CK88" s="1111">
        <f>SUMIFS(NewEmisData!G:G, NewEmisData!$A:$A, $G88, NewEmisData!$B:$B, $A88, NewEmisData!$C:$C, $H88, NewEmisData!$D:$D, CK$6)</f>
        <v>3.2113726092753501E-2</v>
      </c>
      <c r="CL88" s="1111">
        <f>SUMIFS(NewEmisData!H:H, NewEmisData!$A:$A, $G88, NewEmisData!$B:$B, $A88, NewEmisData!$C:$C, $H88, NewEmisData!$D:$D, CL$6)</f>
        <v>3.2125818354371803E-2</v>
      </c>
      <c r="CM88" s="1111">
        <f>SUMIFS(NewEmisData!I:I, NewEmisData!$A:$A, $G88, NewEmisData!$B:$B, $A88, NewEmisData!$C:$C, $H88, NewEmisData!$D:$D, CM$6)</f>
        <v>3.21152168523616E-2</v>
      </c>
      <c r="CN88" s="1111">
        <f>SUMIFS(NewEmisData!J:J, NewEmisData!$A:$A, $G88, NewEmisData!$B:$B, $A88, NewEmisData!$C:$C, $H88, NewEmisData!$D:$D, CN$6)</f>
        <v>3.21127222738316E-2</v>
      </c>
      <c r="CO88" s="1111">
        <f>SUMIFS(NewEmisData!K:K, NewEmisData!$A:$A, $G88, NewEmisData!$B:$B, $A88, NewEmisData!$C:$C, $H88, NewEmisData!$D:$D, CO$6)</f>
        <v>3.2111195257881399E-2</v>
      </c>
      <c r="CP88" s="1111">
        <f>SUMIFS(NewEmisData!L:L, NewEmisData!$A:$A, $G88, NewEmisData!$B:$B, $A88, NewEmisData!$C:$C, $H88, NewEmisData!$D:$D, CP$6)</f>
        <v>3.21104284845748E-2</v>
      </c>
      <c r="CQ88" s="1111">
        <f>SUMIFS(NewEmisData!M:M, NewEmisData!$A:$A, $G88, NewEmisData!$B:$B, $A88, NewEmisData!$C:$C, $H88, NewEmisData!$D:$D, CQ$6)</f>
        <v>3.2111281698300603E-2</v>
      </c>
      <c r="CR88" s="1111">
        <f t="shared" si="124"/>
        <v>3.2111281698300603E-2</v>
      </c>
      <c r="CS88" s="1111">
        <f t="shared" si="125"/>
        <v>3.4284515149731101E-3</v>
      </c>
      <c r="CT88" s="1111">
        <f>SUMIFS(NewEmisData!E:E, NewEmisData!$A:$A, $G88, NewEmisData!$B:$B, $A88, NewEmisData!$C:$C, $H88, NewEmisData!$D:$D, CT$6)</f>
        <v>3.4284515149731101E-3</v>
      </c>
      <c r="CU88" s="1111">
        <f>SUMIFS(NewEmisData!F:F, NewEmisData!$A:$A, $G88, NewEmisData!$B:$B, $A88, NewEmisData!$C:$C, $H88, NewEmisData!$D:$D, CU$6)</f>
        <v>3.9228568169430503E-3</v>
      </c>
      <c r="CV88" s="1111">
        <f>SUMIFS(NewEmisData!G:G, NewEmisData!$A:$A, $G88, NewEmisData!$B:$B, $A88, NewEmisData!$C:$C, $H88, NewEmisData!$D:$D, CV$6)</f>
        <v>6.0180787362878099E-3</v>
      </c>
      <c r="CW88" s="1111">
        <f>SUMIFS(NewEmisData!H:H, NewEmisData!$A:$A, $G88, NewEmisData!$B:$B, $A88, NewEmisData!$C:$C, $H88, NewEmisData!$D:$D, CW$6)</f>
        <v>6.0081059727209599E-3</v>
      </c>
      <c r="CX88" s="1111">
        <f>SUMIFS(NewEmisData!I:I, NewEmisData!$A:$A, $G88, NewEmisData!$B:$B, $A88, NewEmisData!$C:$C, $H88, NewEmisData!$D:$D, CX$6)</f>
        <v>6.0223865299690697E-3</v>
      </c>
      <c r="CY88" s="1111">
        <f>SUMIFS(NewEmisData!J:J, NewEmisData!$A:$A, $G88, NewEmisData!$B:$B, $A88, NewEmisData!$C:$C, $H88, NewEmisData!$D:$D, CY$6)</f>
        <v>6.0258969594508003E-3</v>
      </c>
      <c r="CZ88" s="1111">
        <f>SUMIFS(NewEmisData!K:K, NewEmisData!$A:$A, $G88, NewEmisData!$B:$B, $A88, NewEmisData!$C:$C, $H88, NewEmisData!$D:$D, CZ$6)</f>
        <v>6.0307176387692897E-3</v>
      </c>
      <c r="DA88" s="1111">
        <f>SUMIFS(NewEmisData!L:L, NewEmisData!$A:$A, $G88, NewEmisData!$B:$B, $A88, NewEmisData!$C:$C, $H88, NewEmisData!$D:$D, DA$6)</f>
        <v>6.0319705845977203E-3</v>
      </c>
      <c r="DB88" s="1111">
        <f>SUMIFS(NewEmisData!M:M, NewEmisData!$A:$A, $G88, NewEmisData!$B:$B, $A88, NewEmisData!$C:$C, $H88, NewEmisData!$D:$D, DB$6)</f>
        <v>6.0283362401861102E-3</v>
      </c>
      <c r="DC88" s="1111">
        <f t="shared" si="126"/>
        <v>6.0283362401861102E-3</v>
      </c>
      <c r="DD88" s="1111"/>
      <c r="DE88" s="1111"/>
      <c r="DF88" s="1111"/>
      <c r="DG88" s="1111"/>
      <c r="DH88" s="1111"/>
      <c r="DI88" s="1111"/>
      <c r="DJ88" s="1111"/>
      <c r="DK88" s="1111"/>
      <c r="DL88" s="1111"/>
      <c r="DM88" s="1111"/>
      <c r="DN88" s="1111"/>
      <c r="DO88" s="1111"/>
      <c r="DP88" s="1111"/>
      <c r="DQ88" s="1111"/>
      <c r="DR88" s="1111"/>
      <c r="DS88" s="1111"/>
      <c r="DT88" s="1111"/>
      <c r="DU88" s="1111"/>
      <c r="DV88" s="1111"/>
      <c r="DW88" s="1111"/>
      <c r="DX88" s="1111"/>
      <c r="DY88" s="1111"/>
      <c r="DZ88" s="1111">
        <f t="shared" si="127"/>
        <v>1.40033005820737E-2</v>
      </c>
      <c r="EA88" s="1111">
        <f>SUMIFS(NewEmisData!E:E, NewEmisData!$A:$A, $G88, NewEmisData!$B:$B, $A88, NewEmisData!$C:$C, $H88, NewEmisData!$D:$D, EA$6)</f>
        <v>1.40033005820737E-2</v>
      </c>
      <c r="EB88" s="1111">
        <f>SUMIFS(NewEmisData!F:F, NewEmisData!$A:$A, $G88, NewEmisData!$B:$B, $A88, NewEmisData!$C:$C, $H88, NewEmisData!$D:$D, EB$6)</f>
        <v>2.6809761202267801E-2</v>
      </c>
      <c r="EC88" s="1111">
        <f>SUMIFS(NewEmisData!G:G, NewEmisData!$A:$A, $G88, NewEmisData!$B:$B, $A88, NewEmisData!$C:$C, $H88, NewEmisData!$D:$D, EC$6)</f>
        <v>0.106442915223567</v>
      </c>
      <c r="ED88" s="1111">
        <f>SUMIFS(NewEmisData!H:H, NewEmisData!$A:$A, $G88, NewEmisData!$B:$B, $A88, NewEmisData!$C:$C, $H88, NewEmisData!$D:$D, ED$6)</f>
        <v>0.114238711864713</v>
      </c>
      <c r="EE88" s="1111">
        <f>SUMIFS(NewEmisData!I:I, NewEmisData!$A:$A, $G88, NewEmisData!$B:$B, $A88, NewEmisData!$C:$C, $H88, NewEmisData!$D:$D, EE$6)</f>
        <v>0.117878139049751</v>
      </c>
      <c r="EF88" s="1111">
        <f>SUMIFS(NewEmisData!J:J, NewEmisData!$A:$A, $G88, NewEmisData!$B:$B, $A88, NewEmisData!$C:$C, $H88, NewEmisData!$D:$D, EF$6)</f>
        <v>0.117418406823893</v>
      </c>
      <c r="EG88" s="1111">
        <f>SUMIFS(NewEmisData!K:K, NewEmisData!$A:$A, $G88, NewEmisData!$B:$B, $A88, NewEmisData!$C:$C, $H88, NewEmisData!$D:$D, EG$6)</f>
        <v>0.12035326609237</v>
      </c>
      <c r="EH88" s="1111">
        <f>SUMIFS(NewEmisData!L:L, NewEmisData!$A:$A, $G88, NewEmisData!$B:$B, $A88, NewEmisData!$C:$C, $H88, NewEmisData!$D:$D, EH$6)</f>
        <v>0.120291917587136</v>
      </c>
      <c r="EI88" s="1111">
        <f>SUMIFS(NewEmisData!M:M, NewEmisData!$A:$A, $G88, NewEmisData!$B:$B, $A88, NewEmisData!$C:$C, $H88, NewEmisData!$D:$D, EI$6)</f>
        <v>0.120135485992918</v>
      </c>
      <c r="EJ88" s="1111">
        <f t="shared" si="128"/>
        <v>0.120135485992918</v>
      </c>
      <c r="EK88" s="1111">
        <f t="shared" si="129"/>
        <v>1543.98093106499</v>
      </c>
      <c r="EL88" s="1111">
        <f t="shared" si="48"/>
        <v>1543.98093106499</v>
      </c>
      <c r="EM88" s="1111">
        <f t="shared" si="49"/>
        <v>1489.5901194539099</v>
      </c>
      <c r="EN88" s="1111">
        <f t="shared" si="50"/>
        <v>1760.12051639078</v>
      </c>
      <c r="EO88" s="1111">
        <f t="shared" si="51"/>
        <v>1725.691003145</v>
      </c>
      <c r="EP88" s="1111">
        <f t="shared" si="52"/>
        <v>1701.2652234181401</v>
      </c>
      <c r="EQ88" s="1111">
        <f t="shared" si="53"/>
        <v>1689.2419423004101</v>
      </c>
      <c r="ER88" s="1111">
        <f t="shared" si="54"/>
        <v>1686.0310473817101</v>
      </c>
      <c r="ES88" s="1111">
        <f t="shared" si="55"/>
        <v>1684.65387386569</v>
      </c>
      <c r="ET88" s="1111">
        <f t="shared" si="56"/>
        <v>1683.50748414707</v>
      </c>
      <c r="EU88" s="1111">
        <f t="shared" si="57"/>
        <v>1683.50748414707</v>
      </c>
      <c r="EV88" s="1111">
        <f t="shared" si="130"/>
        <v>18.668125395756</v>
      </c>
      <c r="EW88" s="1111">
        <f t="shared" si="38"/>
        <v>18.668125395756</v>
      </c>
      <c r="EX88" s="1111">
        <f t="shared" si="39"/>
        <v>11.1440380927276</v>
      </c>
      <c r="EY88" s="1111">
        <f t="shared" si="40"/>
        <v>5.7829202038421004</v>
      </c>
      <c r="EZ88" s="1111">
        <f t="shared" si="41"/>
        <v>3.20396695130832</v>
      </c>
      <c r="FA88" s="1111">
        <f t="shared" si="42"/>
        <v>2.2740618900591598</v>
      </c>
      <c r="FB88" s="1111">
        <f t="shared" si="43"/>
        <v>1.9371275562897501</v>
      </c>
      <c r="FC88" s="1111">
        <f t="shared" si="44"/>
        <v>1.7456585769951301</v>
      </c>
      <c r="FD88" s="1111">
        <f t="shared" si="45"/>
        <v>1.7403372468815299</v>
      </c>
      <c r="FE88" s="1111">
        <f t="shared" si="46"/>
        <v>1.7389528033933299</v>
      </c>
      <c r="FF88" s="1111">
        <f t="shared" si="47"/>
        <v>1.7389528033933299</v>
      </c>
      <c r="FG88" s="1111">
        <f t="shared" si="100"/>
        <v>3.8389239139431798E-2</v>
      </c>
      <c r="FH88" s="1111">
        <f t="shared" si="101"/>
        <v>3.8389239139431798E-2</v>
      </c>
      <c r="FI88" s="1111">
        <f t="shared" si="102"/>
        <v>3.6761798419934502E-2</v>
      </c>
      <c r="FJ88" s="1111">
        <f t="shared" si="103"/>
        <v>1.4889550958331501E-2</v>
      </c>
      <c r="FK88" s="1111">
        <f t="shared" si="104"/>
        <v>1.4468385512049001E-2</v>
      </c>
      <c r="FL88" s="1111">
        <f t="shared" si="105"/>
        <v>1.4209561374707899E-2</v>
      </c>
      <c r="FM88" s="1111">
        <f t="shared" si="106"/>
        <v>1.41029670885105E-2</v>
      </c>
      <c r="FN88" s="1111">
        <f t="shared" si="107"/>
        <v>1.4056650783011699E-2</v>
      </c>
      <c r="FO88" s="1111">
        <f t="shared" si="108"/>
        <v>1.4045167485360799E-2</v>
      </c>
      <c r="FP88" s="1111">
        <f t="shared" si="109"/>
        <v>1.4035601733995101E-2</v>
      </c>
      <c r="FQ88" s="1111">
        <f t="shared" si="110"/>
        <v>1.4035601733995101E-2</v>
      </c>
      <c r="FR88" s="1111">
        <f t="shared" si="25"/>
        <v>0.78674550377560604</v>
      </c>
      <c r="FS88" s="1111">
        <f t="shared" si="26"/>
        <v>0.78674550377560604</v>
      </c>
      <c r="FT88" s="1111">
        <f t="shared" si="27"/>
        <v>0.59435851753671198</v>
      </c>
      <c r="FU88" s="1111">
        <f t="shared" si="28"/>
        <v>0.48892752894583302</v>
      </c>
      <c r="FV88" s="1111">
        <f t="shared" si="29"/>
        <v>0.40673687636699701</v>
      </c>
      <c r="FW88" s="1111">
        <f t="shared" si="30"/>
        <v>0.37207197997484598</v>
      </c>
      <c r="FX88" s="1111">
        <f t="shared" si="31"/>
        <v>0.366996102766601</v>
      </c>
      <c r="FY88" s="1111">
        <f t="shared" si="32"/>
        <v>0.35822974357450499</v>
      </c>
      <c r="FZ88" s="1111">
        <f t="shared" si="33"/>
        <v>0.35809529827636299</v>
      </c>
      <c r="GA88" s="1111">
        <f t="shared" si="34"/>
        <v>0.358118172842192</v>
      </c>
      <c r="GB88" s="1111">
        <f t="shared" si="35"/>
        <v>0.358118172842192</v>
      </c>
      <c r="GC88" s="1111">
        <f t="shared" si="59"/>
        <v>0.55028448131832597</v>
      </c>
      <c r="GD88" s="1111">
        <f t="shared" si="60"/>
        <v>0.55028448131832597</v>
      </c>
      <c r="GE88" s="1111">
        <f t="shared" si="61"/>
        <v>0.38400745413618897</v>
      </c>
      <c r="GF88" s="1111">
        <f t="shared" si="62"/>
        <v>0.19465121057228399</v>
      </c>
      <c r="GG88" s="1111">
        <f t="shared" si="63"/>
        <v>0.118207278051221</v>
      </c>
      <c r="GH88" s="1111">
        <f t="shared" si="64"/>
        <v>8.6817069306160496E-2</v>
      </c>
      <c r="GI88" s="1111">
        <f t="shared" si="65"/>
        <v>8.22742664951428E-2</v>
      </c>
      <c r="GJ88" s="1111">
        <f t="shared" si="66"/>
        <v>7.4293747941119301E-2</v>
      </c>
      <c r="GK88" s="1111">
        <f t="shared" si="67"/>
        <v>7.4186721872420605E-2</v>
      </c>
      <c r="GL88" s="1111">
        <f t="shared" si="68"/>
        <v>7.4167760380950506E-2</v>
      </c>
      <c r="GM88" s="1111">
        <f t="shared" si="69"/>
        <v>7.4167760380950506E-2</v>
      </c>
    </row>
    <row r="89" spans="1:195" x14ac:dyDescent="0.2">
      <c r="A89" s="1071" t="s">
        <v>186</v>
      </c>
      <c r="B89" s="1071" t="str">
        <f>NewTech!B20</f>
        <v>TBDSLADV</v>
      </c>
      <c r="C89" s="1071" t="str">
        <f>NewTech!C20</f>
        <v>Bus, Advanced Tech Diesel</v>
      </c>
      <c r="D89" s="1071" t="str">
        <f>NewTech!D20</f>
        <v>bn-vmt, bn-vmt/a</v>
      </c>
      <c r="E89" s="1071" t="str">
        <f>NewTech!E20</f>
        <v>TBDSL</v>
      </c>
      <c r="F89" s="1071" t="str">
        <f>NewTech!F20</f>
        <v>TB</v>
      </c>
      <c r="G89" s="1110" t="s">
        <v>498</v>
      </c>
      <c r="H89" s="1110" t="s">
        <v>499</v>
      </c>
      <c r="I89" s="1112">
        <v>1</v>
      </c>
      <c r="J89" s="1111" t="str">
        <f t="shared" si="37"/>
        <v>Bus-DSL</v>
      </c>
      <c r="K89" s="1111">
        <f>SUMIFS(NewEmisData!E:E, NewEmisData!$A:$A, $G89, NewEmisData!$B:$B, $A89, NewEmisData!$C:$C, $H89, NewEmisData!$D:$D, K$6)</f>
        <v>2080.2970890730599</v>
      </c>
      <c r="L89" s="1111">
        <f>SUMIFS(NewEmisData!F:F, NewEmisData!$A:$A, $G89, NewEmisData!$B:$B, $A89, NewEmisData!$C:$C, $H89, NewEmisData!$D:$D, L$6)</f>
        <v>2109.4711930624499</v>
      </c>
      <c r="M89" s="1111">
        <f>SUMIFS(NewEmisData!G:G, NewEmisData!$A:$A, $G89, NewEmisData!$B:$B, $A89, NewEmisData!$C:$C, $H89, NewEmisData!$D:$D, M$6)</f>
        <v>2250.3411144545198</v>
      </c>
      <c r="N89" s="1111">
        <f>SUMIFS(NewEmisData!H:H, NewEmisData!$A:$A, $G89, NewEmisData!$B:$B, $A89, NewEmisData!$C:$C, $H89, NewEmisData!$D:$D, N$6)</f>
        <v>2207.8222571372398</v>
      </c>
      <c r="O89" s="1111">
        <f>SUMIFS(NewEmisData!I:I, NewEmisData!$A:$A, $G89, NewEmisData!$B:$B, $A89, NewEmisData!$C:$C, $H89, NewEmisData!$D:$D, O$6)</f>
        <v>2173.5129182212299</v>
      </c>
      <c r="P89" s="1111">
        <f>SUMIFS(NewEmisData!J:J, NewEmisData!$A:$A, $G89, NewEmisData!$B:$B, $A89, NewEmisData!$C:$C, $H89, NewEmisData!$D:$D, P$6)</f>
        <v>2157.1874680648498</v>
      </c>
      <c r="Q89" s="1111">
        <f>SUMIFS(NewEmisData!K:K, NewEmisData!$A:$A, $G89, NewEmisData!$B:$B, $A89, NewEmisData!$C:$C, $H89, NewEmisData!$D:$D, Q$6)</f>
        <v>2152.6343695246501</v>
      </c>
      <c r="R89" s="1111">
        <f>SUMIFS(NewEmisData!L:L, NewEmisData!$A:$A, $G89, NewEmisData!$B:$B, $A89, NewEmisData!$C:$C, $H89, NewEmisData!$D:$D, R$6)</f>
        <v>2151.1111734661499</v>
      </c>
      <c r="S89" s="1111">
        <f>SUMIFS(NewEmisData!M:M, NewEmisData!$A:$A, $G89, NewEmisData!$B:$B, $A89, NewEmisData!$C:$C, $H89, NewEmisData!$D:$D, S$6)</f>
        <v>2150.6160486070298</v>
      </c>
      <c r="T89" s="1111">
        <f t="shared" ref="T89:T162" si="131">S89</f>
        <v>2150.6160486070298</v>
      </c>
      <c r="U89" s="1111">
        <f>SUMIFS(NewEmisData!E:E, NewEmisData!$A:$A, $G89, NewEmisData!$B:$B, $A89, NewEmisData!$C:$C, $H89, NewEmisData!$D:$D, U$6)</f>
        <v>40.449529533420304</v>
      </c>
      <c r="V89" s="1111">
        <f>SUMIFS(NewEmisData!F:F, NewEmisData!$A:$A, $G89, NewEmisData!$B:$B, $A89, NewEmisData!$C:$C, $H89, NewEmisData!$D:$D, V$6)</f>
        <v>37.425839617300603</v>
      </c>
      <c r="W89" s="1111">
        <f>SUMIFS(NewEmisData!G:G, NewEmisData!$A:$A, $G89, NewEmisData!$B:$B, $A89, NewEmisData!$C:$C, $H89, NewEmisData!$D:$D, W$6)</f>
        <v>6.6428401041299603</v>
      </c>
      <c r="X89" s="1111">
        <f>SUMIFS(NewEmisData!H:H, NewEmisData!$A:$A, $G89, NewEmisData!$B:$B, $A89, NewEmisData!$C:$C, $H89, NewEmisData!$D:$D, X$6)</f>
        <v>3.77567960317164</v>
      </c>
      <c r="Y89" s="1111">
        <f>SUMIFS(NewEmisData!I:I, NewEmisData!$A:$A, $G89, NewEmisData!$B:$B, $A89, NewEmisData!$C:$C, $H89, NewEmisData!$D:$D, Y$6)</f>
        <v>2.6206386180811401</v>
      </c>
      <c r="Z89" s="1111">
        <f>SUMIFS(NewEmisData!J:J, NewEmisData!$A:$A, $G89, NewEmisData!$B:$B, $A89, NewEmisData!$C:$C, $H89, NewEmisData!$D:$D, Z$6)</f>
        <v>2.3009735743661102</v>
      </c>
      <c r="AA89" s="1111">
        <f>SUMIFS(NewEmisData!K:K, NewEmisData!$A:$A, $G89, NewEmisData!$B:$B, $A89, NewEmisData!$C:$C, $H89, NewEmisData!$D:$D, AA$6)</f>
        <v>2.1222500944201301</v>
      </c>
      <c r="AB89" s="1111">
        <f>SUMIFS(NewEmisData!L:L, NewEmisData!$A:$A, $G89, NewEmisData!$B:$B, $A89, NewEmisData!$C:$C, $H89, NewEmisData!$D:$D, AB$6)</f>
        <v>2.1170149680898702</v>
      </c>
      <c r="AC89" s="1111">
        <f>SUMIFS(NewEmisData!M:M, NewEmisData!$A:$A, $G89, NewEmisData!$B:$B, $A89, NewEmisData!$C:$C, $H89, NewEmisData!$D:$D, AC$6)</f>
        <v>2.1153875073054502</v>
      </c>
      <c r="AD89" s="1111">
        <f t="shared" ref="AD89:AD154" si="132">AC89</f>
        <v>2.1153875073054502</v>
      </c>
      <c r="AE89" s="1111">
        <f t="shared" si="113"/>
        <v>5.2255737859281101E-2</v>
      </c>
      <c r="AF89" s="1111">
        <f>SUMIFS(NewEmisData!E:E, NewEmisData!$A:$A, $G89, NewEmisData!$B:$B, $A89, NewEmisData!$C:$C, $H89, NewEmisData!$D:$D, AF$6)</f>
        <v>5.2255737859281101E-2</v>
      </c>
      <c r="AG89" s="1111">
        <f>SUMIFS(NewEmisData!F:F, NewEmisData!$A:$A, $G89, NewEmisData!$B:$B, $A89, NewEmisData!$C:$C, $H89, NewEmisData!$D:$D, AG$6)</f>
        <v>5.2336961474348999E-2</v>
      </c>
      <c r="AH89" s="1111">
        <f>SUMIFS(NewEmisData!G:G, NewEmisData!$A:$A, $G89, NewEmisData!$B:$B, $A89, NewEmisData!$C:$C, $H89, NewEmisData!$D:$D, AH$6)</f>
        <v>1.90120187414001E-2</v>
      </c>
      <c r="AI89" s="1111">
        <f>SUMIFS(NewEmisData!H:H, NewEmisData!$A:$A, $G89, NewEmisData!$B:$B, $A89, NewEmisData!$C:$C, $H89, NewEmisData!$D:$D, AI$6)</f>
        <v>1.84874270200093E-2</v>
      </c>
      <c r="AJ89" s="1111">
        <f>SUMIFS(NewEmisData!I:I, NewEmisData!$A:$A, $G89, NewEmisData!$B:$B, $A89, NewEmisData!$C:$C, $H89, NewEmisData!$D:$D, AJ$6)</f>
        <v>1.8144374000154902E-2</v>
      </c>
      <c r="AK89" s="1111">
        <f>SUMIFS(NewEmisData!J:J, NewEmisData!$A:$A, $G89, NewEmisData!$B:$B, $A89, NewEmisData!$C:$C, $H89, NewEmisData!$D:$D, AK$6)</f>
        <v>1.7999854067365699E-2</v>
      </c>
      <c r="AL89" s="1111">
        <f>SUMIFS(NewEmisData!K:K, NewEmisData!$A:$A, $G89, NewEmisData!$B:$B, $A89, NewEmisData!$C:$C, $H89, NewEmisData!$D:$D, AL$6)</f>
        <v>1.7946771342725602E-2</v>
      </c>
      <c r="AM89" s="1111">
        <f>SUMIFS(NewEmisData!L:L, NewEmisData!$A:$A, $G89, NewEmisData!$B:$B, $A89, NewEmisData!$C:$C, $H89, NewEmisData!$D:$D, AM$6)</f>
        <v>1.7934071003801701E-2</v>
      </c>
      <c r="AN89" s="1111">
        <f>SUMIFS(NewEmisData!M:M, NewEmisData!$A:$A, $G89, NewEmisData!$B:$B, $A89, NewEmisData!$C:$C, $H89, NewEmisData!$D:$D, AN$6)</f>
        <v>1.79299478743845E-2</v>
      </c>
      <c r="AO89" s="1111">
        <f t="shared" si="114"/>
        <v>1.79299478743845E-2</v>
      </c>
      <c r="AP89" s="1111">
        <f t="shared" si="115"/>
        <v>3.1140708935215899</v>
      </c>
      <c r="AQ89" s="1111">
        <f>SUMIFS(NewEmisData!E:E, NewEmisData!$A:$A, $G89, NewEmisData!$B:$B, $A89, NewEmisData!$C:$C, $H89, NewEmisData!$D:$D, AQ$6)</f>
        <v>3.1140708935215899</v>
      </c>
      <c r="AR89" s="1111">
        <f>SUMIFS(NewEmisData!F:F, NewEmisData!$A:$A, $G89, NewEmisData!$B:$B, $A89, NewEmisData!$C:$C, $H89, NewEmisData!$D:$D, AR$6)</f>
        <v>2.8847204358426501</v>
      </c>
      <c r="AS89" s="1111">
        <f>SUMIFS(NewEmisData!G:G, NewEmisData!$A:$A, $G89, NewEmisData!$B:$B, $A89, NewEmisData!$C:$C, $H89, NewEmisData!$D:$D, AS$6)</f>
        <v>0.74809443085481597</v>
      </c>
      <c r="AT89" s="1111">
        <f>SUMIFS(NewEmisData!H:H, NewEmisData!$A:$A, $G89, NewEmisData!$B:$B, $A89, NewEmisData!$C:$C, $H89, NewEmisData!$D:$D, AT$6)</f>
        <v>0.62015789663876097</v>
      </c>
      <c r="AU89" s="1111">
        <f>SUMIFS(NewEmisData!I:I, NewEmisData!$A:$A, $G89, NewEmisData!$B:$B, $A89, NewEmisData!$C:$C, $H89, NewEmisData!$D:$D, AU$6)</f>
        <v>0.57506450514365803</v>
      </c>
      <c r="AV89" s="1111">
        <f>SUMIFS(NewEmisData!J:J, NewEmisData!$A:$A, $G89, NewEmisData!$B:$B, $A89, NewEmisData!$C:$C, $H89, NewEmisData!$D:$D, AV$6)</f>
        <v>0.56761442636626203</v>
      </c>
      <c r="AW89" s="1111">
        <f>SUMIFS(NewEmisData!K:K, NewEmisData!$A:$A, $G89, NewEmisData!$B:$B, $A89, NewEmisData!$C:$C, $H89, NewEmisData!$D:$D, AW$6)</f>
        <v>0.55955127050834697</v>
      </c>
      <c r="AX89" s="1111">
        <f>SUMIFS(NewEmisData!L:L, NewEmisData!$A:$A, $G89, NewEmisData!$B:$B, $A89, NewEmisData!$C:$C, $H89, NewEmisData!$D:$D, AX$6)</f>
        <v>0.55939324929766499</v>
      </c>
      <c r="AY89" s="1111">
        <f>SUMIFS(NewEmisData!M:M, NewEmisData!$A:$A, $G89, NewEmisData!$B:$B, $A89, NewEmisData!$C:$C, $H89, NewEmisData!$D:$D, AY$6)</f>
        <v>0.55957008556142196</v>
      </c>
      <c r="AZ89" s="1111">
        <f t="shared" si="116"/>
        <v>0.55957008556142196</v>
      </c>
      <c r="BA89" s="1111">
        <f t="shared" si="117"/>
        <v>2.5303145316281501</v>
      </c>
      <c r="BB89" s="1111">
        <f>SUMIFS(NewEmisData!E:E, NewEmisData!$A:$A, $G89, NewEmisData!$B:$B, $A89, NewEmisData!$C:$C, $H89, NewEmisData!$D:$D, BB$6)</f>
        <v>2.5303145316281501</v>
      </c>
      <c r="BC89" s="1111">
        <f>SUMIFS(NewEmisData!F:F, NewEmisData!$A:$A, $G89, NewEmisData!$B:$B, $A89, NewEmisData!$C:$C, $H89, NewEmisData!$D:$D, BC$6)</f>
        <v>2.3086681022657398</v>
      </c>
      <c r="BD89" s="1111">
        <f>SUMIFS(NewEmisData!G:G, NewEmisData!$A:$A, $G89, NewEmisData!$B:$B, $A89, NewEmisData!$C:$C, $H89, NewEmisData!$D:$D, BD$6)</f>
        <v>0.28378444504223299</v>
      </c>
      <c r="BE89" s="1111">
        <f>SUMIFS(NewEmisData!H:H, NewEmisData!$A:$A, $G89, NewEmisData!$B:$B, $A89, NewEmisData!$C:$C, $H89, NewEmisData!$D:$D, BE$6)</f>
        <v>0.16305711430309899</v>
      </c>
      <c r="BF89" s="1111">
        <f>SUMIFS(NewEmisData!I:I, NewEmisData!$A:$A, $G89, NewEmisData!$B:$B, $A89, NewEmisData!$C:$C, $H89, NewEmisData!$D:$D, BF$6)</f>
        <v>0.12268206574598001</v>
      </c>
      <c r="BG89" s="1111">
        <f>SUMIFS(NewEmisData!J:J, NewEmisData!$A:$A, $G89, NewEmisData!$B:$B, $A89, NewEmisData!$C:$C, $H89, NewEmisData!$D:$D, BG$6)</f>
        <v>0.11582611815709799</v>
      </c>
      <c r="BH89" s="1111">
        <f>SUMIFS(NewEmisData!K:K, NewEmisData!$A:$A, $G89, NewEmisData!$B:$B, $A89, NewEmisData!$C:$C, $H89, NewEmisData!$D:$D, BH$6)</f>
        <v>0.108668011205409</v>
      </c>
      <c r="BI89" s="1111">
        <f>SUMIFS(NewEmisData!L:L, NewEmisData!$A:$A, $G89, NewEmisData!$B:$B, $A89, NewEmisData!$C:$C, $H89, NewEmisData!$D:$D, BI$6)</f>
        <v>0.108570916199558</v>
      </c>
      <c r="BJ89" s="1111">
        <f>SUMIFS(NewEmisData!M:M, NewEmisData!$A:$A, $G89, NewEmisData!$B:$B, $A89, NewEmisData!$C:$C, $H89, NewEmisData!$D:$D, BJ$6)</f>
        <v>0.108581014611937</v>
      </c>
      <c r="BK89" s="1111">
        <f t="shared" si="118"/>
        <v>0.108581014611937</v>
      </c>
      <c r="BL89" s="1111">
        <f t="shared" si="119"/>
        <v>11.394784821519901</v>
      </c>
      <c r="BM89" s="1111">
        <f>SUMIFS(NewEmisData!E:E, NewEmisData!$A:$A, $G89, NewEmisData!$B:$B, $A89, NewEmisData!$C:$C, $H89, NewEmisData!$D:$D, BM$6)</f>
        <v>11.394784821519901</v>
      </c>
      <c r="BN89" s="1111">
        <f>SUMIFS(NewEmisData!F:F, NewEmisData!$A:$A, $G89, NewEmisData!$B:$B, $A89, NewEmisData!$C:$C, $H89, NewEmisData!$D:$D, BN$6)</f>
        <v>10.6563815549337</v>
      </c>
      <c r="BO89" s="1111">
        <f>SUMIFS(NewEmisData!G:G, NewEmisData!$A:$A, $G89, NewEmisData!$B:$B, $A89, NewEmisData!$C:$C, $H89, NewEmisData!$D:$D, BO$6)</f>
        <v>2.5217312345554999</v>
      </c>
      <c r="BP89" s="1111">
        <f>SUMIFS(NewEmisData!H:H, NewEmisData!$A:$A, $G89, NewEmisData!$B:$B, $A89, NewEmisData!$C:$C, $H89, NewEmisData!$D:$D, BP$6)</f>
        <v>1.32179357333326</v>
      </c>
      <c r="BQ89" s="1111">
        <f>SUMIFS(NewEmisData!I:I, NewEmisData!$A:$A, $G89, NewEmisData!$B:$B, $A89, NewEmisData!$C:$C, $H89, NewEmisData!$D:$D, BQ$6)</f>
        <v>1.08738121961483</v>
      </c>
      <c r="BR89" s="1111">
        <f>SUMIFS(NewEmisData!J:J, NewEmisData!$A:$A, $G89, NewEmisData!$B:$B, $A89, NewEmisData!$C:$C, $H89, NewEmisData!$D:$D, BR$6)</f>
        <v>0.93269004563424096</v>
      </c>
      <c r="BS89" s="1111">
        <f>SUMIFS(NewEmisData!K:K, NewEmisData!$A:$A, $G89, NewEmisData!$B:$B, $A89, NewEmisData!$C:$C, $H89, NewEmisData!$D:$D, BS$6)</f>
        <v>0.871599531751862</v>
      </c>
      <c r="BT89" s="1111">
        <f>SUMIFS(NewEmisData!L:L, NewEmisData!$A:$A, $G89, NewEmisData!$B:$B, $A89, NewEmisData!$C:$C, $H89, NewEmisData!$D:$D, BT$6)</f>
        <v>0.87139254201649397</v>
      </c>
      <c r="BU89" s="1111">
        <f>SUMIFS(NewEmisData!M:M, NewEmisData!$A:$A, $G89, NewEmisData!$B:$B, $A89, NewEmisData!$C:$C, $H89, NewEmisData!$D:$D, BU$6)</f>
        <v>0.870328181669625</v>
      </c>
      <c r="BV89" s="1111">
        <f t="shared" si="120"/>
        <v>0.870328181669625</v>
      </c>
      <c r="BW89" s="1111">
        <f t="shared" si="121"/>
        <v>2.3752781774376901</v>
      </c>
      <c r="BX89" s="1111">
        <f>SUMIFS(NewEmisData!E:E, NewEmisData!$A:$A, $G89, NewEmisData!$B:$B, $A89, NewEmisData!$C:$C, $H89, NewEmisData!$D:$D, BX$6)</f>
        <v>2.3752781774376901</v>
      </c>
      <c r="BY89" s="1111">
        <f>SUMIFS(NewEmisData!F:F, NewEmisData!$A:$A, $G89, NewEmisData!$B:$B, $A89, NewEmisData!$C:$C, $H89, NewEmisData!$D:$D, BY$6)</f>
        <v>2.1942926985453299</v>
      </c>
      <c r="BZ89" s="1111">
        <f>SUMIFS(NewEmisData!G:G, NewEmisData!$A:$A, $G89, NewEmisData!$B:$B, $A89, NewEmisData!$C:$C, $H89, NewEmisData!$D:$D, BZ$6)</f>
        <v>0.59763355306084598</v>
      </c>
      <c r="CA89" s="1111">
        <f>SUMIFS(NewEmisData!H:H, NewEmisData!$A:$A, $G89, NewEmisData!$B:$B, $A89, NewEmisData!$C:$C, $H89, NewEmisData!$D:$D, CA$6)</f>
        <v>0.29137621139391601</v>
      </c>
      <c r="CB89" s="1111">
        <f>SUMIFS(NewEmisData!I:I, NewEmisData!$A:$A, $G89, NewEmisData!$B:$B, $A89, NewEmisData!$C:$C, $H89, NewEmisData!$D:$D, CB$6)</f>
        <v>0.200801002522528</v>
      </c>
      <c r="CC89" s="1111">
        <f>SUMIFS(NewEmisData!J:J, NewEmisData!$A:$A, $G89, NewEmisData!$B:$B, $A89, NewEmisData!$C:$C, $H89, NewEmisData!$D:$D, CC$6)</f>
        <v>0.17642712606932701</v>
      </c>
      <c r="CD89" s="1111">
        <f>SUMIFS(NewEmisData!K:K, NewEmisData!$A:$A, $G89, NewEmisData!$B:$B, $A89, NewEmisData!$C:$C, $H89, NewEmisData!$D:$D, CD$6)</f>
        <v>0.151845237690554</v>
      </c>
      <c r="CE89" s="1111">
        <f>SUMIFS(NewEmisData!L:L, NewEmisData!$A:$A, $G89, NewEmisData!$B:$B, $A89, NewEmisData!$C:$C, $H89, NewEmisData!$D:$D, CE$6)</f>
        <v>0.15173882312273401</v>
      </c>
      <c r="CF89" s="1111">
        <f>SUMIFS(NewEmisData!M:M, NewEmisData!$A:$A, $G89, NewEmisData!$B:$B, $A89, NewEmisData!$C:$C, $H89, NewEmisData!$D:$D, CF$6)</f>
        <v>0.15169469158436399</v>
      </c>
      <c r="CG89" s="1111">
        <f t="shared" si="122"/>
        <v>0.15169469158436399</v>
      </c>
      <c r="CH89" s="1111">
        <f t="shared" si="123"/>
        <v>3.4941772828006E-2</v>
      </c>
      <c r="CI89" s="1111">
        <f>SUMIFS(NewEmisData!E:E, NewEmisData!$A:$A, $G89, NewEmisData!$B:$B, $A89, NewEmisData!$C:$C, $H89, NewEmisData!$D:$D, CI$6)</f>
        <v>3.4941772828006E-2</v>
      </c>
      <c r="CJ89" s="1111">
        <f>SUMIFS(NewEmisData!F:F, NewEmisData!$A:$A, $G89, NewEmisData!$B:$B, $A89, NewEmisData!$C:$C, $H89, NewEmisData!$D:$D, CJ$6)</f>
        <v>3.50217450182281E-2</v>
      </c>
      <c r="CK89" s="1111">
        <f>SUMIFS(NewEmisData!G:G, NewEmisData!$A:$A, $G89, NewEmisData!$B:$B, $A89, NewEmisData!$C:$C, $H89, NewEmisData!$D:$D, CK$6)</f>
        <v>3.9477724835296803E-2</v>
      </c>
      <c r="CL89" s="1111">
        <f>SUMIFS(NewEmisData!H:H, NewEmisData!$A:$A, $G89, NewEmisData!$B:$B, $A89, NewEmisData!$C:$C, $H89, NewEmisData!$D:$D, CL$6)</f>
        <v>3.9528644727434697E-2</v>
      </c>
      <c r="CM89" s="1111">
        <f>SUMIFS(NewEmisData!I:I, NewEmisData!$A:$A, $G89, NewEmisData!$B:$B, $A89, NewEmisData!$C:$C, $H89, NewEmisData!$D:$D, CM$6)</f>
        <v>3.95085168774486E-2</v>
      </c>
      <c r="CN89" s="1111">
        <f>SUMIFS(NewEmisData!J:J, NewEmisData!$A:$A, $G89, NewEmisData!$B:$B, $A89, NewEmisData!$C:$C, $H89, NewEmisData!$D:$D, CN$6)</f>
        <v>3.9508343326223903E-2</v>
      </c>
      <c r="CO89" s="1111">
        <f>SUMIFS(NewEmisData!K:K, NewEmisData!$A:$A, $G89, NewEmisData!$B:$B, $A89, NewEmisData!$C:$C, $H89, NewEmisData!$D:$D, CO$6)</f>
        <v>3.9503822065767399E-2</v>
      </c>
      <c r="CP89" s="1111">
        <f>SUMIFS(NewEmisData!L:L, NewEmisData!$A:$A, $G89, NewEmisData!$B:$B, $A89, NewEmisData!$C:$C, $H89, NewEmisData!$D:$D, CP$6)</f>
        <v>3.9502771622416701E-2</v>
      </c>
      <c r="CQ89" s="1111">
        <f>SUMIFS(NewEmisData!M:M, NewEmisData!$A:$A, $G89, NewEmisData!$B:$B, $A89, NewEmisData!$C:$C, $H89, NewEmisData!$D:$D, CQ$6)</f>
        <v>3.9505510322833698E-2</v>
      </c>
      <c r="CR89" s="1111">
        <f t="shared" si="124"/>
        <v>3.9505510322833698E-2</v>
      </c>
      <c r="CS89" s="1111">
        <f t="shared" si="125"/>
        <v>6.6012209147156302E-3</v>
      </c>
      <c r="CT89" s="1111">
        <f>SUMIFS(NewEmisData!E:E, NewEmisData!$A:$A, $G89, NewEmisData!$B:$B, $A89, NewEmisData!$C:$C, $H89, NewEmisData!$D:$D, CT$6)</f>
        <v>6.6012209147156302E-3</v>
      </c>
      <c r="CU89" s="1111">
        <f>SUMIFS(NewEmisData!F:F, NewEmisData!$A:$A, $G89, NewEmisData!$B:$B, $A89, NewEmisData!$C:$C, $H89, NewEmisData!$D:$D, CU$6)</f>
        <v>6.4073594557178398E-3</v>
      </c>
      <c r="CV89" s="1111">
        <f>SUMIFS(NewEmisData!G:G, NewEmisData!$A:$A, $G89, NewEmisData!$B:$B, $A89, NewEmisData!$C:$C, $H89, NewEmisData!$D:$D, CV$6)</f>
        <v>7.1648137678451997E-3</v>
      </c>
      <c r="CW89" s="1111">
        <f>SUMIFS(NewEmisData!H:H, NewEmisData!$A:$A, $G89, NewEmisData!$B:$B, $A89, NewEmisData!$C:$C, $H89, NewEmisData!$D:$D, CW$6)</f>
        <v>7.1602087071173399E-3</v>
      </c>
      <c r="CX89" s="1111">
        <f>SUMIFS(NewEmisData!I:I, NewEmisData!$A:$A, $G89, NewEmisData!$B:$B, $A89, NewEmisData!$C:$C, $H89, NewEmisData!$D:$D, CX$6)</f>
        <v>7.16455163233476E-3</v>
      </c>
      <c r="CY89" s="1111">
        <f>SUMIFS(NewEmisData!J:J, NewEmisData!$A:$A, $G89, NewEmisData!$B:$B, $A89, NewEmisData!$C:$C, $H89, NewEmisData!$D:$D, CY$6)</f>
        <v>7.1645367912074997E-3</v>
      </c>
      <c r="CZ89" s="1111">
        <f>SUMIFS(NewEmisData!K:K, NewEmisData!$A:$A, $G89, NewEmisData!$B:$B, $A89, NewEmisData!$C:$C, $H89, NewEmisData!$D:$D, CZ$6)</f>
        <v>7.1656509510186596E-3</v>
      </c>
      <c r="DA89" s="1111">
        <f>SUMIFS(NewEmisData!L:L, NewEmisData!$A:$A, $G89, NewEmisData!$B:$B, $A89, NewEmisData!$C:$C, $H89, NewEmisData!$D:$D, DA$6)</f>
        <v>7.1659123166224799E-3</v>
      </c>
      <c r="DB89" s="1111">
        <f>SUMIFS(NewEmisData!M:M, NewEmisData!$A:$A, $G89, NewEmisData!$B:$B, $A89, NewEmisData!$C:$C, $H89, NewEmisData!$D:$D, DB$6)</f>
        <v>7.1650737318779897E-3</v>
      </c>
      <c r="DC89" s="1111">
        <f t="shared" si="126"/>
        <v>7.1650737318779897E-3</v>
      </c>
      <c r="DD89" s="1111"/>
      <c r="DE89" s="1111"/>
      <c r="DF89" s="1111"/>
      <c r="DG89" s="1111"/>
      <c r="DH89" s="1111"/>
      <c r="DI89" s="1111"/>
      <c r="DJ89" s="1111"/>
      <c r="DK89" s="1111"/>
      <c r="DL89" s="1111"/>
      <c r="DM89" s="1111"/>
      <c r="DN89" s="1111"/>
      <c r="DO89" s="1111"/>
      <c r="DP89" s="1111"/>
      <c r="DQ89" s="1111"/>
      <c r="DR89" s="1111"/>
      <c r="DS89" s="1111"/>
      <c r="DT89" s="1111"/>
      <c r="DU89" s="1111"/>
      <c r="DV89" s="1111"/>
      <c r="DW89" s="1111"/>
      <c r="DX89" s="1111"/>
      <c r="DY89" s="1111"/>
      <c r="DZ89" s="1111">
        <f t="shared" si="127"/>
        <v>1.10654250023199E-2</v>
      </c>
      <c r="EA89" s="1111">
        <f>SUMIFS(NewEmisData!E:E, NewEmisData!$A:$A, $G89, NewEmisData!$B:$B, $A89, NewEmisData!$C:$C, $H89, NewEmisData!$D:$D, EA$6)</f>
        <v>1.10654250023199E-2</v>
      </c>
      <c r="EB89" s="1111">
        <f>SUMIFS(NewEmisData!F:F, NewEmisData!$A:$A, $G89, NewEmisData!$B:$B, $A89, NewEmisData!$C:$C, $H89, NewEmisData!$D:$D, EB$6)</f>
        <v>3.5717908538474501E-2</v>
      </c>
      <c r="EC89" s="1111">
        <f>SUMIFS(NewEmisData!G:G, NewEmisData!$A:$A, $G89, NewEmisData!$B:$B, $A89, NewEmisData!$C:$C, $H89, NewEmisData!$D:$D, EC$6)</f>
        <v>0.116951384194715</v>
      </c>
      <c r="ED89" s="1111">
        <f>SUMIFS(NewEmisData!H:H, NewEmisData!$A:$A, $G89, NewEmisData!$B:$B, $A89, NewEmisData!$C:$C, $H89, NewEmisData!$D:$D, ED$6)</f>
        <v>0.12541769151994001</v>
      </c>
      <c r="EE89" s="1111">
        <f>SUMIFS(NewEmisData!I:I, NewEmisData!$A:$A, $G89, NewEmisData!$B:$B, $A89, NewEmisData!$C:$C, $H89, NewEmisData!$D:$D, EE$6)</f>
        <v>0.12528032512760801</v>
      </c>
      <c r="EF89" s="1111">
        <f>SUMIFS(NewEmisData!J:J, NewEmisData!$A:$A, $G89, NewEmisData!$B:$B, $A89, NewEmisData!$C:$C, $H89, NewEmisData!$D:$D, EF$6)</f>
        <v>0.124793701298803</v>
      </c>
      <c r="EG89" s="1111">
        <f>SUMIFS(NewEmisData!K:K, NewEmisData!$A:$A, $G89, NewEmisData!$B:$B, $A89, NewEmisData!$C:$C, $H89, NewEmisData!$D:$D, EG$6)</f>
        <v>0.126229069683536</v>
      </c>
      <c r="EH89" s="1111">
        <f>SUMIFS(NewEmisData!L:L, NewEmisData!$A:$A, $G89, NewEmisData!$B:$B, $A89, NewEmisData!$C:$C, $H89, NewEmisData!$D:$D, EH$6)</f>
        <v>0.126140757204284</v>
      </c>
      <c r="EI89" s="1111">
        <f>SUMIFS(NewEmisData!M:M, NewEmisData!$A:$A, $G89, NewEmisData!$B:$B, $A89, NewEmisData!$C:$C, $H89, NewEmisData!$D:$D, EI$6)</f>
        <v>0.126101847596616</v>
      </c>
      <c r="EJ89" s="1111">
        <f t="shared" si="128"/>
        <v>0.126101847596616</v>
      </c>
      <c r="EK89" s="1111">
        <f t="shared" si="129"/>
        <v>2080.2970890730599</v>
      </c>
      <c r="EL89" s="1111">
        <f t="shared" si="48"/>
        <v>2080.2970890730599</v>
      </c>
      <c r="EM89" s="1111">
        <f t="shared" si="49"/>
        <v>2109.4711930624499</v>
      </c>
      <c r="EN89" s="1111">
        <f t="shared" si="50"/>
        <v>2250.3411144545198</v>
      </c>
      <c r="EO89" s="1111">
        <f t="shared" si="51"/>
        <v>2207.8222571372398</v>
      </c>
      <c r="EP89" s="1111">
        <f t="shared" si="52"/>
        <v>2173.5129182212299</v>
      </c>
      <c r="EQ89" s="1111">
        <f t="shared" si="53"/>
        <v>2157.1874680648498</v>
      </c>
      <c r="ER89" s="1111">
        <f t="shared" si="54"/>
        <v>2152.6343695246501</v>
      </c>
      <c r="ES89" s="1111">
        <f t="shared" si="55"/>
        <v>2151.1111734661499</v>
      </c>
      <c r="ET89" s="1111">
        <f t="shared" si="56"/>
        <v>2150.6160486070298</v>
      </c>
      <c r="EU89" s="1111">
        <f t="shared" si="57"/>
        <v>2150.6160486070298</v>
      </c>
      <c r="EV89" s="1111">
        <f t="shared" si="130"/>
        <v>40.449529533420304</v>
      </c>
      <c r="EW89" s="1111">
        <f t="shared" si="38"/>
        <v>40.449529533420304</v>
      </c>
      <c r="EX89" s="1111">
        <f t="shared" si="39"/>
        <v>37.425839617300603</v>
      </c>
      <c r="EY89" s="1111">
        <f t="shared" si="40"/>
        <v>6.6428401041299603</v>
      </c>
      <c r="EZ89" s="1111">
        <f t="shared" si="41"/>
        <v>3.77567960317164</v>
      </c>
      <c r="FA89" s="1111">
        <f t="shared" si="42"/>
        <v>2.6206386180811401</v>
      </c>
      <c r="FB89" s="1111">
        <f t="shared" si="43"/>
        <v>2.3009735743661102</v>
      </c>
      <c r="FC89" s="1111">
        <f t="shared" si="44"/>
        <v>2.1222500944201301</v>
      </c>
      <c r="FD89" s="1111">
        <f t="shared" si="45"/>
        <v>2.1170149680898702</v>
      </c>
      <c r="FE89" s="1111">
        <f t="shared" si="46"/>
        <v>2.1153875073054502</v>
      </c>
      <c r="FF89" s="1111">
        <f t="shared" si="47"/>
        <v>2.1153875073054502</v>
      </c>
      <c r="FG89" s="1111">
        <f t="shared" si="100"/>
        <v>5.2255737859281101E-2</v>
      </c>
      <c r="FH89" s="1111">
        <f t="shared" si="101"/>
        <v>5.2255737859281101E-2</v>
      </c>
      <c r="FI89" s="1111">
        <f t="shared" si="102"/>
        <v>5.2336961474348999E-2</v>
      </c>
      <c r="FJ89" s="1111">
        <f t="shared" si="103"/>
        <v>1.90120187414001E-2</v>
      </c>
      <c r="FK89" s="1111">
        <f t="shared" si="104"/>
        <v>1.84874270200093E-2</v>
      </c>
      <c r="FL89" s="1111">
        <f t="shared" si="105"/>
        <v>1.8144374000154902E-2</v>
      </c>
      <c r="FM89" s="1111">
        <f t="shared" si="106"/>
        <v>1.7999854067365699E-2</v>
      </c>
      <c r="FN89" s="1111">
        <f t="shared" si="107"/>
        <v>1.7946771342725602E-2</v>
      </c>
      <c r="FO89" s="1111">
        <f t="shared" si="108"/>
        <v>1.7934071003801701E-2</v>
      </c>
      <c r="FP89" s="1111">
        <f t="shared" si="109"/>
        <v>1.79299478743845E-2</v>
      </c>
      <c r="FQ89" s="1111">
        <f t="shared" si="110"/>
        <v>1.79299478743845E-2</v>
      </c>
      <c r="FR89" s="1111">
        <f t="shared" ref="FR89:FR154" si="133">AP89</f>
        <v>3.1140708935215899</v>
      </c>
      <c r="FS89" s="1111">
        <f t="shared" ref="FS89:FS154" si="134">AQ89</f>
        <v>3.1140708935215899</v>
      </c>
      <c r="FT89" s="1111">
        <f t="shared" ref="FT89:FT154" si="135">AR89</f>
        <v>2.8847204358426501</v>
      </c>
      <c r="FU89" s="1111">
        <f t="shared" ref="FU89:FU154" si="136">AS89</f>
        <v>0.74809443085481597</v>
      </c>
      <c r="FV89" s="1111">
        <f t="shared" ref="FV89:FV154" si="137">AT89</f>
        <v>0.62015789663876097</v>
      </c>
      <c r="FW89" s="1111">
        <f t="shared" ref="FW89:FW154" si="138">AU89</f>
        <v>0.57506450514365803</v>
      </c>
      <c r="FX89" s="1111">
        <f t="shared" ref="FX89:FX154" si="139">AV89</f>
        <v>0.56761442636626203</v>
      </c>
      <c r="FY89" s="1111">
        <f t="shared" ref="FY89:FY154" si="140">AW89</f>
        <v>0.55955127050834697</v>
      </c>
      <c r="FZ89" s="1111">
        <f t="shared" ref="FZ89:FZ154" si="141">AX89</f>
        <v>0.55939324929766499</v>
      </c>
      <c r="GA89" s="1111">
        <f t="shared" ref="GA89:GA154" si="142">AY89</f>
        <v>0.55957008556142196</v>
      </c>
      <c r="GB89" s="1111">
        <f t="shared" ref="GB89:GB154" si="143">AZ89</f>
        <v>0.55957008556142196</v>
      </c>
      <c r="GC89" s="1111">
        <f t="shared" si="59"/>
        <v>2.5303145316281501</v>
      </c>
      <c r="GD89" s="1111">
        <f t="shared" si="60"/>
        <v>2.5303145316281501</v>
      </c>
      <c r="GE89" s="1111">
        <f t="shared" si="61"/>
        <v>2.3086681022657398</v>
      </c>
      <c r="GF89" s="1111">
        <f t="shared" si="62"/>
        <v>0.28378444504223299</v>
      </c>
      <c r="GG89" s="1111">
        <f t="shared" si="63"/>
        <v>0.16305711430309899</v>
      </c>
      <c r="GH89" s="1111">
        <f t="shared" si="64"/>
        <v>0.12268206574598001</v>
      </c>
      <c r="GI89" s="1111">
        <f t="shared" si="65"/>
        <v>0.11582611815709799</v>
      </c>
      <c r="GJ89" s="1111">
        <f t="shared" si="66"/>
        <v>0.108668011205409</v>
      </c>
      <c r="GK89" s="1111">
        <f t="shared" si="67"/>
        <v>0.108570916199558</v>
      </c>
      <c r="GL89" s="1111">
        <f t="shared" si="68"/>
        <v>0.108581014611937</v>
      </c>
      <c r="GM89" s="1111">
        <f t="shared" si="69"/>
        <v>0.108581014611937</v>
      </c>
    </row>
    <row r="90" spans="1:195" x14ac:dyDescent="0.2">
      <c r="A90" s="1071" t="s">
        <v>188</v>
      </c>
      <c r="B90" s="1071" t="str">
        <f>NewTech!B20</f>
        <v>TBDSLADV</v>
      </c>
      <c r="C90" s="1071" t="str">
        <f>NewTech!C20</f>
        <v>Bus, Advanced Tech Diesel</v>
      </c>
      <c r="D90" s="1071" t="str">
        <f>NewTech!D20</f>
        <v>bn-vmt, bn-vmt/a</v>
      </c>
      <c r="E90" s="1071" t="str">
        <f>NewTech!E20</f>
        <v>TBDSL</v>
      </c>
      <c r="F90" s="1071" t="str">
        <f>NewTech!F20</f>
        <v>TB</v>
      </c>
      <c r="G90" s="1110" t="s">
        <v>498</v>
      </c>
      <c r="H90" s="1110" t="s">
        <v>499</v>
      </c>
      <c r="I90" s="1112">
        <v>1</v>
      </c>
      <c r="J90" s="1111" t="str">
        <f t="shared" si="37"/>
        <v>Bus-DSL</v>
      </c>
      <c r="K90" s="1111">
        <f>SUMIFS(NewEmisData!E:E, NewEmisData!$A:$A, $G90, NewEmisData!$B:$B, $A90, NewEmisData!$C:$C, $H90, NewEmisData!$D:$D, K$6)</f>
        <v>1490.2976816476501</v>
      </c>
      <c r="L90" s="1111">
        <f>SUMIFS(NewEmisData!F:F, NewEmisData!$A:$A, $G90, NewEmisData!$B:$B, $A90, NewEmisData!$C:$C, $H90, NewEmisData!$D:$D, L$6)</f>
        <v>1626.84882020706</v>
      </c>
      <c r="M90" s="1111">
        <f>SUMIFS(NewEmisData!G:G, NewEmisData!$A:$A, $G90, NewEmisData!$B:$B, $A90, NewEmisData!$C:$C, $H90, NewEmisData!$D:$D, M$6)</f>
        <v>1458.6179661731101</v>
      </c>
      <c r="N90" s="1111">
        <f>SUMIFS(NewEmisData!H:H, NewEmisData!$A:$A, $G90, NewEmisData!$B:$B, $A90, NewEmisData!$C:$C, $H90, NewEmisData!$D:$D, N$6)</f>
        <v>1416.37770823441</v>
      </c>
      <c r="O90" s="1111">
        <f>SUMIFS(NewEmisData!I:I, NewEmisData!$A:$A, $G90, NewEmisData!$B:$B, $A90, NewEmisData!$C:$C, $H90, NewEmisData!$D:$D, O$6)</f>
        <v>1353.32178885294</v>
      </c>
      <c r="P90" s="1111">
        <f>SUMIFS(NewEmisData!J:J, NewEmisData!$A:$A, $G90, NewEmisData!$B:$B, $A90, NewEmisData!$C:$C, $H90, NewEmisData!$D:$D, P$6)</f>
        <v>1322.46976433435</v>
      </c>
      <c r="Q90" s="1111">
        <f>SUMIFS(NewEmisData!K:K, NewEmisData!$A:$A, $G90, NewEmisData!$B:$B, $A90, NewEmisData!$C:$C, $H90, NewEmisData!$D:$D, Q$6)</f>
        <v>1318.4113892753701</v>
      </c>
      <c r="R90" s="1111">
        <f>SUMIFS(NewEmisData!L:L, NewEmisData!$A:$A, $G90, NewEmisData!$B:$B, $A90, NewEmisData!$C:$C, $H90, NewEmisData!$D:$D, R$6)</f>
        <v>1317.4103236998201</v>
      </c>
      <c r="S90" s="1111">
        <f>SUMIFS(NewEmisData!M:M, NewEmisData!$A:$A, $G90, NewEmisData!$B:$B, $A90, NewEmisData!$C:$C, $H90, NewEmisData!$D:$D, S$6)</f>
        <v>1317.2762015215601</v>
      </c>
      <c r="T90" s="1111">
        <f t="shared" si="131"/>
        <v>1317.2762015215601</v>
      </c>
      <c r="U90" s="1111">
        <f>SUMIFS(NewEmisData!E:E, NewEmisData!$A:$A, $G90, NewEmisData!$B:$B, $A90, NewEmisData!$C:$C, $H90, NewEmisData!$D:$D, U$6)</f>
        <v>11.691833793473601</v>
      </c>
      <c r="V90" s="1111">
        <f>SUMIFS(NewEmisData!F:F, NewEmisData!$A:$A, $G90, NewEmisData!$B:$B, $A90, NewEmisData!$C:$C, $H90, NewEmisData!$D:$D, V$6)</f>
        <v>5.3676771149688802</v>
      </c>
      <c r="W90" s="1111">
        <f>SUMIFS(NewEmisData!G:G, NewEmisData!$A:$A, $G90, NewEmisData!$B:$B, $A90, NewEmisData!$C:$C, $H90, NewEmisData!$D:$D, W$6)</f>
        <v>3.6137202505642398</v>
      </c>
      <c r="X90" s="1111">
        <f>SUMIFS(NewEmisData!H:H, NewEmisData!$A:$A, $G90, NewEmisData!$B:$B, $A90, NewEmisData!$C:$C, $H90, NewEmisData!$D:$D, X$6)</f>
        <v>1.93222611085197</v>
      </c>
      <c r="Y90" s="1111">
        <f>SUMIFS(NewEmisData!I:I, NewEmisData!$A:$A, $G90, NewEmisData!$B:$B, $A90, NewEmisData!$C:$C, $H90, NewEmisData!$D:$D, Y$6)</f>
        <v>1.2904635466224801</v>
      </c>
      <c r="Z90" s="1111">
        <f>SUMIFS(NewEmisData!J:J, NewEmisData!$A:$A, $G90, NewEmisData!$B:$B, $A90, NewEmisData!$C:$C, $H90, NewEmisData!$D:$D, Z$6)</f>
        <v>1.20804258245566</v>
      </c>
      <c r="AA90" s="1111">
        <f>SUMIFS(NewEmisData!K:K, NewEmisData!$A:$A, $G90, NewEmisData!$B:$B, $A90, NewEmisData!$C:$C, $H90, NewEmisData!$D:$D, AA$6)</f>
        <v>1.1760366424397</v>
      </c>
      <c r="AB90" s="1111">
        <f>SUMIFS(NewEmisData!L:L, NewEmisData!$A:$A, $G90, NewEmisData!$B:$B, $A90, NewEmisData!$C:$C, $H90, NewEmisData!$D:$D, AB$6)</f>
        <v>1.1748287303099401</v>
      </c>
      <c r="AC90" s="1111">
        <f>SUMIFS(NewEmisData!M:M, NewEmisData!$A:$A, $G90, NewEmisData!$B:$B, $A90, NewEmisData!$C:$C, $H90, NewEmisData!$D:$D, AC$6)</f>
        <v>1.17443815932545</v>
      </c>
      <c r="AD90" s="1111">
        <f t="shared" si="132"/>
        <v>1.17443815932545</v>
      </c>
      <c r="AE90" s="1111">
        <f t="shared" si="113"/>
        <v>3.6717879284551301E-2</v>
      </c>
      <c r="AF90" s="1111">
        <f>SUMIFS(NewEmisData!E:E, NewEmisData!$A:$A, $G90, NewEmisData!$B:$B, $A90, NewEmisData!$C:$C, $H90, NewEmisData!$D:$D, AF$6)</f>
        <v>3.6717879284551301E-2</v>
      </c>
      <c r="AG90" s="1111">
        <f>SUMIFS(NewEmisData!F:F, NewEmisData!$A:$A, $G90, NewEmisData!$B:$B, $A90, NewEmisData!$C:$C, $H90, NewEmisData!$D:$D, AG$6)</f>
        <v>3.9098355675890401E-2</v>
      </c>
      <c r="AH90" s="1111">
        <f>SUMIFS(NewEmisData!G:G, NewEmisData!$A:$A, $G90, NewEmisData!$B:$B, $A90, NewEmisData!$C:$C, $H90, NewEmisData!$D:$D, AH$6)</f>
        <v>1.2334311567984301E-2</v>
      </c>
      <c r="AI90" s="1111">
        <f>SUMIFS(NewEmisData!H:H, NewEmisData!$A:$A, $G90, NewEmisData!$B:$B, $A90, NewEmisData!$C:$C, $H90, NewEmisData!$D:$D, AI$6)</f>
        <v>1.1840116163087199E-2</v>
      </c>
      <c r="AJ90" s="1111">
        <f>SUMIFS(NewEmisData!I:I, NewEmisData!$A:$A, $G90, NewEmisData!$B:$B, $A90, NewEmisData!$C:$C, $H90, NewEmisData!$D:$D, AJ$6)</f>
        <v>1.12892010251304E-2</v>
      </c>
      <c r="AK90" s="1111">
        <f>SUMIFS(NewEmisData!J:J, NewEmisData!$A:$A, $G90, NewEmisData!$B:$B, $A90, NewEmisData!$C:$C, $H90, NewEmisData!$D:$D, AK$6)</f>
        <v>1.10267582574557E-2</v>
      </c>
      <c r="AL90" s="1111">
        <f>SUMIFS(NewEmisData!K:K, NewEmisData!$A:$A, $G90, NewEmisData!$B:$B, $A90, NewEmisData!$C:$C, $H90, NewEmisData!$D:$D, AL$6)</f>
        <v>1.0991760238511099E-2</v>
      </c>
      <c r="AM90" s="1111">
        <f>SUMIFS(NewEmisData!L:L, NewEmisData!$A:$A, $G90, NewEmisData!$B:$B, $A90, NewEmisData!$C:$C, $H90, NewEmisData!$D:$D, AM$6)</f>
        <v>1.09834074162082E-2</v>
      </c>
      <c r="AN90" s="1111">
        <f>SUMIFS(NewEmisData!M:M, NewEmisData!$A:$A, $G90, NewEmisData!$B:$B, $A90, NewEmisData!$C:$C, $H90, NewEmisData!$D:$D, AN$6)</f>
        <v>1.09822886490272E-2</v>
      </c>
      <c r="AO90" s="1111">
        <f t="shared" si="114"/>
        <v>1.09822886490272E-2</v>
      </c>
      <c r="AP90" s="1111">
        <f t="shared" si="115"/>
        <v>1.1044131831227499</v>
      </c>
      <c r="AQ90" s="1111">
        <f>SUMIFS(NewEmisData!E:E, NewEmisData!$A:$A, $G90, NewEmisData!$B:$B, $A90, NewEmisData!$C:$C, $H90, NewEmisData!$D:$D, AQ$6)</f>
        <v>1.1044131831227499</v>
      </c>
      <c r="AR90" s="1111">
        <f>SUMIFS(NewEmisData!F:F, NewEmisData!$A:$A, $G90, NewEmisData!$B:$B, $A90, NewEmisData!$C:$C, $H90, NewEmisData!$D:$D, AR$6)</f>
        <v>0.69596448890826201</v>
      </c>
      <c r="AS90" s="1111">
        <f>SUMIFS(NewEmisData!G:G, NewEmisData!$A:$A, $G90, NewEmisData!$B:$B, $A90, NewEmisData!$C:$C, $H90, NewEmisData!$D:$D, AS$6)</f>
        <v>0.41688561176651601</v>
      </c>
      <c r="AT90" s="1111">
        <f>SUMIFS(NewEmisData!H:H, NewEmisData!$A:$A, $G90, NewEmisData!$B:$B, $A90, NewEmisData!$C:$C, $H90, NewEmisData!$D:$D, AT$6)</f>
        <v>0.29523682935823298</v>
      </c>
      <c r="AU90" s="1111">
        <f>SUMIFS(NewEmisData!I:I, NewEmisData!$A:$A, $G90, NewEmisData!$B:$B, $A90, NewEmisData!$C:$C, $H90, NewEmisData!$D:$D, AU$6)</f>
        <v>0.26722857671539402</v>
      </c>
      <c r="AV90" s="1111">
        <f>SUMIFS(NewEmisData!J:J, NewEmisData!$A:$A, $G90, NewEmisData!$B:$B, $A90, NewEmisData!$C:$C, $H90, NewEmisData!$D:$D, AV$6)</f>
        <v>0.259356859155779</v>
      </c>
      <c r="AW90" s="1111">
        <f>SUMIFS(NewEmisData!K:K, NewEmisData!$A:$A, $G90, NewEmisData!$B:$B, $A90, NewEmisData!$C:$C, $H90, NewEmisData!$D:$D, AW$6)</f>
        <v>0.25811596391799502</v>
      </c>
      <c r="AX90" s="1111">
        <f>SUMIFS(NewEmisData!L:L, NewEmisData!$A:$A, $G90, NewEmisData!$B:$B, $A90, NewEmisData!$C:$C, $H90, NewEmisData!$D:$D, AX$6)</f>
        <v>0.25800802926334099</v>
      </c>
      <c r="AY90" s="1111">
        <f>SUMIFS(NewEmisData!M:M, NewEmisData!$A:$A, $G90, NewEmisData!$B:$B, $A90, NewEmisData!$C:$C, $H90, NewEmisData!$D:$D, AY$6)</f>
        <v>0.258000316903299</v>
      </c>
      <c r="AZ90" s="1111">
        <f t="shared" si="116"/>
        <v>0.258000316903299</v>
      </c>
      <c r="BA90" s="1111">
        <f t="shared" si="117"/>
        <v>0.80515128163926197</v>
      </c>
      <c r="BB90" s="1111">
        <f>SUMIFS(NewEmisData!E:E, NewEmisData!$A:$A, $G90, NewEmisData!$B:$B, $A90, NewEmisData!$C:$C, $H90, NewEmisData!$D:$D, BB$6)</f>
        <v>0.80515128163926197</v>
      </c>
      <c r="BC90" s="1111">
        <f>SUMIFS(NewEmisData!F:F, NewEmisData!$A:$A, $G90, NewEmisData!$B:$B, $A90, NewEmisData!$C:$C, $H90, NewEmisData!$D:$D, BC$6)</f>
        <v>0.40385030676064299</v>
      </c>
      <c r="BD90" s="1111">
        <f>SUMIFS(NewEmisData!G:G, NewEmisData!$A:$A, $G90, NewEmisData!$B:$B, $A90, NewEmisData!$C:$C, $H90, NewEmisData!$D:$D, BD$6)</f>
        <v>0.191914712359671</v>
      </c>
      <c r="BE90" s="1111">
        <f>SUMIFS(NewEmisData!H:H, NewEmisData!$A:$A, $G90, NewEmisData!$B:$B, $A90, NewEmisData!$C:$C, $H90, NewEmisData!$D:$D, BE$6)</f>
        <v>7.9817965863261897E-2</v>
      </c>
      <c r="BF90" s="1111">
        <f>SUMIFS(NewEmisData!I:I, NewEmisData!$A:$A, $G90, NewEmisData!$B:$B, $A90, NewEmisData!$C:$C, $H90, NewEmisData!$D:$D, BF$6)</f>
        <v>5.8587138047291203E-2</v>
      </c>
      <c r="BG90" s="1111">
        <f>SUMIFS(NewEmisData!J:J, NewEmisData!$A:$A, $G90, NewEmisData!$B:$B, $A90, NewEmisData!$C:$C, $H90, NewEmisData!$D:$D, BG$6)</f>
        <v>5.3925401266024603E-2</v>
      </c>
      <c r="BH90" s="1111">
        <f>SUMIFS(NewEmisData!K:K, NewEmisData!$A:$A, $G90, NewEmisData!$B:$B, $A90, NewEmisData!$C:$C, $H90, NewEmisData!$D:$D, BH$6)</f>
        <v>5.3085681499215498E-2</v>
      </c>
      <c r="BI90" s="1111">
        <f>SUMIFS(NewEmisData!L:L, NewEmisData!$A:$A, $G90, NewEmisData!$B:$B, $A90, NewEmisData!$C:$C, $H90, NewEmisData!$D:$D, BI$6)</f>
        <v>5.3060223447352402E-2</v>
      </c>
      <c r="BJ90" s="1111">
        <f>SUMIFS(NewEmisData!M:M, NewEmisData!$A:$A, $G90, NewEmisData!$B:$B, $A90, NewEmisData!$C:$C, $H90, NewEmisData!$D:$D, BJ$6)</f>
        <v>5.30583578225301E-2</v>
      </c>
      <c r="BK90" s="1111">
        <f t="shared" si="118"/>
        <v>5.30583578225301E-2</v>
      </c>
      <c r="BL90" s="1111">
        <f t="shared" si="119"/>
        <v>5.0811910165099299</v>
      </c>
      <c r="BM90" s="1111">
        <f>SUMIFS(NewEmisData!E:E, NewEmisData!$A:$A, $G90, NewEmisData!$B:$B, $A90, NewEmisData!$C:$C, $H90, NewEmisData!$D:$D, BM$6)</f>
        <v>5.0811910165099299</v>
      </c>
      <c r="BN90" s="1111">
        <f>SUMIFS(NewEmisData!F:F, NewEmisData!$A:$A, $G90, NewEmisData!$B:$B, $A90, NewEmisData!$C:$C, $H90, NewEmisData!$D:$D, BN$6)</f>
        <v>2.7268470265204399</v>
      </c>
      <c r="BO90" s="1111">
        <f>SUMIFS(NewEmisData!G:G, NewEmisData!$A:$A, $G90, NewEmisData!$B:$B, $A90, NewEmisData!$C:$C, $H90, NewEmisData!$D:$D, BO$6)</f>
        <v>1.5355914449636101</v>
      </c>
      <c r="BP90" s="1111">
        <f>SUMIFS(NewEmisData!H:H, NewEmisData!$A:$A, $G90, NewEmisData!$B:$B, $A90, NewEmisData!$C:$C, $H90, NewEmisData!$D:$D, BP$6)</f>
        <v>0.89657237406968604</v>
      </c>
      <c r="BQ90" s="1111">
        <f>SUMIFS(NewEmisData!I:I, NewEmisData!$A:$A, $G90, NewEmisData!$B:$B, $A90, NewEmisData!$C:$C, $H90, NewEmisData!$D:$D, BQ$6)</f>
        <v>0.79413479693216504</v>
      </c>
      <c r="BR90" s="1111">
        <f>SUMIFS(NewEmisData!J:J, NewEmisData!$A:$A, $G90, NewEmisData!$B:$B, $A90, NewEmisData!$C:$C, $H90, NewEmisData!$D:$D, BR$6)</f>
        <v>0.78234582666351604</v>
      </c>
      <c r="BS90" s="1111">
        <f>SUMIFS(NewEmisData!K:K, NewEmisData!$A:$A, $G90, NewEmisData!$B:$B, $A90, NewEmisData!$C:$C, $H90, NewEmisData!$D:$D, BS$6)</f>
        <v>0.77895631877372495</v>
      </c>
      <c r="BT90" s="1111">
        <f>SUMIFS(NewEmisData!L:L, NewEmisData!$A:$A, $G90, NewEmisData!$B:$B, $A90, NewEmisData!$C:$C, $H90, NewEmisData!$D:$D, BT$6)</f>
        <v>0.77927504109494905</v>
      </c>
      <c r="BU90" s="1111">
        <f>SUMIFS(NewEmisData!M:M, NewEmisData!$A:$A, $G90, NewEmisData!$B:$B, $A90, NewEmisData!$C:$C, $H90, NewEmisData!$D:$D, BU$6)</f>
        <v>0.77930513165756399</v>
      </c>
      <c r="BV90" s="1111">
        <f t="shared" si="120"/>
        <v>0.77930513165756399</v>
      </c>
      <c r="BW90" s="1111">
        <f t="shared" si="121"/>
        <v>1.4965442116421701</v>
      </c>
      <c r="BX90" s="1111">
        <f>SUMIFS(NewEmisData!E:E, NewEmisData!$A:$A, $G90, NewEmisData!$B:$B, $A90, NewEmisData!$C:$C, $H90, NewEmisData!$D:$D, BX$6)</f>
        <v>1.4965442116421701</v>
      </c>
      <c r="BY90" s="1111">
        <f>SUMIFS(NewEmisData!F:F, NewEmisData!$A:$A, $G90, NewEmisData!$B:$B, $A90, NewEmisData!$C:$C, $H90, NewEmisData!$D:$D, BY$6)</f>
        <v>0.81900820559121901</v>
      </c>
      <c r="BZ90" s="1111">
        <f>SUMIFS(NewEmisData!G:G, NewEmisData!$A:$A, $G90, NewEmisData!$B:$B, $A90, NewEmisData!$C:$C, $H90, NewEmisData!$D:$D, BZ$6)</f>
        <v>0.36146735176794997</v>
      </c>
      <c r="CA90" s="1111">
        <f>SUMIFS(NewEmisData!H:H, NewEmisData!$A:$A, $G90, NewEmisData!$B:$B, $A90, NewEmisData!$C:$C, $H90, NewEmisData!$D:$D, CA$6)</f>
        <v>0.14039143137271001</v>
      </c>
      <c r="CB90" s="1111">
        <f>SUMIFS(NewEmisData!I:I, NewEmisData!$A:$A, $G90, NewEmisData!$B:$B, $A90, NewEmisData!$C:$C, $H90, NewEmisData!$D:$D, CB$6)</f>
        <v>0.101873557704856</v>
      </c>
      <c r="CC90" s="1111">
        <f>SUMIFS(NewEmisData!J:J, NewEmisData!$A:$A, $G90, NewEmisData!$B:$B, $A90, NewEmisData!$C:$C, $H90, NewEmisData!$D:$D, CC$6)</f>
        <v>9.43838462975264E-2</v>
      </c>
      <c r="CD90" s="1111">
        <f>SUMIFS(NewEmisData!K:K, NewEmisData!$A:$A, $G90, NewEmisData!$B:$B, $A90, NewEmisData!$C:$C, $H90, NewEmisData!$D:$D, CD$6)</f>
        <v>9.2903808201499405E-2</v>
      </c>
      <c r="CE90" s="1111">
        <f>SUMIFS(NewEmisData!L:L, NewEmisData!$A:$A, $G90, NewEmisData!$B:$B, $A90, NewEmisData!$C:$C, $H90, NewEmisData!$D:$D, CE$6)</f>
        <v>9.2890797107212E-2</v>
      </c>
      <c r="CF90" s="1111">
        <f>SUMIFS(NewEmisData!M:M, NewEmisData!$A:$A, $G90, NewEmisData!$B:$B, $A90, NewEmisData!$C:$C, $H90, NewEmisData!$D:$D, CF$6)</f>
        <v>9.2889380350906603E-2</v>
      </c>
      <c r="CG90" s="1111">
        <f t="shared" si="122"/>
        <v>9.2889380350906603E-2</v>
      </c>
      <c r="CH90" s="1111">
        <f t="shared" si="123"/>
        <v>2.6549169080668199E-2</v>
      </c>
      <c r="CI90" s="1111">
        <f>SUMIFS(NewEmisData!E:E, NewEmisData!$A:$A, $G90, NewEmisData!$B:$B, $A90, NewEmisData!$C:$C, $H90, NewEmisData!$D:$D, CI$6)</f>
        <v>2.6549169080668199E-2</v>
      </c>
      <c r="CJ90" s="1111">
        <f>SUMIFS(NewEmisData!F:F, NewEmisData!$A:$A, $G90, NewEmisData!$B:$B, $A90, NewEmisData!$C:$C, $H90, NewEmisData!$D:$D, CJ$6)</f>
        <v>2.7077377373300401E-2</v>
      </c>
      <c r="CK90" s="1111">
        <f>SUMIFS(NewEmisData!G:G, NewEmisData!$A:$A, $G90, NewEmisData!$B:$B, $A90, NewEmisData!$C:$C, $H90, NewEmisData!$D:$D, CK$6)</f>
        <v>2.6663646209720601E-2</v>
      </c>
      <c r="CL90" s="1111">
        <f>SUMIFS(NewEmisData!H:H, NewEmisData!$A:$A, $G90, NewEmisData!$B:$B, $A90, NewEmisData!$C:$C, $H90, NewEmisData!$D:$D, CL$6)</f>
        <v>2.6672380848637399E-2</v>
      </c>
      <c r="CM90" s="1111">
        <f>SUMIFS(NewEmisData!I:I, NewEmisData!$A:$A, $G90, NewEmisData!$B:$B, $A90, NewEmisData!$C:$C, $H90, NewEmisData!$D:$D, CM$6)</f>
        <v>2.6520469832871599E-2</v>
      </c>
      <c r="CN90" s="1111">
        <f>SUMIFS(NewEmisData!J:J, NewEmisData!$A:$A, $G90, NewEmisData!$B:$B, $A90, NewEmisData!$C:$C, $H90, NewEmisData!$D:$D, CN$6)</f>
        <v>2.64339024674058E-2</v>
      </c>
      <c r="CO90" s="1111">
        <f>SUMIFS(NewEmisData!K:K, NewEmisData!$A:$A, $G90, NewEmisData!$B:$B, $A90, NewEmisData!$C:$C, $H90, NewEmisData!$D:$D, CO$6)</f>
        <v>2.64237151596389E-2</v>
      </c>
      <c r="CP90" s="1111">
        <f>SUMIFS(NewEmisData!L:L, NewEmisData!$A:$A, $G90, NewEmisData!$B:$B, $A90, NewEmisData!$C:$C, $H90, NewEmisData!$D:$D, CP$6)</f>
        <v>2.64212319492989E-2</v>
      </c>
      <c r="CQ90" s="1111">
        <f>SUMIFS(NewEmisData!M:M, NewEmisData!$A:$A, $G90, NewEmisData!$B:$B, $A90, NewEmisData!$C:$C, $H90, NewEmisData!$D:$D, CQ$6)</f>
        <v>2.6421096884032502E-2</v>
      </c>
      <c r="CR90" s="1111">
        <f t="shared" si="124"/>
        <v>2.6421096884032502E-2</v>
      </c>
      <c r="CS90" s="1111">
        <f t="shared" si="125"/>
        <v>4.7042787259816803E-3</v>
      </c>
      <c r="CT90" s="1111">
        <f>SUMIFS(NewEmisData!E:E, NewEmisData!$A:$A, $G90, NewEmisData!$B:$B, $A90, NewEmisData!$C:$C, $H90, NewEmisData!$D:$D, CT$6)</f>
        <v>4.7042787259816803E-3</v>
      </c>
      <c r="CU90" s="1111">
        <f>SUMIFS(NewEmisData!F:F, NewEmisData!$A:$A, $G90, NewEmisData!$B:$B, $A90, NewEmisData!$C:$C, $H90, NewEmisData!$D:$D, CU$6)</f>
        <v>4.1781828368015099E-3</v>
      </c>
      <c r="CV90" s="1111">
        <f>SUMIFS(NewEmisData!G:G, NewEmisData!$A:$A, $G90, NewEmisData!$B:$B, $A90, NewEmisData!$C:$C, $H90, NewEmisData!$D:$D, CV$6)</f>
        <v>3.8352946013813899E-3</v>
      </c>
      <c r="CW90" s="1111">
        <f>SUMIFS(NewEmisData!H:H, NewEmisData!$A:$A, $G90, NewEmisData!$B:$B, $A90, NewEmisData!$C:$C, $H90, NewEmisData!$D:$D, CW$6)</f>
        <v>3.83525379596238E-3</v>
      </c>
      <c r="CX90" s="1111">
        <f>SUMIFS(NewEmisData!I:I, NewEmisData!$A:$A, $G90, NewEmisData!$B:$B, $A90, NewEmisData!$C:$C, $H90, NewEmisData!$D:$D, CX$6)</f>
        <v>3.8551413423649401E-3</v>
      </c>
      <c r="CY90" s="1111">
        <f>SUMIFS(NewEmisData!J:J, NewEmisData!$A:$A, $G90, NewEmisData!$B:$B, $A90, NewEmisData!$C:$C, $H90, NewEmisData!$D:$D, CY$6)</f>
        <v>3.8664534081897001E-3</v>
      </c>
      <c r="CZ90" s="1111">
        <f>SUMIFS(NewEmisData!K:K, NewEmisData!$A:$A, $G90, NewEmisData!$B:$B, $A90, NewEmisData!$C:$C, $H90, NewEmisData!$D:$D, CZ$6)</f>
        <v>3.8677677567543899E-3</v>
      </c>
      <c r="DA90" s="1111">
        <f>SUMIFS(NewEmisData!L:L, NewEmisData!$A:$A, $G90, NewEmisData!$B:$B, $A90, NewEmisData!$C:$C, $H90, NewEmisData!$D:$D, DA$6)</f>
        <v>3.8680901701993102E-3</v>
      </c>
      <c r="DB90" s="1111">
        <f>SUMIFS(NewEmisData!M:M, NewEmisData!$A:$A, $G90, NewEmisData!$B:$B, $A90, NewEmisData!$C:$C, $H90, NewEmisData!$D:$D, DB$6)</f>
        <v>3.86811796361387E-3</v>
      </c>
      <c r="DC90" s="1111">
        <f t="shared" si="126"/>
        <v>3.86811796361387E-3</v>
      </c>
      <c r="DD90" s="1111"/>
      <c r="DE90" s="1111"/>
      <c r="DF90" s="1111"/>
      <c r="DG90" s="1111"/>
      <c r="DH90" s="1111"/>
      <c r="DI90" s="1111"/>
      <c r="DJ90" s="1111"/>
      <c r="DK90" s="1111"/>
      <c r="DL90" s="1111"/>
      <c r="DM90" s="1111"/>
      <c r="DN90" s="1111"/>
      <c r="DO90" s="1111"/>
      <c r="DP90" s="1111"/>
      <c r="DQ90" s="1111"/>
      <c r="DR90" s="1111"/>
      <c r="DS90" s="1111"/>
      <c r="DT90" s="1111"/>
      <c r="DU90" s="1111"/>
      <c r="DV90" s="1111"/>
      <c r="DW90" s="1111"/>
      <c r="DX90" s="1111"/>
      <c r="DY90" s="1111"/>
      <c r="DZ90" s="1111">
        <f t="shared" si="127"/>
        <v>2.6013362636086799E-2</v>
      </c>
      <c r="EA90" s="1111">
        <f>SUMIFS(NewEmisData!E:E, NewEmisData!$A:$A, $G90, NewEmisData!$B:$B, $A90, NewEmisData!$C:$C, $H90, NewEmisData!$D:$D, EA$6)</f>
        <v>2.6013362636086799E-2</v>
      </c>
      <c r="EB90" s="1111">
        <f>SUMIFS(NewEmisData!F:F, NewEmisData!$A:$A, $G90, NewEmisData!$B:$B, $A90, NewEmisData!$C:$C, $H90, NewEmisData!$D:$D, EB$6)</f>
        <v>4.8912608547457603E-2</v>
      </c>
      <c r="EC90" s="1111">
        <f>SUMIFS(NewEmisData!G:G, NewEmisData!$A:$A, $G90, NewEmisData!$B:$B, $A90, NewEmisData!$C:$C, $H90, NewEmisData!$D:$D, EC$6)</f>
        <v>7.1548320352667602E-2</v>
      </c>
      <c r="ED90" s="1111">
        <f>SUMIFS(NewEmisData!H:H, NewEmisData!$A:$A, $G90, NewEmisData!$B:$B, $A90, NewEmisData!$C:$C, $H90, NewEmisData!$D:$D, ED$6)</f>
        <v>7.9138988379146596E-2</v>
      </c>
      <c r="EE90" s="1111">
        <f>SUMIFS(NewEmisData!I:I, NewEmisData!$A:$A, $G90, NewEmisData!$B:$B, $A90, NewEmisData!$C:$C, $H90, NewEmisData!$D:$D, EE$6)</f>
        <v>7.6655521242650904E-2</v>
      </c>
      <c r="EF90" s="1111">
        <f>SUMIFS(NewEmisData!J:J, NewEmisData!$A:$A, $G90, NewEmisData!$B:$B, $A90, NewEmisData!$C:$C, $H90, NewEmisData!$D:$D, EF$6)</f>
        <v>7.7190277276734304E-2</v>
      </c>
      <c r="EG90" s="1111">
        <f>SUMIFS(NewEmisData!K:K, NewEmisData!$A:$A, $G90, NewEmisData!$B:$B, $A90, NewEmisData!$C:$C, $H90, NewEmisData!$D:$D, EG$6)</f>
        <v>7.7123926881226601E-2</v>
      </c>
      <c r="EH90" s="1111">
        <f>SUMIFS(NewEmisData!L:L, NewEmisData!$A:$A, $G90, NewEmisData!$B:$B, $A90, NewEmisData!$C:$C, $H90, NewEmisData!$D:$D, EH$6)</f>
        <v>7.7127166689512902E-2</v>
      </c>
      <c r="EI90" s="1111">
        <f>SUMIFS(NewEmisData!M:M, NewEmisData!$A:$A, $G90, NewEmisData!$B:$B, $A90, NewEmisData!$C:$C, $H90, NewEmisData!$D:$D, EI$6)</f>
        <v>7.71279806751477E-2</v>
      </c>
      <c r="EJ90" s="1111">
        <f t="shared" si="128"/>
        <v>7.71279806751477E-2</v>
      </c>
      <c r="EK90" s="1111">
        <f t="shared" si="129"/>
        <v>1490.2976816476501</v>
      </c>
      <c r="EL90" s="1111">
        <f t="shared" si="48"/>
        <v>1490.2976816476501</v>
      </c>
      <c r="EM90" s="1111">
        <f t="shared" si="49"/>
        <v>1626.84882020706</v>
      </c>
      <c r="EN90" s="1111">
        <f t="shared" si="50"/>
        <v>1458.6179661731101</v>
      </c>
      <c r="EO90" s="1111">
        <f t="shared" si="51"/>
        <v>1416.37770823441</v>
      </c>
      <c r="EP90" s="1111">
        <f t="shared" si="52"/>
        <v>1353.32178885294</v>
      </c>
      <c r="EQ90" s="1111">
        <f t="shared" si="53"/>
        <v>1322.46976433435</v>
      </c>
      <c r="ER90" s="1111">
        <f t="shared" si="54"/>
        <v>1318.4113892753701</v>
      </c>
      <c r="ES90" s="1111">
        <f t="shared" si="55"/>
        <v>1317.4103236998201</v>
      </c>
      <c r="ET90" s="1111">
        <f t="shared" si="56"/>
        <v>1317.2762015215601</v>
      </c>
      <c r="EU90" s="1111">
        <f t="shared" si="57"/>
        <v>1317.2762015215601</v>
      </c>
      <c r="EV90" s="1111">
        <f t="shared" si="130"/>
        <v>11.691833793473601</v>
      </c>
      <c r="EW90" s="1111">
        <f t="shared" si="38"/>
        <v>11.691833793473601</v>
      </c>
      <c r="EX90" s="1111">
        <f t="shared" si="39"/>
        <v>5.3676771149688802</v>
      </c>
      <c r="EY90" s="1111">
        <f t="shared" si="40"/>
        <v>3.6137202505642398</v>
      </c>
      <c r="EZ90" s="1111">
        <f t="shared" si="41"/>
        <v>1.93222611085197</v>
      </c>
      <c r="FA90" s="1111">
        <f t="shared" si="42"/>
        <v>1.2904635466224801</v>
      </c>
      <c r="FB90" s="1111">
        <f t="shared" si="43"/>
        <v>1.20804258245566</v>
      </c>
      <c r="FC90" s="1111">
        <f t="shared" si="44"/>
        <v>1.1760366424397</v>
      </c>
      <c r="FD90" s="1111">
        <f t="shared" si="45"/>
        <v>1.1748287303099401</v>
      </c>
      <c r="FE90" s="1111">
        <f t="shared" si="46"/>
        <v>1.17443815932545</v>
      </c>
      <c r="FF90" s="1111">
        <f t="shared" si="47"/>
        <v>1.17443815932545</v>
      </c>
      <c r="FG90" s="1111">
        <f t="shared" si="100"/>
        <v>3.6717879284551301E-2</v>
      </c>
      <c r="FH90" s="1111">
        <f t="shared" si="101"/>
        <v>3.6717879284551301E-2</v>
      </c>
      <c r="FI90" s="1111">
        <f t="shared" si="102"/>
        <v>3.9098355675890401E-2</v>
      </c>
      <c r="FJ90" s="1111">
        <f t="shared" si="103"/>
        <v>1.2334311567984301E-2</v>
      </c>
      <c r="FK90" s="1111">
        <f t="shared" si="104"/>
        <v>1.1840116163087199E-2</v>
      </c>
      <c r="FL90" s="1111">
        <f t="shared" si="105"/>
        <v>1.12892010251304E-2</v>
      </c>
      <c r="FM90" s="1111">
        <f t="shared" si="106"/>
        <v>1.10267582574557E-2</v>
      </c>
      <c r="FN90" s="1111">
        <f t="shared" si="107"/>
        <v>1.0991760238511099E-2</v>
      </c>
      <c r="FO90" s="1111">
        <f t="shared" si="108"/>
        <v>1.09834074162082E-2</v>
      </c>
      <c r="FP90" s="1111">
        <f t="shared" si="109"/>
        <v>1.09822886490272E-2</v>
      </c>
      <c r="FQ90" s="1111">
        <f t="shared" si="110"/>
        <v>1.09822886490272E-2</v>
      </c>
      <c r="FR90" s="1111">
        <f t="shared" si="133"/>
        <v>1.1044131831227499</v>
      </c>
      <c r="FS90" s="1111">
        <f t="shared" si="134"/>
        <v>1.1044131831227499</v>
      </c>
      <c r="FT90" s="1111">
        <f t="shared" si="135"/>
        <v>0.69596448890826201</v>
      </c>
      <c r="FU90" s="1111">
        <f t="shared" si="136"/>
        <v>0.41688561176651601</v>
      </c>
      <c r="FV90" s="1111">
        <f t="shared" si="137"/>
        <v>0.29523682935823298</v>
      </c>
      <c r="FW90" s="1111">
        <f t="shared" si="138"/>
        <v>0.26722857671539402</v>
      </c>
      <c r="FX90" s="1111">
        <f t="shared" si="139"/>
        <v>0.259356859155779</v>
      </c>
      <c r="FY90" s="1111">
        <f t="shared" si="140"/>
        <v>0.25811596391799502</v>
      </c>
      <c r="FZ90" s="1111">
        <f t="shared" si="141"/>
        <v>0.25800802926334099</v>
      </c>
      <c r="GA90" s="1111">
        <f t="shared" si="142"/>
        <v>0.258000316903299</v>
      </c>
      <c r="GB90" s="1111">
        <f t="shared" si="143"/>
        <v>0.258000316903299</v>
      </c>
      <c r="GC90" s="1111">
        <f t="shared" si="59"/>
        <v>0.80515128163926197</v>
      </c>
      <c r="GD90" s="1111">
        <f t="shared" si="60"/>
        <v>0.80515128163926197</v>
      </c>
      <c r="GE90" s="1111">
        <f t="shared" si="61"/>
        <v>0.40385030676064299</v>
      </c>
      <c r="GF90" s="1111">
        <f t="shared" si="62"/>
        <v>0.191914712359671</v>
      </c>
      <c r="GG90" s="1111">
        <f t="shared" si="63"/>
        <v>7.9817965863261897E-2</v>
      </c>
      <c r="GH90" s="1111">
        <f t="shared" si="64"/>
        <v>5.8587138047291203E-2</v>
      </c>
      <c r="GI90" s="1111">
        <f t="shared" si="65"/>
        <v>5.3925401266024603E-2</v>
      </c>
      <c r="GJ90" s="1111">
        <f t="shared" si="66"/>
        <v>5.3085681499215498E-2</v>
      </c>
      <c r="GK90" s="1111">
        <f t="shared" si="67"/>
        <v>5.3060223447352402E-2</v>
      </c>
      <c r="GL90" s="1111">
        <f t="shared" si="68"/>
        <v>5.30583578225301E-2</v>
      </c>
      <c r="GM90" s="1111">
        <f t="shared" si="69"/>
        <v>5.30583578225301E-2</v>
      </c>
    </row>
    <row r="91" spans="1:195" x14ac:dyDescent="0.2">
      <c r="A91" s="1071" t="s">
        <v>190</v>
      </c>
      <c r="B91" s="1071" t="str">
        <f>NewTech!B20</f>
        <v>TBDSLADV</v>
      </c>
      <c r="C91" s="1071" t="str">
        <f>NewTech!C20</f>
        <v>Bus, Advanced Tech Diesel</v>
      </c>
      <c r="D91" s="1071" t="str">
        <f>NewTech!D20</f>
        <v>bn-vmt, bn-vmt/a</v>
      </c>
      <c r="E91" s="1071" t="str">
        <f>NewTech!E20</f>
        <v>TBDSL</v>
      </c>
      <c r="F91" s="1071" t="str">
        <f>NewTech!F20</f>
        <v>TB</v>
      </c>
      <c r="G91" s="1110" t="s">
        <v>498</v>
      </c>
      <c r="H91" s="1110" t="s">
        <v>499</v>
      </c>
      <c r="I91" s="1112">
        <v>1</v>
      </c>
      <c r="J91" s="1111" t="str">
        <f t="shared" si="37"/>
        <v>Bus-DSL</v>
      </c>
      <c r="K91" s="1111">
        <f>SUMIFS(NewEmisData!E:E, NewEmisData!$A:$A, $G91, NewEmisData!$B:$B, $A91, NewEmisData!$C:$C, $H91, NewEmisData!$D:$D, K$6)</f>
        <v>1790.56535119264</v>
      </c>
      <c r="L91" s="1111">
        <f>SUMIFS(NewEmisData!F:F, NewEmisData!$A:$A, $G91, NewEmisData!$B:$B, $A91, NewEmisData!$C:$C, $H91, NewEmisData!$D:$D, L$6)</f>
        <v>1706.0851984819999</v>
      </c>
      <c r="M91" s="1111">
        <f>SUMIFS(NewEmisData!G:G, NewEmisData!$A:$A, $G91, NewEmisData!$B:$B, $A91, NewEmisData!$C:$C, $H91, NewEmisData!$D:$D, M$6)</f>
        <v>1916.4119570956</v>
      </c>
      <c r="N91" s="1111">
        <f>SUMIFS(NewEmisData!H:H, NewEmisData!$A:$A, $G91, NewEmisData!$B:$B, $A91, NewEmisData!$C:$C, $H91, NewEmisData!$D:$D, N$6)</f>
        <v>1866.18041191016</v>
      </c>
      <c r="O91" s="1111">
        <f>SUMIFS(NewEmisData!I:I, NewEmisData!$A:$A, $G91, NewEmisData!$B:$B, $A91, NewEmisData!$C:$C, $H91, NewEmisData!$D:$D, O$6)</f>
        <v>1811.71928124037</v>
      </c>
      <c r="P91" s="1111">
        <f>SUMIFS(NewEmisData!J:J, NewEmisData!$A:$A, $G91, NewEmisData!$B:$B, $A91, NewEmisData!$C:$C, $H91, NewEmisData!$D:$D, P$6)</f>
        <v>1782.46239941771</v>
      </c>
      <c r="Q91" s="1111">
        <f>SUMIFS(NewEmisData!K:K, NewEmisData!$A:$A, $G91, NewEmisData!$B:$B, $A91, NewEmisData!$C:$C, $H91, NewEmisData!$D:$D, Q$6)</f>
        <v>1777.87090074862</v>
      </c>
      <c r="R91" s="1111">
        <f>SUMIFS(NewEmisData!L:L, NewEmisData!$A:$A, $G91, NewEmisData!$B:$B, $A91, NewEmisData!$C:$C, $H91, NewEmisData!$D:$D, R$6)</f>
        <v>1776.69085043776</v>
      </c>
      <c r="S91" s="1111">
        <f>SUMIFS(NewEmisData!M:M, NewEmisData!$A:$A, $G91, NewEmisData!$B:$B, $A91, NewEmisData!$C:$C, $H91, NewEmisData!$D:$D, S$6)</f>
        <v>1776.5151337741499</v>
      </c>
      <c r="T91" s="1111">
        <f t="shared" si="131"/>
        <v>1776.5151337741499</v>
      </c>
      <c r="U91" s="1111">
        <f>SUMIFS(NewEmisData!E:E, NewEmisData!$A:$A, $G91, NewEmisData!$B:$B, $A91, NewEmisData!$C:$C, $H91, NewEmisData!$D:$D, U$6)</f>
        <v>16.722091046014601</v>
      </c>
      <c r="V91" s="1111">
        <f>SUMIFS(NewEmisData!F:F, NewEmisData!$A:$A, $G91, NewEmisData!$B:$B, $A91, NewEmisData!$C:$C, $H91, NewEmisData!$D:$D, V$6)</f>
        <v>9.0752835435872505</v>
      </c>
      <c r="W91" s="1111">
        <f>SUMIFS(NewEmisData!G:G, NewEmisData!$A:$A, $G91, NewEmisData!$B:$B, $A91, NewEmisData!$C:$C, $H91, NewEmisData!$D:$D, W$6)</f>
        <v>4.5245768386744603</v>
      </c>
      <c r="X91" s="1111">
        <f>SUMIFS(NewEmisData!H:H, NewEmisData!$A:$A, $G91, NewEmisData!$B:$B, $A91, NewEmisData!$C:$C, $H91, NewEmisData!$D:$D, X$6)</f>
        <v>2.5948057206972099</v>
      </c>
      <c r="Y91" s="1111">
        <f>SUMIFS(NewEmisData!I:I, NewEmisData!$A:$A, $G91, NewEmisData!$B:$B, $A91, NewEmisData!$C:$C, $H91, NewEmisData!$D:$D, Y$6)</f>
        <v>1.7233209257637201</v>
      </c>
      <c r="Z91" s="1111">
        <f>SUMIFS(NewEmisData!J:J, NewEmisData!$A:$A, $G91, NewEmisData!$B:$B, $A91, NewEmisData!$C:$C, $H91, NewEmisData!$D:$D, Z$6)</f>
        <v>1.5952418098202701</v>
      </c>
      <c r="AA91" s="1111">
        <f>SUMIFS(NewEmisData!K:K, NewEmisData!$A:$A, $G91, NewEmisData!$B:$B, $A91, NewEmisData!$C:$C, $H91, NewEmisData!$D:$D, AA$6)</f>
        <v>1.5343950737018299</v>
      </c>
      <c r="AB91" s="1111">
        <f>SUMIFS(NewEmisData!L:L, NewEmisData!$A:$A, $G91, NewEmisData!$B:$B, $A91, NewEmisData!$C:$C, $H91, NewEmisData!$D:$D, AB$6)</f>
        <v>1.53213591619592</v>
      </c>
      <c r="AC91" s="1111">
        <f>SUMIFS(NewEmisData!M:M, NewEmisData!$A:$A, $G91, NewEmisData!$B:$B, $A91, NewEmisData!$C:$C, $H91, NewEmisData!$D:$D, AC$6)</f>
        <v>1.5313515267339699</v>
      </c>
      <c r="AD91" s="1111">
        <f t="shared" si="132"/>
        <v>1.5313515267339699</v>
      </c>
      <c r="AE91" s="1111">
        <f t="shared" si="113"/>
        <v>4.4119301126388497E-2</v>
      </c>
      <c r="AF91" s="1111">
        <f>SUMIFS(NewEmisData!E:E, NewEmisData!$A:$A, $G91, NewEmisData!$B:$B, $A91, NewEmisData!$C:$C, $H91, NewEmisData!$D:$D, AF$6)</f>
        <v>4.4119301126388497E-2</v>
      </c>
      <c r="AG91" s="1111">
        <f>SUMIFS(NewEmisData!F:F, NewEmisData!$A:$A, $G91, NewEmisData!$B:$B, $A91, NewEmisData!$C:$C, $H91, NewEmisData!$D:$D, AG$6)</f>
        <v>4.1262348975755703E-2</v>
      </c>
      <c r="AH91" s="1111">
        <f>SUMIFS(NewEmisData!G:G, NewEmisData!$A:$A, $G91, NewEmisData!$B:$B, $A91, NewEmisData!$C:$C, $H91, NewEmisData!$D:$D, AH$6)</f>
        <v>1.6180608348462199E-2</v>
      </c>
      <c r="AI91" s="1111">
        <f>SUMIFS(NewEmisData!H:H, NewEmisData!$A:$A, $G91, NewEmisData!$B:$B, $A91, NewEmisData!$C:$C, $H91, NewEmisData!$D:$D, AI$6)</f>
        <v>1.5603448697606799E-2</v>
      </c>
      <c r="AJ91" s="1111">
        <f>SUMIFS(NewEmisData!I:I, NewEmisData!$A:$A, $G91, NewEmisData!$B:$B, $A91, NewEmisData!$C:$C, $H91, NewEmisData!$D:$D, AJ$6)</f>
        <v>1.51144360777349E-2</v>
      </c>
      <c r="AK91" s="1111">
        <f>SUMIFS(NewEmisData!J:J, NewEmisData!$A:$A, $G91, NewEmisData!$B:$B, $A91, NewEmisData!$C:$C, $H91, NewEmisData!$D:$D, AK$6)</f>
        <v>1.48632492208765E-2</v>
      </c>
      <c r="AL91" s="1111">
        <f>SUMIFS(NewEmisData!K:K, NewEmisData!$A:$A, $G91, NewEmisData!$B:$B, $A91, NewEmisData!$C:$C, $H91, NewEmisData!$D:$D, AL$6)</f>
        <v>1.48223265055839E-2</v>
      </c>
      <c r="AM91" s="1111">
        <f>SUMIFS(NewEmisData!L:L, NewEmisData!$A:$A, $G91, NewEmisData!$B:$B, $A91, NewEmisData!$C:$C, $H91, NewEmisData!$D:$D, AM$6)</f>
        <v>1.4812489715302499E-2</v>
      </c>
      <c r="AN91" s="1111">
        <f>SUMIFS(NewEmisData!M:M, NewEmisData!$A:$A, $G91, NewEmisData!$B:$B, $A91, NewEmisData!$C:$C, $H91, NewEmisData!$D:$D, AN$6)</f>
        <v>1.4811022783827199E-2</v>
      </c>
      <c r="AO91" s="1111">
        <f t="shared" si="114"/>
        <v>1.4811022783827199E-2</v>
      </c>
      <c r="AP91" s="1111">
        <f t="shared" si="115"/>
        <v>1.28818009730681</v>
      </c>
      <c r="AQ91" s="1111">
        <f>SUMIFS(NewEmisData!E:E, NewEmisData!$A:$A, $G91, NewEmisData!$B:$B, $A91, NewEmisData!$C:$C, $H91, NewEmisData!$D:$D, AQ$6)</f>
        <v>1.28818009730681</v>
      </c>
      <c r="AR91" s="1111">
        <f>SUMIFS(NewEmisData!F:F, NewEmisData!$A:$A, $G91, NewEmisData!$B:$B, $A91, NewEmisData!$C:$C, $H91, NewEmisData!$D:$D, AR$6)</f>
        <v>0.82680779710365904</v>
      </c>
      <c r="AS91" s="1111">
        <f>SUMIFS(NewEmisData!G:G, NewEmisData!$A:$A, $G91, NewEmisData!$B:$B, $A91, NewEmisData!$C:$C, $H91, NewEmisData!$D:$D, AS$6)</f>
        <v>0.60179805225314997</v>
      </c>
      <c r="AT91" s="1111">
        <f>SUMIFS(NewEmisData!H:H, NewEmisData!$A:$A, $G91, NewEmisData!$B:$B, $A91, NewEmisData!$C:$C, $H91, NewEmisData!$D:$D, AT$6)</f>
        <v>0.46595581954183302</v>
      </c>
      <c r="AU91" s="1111">
        <f>SUMIFS(NewEmisData!I:I, NewEmisData!$A:$A, $G91, NewEmisData!$B:$B, $A91, NewEmisData!$C:$C, $H91, NewEmisData!$D:$D, AU$6)</f>
        <v>0.42951735045103701</v>
      </c>
      <c r="AV91" s="1111">
        <f>SUMIFS(NewEmisData!J:J, NewEmisData!$A:$A, $G91, NewEmisData!$B:$B, $A91, NewEmisData!$C:$C, $H91, NewEmisData!$D:$D, AV$6)</f>
        <v>0.41980468763527201</v>
      </c>
      <c r="AW91" s="1111">
        <f>SUMIFS(NewEmisData!K:K, NewEmisData!$A:$A, $G91, NewEmisData!$B:$B, $A91, NewEmisData!$C:$C, $H91, NewEmisData!$D:$D, AW$6)</f>
        <v>0.41759644007116198</v>
      </c>
      <c r="AX91" s="1111">
        <f>SUMIFS(NewEmisData!L:L, NewEmisData!$A:$A, $G91, NewEmisData!$B:$B, $A91, NewEmisData!$C:$C, $H91, NewEmisData!$D:$D, AX$6)</f>
        <v>0.41747064951560697</v>
      </c>
      <c r="AY91" s="1111">
        <f>SUMIFS(NewEmisData!M:M, NewEmisData!$A:$A, $G91, NewEmisData!$B:$B, $A91, NewEmisData!$C:$C, $H91, NewEmisData!$D:$D, AY$6)</f>
        <v>0.41748018000731701</v>
      </c>
      <c r="AZ91" s="1111">
        <f t="shared" si="116"/>
        <v>0.41748018000731701</v>
      </c>
      <c r="BA91" s="1111">
        <f t="shared" si="117"/>
        <v>0.93126594217890002</v>
      </c>
      <c r="BB91" s="1111">
        <f>SUMIFS(NewEmisData!E:E, NewEmisData!$A:$A, $G91, NewEmisData!$B:$B, $A91, NewEmisData!$C:$C, $H91, NewEmisData!$D:$D, BB$6)</f>
        <v>0.93126594217890002</v>
      </c>
      <c r="BC91" s="1111">
        <f>SUMIFS(NewEmisData!F:F, NewEmisData!$A:$A, $G91, NewEmisData!$B:$B, $A91, NewEmisData!$C:$C, $H91, NewEmisData!$D:$D, BC$6)</f>
        <v>0.51703307471742999</v>
      </c>
      <c r="BD91" s="1111">
        <f>SUMIFS(NewEmisData!G:G, NewEmisData!$A:$A, $G91, NewEmisData!$B:$B, $A91, NewEmisData!$C:$C, $H91, NewEmisData!$D:$D, BD$6)</f>
        <v>0.24432975283286401</v>
      </c>
      <c r="BE91" s="1111">
        <f>SUMIFS(NewEmisData!H:H, NewEmisData!$A:$A, $G91, NewEmisData!$B:$B, $A91, NewEmisData!$C:$C, $H91, NewEmisData!$D:$D, BE$6)</f>
        <v>0.11886455572614001</v>
      </c>
      <c r="BF91" s="1111">
        <f>SUMIFS(NewEmisData!I:I, NewEmisData!$A:$A, $G91, NewEmisData!$B:$B, $A91, NewEmisData!$C:$C, $H91, NewEmisData!$D:$D, BF$6)</f>
        <v>8.9573048763309293E-2</v>
      </c>
      <c r="BG91" s="1111">
        <f>SUMIFS(NewEmisData!J:J, NewEmisData!$A:$A, $G91, NewEmisData!$B:$B, $A91, NewEmisData!$C:$C, $H91, NewEmisData!$D:$D, BG$6)</f>
        <v>8.3197971818451094E-2</v>
      </c>
      <c r="BH91" s="1111">
        <f>SUMIFS(NewEmisData!K:K, NewEmisData!$A:$A, $G91, NewEmisData!$B:$B, $A91, NewEmisData!$C:$C, $H91, NewEmisData!$D:$D, BH$6)</f>
        <v>8.15020489665223E-2</v>
      </c>
      <c r="BI91" s="1111">
        <f>SUMIFS(NewEmisData!L:L, NewEmisData!$A:$A, $G91, NewEmisData!$B:$B, $A91, NewEmisData!$C:$C, $H91, NewEmisData!$D:$D, BI$6)</f>
        <v>8.1467138980072906E-2</v>
      </c>
      <c r="BJ91" s="1111">
        <f>SUMIFS(NewEmisData!M:M, NewEmisData!$A:$A, $G91, NewEmisData!$B:$B, $A91, NewEmisData!$C:$C, $H91, NewEmisData!$D:$D, BJ$6)</f>
        <v>8.1466979548160803E-2</v>
      </c>
      <c r="BK91" s="1111">
        <f t="shared" si="118"/>
        <v>8.1466979548160803E-2</v>
      </c>
      <c r="BL91" s="1111">
        <f t="shared" si="119"/>
        <v>4.9983132073964702</v>
      </c>
      <c r="BM91" s="1111">
        <f>SUMIFS(NewEmisData!E:E, NewEmisData!$A:$A, $G91, NewEmisData!$B:$B, $A91, NewEmisData!$C:$C, $H91, NewEmisData!$D:$D, BM$6)</f>
        <v>4.9983132073964702</v>
      </c>
      <c r="BN91" s="1111">
        <f>SUMIFS(NewEmisData!F:F, NewEmisData!$A:$A, $G91, NewEmisData!$B:$B, $A91, NewEmisData!$C:$C, $H91, NewEmisData!$D:$D, BN$6)</f>
        <v>3.3127673342487598</v>
      </c>
      <c r="BO91" s="1111">
        <f>SUMIFS(NewEmisData!G:G, NewEmisData!$A:$A, $G91, NewEmisData!$B:$B, $A91, NewEmisData!$C:$C, $H91, NewEmisData!$D:$D, BO$6)</f>
        <v>1.60960521526057</v>
      </c>
      <c r="BP91" s="1111">
        <f>SUMIFS(NewEmisData!H:H, NewEmisData!$A:$A, $G91, NewEmisData!$B:$B, $A91, NewEmisData!$C:$C, $H91, NewEmisData!$D:$D, BP$6)</f>
        <v>0.894212041026479</v>
      </c>
      <c r="BQ91" s="1111">
        <f>SUMIFS(NewEmisData!I:I, NewEmisData!$A:$A, $G91, NewEmisData!$B:$B, $A91, NewEmisData!$C:$C, $H91, NewEmisData!$D:$D, BQ$6)</f>
        <v>0.75145962562216695</v>
      </c>
      <c r="BR91" s="1111">
        <f>SUMIFS(NewEmisData!J:J, NewEmisData!$A:$A, $G91, NewEmisData!$B:$B, $A91, NewEmisData!$C:$C, $H91, NewEmisData!$D:$D, BR$6)</f>
        <v>0.72015406798909798</v>
      </c>
      <c r="BS91" s="1111">
        <f>SUMIFS(NewEmisData!K:K, NewEmisData!$A:$A, $G91, NewEmisData!$B:$B, $A91, NewEmisData!$C:$C, $H91, NewEmisData!$D:$D, BS$6)</f>
        <v>0.710754907060967</v>
      </c>
      <c r="BT91" s="1111">
        <f>SUMIFS(NewEmisData!L:L, NewEmisData!$A:$A, $G91, NewEmisData!$B:$B, $A91, NewEmisData!$C:$C, $H91, NewEmisData!$D:$D, BT$6)</f>
        <v>0.71094846275188905</v>
      </c>
      <c r="BU91" s="1111">
        <f>SUMIFS(NewEmisData!M:M, NewEmisData!$A:$A, $G91, NewEmisData!$B:$B, $A91, NewEmisData!$C:$C, $H91, NewEmisData!$D:$D, BU$6)</f>
        <v>0.71093129266241195</v>
      </c>
      <c r="BV91" s="1111">
        <f t="shared" si="120"/>
        <v>0.71093129266241195</v>
      </c>
      <c r="BW91" s="1111">
        <f t="shared" si="121"/>
        <v>1.2734247511090699</v>
      </c>
      <c r="BX91" s="1111">
        <f>SUMIFS(NewEmisData!E:E, NewEmisData!$A:$A, $G91, NewEmisData!$B:$B, $A91, NewEmisData!$C:$C, $H91, NewEmisData!$D:$D, BX$6)</f>
        <v>1.2734247511090699</v>
      </c>
      <c r="BY91" s="1111">
        <f>SUMIFS(NewEmisData!F:F, NewEmisData!$A:$A, $G91, NewEmisData!$B:$B, $A91, NewEmisData!$C:$C, $H91, NewEmisData!$D:$D, BY$6)</f>
        <v>0.85962926200607204</v>
      </c>
      <c r="BZ91" s="1111">
        <f>SUMIFS(NewEmisData!G:G, NewEmisData!$A:$A, $G91, NewEmisData!$B:$B, $A91, NewEmisData!$C:$C, $H91, NewEmisData!$D:$D, BZ$6)</f>
        <v>0.40893411947898201</v>
      </c>
      <c r="CA91" s="1111">
        <f>SUMIFS(NewEmisData!H:H, NewEmisData!$A:$A, $G91, NewEmisData!$B:$B, $A91, NewEmisData!$C:$C, $H91, NewEmisData!$D:$D, CA$6)</f>
        <v>0.18002819141014001</v>
      </c>
      <c r="CB91" s="1111">
        <f>SUMIFS(NewEmisData!I:I, NewEmisData!$A:$A, $G91, NewEmisData!$B:$B, $A91, NewEmisData!$C:$C, $H91, NewEmisData!$D:$D, CB$6)</f>
        <v>0.13027199977422399</v>
      </c>
      <c r="CC91" s="1111">
        <f>SUMIFS(NewEmisData!J:J, NewEmisData!$A:$A, $G91, NewEmisData!$B:$B, $A91, NewEmisData!$C:$C, $H91, NewEmisData!$D:$D, CC$6)</f>
        <v>0.11933161730892</v>
      </c>
      <c r="CD91" s="1111">
        <f>SUMIFS(NewEmisData!K:K, NewEmisData!$A:$A, $G91, NewEmisData!$B:$B, $A91, NewEmisData!$C:$C, $H91, NewEmisData!$D:$D, CD$6)</f>
        <v>0.115736737885468</v>
      </c>
      <c r="CE91" s="1111">
        <f>SUMIFS(NewEmisData!L:L, NewEmisData!$A:$A, $G91, NewEmisData!$B:$B, $A91, NewEmisData!$C:$C, $H91, NewEmisData!$D:$D, CE$6)</f>
        <v>0.11570899631981101</v>
      </c>
      <c r="CF91" s="1111">
        <f>SUMIFS(NewEmisData!M:M, NewEmisData!$A:$A, $G91, NewEmisData!$B:$B, $A91, NewEmisData!$C:$C, $H91, NewEmisData!$D:$D, CF$6)</f>
        <v>0.115706029517275</v>
      </c>
      <c r="CG91" s="1111">
        <f t="shared" si="122"/>
        <v>0.115706029517275</v>
      </c>
      <c r="CH91" s="1111">
        <f t="shared" si="123"/>
        <v>2.7041321564936001E-2</v>
      </c>
      <c r="CI91" s="1111">
        <f>SUMIFS(NewEmisData!E:E, NewEmisData!$A:$A, $G91, NewEmisData!$B:$B, $A91, NewEmisData!$C:$C, $H91, NewEmisData!$D:$D, CI$6)</f>
        <v>2.7041321564936001E-2</v>
      </c>
      <c r="CJ91" s="1111">
        <f>SUMIFS(NewEmisData!F:F, NewEmisData!$A:$A, $G91, NewEmisData!$B:$B, $A91, NewEmisData!$C:$C, $H91, NewEmisData!$D:$D, CJ$6)</f>
        <v>2.68548734432397E-2</v>
      </c>
      <c r="CK91" s="1111">
        <f>SUMIFS(NewEmisData!G:G, NewEmisData!$A:$A, $G91, NewEmisData!$B:$B, $A91, NewEmisData!$C:$C, $H91, NewEmisData!$D:$D, CK$6)</f>
        <v>3.1678107064147802E-2</v>
      </c>
      <c r="CL91" s="1111">
        <f>SUMIFS(NewEmisData!H:H, NewEmisData!$A:$A, $G91, NewEmisData!$B:$B, $A91, NewEmisData!$C:$C, $H91, NewEmisData!$D:$D, CL$6)</f>
        <v>3.16916643909044E-2</v>
      </c>
      <c r="CM91" s="1111">
        <f>SUMIFS(NewEmisData!I:I, NewEmisData!$A:$A, $G91, NewEmisData!$B:$B, $A91, NewEmisData!$C:$C, $H91, NewEmisData!$D:$D, CM$6)</f>
        <v>3.16017171085268E-2</v>
      </c>
      <c r="CN91" s="1111">
        <f>SUMIFS(NewEmisData!J:J, NewEmisData!$A:$A, $G91, NewEmisData!$B:$B, $A91, NewEmisData!$C:$C, $H91, NewEmisData!$D:$D, CN$6)</f>
        <v>3.1547836778164702E-2</v>
      </c>
      <c r="CO91" s="1111">
        <f>SUMIFS(NewEmisData!K:K, NewEmisData!$A:$A, $G91, NewEmisData!$B:$B, $A91, NewEmisData!$C:$C, $H91, NewEmisData!$D:$D, CO$6)</f>
        <v>3.1540538757987402E-2</v>
      </c>
      <c r="CP91" s="1111">
        <f>SUMIFS(NewEmisData!L:L, NewEmisData!$A:$A, $G91, NewEmisData!$B:$B, $A91, NewEmisData!$C:$C, $H91, NewEmisData!$D:$D, CP$6)</f>
        <v>3.1538787124503802E-2</v>
      </c>
      <c r="CQ91" s="1111">
        <f>SUMIFS(NewEmisData!M:M, NewEmisData!$A:$A, $G91, NewEmisData!$B:$B, $A91, NewEmisData!$C:$C, $H91, NewEmisData!$D:$D, CQ$6)</f>
        <v>3.1539113108823097E-2</v>
      </c>
      <c r="CR91" s="1111">
        <f t="shared" si="124"/>
        <v>3.1539113108823097E-2</v>
      </c>
      <c r="CS91" s="1111">
        <f t="shared" si="125"/>
        <v>3.8053813200333601E-3</v>
      </c>
      <c r="CT91" s="1111">
        <f>SUMIFS(NewEmisData!E:E, NewEmisData!$A:$A, $G91, NewEmisData!$B:$B, $A91, NewEmisData!$C:$C, $H91, NewEmisData!$D:$D, CT$6)</f>
        <v>3.8053813200333601E-3</v>
      </c>
      <c r="CU91" s="1111">
        <f>SUMIFS(NewEmisData!F:F, NewEmisData!$A:$A, $G91, NewEmisData!$B:$B, $A91, NewEmisData!$C:$C, $H91, NewEmisData!$D:$D, CU$6)</f>
        <v>3.8816671778757802E-3</v>
      </c>
      <c r="CV91" s="1111">
        <f>SUMIFS(NewEmisData!G:G, NewEmisData!$A:$A, $G91, NewEmisData!$B:$B, $A91, NewEmisData!$C:$C, $H91, NewEmisData!$D:$D, CV$6)</f>
        <v>4.8845093825486303E-3</v>
      </c>
      <c r="CW91" s="1111">
        <f>SUMIFS(NewEmisData!H:H, NewEmisData!$A:$A, $G91, NewEmisData!$B:$B, $A91, NewEmisData!$C:$C, $H91, NewEmisData!$D:$D, CW$6)</f>
        <v>4.8845901221928898E-3</v>
      </c>
      <c r="CX91" s="1111">
        <f>SUMIFS(NewEmisData!I:I, NewEmisData!$A:$A, $G91, NewEmisData!$B:$B, $A91, NewEmisData!$C:$C, $H91, NewEmisData!$D:$D, CX$6)</f>
        <v>4.8982998611774697E-3</v>
      </c>
      <c r="CY91" s="1111">
        <f>SUMIFS(NewEmisData!J:J, NewEmisData!$A:$A, $G91, NewEmisData!$B:$B, $A91, NewEmisData!$C:$C, $H91, NewEmisData!$D:$D, CY$6)</f>
        <v>4.9066620573488097E-3</v>
      </c>
      <c r="CZ91" s="1111">
        <f>SUMIFS(NewEmisData!K:K, NewEmisData!$A:$A, $G91, NewEmisData!$B:$B, $A91, NewEmisData!$C:$C, $H91, NewEmisData!$D:$D, CZ$6)</f>
        <v>4.90771522630959E-3</v>
      </c>
      <c r="DA91" s="1111">
        <f>SUMIFS(NewEmisData!L:L, NewEmisData!$A:$A, $G91, NewEmisData!$B:$B, $A91, NewEmisData!$C:$C, $H91, NewEmisData!$D:$D, DA$6)</f>
        <v>4.90797605756731E-3</v>
      </c>
      <c r="DB91" s="1111">
        <f>SUMIFS(NewEmisData!M:M, NewEmisData!$A:$A, $G91, NewEmisData!$B:$B, $A91, NewEmisData!$C:$C, $H91, NewEmisData!$D:$D, DB$6)</f>
        <v>4.9079610813754703E-3</v>
      </c>
      <c r="DC91" s="1111">
        <f t="shared" si="126"/>
        <v>4.9079610813754703E-3</v>
      </c>
      <c r="DD91" s="1111"/>
      <c r="DE91" s="1111"/>
      <c r="DF91" s="1111"/>
      <c r="DG91" s="1111"/>
      <c r="DH91" s="1111"/>
      <c r="DI91" s="1111"/>
      <c r="DJ91" s="1111"/>
      <c r="DK91" s="1111"/>
      <c r="DL91" s="1111"/>
      <c r="DM91" s="1111"/>
      <c r="DN91" s="1111"/>
      <c r="DO91" s="1111"/>
      <c r="DP91" s="1111"/>
      <c r="DQ91" s="1111"/>
      <c r="DR91" s="1111"/>
      <c r="DS91" s="1111"/>
      <c r="DT91" s="1111"/>
      <c r="DU91" s="1111"/>
      <c r="DV91" s="1111"/>
      <c r="DW91" s="1111"/>
      <c r="DX91" s="1111"/>
      <c r="DY91" s="1111"/>
      <c r="DZ91" s="1111">
        <f t="shared" si="127"/>
        <v>2.3788532853898401E-2</v>
      </c>
      <c r="EA91" s="1111">
        <f>SUMIFS(NewEmisData!E:E, NewEmisData!$A:$A, $G91, NewEmisData!$B:$B, $A91, NewEmisData!$C:$C, $H91, NewEmisData!$D:$D, EA$6)</f>
        <v>2.3788532853898401E-2</v>
      </c>
      <c r="EB91" s="1111">
        <f>SUMIFS(NewEmisData!F:F, NewEmisData!$A:$A, $G91, NewEmisData!$B:$B, $A91, NewEmisData!$C:$C, $H91, NewEmisData!$D:$D, EB$6)</f>
        <v>5.06232638400895E-2</v>
      </c>
      <c r="EC91" s="1111">
        <f>SUMIFS(NewEmisData!G:G, NewEmisData!$A:$A, $G91, NewEmisData!$B:$B, $A91, NewEmisData!$C:$C, $H91, NewEmisData!$D:$D, EC$6)</f>
        <v>8.7009713960661303E-2</v>
      </c>
      <c r="ED91" s="1111">
        <f>SUMIFS(NewEmisData!H:H, NewEmisData!$A:$A, $G91, NewEmisData!$B:$B, $A91, NewEmisData!$C:$C, $H91, NewEmisData!$D:$D, ED$6)</f>
        <v>9.5942830597456105E-2</v>
      </c>
      <c r="EE91" s="1111">
        <f>SUMIFS(NewEmisData!I:I, NewEmisData!$A:$A, $G91, NewEmisData!$B:$B, $A91, NewEmisData!$C:$C, $H91, NewEmisData!$D:$D, EE$6)</f>
        <v>9.3344720302396503E-2</v>
      </c>
      <c r="EF91" s="1111">
        <f>SUMIFS(NewEmisData!J:J, NewEmisData!$A:$A, $G91, NewEmisData!$B:$B, $A91, NewEmisData!$C:$C, $H91, NewEmisData!$D:$D, EF$6)</f>
        <v>9.3797490813894005E-2</v>
      </c>
      <c r="EG91" s="1111">
        <f>SUMIFS(NewEmisData!K:K, NewEmisData!$A:$A, $G91, NewEmisData!$B:$B, $A91, NewEmisData!$C:$C, $H91, NewEmisData!$D:$D, EG$6)</f>
        <v>9.3753547263910497E-2</v>
      </c>
      <c r="EH91" s="1111">
        <f>SUMIFS(NewEmisData!L:L, NewEmisData!$A:$A, $G91, NewEmisData!$B:$B, $A91, NewEmisData!$C:$C, $H91, NewEmisData!$D:$D, EH$6)</f>
        <v>9.3744088393244801E-2</v>
      </c>
      <c r="EI91" s="1111">
        <f>SUMIFS(NewEmisData!M:M, NewEmisData!$A:$A, $G91, NewEmisData!$B:$B, $A91, NewEmisData!$C:$C, $H91, NewEmisData!$D:$D, EI$6)</f>
        <v>9.3743919124561703E-2</v>
      </c>
      <c r="EJ91" s="1111">
        <f t="shared" si="128"/>
        <v>9.3743919124561703E-2</v>
      </c>
      <c r="EK91" s="1111">
        <f t="shared" si="129"/>
        <v>1790.56535119264</v>
      </c>
      <c r="EL91" s="1111">
        <f t="shared" si="48"/>
        <v>1790.56535119264</v>
      </c>
      <c r="EM91" s="1111">
        <f t="shared" si="49"/>
        <v>1706.0851984819999</v>
      </c>
      <c r="EN91" s="1111">
        <f t="shared" si="50"/>
        <v>1916.4119570956</v>
      </c>
      <c r="EO91" s="1111">
        <f t="shared" si="51"/>
        <v>1866.18041191016</v>
      </c>
      <c r="EP91" s="1111">
        <f t="shared" si="52"/>
        <v>1811.71928124037</v>
      </c>
      <c r="EQ91" s="1111">
        <f t="shared" si="53"/>
        <v>1782.46239941771</v>
      </c>
      <c r="ER91" s="1111">
        <f t="shared" si="54"/>
        <v>1777.87090074862</v>
      </c>
      <c r="ES91" s="1111">
        <f t="shared" si="55"/>
        <v>1776.69085043776</v>
      </c>
      <c r="ET91" s="1111">
        <f t="shared" si="56"/>
        <v>1776.5151337741499</v>
      </c>
      <c r="EU91" s="1111">
        <f t="shared" si="57"/>
        <v>1776.5151337741499</v>
      </c>
      <c r="EV91" s="1111">
        <f t="shared" si="130"/>
        <v>16.722091046014601</v>
      </c>
      <c r="EW91" s="1111">
        <f t="shared" si="38"/>
        <v>16.722091046014601</v>
      </c>
      <c r="EX91" s="1111">
        <f t="shared" si="39"/>
        <v>9.0752835435872505</v>
      </c>
      <c r="EY91" s="1111">
        <f t="shared" si="40"/>
        <v>4.5245768386744603</v>
      </c>
      <c r="EZ91" s="1111">
        <f t="shared" si="41"/>
        <v>2.5948057206972099</v>
      </c>
      <c r="FA91" s="1111">
        <f t="shared" si="42"/>
        <v>1.7233209257637201</v>
      </c>
      <c r="FB91" s="1111">
        <f t="shared" si="43"/>
        <v>1.5952418098202701</v>
      </c>
      <c r="FC91" s="1111">
        <f t="shared" si="44"/>
        <v>1.5343950737018299</v>
      </c>
      <c r="FD91" s="1111">
        <f t="shared" si="45"/>
        <v>1.53213591619592</v>
      </c>
      <c r="FE91" s="1111">
        <f t="shared" si="46"/>
        <v>1.5313515267339699</v>
      </c>
      <c r="FF91" s="1111">
        <f t="shared" si="47"/>
        <v>1.5313515267339699</v>
      </c>
      <c r="FG91" s="1111">
        <f t="shared" si="100"/>
        <v>4.4119301126388497E-2</v>
      </c>
      <c r="FH91" s="1111">
        <f t="shared" si="101"/>
        <v>4.4119301126388497E-2</v>
      </c>
      <c r="FI91" s="1111">
        <f t="shared" si="102"/>
        <v>4.1262348975755703E-2</v>
      </c>
      <c r="FJ91" s="1111">
        <f t="shared" si="103"/>
        <v>1.6180608348462199E-2</v>
      </c>
      <c r="FK91" s="1111">
        <f t="shared" si="104"/>
        <v>1.5603448697606799E-2</v>
      </c>
      <c r="FL91" s="1111">
        <f t="shared" si="105"/>
        <v>1.51144360777349E-2</v>
      </c>
      <c r="FM91" s="1111">
        <f t="shared" si="106"/>
        <v>1.48632492208765E-2</v>
      </c>
      <c r="FN91" s="1111">
        <f t="shared" si="107"/>
        <v>1.48223265055839E-2</v>
      </c>
      <c r="FO91" s="1111">
        <f t="shared" si="108"/>
        <v>1.4812489715302499E-2</v>
      </c>
      <c r="FP91" s="1111">
        <f t="shared" si="109"/>
        <v>1.4811022783827199E-2</v>
      </c>
      <c r="FQ91" s="1111">
        <f t="shared" si="110"/>
        <v>1.4811022783827199E-2</v>
      </c>
      <c r="FR91" s="1111">
        <f t="shared" si="133"/>
        <v>1.28818009730681</v>
      </c>
      <c r="FS91" s="1111">
        <f t="shared" si="134"/>
        <v>1.28818009730681</v>
      </c>
      <c r="FT91" s="1111">
        <f t="shared" si="135"/>
        <v>0.82680779710365904</v>
      </c>
      <c r="FU91" s="1111">
        <f t="shared" si="136"/>
        <v>0.60179805225314997</v>
      </c>
      <c r="FV91" s="1111">
        <f t="shared" si="137"/>
        <v>0.46595581954183302</v>
      </c>
      <c r="FW91" s="1111">
        <f t="shared" si="138"/>
        <v>0.42951735045103701</v>
      </c>
      <c r="FX91" s="1111">
        <f t="shared" si="139"/>
        <v>0.41980468763527201</v>
      </c>
      <c r="FY91" s="1111">
        <f t="shared" si="140"/>
        <v>0.41759644007116198</v>
      </c>
      <c r="FZ91" s="1111">
        <f t="shared" si="141"/>
        <v>0.41747064951560697</v>
      </c>
      <c r="GA91" s="1111">
        <f t="shared" si="142"/>
        <v>0.41748018000731701</v>
      </c>
      <c r="GB91" s="1111">
        <f t="shared" si="143"/>
        <v>0.41748018000731701</v>
      </c>
      <c r="GC91" s="1111">
        <f t="shared" si="59"/>
        <v>0.93126594217890002</v>
      </c>
      <c r="GD91" s="1111">
        <f t="shared" si="60"/>
        <v>0.93126594217890002</v>
      </c>
      <c r="GE91" s="1111">
        <f t="shared" si="61"/>
        <v>0.51703307471742999</v>
      </c>
      <c r="GF91" s="1111">
        <f t="shared" si="62"/>
        <v>0.24432975283286401</v>
      </c>
      <c r="GG91" s="1111">
        <f t="shared" si="63"/>
        <v>0.11886455572614001</v>
      </c>
      <c r="GH91" s="1111">
        <f t="shared" si="64"/>
        <v>8.9573048763309293E-2</v>
      </c>
      <c r="GI91" s="1111">
        <f t="shared" si="65"/>
        <v>8.3197971818451094E-2</v>
      </c>
      <c r="GJ91" s="1111">
        <f t="shared" si="66"/>
        <v>8.15020489665223E-2</v>
      </c>
      <c r="GK91" s="1111">
        <f t="shared" si="67"/>
        <v>8.1467138980072906E-2</v>
      </c>
      <c r="GL91" s="1111">
        <f t="shared" si="68"/>
        <v>8.1466979548160803E-2</v>
      </c>
      <c r="GM91" s="1111">
        <f t="shared" si="69"/>
        <v>8.1466979548160803E-2</v>
      </c>
    </row>
    <row r="92" spans="1:195" x14ac:dyDescent="0.2">
      <c r="A92" s="1071" t="s">
        <v>182</v>
      </c>
      <c r="B92" s="1071" t="str">
        <f>NewTech!B21</f>
        <v>TBDSLAH</v>
      </c>
      <c r="C92" s="1071" t="str">
        <f>NewTech!C21</f>
        <v>Bus, Advanced Hybrid Diesel</v>
      </c>
      <c r="D92" s="1071" t="str">
        <f>NewTech!D21</f>
        <v>bn-vmt, bn-vmt/a</v>
      </c>
      <c r="E92" s="1071" t="str">
        <f>NewTech!E21</f>
        <v>TBDSL</v>
      </c>
      <c r="F92" s="1071" t="str">
        <f>NewTech!F21</f>
        <v>TB</v>
      </c>
      <c r="G92" s="1110" t="s">
        <v>498</v>
      </c>
      <c r="H92" s="1110" t="s">
        <v>499</v>
      </c>
      <c r="I92" s="1112">
        <v>1</v>
      </c>
      <c r="J92" s="1111" t="str">
        <f t="shared" si="37"/>
        <v>Bus-DSL</v>
      </c>
      <c r="K92" s="1111">
        <f>SUMIFS(NewEmisData!E:E, NewEmisData!$A:$A, $G92, NewEmisData!$B:$B, $A92, NewEmisData!$C:$C, $H92, NewEmisData!$D:$D, K$6)</f>
        <v>1573.0981920694501</v>
      </c>
      <c r="L92" s="1111">
        <f>SUMIFS(NewEmisData!F:F, NewEmisData!$A:$A, $G92, NewEmisData!$B:$B, $A92, NewEmisData!$C:$C, $H92, NewEmisData!$D:$D, L$6)</f>
        <v>1544.3679757121099</v>
      </c>
      <c r="M92" s="1111">
        <f>SUMIFS(NewEmisData!G:G, NewEmisData!$A:$A, $G92, NewEmisData!$B:$B, $A92, NewEmisData!$C:$C, $H92, NewEmisData!$D:$D, M$6)</f>
        <v>1916.5843083058301</v>
      </c>
      <c r="N92" s="1111">
        <f>SUMIFS(NewEmisData!H:H, NewEmisData!$A:$A, $G92, NewEmisData!$B:$B, $A92, NewEmisData!$C:$C, $H92, NewEmisData!$D:$D, N$6)</f>
        <v>1868.9930069357799</v>
      </c>
      <c r="O92" s="1111">
        <f>SUMIFS(NewEmisData!I:I, NewEmisData!$A:$A, $G92, NewEmisData!$B:$B, $A92, NewEmisData!$C:$C, $H92, NewEmisData!$D:$D, O$6)</f>
        <v>1812.7966575929599</v>
      </c>
      <c r="P92" s="1111">
        <f>SUMIFS(NewEmisData!J:J, NewEmisData!$A:$A, $G92, NewEmisData!$B:$B, $A92, NewEmisData!$C:$C, $H92, NewEmisData!$D:$D, P$6)</f>
        <v>1785.4009056329501</v>
      </c>
      <c r="Q92" s="1111">
        <f>SUMIFS(NewEmisData!K:K, NewEmisData!$A:$A, $G92, NewEmisData!$B:$B, $A92, NewEmisData!$C:$C, $H92, NewEmisData!$D:$D, Q$6)</f>
        <v>1781.1669913012199</v>
      </c>
      <c r="R92" s="1111">
        <f>SUMIFS(NewEmisData!L:L, NewEmisData!$A:$A, $G92, NewEmisData!$B:$B, $A92, NewEmisData!$C:$C, $H92, NewEmisData!$D:$D, R$6)</f>
        <v>1779.89338532949</v>
      </c>
      <c r="S92" s="1111">
        <f>SUMIFS(NewEmisData!M:M, NewEmisData!$A:$A, $G92, NewEmisData!$B:$B, $A92, NewEmisData!$C:$C, $H92, NewEmisData!$D:$D, S$6)</f>
        <v>1779.28555768666</v>
      </c>
      <c r="T92" s="1111">
        <f t="shared" si="131"/>
        <v>1779.28555768666</v>
      </c>
      <c r="U92" s="1111">
        <f>SUMIFS(NewEmisData!E:E, NewEmisData!$A:$A, $G92, NewEmisData!$B:$B, $A92, NewEmisData!$C:$C, $H92, NewEmisData!$D:$D, U$6)</f>
        <v>25.485894447035299</v>
      </c>
      <c r="V92" s="1111">
        <f>SUMIFS(NewEmisData!F:F, NewEmisData!$A:$A, $G92, NewEmisData!$B:$B, $A92, NewEmisData!$C:$C, $H92, NewEmisData!$D:$D, V$6)</f>
        <v>16.635316417576099</v>
      </c>
      <c r="W92" s="1111">
        <f>SUMIFS(NewEmisData!G:G, NewEmisData!$A:$A, $G92, NewEmisData!$B:$B, $A92, NewEmisData!$C:$C, $H92, NewEmisData!$D:$D, W$6)</f>
        <v>5.6806504273613996</v>
      </c>
      <c r="X92" s="1111">
        <f>SUMIFS(NewEmisData!H:H, NewEmisData!$A:$A, $G92, NewEmisData!$B:$B, $A92, NewEmisData!$C:$C, $H92, NewEmisData!$D:$D, X$6)</f>
        <v>3.05403934027653</v>
      </c>
      <c r="Y92" s="1111">
        <f>SUMIFS(NewEmisData!I:I, NewEmisData!$A:$A, $G92, NewEmisData!$B:$B, $A92, NewEmisData!$C:$C, $H92, NewEmisData!$D:$D, Y$6)</f>
        <v>2.1007258350226801</v>
      </c>
      <c r="Z92" s="1111">
        <f>SUMIFS(NewEmisData!J:J, NewEmisData!$A:$A, $G92, NewEmisData!$B:$B, $A92, NewEmisData!$C:$C, $H92, NewEmisData!$D:$D, Z$6)</f>
        <v>1.87658987655799</v>
      </c>
      <c r="AA92" s="1111">
        <f>SUMIFS(NewEmisData!K:K, NewEmisData!$A:$A, $G92, NewEmisData!$B:$B, $A92, NewEmisData!$C:$C, $H92, NewEmisData!$D:$D, AA$6)</f>
        <v>1.7679420427249899</v>
      </c>
      <c r="AB92" s="1111">
        <f>SUMIFS(NewEmisData!L:L, NewEmisData!$A:$A, $G92, NewEmisData!$B:$B, $A92, NewEmisData!$C:$C, $H92, NewEmisData!$D:$D, AB$6)</f>
        <v>1.7647235248156601</v>
      </c>
      <c r="AC92" s="1111">
        <f>SUMIFS(NewEmisData!M:M, NewEmisData!$A:$A, $G92, NewEmisData!$B:$B, $A92, NewEmisData!$C:$C, $H92, NewEmisData!$D:$D, AC$6)</f>
        <v>1.76351431040301</v>
      </c>
      <c r="AD92" s="1111">
        <f t="shared" si="132"/>
        <v>1.76351431040301</v>
      </c>
      <c r="AE92" s="1111">
        <f t="shared" si="113"/>
        <v>3.9377821944932299E-2</v>
      </c>
      <c r="AF92" s="1111">
        <f>SUMIFS(NewEmisData!E:E, NewEmisData!$A:$A, $G92, NewEmisData!$B:$B, $A92, NewEmisData!$C:$C, $H92, NewEmisData!$D:$D, AF$6)</f>
        <v>3.9377821944932299E-2</v>
      </c>
      <c r="AG92" s="1111">
        <f>SUMIFS(NewEmisData!F:F, NewEmisData!$A:$A, $G92, NewEmisData!$B:$B, $A92, NewEmisData!$C:$C, $H92, NewEmisData!$D:$D, AG$6)</f>
        <v>3.7984236057639099E-2</v>
      </c>
      <c r="AH92" s="1111">
        <f>SUMIFS(NewEmisData!G:G, NewEmisData!$A:$A, $G92, NewEmisData!$B:$B, $A92, NewEmisData!$C:$C, $H92, NewEmisData!$D:$D, AH$6)</f>
        <v>1.6214018510996998E-2</v>
      </c>
      <c r="AI92" s="1111">
        <f>SUMIFS(NewEmisData!H:H, NewEmisData!$A:$A, $G92, NewEmisData!$B:$B, $A92, NewEmisData!$C:$C, $H92, NewEmisData!$D:$D, AI$6)</f>
        <v>1.5642379959483001E-2</v>
      </c>
      <c r="AJ92" s="1111">
        <f>SUMIFS(NewEmisData!I:I, NewEmisData!$A:$A, $G92, NewEmisData!$B:$B, $A92, NewEmisData!$C:$C, $H92, NewEmisData!$D:$D, AJ$6)</f>
        <v>1.5129566396989799E-2</v>
      </c>
      <c r="AK92" s="1111">
        <f>SUMIFS(NewEmisData!J:J, NewEmisData!$A:$A, $G92, NewEmisData!$B:$B, $A92, NewEmisData!$C:$C, $H92, NewEmisData!$D:$D, AK$6)</f>
        <v>1.48940539224115E-2</v>
      </c>
      <c r="AL92" s="1111">
        <f>SUMIFS(NewEmisData!K:K, NewEmisData!$A:$A, $G92, NewEmisData!$B:$B, $A92, NewEmisData!$C:$C, $H92, NewEmisData!$D:$D, AL$6)</f>
        <v>1.48498058438792E-2</v>
      </c>
      <c r="AM92" s="1111">
        <f>SUMIFS(NewEmisData!L:L, NewEmisData!$A:$A, $G92, NewEmisData!$B:$B, $A92, NewEmisData!$C:$C, $H92, NewEmisData!$D:$D, AM$6)</f>
        <v>1.48391871090011E-2</v>
      </c>
      <c r="AN92" s="1111">
        <f>SUMIFS(NewEmisData!M:M, NewEmisData!$A:$A, $G92, NewEmisData!$B:$B, $A92, NewEmisData!$C:$C, $H92, NewEmisData!$D:$D, AN$6)</f>
        <v>1.4834122168645001E-2</v>
      </c>
      <c r="AO92" s="1111">
        <f t="shared" si="114"/>
        <v>1.4834122168645001E-2</v>
      </c>
      <c r="AP92" s="1111">
        <f t="shared" si="115"/>
        <v>1.6759760982763601</v>
      </c>
      <c r="AQ92" s="1111">
        <f>SUMIFS(NewEmisData!E:E, NewEmisData!$A:$A, $G92, NewEmisData!$B:$B, $A92, NewEmisData!$C:$C, $H92, NewEmisData!$D:$D, AQ$6)</f>
        <v>1.6759760982763601</v>
      </c>
      <c r="AR92" s="1111">
        <f>SUMIFS(NewEmisData!F:F, NewEmisData!$A:$A, $G92, NewEmisData!$B:$B, $A92, NewEmisData!$C:$C, $H92, NewEmisData!$D:$D, AR$6)</f>
        <v>1.2591555489209101</v>
      </c>
      <c r="AS92" s="1111">
        <f>SUMIFS(NewEmisData!G:G, NewEmisData!$A:$A, $G92, NewEmisData!$B:$B, $A92, NewEmisData!$C:$C, $H92, NewEmisData!$D:$D, AS$6)</f>
        <v>0.67744248626063297</v>
      </c>
      <c r="AT92" s="1111">
        <f>SUMIFS(NewEmisData!H:H, NewEmisData!$A:$A, $G92, NewEmisData!$B:$B, $A92, NewEmisData!$C:$C, $H92, NewEmisData!$D:$D, AT$6)</f>
        <v>0.52738778166466604</v>
      </c>
      <c r="AU92" s="1111">
        <f>SUMIFS(NewEmisData!I:I, NewEmisData!$A:$A, $G92, NewEmisData!$B:$B, $A92, NewEmisData!$C:$C, $H92, NewEmisData!$D:$D, AU$6)</f>
        <v>0.48358848951405597</v>
      </c>
      <c r="AV92" s="1111">
        <f>SUMIFS(NewEmisData!J:J, NewEmisData!$A:$A, $G92, NewEmisData!$B:$B, $A92, NewEmisData!$C:$C, $H92, NewEmisData!$D:$D, AV$6)</f>
        <v>0.472761661372815</v>
      </c>
      <c r="AW92" s="1111">
        <f>SUMIFS(NewEmisData!K:K, NewEmisData!$A:$A, $G92, NewEmisData!$B:$B, $A92, NewEmisData!$C:$C, $H92, NewEmisData!$D:$D, AW$6)</f>
        <v>0.46753146166185999</v>
      </c>
      <c r="AX92" s="1111">
        <f>SUMIFS(NewEmisData!L:L, NewEmisData!$A:$A, $G92, NewEmisData!$B:$B, $A92, NewEmisData!$C:$C, $H92, NewEmisData!$D:$D, AX$6)</f>
        <v>0.46733602925816797</v>
      </c>
      <c r="AY92" s="1111">
        <f>SUMIFS(NewEmisData!M:M, NewEmisData!$A:$A, $G92, NewEmisData!$B:$B, $A92, NewEmisData!$C:$C, $H92, NewEmisData!$D:$D, AY$6)</f>
        <v>0.46734012500094102</v>
      </c>
      <c r="AZ92" s="1111">
        <f t="shared" si="116"/>
        <v>0.46734012500094102</v>
      </c>
      <c r="BA92" s="1111">
        <f t="shared" si="117"/>
        <v>1.31772095909569</v>
      </c>
      <c r="BB92" s="1111">
        <f>SUMIFS(NewEmisData!E:E, NewEmisData!$A:$A, $G92, NewEmisData!$B:$B, $A92, NewEmisData!$C:$C, $H92, NewEmisData!$D:$D, BB$6)</f>
        <v>1.31772095909569</v>
      </c>
      <c r="BC92" s="1111">
        <f>SUMIFS(NewEmisData!F:F, NewEmisData!$A:$A, $G92, NewEmisData!$B:$B, $A92, NewEmisData!$C:$C, $H92, NewEmisData!$D:$D, BC$6)</f>
        <v>0.93325433252970902</v>
      </c>
      <c r="BD92" s="1111">
        <f>SUMIFS(NewEmisData!G:G, NewEmisData!$A:$A, $G92, NewEmisData!$B:$B, $A92, NewEmisData!$C:$C, $H92, NewEmisData!$D:$D, BD$6)</f>
        <v>0.27440125765457901</v>
      </c>
      <c r="BE92" s="1111">
        <f>SUMIFS(NewEmisData!H:H, NewEmisData!$A:$A, $G92, NewEmisData!$B:$B, $A92, NewEmisData!$C:$C, $H92, NewEmisData!$D:$D, BE$6)</f>
        <v>0.135307690590454</v>
      </c>
      <c r="BF92" s="1111">
        <f>SUMIFS(NewEmisData!I:I, NewEmisData!$A:$A, $G92, NewEmisData!$B:$B, $A92, NewEmisData!$C:$C, $H92, NewEmisData!$D:$D, BF$6)</f>
        <v>0.10091565939698199</v>
      </c>
      <c r="BG92" s="1111">
        <f>SUMIFS(NewEmisData!J:J, NewEmisData!$A:$A, $G92, NewEmisData!$B:$B, $A92, NewEmisData!$C:$C, $H92, NewEmisData!$D:$D, BG$6)</f>
        <v>9.4307179930071303E-2</v>
      </c>
      <c r="BH92" s="1111">
        <f>SUMIFS(NewEmisData!K:K, NewEmisData!$A:$A, $G92, NewEmisData!$B:$B, $A92, NewEmisData!$C:$C, $H92, NewEmisData!$D:$D, BH$6)</f>
        <v>8.9937296191057697E-2</v>
      </c>
      <c r="BI92" s="1111">
        <f>SUMIFS(NewEmisData!L:L, NewEmisData!$A:$A, $G92, NewEmisData!$B:$B, $A92, NewEmisData!$C:$C, $H92, NewEmisData!$D:$D, BI$6)</f>
        <v>8.9863311660723005E-2</v>
      </c>
      <c r="BJ92" s="1111">
        <f>SUMIFS(NewEmisData!M:M, NewEmisData!$A:$A, $G92, NewEmisData!$B:$B, $A92, NewEmisData!$C:$C, $H92, NewEmisData!$D:$D, BJ$6)</f>
        <v>8.9850222817437805E-2</v>
      </c>
      <c r="BK92" s="1111">
        <f t="shared" si="118"/>
        <v>8.9850222817437805E-2</v>
      </c>
      <c r="BL92" s="1111">
        <f t="shared" si="119"/>
        <v>9.42494595370054</v>
      </c>
      <c r="BM92" s="1111">
        <f>SUMIFS(NewEmisData!E:E, NewEmisData!$A:$A, $G92, NewEmisData!$B:$B, $A92, NewEmisData!$C:$C, $H92, NewEmisData!$D:$D, BM$6)</f>
        <v>9.42494595370054</v>
      </c>
      <c r="BN92" s="1111">
        <f>SUMIFS(NewEmisData!F:F, NewEmisData!$A:$A, $G92, NewEmisData!$B:$B, $A92, NewEmisData!$C:$C, $H92, NewEmisData!$D:$D, BN$6)</f>
        <v>6.5151522418316503</v>
      </c>
      <c r="BO92" s="1111">
        <f>SUMIFS(NewEmisData!G:G, NewEmisData!$A:$A, $G92, NewEmisData!$B:$B, $A92, NewEmisData!$C:$C, $H92, NewEmisData!$D:$D, BO$6)</f>
        <v>2.9013962679725198</v>
      </c>
      <c r="BP92" s="1111">
        <f>SUMIFS(NewEmisData!H:H, NewEmisData!$A:$A, $G92, NewEmisData!$B:$B, $A92, NewEmisData!$C:$C, $H92, NewEmisData!$D:$D, BP$6)</f>
        <v>1.8001555126276301</v>
      </c>
      <c r="BQ92" s="1111">
        <f>SUMIFS(NewEmisData!I:I, NewEmisData!$A:$A, $G92, NewEmisData!$B:$B, $A92, NewEmisData!$C:$C, $H92, NewEmisData!$D:$D, BQ$6)</f>
        <v>1.6438313765408701</v>
      </c>
      <c r="BR92" s="1111">
        <f>SUMIFS(NewEmisData!J:J, NewEmisData!$A:$A, $G92, NewEmisData!$B:$B, $A92, NewEmisData!$C:$C, $H92, NewEmisData!$D:$D, BR$6)</f>
        <v>1.57432933432189</v>
      </c>
      <c r="BS92" s="1111">
        <f>SUMIFS(NewEmisData!K:K, NewEmisData!$A:$A, $G92, NewEmisData!$B:$B, $A92, NewEmisData!$C:$C, $H92, NewEmisData!$D:$D, BS$6)</f>
        <v>1.5408503449425099</v>
      </c>
      <c r="BT92" s="1111">
        <f>SUMIFS(NewEmisData!L:L, NewEmisData!$A:$A, $G92, NewEmisData!$B:$B, $A92, NewEmisData!$C:$C, $H92, NewEmisData!$D:$D, BT$6)</f>
        <v>1.5416002309750501</v>
      </c>
      <c r="BU92" s="1111">
        <f>SUMIFS(NewEmisData!M:M, NewEmisData!$A:$A, $G92, NewEmisData!$B:$B, $A92, NewEmisData!$C:$C, $H92, NewEmisData!$D:$D, BU$6)</f>
        <v>1.54141496966159</v>
      </c>
      <c r="BV92" s="1111">
        <f t="shared" si="120"/>
        <v>1.54141496966159</v>
      </c>
      <c r="BW92" s="1111">
        <f t="shared" si="121"/>
        <v>1.84761615807355</v>
      </c>
      <c r="BX92" s="1111">
        <f>SUMIFS(NewEmisData!E:E, NewEmisData!$A:$A, $G92, NewEmisData!$B:$B, $A92, NewEmisData!$C:$C, $H92, NewEmisData!$D:$D, BX$6)</f>
        <v>1.84761615807355</v>
      </c>
      <c r="BY92" s="1111">
        <f>SUMIFS(NewEmisData!F:F, NewEmisData!$A:$A, $G92, NewEmisData!$B:$B, $A92, NewEmisData!$C:$C, $H92, NewEmisData!$D:$D, BY$6)</f>
        <v>1.40257055938169</v>
      </c>
      <c r="BZ92" s="1111">
        <f>SUMIFS(NewEmisData!G:G, NewEmisData!$A:$A, $G92, NewEmisData!$B:$B, $A92, NewEmisData!$C:$C, $H92, NewEmisData!$D:$D, BZ$6)</f>
        <v>0.61956439340661196</v>
      </c>
      <c r="CA92" s="1111">
        <f>SUMIFS(NewEmisData!H:H, NewEmisData!$A:$A, $G92, NewEmisData!$B:$B, $A92, NewEmisData!$C:$C, $H92, NewEmisData!$D:$D, CA$6)</f>
        <v>0.26929109587747802</v>
      </c>
      <c r="CB92" s="1111">
        <f>SUMIFS(NewEmisData!I:I, NewEmisData!$A:$A, $G92, NewEmisData!$B:$B, $A92, NewEmisData!$C:$C, $H92, NewEmisData!$D:$D, CB$6)</f>
        <v>0.19094706305498699</v>
      </c>
      <c r="CC92" s="1111">
        <f>SUMIFS(NewEmisData!J:J, NewEmisData!$A:$A, $G92, NewEmisData!$B:$B, $A92, NewEmisData!$C:$C, $H92, NewEmisData!$D:$D, CC$6)</f>
        <v>0.172288027054284</v>
      </c>
      <c r="CD92" s="1111">
        <f>SUMIFS(NewEmisData!K:K, NewEmisData!$A:$A, $G92, NewEmisData!$B:$B, $A92, NewEmisData!$C:$C, $H92, NewEmisData!$D:$D, CD$6)</f>
        <v>0.15756259162820199</v>
      </c>
      <c r="CE92" s="1111">
        <f>SUMIFS(NewEmisData!L:L, NewEmisData!$A:$A, $G92, NewEmisData!$B:$B, $A92, NewEmisData!$C:$C, $H92, NewEmisData!$D:$D, CE$6)</f>
        <v>0.157519892644533</v>
      </c>
      <c r="CF92" s="1111">
        <f>SUMIFS(NewEmisData!M:M, NewEmisData!$A:$A, $G92, NewEmisData!$B:$B, $A92, NewEmisData!$C:$C, $H92, NewEmisData!$D:$D, CF$6)</f>
        <v>0.15750071717103001</v>
      </c>
      <c r="CG92" s="1111">
        <f t="shared" si="122"/>
        <v>0.15750071717103001</v>
      </c>
      <c r="CH92" s="1111">
        <f t="shared" si="123"/>
        <v>2.6212030110567601E-2</v>
      </c>
      <c r="CI92" s="1111">
        <f>SUMIFS(NewEmisData!E:E, NewEmisData!$A:$A, $G92, NewEmisData!$B:$B, $A92, NewEmisData!$C:$C, $H92, NewEmisData!$D:$D, CI$6)</f>
        <v>2.6212030110567601E-2</v>
      </c>
      <c r="CJ92" s="1111">
        <f>SUMIFS(NewEmisData!F:F, NewEmisData!$A:$A, $G92, NewEmisData!$B:$B, $A92, NewEmisData!$C:$C, $H92, NewEmisData!$D:$D, CJ$6)</f>
        <v>2.6306147637779401E-2</v>
      </c>
      <c r="CK92" s="1111">
        <f>SUMIFS(NewEmisData!G:G, NewEmisData!$A:$A, $G92, NewEmisData!$B:$B, $A92, NewEmisData!$C:$C, $H92, NewEmisData!$D:$D, CK$6)</f>
        <v>3.6703962076044899E-2</v>
      </c>
      <c r="CL92" s="1111">
        <f>SUMIFS(NewEmisData!H:H, NewEmisData!$A:$A, $G92, NewEmisData!$B:$B, $A92, NewEmisData!$C:$C, $H92, NewEmisData!$D:$D, CL$6)</f>
        <v>3.6724988920478097E-2</v>
      </c>
      <c r="CM92" s="1111">
        <f>SUMIFS(NewEmisData!I:I, NewEmisData!$A:$A, $G92, NewEmisData!$B:$B, $A92, NewEmisData!$C:$C, $H92, NewEmisData!$D:$D, CM$6)</f>
        <v>3.6651621694611301E-2</v>
      </c>
      <c r="CN92" s="1111">
        <f>SUMIFS(NewEmisData!J:J, NewEmisData!$A:$A, $G92, NewEmisData!$B:$B, $A92, NewEmisData!$C:$C, $H92, NewEmisData!$D:$D, CN$6)</f>
        <v>3.6612099035051998E-2</v>
      </c>
      <c r="CO92" s="1111">
        <f>SUMIFS(NewEmisData!K:K, NewEmisData!$A:$A, $G92, NewEmisData!$B:$B, $A92, NewEmisData!$C:$C, $H92, NewEmisData!$D:$D, CO$6)</f>
        <v>3.6606158410121097E-2</v>
      </c>
      <c r="CP92" s="1111">
        <f>SUMIFS(NewEmisData!L:L, NewEmisData!$A:$A, $G92, NewEmisData!$B:$B, $A92, NewEmisData!$C:$C, $H92, NewEmisData!$D:$D, CP$6)</f>
        <v>3.6604649349406201E-2</v>
      </c>
      <c r="CQ92" s="1111">
        <f>SUMIFS(NewEmisData!M:M, NewEmisData!$A:$A, $G92, NewEmisData!$B:$B, $A92, NewEmisData!$C:$C, $H92, NewEmisData!$D:$D, CQ$6)</f>
        <v>3.6605318323892203E-2</v>
      </c>
      <c r="CR92" s="1111">
        <f t="shared" si="124"/>
        <v>3.6605318323892203E-2</v>
      </c>
      <c r="CS92" s="1111">
        <f t="shared" si="125"/>
        <v>4.9860992358685303E-3</v>
      </c>
      <c r="CT92" s="1111">
        <f>SUMIFS(NewEmisData!E:E, NewEmisData!$A:$A, $G92, NewEmisData!$B:$B, $A92, NewEmisData!$C:$C, $H92, NewEmisData!$D:$D, CT$6)</f>
        <v>4.9860992358685303E-3</v>
      </c>
      <c r="CU92" s="1111">
        <f>SUMIFS(NewEmisData!F:F, NewEmisData!$A:$A, $G92, NewEmisData!$B:$B, $A92, NewEmisData!$C:$C, $H92, NewEmisData!$D:$D, CU$6)</f>
        <v>4.7742875379494596E-3</v>
      </c>
      <c r="CV92" s="1111">
        <f>SUMIFS(NewEmisData!G:G, NewEmisData!$A:$A, $G92, NewEmisData!$B:$B, $A92, NewEmisData!$C:$C, $H92, NewEmisData!$D:$D, CV$6)</f>
        <v>7.2603358828681602E-3</v>
      </c>
      <c r="CW92" s="1111">
        <f>SUMIFS(NewEmisData!H:H, NewEmisData!$A:$A, $G92, NewEmisData!$B:$B, $A92, NewEmisData!$C:$C, $H92, NewEmisData!$D:$D, CW$6)</f>
        <v>7.2661933727351004E-3</v>
      </c>
      <c r="CX92" s="1111">
        <f>SUMIFS(NewEmisData!I:I, NewEmisData!$A:$A, $G92, NewEmisData!$B:$B, $A92, NewEmisData!$C:$C, $H92, NewEmisData!$D:$D, CX$6)</f>
        <v>7.3123890355101103E-3</v>
      </c>
      <c r="CY92" s="1111">
        <f>SUMIFS(NewEmisData!J:J, NewEmisData!$A:$A, $G92, NewEmisData!$B:$B, $A92, NewEmisData!$C:$C, $H92, NewEmisData!$D:$D, CY$6)</f>
        <v>7.3404374727568103E-3</v>
      </c>
      <c r="CZ92" s="1111">
        <f>SUMIFS(NewEmisData!K:K, NewEmisData!$A:$A, $G92, NewEmisData!$B:$B, $A92, NewEmisData!$C:$C, $H92, NewEmisData!$D:$D, CZ$6)</f>
        <v>7.3437457061269196E-3</v>
      </c>
      <c r="DA92" s="1111">
        <f>SUMIFS(NewEmisData!L:L, NewEmisData!$A:$A, $G92, NewEmisData!$B:$B, $A92, NewEmisData!$C:$C, $H92, NewEmisData!$D:$D, DA$6)</f>
        <v>7.3446144592809104E-3</v>
      </c>
      <c r="DB92" s="1111">
        <f>SUMIFS(NewEmisData!M:M, NewEmisData!$A:$A, $G92, NewEmisData!$B:$B, $A92, NewEmisData!$C:$C, $H92, NewEmisData!$D:$D, DB$6)</f>
        <v>7.3444994559674001E-3</v>
      </c>
      <c r="DC92" s="1111">
        <f t="shared" si="126"/>
        <v>7.3444994559674001E-3</v>
      </c>
      <c r="DD92" s="1111">
        <v>0.39300578709389528</v>
      </c>
      <c r="DE92" s="1111">
        <v>0.25218506439547889</v>
      </c>
      <c r="DF92" s="1111">
        <v>9.0680333464346716E-2</v>
      </c>
      <c r="DG92" s="1111">
        <v>1.5259203997944157E-2</v>
      </c>
      <c r="DH92" s="1111">
        <v>1.442984591146376E-3</v>
      </c>
      <c r="DI92" s="1111">
        <v>1.4216300052729372E-3</v>
      </c>
      <c r="DJ92" s="1111">
        <v>1.4222674909691675E-3</v>
      </c>
      <c r="DK92" s="1111">
        <v>1.4222968522144778E-3</v>
      </c>
      <c r="DL92" s="1111">
        <v>1.4226321321994845E-3</v>
      </c>
      <c r="DM92" s="1111">
        <v>1.4227267584946933E-3</v>
      </c>
      <c r="DN92" s="1111">
        <v>1.4227267584946933E-3</v>
      </c>
      <c r="DO92" s="1111">
        <v>0.20788279259438966</v>
      </c>
      <c r="DP92" s="1111">
        <v>0.14188647424950029</v>
      </c>
      <c r="DQ92" s="1111">
        <v>6.2736208538959407E-2</v>
      </c>
      <c r="DR92" s="1111">
        <v>1.2554111333601691E-2</v>
      </c>
      <c r="DS92" s="1111">
        <v>2.5088278770177383E-3</v>
      </c>
      <c r="DT92" s="1111">
        <v>2.4717000504004827E-3</v>
      </c>
      <c r="DU92" s="1111">
        <v>2.472808290816776E-3</v>
      </c>
      <c r="DV92" s="1111">
        <v>2.4728594625776285E-3</v>
      </c>
      <c r="DW92" s="1111">
        <v>2.4734423116144133E-3</v>
      </c>
      <c r="DX92" s="1111">
        <v>2.4736068982878887E-3</v>
      </c>
      <c r="DY92" s="1111">
        <v>2.4736068982878887E-3</v>
      </c>
      <c r="DZ92" s="1111">
        <f t="shared" si="127"/>
        <v>1.13593830923209E-2</v>
      </c>
      <c r="EA92" s="1111">
        <f>SUMIFS(NewEmisData!E:E, NewEmisData!$A:$A, $G92, NewEmisData!$B:$B, $A92, NewEmisData!$C:$C, $H92, NewEmisData!$D:$D, EA$6)</f>
        <v>1.13593830923209E-2</v>
      </c>
      <c r="EB92" s="1111">
        <f>SUMIFS(NewEmisData!F:F, NewEmisData!$A:$A, $G92, NewEmisData!$B:$B, $A92, NewEmisData!$C:$C, $H92, NewEmisData!$D:$D, EB$6)</f>
        <v>3.7803123032821302E-2</v>
      </c>
      <c r="EC92" s="1111">
        <f>SUMIFS(NewEmisData!G:G, NewEmisData!$A:$A, $G92, NewEmisData!$B:$B, $A92, NewEmisData!$C:$C, $H92, NewEmisData!$D:$D, EC$6)</f>
        <v>0.124437290193953</v>
      </c>
      <c r="ED92" s="1111">
        <f>SUMIFS(NewEmisData!H:H, NewEmisData!$A:$A, $G92, NewEmisData!$B:$B, $A92, NewEmisData!$C:$C, $H92, NewEmisData!$D:$D, ED$6)</f>
        <v>0.136903583493692</v>
      </c>
      <c r="EE92" s="1111">
        <f>SUMIFS(NewEmisData!I:I, NewEmisData!$A:$A, $G92, NewEmisData!$B:$B, $A92, NewEmisData!$C:$C, $H92, NewEmisData!$D:$D, EE$6)</f>
        <v>0.13674174011835499</v>
      </c>
      <c r="EF92" s="1111">
        <f>SUMIFS(NewEmisData!J:J, NewEmisData!$A:$A, $G92, NewEmisData!$B:$B, $A92, NewEmisData!$C:$C, $H92, NewEmisData!$D:$D, EF$6)</f>
        <v>0.13774221915503501</v>
      </c>
      <c r="EG92" s="1111">
        <f>SUMIFS(NewEmisData!K:K, NewEmisData!$A:$A, $G92, NewEmisData!$B:$B, $A92, NewEmisData!$C:$C, $H92, NewEmisData!$D:$D, EG$6)</f>
        <v>0.13873461497783901</v>
      </c>
      <c r="EH92" s="1111">
        <f>SUMIFS(NewEmisData!L:L, NewEmisData!$A:$A, $G92, NewEmisData!$B:$B, $A92, NewEmisData!$C:$C, $H92, NewEmisData!$D:$D, EH$6)</f>
        <v>0.13871065448301201</v>
      </c>
      <c r="EI92" s="1111">
        <f>SUMIFS(NewEmisData!M:M, NewEmisData!$A:$A, $G92, NewEmisData!$B:$B, $A92, NewEmisData!$C:$C, $H92, NewEmisData!$D:$D, EI$6)</f>
        <v>0.13870041556896201</v>
      </c>
      <c r="EJ92" s="1111">
        <f t="shared" si="128"/>
        <v>0.13870041556896201</v>
      </c>
      <c r="EK92" s="1111">
        <f t="shared" si="129"/>
        <v>1573.0981920694501</v>
      </c>
      <c r="EL92" s="1111">
        <f t="shared" si="48"/>
        <v>1573.0981920694501</v>
      </c>
      <c r="EM92" s="1111">
        <f t="shared" si="49"/>
        <v>1544.3679757121099</v>
      </c>
      <c r="EN92" s="1111">
        <f t="shared" si="50"/>
        <v>1916.5843083058301</v>
      </c>
      <c r="EO92" s="1111">
        <f t="shared" si="51"/>
        <v>1868.9930069357799</v>
      </c>
      <c r="EP92" s="1111">
        <f t="shared" si="52"/>
        <v>1812.7966575929599</v>
      </c>
      <c r="EQ92" s="1111">
        <f t="shared" si="53"/>
        <v>1785.4009056329501</v>
      </c>
      <c r="ER92" s="1111">
        <f t="shared" si="54"/>
        <v>1781.1669913012199</v>
      </c>
      <c r="ES92" s="1111">
        <f t="shared" si="55"/>
        <v>1779.89338532949</v>
      </c>
      <c r="ET92" s="1111">
        <f t="shared" si="56"/>
        <v>1779.28555768666</v>
      </c>
      <c r="EU92" s="1111">
        <f t="shared" si="57"/>
        <v>1779.28555768666</v>
      </c>
      <c r="EV92" s="1111">
        <f t="shared" si="130"/>
        <v>25.485894447035299</v>
      </c>
      <c r="EW92" s="1111">
        <f t="shared" si="38"/>
        <v>25.485894447035299</v>
      </c>
      <c r="EX92" s="1111">
        <f t="shared" si="39"/>
        <v>16.635316417576099</v>
      </c>
      <c r="EY92" s="1111">
        <f t="shared" si="40"/>
        <v>5.6806504273613996</v>
      </c>
      <c r="EZ92" s="1111">
        <f t="shared" si="41"/>
        <v>3.05403934027653</v>
      </c>
      <c r="FA92" s="1111">
        <f t="shared" si="42"/>
        <v>2.1007258350226801</v>
      </c>
      <c r="FB92" s="1111">
        <f t="shared" si="43"/>
        <v>1.87658987655799</v>
      </c>
      <c r="FC92" s="1111">
        <f t="shared" si="44"/>
        <v>1.7679420427249899</v>
      </c>
      <c r="FD92" s="1111">
        <f t="shared" si="45"/>
        <v>1.7647235248156601</v>
      </c>
      <c r="FE92" s="1111">
        <f t="shared" si="46"/>
        <v>1.76351431040301</v>
      </c>
      <c r="FF92" s="1111">
        <f t="shared" si="47"/>
        <v>1.76351431040301</v>
      </c>
      <c r="FG92" s="1111">
        <f t="shared" si="100"/>
        <v>3.9377821944932299E-2</v>
      </c>
      <c r="FH92" s="1111">
        <f t="shared" si="101"/>
        <v>3.9377821944932299E-2</v>
      </c>
      <c r="FI92" s="1111">
        <f t="shared" si="102"/>
        <v>3.7984236057639099E-2</v>
      </c>
      <c r="FJ92" s="1111">
        <f t="shared" si="103"/>
        <v>1.6214018510996998E-2</v>
      </c>
      <c r="FK92" s="1111">
        <f t="shared" si="104"/>
        <v>1.5642379959483001E-2</v>
      </c>
      <c r="FL92" s="1111">
        <f t="shared" si="105"/>
        <v>1.5129566396989799E-2</v>
      </c>
      <c r="FM92" s="1111">
        <f t="shared" si="106"/>
        <v>1.48940539224115E-2</v>
      </c>
      <c r="FN92" s="1111">
        <f t="shared" si="107"/>
        <v>1.48498058438792E-2</v>
      </c>
      <c r="FO92" s="1111">
        <f t="shared" si="108"/>
        <v>1.48391871090011E-2</v>
      </c>
      <c r="FP92" s="1111">
        <f t="shared" si="109"/>
        <v>1.4834122168645001E-2</v>
      </c>
      <c r="FQ92" s="1111">
        <f t="shared" si="110"/>
        <v>1.4834122168645001E-2</v>
      </c>
      <c r="FR92" s="1111">
        <f t="shared" si="133"/>
        <v>1.6759760982763601</v>
      </c>
      <c r="FS92" s="1111">
        <f t="shared" si="134"/>
        <v>1.6759760982763601</v>
      </c>
      <c r="FT92" s="1111">
        <f t="shared" si="135"/>
        <v>1.2591555489209101</v>
      </c>
      <c r="FU92" s="1111">
        <f t="shared" si="136"/>
        <v>0.67744248626063297</v>
      </c>
      <c r="FV92" s="1111">
        <f t="shared" si="137"/>
        <v>0.52738778166466604</v>
      </c>
      <c r="FW92" s="1111">
        <f t="shared" si="138"/>
        <v>0.48358848951405597</v>
      </c>
      <c r="FX92" s="1111">
        <f t="shared" si="139"/>
        <v>0.472761661372815</v>
      </c>
      <c r="FY92" s="1111">
        <f t="shared" si="140"/>
        <v>0.46753146166185999</v>
      </c>
      <c r="FZ92" s="1111">
        <f t="shared" si="141"/>
        <v>0.46733602925816797</v>
      </c>
      <c r="GA92" s="1111">
        <f t="shared" si="142"/>
        <v>0.46734012500094102</v>
      </c>
      <c r="GB92" s="1111">
        <f t="shared" si="143"/>
        <v>0.46734012500094102</v>
      </c>
      <c r="GC92" s="1111">
        <f t="shared" si="59"/>
        <v>1.31772095909569</v>
      </c>
      <c r="GD92" s="1111">
        <f t="shared" si="60"/>
        <v>1.31772095909569</v>
      </c>
      <c r="GE92" s="1111">
        <f t="shared" si="61"/>
        <v>0.93325433252970902</v>
      </c>
      <c r="GF92" s="1111">
        <f t="shared" si="62"/>
        <v>0.27440125765457901</v>
      </c>
      <c r="GG92" s="1111">
        <f t="shared" si="63"/>
        <v>0.135307690590454</v>
      </c>
      <c r="GH92" s="1111">
        <f t="shared" si="64"/>
        <v>0.10091565939698199</v>
      </c>
      <c r="GI92" s="1111">
        <f t="shared" si="65"/>
        <v>9.4307179930071303E-2</v>
      </c>
      <c r="GJ92" s="1111">
        <f t="shared" si="66"/>
        <v>8.9937296191057697E-2</v>
      </c>
      <c r="GK92" s="1111">
        <f t="shared" si="67"/>
        <v>8.9863311660723005E-2</v>
      </c>
      <c r="GL92" s="1111">
        <f t="shared" si="68"/>
        <v>8.9850222817437805E-2</v>
      </c>
      <c r="GM92" s="1111">
        <f t="shared" si="69"/>
        <v>8.9850222817437805E-2</v>
      </c>
    </row>
    <row r="93" spans="1:195" x14ac:dyDescent="0.2">
      <c r="A93" s="1071" t="s">
        <v>184</v>
      </c>
      <c r="B93" s="1071" t="str">
        <f>NewTech!B21</f>
        <v>TBDSLAH</v>
      </c>
      <c r="C93" s="1071" t="str">
        <f>NewTech!C21</f>
        <v>Bus, Advanced Hybrid Diesel</v>
      </c>
      <c r="D93" s="1071" t="str">
        <f>NewTech!D21</f>
        <v>bn-vmt, bn-vmt/a</v>
      </c>
      <c r="E93" s="1071" t="str">
        <f>NewTech!E21</f>
        <v>TBDSL</v>
      </c>
      <c r="F93" s="1071" t="str">
        <f>NewTech!F21</f>
        <v>TB</v>
      </c>
      <c r="G93" s="1110" t="s">
        <v>498</v>
      </c>
      <c r="H93" s="1110" t="s">
        <v>499</v>
      </c>
      <c r="I93" s="1112">
        <v>1</v>
      </c>
      <c r="J93" s="1111" t="str">
        <f t="shared" si="37"/>
        <v>Bus-DSL</v>
      </c>
      <c r="K93" s="1111">
        <f>SUMIFS(NewEmisData!E:E, NewEmisData!$A:$A, $G93, NewEmisData!$B:$B, $A93, NewEmisData!$C:$C, $H93, NewEmisData!$D:$D, K$6)</f>
        <v>1543.98093106499</v>
      </c>
      <c r="L93" s="1111">
        <f>SUMIFS(NewEmisData!F:F, NewEmisData!$A:$A, $G93, NewEmisData!$B:$B, $A93, NewEmisData!$C:$C, $H93, NewEmisData!$D:$D, L$6)</f>
        <v>1489.5901194539099</v>
      </c>
      <c r="M93" s="1111">
        <f>SUMIFS(NewEmisData!G:G, NewEmisData!$A:$A, $G93, NewEmisData!$B:$B, $A93, NewEmisData!$C:$C, $H93, NewEmisData!$D:$D, M$6)</f>
        <v>1760.12051639078</v>
      </c>
      <c r="N93" s="1111">
        <f>SUMIFS(NewEmisData!H:H, NewEmisData!$A:$A, $G93, NewEmisData!$B:$B, $A93, NewEmisData!$C:$C, $H93, NewEmisData!$D:$D, N$6)</f>
        <v>1725.691003145</v>
      </c>
      <c r="O93" s="1111">
        <f>SUMIFS(NewEmisData!I:I, NewEmisData!$A:$A, $G93, NewEmisData!$B:$B, $A93, NewEmisData!$C:$C, $H93, NewEmisData!$D:$D, O$6)</f>
        <v>1701.2652234181401</v>
      </c>
      <c r="P93" s="1111">
        <f>SUMIFS(NewEmisData!J:J, NewEmisData!$A:$A, $G93, NewEmisData!$B:$B, $A93, NewEmisData!$C:$C, $H93, NewEmisData!$D:$D, P$6)</f>
        <v>1689.2419423004101</v>
      </c>
      <c r="Q93" s="1111">
        <f>SUMIFS(NewEmisData!K:K, NewEmisData!$A:$A, $G93, NewEmisData!$B:$B, $A93, NewEmisData!$C:$C, $H93, NewEmisData!$D:$D, Q$6)</f>
        <v>1686.0310473817101</v>
      </c>
      <c r="R93" s="1111">
        <f>SUMIFS(NewEmisData!L:L, NewEmisData!$A:$A, $G93, NewEmisData!$B:$B, $A93, NewEmisData!$C:$C, $H93, NewEmisData!$D:$D, R$6)</f>
        <v>1684.65387386569</v>
      </c>
      <c r="S93" s="1111">
        <f>SUMIFS(NewEmisData!M:M, NewEmisData!$A:$A, $G93, NewEmisData!$B:$B, $A93, NewEmisData!$C:$C, $H93, NewEmisData!$D:$D, S$6)</f>
        <v>1683.50748414707</v>
      </c>
      <c r="T93" s="1111">
        <f t="shared" si="131"/>
        <v>1683.50748414707</v>
      </c>
      <c r="U93" s="1111">
        <f>SUMIFS(NewEmisData!E:E, NewEmisData!$A:$A, $G93, NewEmisData!$B:$B, $A93, NewEmisData!$C:$C, $H93, NewEmisData!$D:$D, U$6)</f>
        <v>18.668125395756</v>
      </c>
      <c r="V93" s="1111">
        <f>SUMIFS(NewEmisData!F:F, NewEmisData!$A:$A, $G93, NewEmisData!$B:$B, $A93, NewEmisData!$C:$C, $H93, NewEmisData!$D:$D, V$6)</f>
        <v>11.1440380927276</v>
      </c>
      <c r="W93" s="1111">
        <f>SUMIFS(NewEmisData!G:G, NewEmisData!$A:$A, $G93, NewEmisData!$B:$B, $A93, NewEmisData!$C:$C, $H93, NewEmisData!$D:$D, W$6)</f>
        <v>5.7829202038421004</v>
      </c>
      <c r="X93" s="1111">
        <f>SUMIFS(NewEmisData!H:H, NewEmisData!$A:$A, $G93, NewEmisData!$B:$B, $A93, NewEmisData!$C:$C, $H93, NewEmisData!$D:$D, X$6)</f>
        <v>3.20396695130832</v>
      </c>
      <c r="Y93" s="1111">
        <f>SUMIFS(NewEmisData!I:I, NewEmisData!$A:$A, $G93, NewEmisData!$B:$B, $A93, NewEmisData!$C:$C, $H93, NewEmisData!$D:$D, Y$6)</f>
        <v>2.2740618900591598</v>
      </c>
      <c r="Z93" s="1111">
        <f>SUMIFS(NewEmisData!J:J, NewEmisData!$A:$A, $G93, NewEmisData!$B:$B, $A93, NewEmisData!$C:$C, $H93, NewEmisData!$D:$D, Z$6)</f>
        <v>1.9371275562897501</v>
      </c>
      <c r="AA93" s="1111">
        <f>SUMIFS(NewEmisData!K:K, NewEmisData!$A:$A, $G93, NewEmisData!$B:$B, $A93, NewEmisData!$C:$C, $H93, NewEmisData!$D:$D, AA$6)</f>
        <v>1.7456585769951301</v>
      </c>
      <c r="AB93" s="1111">
        <f>SUMIFS(NewEmisData!L:L, NewEmisData!$A:$A, $G93, NewEmisData!$B:$B, $A93, NewEmisData!$C:$C, $H93, NewEmisData!$D:$D, AB$6)</f>
        <v>1.7403372468815299</v>
      </c>
      <c r="AC93" s="1111">
        <f>SUMIFS(NewEmisData!M:M, NewEmisData!$A:$A, $G93, NewEmisData!$B:$B, $A93, NewEmisData!$C:$C, $H93, NewEmisData!$D:$D, AC$6)</f>
        <v>1.7389528033933299</v>
      </c>
      <c r="AD93" s="1111">
        <f t="shared" si="132"/>
        <v>1.7389528033933299</v>
      </c>
      <c r="AE93" s="1111">
        <f t="shared" si="113"/>
        <v>3.8389239139431798E-2</v>
      </c>
      <c r="AF93" s="1111">
        <f>SUMIFS(NewEmisData!E:E, NewEmisData!$A:$A, $G93, NewEmisData!$B:$B, $A93, NewEmisData!$C:$C, $H93, NewEmisData!$D:$D, AF$6)</f>
        <v>3.8389239139431798E-2</v>
      </c>
      <c r="AG93" s="1111">
        <f>SUMIFS(NewEmisData!F:F, NewEmisData!$A:$A, $G93, NewEmisData!$B:$B, $A93, NewEmisData!$C:$C, $H93, NewEmisData!$D:$D, AG$6)</f>
        <v>3.6761798419934502E-2</v>
      </c>
      <c r="AH93" s="1111">
        <f>SUMIFS(NewEmisData!G:G, NewEmisData!$A:$A, $G93, NewEmisData!$B:$B, $A93, NewEmisData!$C:$C, $H93, NewEmisData!$D:$D, AH$6)</f>
        <v>1.4889550958331501E-2</v>
      </c>
      <c r="AI93" s="1111">
        <f>SUMIFS(NewEmisData!H:H, NewEmisData!$A:$A, $G93, NewEmisData!$B:$B, $A93, NewEmisData!$C:$C, $H93, NewEmisData!$D:$D, AI$6)</f>
        <v>1.4468385512049001E-2</v>
      </c>
      <c r="AJ93" s="1111">
        <f>SUMIFS(NewEmisData!I:I, NewEmisData!$A:$A, $G93, NewEmisData!$B:$B, $A93, NewEmisData!$C:$C, $H93, NewEmisData!$D:$D, AJ$6)</f>
        <v>1.4209561374707899E-2</v>
      </c>
      <c r="AK93" s="1111">
        <f>SUMIFS(NewEmisData!J:J, NewEmisData!$A:$A, $G93, NewEmisData!$B:$B, $A93, NewEmisData!$C:$C, $H93, NewEmisData!$D:$D, AK$6)</f>
        <v>1.41029670885105E-2</v>
      </c>
      <c r="AL93" s="1111">
        <f>SUMIFS(NewEmisData!K:K, NewEmisData!$A:$A, $G93, NewEmisData!$B:$B, $A93, NewEmisData!$C:$C, $H93, NewEmisData!$D:$D, AL$6)</f>
        <v>1.4056650783011699E-2</v>
      </c>
      <c r="AM93" s="1111">
        <f>SUMIFS(NewEmisData!L:L, NewEmisData!$A:$A, $G93, NewEmisData!$B:$B, $A93, NewEmisData!$C:$C, $H93, NewEmisData!$D:$D, AM$6)</f>
        <v>1.4045167485360799E-2</v>
      </c>
      <c r="AN93" s="1111">
        <f>SUMIFS(NewEmisData!M:M, NewEmisData!$A:$A, $G93, NewEmisData!$B:$B, $A93, NewEmisData!$C:$C, $H93, NewEmisData!$D:$D, AN$6)</f>
        <v>1.4035601733995101E-2</v>
      </c>
      <c r="AO93" s="1111">
        <f t="shared" si="114"/>
        <v>1.4035601733995101E-2</v>
      </c>
      <c r="AP93" s="1111">
        <f t="shared" si="115"/>
        <v>0.78674550377560604</v>
      </c>
      <c r="AQ93" s="1111">
        <f>SUMIFS(NewEmisData!E:E, NewEmisData!$A:$A, $G93, NewEmisData!$B:$B, $A93, NewEmisData!$C:$C, $H93, NewEmisData!$D:$D, AQ$6)</f>
        <v>0.78674550377560604</v>
      </c>
      <c r="AR93" s="1111">
        <f>SUMIFS(NewEmisData!F:F, NewEmisData!$A:$A, $G93, NewEmisData!$B:$B, $A93, NewEmisData!$C:$C, $H93, NewEmisData!$D:$D, AR$6)</f>
        <v>0.59435851753671198</v>
      </c>
      <c r="AS93" s="1111">
        <f>SUMIFS(NewEmisData!G:G, NewEmisData!$A:$A, $G93, NewEmisData!$B:$B, $A93, NewEmisData!$C:$C, $H93, NewEmisData!$D:$D, AS$6)</f>
        <v>0.48892752894583302</v>
      </c>
      <c r="AT93" s="1111">
        <f>SUMIFS(NewEmisData!H:H, NewEmisData!$A:$A, $G93, NewEmisData!$B:$B, $A93, NewEmisData!$C:$C, $H93, NewEmisData!$D:$D, AT$6)</f>
        <v>0.40673687636699701</v>
      </c>
      <c r="AU93" s="1111">
        <f>SUMIFS(NewEmisData!I:I, NewEmisData!$A:$A, $G93, NewEmisData!$B:$B, $A93, NewEmisData!$C:$C, $H93, NewEmisData!$D:$D, AU$6)</f>
        <v>0.37207197997484598</v>
      </c>
      <c r="AV93" s="1111">
        <f>SUMIFS(NewEmisData!J:J, NewEmisData!$A:$A, $G93, NewEmisData!$B:$B, $A93, NewEmisData!$C:$C, $H93, NewEmisData!$D:$D, AV$6)</f>
        <v>0.366996102766601</v>
      </c>
      <c r="AW93" s="1111">
        <f>SUMIFS(NewEmisData!K:K, NewEmisData!$A:$A, $G93, NewEmisData!$B:$B, $A93, NewEmisData!$C:$C, $H93, NewEmisData!$D:$D, AW$6)</f>
        <v>0.35822974357450499</v>
      </c>
      <c r="AX93" s="1111">
        <f>SUMIFS(NewEmisData!L:L, NewEmisData!$A:$A, $G93, NewEmisData!$B:$B, $A93, NewEmisData!$C:$C, $H93, NewEmisData!$D:$D, AX$6)</f>
        <v>0.35809529827636299</v>
      </c>
      <c r="AY93" s="1111">
        <f>SUMIFS(NewEmisData!M:M, NewEmisData!$A:$A, $G93, NewEmisData!$B:$B, $A93, NewEmisData!$C:$C, $H93, NewEmisData!$D:$D, AY$6)</f>
        <v>0.358118172842192</v>
      </c>
      <c r="AZ93" s="1111">
        <f t="shared" si="116"/>
        <v>0.358118172842192</v>
      </c>
      <c r="BA93" s="1111">
        <f t="shared" si="117"/>
        <v>0.55028448131832597</v>
      </c>
      <c r="BB93" s="1111">
        <f>SUMIFS(NewEmisData!E:E, NewEmisData!$A:$A, $G93, NewEmisData!$B:$B, $A93, NewEmisData!$C:$C, $H93, NewEmisData!$D:$D, BB$6)</f>
        <v>0.55028448131832597</v>
      </c>
      <c r="BC93" s="1111">
        <f>SUMIFS(NewEmisData!F:F, NewEmisData!$A:$A, $G93, NewEmisData!$B:$B, $A93, NewEmisData!$C:$C, $H93, NewEmisData!$D:$D, BC$6)</f>
        <v>0.38400745413618897</v>
      </c>
      <c r="BD93" s="1111">
        <f>SUMIFS(NewEmisData!G:G, NewEmisData!$A:$A, $G93, NewEmisData!$B:$B, $A93, NewEmisData!$C:$C, $H93, NewEmisData!$D:$D, BD$6)</f>
        <v>0.19465121057228399</v>
      </c>
      <c r="BE93" s="1111">
        <f>SUMIFS(NewEmisData!H:H, NewEmisData!$A:$A, $G93, NewEmisData!$B:$B, $A93, NewEmisData!$C:$C, $H93, NewEmisData!$D:$D, BE$6)</f>
        <v>0.118207278051221</v>
      </c>
      <c r="BF93" s="1111">
        <f>SUMIFS(NewEmisData!I:I, NewEmisData!$A:$A, $G93, NewEmisData!$B:$B, $A93, NewEmisData!$C:$C, $H93, NewEmisData!$D:$D, BF$6)</f>
        <v>8.6817069306160496E-2</v>
      </c>
      <c r="BG93" s="1111">
        <f>SUMIFS(NewEmisData!J:J, NewEmisData!$A:$A, $G93, NewEmisData!$B:$B, $A93, NewEmisData!$C:$C, $H93, NewEmisData!$D:$D, BG$6)</f>
        <v>8.22742664951428E-2</v>
      </c>
      <c r="BH93" s="1111">
        <f>SUMIFS(NewEmisData!K:K, NewEmisData!$A:$A, $G93, NewEmisData!$B:$B, $A93, NewEmisData!$C:$C, $H93, NewEmisData!$D:$D, BH$6)</f>
        <v>7.4293747941119301E-2</v>
      </c>
      <c r="BI93" s="1111">
        <f>SUMIFS(NewEmisData!L:L, NewEmisData!$A:$A, $G93, NewEmisData!$B:$B, $A93, NewEmisData!$C:$C, $H93, NewEmisData!$D:$D, BI$6)</f>
        <v>7.4186721872420605E-2</v>
      </c>
      <c r="BJ93" s="1111">
        <f>SUMIFS(NewEmisData!M:M, NewEmisData!$A:$A, $G93, NewEmisData!$B:$B, $A93, NewEmisData!$C:$C, $H93, NewEmisData!$D:$D, BJ$6)</f>
        <v>7.4167760380950506E-2</v>
      </c>
      <c r="BK93" s="1111">
        <f t="shared" si="118"/>
        <v>7.4167760380950506E-2</v>
      </c>
      <c r="BL93" s="1111">
        <f t="shared" si="119"/>
        <v>7.4025631204345501</v>
      </c>
      <c r="BM93" s="1111">
        <f>SUMIFS(NewEmisData!E:E, NewEmisData!$A:$A, $G93, NewEmisData!$B:$B, $A93, NewEmisData!$C:$C, $H93, NewEmisData!$D:$D, BM$6)</f>
        <v>7.4025631204345501</v>
      </c>
      <c r="BN93" s="1111">
        <f>SUMIFS(NewEmisData!F:F, NewEmisData!$A:$A, $G93, NewEmisData!$B:$B, $A93, NewEmisData!$C:$C, $H93, NewEmisData!$D:$D, BN$6)</f>
        <v>5.7928546844056203</v>
      </c>
      <c r="BO93" s="1111">
        <f>SUMIFS(NewEmisData!G:G, NewEmisData!$A:$A, $G93, NewEmisData!$B:$B, $A93, NewEmisData!$C:$C, $H93, NewEmisData!$D:$D, BO$6)</f>
        <v>3.25014237033561</v>
      </c>
      <c r="BP93" s="1111">
        <f>SUMIFS(NewEmisData!H:H, NewEmisData!$A:$A, $G93, NewEmisData!$B:$B, $A93, NewEmisData!$C:$C, $H93, NewEmisData!$D:$D, BP$6)</f>
        <v>2.1022334776789799</v>
      </c>
      <c r="BQ93" s="1111">
        <f>SUMIFS(NewEmisData!I:I, NewEmisData!$A:$A, $G93, NewEmisData!$B:$B, $A93, NewEmisData!$C:$C, $H93, NewEmisData!$D:$D, BQ$6)</f>
        <v>1.90721253550502</v>
      </c>
      <c r="BR93" s="1111">
        <f>SUMIFS(NewEmisData!J:J, NewEmisData!$A:$A, $G93, NewEmisData!$B:$B, $A93, NewEmisData!$C:$C, $H93, NewEmisData!$D:$D, BR$6)</f>
        <v>1.73226494933412</v>
      </c>
      <c r="BS93" s="1111">
        <f>SUMIFS(NewEmisData!K:K, NewEmisData!$A:$A, $G93, NewEmisData!$B:$B, $A93, NewEmisData!$C:$C, $H93, NewEmisData!$D:$D, BS$6)</f>
        <v>1.66295860938386</v>
      </c>
      <c r="BT93" s="1111">
        <f>SUMIFS(NewEmisData!L:L, NewEmisData!$A:$A, $G93, NewEmisData!$B:$B, $A93, NewEmisData!$C:$C, $H93, NewEmisData!$D:$D, BT$6)</f>
        <v>1.6638988091117199</v>
      </c>
      <c r="BU93" s="1111">
        <f>SUMIFS(NewEmisData!M:M, NewEmisData!$A:$A, $G93, NewEmisData!$B:$B, $A93, NewEmisData!$C:$C, $H93, NewEmisData!$D:$D, BU$6)</f>
        <v>1.6592583196978401</v>
      </c>
      <c r="BV93" s="1111">
        <f t="shared" si="120"/>
        <v>1.6592583196978401</v>
      </c>
      <c r="BW93" s="1111">
        <f t="shared" si="121"/>
        <v>1.4473470985210799</v>
      </c>
      <c r="BX93" s="1111">
        <f>SUMIFS(NewEmisData!E:E, NewEmisData!$A:$A, $G93, NewEmisData!$B:$B, $A93, NewEmisData!$C:$C, $H93, NewEmisData!$D:$D, BX$6)</f>
        <v>1.4473470985210799</v>
      </c>
      <c r="BY93" s="1111">
        <f>SUMIFS(NewEmisData!F:F, NewEmisData!$A:$A, $G93, NewEmisData!$B:$B, $A93, NewEmisData!$C:$C, $H93, NewEmisData!$D:$D, BY$6)</f>
        <v>1.1581362740294701</v>
      </c>
      <c r="BZ93" s="1111">
        <f>SUMIFS(NewEmisData!G:G, NewEmisData!$A:$A, $G93, NewEmisData!$B:$B, $A93, NewEmisData!$C:$C, $H93, NewEmisData!$D:$D, BZ$6)</f>
        <v>0.53671452190943902</v>
      </c>
      <c r="CA93" s="1111">
        <f>SUMIFS(NewEmisData!H:H, NewEmisData!$A:$A, $G93, NewEmisData!$B:$B, $A93, NewEmisData!$C:$C, $H93, NewEmisData!$D:$D, CA$6)</f>
        <v>0.27494886385920297</v>
      </c>
      <c r="CB93" s="1111">
        <f>SUMIFS(NewEmisData!I:I, NewEmisData!$A:$A, $G93, NewEmisData!$B:$B, $A93, NewEmisData!$C:$C, $H93, NewEmisData!$D:$D, CB$6)</f>
        <v>0.19325322968969499</v>
      </c>
      <c r="CC93" s="1111">
        <f>SUMIFS(NewEmisData!J:J, NewEmisData!$A:$A, $G93, NewEmisData!$B:$B, $A93, NewEmisData!$C:$C, $H93, NewEmisData!$D:$D, CC$6)</f>
        <v>0.167956894854846</v>
      </c>
      <c r="CD93" s="1111">
        <f>SUMIFS(NewEmisData!K:K, NewEmisData!$A:$A, $G93, NewEmisData!$B:$B, $A93, NewEmisData!$C:$C, $H93, NewEmisData!$D:$D, CD$6)</f>
        <v>0.13892518309640101</v>
      </c>
      <c r="CE93" s="1111">
        <f>SUMIFS(NewEmisData!L:L, NewEmisData!$A:$A, $G93, NewEmisData!$B:$B, $A93, NewEmisData!$C:$C, $H93, NewEmisData!$D:$D, CE$6)</f>
        <v>0.13884600843509601</v>
      </c>
      <c r="CF93" s="1111">
        <f>SUMIFS(NewEmisData!M:M, NewEmisData!$A:$A, $G93, NewEmisData!$B:$B, $A93, NewEmisData!$C:$C, $H93, NewEmisData!$D:$D, CF$6)</f>
        <v>0.13868242154504801</v>
      </c>
      <c r="CG93" s="1111">
        <f t="shared" si="122"/>
        <v>0.13868242154504801</v>
      </c>
      <c r="CH93" s="1111">
        <f t="shared" si="123"/>
        <v>2.5552170890355701E-2</v>
      </c>
      <c r="CI93" s="1111">
        <f>SUMIFS(NewEmisData!E:E, NewEmisData!$A:$A, $G93, NewEmisData!$B:$B, $A93, NewEmisData!$C:$C, $H93, NewEmisData!$D:$D, CI$6)</f>
        <v>2.5552170890355701E-2</v>
      </c>
      <c r="CJ93" s="1111">
        <f>SUMIFS(NewEmisData!F:F, NewEmisData!$A:$A, $G93, NewEmisData!$B:$B, $A93, NewEmisData!$C:$C, $H93, NewEmisData!$D:$D, CJ$6)</f>
        <v>2.53025045921564E-2</v>
      </c>
      <c r="CK93" s="1111">
        <f>SUMIFS(NewEmisData!G:G, NewEmisData!$A:$A, $G93, NewEmisData!$B:$B, $A93, NewEmisData!$C:$C, $H93, NewEmisData!$D:$D, CK$6)</f>
        <v>3.2113726092753501E-2</v>
      </c>
      <c r="CL93" s="1111">
        <f>SUMIFS(NewEmisData!H:H, NewEmisData!$A:$A, $G93, NewEmisData!$B:$B, $A93, NewEmisData!$C:$C, $H93, NewEmisData!$D:$D, CL$6)</f>
        <v>3.2125818354371803E-2</v>
      </c>
      <c r="CM93" s="1111">
        <f>SUMIFS(NewEmisData!I:I, NewEmisData!$A:$A, $G93, NewEmisData!$B:$B, $A93, NewEmisData!$C:$C, $H93, NewEmisData!$D:$D, CM$6)</f>
        <v>3.21152168523616E-2</v>
      </c>
      <c r="CN93" s="1111">
        <f>SUMIFS(NewEmisData!J:J, NewEmisData!$A:$A, $G93, NewEmisData!$B:$B, $A93, NewEmisData!$C:$C, $H93, NewEmisData!$D:$D, CN$6)</f>
        <v>3.21127222738316E-2</v>
      </c>
      <c r="CO93" s="1111">
        <f>SUMIFS(NewEmisData!K:K, NewEmisData!$A:$A, $G93, NewEmisData!$B:$B, $A93, NewEmisData!$C:$C, $H93, NewEmisData!$D:$D, CO$6)</f>
        <v>3.2111195257881399E-2</v>
      </c>
      <c r="CP93" s="1111">
        <f>SUMIFS(NewEmisData!L:L, NewEmisData!$A:$A, $G93, NewEmisData!$B:$B, $A93, NewEmisData!$C:$C, $H93, NewEmisData!$D:$D, CP$6)</f>
        <v>3.21104284845748E-2</v>
      </c>
      <c r="CQ93" s="1111">
        <f>SUMIFS(NewEmisData!M:M, NewEmisData!$A:$A, $G93, NewEmisData!$B:$B, $A93, NewEmisData!$C:$C, $H93, NewEmisData!$D:$D, CQ$6)</f>
        <v>3.2111281698300603E-2</v>
      </c>
      <c r="CR93" s="1111">
        <f t="shared" si="124"/>
        <v>3.2111281698300603E-2</v>
      </c>
      <c r="CS93" s="1111">
        <f t="shared" si="125"/>
        <v>3.4284515149731101E-3</v>
      </c>
      <c r="CT93" s="1111">
        <f>SUMIFS(NewEmisData!E:E, NewEmisData!$A:$A, $G93, NewEmisData!$B:$B, $A93, NewEmisData!$C:$C, $H93, NewEmisData!$D:$D, CT$6)</f>
        <v>3.4284515149731101E-3</v>
      </c>
      <c r="CU93" s="1111">
        <f>SUMIFS(NewEmisData!F:F, NewEmisData!$A:$A, $G93, NewEmisData!$B:$B, $A93, NewEmisData!$C:$C, $H93, NewEmisData!$D:$D, CU$6)</f>
        <v>3.9228568169430503E-3</v>
      </c>
      <c r="CV93" s="1111">
        <f>SUMIFS(NewEmisData!G:G, NewEmisData!$A:$A, $G93, NewEmisData!$B:$B, $A93, NewEmisData!$C:$C, $H93, NewEmisData!$D:$D, CV$6)</f>
        <v>6.0180787362878099E-3</v>
      </c>
      <c r="CW93" s="1111">
        <f>SUMIFS(NewEmisData!H:H, NewEmisData!$A:$A, $G93, NewEmisData!$B:$B, $A93, NewEmisData!$C:$C, $H93, NewEmisData!$D:$D, CW$6)</f>
        <v>6.0081059727209599E-3</v>
      </c>
      <c r="CX93" s="1111">
        <f>SUMIFS(NewEmisData!I:I, NewEmisData!$A:$A, $G93, NewEmisData!$B:$B, $A93, NewEmisData!$C:$C, $H93, NewEmisData!$D:$D, CX$6)</f>
        <v>6.0223865299690697E-3</v>
      </c>
      <c r="CY93" s="1111">
        <f>SUMIFS(NewEmisData!J:J, NewEmisData!$A:$A, $G93, NewEmisData!$B:$B, $A93, NewEmisData!$C:$C, $H93, NewEmisData!$D:$D, CY$6)</f>
        <v>6.0258969594508003E-3</v>
      </c>
      <c r="CZ93" s="1111">
        <f>SUMIFS(NewEmisData!K:K, NewEmisData!$A:$A, $G93, NewEmisData!$B:$B, $A93, NewEmisData!$C:$C, $H93, NewEmisData!$D:$D, CZ$6)</f>
        <v>6.0307176387692897E-3</v>
      </c>
      <c r="DA93" s="1111">
        <f>SUMIFS(NewEmisData!L:L, NewEmisData!$A:$A, $G93, NewEmisData!$B:$B, $A93, NewEmisData!$C:$C, $H93, NewEmisData!$D:$D, DA$6)</f>
        <v>6.0319705845977203E-3</v>
      </c>
      <c r="DB93" s="1111">
        <f>SUMIFS(NewEmisData!M:M, NewEmisData!$A:$A, $G93, NewEmisData!$B:$B, $A93, NewEmisData!$C:$C, $H93, NewEmisData!$D:$D, DB$6)</f>
        <v>6.0283362401861102E-3</v>
      </c>
      <c r="DC93" s="1111">
        <f t="shared" si="126"/>
        <v>6.0283362401861102E-3</v>
      </c>
      <c r="DD93" s="1111"/>
      <c r="DE93" s="1111"/>
      <c r="DF93" s="1111"/>
      <c r="DG93" s="1111"/>
      <c r="DH93" s="1111"/>
      <c r="DI93" s="1111"/>
      <c r="DJ93" s="1111"/>
      <c r="DK93" s="1111"/>
      <c r="DL93" s="1111"/>
      <c r="DM93" s="1111"/>
      <c r="DN93" s="1111"/>
      <c r="DO93" s="1111"/>
      <c r="DP93" s="1111"/>
      <c r="DQ93" s="1111"/>
      <c r="DR93" s="1111"/>
      <c r="DS93" s="1111"/>
      <c r="DT93" s="1111"/>
      <c r="DU93" s="1111"/>
      <c r="DV93" s="1111"/>
      <c r="DW93" s="1111"/>
      <c r="DX93" s="1111"/>
      <c r="DY93" s="1111"/>
      <c r="DZ93" s="1111">
        <f t="shared" si="127"/>
        <v>1.40033005820737E-2</v>
      </c>
      <c r="EA93" s="1111">
        <f>SUMIFS(NewEmisData!E:E, NewEmisData!$A:$A, $G93, NewEmisData!$B:$B, $A93, NewEmisData!$C:$C, $H93, NewEmisData!$D:$D, EA$6)</f>
        <v>1.40033005820737E-2</v>
      </c>
      <c r="EB93" s="1111">
        <f>SUMIFS(NewEmisData!F:F, NewEmisData!$A:$A, $G93, NewEmisData!$B:$B, $A93, NewEmisData!$C:$C, $H93, NewEmisData!$D:$D, EB$6)</f>
        <v>2.6809761202267801E-2</v>
      </c>
      <c r="EC93" s="1111">
        <f>SUMIFS(NewEmisData!G:G, NewEmisData!$A:$A, $G93, NewEmisData!$B:$B, $A93, NewEmisData!$C:$C, $H93, NewEmisData!$D:$D, EC$6)</f>
        <v>0.106442915223567</v>
      </c>
      <c r="ED93" s="1111">
        <f>SUMIFS(NewEmisData!H:H, NewEmisData!$A:$A, $G93, NewEmisData!$B:$B, $A93, NewEmisData!$C:$C, $H93, NewEmisData!$D:$D, ED$6)</f>
        <v>0.114238711864713</v>
      </c>
      <c r="EE93" s="1111">
        <f>SUMIFS(NewEmisData!I:I, NewEmisData!$A:$A, $G93, NewEmisData!$B:$B, $A93, NewEmisData!$C:$C, $H93, NewEmisData!$D:$D, EE$6)</f>
        <v>0.117878139049751</v>
      </c>
      <c r="EF93" s="1111">
        <f>SUMIFS(NewEmisData!J:J, NewEmisData!$A:$A, $G93, NewEmisData!$B:$B, $A93, NewEmisData!$C:$C, $H93, NewEmisData!$D:$D, EF$6)</f>
        <v>0.117418406823893</v>
      </c>
      <c r="EG93" s="1111">
        <f>SUMIFS(NewEmisData!K:K, NewEmisData!$A:$A, $G93, NewEmisData!$B:$B, $A93, NewEmisData!$C:$C, $H93, NewEmisData!$D:$D, EG$6)</f>
        <v>0.12035326609237</v>
      </c>
      <c r="EH93" s="1111">
        <f>SUMIFS(NewEmisData!L:L, NewEmisData!$A:$A, $G93, NewEmisData!$B:$B, $A93, NewEmisData!$C:$C, $H93, NewEmisData!$D:$D, EH$6)</f>
        <v>0.120291917587136</v>
      </c>
      <c r="EI93" s="1111">
        <f>SUMIFS(NewEmisData!M:M, NewEmisData!$A:$A, $G93, NewEmisData!$B:$B, $A93, NewEmisData!$C:$C, $H93, NewEmisData!$D:$D, EI$6)</f>
        <v>0.120135485992918</v>
      </c>
      <c r="EJ93" s="1111">
        <f t="shared" si="128"/>
        <v>0.120135485992918</v>
      </c>
      <c r="EK93" s="1111">
        <f t="shared" si="129"/>
        <v>1543.98093106499</v>
      </c>
      <c r="EL93" s="1111">
        <f t="shared" si="48"/>
        <v>1543.98093106499</v>
      </c>
      <c r="EM93" s="1111">
        <f t="shared" si="49"/>
        <v>1489.5901194539099</v>
      </c>
      <c r="EN93" s="1111">
        <f t="shared" si="50"/>
        <v>1760.12051639078</v>
      </c>
      <c r="EO93" s="1111">
        <f t="shared" si="51"/>
        <v>1725.691003145</v>
      </c>
      <c r="EP93" s="1111">
        <f t="shared" si="52"/>
        <v>1701.2652234181401</v>
      </c>
      <c r="EQ93" s="1111">
        <f t="shared" si="53"/>
        <v>1689.2419423004101</v>
      </c>
      <c r="ER93" s="1111">
        <f t="shared" si="54"/>
        <v>1686.0310473817101</v>
      </c>
      <c r="ES93" s="1111">
        <f t="shared" si="55"/>
        <v>1684.65387386569</v>
      </c>
      <c r="ET93" s="1111">
        <f t="shared" si="56"/>
        <v>1683.50748414707</v>
      </c>
      <c r="EU93" s="1111">
        <f t="shared" si="57"/>
        <v>1683.50748414707</v>
      </c>
      <c r="EV93" s="1111">
        <f t="shared" si="130"/>
        <v>18.668125395756</v>
      </c>
      <c r="EW93" s="1111">
        <f t="shared" ref="EW93:EW158" si="144">U93</f>
        <v>18.668125395756</v>
      </c>
      <c r="EX93" s="1111">
        <f t="shared" ref="EX93:EX158" si="145">V93</f>
        <v>11.1440380927276</v>
      </c>
      <c r="EY93" s="1111">
        <f t="shared" ref="EY93:EY158" si="146">W93</f>
        <v>5.7829202038421004</v>
      </c>
      <c r="EZ93" s="1111">
        <f t="shared" ref="EZ93:EZ158" si="147">X93</f>
        <v>3.20396695130832</v>
      </c>
      <c r="FA93" s="1111">
        <f t="shared" ref="FA93:FA158" si="148">Y93</f>
        <v>2.2740618900591598</v>
      </c>
      <c r="FB93" s="1111">
        <f t="shared" ref="FB93:FB158" si="149">Z93</f>
        <v>1.9371275562897501</v>
      </c>
      <c r="FC93" s="1111">
        <f t="shared" ref="FC93:FC158" si="150">AA93</f>
        <v>1.7456585769951301</v>
      </c>
      <c r="FD93" s="1111">
        <f t="shared" ref="FD93:FD158" si="151">AB93</f>
        <v>1.7403372468815299</v>
      </c>
      <c r="FE93" s="1111">
        <f t="shared" ref="FE93:FE158" si="152">AC93</f>
        <v>1.7389528033933299</v>
      </c>
      <c r="FF93" s="1111">
        <f t="shared" ref="FF93:FF158" si="153">AD93</f>
        <v>1.7389528033933299</v>
      </c>
      <c r="FG93" s="1111">
        <f t="shared" si="100"/>
        <v>3.8389239139431798E-2</v>
      </c>
      <c r="FH93" s="1111">
        <f t="shared" si="101"/>
        <v>3.8389239139431798E-2</v>
      </c>
      <c r="FI93" s="1111">
        <f t="shared" si="102"/>
        <v>3.6761798419934502E-2</v>
      </c>
      <c r="FJ93" s="1111">
        <f t="shared" si="103"/>
        <v>1.4889550958331501E-2</v>
      </c>
      <c r="FK93" s="1111">
        <f t="shared" si="104"/>
        <v>1.4468385512049001E-2</v>
      </c>
      <c r="FL93" s="1111">
        <f t="shared" si="105"/>
        <v>1.4209561374707899E-2</v>
      </c>
      <c r="FM93" s="1111">
        <f t="shared" si="106"/>
        <v>1.41029670885105E-2</v>
      </c>
      <c r="FN93" s="1111">
        <f t="shared" si="107"/>
        <v>1.4056650783011699E-2</v>
      </c>
      <c r="FO93" s="1111">
        <f t="shared" si="108"/>
        <v>1.4045167485360799E-2</v>
      </c>
      <c r="FP93" s="1111">
        <f t="shared" si="109"/>
        <v>1.4035601733995101E-2</v>
      </c>
      <c r="FQ93" s="1111">
        <f t="shared" si="110"/>
        <v>1.4035601733995101E-2</v>
      </c>
      <c r="FR93" s="1111">
        <f t="shared" si="133"/>
        <v>0.78674550377560604</v>
      </c>
      <c r="FS93" s="1111">
        <f t="shared" si="134"/>
        <v>0.78674550377560604</v>
      </c>
      <c r="FT93" s="1111">
        <f t="shared" si="135"/>
        <v>0.59435851753671198</v>
      </c>
      <c r="FU93" s="1111">
        <f t="shared" si="136"/>
        <v>0.48892752894583302</v>
      </c>
      <c r="FV93" s="1111">
        <f t="shared" si="137"/>
        <v>0.40673687636699701</v>
      </c>
      <c r="FW93" s="1111">
        <f t="shared" si="138"/>
        <v>0.37207197997484598</v>
      </c>
      <c r="FX93" s="1111">
        <f t="shared" si="139"/>
        <v>0.366996102766601</v>
      </c>
      <c r="FY93" s="1111">
        <f t="shared" si="140"/>
        <v>0.35822974357450499</v>
      </c>
      <c r="FZ93" s="1111">
        <f t="shared" si="141"/>
        <v>0.35809529827636299</v>
      </c>
      <c r="GA93" s="1111">
        <f t="shared" si="142"/>
        <v>0.358118172842192</v>
      </c>
      <c r="GB93" s="1111">
        <f t="shared" si="143"/>
        <v>0.358118172842192</v>
      </c>
      <c r="GC93" s="1111">
        <f t="shared" si="59"/>
        <v>0.55028448131832597</v>
      </c>
      <c r="GD93" s="1111">
        <f t="shared" si="60"/>
        <v>0.55028448131832597</v>
      </c>
      <c r="GE93" s="1111">
        <f t="shared" si="61"/>
        <v>0.38400745413618897</v>
      </c>
      <c r="GF93" s="1111">
        <f t="shared" si="62"/>
        <v>0.19465121057228399</v>
      </c>
      <c r="GG93" s="1111">
        <f t="shared" si="63"/>
        <v>0.118207278051221</v>
      </c>
      <c r="GH93" s="1111">
        <f t="shared" si="64"/>
        <v>8.6817069306160496E-2</v>
      </c>
      <c r="GI93" s="1111">
        <f t="shared" si="65"/>
        <v>8.22742664951428E-2</v>
      </c>
      <c r="GJ93" s="1111">
        <f t="shared" si="66"/>
        <v>7.4293747941119301E-2</v>
      </c>
      <c r="GK93" s="1111">
        <f t="shared" si="67"/>
        <v>7.4186721872420605E-2</v>
      </c>
      <c r="GL93" s="1111">
        <f t="shared" si="68"/>
        <v>7.4167760380950506E-2</v>
      </c>
      <c r="GM93" s="1111">
        <f t="shared" si="69"/>
        <v>7.4167760380950506E-2</v>
      </c>
    </row>
    <row r="94" spans="1:195" x14ac:dyDescent="0.2">
      <c r="A94" s="1071" t="s">
        <v>186</v>
      </c>
      <c r="B94" s="1071" t="str">
        <f>NewTech!B21</f>
        <v>TBDSLAH</v>
      </c>
      <c r="C94" s="1071" t="str">
        <f>NewTech!C21</f>
        <v>Bus, Advanced Hybrid Diesel</v>
      </c>
      <c r="D94" s="1071" t="str">
        <f>NewTech!D21</f>
        <v>bn-vmt, bn-vmt/a</v>
      </c>
      <c r="E94" s="1071" t="str">
        <f>NewTech!E21</f>
        <v>TBDSL</v>
      </c>
      <c r="F94" s="1071" t="str">
        <f>NewTech!F21</f>
        <v>TB</v>
      </c>
      <c r="G94" s="1110" t="s">
        <v>498</v>
      </c>
      <c r="H94" s="1110" t="s">
        <v>499</v>
      </c>
      <c r="I94" s="1112">
        <v>1</v>
      </c>
      <c r="J94" s="1111" t="str">
        <f t="shared" si="37"/>
        <v>Bus-DSL</v>
      </c>
      <c r="K94" s="1111">
        <f>SUMIFS(NewEmisData!E:E, NewEmisData!$A:$A, $G94, NewEmisData!$B:$B, $A94, NewEmisData!$C:$C, $H94, NewEmisData!$D:$D, K$6)</f>
        <v>2080.2970890730599</v>
      </c>
      <c r="L94" s="1111">
        <f>SUMIFS(NewEmisData!F:F, NewEmisData!$A:$A, $G94, NewEmisData!$B:$B, $A94, NewEmisData!$C:$C, $H94, NewEmisData!$D:$D, L$6)</f>
        <v>2109.4711930624499</v>
      </c>
      <c r="M94" s="1111">
        <f>SUMIFS(NewEmisData!G:G, NewEmisData!$A:$A, $G94, NewEmisData!$B:$B, $A94, NewEmisData!$C:$C, $H94, NewEmisData!$D:$D, M$6)</f>
        <v>2250.3411144545198</v>
      </c>
      <c r="N94" s="1111">
        <f>SUMIFS(NewEmisData!H:H, NewEmisData!$A:$A, $G94, NewEmisData!$B:$B, $A94, NewEmisData!$C:$C, $H94, NewEmisData!$D:$D, N$6)</f>
        <v>2207.8222571372398</v>
      </c>
      <c r="O94" s="1111">
        <f>SUMIFS(NewEmisData!I:I, NewEmisData!$A:$A, $G94, NewEmisData!$B:$B, $A94, NewEmisData!$C:$C, $H94, NewEmisData!$D:$D, O$6)</f>
        <v>2173.5129182212299</v>
      </c>
      <c r="P94" s="1111">
        <f>SUMIFS(NewEmisData!J:J, NewEmisData!$A:$A, $G94, NewEmisData!$B:$B, $A94, NewEmisData!$C:$C, $H94, NewEmisData!$D:$D, P$6)</f>
        <v>2157.1874680648498</v>
      </c>
      <c r="Q94" s="1111">
        <f>SUMIFS(NewEmisData!K:K, NewEmisData!$A:$A, $G94, NewEmisData!$B:$B, $A94, NewEmisData!$C:$C, $H94, NewEmisData!$D:$D, Q$6)</f>
        <v>2152.6343695246501</v>
      </c>
      <c r="R94" s="1111">
        <f>SUMIFS(NewEmisData!L:L, NewEmisData!$A:$A, $G94, NewEmisData!$B:$B, $A94, NewEmisData!$C:$C, $H94, NewEmisData!$D:$D, R$6)</f>
        <v>2151.1111734661499</v>
      </c>
      <c r="S94" s="1111">
        <f>SUMIFS(NewEmisData!M:M, NewEmisData!$A:$A, $G94, NewEmisData!$B:$B, $A94, NewEmisData!$C:$C, $H94, NewEmisData!$D:$D, S$6)</f>
        <v>2150.6160486070298</v>
      </c>
      <c r="T94" s="1111">
        <f t="shared" si="131"/>
        <v>2150.6160486070298</v>
      </c>
      <c r="U94" s="1111">
        <f>SUMIFS(NewEmisData!E:E, NewEmisData!$A:$A, $G94, NewEmisData!$B:$B, $A94, NewEmisData!$C:$C, $H94, NewEmisData!$D:$D, U$6)</f>
        <v>40.449529533420304</v>
      </c>
      <c r="V94" s="1111">
        <f>SUMIFS(NewEmisData!F:F, NewEmisData!$A:$A, $G94, NewEmisData!$B:$B, $A94, NewEmisData!$C:$C, $H94, NewEmisData!$D:$D, V$6)</f>
        <v>37.425839617300603</v>
      </c>
      <c r="W94" s="1111">
        <f>SUMIFS(NewEmisData!G:G, NewEmisData!$A:$A, $G94, NewEmisData!$B:$B, $A94, NewEmisData!$C:$C, $H94, NewEmisData!$D:$D, W$6)</f>
        <v>6.6428401041299603</v>
      </c>
      <c r="X94" s="1111">
        <f>SUMIFS(NewEmisData!H:H, NewEmisData!$A:$A, $G94, NewEmisData!$B:$B, $A94, NewEmisData!$C:$C, $H94, NewEmisData!$D:$D, X$6)</f>
        <v>3.77567960317164</v>
      </c>
      <c r="Y94" s="1111">
        <f>SUMIFS(NewEmisData!I:I, NewEmisData!$A:$A, $G94, NewEmisData!$B:$B, $A94, NewEmisData!$C:$C, $H94, NewEmisData!$D:$D, Y$6)</f>
        <v>2.6206386180811401</v>
      </c>
      <c r="Z94" s="1111">
        <f>SUMIFS(NewEmisData!J:J, NewEmisData!$A:$A, $G94, NewEmisData!$B:$B, $A94, NewEmisData!$C:$C, $H94, NewEmisData!$D:$D, Z$6)</f>
        <v>2.3009735743661102</v>
      </c>
      <c r="AA94" s="1111">
        <f>SUMIFS(NewEmisData!K:K, NewEmisData!$A:$A, $G94, NewEmisData!$B:$B, $A94, NewEmisData!$C:$C, $H94, NewEmisData!$D:$D, AA$6)</f>
        <v>2.1222500944201301</v>
      </c>
      <c r="AB94" s="1111">
        <f>SUMIFS(NewEmisData!L:L, NewEmisData!$A:$A, $G94, NewEmisData!$B:$B, $A94, NewEmisData!$C:$C, $H94, NewEmisData!$D:$D, AB$6)</f>
        <v>2.1170149680898702</v>
      </c>
      <c r="AC94" s="1111">
        <f>SUMIFS(NewEmisData!M:M, NewEmisData!$A:$A, $G94, NewEmisData!$B:$B, $A94, NewEmisData!$C:$C, $H94, NewEmisData!$D:$D, AC$6)</f>
        <v>2.1153875073054502</v>
      </c>
      <c r="AD94" s="1111">
        <f t="shared" si="132"/>
        <v>2.1153875073054502</v>
      </c>
      <c r="AE94" s="1111">
        <f t="shared" si="113"/>
        <v>5.2255737859281101E-2</v>
      </c>
      <c r="AF94" s="1111">
        <f>SUMIFS(NewEmisData!E:E, NewEmisData!$A:$A, $G94, NewEmisData!$B:$B, $A94, NewEmisData!$C:$C, $H94, NewEmisData!$D:$D, AF$6)</f>
        <v>5.2255737859281101E-2</v>
      </c>
      <c r="AG94" s="1111">
        <f>SUMIFS(NewEmisData!F:F, NewEmisData!$A:$A, $G94, NewEmisData!$B:$B, $A94, NewEmisData!$C:$C, $H94, NewEmisData!$D:$D, AG$6)</f>
        <v>5.2336961474348999E-2</v>
      </c>
      <c r="AH94" s="1111">
        <f>SUMIFS(NewEmisData!G:G, NewEmisData!$A:$A, $G94, NewEmisData!$B:$B, $A94, NewEmisData!$C:$C, $H94, NewEmisData!$D:$D, AH$6)</f>
        <v>1.90120187414001E-2</v>
      </c>
      <c r="AI94" s="1111">
        <f>SUMIFS(NewEmisData!H:H, NewEmisData!$A:$A, $G94, NewEmisData!$B:$B, $A94, NewEmisData!$C:$C, $H94, NewEmisData!$D:$D, AI$6)</f>
        <v>1.84874270200093E-2</v>
      </c>
      <c r="AJ94" s="1111">
        <f>SUMIFS(NewEmisData!I:I, NewEmisData!$A:$A, $G94, NewEmisData!$B:$B, $A94, NewEmisData!$C:$C, $H94, NewEmisData!$D:$D, AJ$6)</f>
        <v>1.8144374000154902E-2</v>
      </c>
      <c r="AK94" s="1111">
        <f>SUMIFS(NewEmisData!J:J, NewEmisData!$A:$A, $G94, NewEmisData!$B:$B, $A94, NewEmisData!$C:$C, $H94, NewEmisData!$D:$D, AK$6)</f>
        <v>1.7999854067365699E-2</v>
      </c>
      <c r="AL94" s="1111">
        <f>SUMIFS(NewEmisData!K:K, NewEmisData!$A:$A, $G94, NewEmisData!$B:$B, $A94, NewEmisData!$C:$C, $H94, NewEmisData!$D:$D, AL$6)</f>
        <v>1.7946771342725602E-2</v>
      </c>
      <c r="AM94" s="1111">
        <f>SUMIFS(NewEmisData!L:L, NewEmisData!$A:$A, $G94, NewEmisData!$B:$B, $A94, NewEmisData!$C:$C, $H94, NewEmisData!$D:$D, AM$6)</f>
        <v>1.7934071003801701E-2</v>
      </c>
      <c r="AN94" s="1111">
        <f>SUMIFS(NewEmisData!M:M, NewEmisData!$A:$A, $G94, NewEmisData!$B:$B, $A94, NewEmisData!$C:$C, $H94, NewEmisData!$D:$D, AN$6)</f>
        <v>1.79299478743845E-2</v>
      </c>
      <c r="AO94" s="1111">
        <f t="shared" si="114"/>
        <v>1.79299478743845E-2</v>
      </c>
      <c r="AP94" s="1111">
        <f t="shared" si="115"/>
        <v>3.1140708935215899</v>
      </c>
      <c r="AQ94" s="1111">
        <f>SUMIFS(NewEmisData!E:E, NewEmisData!$A:$A, $G94, NewEmisData!$B:$B, $A94, NewEmisData!$C:$C, $H94, NewEmisData!$D:$D, AQ$6)</f>
        <v>3.1140708935215899</v>
      </c>
      <c r="AR94" s="1111">
        <f>SUMIFS(NewEmisData!F:F, NewEmisData!$A:$A, $G94, NewEmisData!$B:$B, $A94, NewEmisData!$C:$C, $H94, NewEmisData!$D:$D, AR$6)</f>
        <v>2.8847204358426501</v>
      </c>
      <c r="AS94" s="1111">
        <f>SUMIFS(NewEmisData!G:G, NewEmisData!$A:$A, $G94, NewEmisData!$B:$B, $A94, NewEmisData!$C:$C, $H94, NewEmisData!$D:$D, AS$6)</f>
        <v>0.74809443085481597</v>
      </c>
      <c r="AT94" s="1111">
        <f>SUMIFS(NewEmisData!H:H, NewEmisData!$A:$A, $G94, NewEmisData!$B:$B, $A94, NewEmisData!$C:$C, $H94, NewEmisData!$D:$D, AT$6)</f>
        <v>0.62015789663876097</v>
      </c>
      <c r="AU94" s="1111">
        <f>SUMIFS(NewEmisData!I:I, NewEmisData!$A:$A, $G94, NewEmisData!$B:$B, $A94, NewEmisData!$C:$C, $H94, NewEmisData!$D:$D, AU$6)</f>
        <v>0.57506450514365803</v>
      </c>
      <c r="AV94" s="1111">
        <f>SUMIFS(NewEmisData!J:J, NewEmisData!$A:$A, $G94, NewEmisData!$B:$B, $A94, NewEmisData!$C:$C, $H94, NewEmisData!$D:$D, AV$6)</f>
        <v>0.56761442636626203</v>
      </c>
      <c r="AW94" s="1111">
        <f>SUMIFS(NewEmisData!K:K, NewEmisData!$A:$A, $G94, NewEmisData!$B:$B, $A94, NewEmisData!$C:$C, $H94, NewEmisData!$D:$D, AW$6)</f>
        <v>0.55955127050834697</v>
      </c>
      <c r="AX94" s="1111">
        <f>SUMIFS(NewEmisData!L:L, NewEmisData!$A:$A, $G94, NewEmisData!$B:$B, $A94, NewEmisData!$C:$C, $H94, NewEmisData!$D:$D, AX$6)</f>
        <v>0.55939324929766499</v>
      </c>
      <c r="AY94" s="1111">
        <f>SUMIFS(NewEmisData!M:M, NewEmisData!$A:$A, $G94, NewEmisData!$B:$B, $A94, NewEmisData!$C:$C, $H94, NewEmisData!$D:$D, AY$6)</f>
        <v>0.55957008556142196</v>
      </c>
      <c r="AZ94" s="1111">
        <f t="shared" si="116"/>
        <v>0.55957008556142196</v>
      </c>
      <c r="BA94" s="1111">
        <f t="shared" si="117"/>
        <v>2.5303145316281501</v>
      </c>
      <c r="BB94" s="1111">
        <f>SUMIFS(NewEmisData!E:E, NewEmisData!$A:$A, $G94, NewEmisData!$B:$B, $A94, NewEmisData!$C:$C, $H94, NewEmisData!$D:$D, BB$6)</f>
        <v>2.5303145316281501</v>
      </c>
      <c r="BC94" s="1111">
        <f>SUMIFS(NewEmisData!F:F, NewEmisData!$A:$A, $G94, NewEmisData!$B:$B, $A94, NewEmisData!$C:$C, $H94, NewEmisData!$D:$D, BC$6)</f>
        <v>2.3086681022657398</v>
      </c>
      <c r="BD94" s="1111">
        <f>SUMIFS(NewEmisData!G:G, NewEmisData!$A:$A, $G94, NewEmisData!$B:$B, $A94, NewEmisData!$C:$C, $H94, NewEmisData!$D:$D, BD$6)</f>
        <v>0.28378444504223299</v>
      </c>
      <c r="BE94" s="1111">
        <f>SUMIFS(NewEmisData!H:H, NewEmisData!$A:$A, $G94, NewEmisData!$B:$B, $A94, NewEmisData!$C:$C, $H94, NewEmisData!$D:$D, BE$6)</f>
        <v>0.16305711430309899</v>
      </c>
      <c r="BF94" s="1111">
        <f>SUMIFS(NewEmisData!I:I, NewEmisData!$A:$A, $G94, NewEmisData!$B:$B, $A94, NewEmisData!$C:$C, $H94, NewEmisData!$D:$D, BF$6)</f>
        <v>0.12268206574598001</v>
      </c>
      <c r="BG94" s="1111">
        <f>SUMIFS(NewEmisData!J:J, NewEmisData!$A:$A, $G94, NewEmisData!$B:$B, $A94, NewEmisData!$C:$C, $H94, NewEmisData!$D:$D, BG$6)</f>
        <v>0.11582611815709799</v>
      </c>
      <c r="BH94" s="1111">
        <f>SUMIFS(NewEmisData!K:K, NewEmisData!$A:$A, $G94, NewEmisData!$B:$B, $A94, NewEmisData!$C:$C, $H94, NewEmisData!$D:$D, BH$6)</f>
        <v>0.108668011205409</v>
      </c>
      <c r="BI94" s="1111">
        <f>SUMIFS(NewEmisData!L:L, NewEmisData!$A:$A, $G94, NewEmisData!$B:$B, $A94, NewEmisData!$C:$C, $H94, NewEmisData!$D:$D, BI$6)</f>
        <v>0.108570916199558</v>
      </c>
      <c r="BJ94" s="1111">
        <f>SUMIFS(NewEmisData!M:M, NewEmisData!$A:$A, $G94, NewEmisData!$B:$B, $A94, NewEmisData!$C:$C, $H94, NewEmisData!$D:$D, BJ$6)</f>
        <v>0.108581014611937</v>
      </c>
      <c r="BK94" s="1111">
        <f t="shared" si="118"/>
        <v>0.108581014611937</v>
      </c>
      <c r="BL94" s="1111">
        <f t="shared" si="119"/>
        <v>11.394784821519901</v>
      </c>
      <c r="BM94" s="1111">
        <f>SUMIFS(NewEmisData!E:E, NewEmisData!$A:$A, $G94, NewEmisData!$B:$B, $A94, NewEmisData!$C:$C, $H94, NewEmisData!$D:$D, BM$6)</f>
        <v>11.394784821519901</v>
      </c>
      <c r="BN94" s="1111">
        <f>SUMIFS(NewEmisData!F:F, NewEmisData!$A:$A, $G94, NewEmisData!$B:$B, $A94, NewEmisData!$C:$C, $H94, NewEmisData!$D:$D, BN$6)</f>
        <v>10.6563815549337</v>
      </c>
      <c r="BO94" s="1111">
        <f>SUMIFS(NewEmisData!G:G, NewEmisData!$A:$A, $G94, NewEmisData!$B:$B, $A94, NewEmisData!$C:$C, $H94, NewEmisData!$D:$D, BO$6)</f>
        <v>2.5217312345554999</v>
      </c>
      <c r="BP94" s="1111">
        <f>SUMIFS(NewEmisData!H:H, NewEmisData!$A:$A, $G94, NewEmisData!$B:$B, $A94, NewEmisData!$C:$C, $H94, NewEmisData!$D:$D, BP$6)</f>
        <v>1.32179357333326</v>
      </c>
      <c r="BQ94" s="1111">
        <f>SUMIFS(NewEmisData!I:I, NewEmisData!$A:$A, $G94, NewEmisData!$B:$B, $A94, NewEmisData!$C:$C, $H94, NewEmisData!$D:$D, BQ$6)</f>
        <v>1.08738121961483</v>
      </c>
      <c r="BR94" s="1111">
        <f>SUMIFS(NewEmisData!J:J, NewEmisData!$A:$A, $G94, NewEmisData!$B:$B, $A94, NewEmisData!$C:$C, $H94, NewEmisData!$D:$D, BR$6)</f>
        <v>0.93269004563424096</v>
      </c>
      <c r="BS94" s="1111">
        <f>SUMIFS(NewEmisData!K:K, NewEmisData!$A:$A, $G94, NewEmisData!$B:$B, $A94, NewEmisData!$C:$C, $H94, NewEmisData!$D:$D, BS$6)</f>
        <v>0.871599531751862</v>
      </c>
      <c r="BT94" s="1111">
        <f>SUMIFS(NewEmisData!L:L, NewEmisData!$A:$A, $G94, NewEmisData!$B:$B, $A94, NewEmisData!$C:$C, $H94, NewEmisData!$D:$D, BT$6)</f>
        <v>0.87139254201649397</v>
      </c>
      <c r="BU94" s="1111">
        <f>SUMIFS(NewEmisData!M:M, NewEmisData!$A:$A, $G94, NewEmisData!$B:$B, $A94, NewEmisData!$C:$C, $H94, NewEmisData!$D:$D, BU$6)</f>
        <v>0.870328181669625</v>
      </c>
      <c r="BV94" s="1111">
        <f t="shared" si="120"/>
        <v>0.870328181669625</v>
      </c>
      <c r="BW94" s="1111">
        <f t="shared" si="121"/>
        <v>2.3752781774376901</v>
      </c>
      <c r="BX94" s="1111">
        <f>SUMIFS(NewEmisData!E:E, NewEmisData!$A:$A, $G94, NewEmisData!$B:$B, $A94, NewEmisData!$C:$C, $H94, NewEmisData!$D:$D, BX$6)</f>
        <v>2.3752781774376901</v>
      </c>
      <c r="BY94" s="1111">
        <f>SUMIFS(NewEmisData!F:F, NewEmisData!$A:$A, $G94, NewEmisData!$B:$B, $A94, NewEmisData!$C:$C, $H94, NewEmisData!$D:$D, BY$6)</f>
        <v>2.1942926985453299</v>
      </c>
      <c r="BZ94" s="1111">
        <f>SUMIFS(NewEmisData!G:G, NewEmisData!$A:$A, $G94, NewEmisData!$B:$B, $A94, NewEmisData!$C:$C, $H94, NewEmisData!$D:$D, BZ$6)</f>
        <v>0.59763355306084598</v>
      </c>
      <c r="CA94" s="1111">
        <f>SUMIFS(NewEmisData!H:H, NewEmisData!$A:$A, $G94, NewEmisData!$B:$B, $A94, NewEmisData!$C:$C, $H94, NewEmisData!$D:$D, CA$6)</f>
        <v>0.29137621139391601</v>
      </c>
      <c r="CB94" s="1111">
        <f>SUMIFS(NewEmisData!I:I, NewEmisData!$A:$A, $G94, NewEmisData!$B:$B, $A94, NewEmisData!$C:$C, $H94, NewEmisData!$D:$D, CB$6)</f>
        <v>0.200801002522528</v>
      </c>
      <c r="CC94" s="1111">
        <f>SUMIFS(NewEmisData!J:J, NewEmisData!$A:$A, $G94, NewEmisData!$B:$B, $A94, NewEmisData!$C:$C, $H94, NewEmisData!$D:$D, CC$6)</f>
        <v>0.17642712606932701</v>
      </c>
      <c r="CD94" s="1111">
        <f>SUMIFS(NewEmisData!K:K, NewEmisData!$A:$A, $G94, NewEmisData!$B:$B, $A94, NewEmisData!$C:$C, $H94, NewEmisData!$D:$D, CD$6)</f>
        <v>0.151845237690554</v>
      </c>
      <c r="CE94" s="1111">
        <f>SUMIFS(NewEmisData!L:L, NewEmisData!$A:$A, $G94, NewEmisData!$B:$B, $A94, NewEmisData!$C:$C, $H94, NewEmisData!$D:$D, CE$6)</f>
        <v>0.15173882312273401</v>
      </c>
      <c r="CF94" s="1111">
        <f>SUMIFS(NewEmisData!M:M, NewEmisData!$A:$A, $G94, NewEmisData!$B:$B, $A94, NewEmisData!$C:$C, $H94, NewEmisData!$D:$D, CF$6)</f>
        <v>0.15169469158436399</v>
      </c>
      <c r="CG94" s="1111">
        <f t="shared" si="122"/>
        <v>0.15169469158436399</v>
      </c>
      <c r="CH94" s="1111">
        <f t="shared" si="123"/>
        <v>3.4941772828006E-2</v>
      </c>
      <c r="CI94" s="1111">
        <f>SUMIFS(NewEmisData!E:E, NewEmisData!$A:$A, $G94, NewEmisData!$B:$B, $A94, NewEmisData!$C:$C, $H94, NewEmisData!$D:$D, CI$6)</f>
        <v>3.4941772828006E-2</v>
      </c>
      <c r="CJ94" s="1111">
        <f>SUMIFS(NewEmisData!F:F, NewEmisData!$A:$A, $G94, NewEmisData!$B:$B, $A94, NewEmisData!$C:$C, $H94, NewEmisData!$D:$D, CJ$6)</f>
        <v>3.50217450182281E-2</v>
      </c>
      <c r="CK94" s="1111">
        <f>SUMIFS(NewEmisData!G:G, NewEmisData!$A:$A, $G94, NewEmisData!$B:$B, $A94, NewEmisData!$C:$C, $H94, NewEmisData!$D:$D, CK$6)</f>
        <v>3.9477724835296803E-2</v>
      </c>
      <c r="CL94" s="1111">
        <f>SUMIFS(NewEmisData!H:H, NewEmisData!$A:$A, $G94, NewEmisData!$B:$B, $A94, NewEmisData!$C:$C, $H94, NewEmisData!$D:$D, CL$6)</f>
        <v>3.9528644727434697E-2</v>
      </c>
      <c r="CM94" s="1111">
        <f>SUMIFS(NewEmisData!I:I, NewEmisData!$A:$A, $G94, NewEmisData!$B:$B, $A94, NewEmisData!$C:$C, $H94, NewEmisData!$D:$D, CM$6)</f>
        <v>3.95085168774486E-2</v>
      </c>
      <c r="CN94" s="1111">
        <f>SUMIFS(NewEmisData!J:J, NewEmisData!$A:$A, $G94, NewEmisData!$B:$B, $A94, NewEmisData!$C:$C, $H94, NewEmisData!$D:$D, CN$6)</f>
        <v>3.9508343326223903E-2</v>
      </c>
      <c r="CO94" s="1111">
        <f>SUMIFS(NewEmisData!K:K, NewEmisData!$A:$A, $G94, NewEmisData!$B:$B, $A94, NewEmisData!$C:$C, $H94, NewEmisData!$D:$D, CO$6)</f>
        <v>3.9503822065767399E-2</v>
      </c>
      <c r="CP94" s="1111">
        <f>SUMIFS(NewEmisData!L:L, NewEmisData!$A:$A, $G94, NewEmisData!$B:$B, $A94, NewEmisData!$C:$C, $H94, NewEmisData!$D:$D, CP$6)</f>
        <v>3.9502771622416701E-2</v>
      </c>
      <c r="CQ94" s="1111">
        <f>SUMIFS(NewEmisData!M:M, NewEmisData!$A:$A, $G94, NewEmisData!$B:$B, $A94, NewEmisData!$C:$C, $H94, NewEmisData!$D:$D, CQ$6)</f>
        <v>3.9505510322833698E-2</v>
      </c>
      <c r="CR94" s="1111">
        <f t="shared" si="124"/>
        <v>3.9505510322833698E-2</v>
      </c>
      <c r="CS94" s="1111">
        <f t="shared" si="125"/>
        <v>6.6012209147156302E-3</v>
      </c>
      <c r="CT94" s="1111">
        <f>SUMIFS(NewEmisData!E:E, NewEmisData!$A:$A, $G94, NewEmisData!$B:$B, $A94, NewEmisData!$C:$C, $H94, NewEmisData!$D:$D, CT$6)</f>
        <v>6.6012209147156302E-3</v>
      </c>
      <c r="CU94" s="1111">
        <f>SUMIFS(NewEmisData!F:F, NewEmisData!$A:$A, $G94, NewEmisData!$B:$B, $A94, NewEmisData!$C:$C, $H94, NewEmisData!$D:$D, CU$6)</f>
        <v>6.4073594557178398E-3</v>
      </c>
      <c r="CV94" s="1111">
        <f>SUMIFS(NewEmisData!G:G, NewEmisData!$A:$A, $G94, NewEmisData!$B:$B, $A94, NewEmisData!$C:$C, $H94, NewEmisData!$D:$D, CV$6)</f>
        <v>7.1648137678451997E-3</v>
      </c>
      <c r="CW94" s="1111">
        <f>SUMIFS(NewEmisData!H:H, NewEmisData!$A:$A, $G94, NewEmisData!$B:$B, $A94, NewEmisData!$C:$C, $H94, NewEmisData!$D:$D, CW$6)</f>
        <v>7.1602087071173399E-3</v>
      </c>
      <c r="CX94" s="1111">
        <f>SUMIFS(NewEmisData!I:I, NewEmisData!$A:$A, $G94, NewEmisData!$B:$B, $A94, NewEmisData!$C:$C, $H94, NewEmisData!$D:$D, CX$6)</f>
        <v>7.16455163233476E-3</v>
      </c>
      <c r="CY94" s="1111">
        <f>SUMIFS(NewEmisData!J:J, NewEmisData!$A:$A, $G94, NewEmisData!$B:$B, $A94, NewEmisData!$C:$C, $H94, NewEmisData!$D:$D, CY$6)</f>
        <v>7.1645367912074997E-3</v>
      </c>
      <c r="CZ94" s="1111">
        <f>SUMIFS(NewEmisData!K:K, NewEmisData!$A:$A, $G94, NewEmisData!$B:$B, $A94, NewEmisData!$C:$C, $H94, NewEmisData!$D:$D, CZ$6)</f>
        <v>7.1656509510186596E-3</v>
      </c>
      <c r="DA94" s="1111">
        <f>SUMIFS(NewEmisData!L:L, NewEmisData!$A:$A, $G94, NewEmisData!$B:$B, $A94, NewEmisData!$C:$C, $H94, NewEmisData!$D:$D, DA$6)</f>
        <v>7.1659123166224799E-3</v>
      </c>
      <c r="DB94" s="1111">
        <f>SUMIFS(NewEmisData!M:M, NewEmisData!$A:$A, $G94, NewEmisData!$B:$B, $A94, NewEmisData!$C:$C, $H94, NewEmisData!$D:$D, DB$6)</f>
        <v>7.1650737318779897E-3</v>
      </c>
      <c r="DC94" s="1111">
        <f t="shared" si="126"/>
        <v>7.1650737318779897E-3</v>
      </c>
      <c r="DD94" s="1111"/>
      <c r="DE94" s="1111"/>
      <c r="DF94" s="1111"/>
      <c r="DG94" s="1111"/>
      <c r="DH94" s="1111"/>
      <c r="DI94" s="1111"/>
      <c r="DJ94" s="1111"/>
      <c r="DK94" s="1111"/>
      <c r="DL94" s="1111"/>
      <c r="DM94" s="1111"/>
      <c r="DN94" s="1111"/>
      <c r="DO94" s="1111"/>
      <c r="DP94" s="1111"/>
      <c r="DQ94" s="1111"/>
      <c r="DR94" s="1111"/>
      <c r="DS94" s="1111"/>
      <c r="DT94" s="1111"/>
      <c r="DU94" s="1111"/>
      <c r="DV94" s="1111"/>
      <c r="DW94" s="1111"/>
      <c r="DX94" s="1111"/>
      <c r="DY94" s="1111"/>
      <c r="DZ94" s="1111">
        <f t="shared" si="127"/>
        <v>1.10654250023199E-2</v>
      </c>
      <c r="EA94" s="1111">
        <f>SUMIFS(NewEmisData!E:E, NewEmisData!$A:$A, $G94, NewEmisData!$B:$B, $A94, NewEmisData!$C:$C, $H94, NewEmisData!$D:$D, EA$6)</f>
        <v>1.10654250023199E-2</v>
      </c>
      <c r="EB94" s="1111">
        <f>SUMIFS(NewEmisData!F:F, NewEmisData!$A:$A, $G94, NewEmisData!$B:$B, $A94, NewEmisData!$C:$C, $H94, NewEmisData!$D:$D, EB$6)</f>
        <v>3.5717908538474501E-2</v>
      </c>
      <c r="EC94" s="1111">
        <f>SUMIFS(NewEmisData!G:G, NewEmisData!$A:$A, $G94, NewEmisData!$B:$B, $A94, NewEmisData!$C:$C, $H94, NewEmisData!$D:$D, EC$6)</f>
        <v>0.116951384194715</v>
      </c>
      <c r="ED94" s="1111">
        <f>SUMIFS(NewEmisData!H:H, NewEmisData!$A:$A, $G94, NewEmisData!$B:$B, $A94, NewEmisData!$C:$C, $H94, NewEmisData!$D:$D, ED$6)</f>
        <v>0.12541769151994001</v>
      </c>
      <c r="EE94" s="1111">
        <f>SUMIFS(NewEmisData!I:I, NewEmisData!$A:$A, $G94, NewEmisData!$B:$B, $A94, NewEmisData!$C:$C, $H94, NewEmisData!$D:$D, EE$6)</f>
        <v>0.12528032512760801</v>
      </c>
      <c r="EF94" s="1111">
        <f>SUMIFS(NewEmisData!J:J, NewEmisData!$A:$A, $G94, NewEmisData!$B:$B, $A94, NewEmisData!$C:$C, $H94, NewEmisData!$D:$D, EF$6)</f>
        <v>0.124793701298803</v>
      </c>
      <c r="EG94" s="1111">
        <f>SUMIFS(NewEmisData!K:K, NewEmisData!$A:$A, $G94, NewEmisData!$B:$B, $A94, NewEmisData!$C:$C, $H94, NewEmisData!$D:$D, EG$6)</f>
        <v>0.126229069683536</v>
      </c>
      <c r="EH94" s="1111">
        <f>SUMIFS(NewEmisData!L:L, NewEmisData!$A:$A, $G94, NewEmisData!$B:$B, $A94, NewEmisData!$C:$C, $H94, NewEmisData!$D:$D, EH$6)</f>
        <v>0.126140757204284</v>
      </c>
      <c r="EI94" s="1111">
        <f>SUMIFS(NewEmisData!M:M, NewEmisData!$A:$A, $G94, NewEmisData!$B:$B, $A94, NewEmisData!$C:$C, $H94, NewEmisData!$D:$D, EI$6)</f>
        <v>0.126101847596616</v>
      </c>
      <c r="EJ94" s="1111">
        <f t="shared" si="128"/>
        <v>0.126101847596616</v>
      </c>
      <c r="EK94" s="1111">
        <f t="shared" si="129"/>
        <v>2080.2970890730599</v>
      </c>
      <c r="EL94" s="1111">
        <f t="shared" ref="EL94:EL159" si="154">K94</f>
        <v>2080.2970890730599</v>
      </c>
      <c r="EM94" s="1111">
        <f t="shared" ref="EM94:EM159" si="155">L94</f>
        <v>2109.4711930624499</v>
      </c>
      <c r="EN94" s="1111">
        <f t="shared" ref="EN94:EN159" si="156">M94</f>
        <v>2250.3411144545198</v>
      </c>
      <c r="EO94" s="1111">
        <f t="shared" ref="EO94:EO159" si="157">N94</f>
        <v>2207.8222571372398</v>
      </c>
      <c r="EP94" s="1111">
        <f t="shared" ref="EP94:EP159" si="158">O94</f>
        <v>2173.5129182212299</v>
      </c>
      <c r="EQ94" s="1111">
        <f t="shared" ref="EQ94:EQ159" si="159">P94</f>
        <v>2157.1874680648498</v>
      </c>
      <c r="ER94" s="1111">
        <f t="shared" ref="ER94:ER159" si="160">Q94</f>
        <v>2152.6343695246501</v>
      </c>
      <c r="ES94" s="1111">
        <f t="shared" ref="ES94:ES159" si="161">R94</f>
        <v>2151.1111734661499</v>
      </c>
      <c r="ET94" s="1111">
        <f t="shared" ref="ET94:ET159" si="162">S94</f>
        <v>2150.6160486070298</v>
      </c>
      <c r="EU94" s="1111">
        <f t="shared" ref="EU94:EU159" si="163">T94</f>
        <v>2150.6160486070298</v>
      </c>
      <c r="EV94" s="1111">
        <f t="shared" si="130"/>
        <v>40.449529533420304</v>
      </c>
      <c r="EW94" s="1111">
        <f t="shared" si="144"/>
        <v>40.449529533420304</v>
      </c>
      <c r="EX94" s="1111">
        <f t="shared" si="145"/>
        <v>37.425839617300603</v>
      </c>
      <c r="EY94" s="1111">
        <f t="shared" si="146"/>
        <v>6.6428401041299603</v>
      </c>
      <c r="EZ94" s="1111">
        <f t="shared" si="147"/>
        <v>3.77567960317164</v>
      </c>
      <c r="FA94" s="1111">
        <f t="shared" si="148"/>
        <v>2.6206386180811401</v>
      </c>
      <c r="FB94" s="1111">
        <f t="shared" si="149"/>
        <v>2.3009735743661102</v>
      </c>
      <c r="FC94" s="1111">
        <f t="shared" si="150"/>
        <v>2.1222500944201301</v>
      </c>
      <c r="FD94" s="1111">
        <f t="shared" si="151"/>
        <v>2.1170149680898702</v>
      </c>
      <c r="FE94" s="1111">
        <f t="shared" si="152"/>
        <v>2.1153875073054502</v>
      </c>
      <c r="FF94" s="1111">
        <f t="shared" si="153"/>
        <v>2.1153875073054502</v>
      </c>
      <c r="FG94" s="1111">
        <f t="shared" si="100"/>
        <v>5.2255737859281101E-2</v>
      </c>
      <c r="FH94" s="1111">
        <f t="shared" si="101"/>
        <v>5.2255737859281101E-2</v>
      </c>
      <c r="FI94" s="1111">
        <f t="shared" si="102"/>
        <v>5.2336961474348999E-2</v>
      </c>
      <c r="FJ94" s="1111">
        <f t="shared" si="103"/>
        <v>1.90120187414001E-2</v>
      </c>
      <c r="FK94" s="1111">
        <f t="shared" si="104"/>
        <v>1.84874270200093E-2</v>
      </c>
      <c r="FL94" s="1111">
        <f t="shared" si="105"/>
        <v>1.8144374000154902E-2</v>
      </c>
      <c r="FM94" s="1111">
        <f t="shared" si="106"/>
        <v>1.7999854067365699E-2</v>
      </c>
      <c r="FN94" s="1111">
        <f t="shared" si="107"/>
        <v>1.7946771342725602E-2</v>
      </c>
      <c r="FO94" s="1111">
        <f t="shared" si="108"/>
        <v>1.7934071003801701E-2</v>
      </c>
      <c r="FP94" s="1111">
        <f t="shared" si="109"/>
        <v>1.79299478743845E-2</v>
      </c>
      <c r="FQ94" s="1111">
        <f t="shared" si="110"/>
        <v>1.79299478743845E-2</v>
      </c>
      <c r="FR94" s="1111">
        <f t="shared" si="133"/>
        <v>3.1140708935215899</v>
      </c>
      <c r="FS94" s="1111">
        <f t="shared" si="134"/>
        <v>3.1140708935215899</v>
      </c>
      <c r="FT94" s="1111">
        <f t="shared" si="135"/>
        <v>2.8847204358426501</v>
      </c>
      <c r="FU94" s="1111">
        <f t="shared" si="136"/>
        <v>0.74809443085481597</v>
      </c>
      <c r="FV94" s="1111">
        <f t="shared" si="137"/>
        <v>0.62015789663876097</v>
      </c>
      <c r="FW94" s="1111">
        <f t="shared" si="138"/>
        <v>0.57506450514365803</v>
      </c>
      <c r="FX94" s="1111">
        <f t="shared" si="139"/>
        <v>0.56761442636626203</v>
      </c>
      <c r="FY94" s="1111">
        <f t="shared" si="140"/>
        <v>0.55955127050834697</v>
      </c>
      <c r="FZ94" s="1111">
        <f t="shared" si="141"/>
        <v>0.55939324929766499</v>
      </c>
      <c r="GA94" s="1111">
        <f t="shared" si="142"/>
        <v>0.55957008556142196</v>
      </c>
      <c r="GB94" s="1111">
        <f t="shared" si="143"/>
        <v>0.55957008556142196</v>
      </c>
      <c r="GC94" s="1111">
        <f t="shared" ref="GC94:GC159" si="164">BA94</f>
        <v>2.5303145316281501</v>
      </c>
      <c r="GD94" s="1111">
        <f t="shared" ref="GD94:GD159" si="165">BB94</f>
        <v>2.5303145316281501</v>
      </c>
      <c r="GE94" s="1111">
        <f t="shared" ref="GE94:GE159" si="166">BC94</f>
        <v>2.3086681022657398</v>
      </c>
      <c r="GF94" s="1111">
        <f t="shared" ref="GF94:GF159" si="167">BD94</f>
        <v>0.28378444504223299</v>
      </c>
      <c r="GG94" s="1111">
        <f t="shared" ref="GG94:GG159" si="168">BE94</f>
        <v>0.16305711430309899</v>
      </c>
      <c r="GH94" s="1111">
        <f t="shared" ref="GH94:GH159" si="169">BF94</f>
        <v>0.12268206574598001</v>
      </c>
      <c r="GI94" s="1111">
        <f t="shared" ref="GI94:GI159" si="170">BG94</f>
        <v>0.11582611815709799</v>
      </c>
      <c r="GJ94" s="1111">
        <f t="shared" ref="GJ94:GJ159" si="171">BH94</f>
        <v>0.108668011205409</v>
      </c>
      <c r="GK94" s="1111">
        <f t="shared" ref="GK94:GK159" si="172">BI94</f>
        <v>0.108570916199558</v>
      </c>
      <c r="GL94" s="1111">
        <f t="shared" ref="GL94:GL159" si="173">BJ94</f>
        <v>0.108581014611937</v>
      </c>
      <c r="GM94" s="1111">
        <f t="shared" ref="GM94:GM159" si="174">BK94</f>
        <v>0.108581014611937</v>
      </c>
    </row>
    <row r="95" spans="1:195" x14ac:dyDescent="0.2">
      <c r="A95" s="1071" t="s">
        <v>188</v>
      </c>
      <c r="B95" s="1071" t="str">
        <f>NewTech!B21</f>
        <v>TBDSLAH</v>
      </c>
      <c r="C95" s="1071" t="str">
        <f>NewTech!C21</f>
        <v>Bus, Advanced Hybrid Diesel</v>
      </c>
      <c r="D95" s="1071" t="str">
        <f>NewTech!D21</f>
        <v>bn-vmt, bn-vmt/a</v>
      </c>
      <c r="E95" s="1071" t="str">
        <f>NewTech!E21</f>
        <v>TBDSL</v>
      </c>
      <c r="F95" s="1071" t="str">
        <f>NewTech!F21</f>
        <v>TB</v>
      </c>
      <c r="G95" s="1110" t="s">
        <v>498</v>
      </c>
      <c r="H95" s="1110" t="s">
        <v>499</v>
      </c>
      <c r="I95" s="1112">
        <v>1</v>
      </c>
      <c r="J95" s="1111" t="str">
        <f t="shared" si="37"/>
        <v>Bus-DSL</v>
      </c>
      <c r="K95" s="1111">
        <f>SUMIFS(NewEmisData!E:E, NewEmisData!$A:$A, $G95, NewEmisData!$B:$B, $A95, NewEmisData!$C:$C, $H95, NewEmisData!$D:$D, K$6)</f>
        <v>1490.2976816476501</v>
      </c>
      <c r="L95" s="1111">
        <f>SUMIFS(NewEmisData!F:F, NewEmisData!$A:$A, $G95, NewEmisData!$B:$B, $A95, NewEmisData!$C:$C, $H95, NewEmisData!$D:$D, L$6)</f>
        <v>1626.84882020706</v>
      </c>
      <c r="M95" s="1111">
        <f>SUMIFS(NewEmisData!G:G, NewEmisData!$A:$A, $G95, NewEmisData!$B:$B, $A95, NewEmisData!$C:$C, $H95, NewEmisData!$D:$D, M$6)</f>
        <v>1458.6179661731101</v>
      </c>
      <c r="N95" s="1111">
        <f>SUMIFS(NewEmisData!H:H, NewEmisData!$A:$A, $G95, NewEmisData!$B:$B, $A95, NewEmisData!$C:$C, $H95, NewEmisData!$D:$D, N$6)</f>
        <v>1416.37770823441</v>
      </c>
      <c r="O95" s="1111">
        <f>SUMIFS(NewEmisData!I:I, NewEmisData!$A:$A, $G95, NewEmisData!$B:$B, $A95, NewEmisData!$C:$C, $H95, NewEmisData!$D:$D, O$6)</f>
        <v>1353.32178885294</v>
      </c>
      <c r="P95" s="1111">
        <f>SUMIFS(NewEmisData!J:J, NewEmisData!$A:$A, $G95, NewEmisData!$B:$B, $A95, NewEmisData!$C:$C, $H95, NewEmisData!$D:$D, P$6)</f>
        <v>1322.46976433435</v>
      </c>
      <c r="Q95" s="1111">
        <f>SUMIFS(NewEmisData!K:K, NewEmisData!$A:$A, $G95, NewEmisData!$B:$B, $A95, NewEmisData!$C:$C, $H95, NewEmisData!$D:$D, Q$6)</f>
        <v>1318.4113892753701</v>
      </c>
      <c r="R95" s="1111">
        <f>SUMIFS(NewEmisData!L:L, NewEmisData!$A:$A, $G95, NewEmisData!$B:$B, $A95, NewEmisData!$C:$C, $H95, NewEmisData!$D:$D, R$6)</f>
        <v>1317.4103236998201</v>
      </c>
      <c r="S95" s="1111">
        <f>SUMIFS(NewEmisData!M:M, NewEmisData!$A:$A, $G95, NewEmisData!$B:$B, $A95, NewEmisData!$C:$C, $H95, NewEmisData!$D:$D, S$6)</f>
        <v>1317.2762015215601</v>
      </c>
      <c r="T95" s="1111">
        <f t="shared" si="131"/>
        <v>1317.2762015215601</v>
      </c>
      <c r="U95" s="1111">
        <f>SUMIFS(NewEmisData!E:E, NewEmisData!$A:$A, $G95, NewEmisData!$B:$B, $A95, NewEmisData!$C:$C, $H95, NewEmisData!$D:$D, U$6)</f>
        <v>11.691833793473601</v>
      </c>
      <c r="V95" s="1111">
        <f>SUMIFS(NewEmisData!F:F, NewEmisData!$A:$A, $G95, NewEmisData!$B:$B, $A95, NewEmisData!$C:$C, $H95, NewEmisData!$D:$D, V$6)</f>
        <v>5.3676771149688802</v>
      </c>
      <c r="W95" s="1111">
        <f>SUMIFS(NewEmisData!G:G, NewEmisData!$A:$A, $G95, NewEmisData!$B:$B, $A95, NewEmisData!$C:$C, $H95, NewEmisData!$D:$D, W$6)</f>
        <v>3.6137202505642398</v>
      </c>
      <c r="X95" s="1111">
        <f>SUMIFS(NewEmisData!H:H, NewEmisData!$A:$A, $G95, NewEmisData!$B:$B, $A95, NewEmisData!$C:$C, $H95, NewEmisData!$D:$D, X$6)</f>
        <v>1.93222611085197</v>
      </c>
      <c r="Y95" s="1111">
        <f>SUMIFS(NewEmisData!I:I, NewEmisData!$A:$A, $G95, NewEmisData!$B:$B, $A95, NewEmisData!$C:$C, $H95, NewEmisData!$D:$D, Y$6)</f>
        <v>1.2904635466224801</v>
      </c>
      <c r="Z95" s="1111">
        <f>SUMIFS(NewEmisData!J:J, NewEmisData!$A:$A, $G95, NewEmisData!$B:$B, $A95, NewEmisData!$C:$C, $H95, NewEmisData!$D:$D, Z$6)</f>
        <v>1.20804258245566</v>
      </c>
      <c r="AA95" s="1111">
        <f>SUMIFS(NewEmisData!K:K, NewEmisData!$A:$A, $G95, NewEmisData!$B:$B, $A95, NewEmisData!$C:$C, $H95, NewEmisData!$D:$D, AA$6)</f>
        <v>1.1760366424397</v>
      </c>
      <c r="AB95" s="1111">
        <f>SUMIFS(NewEmisData!L:L, NewEmisData!$A:$A, $G95, NewEmisData!$B:$B, $A95, NewEmisData!$C:$C, $H95, NewEmisData!$D:$D, AB$6)</f>
        <v>1.1748287303099401</v>
      </c>
      <c r="AC95" s="1111">
        <f>SUMIFS(NewEmisData!M:M, NewEmisData!$A:$A, $G95, NewEmisData!$B:$B, $A95, NewEmisData!$C:$C, $H95, NewEmisData!$D:$D, AC$6)</f>
        <v>1.17443815932545</v>
      </c>
      <c r="AD95" s="1111">
        <f t="shared" si="132"/>
        <v>1.17443815932545</v>
      </c>
      <c r="AE95" s="1111">
        <f t="shared" si="113"/>
        <v>3.6717879284551301E-2</v>
      </c>
      <c r="AF95" s="1111">
        <f>SUMIFS(NewEmisData!E:E, NewEmisData!$A:$A, $G95, NewEmisData!$B:$B, $A95, NewEmisData!$C:$C, $H95, NewEmisData!$D:$D, AF$6)</f>
        <v>3.6717879284551301E-2</v>
      </c>
      <c r="AG95" s="1111">
        <f>SUMIFS(NewEmisData!F:F, NewEmisData!$A:$A, $G95, NewEmisData!$B:$B, $A95, NewEmisData!$C:$C, $H95, NewEmisData!$D:$D, AG$6)</f>
        <v>3.9098355675890401E-2</v>
      </c>
      <c r="AH95" s="1111">
        <f>SUMIFS(NewEmisData!G:G, NewEmisData!$A:$A, $G95, NewEmisData!$B:$B, $A95, NewEmisData!$C:$C, $H95, NewEmisData!$D:$D, AH$6)</f>
        <v>1.2334311567984301E-2</v>
      </c>
      <c r="AI95" s="1111">
        <f>SUMIFS(NewEmisData!H:H, NewEmisData!$A:$A, $G95, NewEmisData!$B:$B, $A95, NewEmisData!$C:$C, $H95, NewEmisData!$D:$D, AI$6)</f>
        <v>1.1840116163087199E-2</v>
      </c>
      <c r="AJ95" s="1111">
        <f>SUMIFS(NewEmisData!I:I, NewEmisData!$A:$A, $G95, NewEmisData!$B:$B, $A95, NewEmisData!$C:$C, $H95, NewEmisData!$D:$D, AJ$6)</f>
        <v>1.12892010251304E-2</v>
      </c>
      <c r="AK95" s="1111">
        <f>SUMIFS(NewEmisData!J:J, NewEmisData!$A:$A, $G95, NewEmisData!$B:$B, $A95, NewEmisData!$C:$C, $H95, NewEmisData!$D:$D, AK$6)</f>
        <v>1.10267582574557E-2</v>
      </c>
      <c r="AL95" s="1111">
        <f>SUMIFS(NewEmisData!K:K, NewEmisData!$A:$A, $G95, NewEmisData!$B:$B, $A95, NewEmisData!$C:$C, $H95, NewEmisData!$D:$D, AL$6)</f>
        <v>1.0991760238511099E-2</v>
      </c>
      <c r="AM95" s="1111">
        <f>SUMIFS(NewEmisData!L:L, NewEmisData!$A:$A, $G95, NewEmisData!$B:$B, $A95, NewEmisData!$C:$C, $H95, NewEmisData!$D:$D, AM$6)</f>
        <v>1.09834074162082E-2</v>
      </c>
      <c r="AN95" s="1111">
        <f>SUMIFS(NewEmisData!M:M, NewEmisData!$A:$A, $G95, NewEmisData!$B:$B, $A95, NewEmisData!$C:$C, $H95, NewEmisData!$D:$D, AN$6)</f>
        <v>1.09822886490272E-2</v>
      </c>
      <c r="AO95" s="1111">
        <f t="shared" si="114"/>
        <v>1.09822886490272E-2</v>
      </c>
      <c r="AP95" s="1111">
        <f t="shared" si="115"/>
        <v>1.1044131831227499</v>
      </c>
      <c r="AQ95" s="1111">
        <f>SUMIFS(NewEmisData!E:E, NewEmisData!$A:$A, $G95, NewEmisData!$B:$B, $A95, NewEmisData!$C:$C, $H95, NewEmisData!$D:$D, AQ$6)</f>
        <v>1.1044131831227499</v>
      </c>
      <c r="AR95" s="1111">
        <f>SUMIFS(NewEmisData!F:F, NewEmisData!$A:$A, $G95, NewEmisData!$B:$B, $A95, NewEmisData!$C:$C, $H95, NewEmisData!$D:$D, AR$6)</f>
        <v>0.69596448890826201</v>
      </c>
      <c r="AS95" s="1111">
        <f>SUMIFS(NewEmisData!G:G, NewEmisData!$A:$A, $G95, NewEmisData!$B:$B, $A95, NewEmisData!$C:$C, $H95, NewEmisData!$D:$D, AS$6)</f>
        <v>0.41688561176651601</v>
      </c>
      <c r="AT95" s="1111">
        <f>SUMIFS(NewEmisData!H:H, NewEmisData!$A:$A, $G95, NewEmisData!$B:$B, $A95, NewEmisData!$C:$C, $H95, NewEmisData!$D:$D, AT$6)</f>
        <v>0.29523682935823298</v>
      </c>
      <c r="AU95" s="1111">
        <f>SUMIFS(NewEmisData!I:I, NewEmisData!$A:$A, $G95, NewEmisData!$B:$B, $A95, NewEmisData!$C:$C, $H95, NewEmisData!$D:$D, AU$6)</f>
        <v>0.26722857671539402</v>
      </c>
      <c r="AV95" s="1111">
        <f>SUMIFS(NewEmisData!J:J, NewEmisData!$A:$A, $G95, NewEmisData!$B:$B, $A95, NewEmisData!$C:$C, $H95, NewEmisData!$D:$D, AV$6)</f>
        <v>0.259356859155779</v>
      </c>
      <c r="AW95" s="1111">
        <f>SUMIFS(NewEmisData!K:K, NewEmisData!$A:$A, $G95, NewEmisData!$B:$B, $A95, NewEmisData!$C:$C, $H95, NewEmisData!$D:$D, AW$6)</f>
        <v>0.25811596391799502</v>
      </c>
      <c r="AX95" s="1111">
        <f>SUMIFS(NewEmisData!L:L, NewEmisData!$A:$A, $G95, NewEmisData!$B:$B, $A95, NewEmisData!$C:$C, $H95, NewEmisData!$D:$D, AX$6)</f>
        <v>0.25800802926334099</v>
      </c>
      <c r="AY95" s="1111">
        <f>SUMIFS(NewEmisData!M:M, NewEmisData!$A:$A, $G95, NewEmisData!$B:$B, $A95, NewEmisData!$C:$C, $H95, NewEmisData!$D:$D, AY$6)</f>
        <v>0.258000316903299</v>
      </c>
      <c r="AZ95" s="1111">
        <f t="shared" si="116"/>
        <v>0.258000316903299</v>
      </c>
      <c r="BA95" s="1111">
        <f t="shared" si="117"/>
        <v>0.80515128163926197</v>
      </c>
      <c r="BB95" s="1111">
        <f>SUMIFS(NewEmisData!E:E, NewEmisData!$A:$A, $G95, NewEmisData!$B:$B, $A95, NewEmisData!$C:$C, $H95, NewEmisData!$D:$D, BB$6)</f>
        <v>0.80515128163926197</v>
      </c>
      <c r="BC95" s="1111">
        <f>SUMIFS(NewEmisData!F:F, NewEmisData!$A:$A, $G95, NewEmisData!$B:$B, $A95, NewEmisData!$C:$C, $H95, NewEmisData!$D:$D, BC$6)</f>
        <v>0.40385030676064299</v>
      </c>
      <c r="BD95" s="1111">
        <f>SUMIFS(NewEmisData!G:G, NewEmisData!$A:$A, $G95, NewEmisData!$B:$B, $A95, NewEmisData!$C:$C, $H95, NewEmisData!$D:$D, BD$6)</f>
        <v>0.191914712359671</v>
      </c>
      <c r="BE95" s="1111">
        <f>SUMIFS(NewEmisData!H:H, NewEmisData!$A:$A, $G95, NewEmisData!$B:$B, $A95, NewEmisData!$C:$C, $H95, NewEmisData!$D:$D, BE$6)</f>
        <v>7.9817965863261897E-2</v>
      </c>
      <c r="BF95" s="1111">
        <f>SUMIFS(NewEmisData!I:I, NewEmisData!$A:$A, $G95, NewEmisData!$B:$B, $A95, NewEmisData!$C:$C, $H95, NewEmisData!$D:$D, BF$6)</f>
        <v>5.8587138047291203E-2</v>
      </c>
      <c r="BG95" s="1111">
        <f>SUMIFS(NewEmisData!J:J, NewEmisData!$A:$A, $G95, NewEmisData!$B:$B, $A95, NewEmisData!$C:$C, $H95, NewEmisData!$D:$D, BG$6)</f>
        <v>5.3925401266024603E-2</v>
      </c>
      <c r="BH95" s="1111">
        <f>SUMIFS(NewEmisData!K:K, NewEmisData!$A:$A, $G95, NewEmisData!$B:$B, $A95, NewEmisData!$C:$C, $H95, NewEmisData!$D:$D, BH$6)</f>
        <v>5.3085681499215498E-2</v>
      </c>
      <c r="BI95" s="1111">
        <f>SUMIFS(NewEmisData!L:L, NewEmisData!$A:$A, $G95, NewEmisData!$B:$B, $A95, NewEmisData!$C:$C, $H95, NewEmisData!$D:$D, BI$6)</f>
        <v>5.3060223447352402E-2</v>
      </c>
      <c r="BJ95" s="1111">
        <f>SUMIFS(NewEmisData!M:M, NewEmisData!$A:$A, $G95, NewEmisData!$B:$B, $A95, NewEmisData!$C:$C, $H95, NewEmisData!$D:$D, BJ$6)</f>
        <v>5.30583578225301E-2</v>
      </c>
      <c r="BK95" s="1111">
        <f t="shared" si="118"/>
        <v>5.30583578225301E-2</v>
      </c>
      <c r="BL95" s="1111">
        <f t="shared" si="119"/>
        <v>5.0811910165099299</v>
      </c>
      <c r="BM95" s="1111">
        <f>SUMIFS(NewEmisData!E:E, NewEmisData!$A:$A, $G95, NewEmisData!$B:$B, $A95, NewEmisData!$C:$C, $H95, NewEmisData!$D:$D, BM$6)</f>
        <v>5.0811910165099299</v>
      </c>
      <c r="BN95" s="1111">
        <f>SUMIFS(NewEmisData!F:F, NewEmisData!$A:$A, $G95, NewEmisData!$B:$B, $A95, NewEmisData!$C:$C, $H95, NewEmisData!$D:$D, BN$6)</f>
        <v>2.7268470265204399</v>
      </c>
      <c r="BO95" s="1111">
        <f>SUMIFS(NewEmisData!G:G, NewEmisData!$A:$A, $G95, NewEmisData!$B:$B, $A95, NewEmisData!$C:$C, $H95, NewEmisData!$D:$D, BO$6)</f>
        <v>1.5355914449636101</v>
      </c>
      <c r="BP95" s="1111">
        <f>SUMIFS(NewEmisData!H:H, NewEmisData!$A:$A, $G95, NewEmisData!$B:$B, $A95, NewEmisData!$C:$C, $H95, NewEmisData!$D:$D, BP$6)</f>
        <v>0.89657237406968604</v>
      </c>
      <c r="BQ95" s="1111">
        <f>SUMIFS(NewEmisData!I:I, NewEmisData!$A:$A, $G95, NewEmisData!$B:$B, $A95, NewEmisData!$C:$C, $H95, NewEmisData!$D:$D, BQ$6)</f>
        <v>0.79413479693216504</v>
      </c>
      <c r="BR95" s="1111">
        <f>SUMIFS(NewEmisData!J:J, NewEmisData!$A:$A, $G95, NewEmisData!$B:$B, $A95, NewEmisData!$C:$C, $H95, NewEmisData!$D:$D, BR$6)</f>
        <v>0.78234582666351604</v>
      </c>
      <c r="BS95" s="1111">
        <f>SUMIFS(NewEmisData!K:K, NewEmisData!$A:$A, $G95, NewEmisData!$B:$B, $A95, NewEmisData!$C:$C, $H95, NewEmisData!$D:$D, BS$6)</f>
        <v>0.77895631877372495</v>
      </c>
      <c r="BT95" s="1111">
        <f>SUMIFS(NewEmisData!L:L, NewEmisData!$A:$A, $G95, NewEmisData!$B:$B, $A95, NewEmisData!$C:$C, $H95, NewEmisData!$D:$D, BT$6)</f>
        <v>0.77927504109494905</v>
      </c>
      <c r="BU95" s="1111">
        <f>SUMIFS(NewEmisData!M:M, NewEmisData!$A:$A, $G95, NewEmisData!$B:$B, $A95, NewEmisData!$C:$C, $H95, NewEmisData!$D:$D, BU$6)</f>
        <v>0.77930513165756399</v>
      </c>
      <c r="BV95" s="1111">
        <f t="shared" si="120"/>
        <v>0.77930513165756399</v>
      </c>
      <c r="BW95" s="1111">
        <f t="shared" si="121"/>
        <v>1.4965442116421701</v>
      </c>
      <c r="BX95" s="1111">
        <f>SUMIFS(NewEmisData!E:E, NewEmisData!$A:$A, $G95, NewEmisData!$B:$B, $A95, NewEmisData!$C:$C, $H95, NewEmisData!$D:$D, BX$6)</f>
        <v>1.4965442116421701</v>
      </c>
      <c r="BY95" s="1111">
        <f>SUMIFS(NewEmisData!F:F, NewEmisData!$A:$A, $G95, NewEmisData!$B:$B, $A95, NewEmisData!$C:$C, $H95, NewEmisData!$D:$D, BY$6)</f>
        <v>0.81900820559121901</v>
      </c>
      <c r="BZ95" s="1111">
        <f>SUMIFS(NewEmisData!G:G, NewEmisData!$A:$A, $G95, NewEmisData!$B:$B, $A95, NewEmisData!$C:$C, $H95, NewEmisData!$D:$D, BZ$6)</f>
        <v>0.36146735176794997</v>
      </c>
      <c r="CA95" s="1111">
        <f>SUMIFS(NewEmisData!H:H, NewEmisData!$A:$A, $G95, NewEmisData!$B:$B, $A95, NewEmisData!$C:$C, $H95, NewEmisData!$D:$D, CA$6)</f>
        <v>0.14039143137271001</v>
      </c>
      <c r="CB95" s="1111">
        <f>SUMIFS(NewEmisData!I:I, NewEmisData!$A:$A, $G95, NewEmisData!$B:$B, $A95, NewEmisData!$C:$C, $H95, NewEmisData!$D:$D, CB$6)</f>
        <v>0.101873557704856</v>
      </c>
      <c r="CC95" s="1111">
        <f>SUMIFS(NewEmisData!J:J, NewEmisData!$A:$A, $G95, NewEmisData!$B:$B, $A95, NewEmisData!$C:$C, $H95, NewEmisData!$D:$D, CC$6)</f>
        <v>9.43838462975264E-2</v>
      </c>
      <c r="CD95" s="1111">
        <f>SUMIFS(NewEmisData!K:K, NewEmisData!$A:$A, $G95, NewEmisData!$B:$B, $A95, NewEmisData!$C:$C, $H95, NewEmisData!$D:$D, CD$6)</f>
        <v>9.2903808201499405E-2</v>
      </c>
      <c r="CE95" s="1111">
        <f>SUMIFS(NewEmisData!L:L, NewEmisData!$A:$A, $G95, NewEmisData!$B:$B, $A95, NewEmisData!$C:$C, $H95, NewEmisData!$D:$D, CE$6)</f>
        <v>9.2890797107212E-2</v>
      </c>
      <c r="CF95" s="1111">
        <f>SUMIFS(NewEmisData!M:M, NewEmisData!$A:$A, $G95, NewEmisData!$B:$B, $A95, NewEmisData!$C:$C, $H95, NewEmisData!$D:$D, CF$6)</f>
        <v>9.2889380350906603E-2</v>
      </c>
      <c r="CG95" s="1111">
        <f t="shared" si="122"/>
        <v>9.2889380350906603E-2</v>
      </c>
      <c r="CH95" s="1111">
        <f t="shared" si="123"/>
        <v>2.6549169080668199E-2</v>
      </c>
      <c r="CI95" s="1111">
        <f>SUMIFS(NewEmisData!E:E, NewEmisData!$A:$A, $G95, NewEmisData!$B:$B, $A95, NewEmisData!$C:$C, $H95, NewEmisData!$D:$D, CI$6)</f>
        <v>2.6549169080668199E-2</v>
      </c>
      <c r="CJ95" s="1111">
        <f>SUMIFS(NewEmisData!F:F, NewEmisData!$A:$A, $G95, NewEmisData!$B:$B, $A95, NewEmisData!$C:$C, $H95, NewEmisData!$D:$D, CJ$6)</f>
        <v>2.7077377373300401E-2</v>
      </c>
      <c r="CK95" s="1111">
        <f>SUMIFS(NewEmisData!G:G, NewEmisData!$A:$A, $G95, NewEmisData!$B:$B, $A95, NewEmisData!$C:$C, $H95, NewEmisData!$D:$D, CK$6)</f>
        <v>2.6663646209720601E-2</v>
      </c>
      <c r="CL95" s="1111">
        <f>SUMIFS(NewEmisData!H:H, NewEmisData!$A:$A, $G95, NewEmisData!$B:$B, $A95, NewEmisData!$C:$C, $H95, NewEmisData!$D:$D, CL$6)</f>
        <v>2.6672380848637399E-2</v>
      </c>
      <c r="CM95" s="1111">
        <f>SUMIFS(NewEmisData!I:I, NewEmisData!$A:$A, $G95, NewEmisData!$B:$B, $A95, NewEmisData!$C:$C, $H95, NewEmisData!$D:$D, CM$6)</f>
        <v>2.6520469832871599E-2</v>
      </c>
      <c r="CN95" s="1111">
        <f>SUMIFS(NewEmisData!J:J, NewEmisData!$A:$A, $G95, NewEmisData!$B:$B, $A95, NewEmisData!$C:$C, $H95, NewEmisData!$D:$D, CN$6)</f>
        <v>2.64339024674058E-2</v>
      </c>
      <c r="CO95" s="1111">
        <f>SUMIFS(NewEmisData!K:K, NewEmisData!$A:$A, $G95, NewEmisData!$B:$B, $A95, NewEmisData!$C:$C, $H95, NewEmisData!$D:$D, CO$6)</f>
        <v>2.64237151596389E-2</v>
      </c>
      <c r="CP95" s="1111">
        <f>SUMIFS(NewEmisData!L:L, NewEmisData!$A:$A, $G95, NewEmisData!$B:$B, $A95, NewEmisData!$C:$C, $H95, NewEmisData!$D:$D, CP$6)</f>
        <v>2.64212319492989E-2</v>
      </c>
      <c r="CQ95" s="1111">
        <f>SUMIFS(NewEmisData!M:M, NewEmisData!$A:$A, $G95, NewEmisData!$B:$B, $A95, NewEmisData!$C:$C, $H95, NewEmisData!$D:$D, CQ$6)</f>
        <v>2.6421096884032502E-2</v>
      </c>
      <c r="CR95" s="1111">
        <f t="shared" si="124"/>
        <v>2.6421096884032502E-2</v>
      </c>
      <c r="CS95" s="1111">
        <f t="shared" si="125"/>
        <v>4.7042787259816803E-3</v>
      </c>
      <c r="CT95" s="1111">
        <f>SUMIFS(NewEmisData!E:E, NewEmisData!$A:$A, $G95, NewEmisData!$B:$B, $A95, NewEmisData!$C:$C, $H95, NewEmisData!$D:$D, CT$6)</f>
        <v>4.7042787259816803E-3</v>
      </c>
      <c r="CU95" s="1111">
        <f>SUMIFS(NewEmisData!F:F, NewEmisData!$A:$A, $G95, NewEmisData!$B:$B, $A95, NewEmisData!$C:$C, $H95, NewEmisData!$D:$D, CU$6)</f>
        <v>4.1781828368015099E-3</v>
      </c>
      <c r="CV95" s="1111">
        <f>SUMIFS(NewEmisData!G:G, NewEmisData!$A:$A, $G95, NewEmisData!$B:$B, $A95, NewEmisData!$C:$C, $H95, NewEmisData!$D:$D, CV$6)</f>
        <v>3.8352946013813899E-3</v>
      </c>
      <c r="CW95" s="1111">
        <f>SUMIFS(NewEmisData!H:H, NewEmisData!$A:$A, $G95, NewEmisData!$B:$B, $A95, NewEmisData!$C:$C, $H95, NewEmisData!$D:$D, CW$6)</f>
        <v>3.83525379596238E-3</v>
      </c>
      <c r="CX95" s="1111">
        <f>SUMIFS(NewEmisData!I:I, NewEmisData!$A:$A, $G95, NewEmisData!$B:$B, $A95, NewEmisData!$C:$C, $H95, NewEmisData!$D:$D, CX$6)</f>
        <v>3.8551413423649401E-3</v>
      </c>
      <c r="CY95" s="1111">
        <f>SUMIFS(NewEmisData!J:J, NewEmisData!$A:$A, $G95, NewEmisData!$B:$B, $A95, NewEmisData!$C:$C, $H95, NewEmisData!$D:$D, CY$6)</f>
        <v>3.8664534081897001E-3</v>
      </c>
      <c r="CZ95" s="1111">
        <f>SUMIFS(NewEmisData!K:K, NewEmisData!$A:$A, $G95, NewEmisData!$B:$B, $A95, NewEmisData!$C:$C, $H95, NewEmisData!$D:$D, CZ$6)</f>
        <v>3.8677677567543899E-3</v>
      </c>
      <c r="DA95" s="1111">
        <f>SUMIFS(NewEmisData!L:L, NewEmisData!$A:$A, $G95, NewEmisData!$B:$B, $A95, NewEmisData!$C:$C, $H95, NewEmisData!$D:$D, DA$6)</f>
        <v>3.8680901701993102E-3</v>
      </c>
      <c r="DB95" s="1111">
        <f>SUMIFS(NewEmisData!M:M, NewEmisData!$A:$A, $G95, NewEmisData!$B:$B, $A95, NewEmisData!$C:$C, $H95, NewEmisData!$D:$D, DB$6)</f>
        <v>3.86811796361387E-3</v>
      </c>
      <c r="DC95" s="1111">
        <f t="shared" si="126"/>
        <v>3.86811796361387E-3</v>
      </c>
      <c r="DD95" s="1111"/>
      <c r="DE95" s="1111"/>
      <c r="DF95" s="1111"/>
      <c r="DG95" s="1111"/>
      <c r="DH95" s="1111"/>
      <c r="DI95" s="1111"/>
      <c r="DJ95" s="1111"/>
      <c r="DK95" s="1111"/>
      <c r="DL95" s="1111"/>
      <c r="DM95" s="1111"/>
      <c r="DN95" s="1111"/>
      <c r="DO95" s="1111"/>
      <c r="DP95" s="1111"/>
      <c r="DQ95" s="1111"/>
      <c r="DR95" s="1111"/>
      <c r="DS95" s="1111"/>
      <c r="DT95" s="1111"/>
      <c r="DU95" s="1111"/>
      <c r="DV95" s="1111"/>
      <c r="DW95" s="1111"/>
      <c r="DX95" s="1111"/>
      <c r="DY95" s="1111"/>
      <c r="DZ95" s="1111">
        <f t="shared" si="127"/>
        <v>2.6013362636086799E-2</v>
      </c>
      <c r="EA95" s="1111">
        <f>SUMIFS(NewEmisData!E:E, NewEmisData!$A:$A, $G95, NewEmisData!$B:$B, $A95, NewEmisData!$C:$C, $H95, NewEmisData!$D:$D, EA$6)</f>
        <v>2.6013362636086799E-2</v>
      </c>
      <c r="EB95" s="1111">
        <f>SUMIFS(NewEmisData!F:F, NewEmisData!$A:$A, $G95, NewEmisData!$B:$B, $A95, NewEmisData!$C:$C, $H95, NewEmisData!$D:$D, EB$6)</f>
        <v>4.8912608547457603E-2</v>
      </c>
      <c r="EC95" s="1111">
        <f>SUMIFS(NewEmisData!G:G, NewEmisData!$A:$A, $G95, NewEmisData!$B:$B, $A95, NewEmisData!$C:$C, $H95, NewEmisData!$D:$D, EC$6)</f>
        <v>7.1548320352667602E-2</v>
      </c>
      <c r="ED95" s="1111">
        <f>SUMIFS(NewEmisData!H:H, NewEmisData!$A:$A, $G95, NewEmisData!$B:$B, $A95, NewEmisData!$C:$C, $H95, NewEmisData!$D:$D, ED$6)</f>
        <v>7.9138988379146596E-2</v>
      </c>
      <c r="EE95" s="1111">
        <f>SUMIFS(NewEmisData!I:I, NewEmisData!$A:$A, $G95, NewEmisData!$B:$B, $A95, NewEmisData!$C:$C, $H95, NewEmisData!$D:$D, EE$6)</f>
        <v>7.6655521242650904E-2</v>
      </c>
      <c r="EF95" s="1111">
        <f>SUMIFS(NewEmisData!J:J, NewEmisData!$A:$A, $G95, NewEmisData!$B:$B, $A95, NewEmisData!$C:$C, $H95, NewEmisData!$D:$D, EF$6)</f>
        <v>7.7190277276734304E-2</v>
      </c>
      <c r="EG95" s="1111">
        <f>SUMIFS(NewEmisData!K:K, NewEmisData!$A:$A, $G95, NewEmisData!$B:$B, $A95, NewEmisData!$C:$C, $H95, NewEmisData!$D:$D, EG$6)</f>
        <v>7.7123926881226601E-2</v>
      </c>
      <c r="EH95" s="1111">
        <f>SUMIFS(NewEmisData!L:L, NewEmisData!$A:$A, $G95, NewEmisData!$B:$B, $A95, NewEmisData!$C:$C, $H95, NewEmisData!$D:$D, EH$6)</f>
        <v>7.7127166689512902E-2</v>
      </c>
      <c r="EI95" s="1111">
        <f>SUMIFS(NewEmisData!M:M, NewEmisData!$A:$A, $G95, NewEmisData!$B:$B, $A95, NewEmisData!$C:$C, $H95, NewEmisData!$D:$D, EI$6)</f>
        <v>7.71279806751477E-2</v>
      </c>
      <c r="EJ95" s="1111">
        <f t="shared" si="128"/>
        <v>7.71279806751477E-2</v>
      </c>
      <c r="EK95" s="1111">
        <f t="shared" si="129"/>
        <v>1490.2976816476501</v>
      </c>
      <c r="EL95" s="1111">
        <f t="shared" si="154"/>
        <v>1490.2976816476501</v>
      </c>
      <c r="EM95" s="1111">
        <f t="shared" si="155"/>
        <v>1626.84882020706</v>
      </c>
      <c r="EN95" s="1111">
        <f t="shared" si="156"/>
        <v>1458.6179661731101</v>
      </c>
      <c r="EO95" s="1111">
        <f t="shared" si="157"/>
        <v>1416.37770823441</v>
      </c>
      <c r="EP95" s="1111">
        <f t="shared" si="158"/>
        <v>1353.32178885294</v>
      </c>
      <c r="EQ95" s="1111">
        <f t="shared" si="159"/>
        <v>1322.46976433435</v>
      </c>
      <c r="ER95" s="1111">
        <f t="shared" si="160"/>
        <v>1318.4113892753701</v>
      </c>
      <c r="ES95" s="1111">
        <f t="shared" si="161"/>
        <v>1317.4103236998201</v>
      </c>
      <c r="ET95" s="1111">
        <f t="shared" si="162"/>
        <v>1317.2762015215601</v>
      </c>
      <c r="EU95" s="1111">
        <f t="shared" si="163"/>
        <v>1317.2762015215601</v>
      </c>
      <c r="EV95" s="1111">
        <f t="shared" si="130"/>
        <v>11.691833793473601</v>
      </c>
      <c r="EW95" s="1111">
        <f t="shared" si="144"/>
        <v>11.691833793473601</v>
      </c>
      <c r="EX95" s="1111">
        <f t="shared" si="145"/>
        <v>5.3676771149688802</v>
      </c>
      <c r="EY95" s="1111">
        <f t="shared" si="146"/>
        <v>3.6137202505642398</v>
      </c>
      <c r="EZ95" s="1111">
        <f t="shared" si="147"/>
        <v>1.93222611085197</v>
      </c>
      <c r="FA95" s="1111">
        <f t="shared" si="148"/>
        <v>1.2904635466224801</v>
      </c>
      <c r="FB95" s="1111">
        <f t="shared" si="149"/>
        <v>1.20804258245566</v>
      </c>
      <c r="FC95" s="1111">
        <f t="shared" si="150"/>
        <v>1.1760366424397</v>
      </c>
      <c r="FD95" s="1111">
        <f t="shared" si="151"/>
        <v>1.1748287303099401</v>
      </c>
      <c r="FE95" s="1111">
        <f t="shared" si="152"/>
        <v>1.17443815932545</v>
      </c>
      <c r="FF95" s="1111">
        <f t="shared" si="153"/>
        <v>1.17443815932545</v>
      </c>
      <c r="FG95" s="1111">
        <f t="shared" si="100"/>
        <v>3.6717879284551301E-2</v>
      </c>
      <c r="FH95" s="1111">
        <f t="shared" si="101"/>
        <v>3.6717879284551301E-2</v>
      </c>
      <c r="FI95" s="1111">
        <f t="shared" si="102"/>
        <v>3.9098355675890401E-2</v>
      </c>
      <c r="FJ95" s="1111">
        <f t="shared" si="103"/>
        <v>1.2334311567984301E-2</v>
      </c>
      <c r="FK95" s="1111">
        <f t="shared" si="104"/>
        <v>1.1840116163087199E-2</v>
      </c>
      <c r="FL95" s="1111">
        <f t="shared" si="105"/>
        <v>1.12892010251304E-2</v>
      </c>
      <c r="FM95" s="1111">
        <f t="shared" si="106"/>
        <v>1.10267582574557E-2</v>
      </c>
      <c r="FN95" s="1111">
        <f t="shared" si="107"/>
        <v>1.0991760238511099E-2</v>
      </c>
      <c r="FO95" s="1111">
        <f t="shared" si="108"/>
        <v>1.09834074162082E-2</v>
      </c>
      <c r="FP95" s="1111">
        <f t="shared" si="109"/>
        <v>1.09822886490272E-2</v>
      </c>
      <c r="FQ95" s="1111">
        <f t="shared" si="110"/>
        <v>1.09822886490272E-2</v>
      </c>
      <c r="FR95" s="1111">
        <f t="shared" si="133"/>
        <v>1.1044131831227499</v>
      </c>
      <c r="FS95" s="1111">
        <f t="shared" si="134"/>
        <v>1.1044131831227499</v>
      </c>
      <c r="FT95" s="1111">
        <f t="shared" si="135"/>
        <v>0.69596448890826201</v>
      </c>
      <c r="FU95" s="1111">
        <f t="shared" si="136"/>
        <v>0.41688561176651601</v>
      </c>
      <c r="FV95" s="1111">
        <f t="shared" si="137"/>
        <v>0.29523682935823298</v>
      </c>
      <c r="FW95" s="1111">
        <f t="shared" si="138"/>
        <v>0.26722857671539402</v>
      </c>
      <c r="FX95" s="1111">
        <f t="shared" si="139"/>
        <v>0.259356859155779</v>
      </c>
      <c r="FY95" s="1111">
        <f t="shared" si="140"/>
        <v>0.25811596391799502</v>
      </c>
      <c r="FZ95" s="1111">
        <f t="shared" si="141"/>
        <v>0.25800802926334099</v>
      </c>
      <c r="GA95" s="1111">
        <f t="shared" si="142"/>
        <v>0.258000316903299</v>
      </c>
      <c r="GB95" s="1111">
        <f t="shared" si="143"/>
        <v>0.258000316903299</v>
      </c>
      <c r="GC95" s="1111">
        <f t="shared" si="164"/>
        <v>0.80515128163926197</v>
      </c>
      <c r="GD95" s="1111">
        <f t="shared" si="165"/>
        <v>0.80515128163926197</v>
      </c>
      <c r="GE95" s="1111">
        <f t="shared" si="166"/>
        <v>0.40385030676064299</v>
      </c>
      <c r="GF95" s="1111">
        <f t="shared" si="167"/>
        <v>0.191914712359671</v>
      </c>
      <c r="GG95" s="1111">
        <f t="shared" si="168"/>
        <v>7.9817965863261897E-2</v>
      </c>
      <c r="GH95" s="1111">
        <f t="shared" si="169"/>
        <v>5.8587138047291203E-2</v>
      </c>
      <c r="GI95" s="1111">
        <f t="shared" si="170"/>
        <v>5.3925401266024603E-2</v>
      </c>
      <c r="GJ95" s="1111">
        <f t="shared" si="171"/>
        <v>5.3085681499215498E-2</v>
      </c>
      <c r="GK95" s="1111">
        <f t="shared" si="172"/>
        <v>5.3060223447352402E-2</v>
      </c>
      <c r="GL95" s="1111">
        <f t="shared" si="173"/>
        <v>5.30583578225301E-2</v>
      </c>
      <c r="GM95" s="1111">
        <f t="shared" si="174"/>
        <v>5.30583578225301E-2</v>
      </c>
    </row>
    <row r="96" spans="1:195" x14ac:dyDescent="0.2">
      <c r="A96" s="1071" t="s">
        <v>190</v>
      </c>
      <c r="B96" s="1071" t="str">
        <f>NewTech!B21</f>
        <v>TBDSLAH</v>
      </c>
      <c r="C96" s="1071" t="str">
        <f>NewTech!C21</f>
        <v>Bus, Advanced Hybrid Diesel</v>
      </c>
      <c r="D96" s="1071" t="str">
        <f>NewTech!D21</f>
        <v>bn-vmt, bn-vmt/a</v>
      </c>
      <c r="E96" s="1071" t="str">
        <f>NewTech!E21</f>
        <v>TBDSL</v>
      </c>
      <c r="F96" s="1071" t="str">
        <f>NewTech!F21</f>
        <v>TB</v>
      </c>
      <c r="G96" s="1110" t="s">
        <v>498</v>
      </c>
      <c r="H96" s="1110" t="s">
        <v>499</v>
      </c>
      <c r="I96" s="1112">
        <v>1</v>
      </c>
      <c r="J96" s="1111" t="str">
        <f t="shared" si="37"/>
        <v>Bus-DSL</v>
      </c>
      <c r="K96" s="1111">
        <f>SUMIFS(NewEmisData!E:E, NewEmisData!$A:$A, $G96, NewEmisData!$B:$B, $A96, NewEmisData!$C:$C, $H96, NewEmisData!$D:$D, K$6)</f>
        <v>1790.56535119264</v>
      </c>
      <c r="L96" s="1111">
        <f>SUMIFS(NewEmisData!F:F, NewEmisData!$A:$A, $G96, NewEmisData!$B:$B, $A96, NewEmisData!$C:$C, $H96, NewEmisData!$D:$D, L$6)</f>
        <v>1706.0851984819999</v>
      </c>
      <c r="M96" s="1111">
        <f>SUMIFS(NewEmisData!G:G, NewEmisData!$A:$A, $G96, NewEmisData!$B:$B, $A96, NewEmisData!$C:$C, $H96, NewEmisData!$D:$D, M$6)</f>
        <v>1916.4119570956</v>
      </c>
      <c r="N96" s="1111">
        <f>SUMIFS(NewEmisData!H:H, NewEmisData!$A:$A, $G96, NewEmisData!$B:$B, $A96, NewEmisData!$C:$C, $H96, NewEmisData!$D:$D, N$6)</f>
        <v>1866.18041191016</v>
      </c>
      <c r="O96" s="1111">
        <f>SUMIFS(NewEmisData!I:I, NewEmisData!$A:$A, $G96, NewEmisData!$B:$B, $A96, NewEmisData!$C:$C, $H96, NewEmisData!$D:$D, O$6)</f>
        <v>1811.71928124037</v>
      </c>
      <c r="P96" s="1111">
        <f>SUMIFS(NewEmisData!J:J, NewEmisData!$A:$A, $G96, NewEmisData!$B:$B, $A96, NewEmisData!$C:$C, $H96, NewEmisData!$D:$D, P$6)</f>
        <v>1782.46239941771</v>
      </c>
      <c r="Q96" s="1111">
        <f>SUMIFS(NewEmisData!K:K, NewEmisData!$A:$A, $G96, NewEmisData!$B:$B, $A96, NewEmisData!$C:$C, $H96, NewEmisData!$D:$D, Q$6)</f>
        <v>1777.87090074862</v>
      </c>
      <c r="R96" s="1111">
        <f>SUMIFS(NewEmisData!L:L, NewEmisData!$A:$A, $G96, NewEmisData!$B:$B, $A96, NewEmisData!$C:$C, $H96, NewEmisData!$D:$D, R$6)</f>
        <v>1776.69085043776</v>
      </c>
      <c r="S96" s="1111">
        <f>SUMIFS(NewEmisData!M:M, NewEmisData!$A:$A, $G96, NewEmisData!$B:$B, $A96, NewEmisData!$C:$C, $H96, NewEmisData!$D:$D, S$6)</f>
        <v>1776.5151337741499</v>
      </c>
      <c r="T96" s="1111">
        <f t="shared" si="131"/>
        <v>1776.5151337741499</v>
      </c>
      <c r="U96" s="1111">
        <f>SUMIFS(NewEmisData!E:E, NewEmisData!$A:$A, $G96, NewEmisData!$B:$B, $A96, NewEmisData!$C:$C, $H96, NewEmisData!$D:$D, U$6)</f>
        <v>16.722091046014601</v>
      </c>
      <c r="V96" s="1111">
        <f>SUMIFS(NewEmisData!F:F, NewEmisData!$A:$A, $G96, NewEmisData!$B:$B, $A96, NewEmisData!$C:$C, $H96, NewEmisData!$D:$D, V$6)</f>
        <v>9.0752835435872505</v>
      </c>
      <c r="W96" s="1111">
        <f>SUMIFS(NewEmisData!G:G, NewEmisData!$A:$A, $G96, NewEmisData!$B:$B, $A96, NewEmisData!$C:$C, $H96, NewEmisData!$D:$D, W$6)</f>
        <v>4.5245768386744603</v>
      </c>
      <c r="X96" s="1111">
        <f>SUMIFS(NewEmisData!H:H, NewEmisData!$A:$A, $G96, NewEmisData!$B:$B, $A96, NewEmisData!$C:$C, $H96, NewEmisData!$D:$D, X$6)</f>
        <v>2.5948057206972099</v>
      </c>
      <c r="Y96" s="1111">
        <f>SUMIFS(NewEmisData!I:I, NewEmisData!$A:$A, $G96, NewEmisData!$B:$B, $A96, NewEmisData!$C:$C, $H96, NewEmisData!$D:$D, Y$6)</f>
        <v>1.7233209257637201</v>
      </c>
      <c r="Z96" s="1111">
        <f>SUMIFS(NewEmisData!J:J, NewEmisData!$A:$A, $G96, NewEmisData!$B:$B, $A96, NewEmisData!$C:$C, $H96, NewEmisData!$D:$D, Z$6)</f>
        <v>1.5952418098202701</v>
      </c>
      <c r="AA96" s="1111">
        <f>SUMIFS(NewEmisData!K:K, NewEmisData!$A:$A, $G96, NewEmisData!$B:$B, $A96, NewEmisData!$C:$C, $H96, NewEmisData!$D:$D, AA$6)</f>
        <v>1.5343950737018299</v>
      </c>
      <c r="AB96" s="1111">
        <f>SUMIFS(NewEmisData!L:L, NewEmisData!$A:$A, $G96, NewEmisData!$B:$B, $A96, NewEmisData!$C:$C, $H96, NewEmisData!$D:$D, AB$6)</f>
        <v>1.53213591619592</v>
      </c>
      <c r="AC96" s="1111">
        <f>SUMIFS(NewEmisData!M:M, NewEmisData!$A:$A, $G96, NewEmisData!$B:$B, $A96, NewEmisData!$C:$C, $H96, NewEmisData!$D:$D, AC$6)</f>
        <v>1.5313515267339699</v>
      </c>
      <c r="AD96" s="1111">
        <f t="shared" si="132"/>
        <v>1.5313515267339699</v>
      </c>
      <c r="AE96" s="1111">
        <f t="shared" si="113"/>
        <v>4.4119301126388497E-2</v>
      </c>
      <c r="AF96" s="1111">
        <f>SUMIFS(NewEmisData!E:E, NewEmisData!$A:$A, $G96, NewEmisData!$B:$B, $A96, NewEmisData!$C:$C, $H96, NewEmisData!$D:$D, AF$6)</f>
        <v>4.4119301126388497E-2</v>
      </c>
      <c r="AG96" s="1111">
        <f>SUMIFS(NewEmisData!F:F, NewEmisData!$A:$A, $G96, NewEmisData!$B:$B, $A96, NewEmisData!$C:$C, $H96, NewEmisData!$D:$D, AG$6)</f>
        <v>4.1262348975755703E-2</v>
      </c>
      <c r="AH96" s="1111">
        <f>SUMIFS(NewEmisData!G:G, NewEmisData!$A:$A, $G96, NewEmisData!$B:$B, $A96, NewEmisData!$C:$C, $H96, NewEmisData!$D:$D, AH$6)</f>
        <v>1.6180608348462199E-2</v>
      </c>
      <c r="AI96" s="1111">
        <f>SUMIFS(NewEmisData!H:H, NewEmisData!$A:$A, $G96, NewEmisData!$B:$B, $A96, NewEmisData!$C:$C, $H96, NewEmisData!$D:$D, AI$6)</f>
        <v>1.5603448697606799E-2</v>
      </c>
      <c r="AJ96" s="1111">
        <f>SUMIFS(NewEmisData!I:I, NewEmisData!$A:$A, $G96, NewEmisData!$B:$B, $A96, NewEmisData!$C:$C, $H96, NewEmisData!$D:$D, AJ$6)</f>
        <v>1.51144360777349E-2</v>
      </c>
      <c r="AK96" s="1111">
        <f>SUMIFS(NewEmisData!J:J, NewEmisData!$A:$A, $G96, NewEmisData!$B:$B, $A96, NewEmisData!$C:$C, $H96, NewEmisData!$D:$D, AK$6)</f>
        <v>1.48632492208765E-2</v>
      </c>
      <c r="AL96" s="1111">
        <f>SUMIFS(NewEmisData!K:K, NewEmisData!$A:$A, $G96, NewEmisData!$B:$B, $A96, NewEmisData!$C:$C, $H96, NewEmisData!$D:$D, AL$6)</f>
        <v>1.48223265055839E-2</v>
      </c>
      <c r="AM96" s="1111">
        <f>SUMIFS(NewEmisData!L:L, NewEmisData!$A:$A, $G96, NewEmisData!$B:$B, $A96, NewEmisData!$C:$C, $H96, NewEmisData!$D:$D, AM$6)</f>
        <v>1.4812489715302499E-2</v>
      </c>
      <c r="AN96" s="1111">
        <f>SUMIFS(NewEmisData!M:M, NewEmisData!$A:$A, $G96, NewEmisData!$B:$B, $A96, NewEmisData!$C:$C, $H96, NewEmisData!$D:$D, AN$6)</f>
        <v>1.4811022783827199E-2</v>
      </c>
      <c r="AO96" s="1111">
        <f t="shared" si="114"/>
        <v>1.4811022783827199E-2</v>
      </c>
      <c r="AP96" s="1111">
        <f t="shared" si="115"/>
        <v>1.28818009730681</v>
      </c>
      <c r="AQ96" s="1111">
        <f>SUMIFS(NewEmisData!E:E, NewEmisData!$A:$A, $G96, NewEmisData!$B:$B, $A96, NewEmisData!$C:$C, $H96, NewEmisData!$D:$D, AQ$6)</f>
        <v>1.28818009730681</v>
      </c>
      <c r="AR96" s="1111">
        <f>SUMIFS(NewEmisData!F:F, NewEmisData!$A:$A, $G96, NewEmisData!$B:$B, $A96, NewEmisData!$C:$C, $H96, NewEmisData!$D:$D, AR$6)</f>
        <v>0.82680779710365904</v>
      </c>
      <c r="AS96" s="1111">
        <f>SUMIFS(NewEmisData!G:G, NewEmisData!$A:$A, $G96, NewEmisData!$B:$B, $A96, NewEmisData!$C:$C, $H96, NewEmisData!$D:$D, AS$6)</f>
        <v>0.60179805225314997</v>
      </c>
      <c r="AT96" s="1111">
        <f>SUMIFS(NewEmisData!H:H, NewEmisData!$A:$A, $G96, NewEmisData!$B:$B, $A96, NewEmisData!$C:$C, $H96, NewEmisData!$D:$D, AT$6)</f>
        <v>0.46595581954183302</v>
      </c>
      <c r="AU96" s="1111">
        <f>SUMIFS(NewEmisData!I:I, NewEmisData!$A:$A, $G96, NewEmisData!$B:$B, $A96, NewEmisData!$C:$C, $H96, NewEmisData!$D:$D, AU$6)</f>
        <v>0.42951735045103701</v>
      </c>
      <c r="AV96" s="1111">
        <f>SUMIFS(NewEmisData!J:J, NewEmisData!$A:$A, $G96, NewEmisData!$B:$B, $A96, NewEmisData!$C:$C, $H96, NewEmisData!$D:$D, AV$6)</f>
        <v>0.41980468763527201</v>
      </c>
      <c r="AW96" s="1111">
        <f>SUMIFS(NewEmisData!K:K, NewEmisData!$A:$A, $G96, NewEmisData!$B:$B, $A96, NewEmisData!$C:$C, $H96, NewEmisData!$D:$D, AW$6)</f>
        <v>0.41759644007116198</v>
      </c>
      <c r="AX96" s="1111">
        <f>SUMIFS(NewEmisData!L:L, NewEmisData!$A:$A, $G96, NewEmisData!$B:$B, $A96, NewEmisData!$C:$C, $H96, NewEmisData!$D:$D, AX$6)</f>
        <v>0.41747064951560697</v>
      </c>
      <c r="AY96" s="1111">
        <f>SUMIFS(NewEmisData!M:M, NewEmisData!$A:$A, $G96, NewEmisData!$B:$B, $A96, NewEmisData!$C:$C, $H96, NewEmisData!$D:$D, AY$6)</f>
        <v>0.41748018000731701</v>
      </c>
      <c r="AZ96" s="1111">
        <f t="shared" si="116"/>
        <v>0.41748018000731701</v>
      </c>
      <c r="BA96" s="1111">
        <f t="shared" si="117"/>
        <v>0.93126594217890002</v>
      </c>
      <c r="BB96" s="1111">
        <f>SUMIFS(NewEmisData!E:E, NewEmisData!$A:$A, $G96, NewEmisData!$B:$B, $A96, NewEmisData!$C:$C, $H96, NewEmisData!$D:$D, BB$6)</f>
        <v>0.93126594217890002</v>
      </c>
      <c r="BC96" s="1111">
        <f>SUMIFS(NewEmisData!F:F, NewEmisData!$A:$A, $G96, NewEmisData!$B:$B, $A96, NewEmisData!$C:$C, $H96, NewEmisData!$D:$D, BC$6)</f>
        <v>0.51703307471742999</v>
      </c>
      <c r="BD96" s="1111">
        <f>SUMIFS(NewEmisData!G:G, NewEmisData!$A:$A, $G96, NewEmisData!$B:$B, $A96, NewEmisData!$C:$C, $H96, NewEmisData!$D:$D, BD$6)</f>
        <v>0.24432975283286401</v>
      </c>
      <c r="BE96" s="1111">
        <f>SUMIFS(NewEmisData!H:H, NewEmisData!$A:$A, $G96, NewEmisData!$B:$B, $A96, NewEmisData!$C:$C, $H96, NewEmisData!$D:$D, BE$6)</f>
        <v>0.11886455572614001</v>
      </c>
      <c r="BF96" s="1111">
        <f>SUMIFS(NewEmisData!I:I, NewEmisData!$A:$A, $G96, NewEmisData!$B:$B, $A96, NewEmisData!$C:$C, $H96, NewEmisData!$D:$D, BF$6)</f>
        <v>8.9573048763309293E-2</v>
      </c>
      <c r="BG96" s="1111">
        <f>SUMIFS(NewEmisData!J:J, NewEmisData!$A:$A, $G96, NewEmisData!$B:$B, $A96, NewEmisData!$C:$C, $H96, NewEmisData!$D:$D, BG$6)</f>
        <v>8.3197971818451094E-2</v>
      </c>
      <c r="BH96" s="1111">
        <f>SUMIFS(NewEmisData!K:K, NewEmisData!$A:$A, $G96, NewEmisData!$B:$B, $A96, NewEmisData!$C:$C, $H96, NewEmisData!$D:$D, BH$6)</f>
        <v>8.15020489665223E-2</v>
      </c>
      <c r="BI96" s="1111">
        <f>SUMIFS(NewEmisData!L:L, NewEmisData!$A:$A, $G96, NewEmisData!$B:$B, $A96, NewEmisData!$C:$C, $H96, NewEmisData!$D:$D, BI$6)</f>
        <v>8.1467138980072906E-2</v>
      </c>
      <c r="BJ96" s="1111">
        <f>SUMIFS(NewEmisData!M:M, NewEmisData!$A:$A, $G96, NewEmisData!$B:$B, $A96, NewEmisData!$C:$C, $H96, NewEmisData!$D:$D, BJ$6)</f>
        <v>8.1466979548160803E-2</v>
      </c>
      <c r="BK96" s="1111">
        <f t="shared" si="118"/>
        <v>8.1466979548160803E-2</v>
      </c>
      <c r="BL96" s="1111">
        <f t="shared" si="119"/>
        <v>4.9983132073964702</v>
      </c>
      <c r="BM96" s="1111">
        <f>SUMIFS(NewEmisData!E:E, NewEmisData!$A:$A, $G96, NewEmisData!$B:$B, $A96, NewEmisData!$C:$C, $H96, NewEmisData!$D:$D, BM$6)</f>
        <v>4.9983132073964702</v>
      </c>
      <c r="BN96" s="1111">
        <f>SUMIFS(NewEmisData!F:F, NewEmisData!$A:$A, $G96, NewEmisData!$B:$B, $A96, NewEmisData!$C:$C, $H96, NewEmisData!$D:$D, BN$6)</f>
        <v>3.3127673342487598</v>
      </c>
      <c r="BO96" s="1111">
        <f>SUMIFS(NewEmisData!G:G, NewEmisData!$A:$A, $G96, NewEmisData!$B:$B, $A96, NewEmisData!$C:$C, $H96, NewEmisData!$D:$D, BO$6)</f>
        <v>1.60960521526057</v>
      </c>
      <c r="BP96" s="1111">
        <f>SUMIFS(NewEmisData!H:H, NewEmisData!$A:$A, $G96, NewEmisData!$B:$B, $A96, NewEmisData!$C:$C, $H96, NewEmisData!$D:$D, BP$6)</f>
        <v>0.894212041026479</v>
      </c>
      <c r="BQ96" s="1111">
        <f>SUMIFS(NewEmisData!I:I, NewEmisData!$A:$A, $G96, NewEmisData!$B:$B, $A96, NewEmisData!$C:$C, $H96, NewEmisData!$D:$D, BQ$6)</f>
        <v>0.75145962562216695</v>
      </c>
      <c r="BR96" s="1111">
        <f>SUMIFS(NewEmisData!J:J, NewEmisData!$A:$A, $G96, NewEmisData!$B:$B, $A96, NewEmisData!$C:$C, $H96, NewEmisData!$D:$D, BR$6)</f>
        <v>0.72015406798909798</v>
      </c>
      <c r="BS96" s="1111">
        <f>SUMIFS(NewEmisData!K:K, NewEmisData!$A:$A, $G96, NewEmisData!$B:$B, $A96, NewEmisData!$C:$C, $H96, NewEmisData!$D:$D, BS$6)</f>
        <v>0.710754907060967</v>
      </c>
      <c r="BT96" s="1111">
        <f>SUMIFS(NewEmisData!L:L, NewEmisData!$A:$A, $G96, NewEmisData!$B:$B, $A96, NewEmisData!$C:$C, $H96, NewEmisData!$D:$D, BT$6)</f>
        <v>0.71094846275188905</v>
      </c>
      <c r="BU96" s="1111">
        <f>SUMIFS(NewEmisData!M:M, NewEmisData!$A:$A, $G96, NewEmisData!$B:$B, $A96, NewEmisData!$C:$C, $H96, NewEmisData!$D:$D, BU$6)</f>
        <v>0.71093129266241195</v>
      </c>
      <c r="BV96" s="1111">
        <f t="shared" si="120"/>
        <v>0.71093129266241195</v>
      </c>
      <c r="BW96" s="1111">
        <f t="shared" si="121"/>
        <v>1.2734247511090699</v>
      </c>
      <c r="BX96" s="1111">
        <f>SUMIFS(NewEmisData!E:E, NewEmisData!$A:$A, $G96, NewEmisData!$B:$B, $A96, NewEmisData!$C:$C, $H96, NewEmisData!$D:$D, BX$6)</f>
        <v>1.2734247511090699</v>
      </c>
      <c r="BY96" s="1111">
        <f>SUMIFS(NewEmisData!F:F, NewEmisData!$A:$A, $G96, NewEmisData!$B:$B, $A96, NewEmisData!$C:$C, $H96, NewEmisData!$D:$D, BY$6)</f>
        <v>0.85962926200607204</v>
      </c>
      <c r="BZ96" s="1111">
        <f>SUMIFS(NewEmisData!G:G, NewEmisData!$A:$A, $G96, NewEmisData!$B:$B, $A96, NewEmisData!$C:$C, $H96, NewEmisData!$D:$D, BZ$6)</f>
        <v>0.40893411947898201</v>
      </c>
      <c r="CA96" s="1111">
        <f>SUMIFS(NewEmisData!H:H, NewEmisData!$A:$A, $G96, NewEmisData!$B:$B, $A96, NewEmisData!$C:$C, $H96, NewEmisData!$D:$D, CA$6)</f>
        <v>0.18002819141014001</v>
      </c>
      <c r="CB96" s="1111">
        <f>SUMIFS(NewEmisData!I:I, NewEmisData!$A:$A, $G96, NewEmisData!$B:$B, $A96, NewEmisData!$C:$C, $H96, NewEmisData!$D:$D, CB$6)</f>
        <v>0.13027199977422399</v>
      </c>
      <c r="CC96" s="1111">
        <f>SUMIFS(NewEmisData!J:J, NewEmisData!$A:$A, $G96, NewEmisData!$B:$B, $A96, NewEmisData!$C:$C, $H96, NewEmisData!$D:$D, CC$6)</f>
        <v>0.11933161730892</v>
      </c>
      <c r="CD96" s="1111">
        <f>SUMIFS(NewEmisData!K:K, NewEmisData!$A:$A, $G96, NewEmisData!$B:$B, $A96, NewEmisData!$C:$C, $H96, NewEmisData!$D:$D, CD$6)</f>
        <v>0.115736737885468</v>
      </c>
      <c r="CE96" s="1111">
        <f>SUMIFS(NewEmisData!L:L, NewEmisData!$A:$A, $G96, NewEmisData!$B:$B, $A96, NewEmisData!$C:$C, $H96, NewEmisData!$D:$D, CE$6)</f>
        <v>0.11570899631981101</v>
      </c>
      <c r="CF96" s="1111">
        <f>SUMIFS(NewEmisData!M:M, NewEmisData!$A:$A, $G96, NewEmisData!$B:$B, $A96, NewEmisData!$C:$C, $H96, NewEmisData!$D:$D, CF$6)</f>
        <v>0.115706029517275</v>
      </c>
      <c r="CG96" s="1111">
        <f t="shared" si="122"/>
        <v>0.115706029517275</v>
      </c>
      <c r="CH96" s="1111">
        <f t="shared" si="123"/>
        <v>2.7041321564936001E-2</v>
      </c>
      <c r="CI96" s="1111">
        <f>SUMIFS(NewEmisData!E:E, NewEmisData!$A:$A, $G96, NewEmisData!$B:$B, $A96, NewEmisData!$C:$C, $H96, NewEmisData!$D:$D, CI$6)</f>
        <v>2.7041321564936001E-2</v>
      </c>
      <c r="CJ96" s="1111">
        <f>SUMIFS(NewEmisData!F:F, NewEmisData!$A:$A, $G96, NewEmisData!$B:$B, $A96, NewEmisData!$C:$C, $H96, NewEmisData!$D:$D, CJ$6)</f>
        <v>2.68548734432397E-2</v>
      </c>
      <c r="CK96" s="1111">
        <f>SUMIFS(NewEmisData!G:G, NewEmisData!$A:$A, $G96, NewEmisData!$B:$B, $A96, NewEmisData!$C:$C, $H96, NewEmisData!$D:$D, CK$6)</f>
        <v>3.1678107064147802E-2</v>
      </c>
      <c r="CL96" s="1111">
        <f>SUMIFS(NewEmisData!H:H, NewEmisData!$A:$A, $G96, NewEmisData!$B:$B, $A96, NewEmisData!$C:$C, $H96, NewEmisData!$D:$D, CL$6)</f>
        <v>3.16916643909044E-2</v>
      </c>
      <c r="CM96" s="1111">
        <f>SUMIFS(NewEmisData!I:I, NewEmisData!$A:$A, $G96, NewEmisData!$B:$B, $A96, NewEmisData!$C:$C, $H96, NewEmisData!$D:$D, CM$6)</f>
        <v>3.16017171085268E-2</v>
      </c>
      <c r="CN96" s="1111">
        <f>SUMIFS(NewEmisData!J:J, NewEmisData!$A:$A, $G96, NewEmisData!$B:$B, $A96, NewEmisData!$C:$C, $H96, NewEmisData!$D:$D, CN$6)</f>
        <v>3.1547836778164702E-2</v>
      </c>
      <c r="CO96" s="1111">
        <f>SUMIFS(NewEmisData!K:K, NewEmisData!$A:$A, $G96, NewEmisData!$B:$B, $A96, NewEmisData!$C:$C, $H96, NewEmisData!$D:$D, CO$6)</f>
        <v>3.1540538757987402E-2</v>
      </c>
      <c r="CP96" s="1111">
        <f>SUMIFS(NewEmisData!L:L, NewEmisData!$A:$A, $G96, NewEmisData!$B:$B, $A96, NewEmisData!$C:$C, $H96, NewEmisData!$D:$D, CP$6)</f>
        <v>3.1538787124503802E-2</v>
      </c>
      <c r="CQ96" s="1111">
        <f>SUMIFS(NewEmisData!M:M, NewEmisData!$A:$A, $G96, NewEmisData!$B:$B, $A96, NewEmisData!$C:$C, $H96, NewEmisData!$D:$D, CQ$6)</f>
        <v>3.1539113108823097E-2</v>
      </c>
      <c r="CR96" s="1111">
        <f t="shared" si="124"/>
        <v>3.1539113108823097E-2</v>
      </c>
      <c r="CS96" s="1111">
        <f t="shared" si="125"/>
        <v>3.8053813200333601E-3</v>
      </c>
      <c r="CT96" s="1111">
        <f>SUMIFS(NewEmisData!E:E, NewEmisData!$A:$A, $G96, NewEmisData!$B:$B, $A96, NewEmisData!$C:$C, $H96, NewEmisData!$D:$D, CT$6)</f>
        <v>3.8053813200333601E-3</v>
      </c>
      <c r="CU96" s="1111">
        <f>SUMIFS(NewEmisData!F:F, NewEmisData!$A:$A, $G96, NewEmisData!$B:$B, $A96, NewEmisData!$C:$C, $H96, NewEmisData!$D:$D, CU$6)</f>
        <v>3.8816671778757802E-3</v>
      </c>
      <c r="CV96" s="1111">
        <f>SUMIFS(NewEmisData!G:G, NewEmisData!$A:$A, $G96, NewEmisData!$B:$B, $A96, NewEmisData!$C:$C, $H96, NewEmisData!$D:$D, CV$6)</f>
        <v>4.8845093825486303E-3</v>
      </c>
      <c r="CW96" s="1111">
        <f>SUMIFS(NewEmisData!H:H, NewEmisData!$A:$A, $G96, NewEmisData!$B:$B, $A96, NewEmisData!$C:$C, $H96, NewEmisData!$D:$D, CW$6)</f>
        <v>4.8845901221928898E-3</v>
      </c>
      <c r="CX96" s="1111">
        <f>SUMIFS(NewEmisData!I:I, NewEmisData!$A:$A, $G96, NewEmisData!$B:$B, $A96, NewEmisData!$C:$C, $H96, NewEmisData!$D:$D, CX$6)</f>
        <v>4.8982998611774697E-3</v>
      </c>
      <c r="CY96" s="1111">
        <f>SUMIFS(NewEmisData!J:J, NewEmisData!$A:$A, $G96, NewEmisData!$B:$B, $A96, NewEmisData!$C:$C, $H96, NewEmisData!$D:$D, CY$6)</f>
        <v>4.9066620573488097E-3</v>
      </c>
      <c r="CZ96" s="1111">
        <f>SUMIFS(NewEmisData!K:K, NewEmisData!$A:$A, $G96, NewEmisData!$B:$B, $A96, NewEmisData!$C:$C, $H96, NewEmisData!$D:$D, CZ$6)</f>
        <v>4.90771522630959E-3</v>
      </c>
      <c r="DA96" s="1111">
        <f>SUMIFS(NewEmisData!L:L, NewEmisData!$A:$A, $G96, NewEmisData!$B:$B, $A96, NewEmisData!$C:$C, $H96, NewEmisData!$D:$D, DA$6)</f>
        <v>4.90797605756731E-3</v>
      </c>
      <c r="DB96" s="1111">
        <f>SUMIFS(NewEmisData!M:M, NewEmisData!$A:$A, $G96, NewEmisData!$B:$B, $A96, NewEmisData!$C:$C, $H96, NewEmisData!$D:$D, DB$6)</f>
        <v>4.9079610813754703E-3</v>
      </c>
      <c r="DC96" s="1111">
        <f t="shared" si="126"/>
        <v>4.9079610813754703E-3</v>
      </c>
      <c r="DD96" s="1111"/>
      <c r="DE96" s="1111"/>
      <c r="DF96" s="1111"/>
      <c r="DG96" s="1111"/>
      <c r="DH96" s="1111"/>
      <c r="DI96" s="1111"/>
      <c r="DJ96" s="1111"/>
      <c r="DK96" s="1111"/>
      <c r="DL96" s="1111"/>
      <c r="DM96" s="1111"/>
      <c r="DN96" s="1111"/>
      <c r="DO96" s="1111"/>
      <c r="DP96" s="1111"/>
      <c r="DQ96" s="1111"/>
      <c r="DR96" s="1111"/>
      <c r="DS96" s="1111"/>
      <c r="DT96" s="1111"/>
      <c r="DU96" s="1111"/>
      <c r="DV96" s="1111"/>
      <c r="DW96" s="1111"/>
      <c r="DX96" s="1111"/>
      <c r="DY96" s="1111"/>
      <c r="DZ96" s="1111">
        <f t="shared" si="127"/>
        <v>2.3788532853898401E-2</v>
      </c>
      <c r="EA96" s="1111">
        <f>SUMIFS(NewEmisData!E:E, NewEmisData!$A:$A, $G96, NewEmisData!$B:$B, $A96, NewEmisData!$C:$C, $H96, NewEmisData!$D:$D, EA$6)</f>
        <v>2.3788532853898401E-2</v>
      </c>
      <c r="EB96" s="1111">
        <f>SUMIFS(NewEmisData!F:F, NewEmisData!$A:$A, $G96, NewEmisData!$B:$B, $A96, NewEmisData!$C:$C, $H96, NewEmisData!$D:$D, EB$6)</f>
        <v>5.06232638400895E-2</v>
      </c>
      <c r="EC96" s="1111">
        <f>SUMIFS(NewEmisData!G:G, NewEmisData!$A:$A, $G96, NewEmisData!$B:$B, $A96, NewEmisData!$C:$C, $H96, NewEmisData!$D:$D, EC$6)</f>
        <v>8.7009713960661303E-2</v>
      </c>
      <c r="ED96" s="1111">
        <f>SUMIFS(NewEmisData!H:H, NewEmisData!$A:$A, $G96, NewEmisData!$B:$B, $A96, NewEmisData!$C:$C, $H96, NewEmisData!$D:$D, ED$6)</f>
        <v>9.5942830597456105E-2</v>
      </c>
      <c r="EE96" s="1111">
        <f>SUMIFS(NewEmisData!I:I, NewEmisData!$A:$A, $G96, NewEmisData!$B:$B, $A96, NewEmisData!$C:$C, $H96, NewEmisData!$D:$D, EE$6)</f>
        <v>9.3344720302396503E-2</v>
      </c>
      <c r="EF96" s="1111">
        <f>SUMIFS(NewEmisData!J:J, NewEmisData!$A:$A, $G96, NewEmisData!$B:$B, $A96, NewEmisData!$C:$C, $H96, NewEmisData!$D:$D, EF$6)</f>
        <v>9.3797490813894005E-2</v>
      </c>
      <c r="EG96" s="1111">
        <f>SUMIFS(NewEmisData!K:K, NewEmisData!$A:$A, $G96, NewEmisData!$B:$B, $A96, NewEmisData!$C:$C, $H96, NewEmisData!$D:$D, EG$6)</f>
        <v>9.3753547263910497E-2</v>
      </c>
      <c r="EH96" s="1111">
        <f>SUMIFS(NewEmisData!L:L, NewEmisData!$A:$A, $G96, NewEmisData!$B:$B, $A96, NewEmisData!$C:$C, $H96, NewEmisData!$D:$D, EH$6)</f>
        <v>9.3744088393244801E-2</v>
      </c>
      <c r="EI96" s="1111">
        <f>SUMIFS(NewEmisData!M:M, NewEmisData!$A:$A, $G96, NewEmisData!$B:$B, $A96, NewEmisData!$C:$C, $H96, NewEmisData!$D:$D, EI$6)</f>
        <v>9.3743919124561703E-2</v>
      </c>
      <c r="EJ96" s="1111">
        <f t="shared" si="128"/>
        <v>9.3743919124561703E-2</v>
      </c>
      <c r="EK96" s="1111">
        <f t="shared" si="129"/>
        <v>1790.56535119264</v>
      </c>
      <c r="EL96" s="1111">
        <f t="shared" si="154"/>
        <v>1790.56535119264</v>
      </c>
      <c r="EM96" s="1111">
        <f t="shared" si="155"/>
        <v>1706.0851984819999</v>
      </c>
      <c r="EN96" s="1111">
        <f t="shared" si="156"/>
        <v>1916.4119570956</v>
      </c>
      <c r="EO96" s="1111">
        <f t="shared" si="157"/>
        <v>1866.18041191016</v>
      </c>
      <c r="EP96" s="1111">
        <f t="shared" si="158"/>
        <v>1811.71928124037</v>
      </c>
      <c r="EQ96" s="1111">
        <f t="shared" si="159"/>
        <v>1782.46239941771</v>
      </c>
      <c r="ER96" s="1111">
        <f t="shared" si="160"/>
        <v>1777.87090074862</v>
      </c>
      <c r="ES96" s="1111">
        <f t="shared" si="161"/>
        <v>1776.69085043776</v>
      </c>
      <c r="ET96" s="1111">
        <f t="shared" si="162"/>
        <v>1776.5151337741499</v>
      </c>
      <c r="EU96" s="1111">
        <f t="shared" si="163"/>
        <v>1776.5151337741499</v>
      </c>
      <c r="EV96" s="1111">
        <f t="shared" si="130"/>
        <v>16.722091046014601</v>
      </c>
      <c r="EW96" s="1111">
        <f t="shared" si="144"/>
        <v>16.722091046014601</v>
      </c>
      <c r="EX96" s="1111">
        <f t="shared" si="145"/>
        <v>9.0752835435872505</v>
      </c>
      <c r="EY96" s="1111">
        <f t="shared" si="146"/>
        <v>4.5245768386744603</v>
      </c>
      <c r="EZ96" s="1111">
        <f t="shared" si="147"/>
        <v>2.5948057206972099</v>
      </c>
      <c r="FA96" s="1111">
        <f t="shared" si="148"/>
        <v>1.7233209257637201</v>
      </c>
      <c r="FB96" s="1111">
        <f t="shared" si="149"/>
        <v>1.5952418098202701</v>
      </c>
      <c r="FC96" s="1111">
        <f t="shared" si="150"/>
        <v>1.5343950737018299</v>
      </c>
      <c r="FD96" s="1111">
        <f t="shared" si="151"/>
        <v>1.53213591619592</v>
      </c>
      <c r="FE96" s="1111">
        <f t="shared" si="152"/>
        <v>1.5313515267339699</v>
      </c>
      <c r="FF96" s="1111">
        <f t="shared" si="153"/>
        <v>1.5313515267339699</v>
      </c>
      <c r="FG96" s="1111">
        <f t="shared" si="100"/>
        <v>4.4119301126388497E-2</v>
      </c>
      <c r="FH96" s="1111">
        <f t="shared" si="101"/>
        <v>4.4119301126388497E-2</v>
      </c>
      <c r="FI96" s="1111">
        <f t="shared" si="102"/>
        <v>4.1262348975755703E-2</v>
      </c>
      <c r="FJ96" s="1111">
        <f t="shared" si="103"/>
        <v>1.6180608348462199E-2</v>
      </c>
      <c r="FK96" s="1111">
        <f t="shared" si="104"/>
        <v>1.5603448697606799E-2</v>
      </c>
      <c r="FL96" s="1111">
        <f t="shared" si="105"/>
        <v>1.51144360777349E-2</v>
      </c>
      <c r="FM96" s="1111">
        <f t="shared" si="106"/>
        <v>1.48632492208765E-2</v>
      </c>
      <c r="FN96" s="1111">
        <f t="shared" si="107"/>
        <v>1.48223265055839E-2</v>
      </c>
      <c r="FO96" s="1111">
        <f t="shared" si="108"/>
        <v>1.4812489715302499E-2</v>
      </c>
      <c r="FP96" s="1111">
        <f t="shared" si="109"/>
        <v>1.4811022783827199E-2</v>
      </c>
      <c r="FQ96" s="1111">
        <f t="shared" si="110"/>
        <v>1.4811022783827199E-2</v>
      </c>
      <c r="FR96" s="1111">
        <f t="shared" si="133"/>
        <v>1.28818009730681</v>
      </c>
      <c r="FS96" s="1111">
        <f t="shared" si="134"/>
        <v>1.28818009730681</v>
      </c>
      <c r="FT96" s="1111">
        <f t="shared" si="135"/>
        <v>0.82680779710365904</v>
      </c>
      <c r="FU96" s="1111">
        <f t="shared" si="136"/>
        <v>0.60179805225314997</v>
      </c>
      <c r="FV96" s="1111">
        <f t="shared" si="137"/>
        <v>0.46595581954183302</v>
      </c>
      <c r="FW96" s="1111">
        <f t="shared" si="138"/>
        <v>0.42951735045103701</v>
      </c>
      <c r="FX96" s="1111">
        <f t="shared" si="139"/>
        <v>0.41980468763527201</v>
      </c>
      <c r="FY96" s="1111">
        <f t="shared" si="140"/>
        <v>0.41759644007116198</v>
      </c>
      <c r="FZ96" s="1111">
        <f t="shared" si="141"/>
        <v>0.41747064951560697</v>
      </c>
      <c r="GA96" s="1111">
        <f t="shared" si="142"/>
        <v>0.41748018000731701</v>
      </c>
      <c r="GB96" s="1111">
        <f t="shared" si="143"/>
        <v>0.41748018000731701</v>
      </c>
      <c r="GC96" s="1111">
        <f t="shared" si="164"/>
        <v>0.93126594217890002</v>
      </c>
      <c r="GD96" s="1111">
        <f t="shared" si="165"/>
        <v>0.93126594217890002</v>
      </c>
      <c r="GE96" s="1111">
        <f t="shared" si="166"/>
        <v>0.51703307471742999</v>
      </c>
      <c r="GF96" s="1111">
        <f t="shared" si="167"/>
        <v>0.24432975283286401</v>
      </c>
      <c r="GG96" s="1111">
        <f t="shared" si="168"/>
        <v>0.11886455572614001</v>
      </c>
      <c r="GH96" s="1111">
        <f t="shared" si="169"/>
        <v>8.9573048763309293E-2</v>
      </c>
      <c r="GI96" s="1111">
        <f t="shared" si="170"/>
        <v>8.3197971818451094E-2</v>
      </c>
      <c r="GJ96" s="1111">
        <f t="shared" si="171"/>
        <v>8.15020489665223E-2</v>
      </c>
      <c r="GK96" s="1111">
        <f t="shared" si="172"/>
        <v>8.1467138980072906E-2</v>
      </c>
      <c r="GL96" s="1111">
        <f t="shared" si="173"/>
        <v>8.1466979548160803E-2</v>
      </c>
      <c r="GM96" s="1111">
        <f t="shared" si="174"/>
        <v>8.1466979548160803E-2</v>
      </c>
    </row>
    <row r="97" spans="1:195" x14ac:dyDescent="0.2">
      <c r="A97" s="1071" t="str">
        <f>NewTech!A22</f>
        <v>*</v>
      </c>
      <c r="B97" s="1071" t="str">
        <f>NewTech!B22</f>
        <v>TBB20C10</v>
      </c>
      <c r="C97" s="1071" t="str">
        <f>NewTech!C22</f>
        <v>Bus, Conventional Biodiesel, 2010</v>
      </c>
      <c r="D97" s="1071" t="str">
        <f>NewTech!D22</f>
        <v>bn-vmt, bn-vmt/a</v>
      </c>
      <c r="E97" s="1071" t="str">
        <f>NewTech!E22</f>
        <v>TBB20X</v>
      </c>
      <c r="F97" s="1071" t="str">
        <f>NewTech!F22</f>
        <v>TB</v>
      </c>
      <c r="G97" s="1110" t="s">
        <v>498</v>
      </c>
      <c r="H97" s="1110" t="s">
        <v>507</v>
      </c>
      <c r="I97" s="1112">
        <v>1</v>
      </c>
      <c r="J97" s="1111" t="str">
        <f t="shared" si="37"/>
        <v>Bus-B20</v>
      </c>
      <c r="K97" s="1111">
        <v>1382.5120413649993</v>
      </c>
      <c r="L97" s="1111">
        <v>1208.7746698387982</v>
      </c>
      <c r="M97" s="1111">
        <v>1166.2538858740329</v>
      </c>
      <c r="N97" s="1111">
        <v>1131.4136354845602</v>
      </c>
      <c r="O97" s="1111">
        <v>1109.1466390014707</v>
      </c>
      <c r="P97" s="1111">
        <v>1107.3086286607479</v>
      </c>
      <c r="Q97" s="1111">
        <v>1107.3866983378118</v>
      </c>
      <c r="R97" s="1111">
        <v>1107.397193580387</v>
      </c>
      <c r="S97" s="1111">
        <v>1107.3749896752527</v>
      </c>
      <c r="T97" s="1111">
        <f t="shared" si="131"/>
        <v>1107.3749896752527</v>
      </c>
      <c r="U97" s="1111">
        <v>9.1427704499543925</v>
      </c>
      <c r="V97" s="1111">
        <v>3.7255659085071642</v>
      </c>
      <c r="W97" s="1111">
        <v>1.6334071334623821</v>
      </c>
      <c r="X97" s="1111">
        <v>0.92619833818541908</v>
      </c>
      <c r="Y97" s="1111">
        <v>0.90568583981658923</v>
      </c>
      <c r="Z97" s="1111">
        <v>0.90218359553210503</v>
      </c>
      <c r="AA97" s="1111">
        <v>0.90203080005499137</v>
      </c>
      <c r="AB97" s="1111">
        <v>0.90223185545436146</v>
      </c>
      <c r="AC97" s="1111">
        <v>0.90229176042240877</v>
      </c>
      <c r="AD97" s="1111">
        <f t="shared" si="132"/>
        <v>0.90229176042240877</v>
      </c>
      <c r="AE97" s="1111">
        <v>0.11108791689824696</v>
      </c>
      <c r="AF97" s="1111">
        <v>1.2529213207640243E-2</v>
      </c>
      <c r="AG97" s="1111">
        <v>1.065957810466449E-2</v>
      </c>
      <c r="AH97" s="1111">
        <v>1.0075025444113147E-2</v>
      </c>
      <c r="AI97" s="1111">
        <v>9.7317299202005353E-3</v>
      </c>
      <c r="AJ97" s="1111">
        <v>9.5402023930493476E-3</v>
      </c>
      <c r="AK97" s="1111">
        <v>9.5243934312525258E-3</v>
      </c>
      <c r="AL97" s="1111">
        <v>9.5250648616107964E-3</v>
      </c>
      <c r="AM97" s="1111">
        <v>9.5251554932216514E-3</v>
      </c>
      <c r="AN97" s="1111">
        <v>9.5249642425045775E-3</v>
      </c>
      <c r="AO97" s="1111">
        <v>9.5249642425045775E-3</v>
      </c>
      <c r="AP97" s="1111">
        <v>0.74269151513440568</v>
      </c>
      <c r="AQ97" s="1111">
        <v>0.52383536052486579</v>
      </c>
      <c r="AR97" s="1111">
        <v>0.26515735675043145</v>
      </c>
      <c r="AS97" s="1111">
        <v>0.1351566926923447</v>
      </c>
      <c r="AT97" s="1111">
        <v>0.10983075965221531</v>
      </c>
      <c r="AU97" s="1111">
        <v>0.10958664889665852</v>
      </c>
      <c r="AV97" s="1111">
        <v>0.1096078486020671</v>
      </c>
      <c r="AW97" s="1111">
        <v>0.1096068780421422</v>
      </c>
      <c r="AX97" s="1111">
        <v>0.10960658830103226</v>
      </c>
      <c r="AY97" s="1111">
        <v>0.10960589552091661</v>
      </c>
      <c r="AZ97" s="1111">
        <v>0.10960589552091661</v>
      </c>
      <c r="BA97" s="1111">
        <v>0.59959483692809956</v>
      </c>
      <c r="BB97" s="1111">
        <v>0.39814722089916671</v>
      </c>
      <c r="BC97" s="1111">
        <v>0.17093911505744869</v>
      </c>
      <c r="BD97" s="1111">
        <v>5.141231454167787E-2</v>
      </c>
      <c r="BE97" s="1111">
        <v>2.8082696739029109E-2</v>
      </c>
      <c r="BF97" s="1111">
        <v>2.7845710868112137E-2</v>
      </c>
      <c r="BG97" s="1111">
        <v>2.7854575458181253E-2</v>
      </c>
      <c r="BH97" s="1111">
        <v>2.7854742362265792E-2</v>
      </c>
      <c r="BI97" s="1111">
        <v>2.7857935494373539E-2</v>
      </c>
      <c r="BJ97" s="1111">
        <v>2.785875515428065E-2</v>
      </c>
      <c r="BK97" s="1111">
        <v>2.785875515428065E-2</v>
      </c>
      <c r="BL97" s="1111">
        <v>3.6845951109174253</v>
      </c>
      <c r="BM97" s="1111">
        <v>3.0141148250813146</v>
      </c>
      <c r="BN97" s="1111">
        <v>1.7287096891608413</v>
      </c>
      <c r="BO97" s="1111">
        <v>0.99869461126012171</v>
      </c>
      <c r="BP97" s="1111">
        <v>0.84218772017297983</v>
      </c>
      <c r="BQ97" s="1111">
        <v>0.84519175838607719</v>
      </c>
      <c r="BR97" s="1111">
        <v>0.8469151808735419</v>
      </c>
      <c r="BS97" s="1111">
        <v>0.84802583601170634</v>
      </c>
      <c r="BT97" s="1111">
        <v>0.84799712156752194</v>
      </c>
      <c r="BU97" s="1111">
        <v>0.84805912955384111</v>
      </c>
      <c r="BV97" s="1111">
        <v>0.84805912955384111</v>
      </c>
      <c r="BW97" s="1111">
        <v>0.9729699198759918</v>
      </c>
      <c r="BX97" s="1111">
        <v>0.7601417510012034</v>
      </c>
      <c r="BY97" s="1111">
        <v>0.38103658575563715</v>
      </c>
      <c r="BZ97" s="1111">
        <v>0.14118951343654471</v>
      </c>
      <c r="CA97" s="1111">
        <v>9.6258716152784612E-2</v>
      </c>
      <c r="CB97" s="1111">
        <v>9.5530616374304447E-2</v>
      </c>
      <c r="CC97" s="1111">
        <v>9.554280161820998E-2</v>
      </c>
      <c r="CD97" s="1111">
        <v>9.5586988961338146E-2</v>
      </c>
      <c r="CE97" s="1111">
        <v>9.5588423921367793E-2</v>
      </c>
      <c r="CF97" s="1111">
        <v>9.5590740961983944E-2</v>
      </c>
      <c r="CG97" s="1111">
        <v>9.5590740961983944E-2</v>
      </c>
      <c r="CH97" s="1111">
        <v>2.201122232569799E-2</v>
      </c>
      <c r="CI97" s="1111">
        <v>2.2006092317346342E-2</v>
      </c>
      <c r="CJ97" s="1111">
        <v>2.0959051495813823E-2</v>
      </c>
      <c r="CK97" s="1111">
        <v>2.0949326632820623E-2</v>
      </c>
      <c r="CL97" s="1111">
        <v>2.0957444875028042E-2</v>
      </c>
      <c r="CM97" s="1111">
        <v>2.0954531481793281E-2</v>
      </c>
      <c r="CN97" s="1111">
        <v>2.0955516315411728E-2</v>
      </c>
      <c r="CO97" s="1111">
        <v>2.0955628968138067E-2</v>
      </c>
      <c r="CP97" s="1111">
        <v>2.0955469502249392E-2</v>
      </c>
      <c r="CQ97" s="1111">
        <v>2.0955323217398469E-2</v>
      </c>
      <c r="CR97" s="1111">
        <v>2.0955323217398469E-2</v>
      </c>
      <c r="CS97" s="1111">
        <v>14.678404146633609</v>
      </c>
      <c r="CT97" s="1111">
        <v>9.1427704499543925</v>
      </c>
      <c r="CU97" s="1111">
        <v>3.7255659085071642</v>
      </c>
      <c r="CV97" s="1111">
        <v>1.6334071334623821</v>
      </c>
      <c r="CW97" s="1111">
        <v>0.92619833818541908</v>
      </c>
      <c r="CX97" s="1111">
        <v>0.90568583981658923</v>
      </c>
      <c r="CY97" s="1111">
        <v>0.90218359553210503</v>
      </c>
      <c r="CZ97" s="1111">
        <v>0.90203080005499137</v>
      </c>
      <c r="DA97" s="1111">
        <v>0.90223185545436146</v>
      </c>
      <c r="DB97" s="1111">
        <v>0.90229176042240877</v>
      </c>
      <c r="DC97" s="1111">
        <v>0.90229176042240877</v>
      </c>
      <c r="DD97" s="1111">
        <v>0.33169687799638808</v>
      </c>
      <c r="DE97" s="1111">
        <v>0.21290332899095288</v>
      </c>
      <c r="DF97" s="1111">
        <v>7.6684448210492417E-2</v>
      </c>
      <c r="DG97" s="1111">
        <v>1.3099118418529874E-2</v>
      </c>
      <c r="DH97" s="1111">
        <v>1.442984591146376E-3</v>
      </c>
      <c r="DI97" s="1111">
        <v>1.4216300052729372E-3</v>
      </c>
      <c r="DJ97" s="1111">
        <v>1.4222674909691675E-3</v>
      </c>
      <c r="DK97" s="1111">
        <v>1.4222968522144778E-3</v>
      </c>
      <c r="DL97" s="1111">
        <v>1.4226321321994845E-3</v>
      </c>
      <c r="DM97" s="1111">
        <v>1.4227267584946933E-3</v>
      </c>
      <c r="DN97" s="1111">
        <v>1.4227267584946933E-3</v>
      </c>
      <c r="DO97" s="1111">
        <v>0.17545307696215415</v>
      </c>
      <c r="DP97" s="1111">
        <v>0.11985500329632152</v>
      </c>
      <c r="DQ97" s="1111">
        <v>5.3210588243268436E-2</v>
      </c>
      <c r="DR97" s="1111">
        <v>1.0978778070126252E-2</v>
      </c>
      <c r="DS97" s="1111">
        <v>2.5088278770177383E-3</v>
      </c>
      <c r="DT97" s="1111">
        <v>2.4717000504004827E-3</v>
      </c>
      <c r="DU97" s="1111">
        <v>2.472808290816776E-3</v>
      </c>
      <c r="DV97" s="1111">
        <v>2.4728594625776285E-3</v>
      </c>
      <c r="DW97" s="1111">
        <v>2.4734423116144133E-3</v>
      </c>
      <c r="DX97" s="1111">
        <v>2.4736068982878887E-3</v>
      </c>
      <c r="DY97" s="1111">
        <v>2.4736068982878887E-3</v>
      </c>
      <c r="DZ97" s="1111">
        <v>2.9865061813249189E-3</v>
      </c>
      <c r="EA97" s="1111">
        <v>2.1060347075564811E-2</v>
      </c>
      <c r="EB97" s="1111">
        <v>5.0506765726550711E-2</v>
      </c>
      <c r="EC97" s="1111">
        <v>6.7073675579230524E-2</v>
      </c>
      <c r="ED97" s="1111">
        <v>6.4920013533495455E-2</v>
      </c>
      <c r="EE97" s="1111">
        <v>6.489936268569281E-2</v>
      </c>
      <c r="EF97" s="1111">
        <v>6.4975559015962497E-2</v>
      </c>
      <c r="EG97" s="1111">
        <v>6.5020503621141937E-2</v>
      </c>
      <c r="EH97" s="1111">
        <v>6.5021688066524905E-2</v>
      </c>
      <c r="EI97" s="1111">
        <v>6.5024946471396658E-2</v>
      </c>
      <c r="EJ97" s="1111">
        <v>6.5024946471396658E-2</v>
      </c>
      <c r="EK97" s="1111">
        <v>1384.6691295748305</v>
      </c>
      <c r="EL97" s="1111">
        <f t="shared" si="154"/>
        <v>1382.5120413649993</v>
      </c>
      <c r="EM97" s="1111">
        <f t="shared" si="155"/>
        <v>1208.7746698387982</v>
      </c>
      <c r="EN97" s="1111">
        <f t="shared" si="156"/>
        <v>1166.2538858740329</v>
      </c>
      <c r="EO97" s="1111">
        <f t="shared" si="157"/>
        <v>1131.4136354845602</v>
      </c>
      <c r="EP97" s="1111">
        <f t="shared" si="158"/>
        <v>1109.1466390014707</v>
      </c>
      <c r="EQ97" s="1111">
        <f t="shared" si="159"/>
        <v>1107.3086286607479</v>
      </c>
      <c r="ER97" s="1111">
        <f t="shared" si="160"/>
        <v>1107.3866983378118</v>
      </c>
      <c r="ES97" s="1111">
        <f t="shared" si="161"/>
        <v>1107.397193580387</v>
      </c>
      <c r="ET97" s="1111">
        <f t="shared" si="162"/>
        <v>1107.3749896752527</v>
      </c>
      <c r="EU97" s="1111">
        <f t="shared" si="163"/>
        <v>1107.3749896752527</v>
      </c>
      <c r="EV97" s="1111">
        <v>14.678404146633609</v>
      </c>
      <c r="EW97" s="1111">
        <f t="shared" si="144"/>
        <v>9.1427704499543925</v>
      </c>
      <c r="EX97" s="1111">
        <f t="shared" si="145"/>
        <v>3.7255659085071642</v>
      </c>
      <c r="EY97" s="1111">
        <f t="shared" si="146"/>
        <v>1.6334071334623821</v>
      </c>
      <c r="EZ97" s="1111">
        <f t="shared" si="147"/>
        <v>0.92619833818541908</v>
      </c>
      <c r="FA97" s="1111">
        <f t="shared" si="148"/>
        <v>0.90568583981658923</v>
      </c>
      <c r="FB97" s="1111">
        <f t="shared" si="149"/>
        <v>0.90218359553210503</v>
      </c>
      <c r="FC97" s="1111">
        <f t="shared" si="150"/>
        <v>0.90203080005499137</v>
      </c>
      <c r="FD97" s="1111">
        <f t="shared" si="151"/>
        <v>0.90223185545436146</v>
      </c>
      <c r="FE97" s="1111">
        <f t="shared" si="152"/>
        <v>0.90229176042240877</v>
      </c>
      <c r="FF97" s="1111">
        <f t="shared" si="153"/>
        <v>0.90229176042240877</v>
      </c>
      <c r="FG97" s="1111">
        <f t="shared" si="100"/>
        <v>0.11108791689824696</v>
      </c>
      <c r="FH97" s="1111">
        <f t="shared" si="101"/>
        <v>1.2529213207640243E-2</v>
      </c>
      <c r="FI97" s="1111">
        <f t="shared" si="102"/>
        <v>1.065957810466449E-2</v>
      </c>
      <c r="FJ97" s="1111">
        <f t="shared" si="103"/>
        <v>1.0075025444113147E-2</v>
      </c>
      <c r="FK97" s="1111">
        <f t="shared" si="104"/>
        <v>9.7317299202005353E-3</v>
      </c>
      <c r="FL97" s="1111">
        <f t="shared" si="105"/>
        <v>9.5402023930493476E-3</v>
      </c>
      <c r="FM97" s="1111">
        <f t="shared" si="106"/>
        <v>9.5243934312525258E-3</v>
      </c>
      <c r="FN97" s="1111">
        <f t="shared" si="107"/>
        <v>9.5250648616107964E-3</v>
      </c>
      <c r="FO97" s="1111">
        <f t="shared" si="108"/>
        <v>9.5251554932216514E-3</v>
      </c>
      <c r="FP97" s="1111">
        <f t="shared" si="109"/>
        <v>9.5249642425045775E-3</v>
      </c>
      <c r="FQ97" s="1111">
        <f t="shared" si="110"/>
        <v>9.5249642425045775E-3</v>
      </c>
      <c r="FR97" s="1111">
        <f t="shared" si="133"/>
        <v>0.74269151513440568</v>
      </c>
      <c r="FS97" s="1111">
        <f t="shared" si="134"/>
        <v>0.52383536052486579</v>
      </c>
      <c r="FT97" s="1111">
        <f t="shared" si="135"/>
        <v>0.26515735675043145</v>
      </c>
      <c r="FU97" s="1111">
        <f t="shared" si="136"/>
        <v>0.1351566926923447</v>
      </c>
      <c r="FV97" s="1111">
        <f t="shared" si="137"/>
        <v>0.10983075965221531</v>
      </c>
      <c r="FW97" s="1111">
        <f t="shared" si="138"/>
        <v>0.10958664889665852</v>
      </c>
      <c r="FX97" s="1111">
        <f t="shared" si="139"/>
        <v>0.1096078486020671</v>
      </c>
      <c r="FY97" s="1111">
        <f t="shared" si="140"/>
        <v>0.1096068780421422</v>
      </c>
      <c r="FZ97" s="1111">
        <f t="shared" si="141"/>
        <v>0.10960658830103226</v>
      </c>
      <c r="GA97" s="1111">
        <f t="shared" si="142"/>
        <v>0.10960589552091661</v>
      </c>
      <c r="GB97" s="1111">
        <f t="shared" si="143"/>
        <v>0.10960589552091661</v>
      </c>
      <c r="GC97" s="1111">
        <f t="shared" si="164"/>
        <v>0.59959483692809956</v>
      </c>
      <c r="GD97" s="1111">
        <f t="shared" si="165"/>
        <v>0.39814722089916671</v>
      </c>
      <c r="GE97" s="1111">
        <f t="shared" si="166"/>
        <v>0.17093911505744869</v>
      </c>
      <c r="GF97" s="1111">
        <f t="shared" si="167"/>
        <v>5.141231454167787E-2</v>
      </c>
      <c r="GG97" s="1111">
        <f t="shared" si="168"/>
        <v>2.8082696739029109E-2</v>
      </c>
      <c r="GH97" s="1111">
        <f t="shared" si="169"/>
        <v>2.7845710868112137E-2</v>
      </c>
      <c r="GI97" s="1111">
        <f t="shared" si="170"/>
        <v>2.7854575458181253E-2</v>
      </c>
      <c r="GJ97" s="1111">
        <f t="shared" si="171"/>
        <v>2.7854742362265792E-2</v>
      </c>
      <c r="GK97" s="1111">
        <f t="shared" si="172"/>
        <v>2.7857935494373539E-2</v>
      </c>
      <c r="GL97" s="1111">
        <f t="shared" si="173"/>
        <v>2.785875515428065E-2</v>
      </c>
      <c r="GM97" s="1111">
        <f t="shared" si="174"/>
        <v>2.785875515428065E-2</v>
      </c>
    </row>
    <row r="98" spans="1:195" x14ac:dyDescent="0.2">
      <c r="A98" s="1071" t="str">
        <f>NewTech!A23</f>
        <v>*</v>
      </c>
      <c r="B98" s="1071" t="str">
        <f>NewTech!B23</f>
        <v>TBB20C</v>
      </c>
      <c r="C98" s="1071" t="str">
        <f>NewTech!C23</f>
        <v>Bus, Conventional B20</v>
      </c>
      <c r="D98" s="1071" t="str">
        <f>NewTech!D23</f>
        <v>bn-vmt, bn-vmt/a</v>
      </c>
      <c r="E98" s="1071" t="str">
        <f>NewTech!E23</f>
        <v>TBB20X</v>
      </c>
      <c r="F98" s="1071" t="str">
        <f>NewTech!F23</f>
        <v>TB</v>
      </c>
      <c r="G98" s="1110" t="s">
        <v>498</v>
      </c>
      <c r="H98" s="1110" t="s">
        <v>507</v>
      </c>
      <c r="I98" s="1112">
        <v>1</v>
      </c>
      <c r="J98" s="1111" t="str">
        <f t="shared" si="37"/>
        <v>Bus-B20</v>
      </c>
      <c r="K98" s="1111">
        <v>1382.5120413649993</v>
      </c>
      <c r="L98" s="1111">
        <v>1208.7746698387982</v>
      </c>
      <c r="M98" s="1111">
        <v>1166.2538858740329</v>
      </c>
      <c r="N98" s="1111">
        <v>1131.4136354845602</v>
      </c>
      <c r="O98" s="1111">
        <v>1109.1466390014707</v>
      </c>
      <c r="P98" s="1111">
        <v>1107.3086286607479</v>
      </c>
      <c r="Q98" s="1111">
        <v>1107.3866983378118</v>
      </c>
      <c r="R98" s="1111">
        <v>1107.397193580387</v>
      </c>
      <c r="S98" s="1111">
        <v>1107.3749896752527</v>
      </c>
      <c r="T98" s="1111">
        <f t="shared" si="131"/>
        <v>1107.3749896752527</v>
      </c>
      <c r="U98" s="1111">
        <v>9.1427704499543925</v>
      </c>
      <c r="V98" s="1111">
        <v>3.7255659085071642</v>
      </c>
      <c r="W98" s="1111">
        <v>1.6334071334623821</v>
      </c>
      <c r="X98" s="1111">
        <v>0.92619833818541908</v>
      </c>
      <c r="Y98" s="1111">
        <v>0.90568583981658923</v>
      </c>
      <c r="Z98" s="1111">
        <v>0.90218359553210503</v>
      </c>
      <c r="AA98" s="1111">
        <v>0.90203080005499137</v>
      </c>
      <c r="AB98" s="1111">
        <v>0.90223185545436146</v>
      </c>
      <c r="AC98" s="1111">
        <v>0.90229176042240877</v>
      </c>
      <c r="AD98" s="1111">
        <f t="shared" si="132"/>
        <v>0.90229176042240877</v>
      </c>
      <c r="AE98" s="1111">
        <v>0.11108791689824696</v>
      </c>
      <c r="AF98" s="1111">
        <v>1.2529213207640243E-2</v>
      </c>
      <c r="AG98" s="1111">
        <v>1.065957810466449E-2</v>
      </c>
      <c r="AH98" s="1111">
        <v>1.0075025444113147E-2</v>
      </c>
      <c r="AI98" s="1111">
        <v>9.7317299202005353E-3</v>
      </c>
      <c r="AJ98" s="1111">
        <v>9.5402023930493476E-3</v>
      </c>
      <c r="AK98" s="1111">
        <v>9.5243934312525258E-3</v>
      </c>
      <c r="AL98" s="1111">
        <v>9.5250648616107964E-3</v>
      </c>
      <c r="AM98" s="1111">
        <v>9.5251554932216514E-3</v>
      </c>
      <c r="AN98" s="1111">
        <v>9.5249642425045775E-3</v>
      </c>
      <c r="AO98" s="1111">
        <v>9.5249642425045775E-3</v>
      </c>
      <c r="AP98" s="1111">
        <v>0.74269151513440568</v>
      </c>
      <c r="AQ98" s="1111">
        <v>0.52383536052486579</v>
      </c>
      <c r="AR98" s="1111">
        <v>0.26515735675043145</v>
      </c>
      <c r="AS98" s="1111">
        <v>0.1351566926923447</v>
      </c>
      <c r="AT98" s="1111">
        <v>0.10983075965221531</v>
      </c>
      <c r="AU98" s="1111">
        <v>0.10958664889665852</v>
      </c>
      <c r="AV98" s="1111">
        <v>0.1096078486020671</v>
      </c>
      <c r="AW98" s="1111">
        <v>0.1096068780421422</v>
      </c>
      <c r="AX98" s="1111">
        <v>0.10960658830103226</v>
      </c>
      <c r="AY98" s="1111">
        <v>0.10960589552091661</v>
      </c>
      <c r="AZ98" s="1111">
        <v>0.10960589552091661</v>
      </c>
      <c r="BA98" s="1111">
        <v>0.59959483692809956</v>
      </c>
      <c r="BB98" s="1111">
        <v>0.39814722089916671</v>
      </c>
      <c r="BC98" s="1111">
        <v>0.17093911505744869</v>
      </c>
      <c r="BD98" s="1111">
        <v>5.141231454167787E-2</v>
      </c>
      <c r="BE98" s="1111">
        <v>2.8082696739029109E-2</v>
      </c>
      <c r="BF98" s="1111">
        <v>2.7845710868112137E-2</v>
      </c>
      <c r="BG98" s="1111">
        <v>2.7854575458181253E-2</v>
      </c>
      <c r="BH98" s="1111">
        <v>2.7854742362265792E-2</v>
      </c>
      <c r="BI98" s="1111">
        <v>2.7857935494373539E-2</v>
      </c>
      <c r="BJ98" s="1111">
        <v>2.785875515428065E-2</v>
      </c>
      <c r="BK98" s="1111">
        <v>2.785875515428065E-2</v>
      </c>
      <c r="BL98" s="1111">
        <v>3.6845951109174253</v>
      </c>
      <c r="BM98" s="1111">
        <v>3.0141148250813146</v>
      </c>
      <c r="BN98" s="1111">
        <v>1.7287096891608413</v>
      </c>
      <c r="BO98" s="1111">
        <v>0.99869461126012171</v>
      </c>
      <c r="BP98" s="1111">
        <v>0.84218772017297983</v>
      </c>
      <c r="BQ98" s="1111">
        <v>0.84519175838607719</v>
      </c>
      <c r="BR98" s="1111">
        <v>0.8469151808735419</v>
      </c>
      <c r="BS98" s="1111">
        <v>0.84802583601170634</v>
      </c>
      <c r="BT98" s="1111">
        <v>0.84799712156752194</v>
      </c>
      <c r="BU98" s="1111">
        <v>0.84805912955384111</v>
      </c>
      <c r="BV98" s="1111">
        <v>0.84805912955384111</v>
      </c>
      <c r="BW98" s="1111">
        <v>0.9729699198759918</v>
      </c>
      <c r="BX98" s="1111">
        <v>0.7601417510012034</v>
      </c>
      <c r="BY98" s="1111">
        <v>0.38103658575563715</v>
      </c>
      <c r="BZ98" s="1111">
        <v>0.14118951343654471</v>
      </c>
      <c r="CA98" s="1111">
        <v>9.6258716152784612E-2</v>
      </c>
      <c r="CB98" s="1111">
        <v>9.5530616374304447E-2</v>
      </c>
      <c r="CC98" s="1111">
        <v>9.554280161820998E-2</v>
      </c>
      <c r="CD98" s="1111">
        <v>9.5586988961338146E-2</v>
      </c>
      <c r="CE98" s="1111">
        <v>9.5588423921367793E-2</v>
      </c>
      <c r="CF98" s="1111">
        <v>9.5590740961983944E-2</v>
      </c>
      <c r="CG98" s="1111">
        <v>9.5590740961983944E-2</v>
      </c>
      <c r="CH98" s="1111">
        <v>2.201122232569799E-2</v>
      </c>
      <c r="CI98" s="1111">
        <v>2.2006092317346342E-2</v>
      </c>
      <c r="CJ98" s="1111">
        <v>2.0959051495813823E-2</v>
      </c>
      <c r="CK98" s="1111">
        <v>2.0949326632820623E-2</v>
      </c>
      <c r="CL98" s="1111">
        <v>2.0957444875028042E-2</v>
      </c>
      <c r="CM98" s="1111">
        <v>2.0954531481793281E-2</v>
      </c>
      <c r="CN98" s="1111">
        <v>2.0955516315411728E-2</v>
      </c>
      <c r="CO98" s="1111">
        <v>2.0955628968138067E-2</v>
      </c>
      <c r="CP98" s="1111">
        <v>2.0955469502249392E-2</v>
      </c>
      <c r="CQ98" s="1111">
        <v>2.0955323217398469E-2</v>
      </c>
      <c r="CR98" s="1111">
        <v>2.0955323217398469E-2</v>
      </c>
      <c r="CS98" s="1111">
        <v>14.678404146633609</v>
      </c>
      <c r="CT98" s="1111">
        <v>9.1427704499543925</v>
      </c>
      <c r="CU98" s="1111">
        <v>3.7255659085071642</v>
      </c>
      <c r="CV98" s="1111">
        <v>1.6334071334623821</v>
      </c>
      <c r="CW98" s="1111">
        <v>0.92619833818541908</v>
      </c>
      <c r="CX98" s="1111">
        <v>0.90568583981658923</v>
      </c>
      <c r="CY98" s="1111">
        <v>0.90218359553210503</v>
      </c>
      <c r="CZ98" s="1111">
        <v>0.90203080005499137</v>
      </c>
      <c r="DA98" s="1111">
        <v>0.90223185545436146</v>
      </c>
      <c r="DB98" s="1111">
        <v>0.90229176042240877</v>
      </c>
      <c r="DC98" s="1111">
        <v>0.90229176042240877</v>
      </c>
      <c r="DD98" s="1111">
        <v>0.33169687799638808</v>
      </c>
      <c r="DE98" s="1111">
        <v>0.21290332899095288</v>
      </c>
      <c r="DF98" s="1111">
        <v>7.6684448210492417E-2</v>
      </c>
      <c r="DG98" s="1111">
        <v>1.3099118418529874E-2</v>
      </c>
      <c r="DH98" s="1111">
        <v>1.442984591146376E-3</v>
      </c>
      <c r="DI98" s="1111">
        <v>1.4216300052729372E-3</v>
      </c>
      <c r="DJ98" s="1111">
        <v>1.4222674909691675E-3</v>
      </c>
      <c r="DK98" s="1111">
        <v>1.4222968522144778E-3</v>
      </c>
      <c r="DL98" s="1111">
        <v>1.4226321321994845E-3</v>
      </c>
      <c r="DM98" s="1111">
        <v>1.4227267584946933E-3</v>
      </c>
      <c r="DN98" s="1111">
        <v>1.4227267584946933E-3</v>
      </c>
      <c r="DO98" s="1111">
        <v>0.17545307696215415</v>
      </c>
      <c r="DP98" s="1111">
        <v>0.11985500329632152</v>
      </c>
      <c r="DQ98" s="1111">
        <v>5.3210588243268436E-2</v>
      </c>
      <c r="DR98" s="1111">
        <v>1.0978778070126252E-2</v>
      </c>
      <c r="DS98" s="1111">
        <v>2.5088278770177383E-3</v>
      </c>
      <c r="DT98" s="1111">
        <v>2.4717000504004827E-3</v>
      </c>
      <c r="DU98" s="1111">
        <v>2.472808290816776E-3</v>
      </c>
      <c r="DV98" s="1111">
        <v>2.4728594625776285E-3</v>
      </c>
      <c r="DW98" s="1111">
        <v>2.4734423116144133E-3</v>
      </c>
      <c r="DX98" s="1111">
        <v>2.4736068982878887E-3</v>
      </c>
      <c r="DY98" s="1111">
        <v>2.4736068982878887E-3</v>
      </c>
      <c r="DZ98" s="1111">
        <v>2.9865061813249189E-3</v>
      </c>
      <c r="EA98" s="1111">
        <v>2.1060347075564811E-2</v>
      </c>
      <c r="EB98" s="1111">
        <v>5.0506765726550711E-2</v>
      </c>
      <c r="EC98" s="1111">
        <v>6.7073675579230524E-2</v>
      </c>
      <c r="ED98" s="1111">
        <v>6.4920013533495455E-2</v>
      </c>
      <c r="EE98" s="1111">
        <v>6.489936268569281E-2</v>
      </c>
      <c r="EF98" s="1111">
        <v>6.4975559015962497E-2</v>
      </c>
      <c r="EG98" s="1111">
        <v>6.5020503621141937E-2</v>
      </c>
      <c r="EH98" s="1111">
        <v>6.5021688066524905E-2</v>
      </c>
      <c r="EI98" s="1111">
        <v>6.5024946471396658E-2</v>
      </c>
      <c r="EJ98" s="1111">
        <v>6.5024946471396658E-2</v>
      </c>
      <c r="EK98" s="1111">
        <v>1384.6691295748305</v>
      </c>
      <c r="EL98" s="1111">
        <f t="shared" si="154"/>
        <v>1382.5120413649993</v>
      </c>
      <c r="EM98" s="1111">
        <f t="shared" si="155"/>
        <v>1208.7746698387982</v>
      </c>
      <c r="EN98" s="1111">
        <f t="shared" si="156"/>
        <v>1166.2538858740329</v>
      </c>
      <c r="EO98" s="1111">
        <f t="shared" si="157"/>
        <v>1131.4136354845602</v>
      </c>
      <c r="EP98" s="1111">
        <f t="shared" si="158"/>
        <v>1109.1466390014707</v>
      </c>
      <c r="EQ98" s="1111">
        <f t="shared" si="159"/>
        <v>1107.3086286607479</v>
      </c>
      <c r="ER98" s="1111">
        <f t="shared" si="160"/>
        <v>1107.3866983378118</v>
      </c>
      <c r="ES98" s="1111">
        <f t="shared" si="161"/>
        <v>1107.397193580387</v>
      </c>
      <c r="ET98" s="1111">
        <f t="shared" si="162"/>
        <v>1107.3749896752527</v>
      </c>
      <c r="EU98" s="1111">
        <f t="shared" si="163"/>
        <v>1107.3749896752527</v>
      </c>
      <c r="EV98" s="1111">
        <v>14.678404146633609</v>
      </c>
      <c r="EW98" s="1111">
        <f t="shared" si="144"/>
        <v>9.1427704499543925</v>
      </c>
      <c r="EX98" s="1111">
        <f t="shared" si="145"/>
        <v>3.7255659085071642</v>
      </c>
      <c r="EY98" s="1111">
        <f t="shared" si="146"/>
        <v>1.6334071334623821</v>
      </c>
      <c r="EZ98" s="1111">
        <f t="shared" si="147"/>
        <v>0.92619833818541908</v>
      </c>
      <c r="FA98" s="1111">
        <f t="shared" si="148"/>
        <v>0.90568583981658923</v>
      </c>
      <c r="FB98" s="1111">
        <f t="shared" si="149"/>
        <v>0.90218359553210503</v>
      </c>
      <c r="FC98" s="1111">
        <f t="shared" si="150"/>
        <v>0.90203080005499137</v>
      </c>
      <c r="FD98" s="1111">
        <f t="shared" si="151"/>
        <v>0.90223185545436146</v>
      </c>
      <c r="FE98" s="1111">
        <f t="shared" si="152"/>
        <v>0.90229176042240877</v>
      </c>
      <c r="FF98" s="1111">
        <f t="shared" si="153"/>
        <v>0.90229176042240877</v>
      </c>
      <c r="FG98" s="1111">
        <f t="shared" si="100"/>
        <v>0.11108791689824696</v>
      </c>
      <c r="FH98" s="1111">
        <f t="shared" si="101"/>
        <v>1.2529213207640243E-2</v>
      </c>
      <c r="FI98" s="1111">
        <f t="shared" si="102"/>
        <v>1.065957810466449E-2</v>
      </c>
      <c r="FJ98" s="1111">
        <f t="shared" si="103"/>
        <v>1.0075025444113147E-2</v>
      </c>
      <c r="FK98" s="1111">
        <f t="shared" si="104"/>
        <v>9.7317299202005353E-3</v>
      </c>
      <c r="FL98" s="1111">
        <f t="shared" si="105"/>
        <v>9.5402023930493476E-3</v>
      </c>
      <c r="FM98" s="1111">
        <f t="shared" si="106"/>
        <v>9.5243934312525258E-3</v>
      </c>
      <c r="FN98" s="1111">
        <f t="shared" si="107"/>
        <v>9.5250648616107964E-3</v>
      </c>
      <c r="FO98" s="1111">
        <f t="shared" si="108"/>
        <v>9.5251554932216514E-3</v>
      </c>
      <c r="FP98" s="1111">
        <f t="shared" si="109"/>
        <v>9.5249642425045775E-3</v>
      </c>
      <c r="FQ98" s="1111">
        <f t="shared" si="110"/>
        <v>9.5249642425045775E-3</v>
      </c>
      <c r="FR98" s="1111">
        <f t="shared" si="133"/>
        <v>0.74269151513440568</v>
      </c>
      <c r="FS98" s="1111">
        <f t="shared" si="134"/>
        <v>0.52383536052486579</v>
      </c>
      <c r="FT98" s="1111">
        <f t="shared" si="135"/>
        <v>0.26515735675043145</v>
      </c>
      <c r="FU98" s="1111">
        <f t="shared" si="136"/>
        <v>0.1351566926923447</v>
      </c>
      <c r="FV98" s="1111">
        <f t="shared" si="137"/>
        <v>0.10983075965221531</v>
      </c>
      <c r="FW98" s="1111">
        <f t="shared" si="138"/>
        <v>0.10958664889665852</v>
      </c>
      <c r="FX98" s="1111">
        <f t="shared" si="139"/>
        <v>0.1096078486020671</v>
      </c>
      <c r="FY98" s="1111">
        <f t="shared" si="140"/>
        <v>0.1096068780421422</v>
      </c>
      <c r="FZ98" s="1111">
        <f t="shared" si="141"/>
        <v>0.10960658830103226</v>
      </c>
      <c r="GA98" s="1111">
        <f t="shared" si="142"/>
        <v>0.10960589552091661</v>
      </c>
      <c r="GB98" s="1111">
        <f t="shared" si="143"/>
        <v>0.10960589552091661</v>
      </c>
      <c r="GC98" s="1111">
        <f t="shared" si="164"/>
        <v>0.59959483692809956</v>
      </c>
      <c r="GD98" s="1111">
        <f t="shared" si="165"/>
        <v>0.39814722089916671</v>
      </c>
      <c r="GE98" s="1111">
        <f t="shared" si="166"/>
        <v>0.17093911505744869</v>
      </c>
      <c r="GF98" s="1111">
        <f t="shared" si="167"/>
        <v>5.141231454167787E-2</v>
      </c>
      <c r="GG98" s="1111">
        <f t="shared" si="168"/>
        <v>2.8082696739029109E-2</v>
      </c>
      <c r="GH98" s="1111">
        <f t="shared" si="169"/>
        <v>2.7845710868112137E-2</v>
      </c>
      <c r="GI98" s="1111">
        <f t="shared" si="170"/>
        <v>2.7854575458181253E-2</v>
      </c>
      <c r="GJ98" s="1111">
        <f t="shared" si="171"/>
        <v>2.7854742362265792E-2</v>
      </c>
      <c r="GK98" s="1111">
        <f t="shared" si="172"/>
        <v>2.7857935494373539E-2</v>
      </c>
      <c r="GL98" s="1111">
        <f t="shared" si="173"/>
        <v>2.785875515428065E-2</v>
      </c>
      <c r="GM98" s="1111">
        <f t="shared" si="174"/>
        <v>2.785875515428065E-2</v>
      </c>
    </row>
    <row r="99" spans="1:195" x14ac:dyDescent="0.2">
      <c r="A99" s="1071" t="str">
        <f>NewTech!A24</f>
        <v>*</v>
      </c>
      <c r="B99" s="1071" t="str">
        <f>NewTech!B24</f>
        <v>TBB20IM</v>
      </c>
      <c r="C99" s="1071" t="str">
        <f>NewTech!C24</f>
        <v>Bus, B20, Improved Biodiesel</v>
      </c>
      <c r="D99" s="1071" t="str">
        <f>NewTech!D24</f>
        <v>bn-vmt, bn-vmt/a</v>
      </c>
      <c r="E99" s="1071" t="str">
        <f>NewTech!E24</f>
        <v>TBB20X</v>
      </c>
      <c r="F99" s="1071" t="str">
        <f>NewTech!F24</f>
        <v>TB</v>
      </c>
      <c r="G99" s="1110" t="s">
        <v>498</v>
      </c>
      <c r="H99" s="1110" t="s">
        <v>507</v>
      </c>
      <c r="I99" s="1112">
        <v>1</v>
      </c>
      <c r="J99" s="1111" t="str">
        <f t="shared" si="37"/>
        <v>Bus-B20</v>
      </c>
      <c r="K99" s="1111">
        <v>1382.5120413649993</v>
      </c>
      <c r="L99" s="1111">
        <v>1208.7746698387982</v>
      </c>
      <c r="M99" s="1111">
        <v>1166.2538858740329</v>
      </c>
      <c r="N99" s="1111">
        <v>1131.4136354845602</v>
      </c>
      <c r="O99" s="1111">
        <v>1109.1466390014707</v>
      </c>
      <c r="P99" s="1111">
        <v>1107.3086286607479</v>
      </c>
      <c r="Q99" s="1111">
        <v>1107.3866983378118</v>
      </c>
      <c r="R99" s="1111">
        <v>1107.397193580387</v>
      </c>
      <c r="S99" s="1111">
        <v>1107.3749896752527</v>
      </c>
      <c r="T99" s="1111">
        <f t="shared" si="131"/>
        <v>1107.3749896752527</v>
      </c>
      <c r="U99" s="1111">
        <v>9.1427704499543925</v>
      </c>
      <c r="V99" s="1111">
        <v>3.7255659085071642</v>
      </c>
      <c r="W99" s="1111">
        <v>1.6334071334623821</v>
      </c>
      <c r="X99" s="1111">
        <v>0.92619833818541908</v>
      </c>
      <c r="Y99" s="1111">
        <v>0.90568583981658923</v>
      </c>
      <c r="Z99" s="1111">
        <v>0.90218359553210503</v>
      </c>
      <c r="AA99" s="1111">
        <v>0.90203080005499137</v>
      </c>
      <c r="AB99" s="1111">
        <v>0.90223185545436146</v>
      </c>
      <c r="AC99" s="1111">
        <v>0.90229176042240877</v>
      </c>
      <c r="AD99" s="1111">
        <f t="shared" si="132"/>
        <v>0.90229176042240877</v>
      </c>
      <c r="AE99" s="1111">
        <v>0.11108791689824696</v>
      </c>
      <c r="AF99" s="1111">
        <v>1.2529213207640243E-2</v>
      </c>
      <c r="AG99" s="1111">
        <v>1.065957810466449E-2</v>
      </c>
      <c r="AH99" s="1111">
        <v>1.0075025444113147E-2</v>
      </c>
      <c r="AI99" s="1111">
        <v>9.7317299202005353E-3</v>
      </c>
      <c r="AJ99" s="1111">
        <v>9.5402023930493476E-3</v>
      </c>
      <c r="AK99" s="1111">
        <v>9.5243934312525258E-3</v>
      </c>
      <c r="AL99" s="1111">
        <v>9.5250648616107964E-3</v>
      </c>
      <c r="AM99" s="1111">
        <v>9.5251554932216514E-3</v>
      </c>
      <c r="AN99" s="1111">
        <v>9.5249642425045775E-3</v>
      </c>
      <c r="AO99" s="1111">
        <v>9.5249642425045775E-3</v>
      </c>
      <c r="AP99" s="1111">
        <v>0.74269151513440568</v>
      </c>
      <c r="AQ99" s="1111">
        <v>0.52383536052486579</v>
      </c>
      <c r="AR99" s="1111">
        <v>0.26515735675043145</v>
      </c>
      <c r="AS99" s="1111">
        <v>0.1351566926923447</v>
      </c>
      <c r="AT99" s="1111">
        <v>0.10983075965221531</v>
      </c>
      <c r="AU99" s="1111">
        <v>0.10958664889665852</v>
      </c>
      <c r="AV99" s="1111">
        <v>0.1096078486020671</v>
      </c>
      <c r="AW99" s="1111">
        <v>0.1096068780421422</v>
      </c>
      <c r="AX99" s="1111">
        <v>0.10960658830103226</v>
      </c>
      <c r="AY99" s="1111">
        <v>0.10960589552091661</v>
      </c>
      <c r="AZ99" s="1111">
        <v>0.10960589552091661</v>
      </c>
      <c r="BA99" s="1111">
        <v>0.59959483692809956</v>
      </c>
      <c r="BB99" s="1111">
        <v>0.39814722089916671</v>
      </c>
      <c r="BC99" s="1111">
        <v>0.17093911505744869</v>
      </c>
      <c r="BD99" s="1111">
        <v>5.141231454167787E-2</v>
      </c>
      <c r="BE99" s="1111">
        <v>2.8082696739029109E-2</v>
      </c>
      <c r="BF99" s="1111">
        <v>2.7845710868112137E-2</v>
      </c>
      <c r="BG99" s="1111">
        <v>2.7854575458181253E-2</v>
      </c>
      <c r="BH99" s="1111">
        <v>2.7854742362265792E-2</v>
      </c>
      <c r="BI99" s="1111">
        <v>2.7857935494373539E-2</v>
      </c>
      <c r="BJ99" s="1111">
        <v>2.785875515428065E-2</v>
      </c>
      <c r="BK99" s="1111">
        <v>2.785875515428065E-2</v>
      </c>
      <c r="BL99" s="1111">
        <v>3.6845951109174253</v>
      </c>
      <c r="BM99" s="1111">
        <v>3.0141148250813146</v>
      </c>
      <c r="BN99" s="1111">
        <v>1.7287096891608413</v>
      </c>
      <c r="BO99" s="1111">
        <v>0.99869461126012171</v>
      </c>
      <c r="BP99" s="1111">
        <v>0.84218772017297983</v>
      </c>
      <c r="BQ99" s="1111">
        <v>0.84519175838607719</v>
      </c>
      <c r="BR99" s="1111">
        <v>0.8469151808735419</v>
      </c>
      <c r="BS99" s="1111">
        <v>0.84802583601170634</v>
      </c>
      <c r="BT99" s="1111">
        <v>0.84799712156752194</v>
      </c>
      <c r="BU99" s="1111">
        <v>0.84805912955384111</v>
      </c>
      <c r="BV99" s="1111">
        <v>0.84805912955384111</v>
      </c>
      <c r="BW99" s="1111">
        <v>0.9729699198759918</v>
      </c>
      <c r="BX99" s="1111">
        <v>0.7601417510012034</v>
      </c>
      <c r="BY99" s="1111">
        <v>0.38103658575563715</v>
      </c>
      <c r="BZ99" s="1111">
        <v>0.14118951343654471</v>
      </c>
      <c r="CA99" s="1111">
        <v>9.6258716152784612E-2</v>
      </c>
      <c r="CB99" s="1111">
        <v>9.5530616374304447E-2</v>
      </c>
      <c r="CC99" s="1111">
        <v>9.554280161820998E-2</v>
      </c>
      <c r="CD99" s="1111">
        <v>9.5586988961338146E-2</v>
      </c>
      <c r="CE99" s="1111">
        <v>9.5588423921367793E-2</v>
      </c>
      <c r="CF99" s="1111">
        <v>9.5590740961983944E-2</v>
      </c>
      <c r="CG99" s="1111">
        <v>9.5590740961983944E-2</v>
      </c>
      <c r="CH99" s="1111">
        <v>2.201122232569799E-2</v>
      </c>
      <c r="CI99" s="1111">
        <v>2.2006092317346342E-2</v>
      </c>
      <c r="CJ99" s="1111">
        <v>2.0959051495813823E-2</v>
      </c>
      <c r="CK99" s="1111">
        <v>2.0949326632820623E-2</v>
      </c>
      <c r="CL99" s="1111">
        <v>2.0957444875028042E-2</v>
      </c>
      <c r="CM99" s="1111">
        <v>2.0954531481793281E-2</v>
      </c>
      <c r="CN99" s="1111">
        <v>2.0955516315411728E-2</v>
      </c>
      <c r="CO99" s="1111">
        <v>2.0955628968138067E-2</v>
      </c>
      <c r="CP99" s="1111">
        <v>2.0955469502249392E-2</v>
      </c>
      <c r="CQ99" s="1111">
        <v>2.0955323217398469E-2</v>
      </c>
      <c r="CR99" s="1111">
        <v>2.0955323217398469E-2</v>
      </c>
      <c r="CS99" s="1111">
        <v>14.678404146633609</v>
      </c>
      <c r="CT99" s="1111">
        <v>9.1427704499543925</v>
      </c>
      <c r="CU99" s="1111">
        <v>3.7255659085071642</v>
      </c>
      <c r="CV99" s="1111">
        <v>1.6334071334623821</v>
      </c>
      <c r="CW99" s="1111">
        <v>0.92619833818541908</v>
      </c>
      <c r="CX99" s="1111">
        <v>0.90568583981658923</v>
      </c>
      <c r="CY99" s="1111">
        <v>0.90218359553210503</v>
      </c>
      <c r="CZ99" s="1111">
        <v>0.90203080005499137</v>
      </c>
      <c r="DA99" s="1111">
        <v>0.90223185545436146</v>
      </c>
      <c r="DB99" s="1111">
        <v>0.90229176042240877</v>
      </c>
      <c r="DC99" s="1111">
        <v>0.90229176042240877</v>
      </c>
      <c r="DD99" s="1111">
        <v>0.33169687799638808</v>
      </c>
      <c r="DE99" s="1111">
        <v>0.21290332899095288</v>
      </c>
      <c r="DF99" s="1111">
        <v>7.6684448210492417E-2</v>
      </c>
      <c r="DG99" s="1111">
        <v>1.3099118418529874E-2</v>
      </c>
      <c r="DH99" s="1111">
        <v>1.442984591146376E-3</v>
      </c>
      <c r="DI99" s="1111">
        <v>1.4216300052729372E-3</v>
      </c>
      <c r="DJ99" s="1111">
        <v>1.4222674909691675E-3</v>
      </c>
      <c r="DK99" s="1111">
        <v>1.4222968522144778E-3</v>
      </c>
      <c r="DL99" s="1111">
        <v>1.4226321321994845E-3</v>
      </c>
      <c r="DM99" s="1111">
        <v>1.4227267584946933E-3</v>
      </c>
      <c r="DN99" s="1111">
        <v>1.4227267584946933E-3</v>
      </c>
      <c r="DO99" s="1111">
        <v>0.17545307696215415</v>
      </c>
      <c r="DP99" s="1111">
        <v>0.11985500329632152</v>
      </c>
      <c r="DQ99" s="1111">
        <v>5.3210588243268436E-2</v>
      </c>
      <c r="DR99" s="1111">
        <v>1.0978778070126252E-2</v>
      </c>
      <c r="DS99" s="1111">
        <v>2.5088278770177383E-3</v>
      </c>
      <c r="DT99" s="1111">
        <v>2.4717000504004827E-3</v>
      </c>
      <c r="DU99" s="1111">
        <v>2.472808290816776E-3</v>
      </c>
      <c r="DV99" s="1111">
        <v>2.4728594625776285E-3</v>
      </c>
      <c r="DW99" s="1111">
        <v>2.4734423116144133E-3</v>
      </c>
      <c r="DX99" s="1111">
        <v>2.4736068982878887E-3</v>
      </c>
      <c r="DY99" s="1111">
        <v>2.4736068982878887E-3</v>
      </c>
      <c r="DZ99" s="1111">
        <v>2.9865061813249189E-3</v>
      </c>
      <c r="EA99" s="1111">
        <v>2.1060347075564811E-2</v>
      </c>
      <c r="EB99" s="1111">
        <v>5.0506765726550711E-2</v>
      </c>
      <c r="EC99" s="1111">
        <v>6.7073675579230524E-2</v>
      </c>
      <c r="ED99" s="1111">
        <v>6.4920013533495455E-2</v>
      </c>
      <c r="EE99" s="1111">
        <v>6.489936268569281E-2</v>
      </c>
      <c r="EF99" s="1111">
        <v>6.4975559015962497E-2</v>
      </c>
      <c r="EG99" s="1111">
        <v>6.5020503621141937E-2</v>
      </c>
      <c r="EH99" s="1111">
        <v>6.5021688066524905E-2</v>
      </c>
      <c r="EI99" s="1111">
        <v>6.5024946471396658E-2</v>
      </c>
      <c r="EJ99" s="1111">
        <v>6.5024946471396658E-2</v>
      </c>
      <c r="EK99" s="1111">
        <v>1384.6691295748305</v>
      </c>
      <c r="EL99" s="1111">
        <f t="shared" si="154"/>
        <v>1382.5120413649993</v>
      </c>
      <c r="EM99" s="1111">
        <f t="shared" si="155"/>
        <v>1208.7746698387982</v>
      </c>
      <c r="EN99" s="1111">
        <f t="shared" si="156"/>
        <v>1166.2538858740329</v>
      </c>
      <c r="EO99" s="1111">
        <f t="shared" si="157"/>
        <v>1131.4136354845602</v>
      </c>
      <c r="EP99" s="1111">
        <f t="shared" si="158"/>
        <v>1109.1466390014707</v>
      </c>
      <c r="EQ99" s="1111">
        <f t="shared" si="159"/>
        <v>1107.3086286607479</v>
      </c>
      <c r="ER99" s="1111">
        <f t="shared" si="160"/>
        <v>1107.3866983378118</v>
      </c>
      <c r="ES99" s="1111">
        <f t="shared" si="161"/>
        <v>1107.397193580387</v>
      </c>
      <c r="ET99" s="1111">
        <f t="shared" si="162"/>
        <v>1107.3749896752527</v>
      </c>
      <c r="EU99" s="1111">
        <f t="shared" si="163"/>
        <v>1107.3749896752527</v>
      </c>
      <c r="EV99" s="1111">
        <v>14.678404146633609</v>
      </c>
      <c r="EW99" s="1111">
        <f t="shared" si="144"/>
        <v>9.1427704499543925</v>
      </c>
      <c r="EX99" s="1111">
        <f t="shared" si="145"/>
        <v>3.7255659085071642</v>
      </c>
      <c r="EY99" s="1111">
        <f t="shared" si="146"/>
        <v>1.6334071334623821</v>
      </c>
      <c r="EZ99" s="1111">
        <f t="shared" si="147"/>
        <v>0.92619833818541908</v>
      </c>
      <c r="FA99" s="1111">
        <f t="shared" si="148"/>
        <v>0.90568583981658923</v>
      </c>
      <c r="FB99" s="1111">
        <f t="shared" si="149"/>
        <v>0.90218359553210503</v>
      </c>
      <c r="FC99" s="1111">
        <f t="shared" si="150"/>
        <v>0.90203080005499137</v>
      </c>
      <c r="FD99" s="1111">
        <f t="shared" si="151"/>
        <v>0.90223185545436146</v>
      </c>
      <c r="FE99" s="1111">
        <f t="shared" si="152"/>
        <v>0.90229176042240877</v>
      </c>
      <c r="FF99" s="1111">
        <f t="shared" si="153"/>
        <v>0.90229176042240877</v>
      </c>
      <c r="FG99" s="1111">
        <f t="shared" si="100"/>
        <v>0.11108791689824696</v>
      </c>
      <c r="FH99" s="1111">
        <f t="shared" si="101"/>
        <v>1.2529213207640243E-2</v>
      </c>
      <c r="FI99" s="1111">
        <f t="shared" si="102"/>
        <v>1.065957810466449E-2</v>
      </c>
      <c r="FJ99" s="1111">
        <f t="shared" si="103"/>
        <v>1.0075025444113147E-2</v>
      </c>
      <c r="FK99" s="1111">
        <f t="shared" si="104"/>
        <v>9.7317299202005353E-3</v>
      </c>
      <c r="FL99" s="1111">
        <f t="shared" si="105"/>
        <v>9.5402023930493476E-3</v>
      </c>
      <c r="FM99" s="1111">
        <f t="shared" si="106"/>
        <v>9.5243934312525258E-3</v>
      </c>
      <c r="FN99" s="1111">
        <f t="shared" si="107"/>
        <v>9.5250648616107964E-3</v>
      </c>
      <c r="FO99" s="1111">
        <f t="shared" si="108"/>
        <v>9.5251554932216514E-3</v>
      </c>
      <c r="FP99" s="1111">
        <f t="shared" si="109"/>
        <v>9.5249642425045775E-3</v>
      </c>
      <c r="FQ99" s="1111">
        <f t="shared" si="110"/>
        <v>9.5249642425045775E-3</v>
      </c>
      <c r="FR99" s="1111">
        <f t="shared" si="133"/>
        <v>0.74269151513440568</v>
      </c>
      <c r="FS99" s="1111">
        <f t="shared" si="134"/>
        <v>0.52383536052486579</v>
      </c>
      <c r="FT99" s="1111">
        <f t="shared" si="135"/>
        <v>0.26515735675043145</v>
      </c>
      <c r="FU99" s="1111">
        <f t="shared" si="136"/>
        <v>0.1351566926923447</v>
      </c>
      <c r="FV99" s="1111">
        <f t="shared" si="137"/>
        <v>0.10983075965221531</v>
      </c>
      <c r="FW99" s="1111">
        <f t="shared" si="138"/>
        <v>0.10958664889665852</v>
      </c>
      <c r="FX99" s="1111">
        <f t="shared" si="139"/>
        <v>0.1096078486020671</v>
      </c>
      <c r="FY99" s="1111">
        <f t="shared" si="140"/>
        <v>0.1096068780421422</v>
      </c>
      <c r="FZ99" s="1111">
        <f t="shared" si="141"/>
        <v>0.10960658830103226</v>
      </c>
      <c r="GA99" s="1111">
        <f t="shared" si="142"/>
        <v>0.10960589552091661</v>
      </c>
      <c r="GB99" s="1111">
        <f t="shared" si="143"/>
        <v>0.10960589552091661</v>
      </c>
      <c r="GC99" s="1111">
        <f t="shared" si="164"/>
        <v>0.59959483692809956</v>
      </c>
      <c r="GD99" s="1111">
        <f t="shared" si="165"/>
        <v>0.39814722089916671</v>
      </c>
      <c r="GE99" s="1111">
        <f t="shared" si="166"/>
        <v>0.17093911505744869</v>
      </c>
      <c r="GF99" s="1111">
        <f t="shared" si="167"/>
        <v>5.141231454167787E-2</v>
      </c>
      <c r="GG99" s="1111">
        <f t="shared" si="168"/>
        <v>2.8082696739029109E-2</v>
      </c>
      <c r="GH99" s="1111">
        <f t="shared" si="169"/>
        <v>2.7845710868112137E-2</v>
      </c>
      <c r="GI99" s="1111">
        <f t="shared" si="170"/>
        <v>2.7854575458181253E-2</v>
      </c>
      <c r="GJ99" s="1111">
        <f t="shared" si="171"/>
        <v>2.7854742362265792E-2</v>
      </c>
      <c r="GK99" s="1111">
        <f t="shared" si="172"/>
        <v>2.7857935494373539E-2</v>
      </c>
      <c r="GL99" s="1111">
        <f t="shared" si="173"/>
        <v>2.785875515428065E-2</v>
      </c>
      <c r="GM99" s="1111">
        <f t="shared" si="174"/>
        <v>2.785875515428065E-2</v>
      </c>
    </row>
    <row r="100" spans="1:195" x14ac:dyDescent="0.2">
      <c r="A100" s="1071" t="str">
        <f>NewTech!A25</f>
        <v>*</v>
      </c>
      <c r="B100" s="1071" t="str">
        <f>NewTech!B25</f>
        <v>TBB20ADV</v>
      </c>
      <c r="C100" s="1071" t="str">
        <f>NewTech!C25</f>
        <v>Bus, Advanced Tech B20</v>
      </c>
      <c r="D100" s="1071" t="str">
        <f>NewTech!D25</f>
        <v>bn-vmt, bn-vmt/a</v>
      </c>
      <c r="E100" s="1071" t="str">
        <f>NewTech!E25</f>
        <v>TBB20X</v>
      </c>
      <c r="F100" s="1071" t="str">
        <f>NewTech!F25</f>
        <v>TB</v>
      </c>
      <c r="G100" s="1110" t="s">
        <v>498</v>
      </c>
      <c r="H100" s="1110" t="s">
        <v>507</v>
      </c>
      <c r="I100" s="1112">
        <v>1</v>
      </c>
      <c r="J100" s="1111" t="str">
        <f t="shared" si="37"/>
        <v>Bus-B20</v>
      </c>
      <c r="K100" s="1111">
        <v>1382.5120413649993</v>
      </c>
      <c r="L100" s="1111">
        <v>1208.7746698387982</v>
      </c>
      <c r="M100" s="1111">
        <v>1166.2538858740329</v>
      </c>
      <c r="N100" s="1111">
        <v>1131.4136354845602</v>
      </c>
      <c r="O100" s="1111">
        <v>1109.1466390014707</v>
      </c>
      <c r="P100" s="1111">
        <v>1107.3086286607479</v>
      </c>
      <c r="Q100" s="1111">
        <v>1107.3866983378118</v>
      </c>
      <c r="R100" s="1111">
        <v>1107.397193580387</v>
      </c>
      <c r="S100" s="1111">
        <v>1107.3749896752527</v>
      </c>
      <c r="T100" s="1111">
        <f t="shared" si="131"/>
        <v>1107.3749896752527</v>
      </c>
      <c r="U100" s="1111">
        <v>9.1427704499543925</v>
      </c>
      <c r="V100" s="1111">
        <v>3.7255659085071642</v>
      </c>
      <c r="W100" s="1111">
        <v>1.6334071334623821</v>
      </c>
      <c r="X100" s="1111">
        <v>0.92619833818541908</v>
      </c>
      <c r="Y100" s="1111">
        <v>0.90568583981658923</v>
      </c>
      <c r="Z100" s="1111">
        <v>0.90218359553210503</v>
      </c>
      <c r="AA100" s="1111">
        <v>0.90203080005499137</v>
      </c>
      <c r="AB100" s="1111">
        <v>0.90223185545436146</v>
      </c>
      <c r="AC100" s="1111">
        <v>0.90229176042240877</v>
      </c>
      <c r="AD100" s="1111">
        <f t="shared" si="132"/>
        <v>0.90229176042240877</v>
      </c>
      <c r="AE100" s="1111">
        <v>0.11108791689824696</v>
      </c>
      <c r="AF100" s="1111">
        <v>1.2529213207640243E-2</v>
      </c>
      <c r="AG100" s="1111">
        <v>1.065957810466449E-2</v>
      </c>
      <c r="AH100" s="1111">
        <v>1.0075025444113147E-2</v>
      </c>
      <c r="AI100" s="1111">
        <v>9.7317299202005353E-3</v>
      </c>
      <c r="AJ100" s="1111">
        <v>9.5402023930493476E-3</v>
      </c>
      <c r="AK100" s="1111">
        <v>9.5243934312525258E-3</v>
      </c>
      <c r="AL100" s="1111">
        <v>9.5250648616107964E-3</v>
      </c>
      <c r="AM100" s="1111">
        <v>9.5251554932216514E-3</v>
      </c>
      <c r="AN100" s="1111">
        <v>9.5249642425045775E-3</v>
      </c>
      <c r="AO100" s="1111">
        <v>9.5249642425045775E-3</v>
      </c>
      <c r="AP100" s="1111">
        <v>0.74269151513440568</v>
      </c>
      <c r="AQ100" s="1111">
        <v>0.52383536052486579</v>
      </c>
      <c r="AR100" s="1111">
        <v>0.26515735675043145</v>
      </c>
      <c r="AS100" s="1111">
        <v>0.1351566926923447</v>
      </c>
      <c r="AT100" s="1111">
        <v>0.10983075965221531</v>
      </c>
      <c r="AU100" s="1111">
        <v>0.10958664889665852</v>
      </c>
      <c r="AV100" s="1111">
        <v>0.1096078486020671</v>
      </c>
      <c r="AW100" s="1111">
        <v>0.1096068780421422</v>
      </c>
      <c r="AX100" s="1111">
        <v>0.10960658830103226</v>
      </c>
      <c r="AY100" s="1111">
        <v>0.10960589552091661</v>
      </c>
      <c r="AZ100" s="1111">
        <v>0.10960589552091661</v>
      </c>
      <c r="BA100" s="1111">
        <v>0.59959483692809956</v>
      </c>
      <c r="BB100" s="1111">
        <v>0.39814722089916671</v>
      </c>
      <c r="BC100" s="1111">
        <v>0.17093911505744869</v>
      </c>
      <c r="BD100" s="1111">
        <v>5.141231454167787E-2</v>
      </c>
      <c r="BE100" s="1111">
        <v>2.8082696739029109E-2</v>
      </c>
      <c r="BF100" s="1111">
        <v>2.7845710868112137E-2</v>
      </c>
      <c r="BG100" s="1111">
        <v>2.7854575458181253E-2</v>
      </c>
      <c r="BH100" s="1111">
        <v>2.7854742362265792E-2</v>
      </c>
      <c r="BI100" s="1111">
        <v>2.7857935494373539E-2</v>
      </c>
      <c r="BJ100" s="1111">
        <v>2.785875515428065E-2</v>
      </c>
      <c r="BK100" s="1111">
        <v>2.785875515428065E-2</v>
      </c>
      <c r="BL100" s="1111">
        <v>3.6845951109174253</v>
      </c>
      <c r="BM100" s="1111">
        <v>3.0141148250813146</v>
      </c>
      <c r="BN100" s="1111">
        <v>1.7287096891608413</v>
      </c>
      <c r="BO100" s="1111">
        <v>0.99869461126012171</v>
      </c>
      <c r="BP100" s="1111">
        <v>0.84218772017297983</v>
      </c>
      <c r="BQ100" s="1111">
        <v>0.84519175838607719</v>
      </c>
      <c r="BR100" s="1111">
        <v>0.8469151808735419</v>
      </c>
      <c r="BS100" s="1111">
        <v>0.84802583601170634</v>
      </c>
      <c r="BT100" s="1111">
        <v>0.84799712156752194</v>
      </c>
      <c r="BU100" s="1111">
        <v>0.84805912955384111</v>
      </c>
      <c r="BV100" s="1111">
        <v>0.84805912955384111</v>
      </c>
      <c r="BW100" s="1111">
        <v>0.9729699198759918</v>
      </c>
      <c r="BX100" s="1111">
        <v>0.7601417510012034</v>
      </c>
      <c r="BY100" s="1111">
        <v>0.38103658575563715</v>
      </c>
      <c r="BZ100" s="1111">
        <v>0.14118951343654471</v>
      </c>
      <c r="CA100" s="1111">
        <v>9.6258716152784612E-2</v>
      </c>
      <c r="CB100" s="1111">
        <v>9.5530616374304447E-2</v>
      </c>
      <c r="CC100" s="1111">
        <v>9.554280161820998E-2</v>
      </c>
      <c r="CD100" s="1111">
        <v>9.5586988961338146E-2</v>
      </c>
      <c r="CE100" s="1111">
        <v>9.5588423921367793E-2</v>
      </c>
      <c r="CF100" s="1111">
        <v>9.5590740961983944E-2</v>
      </c>
      <c r="CG100" s="1111">
        <v>9.5590740961983944E-2</v>
      </c>
      <c r="CH100" s="1111">
        <v>2.201122232569799E-2</v>
      </c>
      <c r="CI100" s="1111">
        <v>2.2006092317346342E-2</v>
      </c>
      <c r="CJ100" s="1111">
        <v>2.0959051495813823E-2</v>
      </c>
      <c r="CK100" s="1111">
        <v>2.0949326632820623E-2</v>
      </c>
      <c r="CL100" s="1111">
        <v>2.0957444875028042E-2</v>
      </c>
      <c r="CM100" s="1111">
        <v>2.0954531481793281E-2</v>
      </c>
      <c r="CN100" s="1111">
        <v>2.0955516315411728E-2</v>
      </c>
      <c r="CO100" s="1111">
        <v>2.0955628968138067E-2</v>
      </c>
      <c r="CP100" s="1111">
        <v>2.0955469502249392E-2</v>
      </c>
      <c r="CQ100" s="1111">
        <v>2.0955323217398469E-2</v>
      </c>
      <c r="CR100" s="1111">
        <v>2.0955323217398469E-2</v>
      </c>
      <c r="CS100" s="1111">
        <v>14.678404146633609</v>
      </c>
      <c r="CT100" s="1111">
        <v>9.1427704499543925</v>
      </c>
      <c r="CU100" s="1111">
        <v>3.7255659085071642</v>
      </c>
      <c r="CV100" s="1111">
        <v>1.6334071334623821</v>
      </c>
      <c r="CW100" s="1111">
        <v>0.92619833818541908</v>
      </c>
      <c r="CX100" s="1111">
        <v>0.90568583981658923</v>
      </c>
      <c r="CY100" s="1111">
        <v>0.90218359553210503</v>
      </c>
      <c r="CZ100" s="1111">
        <v>0.90203080005499137</v>
      </c>
      <c r="DA100" s="1111">
        <v>0.90223185545436146</v>
      </c>
      <c r="DB100" s="1111">
        <v>0.90229176042240877</v>
      </c>
      <c r="DC100" s="1111">
        <v>0.90229176042240877</v>
      </c>
      <c r="DD100" s="1111">
        <v>0.33169687799638808</v>
      </c>
      <c r="DE100" s="1111">
        <v>0.21290332899095288</v>
      </c>
      <c r="DF100" s="1111">
        <v>7.6684448210492417E-2</v>
      </c>
      <c r="DG100" s="1111">
        <v>1.3099118418529874E-2</v>
      </c>
      <c r="DH100" s="1111">
        <v>1.442984591146376E-3</v>
      </c>
      <c r="DI100" s="1111">
        <v>1.4216300052729372E-3</v>
      </c>
      <c r="DJ100" s="1111">
        <v>1.4222674909691675E-3</v>
      </c>
      <c r="DK100" s="1111">
        <v>1.4222968522144778E-3</v>
      </c>
      <c r="DL100" s="1111">
        <v>1.4226321321994845E-3</v>
      </c>
      <c r="DM100" s="1111">
        <v>1.4227267584946933E-3</v>
      </c>
      <c r="DN100" s="1111">
        <v>1.4227267584946933E-3</v>
      </c>
      <c r="DO100" s="1111">
        <v>0.17545307696215415</v>
      </c>
      <c r="DP100" s="1111">
        <v>0.11985500329632152</v>
      </c>
      <c r="DQ100" s="1111">
        <v>5.3210588243268436E-2</v>
      </c>
      <c r="DR100" s="1111">
        <v>1.0978778070126252E-2</v>
      </c>
      <c r="DS100" s="1111">
        <v>2.5088278770177383E-3</v>
      </c>
      <c r="DT100" s="1111">
        <v>2.4717000504004827E-3</v>
      </c>
      <c r="DU100" s="1111">
        <v>2.472808290816776E-3</v>
      </c>
      <c r="DV100" s="1111">
        <v>2.4728594625776285E-3</v>
      </c>
      <c r="DW100" s="1111">
        <v>2.4734423116144133E-3</v>
      </c>
      <c r="DX100" s="1111">
        <v>2.4736068982878887E-3</v>
      </c>
      <c r="DY100" s="1111">
        <v>2.4736068982878887E-3</v>
      </c>
      <c r="DZ100" s="1111">
        <v>2.9865061813249189E-3</v>
      </c>
      <c r="EA100" s="1111">
        <v>2.1060347075564811E-2</v>
      </c>
      <c r="EB100" s="1111">
        <v>5.0506765726550711E-2</v>
      </c>
      <c r="EC100" s="1111">
        <v>6.7073675579230524E-2</v>
      </c>
      <c r="ED100" s="1111">
        <v>6.4920013533495455E-2</v>
      </c>
      <c r="EE100" s="1111">
        <v>6.489936268569281E-2</v>
      </c>
      <c r="EF100" s="1111">
        <v>6.4975559015962497E-2</v>
      </c>
      <c r="EG100" s="1111">
        <v>6.5020503621141937E-2</v>
      </c>
      <c r="EH100" s="1111">
        <v>6.5021688066524905E-2</v>
      </c>
      <c r="EI100" s="1111">
        <v>6.5024946471396658E-2</v>
      </c>
      <c r="EJ100" s="1111">
        <v>6.5024946471396658E-2</v>
      </c>
      <c r="EK100" s="1111">
        <v>1384.6691295748305</v>
      </c>
      <c r="EL100" s="1111">
        <f t="shared" si="154"/>
        <v>1382.5120413649993</v>
      </c>
      <c r="EM100" s="1111">
        <f t="shared" si="155"/>
        <v>1208.7746698387982</v>
      </c>
      <c r="EN100" s="1111">
        <f t="shared" si="156"/>
        <v>1166.2538858740329</v>
      </c>
      <c r="EO100" s="1111">
        <f t="shared" si="157"/>
        <v>1131.4136354845602</v>
      </c>
      <c r="EP100" s="1111">
        <f t="shared" si="158"/>
        <v>1109.1466390014707</v>
      </c>
      <c r="EQ100" s="1111">
        <f t="shared" si="159"/>
        <v>1107.3086286607479</v>
      </c>
      <c r="ER100" s="1111">
        <f t="shared" si="160"/>
        <v>1107.3866983378118</v>
      </c>
      <c r="ES100" s="1111">
        <f t="shared" si="161"/>
        <v>1107.397193580387</v>
      </c>
      <c r="ET100" s="1111">
        <f t="shared" si="162"/>
        <v>1107.3749896752527</v>
      </c>
      <c r="EU100" s="1111">
        <f t="shared" si="163"/>
        <v>1107.3749896752527</v>
      </c>
      <c r="EV100" s="1111">
        <v>14.678404146633609</v>
      </c>
      <c r="EW100" s="1111">
        <f t="shared" si="144"/>
        <v>9.1427704499543925</v>
      </c>
      <c r="EX100" s="1111">
        <f t="shared" si="145"/>
        <v>3.7255659085071642</v>
      </c>
      <c r="EY100" s="1111">
        <f t="shared" si="146"/>
        <v>1.6334071334623821</v>
      </c>
      <c r="EZ100" s="1111">
        <f t="shared" si="147"/>
        <v>0.92619833818541908</v>
      </c>
      <c r="FA100" s="1111">
        <f t="shared" si="148"/>
        <v>0.90568583981658923</v>
      </c>
      <c r="FB100" s="1111">
        <f t="shared" si="149"/>
        <v>0.90218359553210503</v>
      </c>
      <c r="FC100" s="1111">
        <f t="shared" si="150"/>
        <v>0.90203080005499137</v>
      </c>
      <c r="FD100" s="1111">
        <f t="shared" si="151"/>
        <v>0.90223185545436146</v>
      </c>
      <c r="FE100" s="1111">
        <f t="shared" si="152"/>
        <v>0.90229176042240877</v>
      </c>
      <c r="FF100" s="1111">
        <f t="shared" si="153"/>
        <v>0.90229176042240877</v>
      </c>
      <c r="FG100" s="1111">
        <f t="shared" si="100"/>
        <v>0.11108791689824696</v>
      </c>
      <c r="FH100" s="1111">
        <f t="shared" si="101"/>
        <v>1.2529213207640243E-2</v>
      </c>
      <c r="FI100" s="1111">
        <f t="shared" si="102"/>
        <v>1.065957810466449E-2</v>
      </c>
      <c r="FJ100" s="1111">
        <f t="shared" si="103"/>
        <v>1.0075025444113147E-2</v>
      </c>
      <c r="FK100" s="1111">
        <f t="shared" si="104"/>
        <v>9.7317299202005353E-3</v>
      </c>
      <c r="FL100" s="1111">
        <f t="shared" si="105"/>
        <v>9.5402023930493476E-3</v>
      </c>
      <c r="FM100" s="1111">
        <f t="shared" si="106"/>
        <v>9.5243934312525258E-3</v>
      </c>
      <c r="FN100" s="1111">
        <f t="shared" si="107"/>
        <v>9.5250648616107964E-3</v>
      </c>
      <c r="FO100" s="1111">
        <f t="shared" si="108"/>
        <v>9.5251554932216514E-3</v>
      </c>
      <c r="FP100" s="1111">
        <f t="shared" si="109"/>
        <v>9.5249642425045775E-3</v>
      </c>
      <c r="FQ100" s="1111">
        <f t="shared" si="110"/>
        <v>9.5249642425045775E-3</v>
      </c>
      <c r="FR100" s="1111">
        <f t="shared" si="133"/>
        <v>0.74269151513440568</v>
      </c>
      <c r="FS100" s="1111">
        <f t="shared" si="134"/>
        <v>0.52383536052486579</v>
      </c>
      <c r="FT100" s="1111">
        <f t="shared" si="135"/>
        <v>0.26515735675043145</v>
      </c>
      <c r="FU100" s="1111">
        <f t="shared" si="136"/>
        <v>0.1351566926923447</v>
      </c>
      <c r="FV100" s="1111">
        <f t="shared" si="137"/>
        <v>0.10983075965221531</v>
      </c>
      <c r="FW100" s="1111">
        <f t="shared" si="138"/>
        <v>0.10958664889665852</v>
      </c>
      <c r="FX100" s="1111">
        <f t="shared" si="139"/>
        <v>0.1096078486020671</v>
      </c>
      <c r="FY100" s="1111">
        <f t="shared" si="140"/>
        <v>0.1096068780421422</v>
      </c>
      <c r="FZ100" s="1111">
        <f t="shared" si="141"/>
        <v>0.10960658830103226</v>
      </c>
      <c r="GA100" s="1111">
        <f t="shared" si="142"/>
        <v>0.10960589552091661</v>
      </c>
      <c r="GB100" s="1111">
        <f t="shared" si="143"/>
        <v>0.10960589552091661</v>
      </c>
      <c r="GC100" s="1111">
        <f t="shared" si="164"/>
        <v>0.59959483692809956</v>
      </c>
      <c r="GD100" s="1111">
        <f t="shared" si="165"/>
        <v>0.39814722089916671</v>
      </c>
      <c r="GE100" s="1111">
        <f t="shared" si="166"/>
        <v>0.17093911505744869</v>
      </c>
      <c r="GF100" s="1111">
        <f t="shared" si="167"/>
        <v>5.141231454167787E-2</v>
      </c>
      <c r="GG100" s="1111">
        <f t="shared" si="168"/>
        <v>2.8082696739029109E-2</v>
      </c>
      <c r="GH100" s="1111">
        <f t="shared" si="169"/>
        <v>2.7845710868112137E-2</v>
      </c>
      <c r="GI100" s="1111">
        <f t="shared" si="170"/>
        <v>2.7854575458181253E-2</v>
      </c>
      <c r="GJ100" s="1111">
        <f t="shared" si="171"/>
        <v>2.7854742362265792E-2</v>
      </c>
      <c r="GK100" s="1111">
        <f t="shared" si="172"/>
        <v>2.7857935494373539E-2</v>
      </c>
      <c r="GL100" s="1111">
        <f t="shared" si="173"/>
        <v>2.785875515428065E-2</v>
      </c>
      <c r="GM100" s="1111">
        <f t="shared" si="174"/>
        <v>2.785875515428065E-2</v>
      </c>
    </row>
    <row r="101" spans="1:195" x14ac:dyDescent="0.2">
      <c r="A101" s="1071" t="str">
        <f>NewTech!A26</f>
        <v>*</v>
      </c>
      <c r="B101" s="1071" t="str">
        <f>NewTech!B26</f>
        <v>TBB20AH</v>
      </c>
      <c r="C101" s="1071" t="str">
        <f>NewTech!C26</f>
        <v>Bus, Advanced Hybrid B20</v>
      </c>
      <c r="D101" s="1071" t="str">
        <f>NewTech!D26</f>
        <v>bn-vmt, bn-vmt/a</v>
      </c>
      <c r="E101" s="1071" t="str">
        <f>NewTech!E26</f>
        <v>TBB20X</v>
      </c>
      <c r="F101" s="1071" t="str">
        <f>NewTech!F26</f>
        <v>TB</v>
      </c>
      <c r="G101" s="1110" t="s">
        <v>498</v>
      </c>
      <c r="H101" s="1110" t="s">
        <v>507</v>
      </c>
      <c r="I101" s="1112">
        <v>1</v>
      </c>
      <c r="J101" s="1111" t="str">
        <f t="shared" si="37"/>
        <v>Bus-B20</v>
      </c>
      <c r="K101" s="1111">
        <v>1382.5120413649993</v>
      </c>
      <c r="L101" s="1111">
        <v>1208.7746698387982</v>
      </c>
      <c r="M101" s="1111">
        <v>1166.2538858740329</v>
      </c>
      <c r="N101" s="1111">
        <v>1131.4136354845602</v>
      </c>
      <c r="O101" s="1111">
        <v>1109.1466390014707</v>
      </c>
      <c r="P101" s="1111">
        <v>1107.3086286607479</v>
      </c>
      <c r="Q101" s="1111">
        <v>1107.3866983378118</v>
      </c>
      <c r="R101" s="1111">
        <v>1107.397193580387</v>
      </c>
      <c r="S101" s="1111">
        <v>1107.3749896752527</v>
      </c>
      <c r="T101" s="1111">
        <f t="shared" si="131"/>
        <v>1107.3749896752527</v>
      </c>
      <c r="U101" s="1111">
        <v>9.1427704499543925</v>
      </c>
      <c r="V101" s="1111">
        <v>3.7255659085071642</v>
      </c>
      <c r="W101" s="1111">
        <v>1.6334071334623821</v>
      </c>
      <c r="X101" s="1111">
        <v>0.92619833818541908</v>
      </c>
      <c r="Y101" s="1111">
        <v>0.90568583981658923</v>
      </c>
      <c r="Z101" s="1111">
        <v>0.90218359553210503</v>
      </c>
      <c r="AA101" s="1111">
        <v>0.90203080005499137</v>
      </c>
      <c r="AB101" s="1111">
        <v>0.90223185545436146</v>
      </c>
      <c r="AC101" s="1111">
        <v>0.90229176042240877</v>
      </c>
      <c r="AD101" s="1111">
        <f t="shared" si="132"/>
        <v>0.90229176042240877</v>
      </c>
      <c r="AE101" s="1111">
        <v>0.11108791689824696</v>
      </c>
      <c r="AF101" s="1111">
        <v>1.2529213207640243E-2</v>
      </c>
      <c r="AG101" s="1111">
        <v>1.065957810466449E-2</v>
      </c>
      <c r="AH101" s="1111">
        <v>1.0075025444113147E-2</v>
      </c>
      <c r="AI101" s="1111">
        <v>9.7317299202005353E-3</v>
      </c>
      <c r="AJ101" s="1111">
        <v>9.5402023930493476E-3</v>
      </c>
      <c r="AK101" s="1111">
        <v>9.5243934312525258E-3</v>
      </c>
      <c r="AL101" s="1111">
        <v>9.5250648616107964E-3</v>
      </c>
      <c r="AM101" s="1111">
        <v>9.5251554932216514E-3</v>
      </c>
      <c r="AN101" s="1111">
        <v>9.5249642425045775E-3</v>
      </c>
      <c r="AO101" s="1111">
        <v>9.5249642425045775E-3</v>
      </c>
      <c r="AP101" s="1111">
        <v>0.74269151513440568</v>
      </c>
      <c r="AQ101" s="1111">
        <v>0.52383536052486579</v>
      </c>
      <c r="AR101" s="1111">
        <v>0.26515735675043145</v>
      </c>
      <c r="AS101" s="1111">
        <v>0.1351566926923447</v>
      </c>
      <c r="AT101" s="1111">
        <v>0.10983075965221531</v>
      </c>
      <c r="AU101" s="1111">
        <v>0.10958664889665852</v>
      </c>
      <c r="AV101" s="1111">
        <v>0.1096078486020671</v>
      </c>
      <c r="AW101" s="1111">
        <v>0.1096068780421422</v>
      </c>
      <c r="AX101" s="1111">
        <v>0.10960658830103226</v>
      </c>
      <c r="AY101" s="1111">
        <v>0.10960589552091661</v>
      </c>
      <c r="AZ101" s="1111">
        <v>0.10960589552091661</v>
      </c>
      <c r="BA101" s="1111">
        <v>0.59959483692809956</v>
      </c>
      <c r="BB101" s="1111">
        <v>0.39814722089916671</v>
      </c>
      <c r="BC101" s="1111">
        <v>0.17093911505744869</v>
      </c>
      <c r="BD101" s="1111">
        <v>5.141231454167787E-2</v>
      </c>
      <c r="BE101" s="1111">
        <v>2.8082696739029109E-2</v>
      </c>
      <c r="BF101" s="1111">
        <v>2.7845710868112137E-2</v>
      </c>
      <c r="BG101" s="1111">
        <v>2.7854575458181253E-2</v>
      </c>
      <c r="BH101" s="1111">
        <v>2.7854742362265792E-2</v>
      </c>
      <c r="BI101" s="1111">
        <v>2.7857935494373539E-2</v>
      </c>
      <c r="BJ101" s="1111">
        <v>2.785875515428065E-2</v>
      </c>
      <c r="BK101" s="1111">
        <v>2.785875515428065E-2</v>
      </c>
      <c r="BL101" s="1111">
        <v>3.6845951109174253</v>
      </c>
      <c r="BM101" s="1111">
        <v>3.0141148250813146</v>
      </c>
      <c r="BN101" s="1111">
        <v>1.7287096891608413</v>
      </c>
      <c r="BO101" s="1111">
        <v>0.99869461126012171</v>
      </c>
      <c r="BP101" s="1111">
        <v>0.84218772017297983</v>
      </c>
      <c r="BQ101" s="1111">
        <v>0.84519175838607719</v>
      </c>
      <c r="BR101" s="1111">
        <v>0.8469151808735419</v>
      </c>
      <c r="BS101" s="1111">
        <v>0.84802583601170634</v>
      </c>
      <c r="BT101" s="1111">
        <v>0.84799712156752194</v>
      </c>
      <c r="BU101" s="1111">
        <v>0.84805912955384111</v>
      </c>
      <c r="BV101" s="1111">
        <v>0.84805912955384111</v>
      </c>
      <c r="BW101" s="1111">
        <v>0.9729699198759918</v>
      </c>
      <c r="BX101" s="1111">
        <v>0.7601417510012034</v>
      </c>
      <c r="BY101" s="1111">
        <v>0.38103658575563715</v>
      </c>
      <c r="BZ101" s="1111">
        <v>0.14118951343654471</v>
      </c>
      <c r="CA101" s="1111">
        <v>9.6258716152784612E-2</v>
      </c>
      <c r="CB101" s="1111">
        <v>9.5530616374304447E-2</v>
      </c>
      <c r="CC101" s="1111">
        <v>9.554280161820998E-2</v>
      </c>
      <c r="CD101" s="1111">
        <v>9.5586988961338146E-2</v>
      </c>
      <c r="CE101" s="1111">
        <v>9.5588423921367793E-2</v>
      </c>
      <c r="CF101" s="1111">
        <v>9.5590740961983944E-2</v>
      </c>
      <c r="CG101" s="1111">
        <v>9.5590740961983944E-2</v>
      </c>
      <c r="CH101" s="1111">
        <v>2.201122232569799E-2</v>
      </c>
      <c r="CI101" s="1111">
        <v>2.2006092317346342E-2</v>
      </c>
      <c r="CJ101" s="1111">
        <v>2.0959051495813823E-2</v>
      </c>
      <c r="CK101" s="1111">
        <v>2.0949326632820623E-2</v>
      </c>
      <c r="CL101" s="1111">
        <v>2.0957444875028042E-2</v>
      </c>
      <c r="CM101" s="1111">
        <v>2.0954531481793281E-2</v>
      </c>
      <c r="CN101" s="1111">
        <v>2.0955516315411728E-2</v>
      </c>
      <c r="CO101" s="1111">
        <v>2.0955628968138067E-2</v>
      </c>
      <c r="CP101" s="1111">
        <v>2.0955469502249392E-2</v>
      </c>
      <c r="CQ101" s="1111">
        <v>2.0955323217398469E-2</v>
      </c>
      <c r="CR101" s="1111">
        <v>2.0955323217398469E-2</v>
      </c>
      <c r="CS101" s="1111">
        <v>14.678404146633609</v>
      </c>
      <c r="CT101" s="1111">
        <v>9.1427704499543925</v>
      </c>
      <c r="CU101" s="1111">
        <v>3.7255659085071642</v>
      </c>
      <c r="CV101" s="1111">
        <v>1.6334071334623821</v>
      </c>
      <c r="CW101" s="1111">
        <v>0.92619833818541908</v>
      </c>
      <c r="CX101" s="1111">
        <v>0.90568583981658923</v>
      </c>
      <c r="CY101" s="1111">
        <v>0.90218359553210503</v>
      </c>
      <c r="CZ101" s="1111">
        <v>0.90203080005499137</v>
      </c>
      <c r="DA101" s="1111">
        <v>0.90223185545436146</v>
      </c>
      <c r="DB101" s="1111">
        <v>0.90229176042240877</v>
      </c>
      <c r="DC101" s="1111">
        <v>0.90229176042240877</v>
      </c>
      <c r="DD101" s="1111">
        <v>0.33169687799638808</v>
      </c>
      <c r="DE101" s="1111">
        <v>0.21290332899095288</v>
      </c>
      <c r="DF101" s="1111">
        <v>7.6684448210492417E-2</v>
      </c>
      <c r="DG101" s="1111">
        <v>1.3099118418529874E-2</v>
      </c>
      <c r="DH101" s="1111">
        <v>1.442984591146376E-3</v>
      </c>
      <c r="DI101" s="1111">
        <v>1.4216300052729372E-3</v>
      </c>
      <c r="DJ101" s="1111">
        <v>1.4222674909691675E-3</v>
      </c>
      <c r="DK101" s="1111">
        <v>1.4222968522144778E-3</v>
      </c>
      <c r="DL101" s="1111">
        <v>1.4226321321994845E-3</v>
      </c>
      <c r="DM101" s="1111">
        <v>1.4227267584946933E-3</v>
      </c>
      <c r="DN101" s="1111">
        <v>1.4227267584946933E-3</v>
      </c>
      <c r="DO101" s="1111">
        <v>0.17545307696215415</v>
      </c>
      <c r="DP101" s="1111">
        <v>0.11985500329632152</v>
      </c>
      <c r="DQ101" s="1111">
        <v>5.3210588243268436E-2</v>
      </c>
      <c r="DR101" s="1111">
        <v>1.0978778070126252E-2</v>
      </c>
      <c r="DS101" s="1111">
        <v>2.5088278770177383E-3</v>
      </c>
      <c r="DT101" s="1111">
        <v>2.4717000504004827E-3</v>
      </c>
      <c r="DU101" s="1111">
        <v>2.472808290816776E-3</v>
      </c>
      <c r="DV101" s="1111">
        <v>2.4728594625776285E-3</v>
      </c>
      <c r="DW101" s="1111">
        <v>2.4734423116144133E-3</v>
      </c>
      <c r="DX101" s="1111">
        <v>2.4736068982878887E-3</v>
      </c>
      <c r="DY101" s="1111">
        <v>2.4736068982878887E-3</v>
      </c>
      <c r="DZ101" s="1111">
        <v>2.9865061813249189E-3</v>
      </c>
      <c r="EA101" s="1111">
        <v>2.1060347075564811E-2</v>
      </c>
      <c r="EB101" s="1111">
        <v>5.0506765726550711E-2</v>
      </c>
      <c r="EC101" s="1111">
        <v>6.7073675579230524E-2</v>
      </c>
      <c r="ED101" s="1111">
        <v>6.4920013533495455E-2</v>
      </c>
      <c r="EE101" s="1111">
        <v>6.489936268569281E-2</v>
      </c>
      <c r="EF101" s="1111">
        <v>6.4975559015962497E-2</v>
      </c>
      <c r="EG101" s="1111">
        <v>6.5020503621141937E-2</v>
      </c>
      <c r="EH101" s="1111">
        <v>6.5021688066524905E-2</v>
      </c>
      <c r="EI101" s="1111">
        <v>6.5024946471396658E-2</v>
      </c>
      <c r="EJ101" s="1111">
        <v>6.5024946471396658E-2</v>
      </c>
      <c r="EK101" s="1111">
        <v>1384.6691295748305</v>
      </c>
      <c r="EL101" s="1111">
        <f t="shared" si="154"/>
        <v>1382.5120413649993</v>
      </c>
      <c r="EM101" s="1111">
        <f t="shared" si="155"/>
        <v>1208.7746698387982</v>
      </c>
      <c r="EN101" s="1111">
        <f t="shared" si="156"/>
        <v>1166.2538858740329</v>
      </c>
      <c r="EO101" s="1111">
        <f t="shared" si="157"/>
        <v>1131.4136354845602</v>
      </c>
      <c r="EP101" s="1111">
        <f t="shared" si="158"/>
        <v>1109.1466390014707</v>
      </c>
      <c r="EQ101" s="1111">
        <f t="shared" si="159"/>
        <v>1107.3086286607479</v>
      </c>
      <c r="ER101" s="1111">
        <f t="shared" si="160"/>
        <v>1107.3866983378118</v>
      </c>
      <c r="ES101" s="1111">
        <f t="shared" si="161"/>
        <v>1107.397193580387</v>
      </c>
      <c r="ET101" s="1111">
        <f t="shared" si="162"/>
        <v>1107.3749896752527</v>
      </c>
      <c r="EU101" s="1111">
        <f t="shared" si="163"/>
        <v>1107.3749896752527</v>
      </c>
      <c r="EV101" s="1111">
        <v>14.678404146633609</v>
      </c>
      <c r="EW101" s="1111">
        <f t="shared" si="144"/>
        <v>9.1427704499543925</v>
      </c>
      <c r="EX101" s="1111">
        <f t="shared" si="145"/>
        <v>3.7255659085071642</v>
      </c>
      <c r="EY101" s="1111">
        <f t="shared" si="146"/>
        <v>1.6334071334623821</v>
      </c>
      <c r="EZ101" s="1111">
        <f t="shared" si="147"/>
        <v>0.92619833818541908</v>
      </c>
      <c r="FA101" s="1111">
        <f t="shared" si="148"/>
        <v>0.90568583981658923</v>
      </c>
      <c r="FB101" s="1111">
        <f t="shared" si="149"/>
        <v>0.90218359553210503</v>
      </c>
      <c r="FC101" s="1111">
        <f t="shared" si="150"/>
        <v>0.90203080005499137</v>
      </c>
      <c r="FD101" s="1111">
        <f t="shared" si="151"/>
        <v>0.90223185545436146</v>
      </c>
      <c r="FE101" s="1111">
        <f t="shared" si="152"/>
        <v>0.90229176042240877</v>
      </c>
      <c r="FF101" s="1111">
        <f t="shared" si="153"/>
        <v>0.90229176042240877</v>
      </c>
      <c r="FG101" s="1111">
        <f t="shared" si="100"/>
        <v>0.11108791689824696</v>
      </c>
      <c r="FH101" s="1111">
        <f t="shared" si="101"/>
        <v>1.2529213207640243E-2</v>
      </c>
      <c r="FI101" s="1111">
        <f t="shared" si="102"/>
        <v>1.065957810466449E-2</v>
      </c>
      <c r="FJ101" s="1111">
        <f t="shared" si="103"/>
        <v>1.0075025444113147E-2</v>
      </c>
      <c r="FK101" s="1111">
        <f t="shared" si="104"/>
        <v>9.7317299202005353E-3</v>
      </c>
      <c r="FL101" s="1111">
        <f t="shared" si="105"/>
        <v>9.5402023930493476E-3</v>
      </c>
      <c r="FM101" s="1111">
        <f t="shared" si="106"/>
        <v>9.5243934312525258E-3</v>
      </c>
      <c r="FN101" s="1111">
        <f t="shared" si="107"/>
        <v>9.5250648616107964E-3</v>
      </c>
      <c r="FO101" s="1111">
        <f t="shared" si="108"/>
        <v>9.5251554932216514E-3</v>
      </c>
      <c r="FP101" s="1111">
        <f t="shared" si="109"/>
        <v>9.5249642425045775E-3</v>
      </c>
      <c r="FQ101" s="1111">
        <f t="shared" si="110"/>
        <v>9.5249642425045775E-3</v>
      </c>
      <c r="FR101" s="1111">
        <f t="shared" si="133"/>
        <v>0.74269151513440568</v>
      </c>
      <c r="FS101" s="1111">
        <f t="shared" si="134"/>
        <v>0.52383536052486579</v>
      </c>
      <c r="FT101" s="1111">
        <f t="shared" si="135"/>
        <v>0.26515735675043145</v>
      </c>
      <c r="FU101" s="1111">
        <f t="shared" si="136"/>
        <v>0.1351566926923447</v>
      </c>
      <c r="FV101" s="1111">
        <f t="shared" si="137"/>
        <v>0.10983075965221531</v>
      </c>
      <c r="FW101" s="1111">
        <f t="shared" si="138"/>
        <v>0.10958664889665852</v>
      </c>
      <c r="FX101" s="1111">
        <f t="shared" si="139"/>
        <v>0.1096078486020671</v>
      </c>
      <c r="FY101" s="1111">
        <f t="shared" si="140"/>
        <v>0.1096068780421422</v>
      </c>
      <c r="FZ101" s="1111">
        <f t="shared" si="141"/>
        <v>0.10960658830103226</v>
      </c>
      <c r="GA101" s="1111">
        <f t="shared" si="142"/>
        <v>0.10960589552091661</v>
      </c>
      <c r="GB101" s="1111">
        <f t="shared" si="143"/>
        <v>0.10960589552091661</v>
      </c>
      <c r="GC101" s="1111">
        <f t="shared" si="164"/>
        <v>0.59959483692809956</v>
      </c>
      <c r="GD101" s="1111">
        <f t="shared" si="165"/>
        <v>0.39814722089916671</v>
      </c>
      <c r="GE101" s="1111">
        <f t="shared" si="166"/>
        <v>0.17093911505744869</v>
      </c>
      <c r="GF101" s="1111">
        <f t="shared" si="167"/>
        <v>5.141231454167787E-2</v>
      </c>
      <c r="GG101" s="1111">
        <f t="shared" si="168"/>
        <v>2.8082696739029109E-2</v>
      </c>
      <c r="GH101" s="1111">
        <f t="shared" si="169"/>
        <v>2.7845710868112137E-2</v>
      </c>
      <c r="GI101" s="1111">
        <f t="shared" si="170"/>
        <v>2.7854575458181253E-2</v>
      </c>
      <c r="GJ101" s="1111">
        <f t="shared" si="171"/>
        <v>2.7854742362265792E-2</v>
      </c>
      <c r="GK101" s="1111">
        <f t="shared" si="172"/>
        <v>2.7857935494373539E-2</v>
      </c>
      <c r="GL101" s="1111">
        <f t="shared" si="173"/>
        <v>2.785875515428065E-2</v>
      </c>
      <c r="GM101" s="1111">
        <f t="shared" si="174"/>
        <v>2.785875515428065E-2</v>
      </c>
    </row>
    <row r="102" spans="1:195" x14ac:dyDescent="0.2">
      <c r="A102" s="1071" t="s">
        <v>182</v>
      </c>
      <c r="B102" s="1071" t="str">
        <f>NewTech!B28</f>
        <v>TBCNGC</v>
      </c>
      <c r="C102" s="1071" t="str">
        <f>NewTech!C28</f>
        <v>Bus, Conventional CNG</v>
      </c>
      <c r="D102" s="1071" t="str">
        <f>NewTech!D28</f>
        <v>bn-vmt, bn-vmt/a</v>
      </c>
      <c r="E102" s="1071" t="str">
        <f>NewTech!E28</f>
        <v>TBCNG</v>
      </c>
      <c r="F102" s="1071" t="str">
        <f>NewTech!F28</f>
        <v>TB</v>
      </c>
      <c r="G102" s="1110" t="s">
        <v>498</v>
      </c>
      <c r="H102" s="1110" t="s">
        <v>501</v>
      </c>
      <c r="I102" s="1112">
        <v>1</v>
      </c>
      <c r="J102" s="1111" t="str">
        <f t="shared" si="37"/>
        <v>Bus-CNG</v>
      </c>
      <c r="K102" s="1111">
        <f>SUMIFS(NewEmisData!E:E, NewEmisData!$A:$A, $G102, NewEmisData!$B:$B, $A102, NewEmisData!$C:$C, $H102, NewEmisData!$D:$D, K$6)</f>
        <v>1404.3271128133699</v>
      </c>
      <c r="L102" s="1111">
        <f>SUMIFS(NewEmisData!F:F, NewEmisData!$A:$A, $G102, NewEmisData!$B:$B, $A102, NewEmisData!$C:$C, $H102, NewEmisData!$D:$D, L$6)</f>
        <v>1439.6601314125801</v>
      </c>
      <c r="M102" s="1111">
        <f>SUMIFS(NewEmisData!G:G, NewEmisData!$A:$A, $G102, NewEmisData!$B:$B, $A102, NewEmisData!$C:$C, $H102, NewEmisData!$D:$D, M$6)</f>
        <v>1684.18271883701</v>
      </c>
      <c r="N102" s="1111">
        <f>SUMIFS(NewEmisData!H:H, NewEmisData!$A:$A, $G102, NewEmisData!$B:$B, $A102, NewEmisData!$C:$C, $H102, NewEmisData!$D:$D, N$6)</f>
        <v>1650.6602334367401</v>
      </c>
      <c r="O102" s="1111">
        <f>SUMIFS(NewEmisData!I:I, NewEmisData!$A:$A, $G102, NewEmisData!$B:$B, $A102, NewEmisData!$C:$C, $H102, NewEmisData!$D:$D, O$6)</f>
        <v>1642.1438923528999</v>
      </c>
      <c r="P102" s="1111">
        <f>SUMIFS(NewEmisData!J:J, NewEmisData!$A:$A, $G102, NewEmisData!$B:$B, $A102, NewEmisData!$C:$C, $H102, NewEmisData!$D:$D, P$6)</f>
        <v>1626.66978660524</v>
      </c>
      <c r="Q102" s="1111">
        <f>SUMIFS(NewEmisData!K:K, NewEmisData!$A:$A, $G102, NewEmisData!$B:$B, $A102, NewEmisData!$C:$C, $H102, NewEmisData!$D:$D, Q$6)</f>
        <v>1623.30402513322</v>
      </c>
      <c r="R102" s="1111">
        <f>SUMIFS(NewEmisData!L:L, NewEmisData!$A:$A, $G102, NewEmisData!$B:$B, $A102, NewEmisData!$C:$C, $H102, NewEmisData!$D:$D, R$6)</f>
        <v>1623.2520614663099</v>
      </c>
      <c r="S102" s="1111">
        <f>SUMIFS(NewEmisData!M:M, NewEmisData!$A:$A, $G102, NewEmisData!$B:$B, $A102, NewEmisData!$C:$C, $H102, NewEmisData!$D:$D, S$6)</f>
        <v>1623.40710518732</v>
      </c>
      <c r="T102" s="1111">
        <f t="shared" si="131"/>
        <v>1623.40710518732</v>
      </c>
      <c r="U102" s="1111">
        <f>SUMIFS(NewEmisData!E:E, NewEmisData!$A:$A, $G102, NewEmisData!$B:$B, $A102, NewEmisData!$C:$C, $H102, NewEmisData!$D:$D, U$6)</f>
        <v>8.5641579152449303</v>
      </c>
      <c r="V102" s="1111">
        <f>SUMIFS(NewEmisData!F:F, NewEmisData!$A:$A, $G102, NewEmisData!$B:$B, $A102, NewEmisData!$C:$C, $H102, NewEmisData!$D:$D, V$6)</f>
        <v>9.6580110235574494</v>
      </c>
      <c r="W102" s="1111">
        <f>SUMIFS(NewEmisData!G:G, NewEmisData!$A:$A, $G102, NewEmisData!$B:$B, $A102, NewEmisData!$C:$C, $H102, NewEmisData!$D:$D, W$6)</f>
        <v>2.7867389528720699</v>
      </c>
      <c r="X102" s="1111">
        <f>SUMIFS(NewEmisData!H:H, NewEmisData!$A:$A, $G102, NewEmisData!$B:$B, $A102, NewEmisData!$C:$C, $H102, NewEmisData!$D:$D, X$6)</f>
        <v>2.1696941290079601</v>
      </c>
      <c r="Y102" s="1111">
        <f>SUMIFS(NewEmisData!I:I, NewEmisData!$A:$A, $G102, NewEmisData!$B:$B, $A102, NewEmisData!$C:$C, $H102, NewEmisData!$D:$D, Y$6)</f>
        <v>1.9058529098653401</v>
      </c>
      <c r="Z102" s="1111">
        <f>SUMIFS(NewEmisData!J:J, NewEmisData!$A:$A, $G102, NewEmisData!$B:$B, $A102, NewEmisData!$C:$C, $H102, NewEmisData!$D:$D, Z$6)</f>
        <v>1.9715548791583399</v>
      </c>
      <c r="AA102" s="1111">
        <f>SUMIFS(NewEmisData!K:K, NewEmisData!$A:$A, $G102, NewEmisData!$B:$B, $A102, NewEmisData!$C:$C, $H102, NewEmisData!$D:$D, AA$6)</f>
        <v>1.80325718220481</v>
      </c>
      <c r="AB102" s="1111">
        <f>SUMIFS(NewEmisData!L:L, NewEmisData!$A:$A, $G102, NewEmisData!$B:$B, $A102, NewEmisData!$C:$C, $H102, NewEmisData!$D:$D, AB$6)</f>
        <v>1.80325766566259</v>
      </c>
      <c r="AC102" s="1111">
        <f>SUMIFS(NewEmisData!M:M, NewEmisData!$A:$A, $G102, NewEmisData!$B:$B, $A102, NewEmisData!$C:$C, $H102, NewEmisData!$D:$D, AC$6)</f>
        <v>1.80600275766325</v>
      </c>
      <c r="AD102" s="1111">
        <f t="shared" si="132"/>
        <v>1.80600275766325</v>
      </c>
      <c r="AE102" s="1111">
        <f t="shared" ref="AE102:AE121" si="175">AF102</f>
        <v>7.0600558638666397E-3</v>
      </c>
      <c r="AF102" s="1111">
        <f>SUMIFS(NewEmisData!E:E, NewEmisData!$A:$A, $G102, NewEmisData!$B:$B, $A102, NewEmisData!$C:$C, $H102, NewEmisData!$D:$D, AF$6)</f>
        <v>7.0600558638666397E-3</v>
      </c>
      <c r="AG102" s="1111">
        <f>SUMIFS(NewEmisData!F:F, NewEmisData!$A:$A, $G102, NewEmisData!$B:$B, $A102, NewEmisData!$C:$C, $H102, NewEmisData!$D:$D, AG$6)</f>
        <v>7.2188807538929303E-3</v>
      </c>
      <c r="AH102" s="1111">
        <f>SUMIFS(NewEmisData!G:G, NewEmisData!$A:$A, $G102, NewEmisData!$B:$B, $A102, NewEmisData!$C:$C, $H102, NewEmisData!$D:$D, AH$6)</f>
        <v>8.9168853601401706E-3</v>
      </c>
      <c r="AI102" s="1111">
        <f>SUMIFS(NewEmisData!H:H, NewEmisData!$A:$A, $G102, NewEmisData!$B:$B, $A102, NewEmisData!$C:$C, $H102, NewEmisData!$D:$D, AI$6)</f>
        <v>8.7394055968140292E-3</v>
      </c>
      <c r="AJ102" s="1111">
        <f>SUMIFS(NewEmisData!I:I, NewEmisData!$A:$A, $G102, NewEmisData!$B:$B, $A102, NewEmisData!$C:$C, $H102, NewEmisData!$D:$D, AJ$6)</f>
        <v>8.6943184966646898E-3</v>
      </c>
      <c r="AK102" s="1111">
        <f>SUMIFS(NewEmisData!J:J, NewEmisData!$A:$A, $G102, NewEmisData!$B:$B, $A102, NewEmisData!$C:$C, $H102, NewEmisData!$D:$D, AK$6)</f>
        <v>8.6123852585138806E-3</v>
      </c>
      <c r="AL102" s="1111">
        <f>SUMIFS(NewEmisData!K:K, NewEmisData!$A:$A, $G102, NewEmisData!$B:$B, $A102, NewEmisData!$C:$C, $H102, NewEmisData!$D:$D, AL$6)</f>
        <v>8.5945646137361408E-3</v>
      </c>
      <c r="AM102" s="1111">
        <f>SUMIFS(NewEmisData!L:L, NewEmisData!$A:$A, $G102, NewEmisData!$B:$B, $A102, NewEmisData!$C:$C, $H102, NewEmisData!$D:$D, AM$6)</f>
        <v>8.5942912264795907E-3</v>
      </c>
      <c r="AN102" s="1111">
        <f>SUMIFS(NewEmisData!M:M, NewEmisData!$A:$A, $G102, NewEmisData!$B:$B, $A102, NewEmisData!$C:$C, $H102, NewEmisData!$D:$D, AN$6)</f>
        <v>8.5951166029417398E-3</v>
      </c>
      <c r="AO102" s="1111">
        <f t="shared" ref="AO102:AO121" si="176">AN102</f>
        <v>8.5951166029417398E-3</v>
      </c>
      <c r="AP102" s="1111">
        <f t="shared" ref="AP102:AP121" si="177">AQ102</f>
        <v>0.308686971765607</v>
      </c>
      <c r="AQ102" s="1111">
        <f>SUMIFS(NewEmisData!E:E, NewEmisData!$A:$A, $G102, NewEmisData!$B:$B, $A102, NewEmisData!$C:$C, $H102, NewEmisData!$D:$D, AQ$6)</f>
        <v>0.308686971765607</v>
      </c>
      <c r="AR102" s="1111">
        <f>SUMIFS(NewEmisData!F:F, NewEmisData!$A:$A, $G102, NewEmisData!$B:$B, $A102, NewEmisData!$C:$C, $H102, NewEmisData!$D:$D, AR$6)</f>
        <v>0.3514917426559</v>
      </c>
      <c r="AS102" s="1111">
        <f>SUMIFS(NewEmisData!G:G, NewEmisData!$A:$A, $G102, NewEmisData!$B:$B, $A102, NewEmisData!$C:$C, $H102, NewEmisData!$D:$D, AS$6)</f>
        <v>0.41477994422651598</v>
      </c>
      <c r="AT102" s="1111">
        <f>SUMIFS(NewEmisData!H:H, NewEmisData!$A:$A, $G102, NewEmisData!$B:$B, $A102, NewEmisData!$C:$C, $H102, NewEmisData!$D:$D, AT$6)</f>
        <v>0.41175694437029597</v>
      </c>
      <c r="AU102" s="1111">
        <f>SUMIFS(NewEmisData!I:I, NewEmisData!$A:$A, $G102, NewEmisData!$B:$B, $A102, NewEmisData!$C:$C, $H102, NewEmisData!$D:$D, AU$6)</f>
        <v>0.41302179377238901</v>
      </c>
      <c r="AV102" s="1111">
        <f>SUMIFS(NewEmisData!J:J, NewEmisData!$A:$A, $G102, NewEmisData!$B:$B, $A102, NewEmisData!$C:$C, $H102, NewEmisData!$D:$D, AV$6)</f>
        <v>0.411506559794103</v>
      </c>
      <c r="AW102" s="1111">
        <f>SUMIFS(NewEmisData!K:K, NewEmisData!$A:$A, $G102, NewEmisData!$B:$B, $A102, NewEmisData!$C:$C, $H102, NewEmisData!$D:$D, AW$6)</f>
        <v>0.41104277522581101</v>
      </c>
      <c r="AX102" s="1111">
        <f>SUMIFS(NewEmisData!L:L, NewEmisData!$A:$A, $G102, NewEmisData!$B:$B, $A102, NewEmisData!$C:$C, $H102, NewEmisData!$D:$D, AX$6)</f>
        <v>0.41104274130226698</v>
      </c>
      <c r="AY102" s="1111">
        <f>SUMIFS(NewEmisData!M:M, NewEmisData!$A:$A, $G102, NewEmisData!$B:$B, $A102, NewEmisData!$C:$C, $H102, NewEmisData!$D:$D, AY$6)</f>
        <v>0.41112796490950498</v>
      </c>
      <c r="AZ102" s="1111">
        <f t="shared" ref="AZ102:AZ121" si="178">AY102</f>
        <v>0.41112796490950498</v>
      </c>
      <c r="BA102" s="1111">
        <f t="shared" ref="BA102:BA121" si="179">BB102</f>
        <v>8.1280068089980395E-2</v>
      </c>
      <c r="BB102" s="1111">
        <f>SUMIFS(NewEmisData!E:E, NewEmisData!$A:$A, $G102, NewEmisData!$B:$B, $A102, NewEmisData!$C:$C, $H102, NewEmisData!$D:$D, BB$6)</f>
        <v>8.1280068089980395E-2</v>
      </c>
      <c r="BC102" s="1111">
        <f>SUMIFS(NewEmisData!F:F, NewEmisData!$A:$A, $G102, NewEmisData!$B:$B, $A102, NewEmisData!$C:$C, $H102, NewEmisData!$D:$D, BC$6)</f>
        <v>0.119146422058294</v>
      </c>
      <c r="BD102" s="1111">
        <f>SUMIFS(NewEmisData!G:G, NewEmisData!$A:$A, $G102, NewEmisData!$B:$B, $A102, NewEmisData!$C:$C, $H102, NewEmisData!$D:$D, BD$6)</f>
        <v>5.78893636806442E-2</v>
      </c>
      <c r="BE102" s="1111">
        <f>SUMIFS(NewEmisData!H:H, NewEmisData!$A:$A, $G102, NewEmisData!$B:$B, $A102, NewEmisData!$C:$C, $H102, NewEmisData!$D:$D, BE$6)</f>
        <v>5.5215677186708403E-2</v>
      </c>
      <c r="BF102" s="1111">
        <f>SUMIFS(NewEmisData!I:I, NewEmisData!$A:$A, $G102, NewEmisData!$B:$B, $A102, NewEmisData!$C:$C, $H102, NewEmisData!$D:$D, BF$6)</f>
        <v>5.6334175336776801E-2</v>
      </c>
      <c r="BG102" s="1111">
        <f>SUMIFS(NewEmisData!J:J, NewEmisData!$A:$A, $G102, NewEmisData!$B:$B, $A102, NewEmisData!$C:$C, $H102, NewEmisData!$D:$D, BG$6)</f>
        <v>5.4993730550411797E-2</v>
      </c>
      <c r="BH102" s="1111">
        <f>SUMIFS(NewEmisData!K:K, NewEmisData!$A:$A, $G102, NewEmisData!$B:$B, $A102, NewEmisData!$C:$C, $H102, NewEmisData!$D:$D, BH$6)</f>
        <v>5.4583411925712401E-2</v>
      </c>
      <c r="BI102" s="1111">
        <f>SUMIFS(NewEmisData!L:L, NewEmisData!$A:$A, $G102, NewEmisData!$B:$B, $A102, NewEmisData!$C:$C, $H102, NewEmisData!$D:$D, BI$6)</f>
        <v>5.4583454840025802E-2</v>
      </c>
      <c r="BJ102" s="1111">
        <f>SUMIFS(NewEmisData!M:M, NewEmisData!$A:$A, $G102, NewEmisData!$B:$B, $A102, NewEmisData!$C:$C, $H102, NewEmisData!$D:$D, BJ$6)</f>
        <v>5.4658632223239703E-2</v>
      </c>
      <c r="BK102" s="1111">
        <f t="shared" ref="BK102:BK121" si="180">BJ102</f>
        <v>5.4658632223239703E-2</v>
      </c>
      <c r="BL102" s="1111">
        <f t="shared" ref="BL102:BL121" si="181">BM102</f>
        <v>9.6002010924587093</v>
      </c>
      <c r="BM102" s="1111">
        <f>SUMIFS(NewEmisData!E:E, NewEmisData!$A:$A, $G102, NewEmisData!$B:$B, $A102, NewEmisData!$C:$C, $H102, NewEmisData!$D:$D, BM$6)</f>
        <v>9.6002010924587093</v>
      </c>
      <c r="BN102" s="1111">
        <f>SUMIFS(NewEmisData!F:F, NewEmisData!$A:$A, $G102, NewEmisData!$B:$B, $A102, NewEmisData!$C:$C, $H102, NewEmisData!$D:$D, BN$6)</f>
        <v>12.295523518061101</v>
      </c>
      <c r="BO102" s="1111">
        <f>SUMIFS(NewEmisData!G:G, NewEmisData!$A:$A, $G102, NewEmisData!$B:$B, $A102, NewEmisData!$C:$C, $H102, NewEmisData!$D:$D, BO$6)</f>
        <v>7.0375198956390097</v>
      </c>
      <c r="BP102" s="1111">
        <f>SUMIFS(NewEmisData!H:H, NewEmisData!$A:$A, $G102, NewEmisData!$B:$B, $A102, NewEmisData!$C:$C, $H102, NewEmisData!$D:$D, BP$6)</f>
        <v>8.2046027913723396</v>
      </c>
      <c r="BQ102" s="1111">
        <f>SUMIFS(NewEmisData!I:I, NewEmisData!$A:$A, $G102, NewEmisData!$B:$B, $A102, NewEmisData!$C:$C, $H102, NewEmisData!$D:$D, BQ$6)</f>
        <v>8.4950302260998694</v>
      </c>
      <c r="BR102" s="1111">
        <f>SUMIFS(NewEmisData!J:J, NewEmisData!$A:$A, $G102, NewEmisData!$B:$B, $A102, NewEmisData!$C:$C, $H102, NewEmisData!$D:$D, BR$6)</f>
        <v>8.2450068898439604</v>
      </c>
      <c r="BS102" s="1111">
        <f>SUMIFS(NewEmisData!K:K, NewEmisData!$A:$A, $G102, NewEmisData!$B:$B, $A102, NewEmisData!$C:$C, $H102, NewEmisData!$D:$D, BS$6)</f>
        <v>8.3127507941159706</v>
      </c>
      <c r="BT102" s="1111">
        <f>SUMIFS(NewEmisData!L:L, NewEmisData!$A:$A, $G102, NewEmisData!$B:$B, $A102, NewEmisData!$C:$C, $H102, NewEmisData!$D:$D, BT$6)</f>
        <v>8.3127918839105899</v>
      </c>
      <c r="BU102" s="1111">
        <f>SUMIFS(NewEmisData!M:M, NewEmisData!$A:$A, $G102, NewEmisData!$B:$B, $A102, NewEmisData!$C:$C, $H102, NewEmisData!$D:$D, BU$6)</f>
        <v>8.3693590724444107</v>
      </c>
      <c r="BV102" s="1111">
        <f t="shared" ref="BV102:BV121" si="182">BU102</f>
        <v>8.3693590724444107</v>
      </c>
      <c r="BW102" s="1111">
        <f t="shared" ref="BW102:BW121" si="183">BX102</f>
        <v>1.6758131705313</v>
      </c>
      <c r="BX102" s="1111">
        <f>SUMIFS(NewEmisData!E:E, NewEmisData!$A:$A, $G102, NewEmisData!$B:$B, $A102, NewEmisData!$C:$C, $H102, NewEmisData!$D:$D, BX$6)</f>
        <v>1.6758131705313</v>
      </c>
      <c r="BY102" s="1111">
        <f>SUMIFS(NewEmisData!F:F, NewEmisData!$A:$A, $G102, NewEmisData!$B:$B, $A102, NewEmisData!$C:$C, $H102, NewEmisData!$D:$D, BY$6)</f>
        <v>2.1481115710610101</v>
      </c>
      <c r="BZ102" s="1111">
        <f>SUMIFS(NewEmisData!G:G, NewEmisData!$A:$A, $G102, NewEmisData!$B:$B, $A102, NewEmisData!$C:$C, $H102, NewEmisData!$D:$D, BZ$6)</f>
        <v>0.473134078922954</v>
      </c>
      <c r="CA102" s="1111">
        <f>SUMIFS(NewEmisData!H:H, NewEmisData!$A:$A, $G102, NewEmisData!$B:$B, $A102, NewEmisData!$C:$C, $H102, NewEmisData!$D:$D, CA$6)</f>
        <v>0.35719325934370499</v>
      </c>
      <c r="CB102" s="1111">
        <f>SUMIFS(NewEmisData!I:I, NewEmisData!$A:$A, $G102, NewEmisData!$B:$B, $A102, NewEmisData!$C:$C, $H102, NewEmisData!$D:$D, CB$6)</f>
        <v>0.33875927128073402</v>
      </c>
      <c r="CC102" s="1111">
        <f>SUMIFS(NewEmisData!J:J, NewEmisData!$A:$A, $G102, NewEmisData!$B:$B, $A102, NewEmisData!$C:$C, $H102, NewEmisData!$D:$D, CC$6)</f>
        <v>0.32794018119465101</v>
      </c>
      <c r="CD102" s="1111">
        <f>SUMIFS(NewEmisData!K:K, NewEmisData!$A:$A, $G102, NewEmisData!$B:$B, $A102, NewEmisData!$C:$C, $H102, NewEmisData!$D:$D, CD$6)</f>
        <v>0.30584592560252699</v>
      </c>
      <c r="CE102" s="1111">
        <f>SUMIFS(NewEmisData!L:L, NewEmisData!$A:$A, $G102, NewEmisData!$B:$B, $A102, NewEmisData!$C:$C, $H102, NewEmisData!$D:$D, CE$6)</f>
        <v>0.30584880738436099</v>
      </c>
      <c r="CF102" s="1111">
        <f>SUMIFS(NewEmisData!M:M, NewEmisData!$A:$A, $G102, NewEmisData!$B:$B, $A102, NewEmisData!$C:$C, $H102, NewEmisData!$D:$D, CF$6)</f>
        <v>0.30802455669086698</v>
      </c>
      <c r="CG102" s="1111">
        <f t="shared" ref="CG102:CG121" si="184">CF102</f>
        <v>0.30802455669086698</v>
      </c>
      <c r="CH102" s="1111">
        <f t="shared" ref="CH102:CH121" si="185">CI102</f>
        <v>4.2670972902907597E-2</v>
      </c>
      <c r="CI102" s="1111">
        <f>SUMIFS(NewEmisData!E:E, NewEmisData!$A:$A, $G102, NewEmisData!$B:$B, $A102, NewEmisData!$C:$C, $H102, NewEmisData!$D:$D, CI$6)</f>
        <v>4.2670972902907597E-2</v>
      </c>
      <c r="CJ102" s="1111">
        <f>SUMIFS(NewEmisData!F:F, NewEmisData!$A:$A, $G102, NewEmisData!$B:$B, $A102, NewEmisData!$C:$C, $H102, NewEmisData!$D:$D, CJ$6)</f>
        <v>4.2670927259417797E-2</v>
      </c>
      <c r="CK102" s="1111">
        <f>SUMIFS(NewEmisData!G:G, NewEmisData!$A:$A, $G102, NewEmisData!$B:$B, $A102, NewEmisData!$C:$C, $H102, NewEmisData!$D:$D, CK$6)</f>
        <v>6.0175723532765499E-2</v>
      </c>
      <c r="CL102" s="1111">
        <f>SUMIFS(NewEmisData!H:H, NewEmisData!$A:$A, $G102, NewEmisData!$B:$B, $A102, NewEmisData!$C:$C, $H102, NewEmisData!$D:$D, CL$6)</f>
        <v>6.01695414399568E-2</v>
      </c>
      <c r="CM102" s="1111">
        <f>SUMIFS(NewEmisData!I:I, NewEmisData!$A:$A, $G102, NewEmisData!$B:$B, $A102, NewEmisData!$C:$C, $H102, NewEmisData!$D:$D, CM$6)</f>
        <v>6.0167450908081101E-2</v>
      </c>
      <c r="CN102" s="1111">
        <f>SUMIFS(NewEmisData!J:J, NewEmisData!$A:$A, $G102, NewEmisData!$B:$B, $A102, NewEmisData!$C:$C, $H102, NewEmisData!$D:$D, CN$6)</f>
        <v>6.0164712219486001E-2</v>
      </c>
      <c r="CO102" s="1111">
        <f>SUMIFS(NewEmisData!K:K, NewEmisData!$A:$A, $G102, NewEmisData!$B:$B, $A102, NewEmisData!$C:$C, $H102, NewEmisData!$D:$D, CO$6)</f>
        <v>6.0164240366087897E-2</v>
      </c>
      <c r="CP102" s="1111">
        <f>SUMIFS(NewEmisData!L:L, NewEmisData!$A:$A, $G102, NewEmisData!$B:$B, $A102, NewEmisData!$C:$C, $H102, NewEmisData!$D:$D, CP$6)</f>
        <v>6.0164163764798897E-2</v>
      </c>
      <c r="CQ102" s="1111">
        <f>SUMIFS(NewEmisData!M:M, NewEmisData!$A:$A, $G102, NewEmisData!$B:$B, $A102, NewEmisData!$C:$C, $H102, NewEmisData!$D:$D, CQ$6)</f>
        <v>6.0164193249358199E-2</v>
      </c>
      <c r="CR102" s="1111">
        <f t="shared" ref="CR102:CR121" si="186">CQ102</f>
        <v>6.0164193249358199E-2</v>
      </c>
      <c r="CS102" s="1111">
        <f t="shared" ref="CS102:CS121" si="187">CT102</f>
        <v>0.183740644616634</v>
      </c>
      <c r="CT102" s="1111">
        <f>SUMIFS(NewEmisData!E:E, NewEmisData!$A:$A, $G102, NewEmisData!$B:$B, $A102, NewEmisData!$C:$C, $H102, NewEmisData!$D:$D, CT$6)</f>
        <v>0.183740644616634</v>
      </c>
      <c r="CU102" s="1111">
        <f>SUMIFS(NewEmisData!F:F, NewEmisData!$A:$A, $G102, NewEmisData!$B:$B, $A102, NewEmisData!$C:$C, $H102, NewEmisData!$D:$D, CU$6)</f>
        <v>0.16180582571136101</v>
      </c>
      <c r="CV102" s="1111">
        <f>SUMIFS(NewEmisData!G:G, NewEmisData!$A:$A, $G102, NewEmisData!$B:$B, $A102, NewEmisData!$C:$C, $H102, NewEmisData!$D:$D, CV$6)</f>
        <v>0.18955111286908199</v>
      </c>
      <c r="CW102" s="1111">
        <f>SUMIFS(NewEmisData!H:H, NewEmisData!$A:$A, $G102, NewEmisData!$B:$B, $A102, NewEmisData!$C:$C, $H102, NewEmisData!$D:$D, CW$6)</f>
        <v>0.19191147173666101</v>
      </c>
      <c r="CX102" s="1111">
        <f>SUMIFS(NewEmisData!I:I, NewEmisData!$A:$A, $G102, NewEmisData!$B:$B, $A102, NewEmisData!$C:$C, $H102, NewEmisData!$D:$D, CX$6)</f>
        <v>0.19303868220418799</v>
      </c>
      <c r="CY102" s="1111">
        <f>SUMIFS(NewEmisData!J:J, NewEmisData!$A:$A, $G102, NewEmisData!$B:$B, $A102, NewEmisData!$C:$C, $H102, NewEmisData!$D:$D, CY$6)</f>
        <v>0.19351598474610199</v>
      </c>
      <c r="CZ102" s="1111">
        <f>SUMIFS(NewEmisData!K:K, NewEmisData!$A:$A, $G102, NewEmisData!$B:$B, $A102, NewEmisData!$C:$C, $H102, NewEmisData!$D:$D, CZ$6)</f>
        <v>0.191854404911007</v>
      </c>
      <c r="DA102" s="1111">
        <f>SUMIFS(NewEmisData!L:L, NewEmisData!$A:$A, $G102, NewEmisData!$B:$B, $A102, NewEmisData!$C:$C, $H102, NewEmisData!$D:$D, DA$6)</f>
        <v>0.19185262658754099</v>
      </c>
      <c r="DB102" s="1111">
        <f>SUMIFS(NewEmisData!M:M, NewEmisData!$A:$A, $G102, NewEmisData!$B:$B, $A102, NewEmisData!$C:$C, $H102, NewEmisData!$D:$D, DB$6)</f>
        <v>0.19312216871318899</v>
      </c>
      <c r="DC102" s="1111">
        <f t="shared" ref="DC102:DC131" si="188">DB102</f>
        <v>0.19312216871318899</v>
      </c>
      <c r="DD102" s="1111">
        <v>9.838732208669888E-3</v>
      </c>
      <c r="DE102" s="1111">
        <v>5.4030262224081206E-3</v>
      </c>
      <c r="DF102" s="1111">
        <v>1.0487650130616144E-3</v>
      </c>
      <c r="DG102" s="1111">
        <v>2.7510109386332459E-4</v>
      </c>
      <c r="DH102" s="1111">
        <v>2.5415063000549772E-4</v>
      </c>
      <c r="DI102" s="1111">
        <v>2.539715317459818E-4</v>
      </c>
      <c r="DJ102" s="1111">
        <v>2.5405818908282566E-4</v>
      </c>
      <c r="DK102" s="1111">
        <v>2.5405483284236455E-4</v>
      </c>
      <c r="DL102" s="1111">
        <v>2.541202717389235E-4</v>
      </c>
      <c r="DM102" s="1111">
        <v>2.5415899051356336E-4</v>
      </c>
      <c r="DN102" s="1111">
        <v>2.5415899051356336E-4</v>
      </c>
      <c r="DO102" s="1111">
        <v>3.9260593703563405E-2</v>
      </c>
      <c r="DP102" s="1111">
        <v>2.1413986260209197E-2</v>
      </c>
      <c r="DQ102" s="1111">
        <v>3.9500309260564132E-3</v>
      </c>
      <c r="DR102" s="1111">
        <v>9.2680125243411614E-4</v>
      </c>
      <c r="DS102" s="1111">
        <v>8.5622412783254245E-4</v>
      </c>
      <c r="DT102" s="1111">
        <v>8.5562086259629222E-4</v>
      </c>
      <c r="DU102" s="1111">
        <v>8.559127463082085E-4</v>
      </c>
      <c r="DV102" s="1111">
        <v>8.5590141612128148E-4</v>
      </c>
      <c r="DW102" s="1111">
        <v>8.5612191768918251E-4</v>
      </c>
      <c r="DX102" s="1111">
        <v>8.562523688113036E-4</v>
      </c>
      <c r="DY102" s="1111">
        <v>8.562523688113036E-4</v>
      </c>
      <c r="DZ102" s="1111">
        <f t="shared" ref="DZ102:DZ131" si="189">EA102</f>
        <v>16.673115899025799</v>
      </c>
      <c r="EA102" s="1111">
        <f>SUMIFS(NewEmisData!E:E, NewEmisData!$A:$A, $G102, NewEmisData!$B:$B, $A102, NewEmisData!$C:$C, $H102, NewEmisData!$D:$D, EA$6)</f>
        <v>16.673115899025799</v>
      </c>
      <c r="EB102" s="1111">
        <f>SUMIFS(NewEmisData!F:F, NewEmisData!$A:$A, $G102, NewEmisData!$B:$B, $A102, NewEmisData!$C:$C, $H102, NewEmisData!$D:$D, EB$6)</f>
        <v>18.1238089179102</v>
      </c>
      <c r="EC102" s="1111">
        <f>SUMIFS(NewEmisData!G:G, NewEmisData!$A:$A, $G102, NewEmisData!$B:$B, $A102, NewEmisData!$C:$C, $H102, NewEmisData!$D:$D, EC$6)</f>
        <v>7.8929936267624203</v>
      </c>
      <c r="ED102" s="1111">
        <f>SUMIFS(NewEmisData!H:H, NewEmisData!$A:$A, $G102, NewEmisData!$B:$B, $A102, NewEmisData!$C:$C, $H102, NewEmisData!$D:$D, ED$6)</f>
        <v>7.3391360413522797</v>
      </c>
      <c r="EE102" s="1111">
        <f>SUMIFS(NewEmisData!I:I, NewEmisData!$A:$A, $G102, NewEmisData!$B:$B, $A102, NewEmisData!$C:$C, $H102, NewEmisData!$D:$D, EE$6)</f>
        <v>6.56449009849179</v>
      </c>
      <c r="EF102" s="1111">
        <f>SUMIFS(NewEmisData!J:J, NewEmisData!$A:$A, $G102, NewEmisData!$B:$B, $A102, NewEmisData!$C:$C, $H102, NewEmisData!$D:$D, EF$6)</f>
        <v>6.7717132351857101</v>
      </c>
      <c r="EG102" s="1111">
        <f>SUMIFS(NewEmisData!K:K, NewEmisData!$A:$A, $G102, NewEmisData!$B:$B, $A102, NewEmisData!$C:$C, $H102, NewEmisData!$D:$D, EG$6)</f>
        <v>6.3353874772199799</v>
      </c>
      <c r="EH102" s="1111">
        <f>SUMIFS(NewEmisData!L:L, NewEmisData!$A:$A, $G102, NewEmisData!$B:$B, $A102, NewEmisData!$C:$C, $H102, NewEmisData!$D:$D, EH$6)</f>
        <v>6.3354430386428602</v>
      </c>
      <c r="EI102" s="1111">
        <f>SUMIFS(NewEmisData!M:M, NewEmisData!$A:$A, $G102, NewEmisData!$B:$B, $A102, NewEmisData!$C:$C, $H102, NewEmisData!$D:$D, EI$6)</f>
        <v>6.3805145100120502</v>
      </c>
      <c r="EJ102" s="1111">
        <f t="shared" ref="EJ102:EJ121" si="190">EI102</f>
        <v>6.3805145100120502</v>
      </c>
      <c r="EK102" s="1111">
        <f t="shared" ref="EK102:EK121" si="191">EL102</f>
        <v>1404.3271128133699</v>
      </c>
      <c r="EL102" s="1111">
        <f t="shared" si="154"/>
        <v>1404.3271128133699</v>
      </c>
      <c r="EM102" s="1111">
        <f t="shared" si="155"/>
        <v>1439.6601314125801</v>
      </c>
      <c r="EN102" s="1111">
        <f t="shared" si="156"/>
        <v>1684.18271883701</v>
      </c>
      <c r="EO102" s="1111">
        <f t="shared" si="157"/>
        <v>1650.6602334367401</v>
      </c>
      <c r="EP102" s="1111">
        <f t="shared" si="158"/>
        <v>1642.1438923528999</v>
      </c>
      <c r="EQ102" s="1111">
        <f t="shared" si="159"/>
        <v>1626.66978660524</v>
      </c>
      <c r="ER102" s="1111">
        <f t="shared" si="160"/>
        <v>1623.30402513322</v>
      </c>
      <c r="ES102" s="1111">
        <f t="shared" si="161"/>
        <v>1623.2520614663099</v>
      </c>
      <c r="ET102" s="1111">
        <f t="shared" si="162"/>
        <v>1623.40710518732</v>
      </c>
      <c r="EU102" s="1111">
        <f t="shared" si="163"/>
        <v>1623.40710518732</v>
      </c>
      <c r="EV102" s="1111">
        <f t="shared" ref="EV102:EV121" si="192">EW102</f>
        <v>8.5641579152449303</v>
      </c>
      <c r="EW102" s="1111">
        <f t="shared" si="144"/>
        <v>8.5641579152449303</v>
      </c>
      <c r="EX102" s="1111">
        <f t="shared" si="145"/>
        <v>9.6580110235574494</v>
      </c>
      <c r="EY102" s="1111">
        <f t="shared" si="146"/>
        <v>2.7867389528720699</v>
      </c>
      <c r="EZ102" s="1111">
        <f t="shared" si="147"/>
        <v>2.1696941290079601</v>
      </c>
      <c r="FA102" s="1111">
        <f t="shared" si="148"/>
        <v>1.9058529098653401</v>
      </c>
      <c r="FB102" s="1111">
        <f t="shared" si="149"/>
        <v>1.9715548791583399</v>
      </c>
      <c r="FC102" s="1111">
        <f t="shared" si="150"/>
        <v>1.80325718220481</v>
      </c>
      <c r="FD102" s="1111">
        <f t="shared" si="151"/>
        <v>1.80325766566259</v>
      </c>
      <c r="FE102" s="1111">
        <f t="shared" si="152"/>
        <v>1.80600275766325</v>
      </c>
      <c r="FF102" s="1111">
        <f t="shared" si="153"/>
        <v>1.80600275766325</v>
      </c>
      <c r="FG102" s="1111">
        <f t="shared" si="100"/>
        <v>7.0600558638666397E-3</v>
      </c>
      <c r="FH102" s="1111">
        <f t="shared" si="101"/>
        <v>7.0600558638666397E-3</v>
      </c>
      <c r="FI102" s="1111">
        <f t="shared" si="102"/>
        <v>7.2188807538929303E-3</v>
      </c>
      <c r="FJ102" s="1111">
        <f t="shared" si="103"/>
        <v>8.9168853601401706E-3</v>
      </c>
      <c r="FK102" s="1111">
        <f t="shared" si="104"/>
        <v>8.7394055968140292E-3</v>
      </c>
      <c r="FL102" s="1111">
        <f t="shared" si="105"/>
        <v>8.6943184966646898E-3</v>
      </c>
      <c r="FM102" s="1111">
        <f t="shared" si="106"/>
        <v>8.6123852585138806E-3</v>
      </c>
      <c r="FN102" s="1111">
        <f t="shared" si="107"/>
        <v>8.5945646137361408E-3</v>
      </c>
      <c r="FO102" s="1111">
        <f t="shared" si="108"/>
        <v>8.5942912264795907E-3</v>
      </c>
      <c r="FP102" s="1111">
        <f t="shared" si="109"/>
        <v>8.5951166029417398E-3</v>
      </c>
      <c r="FQ102" s="1111">
        <f t="shared" si="110"/>
        <v>8.5951166029417398E-3</v>
      </c>
      <c r="FR102" s="1111">
        <f t="shared" si="133"/>
        <v>0.308686971765607</v>
      </c>
      <c r="FS102" s="1111">
        <f t="shared" si="134"/>
        <v>0.308686971765607</v>
      </c>
      <c r="FT102" s="1111">
        <f t="shared" si="135"/>
        <v>0.3514917426559</v>
      </c>
      <c r="FU102" s="1111">
        <f t="shared" si="136"/>
        <v>0.41477994422651598</v>
      </c>
      <c r="FV102" s="1111">
        <f t="shared" si="137"/>
        <v>0.41175694437029597</v>
      </c>
      <c r="FW102" s="1111">
        <f t="shared" si="138"/>
        <v>0.41302179377238901</v>
      </c>
      <c r="FX102" s="1111">
        <f t="shared" si="139"/>
        <v>0.411506559794103</v>
      </c>
      <c r="FY102" s="1111">
        <f t="shared" si="140"/>
        <v>0.41104277522581101</v>
      </c>
      <c r="FZ102" s="1111">
        <f t="shared" si="141"/>
        <v>0.41104274130226698</v>
      </c>
      <c r="GA102" s="1111">
        <f t="shared" si="142"/>
        <v>0.41112796490950498</v>
      </c>
      <c r="GB102" s="1111">
        <f t="shared" si="143"/>
        <v>0.41112796490950498</v>
      </c>
      <c r="GC102" s="1111">
        <f t="shared" si="164"/>
        <v>8.1280068089980395E-2</v>
      </c>
      <c r="GD102" s="1111">
        <f t="shared" si="165"/>
        <v>8.1280068089980395E-2</v>
      </c>
      <c r="GE102" s="1111">
        <f t="shared" si="166"/>
        <v>0.119146422058294</v>
      </c>
      <c r="GF102" s="1111">
        <f t="shared" si="167"/>
        <v>5.78893636806442E-2</v>
      </c>
      <c r="GG102" s="1111">
        <f t="shared" si="168"/>
        <v>5.5215677186708403E-2</v>
      </c>
      <c r="GH102" s="1111">
        <f t="shared" si="169"/>
        <v>5.6334175336776801E-2</v>
      </c>
      <c r="GI102" s="1111">
        <f t="shared" si="170"/>
        <v>5.4993730550411797E-2</v>
      </c>
      <c r="GJ102" s="1111">
        <f t="shared" si="171"/>
        <v>5.4583411925712401E-2</v>
      </c>
      <c r="GK102" s="1111">
        <f t="shared" si="172"/>
        <v>5.4583454840025802E-2</v>
      </c>
      <c r="GL102" s="1111">
        <f t="shared" si="173"/>
        <v>5.4658632223239703E-2</v>
      </c>
      <c r="GM102" s="1111">
        <f t="shared" si="174"/>
        <v>5.4658632223239703E-2</v>
      </c>
    </row>
    <row r="103" spans="1:195" x14ac:dyDescent="0.2">
      <c r="A103" s="1071" t="s">
        <v>184</v>
      </c>
      <c r="B103" s="1071" t="str">
        <f>NewTech!B28</f>
        <v>TBCNGC</v>
      </c>
      <c r="C103" s="1071" t="str">
        <f>NewTech!C28</f>
        <v>Bus, Conventional CNG</v>
      </c>
      <c r="D103" s="1071" t="str">
        <f>NewTech!D28</f>
        <v>bn-vmt, bn-vmt/a</v>
      </c>
      <c r="E103" s="1071" t="str">
        <f>NewTech!E28</f>
        <v>TBCNG</v>
      </c>
      <c r="F103" s="1071" t="str">
        <f>NewTech!F28</f>
        <v>TB</v>
      </c>
      <c r="G103" s="1110" t="s">
        <v>498</v>
      </c>
      <c r="H103" s="1110" t="s">
        <v>501</v>
      </c>
      <c r="I103" s="1112">
        <v>1</v>
      </c>
      <c r="J103" s="1111" t="str">
        <f t="shared" si="37"/>
        <v>Bus-CNG</v>
      </c>
      <c r="K103" s="1111">
        <f>SUMIFS(NewEmisData!E:E, NewEmisData!$A:$A, $G103, NewEmisData!$B:$B, $A103, NewEmisData!$C:$C, $H103, NewEmisData!$D:$D, K$6)</f>
        <v>1582.4187998643499</v>
      </c>
      <c r="L103" s="1111">
        <f>SUMIFS(NewEmisData!F:F, NewEmisData!$A:$A, $G103, NewEmisData!$B:$B, $A103, NewEmisData!$C:$C, $H103, NewEmisData!$D:$D, L$6)</f>
        <v>1412.03350754338</v>
      </c>
      <c r="M103" s="1111">
        <f>SUMIFS(NewEmisData!G:G, NewEmisData!$A:$A, $G103, NewEmisData!$B:$B, $A103, NewEmisData!$C:$C, $H103, NewEmisData!$D:$D, M$6)</f>
        <v>1546.06349717532</v>
      </c>
      <c r="N103" s="1111">
        <f>SUMIFS(NewEmisData!H:H, NewEmisData!$A:$A, $G103, NewEmisData!$B:$B, $A103, NewEmisData!$C:$C, $H103, NewEmisData!$D:$D, N$6)</f>
        <v>1515.37888281612</v>
      </c>
      <c r="O103" s="1111">
        <f>SUMIFS(NewEmisData!I:I, NewEmisData!$A:$A, $G103, NewEmisData!$B:$B, $A103, NewEmisData!$C:$C, $H103, NewEmisData!$D:$D, O$6)</f>
        <v>1507.61251127639</v>
      </c>
      <c r="P103" s="1111">
        <f>SUMIFS(NewEmisData!J:J, NewEmisData!$A:$A, $G103, NewEmisData!$B:$B, $A103, NewEmisData!$C:$C, $H103, NewEmisData!$D:$D, P$6)</f>
        <v>1493.3470009960599</v>
      </c>
      <c r="Q103" s="1111">
        <f>SUMIFS(NewEmisData!K:K, NewEmisData!$A:$A, $G103, NewEmisData!$B:$B, $A103, NewEmisData!$C:$C, $H103, NewEmisData!$D:$D, Q$6)</f>
        <v>1489.9863533868299</v>
      </c>
      <c r="R103" s="1111">
        <f>SUMIFS(NewEmisData!L:L, NewEmisData!$A:$A, $G103, NewEmisData!$B:$B, $A103, NewEmisData!$C:$C, $H103, NewEmisData!$D:$D, R$6)</f>
        <v>1489.9398704633099</v>
      </c>
      <c r="S103" s="1111">
        <f>SUMIFS(NewEmisData!M:M, NewEmisData!$A:$A, $G103, NewEmisData!$B:$B, $A103, NewEmisData!$C:$C, $H103, NewEmisData!$D:$D, S$6)</f>
        <v>1490.25622635268</v>
      </c>
      <c r="T103" s="1111">
        <f t="shared" si="131"/>
        <v>1490.25622635268</v>
      </c>
      <c r="U103" s="1111">
        <f>SUMIFS(NewEmisData!E:E, NewEmisData!$A:$A, $G103, NewEmisData!$B:$B, $A103, NewEmisData!$C:$C, $H103, NewEmisData!$D:$D, U$6)</f>
        <v>13.9864690314122</v>
      </c>
      <c r="V103" s="1111">
        <f>SUMIFS(NewEmisData!F:F, NewEmisData!$A:$A, $G103, NewEmisData!$B:$B, $A103, NewEmisData!$C:$C, $H103, NewEmisData!$D:$D, V$6)</f>
        <v>8.6222310446848205</v>
      </c>
      <c r="W103" s="1111">
        <f>SUMIFS(NewEmisData!G:G, NewEmisData!$A:$A, $G103, NewEmisData!$B:$B, $A103, NewEmisData!$C:$C, $H103, NewEmisData!$D:$D, W$6)</f>
        <v>2.6611271470383202</v>
      </c>
      <c r="X103" s="1111">
        <f>SUMIFS(NewEmisData!H:H, NewEmisData!$A:$A, $G103, NewEmisData!$B:$B, $A103, NewEmisData!$C:$C, $H103, NewEmisData!$D:$D, X$6)</f>
        <v>2.0703098620271998</v>
      </c>
      <c r="Y103" s="1111">
        <f>SUMIFS(NewEmisData!I:I, NewEmisData!$A:$A, $G103, NewEmisData!$B:$B, $A103, NewEmisData!$C:$C, $H103, NewEmisData!$D:$D, Y$6)</f>
        <v>1.8197121469984701</v>
      </c>
      <c r="Z103" s="1111">
        <f>SUMIFS(NewEmisData!J:J, NewEmisData!$A:$A, $G103, NewEmisData!$B:$B, $A103, NewEmisData!$C:$C, $H103, NewEmisData!$D:$D, Z$6)</f>
        <v>1.8815055816456701</v>
      </c>
      <c r="AA103" s="1111">
        <f>SUMIFS(NewEmisData!K:K, NewEmisData!$A:$A, $G103, NewEmisData!$B:$B, $A103, NewEmisData!$C:$C, $H103, NewEmisData!$D:$D, AA$6)</f>
        <v>1.72120836005601</v>
      </c>
      <c r="AB103" s="1111">
        <f>SUMIFS(NewEmisData!L:L, NewEmisData!$A:$A, $G103, NewEmisData!$B:$B, $A103, NewEmisData!$C:$C, $H103, NewEmisData!$D:$D, AB$6)</f>
        <v>1.72121053061929</v>
      </c>
      <c r="AC103" s="1111">
        <f>SUMIFS(NewEmisData!M:M, NewEmisData!$A:$A, $G103, NewEmisData!$B:$B, $A103, NewEmisData!$C:$C, $H103, NewEmisData!$D:$D, AC$6)</f>
        <v>1.72375209093524</v>
      </c>
      <c r="AD103" s="1111">
        <f t="shared" si="132"/>
        <v>1.72375209093524</v>
      </c>
      <c r="AE103" s="1111">
        <f t="shared" si="175"/>
        <v>7.7542415434254403E-3</v>
      </c>
      <c r="AF103" s="1111">
        <f>SUMIFS(NewEmisData!E:E, NewEmisData!$A:$A, $G103, NewEmisData!$B:$B, $A103, NewEmisData!$C:$C, $H103, NewEmisData!$D:$D, AF$6)</f>
        <v>7.7542415434254403E-3</v>
      </c>
      <c r="AG103" s="1111">
        <f>SUMIFS(NewEmisData!F:F, NewEmisData!$A:$A, $G103, NewEmisData!$B:$B, $A103, NewEmisData!$C:$C, $H103, NewEmisData!$D:$D, AG$6)</f>
        <v>7.0025604799103603E-3</v>
      </c>
      <c r="AH103" s="1111">
        <f>SUMIFS(NewEmisData!G:G, NewEmisData!$A:$A, $G103, NewEmisData!$B:$B, $A103, NewEmisData!$C:$C, $H103, NewEmisData!$D:$D, AH$6)</f>
        <v>8.1856191975243908E-3</v>
      </c>
      <c r="AI103" s="1111">
        <f>SUMIFS(NewEmisData!H:H, NewEmisData!$A:$A, $G103, NewEmisData!$B:$B, $A103, NewEmisData!$C:$C, $H103, NewEmisData!$D:$D, AI$6)</f>
        <v>8.0231652001578006E-3</v>
      </c>
      <c r="AJ103" s="1111">
        <f>SUMIFS(NewEmisData!I:I, NewEmisData!$A:$A, $G103, NewEmisData!$B:$B, $A103, NewEmisData!$C:$C, $H103, NewEmisData!$D:$D, AJ$6)</f>
        <v>7.9820372345914808E-3</v>
      </c>
      <c r="AK103" s="1111">
        <f>SUMIFS(NewEmisData!J:J, NewEmisData!$A:$A, $G103, NewEmisData!$B:$B, $A103, NewEmisData!$C:$C, $H103, NewEmisData!$D:$D, AK$6)</f>
        <v>7.9065086361542296E-3</v>
      </c>
      <c r="AL103" s="1111">
        <f>SUMIFS(NewEmisData!K:K, NewEmisData!$A:$A, $G103, NewEmisData!$B:$B, $A103, NewEmisData!$C:$C, $H103, NewEmisData!$D:$D, AL$6)</f>
        <v>7.8887206920964792E-3</v>
      </c>
      <c r="AM103" s="1111">
        <f>SUMIFS(NewEmisData!L:L, NewEmisData!$A:$A, $G103, NewEmisData!$B:$B, $A103, NewEmisData!$C:$C, $H103, NewEmisData!$D:$D, AM$6)</f>
        <v>7.8884719490300206E-3</v>
      </c>
      <c r="AN103" s="1111">
        <f>SUMIFS(NewEmisData!M:M, NewEmisData!$A:$A, $G103, NewEmisData!$B:$B, $A103, NewEmisData!$C:$C, $H103, NewEmisData!$D:$D, AN$6)</f>
        <v>7.8901444470430397E-3</v>
      </c>
      <c r="AO103" s="1111">
        <f t="shared" si="176"/>
        <v>7.8901444470430397E-3</v>
      </c>
      <c r="AP103" s="1111">
        <f t="shared" si="177"/>
        <v>0.37093923028794801</v>
      </c>
      <c r="AQ103" s="1111">
        <f>SUMIFS(NewEmisData!E:E, NewEmisData!$A:$A, $G103, NewEmisData!$B:$B, $A103, NewEmisData!$C:$C, $H103, NewEmisData!$D:$D, AQ$6)</f>
        <v>0.37093923028794801</v>
      </c>
      <c r="AR103" s="1111">
        <f>SUMIFS(NewEmisData!F:F, NewEmisData!$A:$A, $G103, NewEmisData!$B:$B, $A103, NewEmisData!$C:$C, $H103, NewEmisData!$D:$D, AR$6)</f>
        <v>0.26942906985133003</v>
      </c>
      <c r="AS103" s="1111">
        <f>SUMIFS(NewEmisData!G:G, NewEmisData!$A:$A, $G103, NewEmisData!$B:$B, $A103, NewEmisData!$C:$C, $H103, NewEmisData!$D:$D, AS$6)</f>
        <v>0.31640035064412397</v>
      </c>
      <c r="AT103" s="1111">
        <f>SUMIFS(NewEmisData!H:H, NewEmisData!$A:$A, $G103, NewEmisData!$B:$B, $A103, NewEmisData!$C:$C, $H103, NewEmisData!$D:$D, AT$6)</f>
        <v>0.312988611523218</v>
      </c>
      <c r="AU103" s="1111">
        <f>SUMIFS(NewEmisData!I:I, NewEmisData!$A:$A, $G103, NewEmisData!$B:$B, $A103, NewEmisData!$C:$C, $H103, NewEmisData!$D:$D, AU$6)</f>
        <v>0.314260212084015</v>
      </c>
      <c r="AV103" s="1111">
        <f>SUMIFS(NewEmisData!J:J, NewEmisData!$A:$A, $G103, NewEmisData!$B:$B, $A103, NewEmisData!$C:$C, $H103, NewEmisData!$D:$D, AV$6)</f>
        <v>0.31268832879129399</v>
      </c>
      <c r="AW103" s="1111">
        <f>SUMIFS(NewEmisData!K:K, NewEmisData!$A:$A, $G103, NewEmisData!$B:$B, $A103, NewEmisData!$C:$C, $H103, NewEmisData!$D:$D, AW$6)</f>
        <v>0.312127508613181</v>
      </c>
      <c r="AX103" s="1111">
        <f>SUMIFS(NewEmisData!L:L, NewEmisData!$A:$A, $G103, NewEmisData!$B:$B, $A103, NewEmisData!$C:$C, $H103, NewEmisData!$D:$D, AX$6)</f>
        <v>0.31212733060652997</v>
      </c>
      <c r="AY103" s="1111">
        <f>SUMIFS(NewEmisData!M:M, NewEmisData!$A:$A, $G103, NewEmisData!$B:$B, $A103, NewEmisData!$C:$C, $H103, NewEmisData!$D:$D, AY$6)</f>
        <v>0.31221263444207797</v>
      </c>
      <c r="AZ103" s="1111">
        <f t="shared" si="178"/>
        <v>0.31221263444207797</v>
      </c>
      <c r="BA103" s="1111">
        <f t="shared" si="179"/>
        <v>0.174608341981421</v>
      </c>
      <c r="BB103" s="1111">
        <f>SUMIFS(NewEmisData!E:E, NewEmisData!$A:$A, $G103, NewEmisData!$B:$B, $A103, NewEmisData!$C:$C, $H103, NewEmisData!$D:$D, BB$6)</f>
        <v>0.174608341981421</v>
      </c>
      <c r="BC103" s="1111">
        <f>SUMIFS(NewEmisData!F:F, NewEmisData!$A:$A, $G103, NewEmisData!$B:$B, $A103, NewEmisData!$C:$C, $H103, NewEmisData!$D:$D, BC$6)</f>
        <v>8.4809909896490093E-2</v>
      </c>
      <c r="BD103" s="1111">
        <f>SUMIFS(NewEmisData!G:G, NewEmisData!$A:$A, $G103, NewEmisData!$B:$B, $A103, NewEmisData!$C:$C, $H103, NewEmisData!$D:$D, BD$6)</f>
        <v>4.5970348611854797E-2</v>
      </c>
      <c r="BE103" s="1111">
        <f>SUMIFS(NewEmisData!H:H, NewEmisData!$A:$A, $G103, NewEmisData!$B:$B, $A103, NewEmisData!$C:$C, $H103, NewEmisData!$D:$D, BE$6)</f>
        <v>4.2952507513089398E-2</v>
      </c>
      <c r="BF103" s="1111">
        <f>SUMIFS(NewEmisData!I:I, NewEmisData!$A:$A, $G103, NewEmisData!$B:$B, $A103, NewEmisData!$C:$C, $H103, NewEmisData!$D:$D, BF$6)</f>
        <v>4.4076568857239103E-2</v>
      </c>
      <c r="BG103" s="1111">
        <f>SUMIFS(NewEmisData!J:J, NewEmisData!$A:$A, $G103, NewEmisData!$B:$B, $A103, NewEmisData!$C:$C, $H103, NewEmisData!$D:$D, BG$6)</f>
        <v>4.2686220737973499E-2</v>
      </c>
      <c r="BH103" s="1111">
        <f>SUMIFS(NewEmisData!K:K, NewEmisData!$A:$A, $G103, NewEmisData!$B:$B, $A103, NewEmisData!$C:$C, $H103, NewEmisData!$D:$D, BH$6)</f>
        <v>4.2189628277317197E-2</v>
      </c>
      <c r="BI103" s="1111">
        <f>SUMIFS(NewEmisData!L:L, NewEmisData!$A:$A, $G103, NewEmisData!$B:$B, $A103, NewEmisData!$C:$C, $H103, NewEmisData!$D:$D, BI$6)</f>
        <v>4.2189715264657097E-2</v>
      </c>
      <c r="BJ103" s="1111">
        <f>SUMIFS(NewEmisData!M:M, NewEmisData!$A:$A, $G103, NewEmisData!$B:$B, $A103, NewEmisData!$C:$C, $H103, NewEmisData!$D:$D, BJ$6)</f>
        <v>4.2265205084896902E-2</v>
      </c>
      <c r="BK103" s="1111">
        <f t="shared" si="180"/>
        <v>4.2265205084896902E-2</v>
      </c>
      <c r="BL103" s="1111">
        <f t="shared" si="181"/>
        <v>22.579418641795002</v>
      </c>
      <c r="BM103" s="1111">
        <f>SUMIFS(NewEmisData!E:E, NewEmisData!$A:$A, $G103, NewEmisData!$B:$B, $A103, NewEmisData!$C:$C, $H103, NewEmisData!$D:$D, BM$6)</f>
        <v>22.579418641795002</v>
      </c>
      <c r="BN103" s="1111">
        <f>SUMIFS(NewEmisData!F:F, NewEmisData!$A:$A, $G103, NewEmisData!$B:$B, $A103, NewEmisData!$C:$C, $H103, NewEmisData!$D:$D, BN$6)</f>
        <v>9.0903852362690802</v>
      </c>
      <c r="BO103" s="1111">
        <f>SUMIFS(NewEmisData!G:G, NewEmisData!$A:$A, $G103, NewEmisData!$B:$B, $A103, NewEmisData!$C:$C, $H103, NewEmisData!$D:$D, BO$6)</f>
        <v>7.2508001242851599</v>
      </c>
      <c r="BP103" s="1111">
        <f>SUMIFS(NewEmisData!H:H, NewEmisData!$A:$A, $G103, NewEmisData!$B:$B, $A103, NewEmisData!$C:$C, $H103, NewEmisData!$D:$D, BP$6)</f>
        <v>8.3556987909824798</v>
      </c>
      <c r="BQ103" s="1111">
        <f>SUMIFS(NewEmisData!I:I, NewEmisData!$A:$A, $G103, NewEmisData!$B:$B, $A103, NewEmisData!$C:$C, $H103, NewEmisData!$D:$D, BQ$6)</f>
        <v>8.6465986366556002</v>
      </c>
      <c r="BR103" s="1111">
        <f>SUMIFS(NewEmisData!J:J, NewEmisData!$A:$A, $G103, NewEmisData!$B:$B, $A103, NewEmisData!$C:$C, $H103, NewEmisData!$D:$D, BR$6)</f>
        <v>8.4121179739218093</v>
      </c>
      <c r="BS103" s="1111">
        <f>SUMIFS(NewEmisData!K:K, NewEmisData!$A:$A, $G103, NewEmisData!$B:$B, $A103, NewEmisData!$C:$C, $H103, NewEmisData!$D:$D, BS$6)</f>
        <v>8.4583772012786298</v>
      </c>
      <c r="BT103" s="1111">
        <f>SUMIFS(NewEmisData!L:L, NewEmisData!$A:$A, $G103, NewEmisData!$B:$B, $A103, NewEmisData!$C:$C, $H103, NewEmisData!$D:$D, BT$6)</f>
        <v>8.4584037451519194</v>
      </c>
      <c r="BU103" s="1111">
        <f>SUMIFS(NewEmisData!M:M, NewEmisData!$A:$A, $G103, NewEmisData!$B:$B, $A103, NewEmisData!$C:$C, $H103, NewEmisData!$D:$D, BU$6)</f>
        <v>8.5248446231051407</v>
      </c>
      <c r="BV103" s="1111">
        <f t="shared" si="182"/>
        <v>8.5248446231051407</v>
      </c>
      <c r="BW103" s="1111">
        <f t="shared" si="183"/>
        <v>3.2512109288213198</v>
      </c>
      <c r="BX103" s="1111">
        <f>SUMIFS(NewEmisData!E:E, NewEmisData!$A:$A, $G103, NewEmisData!$B:$B, $A103, NewEmisData!$C:$C, $H103, NewEmisData!$D:$D, BX$6)</f>
        <v>3.2512109288213198</v>
      </c>
      <c r="BY103" s="1111">
        <f>SUMIFS(NewEmisData!F:F, NewEmisData!$A:$A, $G103, NewEmisData!$B:$B, $A103, NewEmisData!$C:$C, $H103, NewEmisData!$D:$D, BY$6)</f>
        <v>1.6109199205326501</v>
      </c>
      <c r="BZ103" s="1111">
        <f>SUMIFS(NewEmisData!G:G, NewEmisData!$A:$A, $G103, NewEmisData!$B:$B, $A103, NewEmisData!$C:$C, $H103, NewEmisData!$D:$D, BZ$6)</f>
        <v>0.37737454157685102</v>
      </c>
      <c r="CA103" s="1111">
        <f>SUMIFS(NewEmisData!H:H, NewEmisData!$A:$A, $G103, NewEmisData!$B:$B, $A103, NewEmisData!$C:$C, $H103, NewEmisData!$D:$D, CA$6)</f>
        <v>0.28217670263127098</v>
      </c>
      <c r="CB103" s="1111">
        <f>SUMIFS(NewEmisData!I:I, NewEmisData!$A:$A, $G103, NewEmisData!$B:$B, $A103, NewEmisData!$C:$C, $H103, NewEmisData!$D:$D, CB$6)</f>
        <v>0.27024110048467198</v>
      </c>
      <c r="CC103" s="1111">
        <f>SUMIFS(NewEmisData!J:J, NewEmisData!$A:$A, $G103, NewEmisData!$B:$B, $A103, NewEmisData!$C:$C, $H103, NewEmisData!$D:$D, CC$6)</f>
        <v>0.25937246400036401</v>
      </c>
      <c r="CD103" s="1111">
        <f>SUMIFS(NewEmisData!K:K, NewEmisData!$A:$A, $G103, NewEmisData!$B:$B, $A103, NewEmisData!$C:$C, $H103, NewEmisData!$D:$D, CD$6)</f>
        <v>0.24206727844256201</v>
      </c>
      <c r="CE103" s="1111">
        <f>SUMIFS(NewEmisData!L:L, NewEmisData!$A:$A, $G103, NewEmisData!$B:$B, $A103, NewEmisData!$C:$C, $H103, NewEmisData!$D:$D, CE$6)</f>
        <v>0.24206948212867599</v>
      </c>
      <c r="CF103" s="1111">
        <f>SUMIFS(NewEmisData!M:M, NewEmisData!$A:$A, $G103, NewEmisData!$B:$B, $A103, NewEmisData!$C:$C, $H103, NewEmisData!$D:$D, CF$6)</f>
        <v>0.24378472910784699</v>
      </c>
      <c r="CG103" s="1111">
        <f t="shared" si="184"/>
        <v>0.24378472910784699</v>
      </c>
      <c r="CH103" s="1111">
        <f t="shared" si="185"/>
        <v>4.2098933652771502E-2</v>
      </c>
      <c r="CI103" s="1111">
        <f>SUMIFS(NewEmisData!E:E, NewEmisData!$A:$A, $G103, NewEmisData!$B:$B, $A103, NewEmisData!$C:$C, $H103, NewEmisData!$D:$D, CI$6)</f>
        <v>4.2098933652771502E-2</v>
      </c>
      <c r="CJ103" s="1111">
        <f>SUMIFS(NewEmisData!F:F, NewEmisData!$A:$A, $G103, NewEmisData!$B:$B, $A103, NewEmisData!$C:$C, $H103, NewEmisData!$D:$D, CJ$6)</f>
        <v>4.2098570742761299E-2</v>
      </c>
      <c r="CK103" s="1111">
        <f>SUMIFS(NewEmisData!G:G, NewEmisData!$A:$A, $G103, NewEmisData!$B:$B, $A103, NewEmisData!$C:$C, $H103, NewEmisData!$D:$D, CK$6)</f>
        <v>5.3159719402687697E-2</v>
      </c>
      <c r="CL103" s="1111">
        <f>SUMIFS(NewEmisData!H:H, NewEmisData!$A:$A, $G103, NewEmisData!$B:$B, $A103, NewEmisData!$C:$C, $H103, NewEmisData!$D:$D, CL$6)</f>
        <v>5.3149739963877903E-2</v>
      </c>
      <c r="CM103" s="1111">
        <f>SUMIFS(NewEmisData!I:I, NewEmisData!$A:$A, $G103, NewEmisData!$B:$B, $A103, NewEmisData!$C:$C, $H103, NewEmisData!$D:$D, CM$6)</f>
        <v>5.3146224692601898E-2</v>
      </c>
      <c r="CN103" s="1111">
        <f>SUMIFS(NewEmisData!J:J, NewEmisData!$A:$A, $G103, NewEmisData!$B:$B, $A103, NewEmisData!$C:$C, $H103, NewEmisData!$D:$D, CN$6)</f>
        <v>5.3141799371229599E-2</v>
      </c>
      <c r="CO103" s="1111">
        <f>SUMIFS(NewEmisData!K:K, NewEmisData!$A:$A, $G103, NewEmisData!$B:$B, $A103, NewEmisData!$C:$C, $H103, NewEmisData!$D:$D, CO$6)</f>
        <v>5.3140820474749002E-2</v>
      </c>
      <c r="CP103" s="1111">
        <f>SUMIFS(NewEmisData!L:L, NewEmisData!$A:$A, $G103, NewEmisData!$B:$B, $A103, NewEmisData!$C:$C, $H103, NewEmisData!$D:$D, CP$6)</f>
        <v>5.3140854292493003E-2</v>
      </c>
      <c r="CQ103" s="1111">
        <f>SUMIFS(NewEmisData!M:M, NewEmisData!$A:$A, $G103, NewEmisData!$B:$B, $A103, NewEmisData!$C:$C, $H103, NewEmisData!$D:$D, CQ$6)</f>
        <v>5.3140835802365199E-2</v>
      </c>
      <c r="CR103" s="1111">
        <f t="shared" si="186"/>
        <v>5.3140835802365199E-2</v>
      </c>
      <c r="CS103" s="1111">
        <f t="shared" si="187"/>
        <v>8.8574444131497496E-2</v>
      </c>
      <c r="CT103" s="1111">
        <f>SUMIFS(NewEmisData!E:E, NewEmisData!$A:$A, $G103, NewEmisData!$B:$B, $A103, NewEmisData!$C:$C, $H103, NewEmisData!$D:$D, CT$6)</f>
        <v>8.8574444131497496E-2</v>
      </c>
      <c r="CU103" s="1111">
        <f>SUMIFS(NewEmisData!F:F, NewEmisData!$A:$A, $G103, NewEmisData!$B:$B, $A103, NewEmisData!$C:$C, $H103, NewEmisData!$D:$D, CU$6)</f>
        <v>0.158338957178361</v>
      </c>
      <c r="CV103" s="1111">
        <f>SUMIFS(NewEmisData!G:G, NewEmisData!$A:$A, $G103, NewEmisData!$B:$B, $A103, NewEmisData!$C:$C, $H103, NewEmisData!$D:$D, CV$6)</f>
        <v>0.22076039280896301</v>
      </c>
      <c r="CW103" s="1111">
        <f>SUMIFS(NewEmisData!H:H, NewEmisData!$A:$A, $G103, NewEmisData!$B:$B, $A103, NewEmisData!$C:$C, $H103, NewEmisData!$D:$D, CW$6)</f>
        <v>0.22567553296085399</v>
      </c>
      <c r="CX103" s="1111">
        <f>SUMIFS(NewEmisData!I:I, NewEmisData!$A:$A, $G103, NewEmisData!$B:$B, $A103, NewEmisData!$C:$C, $H103, NewEmisData!$D:$D, CX$6)</f>
        <v>0.22802236468630799</v>
      </c>
      <c r="CY103" s="1111">
        <f>SUMIFS(NewEmisData!J:J, NewEmisData!$A:$A, $G103, NewEmisData!$B:$B, $A103, NewEmisData!$C:$C, $H103, NewEmisData!$D:$D, CY$6)</f>
        <v>0.22901609159938899</v>
      </c>
      <c r="CZ103" s="1111">
        <f>SUMIFS(NewEmisData!K:K, NewEmisData!$A:$A, $G103, NewEmisData!$B:$B, $A103, NewEmisData!$C:$C, $H103, NewEmisData!$D:$D, CZ$6)</f>
        <v>0.22555616451962901</v>
      </c>
      <c r="DA103" s="1111">
        <f>SUMIFS(NewEmisData!L:L, NewEmisData!$A:$A, $G103, NewEmisData!$B:$B, $A103, NewEmisData!$C:$C, $H103, NewEmisData!$D:$D, DA$6)</f>
        <v>0.22555300582847901</v>
      </c>
      <c r="DB103" s="1111">
        <f>SUMIFS(NewEmisData!M:M, NewEmisData!$A:$A, $G103, NewEmisData!$B:$B, $A103, NewEmisData!$C:$C, $H103, NewEmisData!$D:$D, DB$6)</f>
        <v>0.22819598441319699</v>
      </c>
      <c r="DC103" s="1111">
        <f t="shared" si="188"/>
        <v>0.22819598441319699</v>
      </c>
      <c r="DD103" s="1111"/>
      <c r="DE103" s="1111"/>
      <c r="DF103" s="1111"/>
      <c r="DG103" s="1111"/>
      <c r="DH103" s="1111"/>
      <c r="DI103" s="1111"/>
      <c r="DJ103" s="1111"/>
      <c r="DK103" s="1111"/>
      <c r="DL103" s="1111"/>
      <c r="DM103" s="1111"/>
      <c r="DN103" s="1111"/>
      <c r="DO103" s="1111"/>
      <c r="DP103" s="1111"/>
      <c r="DQ103" s="1111"/>
      <c r="DR103" s="1111"/>
      <c r="DS103" s="1111"/>
      <c r="DT103" s="1111"/>
      <c r="DU103" s="1111"/>
      <c r="DV103" s="1111"/>
      <c r="DW103" s="1111"/>
      <c r="DX103" s="1111"/>
      <c r="DY103" s="1111"/>
      <c r="DZ103" s="1111">
        <f t="shared" si="189"/>
        <v>21.479908688362801</v>
      </c>
      <c r="EA103" s="1111">
        <f>SUMIFS(NewEmisData!E:E, NewEmisData!$A:$A, $G103, NewEmisData!$B:$B, $A103, NewEmisData!$C:$C, $H103, NewEmisData!$D:$D, EA$6)</f>
        <v>21.479908688362801</v>
      </c>
      <c r="EB103" s="1111">
        <f>SUMIFS(NewEmisData!F:F, NewEmisData!$A:$A, $G103, NewEmisData!$B:$B, $A103, NewEmisData!$C:$C, $H103, NewEmisData!$D:$D, EB$6)</f>
        <v>14.1899393572135</v>
      </c>
      <c r="EC103" s="1111">
        <f>SUMIFS(NewEmisData!G:G, NewEmisData!$A:$A, $G103, NewEmisData!$B:$B, $A103, NewEmisData!$C:$C, $H103, NewEmisData!$D:$D, EC$6)</f>
        <v>6.2647803145334597</v>
      </c>
      <c r="ED103" s="1111">
        <f>SUMIFS(NewEmisData!H:H, NewEmisData!$A:$A, $G103, NewEmisData!$B:$B, $A103, NewEmisData!$C:$C, $H103, NewEmisData!$D:$D, ED$6)</f>
        <v>5.7979869012644301</v>
      </c>
      <c r="EE103" s="1111">
        <f>SUMIFS(NewEmisData!I:I, NewEmisData!$A:$A, $G103, NewEmisData!$B:$B, $A103, NewEmisData!$C:$C, $H103, NewEmisData!$D:$D, EE$6)</f>
        <v>5.20919501649339</v>
      </c>
      <c r="EF103" s="1111">
        <f>SUMIFS(NewEmisData!J:J, NewEmisData!$A:$A, $G103, NewEmisData!$B:$B, $A103, NewEmisData!$C:$C, $H103, NewEmisData!$D:$D, EF$6)</f>
        <v>5.35594752180626</v>
      </c>
      <c r="EG103" s="1111">
        <f>SUMIFS(NewEmisData!K:K, NewEmisData!$A:$A, $G103, NewEmisData!$B:$B, $A103, NewEmisData!$C:$C, $H103, NewEmisData!$D:$D, EG$6)</f>
        <v>5.0142547371903996</v>
      </c>
      <c r="EH103" s="1111">
        <f>SUMIFS(NewEmisData!L:L, NewEmisData!$A:$A, $G103, NewEmisData!$B:$B, $A103, NewEmisData!$C:$C, $H103, NewEmisData!$D:$D, EH$6)</f>
        <v>5.01430209801104</v>
      </c>
      <c r="EI103" s="1111">
        <f>SUMIFS(NewEmisData!M:M, NewEmisData!$A:$A, $G103, NewEmisData!$B:$B, $A103, NewEmisData!$C:$C, $H103, NewEmisData!$D:$D, EI$6)</f>
        <v>5.0498323593708303</v>
      </c>
      <c r="EJ103" s="1111">
        <f t="shared" si="190"/>
        <v>5.0498323593708303</v>
      </c>
      <c r="EK103" s="1111">
        <f t="shared" si="191"/>
        <v>1582.4187998643499</v>
      </c>
      <c r="EL103" s="1111">
        <f t="shared" si="154"/>
        <v>1582.4187998643499</v>
      </c>
      <c r="EM103" s="1111">
        <f t="shared" si="155"/>
        <v>1412.03350754338</v>
      </c>
      <c r="EN103" s="1111">
        <f t="shared" si="156"/>
        <v>1546.06349717532</v>
      </c>
      <c r="EO103" s="1111">
        <f t="shared" si="157"/>
        <v>1515.37888281612</v>
      </c>
      <c r="EP103" s="1111">
        <f t="shared" si="158"/>
        <v>1507.61251127639</v>
      </c>
      <c r="EQ103" s="1111">
        <f t="shared" si="159"/>
        <v>1493.3470009960599</v>
      </c>
      <c r="ER103" s="1111">
        <f t="shared" si="160"/>
        <v>1489.9863533868299</v>
      </c>
      <c r="ES103" s="1111">
        <f t="shared" si="161"/>
        <v>1489.9398704633099</v>
      </c>
      <c r="ET103" s="1111">
        <f t="shared" si="162"/>
        <v>1490.25622635268</v>
      </c>
      <c r="EU103" s="1111">
        <f t="shared" si="163"/>
        <v>1490.25622635268</v>
      </c>
      <c r="EV103" s="1111">
        <f t="shared" si="192"/>
        <v>13.9864690314122</v>
      </c>
      <c r="EW103" s="1111">
        <f t="shared" si="144"/>
        <v>13.9864690314122</v>
      </c>
      <c r="EX103" s="1111">
        <f t="shared" si="145"/>
        <v>8.6222310446848205</v>
      </c>
      <c r="EY103" s="1111">
        <f t="shared" si="146"/>
        <v>2.6611271470383202</v>
      </c>
      <c r="EZ103" s="1111">
        <f t="shared" si="147"/>
        <v>2.0703098620271998</v>
      </c>
      <c r="FA103" s="1111">
        <f t="shared" si="148"/>
        <v>1.8197121469984701</v>
      </c>
      <c r="FB103" s="1111">
        <f t="shared" si="149"/>
        <v>1.8815055816456701</v>
      </c>
      <c r="FC103" s="1111">
        <f t="shared" si="150"/>
        <v>1.72120836005601</v>
      </c>
      <c r="FD103" s="1111">
        <f t="shared" si="151"/>
        <v>1.72121053061929</v>
      </c>
      <c r="FE103" s="1111">
        <f t="shared" si="152"/>
        <v>1.72375209093524</v>
      </c>
      <c r="FF103" s="1111">
        <f t="shared" si="153"/>
        <v>1.72375209093524</v>
      </c>
      <c r="FG103" s="1111">
        <f t="shared" si="100"/>
        <v>7.7542415434254403E-3</v>
      </c>
      <c r="FH103" s="1111">
        <f t="shared" si="101"/>
        <v>7.7542415434254403E-3</v>
      </c>
      <c r="FI103" s="1111">
        <f t="shared" si="102"/>
        <v>7.0025604799103603E-3</v>
      </c>
      <c r="FJ103" s="1111">
        <f t="shared" si="103"/>
        <v>8.1856191975243908E-3</v>
      </c>
      <c r="FK103" s="1111">
        <f t="shared" si="104"/>
        <v>8.0231652001578006E-3</v>
      </c>
      <c r="FL103" s="1111">
        <f t="shared" si="105"/>
        <v>7.9820372345914808E-3</v>
      </c>
      <c r="FM103" s="1111">
        <f t="shared" si="106"/>
        <v>7.9065086361542296E-3</v>
      </c>
      <c r="FN103" s="1111">
        <f t="shared" si="107"/>
        <v>7.8887206920964792E-3</v>
      </c>
      <c r="FO103" s="1111">
        <f t="shared" si="108"/>
        <v>7.8884719490300206E-3</v>
      </c>
      <c r="FP103" s="1111">
        <f t="shared" si="109"/>
        <v>7.8901444470430397E-3</v>
      </c>
      <c r="FQ103" s="1111">
        <f t="shared" si="110"/>
        <v>7.8901444470430397E-3</v>
      </c>
      <c r="FR103" s="1111">
        <f t="shared" si="133"/>
        <v>0.37093923028794801</v>
      </c>
      <c r="FS103" s="1111">
        <f t="shared" si="134"/>
        <v>0.37093923028794801</v>
      </c>
      <c r="FT103" s="1111">
        <f t="shared" si="135"/>
        <v>0.26942906985133003</v>
      </c>
      <c r="FU103" s="1111">
        <f t="shared" si="136"/>
        <v>0.31640035064412397</v>
      </c>
      <c r="FV103" s="1111">
        <f t="shared" si="137"/>
        <v>0.312988611523218</v>
      </c>
      <c r="FW103" s="1111">
        <f t="shared" si="138"/>
        <v>0.314260212084015</v>
      </c>
      <c r="FX103" s="1111">
        <f t="shared" si="139"/>
        <v>0.31268832879129399</v>
      </c>
      <c r="FY103" s="1111">
        <f t="shared" si="140"/>
        <v>0.312127508613181</v>
      </c>
      <c r="FZ103" s="1111">
        <f t="shared" si="141"/>
        <v>0.31212733060652997</v>
      </c>
      <c r="GA103" s="1111">
        <f t="shared" si="142"/>
        <v>0.31221263444207797</v>
      </c>
      <c r="GB103" s="1111">
        <f t="shared" si="143"/>
        <v>0.31221263444207797</v>
      </c>
      <c r="GC103" s="1111">
        <f t="shared" si="164"/>
        <v>0.174608341981421</v>
      </c>
      <c r="GD103" s="1111">
        <f t="shared" si="165"/>
        <v>0.174608341981421</v>
      </c>
      <c r="GE103" s="1111">
        <f t="shared" si="166"/>
        <v>8.4809909896490093E-2</v>
      </c>
      <c r="GF103" s="1111">
        <f t="shared" si="167"/>
        <v>4.5970348611854797E-2</v>
      </c>
      <c r="GG103" s="1111">
        <f t="shared" si="168"/>
        <v>4.2952507513089398E-2</v>
      </c>
      <c r="GH103" s="1111">
        <f t="shared" si="169"/>
        <v>4.4076568857239103E-2</v>
      </c>
      <c r="GI103" s="1111">
        <f t="shared" si="170"/>
        <v>4.2686220737973499E-2</v>
      </c>
      <c r="GJ103" s="1111">
        <f t="shared" si="171"/>
        <v>4.2189628277317197E-2</v>
      </c>
      <c r="GK103" s="1111">
        <f t="shared" si="172"/>
        <v>4.2189715264657097E-2</v>
      </c>
      <c r="GL103" s="1111">
        <f t="shared" si="173"/>
        <v>4.2265205084896902E-2</v>
      </c>
      <c r="GM103" s="1111">
        <f t="shared" si="174"/>
        <v>4.2265205084896902E-2</v>
      </c>
    </row>
    <row r="104" spans="1:195" x14ac:dyDescent="0.2">
      <c r="A104" s="1071" t="s">
        <v>186</v>
      </c>
      <c r="B104" s="1071" t="str">
        <f>NewTech!B28</f>
        <v>TBCNGC</v>
      </c>
      <c r="C104" s="1071" t="str">
        <f>NewTech!C28</f>
        <v>Bus, Conventional CNG</v>
      </c>
      <c r="D104" s="1071" t="str">
        <f>NewTech!D28</f>
        <v>bn-vmt, bn-vmt/a</v>
      </c>
      <c r="E104" s="1071" t="str">
        <f>NewTech!E28</f>
        <v>TBCNG</v>
      </c>
      <c r="F104" s="1071" t="str">
        <f>NewTech!F28</f>
        <v>TB</v>
      </c>
      <c r="G104" s="1110" t="s">
        <v>498</v>
      </c>
      <c r="H104" s="1110" t="s">
        <v>501</v>
      </c>
      <c r="I104" s="1112">
        <v>1</v>
      </c>
      <c r="J104" s="1111" t="str">
        <f t="shared" si="37"/>
        <v>Bus-CNG</v>
      </c>
      <c r="K104" s="1111">
        <f>SUMIFS(NewEmisData!E:E, NewEmisData!$A:$A, $G104, NewEmisData!$B:$B, $A104, NewEmisData!$C:$C, $H104, NewEmisData!$D:$D, K$6)</f>
        <v>2178.9967614971001</v>
      </c>
      <c r="L104" s="1111">
        <f>SUMIFS(NewEmisData!F:F, NewEmisData!$A:$A, $G104, NewEmisData!$B:$B, $A104, NewEmisData!$C:$C, $H104, NewEmisData!$D:$D, L$6)</f>
        <v>2166.1808780169699</v>
      </c>
      <c r="M104" s="1111">
        <f>SUMIFS(NewEmisData!G:G, NewEmisData!$A:$A, $G104, NewEmisData!$B:$B, $A104, NewEmisData!$C:$C, $H104, NewEmisData!$D:$D, M$6)</f>
        <v>1829.3230538083899</v>
      </c>
      <c r="N104" s="1111">
        <f>SUMIFS(NewEmisData!H:H, NewEmisData!$A:$A, $G104, NewEmisData!$B:$B, $A104, NewEmisData!$C:$C, $H104, NewEmisData!$D:$D, N$6)</f>
        <v>1792.5465477673099</v>
      </c>
      <c r="O104" s="1111">
        <f>SUMIFS(NewEmisData!I:I, NewEmisData!$A:$A, $G104, NewEmisData!$B:$B, $A104, NewEmisData!$C:$C, $H104, NewEmisData!$D:$D, O$6)</f>
        <v>1783.15413817481</v>
      </c>
      <c r="P104" s="1111">
        <f>SUMIFS(NewEmisData!J:J, NewEmisData!$A:$A, $G104, NewEmisData!$B:$B, $A104, NewEmisData!$C:$C, $H104, NewEmisData!$D:$D, P$6)</f>
        <v>1766.2276580145201</v>
      </c>
      <c r="Q104" s="1111">
        <f>SUMIFS(NewEmisData!K:K, NewEmisData!$A:$A, $G104, NewEmisData!$B:$B, $A104, NewEmisData!$C:$C, $H104, NewEmisData!$D:$D, Q$6)</f>
        <v>1762.65639856503</v>
      </c>
      <c r="R104" s="1111">
        <f>SUMIFS(NewEmisData!L:L, NewEmisData!$A:$A, $G104, NewEmisData!$B:$B, $A104, NewEmisData!$C:$C, $H104, NewEmisData!$D:$D, R$6)</f>
        <v>1762.6002362349</v>
      </c>
      <c r="S104" s="1111">
        <f>SUMIFS(NewEmisData!M:M, NewEmisData!$A:$A, $G104, NewEmisData!$B:$B, $A104, NewEmisData!$C:$C, $H104, NewEmisData!$D:$D, S$6)</f>
        <v>1762.69221348628</v>
      </c>
      <c r="T104" s="1111">
        <f t="shared" si="131"/>
        <v>1762.69221348628</v>
      </c>
      <c r="U104" s="1111">
        <f>SUMIFS(NewEmisData!E:E, NewEmisData!$A:$A, $G104, NewEmisData!$B:$B, $A104, NewEmisData!$C:$C, $H104, NewEmisData!$D:$D, U$6)</f>
        <v>17.791352967534699</v>
      </c>
      <c r="V104" s="1111">
        <f>SUMIFS(NewEmisData!F:F, NewEmisData!$A:$A, $G104, NewEmisData!$B:$B, $A104, NewEmisData!$C:$C, $H104, NewEmisData!$D:$D, V$6)</f>
        <v>17.463111089302298</v>
      </c>
      <c r="W104" s="1111">
        <f>SUMIFS(NewEmisData!G:G, NewEmisData!$A:$A, $G104, NewEmisData!$B:$B, $A104, NewEmisData!$C:$C, $H104, NewEmisData!$D:$D, W$6)</f>
        <v>3.0267310243138001</v>
      </c>
      <c r="X104" s="1111">
        <f>SUMIFS(NewEmisData!H:H, NewEmisData!$A:$A, $G104, NewEmisData!$B:$B, $A104, NewEmisData!$C:$C, $H104, NewEmisData!$D:$D, X$6)</f>
        <v>2.3543137298168899</v>
      </c>
      <c r="Y104" s="1111">
        <f>SUMIFS(NewEmisData!I:I, NewEmisData!$A:$A, $G104, NewEmisData!$B:$B, $A104, NewEmisData!$C:$C, $H104, NewEmisData!$D:$D, Y$6)</f>
        <v>2.0699541963238501</v>
      </c>
      <c r="Z104" s="1111">
        <f>SUMIFS(NewEmisData!J:J, NewEmisData!$A:$A, $G104, NewEmisData!$B:$B, $A104, NewEmisData!$C:$C, $H104, NewEmisData!$D:$D, Z$6)</f>
        <v>2.1398645413845401</v>
      </c>
      <c r="AA104" s="1111">
        <f>SUMIFS(NewEmisData!K:K, NewEmisData!$A:$A, $G104, NewEmisData!$B:$B, $A104, NewEmisData!$C:$C, $H104, NewEmisData!$D:$D, AA$6)</f>
        <v>1.9577154303695801</v>
      </c>
      <c r="AB104" s="1111">
        <f>SUMIFS(NewEmisData!L:L, NewEmisData!$A:$A, $G104, NewEmisData!$B:$B, $A104, NewEmisData!$C:$C, $H104, NewEmisData!$D:$D, AB$6)</f>
        <v>1.9577160230270401</v>
      </c>
      <c r="AC104" s="1111">
        <f>SUMIFS(NewEmisData!M:M, NewEmisData!$A:$A, $G104, NewEmisData!$B:$B, $A104, NewEmisData!$C:$C, $H104, NewEmisData!$D:$D, AC$6)</f>
        <v>1.96058425238824</v>
      </c>
      <c r="AD104" s="1111">
        <f t="shared" si="132"/>
        <v>1.96058425238824</v>
      </c>
      <c r="AE104" s="1111">
        <f t="shared" si="175"/>
        <v>7.75878540003522E-3</v>
      </c>
      <c r="AF104" s="1111">
        <f>SUMIFS(NewEmisData!E:E, NewEmisData!$A:$A, $G104, NewEmisData!$B:$B, $A104, NewEmisData!$C:$C, $H104, NewEmisData!$D:$D, AF$6)</f>
        <v>7.75878540003522E-3</v>
      </c>
      <c r="AG104" s="1111">
        <f>SUMIFS(NewEmisData!F:F, NewEmisData!$A:$A, $G104, NewEmisData!$B:$B, $A104, NewEmisData!$C:$C, $H104, NewEmisData!$D:$D, AG$6)</f>
        <v>7.7206892950845299E-3</v>
      </c>
      <c r="AH104" s="1111">
        <f>SUMIFS(NewEmisData!G:G, NewEmisData!$A:$A, $G104, NewEmisData!$B:$B, $A104, NewEmisData!$C:$C, $H104, NewEmisData!$D:$D, AH$6)</f>
        <v>9.6853348357149507E-3</v>
      </c>
      <c r="AI104" s="1111">
        <f>SUMIFS(NewEmisData!H:H, NewEmisData!$A:$A, $G104, NewEmisData!$B:$B, $A104, NewEmisData!$C:$C, $H104, NewEmisData!$D:$D, AI$6)</f>
        <v>9.4906268999874494E-3</v>
      </c>
      <c r="AJ104" s="1111">
        <f>SUMIFS(NewEmisData!I:I, NewEmisData!$A:$A, $G104, NewEmisData!$B:$B, $A104, NewEmisData!$C:$C, $H104, NewEmisData!$D:$D, AJ$6)</f>
        <v>9.4408902403545405E-3</v>
      </c>
      <c r="AK104" s="1111">
        <f>SUMIFS(NewEmisData!J:J, NewEmisData!$A:$A, $G104, NewEmisData!$B:$B, $A104, NewEmisData!$C:$C, $H104, NewEmisData!$D:$D, AK$6)</f>
        <v>9.3512761456049798E-3</v>
      </c>
      <c r="AL104" s="1111">
        <f>SUMIFS(NewEmisData!K:K, NewEmisData!$A:$A, $G104, NewEmisData!$B:$B, $A104, NewEmisData!$C:$C, $H104, NewEmisData!$D:$D, AL$6)</f>
        <v>9.3323686977463492E-3</v>
      </c>
      <c r="AM104" s="1111">
        <f>SUMIFS(NewEmisData!L:L, NewEmisData!$A:$A, $G104, NewEmisData!$B:$B, $A104, NewEmisData!$C:$C, $H104, NewEmisData!$D:$D, AM$6)</f>
        <v>9.33206965002485E-3</v>
      </c>
      <c r="AN104" s="1111">
        <f>SUMIFS(NewEmisData!M:M, NewEmisData!$A:$A, $G104, NewEmisData!$B:$B, $A104, NewEmisData!$C:$C, $H104, NewEmisData!$D:$D, AN$6)</f>
        <v>9.3325593207045504E-3</v>
      </c>
      <c r="AO104" s="1111">
        <f t="shared" si="176"/>
        <v>9.3325593207045504E-3</v>
      </c>
      <c r="AP104" s="1111">
        <f t="shared" si="177"/>
        <v>0.56323884311686501</v>
      </c>
      <c r="AQ104" s="1111">
        <f>SUMIFS(NewEmisData!E:E, NewEmisData!$A:$A, $G104, NewEmisData!$B:$B, $A104, NewEmisData!$C:$C, $H104, NewEmisData!$D:$D, AQ$6)</f>
        <v>0.56323884311686501</v>
      </c>
      <c r="AR104" s="1111">
        <f>SUMIFS(NewEmisData!F:F, NewEmisData!$A:$A, $G104, NewEmisData!$B:$B, $A104, NewEmisData!$C:$C, $H104, NewEmisData!$D:$D, AR$6)</f>
        <v>0.65967921760836901</v>
      </c>
      <c r="AS104" s="1111">
        <f>SUMIFS(NewEmisData!G:G, NewEmisData!$A:$A, $G104, NewEmisData!$B:$B, $A104, NewEmisData!$C:$C, $H104, NewEmisData!$D:$D, AS$6)</f>
        <v>0.43849398613699297</v>
      </c>
      <c r="AT104" s="1111">
        <f>SUMIFS(NewEmisData!H:H, NewEmisData!$A:$A, $G104, NewEmisData!$B:$B, $A104, NewEmisData!$C:$C, $H104, NewEmisData!$D:$D, AT$6)</f>
        <v>0.435387742291789</v>
      </c>
      <c r="AU104" s="1111">
        <f>SUMIFS(NewEmisData!I:I, NewEmisData!$A:$A, $G104, NewEmisData!$B:$B, $A104, NewEmisData!$C:$C, $H104, NewEmisData!$D:$D, AU$6)</f>
        <v>0.43677651486407298</v>
      </c>
      <c r="AV104" s="1111">
        <f>SUMIFS(NewEmisData!J:J, NewEmisData!$A:$A, $G104, NewEmisData!$B:$B, $A104, NewEmisData!$C:$C, $H104, NewEmisData!$D:$D, AV$6)</f>
        <v>0.43514383186903999</v>
      </c>
      <c r="AW104" s="1111">
        <f>SUMIFS(NewEmisData!K:K, NewEmisData!$A:$A, $G104, NewEmisData!$B:$B, $A104, NewEmisData!$C:$C, $H104, NewEmisData!$D:$D, AW$6)</f>
        <v>0.43469575175796898</v>
      </c>
      <c r="AX104" s="1111">
        <f>SUMIFS(NewEmisData!L:L, NewEmisData!$A:$A, $G104, NewEmisData!$B:$B, $A104, NewEmisData!$C:$C, $H104, NewEmisData!$D:$D, AX$6)</f>
        <v>0.434695702864836</v>
      </c>
      <c r="AY104" s="1111">
        <f>SUMIFS(NewEmisData!M:M, NewEmisData!$A:$A, $G104, NewEmisData!$B:$B, $A104, NewEmisData!$C:$C, $H104, NewEmisData!$D:$D, AY$6)</f>
        <v>0.43478505724157201</v>
      </c>
      <c r="AZ104" s="1111">
        <f t="shared" si="178"/>
        <v>0.43478505724157201</v>
      </c>
      <c r="BA104" s="1111">
        <f t="shared" si="179"/>
        <v>0.19585131976317</v>
      </c>
      <c r="BB104" s="1111">
        <f>SUMIFS(NewEmisData!E:E, NewEmisData!$A:$A, $G104, NewEmisData!$B:$B, $A104, NewEmisData!$C:$C, $H104, NewEmisData!$D:$D, BB$6)</f>
        <v>0.19585131976317</v>
      </c>
      <c r="BC104" s="1111">
        <f>SUMIFS(NewEmisData!F:F, NewEmisData!$A:$A, $G104, NewEmisData!$B:$B, $A104, NewEmisData!$C:$C, $H104, NewEmisData!$D:$D, BC$6)</f>
        <v>0.281164327502613</v>
      </c>
      <c r="BD104" s="1111">
        <f>SUMIFS(NewEmisData!G:G, NewEmisData!$A:$A, $G104, NewEmisData!$B:$B, $A104, NewEmisData!$C:$C, $H104, NewEmisData!$D:$D, BD$6)</f>
        <v>6.1015791831846501E-2</v>
      </c>
      <c r="BE104" s="1111">
        <f>SUMIFS(NewEmisData!H:H, NewEmisData!$A:$A, $G104, NewEmisData!$B:$B, $A104, NewEmisData!$C:$C, $H104, NewEmisData!$D:$D, BE$6)</f>
        <v>5.82674541625035E-2</v>
      </c>
      <c r="BF104" s="1111">
        <f>SUMIFS(NewEmisData!I:I, NewEmisData!$A:$A, $G104, NewEmisData!$B:$B, $A104, NewEmisData!$C:$C, $H104, NewEmisData!$D:$D, BF$6)</f>
        <v>5.9496434405484099E-2</v>
      </c>
      <c r="BG104" s="1111">
        <f>SUMIFS(NewEmisData!J:J, NewEmisData!$A:$A, $G104, NewEmisData!$B:$B, $A104, NewEmisData!$C:$C, $H104, NewEmisData!$D:$D, BG$6)</f>
        <v>5.8051617759569699E-2</v>
      </c>
      <c r="BH104" s="1111">
        <f>SUMIFS(NewEmisData!K:K, NewEmisData!$A:$A, $G104, NewEmisData!$B:$B, $A104, NewEmisData!$C:$C, $H104, NewEmisData!$D:$D, BH$6)</f>
        <v>5.76550670160648E-2</v>
      </c>
      <c r="BI104" s="1111">
        <f>SUMIFS(NewEmisData!L:L, NewEmisData!$A:$A, $G104, NewEmisData!$B:$B, $A104, NewEmisData!$C:$C, $H104, NewEmisData!$D:$D, BI$6)</f>
        <v>5.7655161934684902E-2</v>
      </c>
      <c r="BJ104" s="1111">
        <f>SUMIFS(NewEmisData!M:M, NewEmisData!$A:$A, $G104, NewEmisData!$B:$B, $A104, NewEmisData!$C:$C, $H104, NewEmisData!$D:$D, BJ$6)</f>
        <v>5.7734278106753099E-2</v>
      </c>
      <c r="BK104" s="1111">
        <f t="shared" si="180"/>
        <v>5.7734278106753099E-2</v>
      </c>
      <c r="BL104" s="1111">
        <f t="shared" si="181"/>
        <v>29.4596309958273</v>
      </c>
      <c r="BM104" s="1111">
        <f>SUMIFS(NewEmisData!E:E, NewEmisData!$A:$A, $G104, NewEmisData!$B:$B, $A104, NewEmisData!$C:$C, $H104, NewEmisData!$D:$D, BM$6)</f>
        <v>29.4596309958273</v>
      </c>
      <c r="BN104" s="1111">
        <f>SUMIFS(NewEmisData!F:F, NewEmisData!$A:$A, $G104, NewEmisData!$B:$B, $A104, NewEmisData!$C:$C, $H104, NewEmisData!$D:$D, BN$6)</f>
        <v>28.621105419521001</v>
      </c>
      <c r="BO104" s="1111">
        <f>SUMIFS(NewEmisData!G:G, NewEmisData!$A:$A, $G104, NewEmisData!$B:$B, $A104, NewEmisData!$C:$C, $H104, NewEmisData!$D:$D, BO$6)</f>
        <v>7.6817855463484399</v>
      </c>
      <c r="BP104" s="1111">
        <f>SUMIFS(NewEmisData!H:H, NewEmisData!$A:$A, $G104, NewEmisData!$B:$B, $A104, NewEmisData!$C:$C, $H104, NewEmisData!$D:$D, BP$6)</f>
        <v>8.9963942727621795</v>
      </c>
      <c r="BQ104" s="1111">
        <f>SUMIFS(NewEmisData!I:I, NewEmisData!$A:$A, $G104, NewEmisData!$B:$B, $A104, NewEmisData!$C:$C, $H104, NewEmisData!$D:$D, BQ$6)</f>
        <v>9.3130254372190695</v>
      </c>
      <c r="BR104" s="1111">
        <f>SUMIFS(NewEmisData!J:J, NewEmisData!$A:$A, $G104, NewEmisData!$B:$B, $A104, NewEmisData!$C:$C, $H104, NewEmisData!$D:$D, BR$6)</f>
        <v>9.0340201312627304</v>
      </c>
      <c r="BS104" s="1111">
        <f>SUMIFS(NewEmisData!K:K, NewEmisData!$A:$A, $G104, NewEmisData!$B:$B, $A104, NewEmisData!$C:$C, $H104, NewEmisData!$D:$D, BS$6)</f>
        <v>9.1194870958021301</v>
      </c>
      <c r="BT104" s="1111">
        <f>SUMIFS(NewEmisData!L:L, NewEmisData!$A:$A, $G104, NewEmisData!$B:$B, $A104, NewEmisData!$C:$C, $H104, NewEmisData!$D:$D, BT$6)</f>
        <v>9.1195354358116791</v>
      </c>
      <c r="BU104" s="1111">
        <f>SUMIFS(NewEmisData!M:M, NewEmisData!$A:$A, $G104, NewEmisData!$B:$B, $A104, NewEmisData!$C:$C, $H104, NewEmisData!$D:$D, BU$6)</f>
        <v>9.1768688492373691</v>
      </c>
      <c r="BV104" s="1111">
        <f t="shared" si="182"/>
        <v>9.1768688492373691</v>
      </c>
      <c r="BW104" s="1111">
        <f t="shared" si="183"/>
        <v>5.0930184981446001</v>
      </c>
      <c r="BX104" s="1111">
        <f>SUMIFS(NewEmisData!E:E, NewEmisData!$A:$A, $G104, NewEmisData!$B:$B, $A104, NewEmisData!$C:$C, $H104, NewEmisData!$D:$D, BX$6)</f>
        <v>5.0930184981446001</v>
      </c>
      <c r="BY104" s="1111">
        <f>SUMIFS(NewEmisData!F:F, NewEmisData!$A:$A, $G104, NewEmisData!$B:$B, $A104, NewEmisData!$C:$C, $H104, NewEmisData!$D:$D, BY$6)</f>
        <v>5.0253358346598898</v>
      </c>
      <c r="BZ104" s="1111">
        <f>SUMIFS(NewEmisData!G:G, NewEmisData!$A:$A, $G104, NewEmisData!$B:$B, $A104, NewEmisData!$C:$C, $H104, NewEmisData!$D:$D, BZ$6)</f>
        <v>0.51405823804131701</v>
      </c>
      <c r="CA104" s="1111">
        <f>SUMIFS(NewEmisData!H:H, NewEmisData!$A:$A, $G104, NewEmisData!$B:$B, $A104, NewEmisData!$C:$C, $H104, NewEmisData!$D:$D, CA$6)</f>
        <v>0.387528613317835</v>
      </c>
      <c r="CB104" s="1111">
        <f>SUMIFS(NewEmisData!I:I, NewEmisData!$A:$A, $G104, NewEmisData!$B:$B, $A104, NewEmisData!$C:$C, $H104, NewEmisData!$D:$D, CB$6)</f>
        <v>0.36774416861611597</v>
      </c>
      <c r="CC104" s="1111">
        <f>SUMIFS(NewEmisData!J:J, NewEmisData!$A:$A, $G104, NewEmisData!$B:$B, $A104, NewEmisData!$C:$C, $H104, NewEmisData!$D:$D, CC$6)</f>
        <v>0.35572251850567799</v>
      </c>
      <c r="CD104" s="1111">
        <f>SUMIFS(NewEmisData!K:K, NewEmisData!$A:$A, $G104, NewEmisData!$B:$B, $A104, NewEmisData!$C:$C, $H104, NewEmisData!$D:$D, CD$6)</f>
        <v>0.33175379038174102</v>
      </c>
      <c r="CE104" s="1111">
        <f>SUMIFS(NewEmisData!L:L, NewEmisData!$A:$A, $G104, NewEmisData!$B:$B, $A104, NewEmisData!$C:$C, $H104, NewEmisData!$D:$D, CE$6)</f>
        <v>0.331756695076598</v>
      </c>
      <c r="CF104" s="1111">
        <f>SUMIFS(NewEmisData!M:M, NewEmisData!$A:$A, $G104, NewEmisData!$B:$B, $A104, NewEmisData!$C:$C, $H104, NewEmisData!$D:$D, CF$6)</f>
        <v>0.33409632913945803</v>
      </c>
      <c r="CG104" s="1111">
        <f t="shared" si="184"/>
        <v>0.33409632913945803</v>
      </c>
      <c r="CH104" s="1111">
        <f t="shared" si="185"/>
        <v>5.8005828223388803E-2</v>
      </c>
      <c r="CI104" s="1111">
        <f>SUMIFS(NewEmisData!E:E, NewEmisData!$A:$A, $G104, NewEmisData!$B:$B, $A104, NewEmisData!$C:$C, $H104, NewEmisData!$D:$D, CI$6)</f>
        <v>5.8005828223388803E-2</v>
      </c>
      <c r="CJ104" s="1111">
        <f>SUMIFS(NewEmisData!F:F, NewEmisData!$A:$A, $G104, NewEmisData!$B:$B, $A104, NewEmisData!$C:$C, $H104, NewEmisData!$D:$D, CJ$6)</f>
        <v>5.8005698651183601E-2</v>
      </c>
      <c r="CK104" s="1111">
        <f>SUMIFS(NewEmisData!G:G, NewEmisData!$A:$A, $G104, NewEmisData!$B:$B, $A104, NewEmisData!$C:$C, $H104, NewEmisData!$D:$D, CK$6)</f>
        <v>6.3952492241155401E-2</v>
      </c>
      <c r="CL104" s="1111">
        <f>SUMIFS(NewEmisData!H:H, NewEmisData!$A:$A, $G104, NewEmisData!$B:$B, $A104, NewEmisData!$C:$C, $H104, NewEmisData!$D:$D, CL$6)</f>
        <v>6.3946667315170597E-2</v>
      </c>
      <c r="CM104" s="1111">
        <f>SUMIFS(NewEmisData!I:I, NewEmisData!$A:$A, $G104, NewEmisData!$B:$B, $A104, NewEmisData!$C:$C, $H104, NewEmisData!$D:$D, CM$6)</f>
        <v>6.3944594731192794E-2</v>
      </c>
      <c r="CN104" s="1111">
        <f>SUMIFS(NewEmisData!J:J, NewEmisData!$A:$A, $G104, NewEmisData!$B:$B, $A104, NewEmisData!$C:$C, $H104, NewEmisData!$D:$D, CN$6)</f>
        <v>6.3942027068771501E-2</v>
      </c>
      <c r="CO104" s="1111">
        <f>SUMIFS(NewEmisData!K:K, NewEmisData!$A:$A, $G104, NewEmisData!$B:$B, $A104, NewEmisData!$C:$C, $H104, NewEmisData!$D:$D, CO$6)</f>
        <v>6.3941596803110706E-2</v>
      </c>
      <c r="CP104" s="1111">
        <f>SUMIFS(NewEmisData!L:L, NewEmisData!$A:$A, $G104, NewEmisData!$B:$B, $A104, NewEmisData!$C:$C, $H104, NewEmisData!$D:$D, CP$6)</f>
        <v>6.39415366152081E-2</v>
      </c>
      <c r="CQ104" s="1111">
        <f>SUMIFS(NewEmisData!M:M, NewEmisData!$A:$A, $G104, NewEmisData!$B:$B, $A104, NewEmisData!$C:$C, $H104, NewEmisData!$D:$D, CQ$6)</f>
        <v>6.3941512340742093E-2</v>
      </c>
      <c r="CR104" s="1111">
        <f t="shared" si="186"/>
        <v>6.3941512340742093E-2</v>
      </c>
      <c r="CS104" s="1111">
        <f t="shared" si="187"/>
        <v>0.18414442462908501</v>
      </c>
      <c r="CT104" s="1111">
        <f>SUMIFS(NewEmisData!E:E, NewEmisData!$A:$A, $G104, NewEmisData!$B:$B, $A104, NewEmisData!$C:$C, $H104, NewEmisData!$D:$D, CT$6)</f>
        <v>0.18414442462908501</v>
      </c>
      <c r="CU104" s="1111">
        <f>SUMIFS(NewEmisData!F:F, NewEmisData!$A:$A, $G104, NewEmisData!$B:$B, $A104, NewEmisData!$C:$C, $H104, NewEmisData!$D:$D, CU$6)</f>
        <v>0.19305436052488101</v>
      </c>
      <c r="CV104" s="1111">
        <f>SUMIFS(NewEmisData!G:G, NewEmisData!$A:$A, $G104, NewEmisData!$B:$B, $A104, NewEmisData!$C:$C, $H104, NewEmisData!$D:$D, CV$6)</f>
        <v>0.175367660023205</v>
      </c>
      <c r="CW104" s="1111">
        <f>SUMIFS(NewEmisData!H:H, NewEmisData!$A:$A, $G104, NewEmisData!$B:$B, $A104, NewEmisData!$C:$C, $H104, NewEmisData!$D:$D, CW$6)</f>
        <v>0.17678280347714401</v>
      </c>
      <c r="CX104" s="1111">
        <f>SUMIFS(NewEmisData!I:I, NewEmisData!$A:$A, $G104, NewEmisData!$B:$B, $A104, NewEmisData!$C:$C, $H104, NewEmisData!$D:$D, CX$6)</f>
        <v>0.17745830492190401</v>
      </c>
      <c r="CY104" s="1111">
        <f>SUMIFS(NewEmisData!J:J, NewEmisData!$A:$A, $G104, NewEmisData!$B:$B, $A104, NewEmisData!$C:$C, $H104, NewEmisData!$D:$D, CY$6)</f>
        <v>0.17774444168838499</v>
      </c>
      <c r="CZ104" s="1111">
        <f>SUMIFS(NewEmisData!K:K, NewEmisData!$A:$A, $G104, NewEmisData!$B:$B, $A104, NewEmisData!$C:$C, $H104, NewEmisData!$D:$D, CZ$6)</f>
        <v>0.17674862665267799</v>
      </c>
      <c r="DA104" s="1111">
        <f>SUMIFS(NewEmisData!L:L, NewEmisData!$A:$A, $G104, NewEmisData!$B:$B, $A104, NewEmisData!$C:$C, $H104, NewEmisData!$D:$D, DA$6)</f>
        <v>0.17674752449153799</v>
      </c>
      <c r="DB104" s="1111">
        <f>SUMIFS(NewEmisData!M:M, NewEmisData!$A:$A, $G104, NewEmisData!$B:$B, $A104, NewEmisData!$C:$C, $H104, NewEmisData!$D:$D, DB$6)</f>
        <v>0.17750838787788201</v>
      </c>
      <c r="DC104" s="1111">
        <f t="shared" si="188"/>
        <v>0.17750838787788201</v>
      </c>
      <c r="DD104" s="1111"/>
      <c r="DE104" s="1111"/>
      <c r="DF104" s="1111"/>
      <c r="DG104" s="1111"/>
      <c r="DH104" s="1111"/>
      <c r="DI104" s="1111"/>
      <c r="DJ104" s="1111"/>
      <c r="DK104" s="1111"/>
      <c r="DL104" s="1111"/>
      <c r="DM104" s="1111"/>
      <c r="DN104" s="1111"/>
      <c r="DO104" s="1111"/>
      <c r="DP104" s="1111"/>
      <c r="DQ104" s="1111"/>
      <c r="DR104" s="1111"/>
      <c r="DS104" s="1111"/>
      <c r="DT104" s="1111"/>
      <c r="DU104" s="1111"/>
      <c r="DV104" s="1111"/>
      <c r="DW104" s="1111"/>
      <c r="DX104" s="1111"/>
      <c r="DY104" s="1111"/>
      <c r="DZ104" s="1111">
        <f t="shared" si="189"/>
        <v>33.5417658414489</v>
      </c>
      <c r="EA104" s="1111">
        <f>SUMIFS(NewEmisData!E:E, NewEmisData!$A:$A, $G104, NewEmisData!$B:$B, $A104, NewEmisData!$C:$C, $H104, NewEmisData!$D:$D, EA$6)</f>
        <v>33.5417658414489</v>
      </c>
      <c r="EB104" s="1111">
        <f>SUMIFS(NewEmisData!F:F, NewEmisData!$A:$A, $G104, NewEmisData!$B:$B, $A104, NewEmisData!$C:$C, $H104, NewEmisData!$D:$D, EB$6)</f>
        <v>33.653386551914203</v>
      </c>
      <c r="EC104" s="1111">
        <f>SUMIFS(NewEmisData!G:G, NewEmisData!$A:$A, $G104, NewEmisData!$B:$B, $A104, NewEmisData!$C:$C, $H104, NewEmisData!$D:$D, EC$6)</f>
        <v>8.5715796873766799</v>
      </c>
      <c r="ED104" s="1111">
        <f>SUMIFS(NewEmisData!H:H, NewEmisData!$A:$A, $G104, NewEmisData!$B:$B, $A104, NewEmisData!$C:$C, $H104, NewEmisData!$D:$D, ED$6)</f>
        <v>7.9623983507554996</v>
      </c>
      <c r="EE104" s="1111">
        <f>SUMIFS(NewEmisData!I:I, NewEmisData!$A:$A, $G104, NewEmisData!$B:$B, $A104, NewEmisData!$C:$C, $H104, NewEmisData!$D:$D, EE$6)</f>
        <v>7.1225906928367602</v>
      </c>
      <c r="EF104" s="1111">
        <f>SUMIFS(NewEmisData!J:J, NewEmisData!$A:$A, $G104, NewEmisData!$B:$B, $A104, NewEmisData!$C:$C, $H104, NewEmisData!$D:$D, EF$6)</f>
        <v>7.3453919181039096</v>
      </c>
      <c r="EG104" s="1111">
        <f>SUMIFS(NewEmisData!K:K, NewEmisData!$A:$A, $G104, NewEmisData!$B:$B, $A104, NewEmisData!$C:$C, $H104, NewEmisData!$D:$D, EG$6)</f>
        <v>6.8720474342018099</v>
      </c>
      <c r="EH104" s="1111">
        <f>SUMIFS(NewEmisData!L:L, NewEmisData!$A:$A, $G104, NewEmisData!$B:$B, $A104, NewEmisData!$C:$C, $H104, NewEmisData!$D:$D, EH$6)</f>
        <v>6.87211109726662</v>
      </c>
      <c r="EI104" s="1111">
        <f>SUMIFS(NewEmisData!M:M, NewEmisData!$A:$A, $G104, NewEmisData!$B:$B, $A104, NewEmisData!$C:$C, $H104, NewEmisData!$D:$D, EI$6)</f>
        <v>6.9205737603502202</v>
      </c>
      <c r="EJ104" s="1111">
        <f t="shared" si="190"/>
        <v>6.9205737603502202</v>
      </c>
      <c r="EK104" s="1111">
        <f t="shared" si="191"/>
        <v>2178.9967614971001</v>
      </c>
      <c r="EL104" s="1111">
        <f t="shared" si="154"/>
        <v>2178.9967614971001</v>
      </c>
      <c r="EM104" s="1111">
        <f t="shared" si="155"/>
        <v>2166.1808780169699</v>
      </c>
      <c r="EN104" s="1111">
        <f t="shared" si="156"/>
        <v>1829.3230538083899</v>
      </c>
      <c r="EO104" s="1111">
        <f t="shared" si="157"/>
        <v>1792.5465477673099</v>
      </c>
      <c r="EP104" s="1111">
        <f t="shared" si="158"/>
        <v>1783.15413817481</v>
      </c>
      <c r="EQ104" s="1111">
        <f t="shared" si="159"/>
        <v>1766.2276580145201</v>
      </c>
      <c r="ER104" s="1111">
        <f t="shared" si="160"/>
        <v>1762.65639856503</v>
      </c>
      <c r="ES104" s="1111">
        <f t="shared" si="161"/>
        <v>1762.6002362349</v>
      </c>
      <c r="ET104" s="1111">
        <f t="shared" si="162"/>
        <v>1762.69221348628</v>
      </c>
      <c r="EU104" s="1111">
        <f t="shared" si="163"/>
        <v>1762.69221348628</v>
      </c>
      <c r="EV104" s="1111">
        <f t="shared" si="192"/>
        <v>17.791352967534699</v>
      </c>
      <c r="EW104" s="1111">
        <f t="shared" si="144"/>
        <v>17.791352967534699</v>
      </c>
      <c r="EX104" s="1111">
        <f t="shared" si="145"/>
        <v>17.463111089302298</v>
      </c>
      <c r="EY104" s="1111">
        <f t="shared" si="146"/>
        <v>3.0267310243138001</v>
      </c>
      <c r="EZ104" s="1111">
        <f t="shared" si="147"/>
        <v>2.3543137298168899</v>
      </c>
      <c r="FA104" s="1111">
        <f t="shared" si="148"/>
        <v>2.0699541963238501</v>
      </c>
      <c r="FB104" s="1111">
        <f t="shared" si="149"/>
        <v>2.1398645413845401</v>
      </c>
      <c r="FC104" s="1111">
        <f t="shared" si="150"/>
        <v>1.9577154303695801</v>
      </c>
      <c r="FD104" s="1111">
        <f t="shared" si="151"/>
        <v>1.9577160230270401</v>
      </c>
      <c r="FE104" s="1111">
        <f t="shared" si="152"/>
        <v>1.96058425238824</v>
      </c>
      <c r="FF104" s="1111">
        <f t="shared" si="153"/>
        <v>1.96058425238824</v>
      </c>
      <c r="FG104" s="1111">
        <f t="shared" si="100"/>
        <v>7.75878540003522E-3</v>
      </c>
      <c r="FH104" s="1111">
        <f t="shared" si="101"/>
        <v>7.75878540003522E-3</v>
      </c>
      <c r="FI104" s="1111">
        <f t="shared" si="102"/>
        <v>7.7206892950845299E-3</v>
      </c>
      <c r="FJ104" s="1111">
        <f t="shared" si="103"/>
        <v>9.6853348357149507E-3</v>
      </c>
      <c r="FK104" s="1111">
        <f t="shared" si="104"/>
        <v>9.4906268999874494E-3</v>
      </c>
      <c r="FL104" s="1111">
        <f t="shared" si="105"/>
        <v>9.4408902403545405E-3</v>
      </c>
      <c r="FM104" s="1111">
        <f t="shared" si="106"/>
        <v>9.3512761456049798E-3</v>
      </c>
      <c r="FN104" s="1111">
        <f t="shared" si="107"/>
        <v>9.3323686977463492E-3</v>
      </c>
      <c r="FO104" s="1111">
        <f t="shared" si="108"/>
        <v>9.33206965002485E-3</v>
      </c>
      <c r="FP104" s="1111">
        <f t="shared" si="109"/>
        <v>9.3325593207045504E-3</v>
      </c>
      <c r="FQ104" s="1111">
        <f t="shared" si="110"/>
        <v>9.3325593207045504E-3</v>
      </c>
      <c r="FR104" s="1111">
        <f t="shared" si="133"/>
        <v>0.56323884311686501</v>
      </c>
      <c r="FS104" s="1111">
        <f t="shared" si="134"/>
        <v>0.56323884311686501</v>
      </c>
      <c r="FT104" s="1111">
        <f t="shared" si="135"/>
        <v>0.65967921760836901</v>
      </c>
      <c r="FU104" s="1111">
        <f t="shared" si="136"/>
        <v>0.43849398613699297</v>
      </c>
      <c r="FV104" s="1111">
        <f t="shared" si="137"/>
        <v>0.435387742291789</v>
      </c>
      <c r="FW104" s="1111">
        <f t="shared" si="138"/>
        <v>0.43677651486407298</v>
      </c>
      <c r="FX104" s="1111">
        <f t="shared" si="139"/>
        <v>0.43514383186903999</v>
      </c>
      <c r="FY104" s="1111">
        <f t="shared" si="140"/>
        <v>0.43469575175796898</v>
      </c>
      <c r="FZ104" s="1111">
        <f t="shared" si="141"/>
        <v>0.434695702864836</v>
      </c>
      <c r="GA104" s="1111">
        <f t="shared" si="142"/>
        <v>0.43478505724157201</v>
      </c>
      <c r="GB104" s="1111">
        <f t="shared" si="143"/>
        <v>0.43478505724157201</v>
      </c>
      <c r="GC104" s="1111">
        <f t="shared" si="164"/>
        <v>0.19585131976317</v>
      </c>
      <c r="GD104" s="1111">
        <f t="shared" si="165"/>
        <v>0.19585131976317</v>
      </c>
      <c r="GE104" s="1111">
        <f t="shared" si="166"/>
        <v>0.281164327502613</v>
      </c>
      <c r="GF104" s="1111">
        <f t="shared" si="167"/>
        <v>6.1015791831846501E-2</v>
      </c>
      <c r="GG104" s="1111">
        <f t="shared" si="168"/>
        <v>5.82674541625035E-2</v>
      </c>
      <c r="GH104" s="1111">
        <f t="shared" si="169"/>
        <v>5.9496434405484099E-2</v>
      </c>
      <c r="GI104" s="1111">
        <f t="shared" si="170"/>
        <v>5.8051617759569699E-2</v>
      </c>
      <c r="GJ104" s="1111">
        <f t="shared" si="171"/>
        <v>5.76550670160648E-2</v>
      </c>
      <c r="GK104" s="1111">
        <f t="shared" si="172"/>
        <v>5.7655161934684902E-2</v>
      </c>
      <c r="GL104" s="1111">
        <f t="shared" si="173"/>
        <v>5.7734278106753099E-2</v>
      </c>
      <c r="GM104" s="1111">
        <f t="shared" si="174"/>
        <v>5.7734278106753099E-2</v>
      </c>
    </row>
    <row r="105" spans="1:195" x14ac:dyDescent="0.2">
      <c r="A105" s="1071" t="s">
        <v>188</v>
      </c>
      <c r="B105" s="1071" t="str">
        <f>NewTech!B28</f>
        <v>TBCNGC</v>
      </c>
      <c r="C105" s="1071" t="str">
        <f>NewTech!C28</f>
        <v>Bus, Conventional CNG</v>
      </c>
      <c r="D105" s="1071" t="str">
        <f>NewTech!D28</f>
        <v>bn-vmt, bn-vmt/a</v>
      </c>
      <c r="E105" s="1071" t="str">
        <f>NewTech!E28</f>
        <v>TBCNG</v>
      </c>
      <c r="F105" s="1071" t="str">
        <f>NewTech!F28</f>
        <v>TB</v>
      </c>
      <c r="G105" s="1110" t="s">
        <v>498</v>
      </c>
      <c r="H105" s="1110" t="s">
        <v>501</v>
      </c>
      <c r="I105" s="1112">
        <v>1</v>
      </c>
      <c r="J105" s="1111" t="str">
        <f t="shared" si="37"/>
        <v>Bus-CNG</v>
      </c>
      <c r="K105" s="1111">
        <f>SUMIFS(NewEmisData!E:E, NewEmisData!$A:$A, $G105, NewEmisData!$B:$B, $A105, NewEmisData!$C:$C, $H105, NewEmisData!$D:$D, K$6)</f>
        <v>1516.0926472297899</v>
      </c>
      <c r="L105" s="1111">
        <f>SUMIFS(NewEmisData!F:F, NewEmisData!$A:$A, $G105, NewEmisData!$B:$B, $A105, NewEmisData!$C:$C, $H105, NewEmisData!$D:$D, L$6)</f>
        <v>1383.7625928366399</v>
      </c>
      <c r="M105" s="1111">
        <f>SUMIFS(NewEmisData!G:G, NewEmisData!$A:$A, $G105, NewEmisData!$B:$B, $A105, NewEmisData!$C:$C, $H105, NewEmisData!$D:$D, M$6)</f>
        <v>1274.6757013323299</v>
      </c>
      <c r="N105" s="1111">
        <f>SUMIFS(NewEmisData!H:H, NewEmisData!$A:$A, $G105, NewEmisData!$B:$B, $A105, NewEmisData!$C:$C, $H105, NewEmisData!$D:$D, N$6)</f>
        <v>1248.93285879051</v>
      </c>
      <c r="O105" s="1111">
        <f>SUMIFS(NewEmisData!I:I, NewEmisData!$A:$A, $G105, NewEmisData!$B:$B, $A105, NewEmisData!$C:$C, $H105, NewEmisData!$D:$D, O$6)</f>
        <v>1242.34709692709</v>
      </c>
      <c r="P105" s="1111">
        <f>SUMIFS(NewEmisData!J:J, NewEmisData!$A:$A, $G105, NewEmisData!$B:$B, $A105, NewEmisData!$C:$C, $H105, NewEmisData!$D:$D, P$6)</f>
        <v>1230.5088675593399</v>
      </c>
      <c r="Q105" s="1111">
        <f>SUMIFS(NewEmisData!K:K, NewEmisData!$A:$A, $G105, NewEmisData!$B:$B, $A105, NewEmisData!$C:$C, $H105, NewEmisData!$D:$D, Q$6)</f>
        <v>1228.0290689091601</v>
      </c>
      <c r="R105" s="1111">
        <f>SUMIFS(NewEmisData!L:L, NewEmisData!$A:$A, $G105, NewEmisData!$B:$B, $A105, NewEmisData!$C:$C, $H105, NewEmisData!$D:$D, R$6)</f>
        <v>1227.99116763047</v>
      </c>
      <c r="S105" s="1111">
        <f>SUMIFS(NewEmisData!M:M, NewEmisData!$A:$A, $G105, NewEmisData!$B:$B, $A105, NewEmisData!$C:$C, $H105, NewEmisData!$D:$D, S$6)</f>
        <v>1228.04156212526</v>
      </c>
      <c r="T105" s="1111">
        <f t="shared" si="131"/>
        <v>1228.04156212526</v>
      </c>
      <c r="U105" s="1111">
        <f>SUMIFS(NewEmisData!E:E, NewEmisData!$A:$A, $G105, NewEmisData!$B:$B, $A105, NewEmisData!$C:$C, $H105, NewEmisData!$D:$D, U$6)</f>
        <v>11.3380018594681</v>
      </c>
      <c r="V105" s="1111">
        <f>SUMIFS(NewEmisData!F:F, NewEmisData!$A:$A, $G105, NewEmisData!$B:$B, $A105, NewEmisData!$C:$C, $H105, NewEmisData!$D:$D, V$6)</f>
        <v>4.4270777617693096</v>
      </c>
      <c r="W105" s="1111">
        <f>SUMIFS(NewEmisData!G:G, NewEmisData!$A:$A, $G105, NewEmisData!$B:$B, $A105, NewEmisData!$C:$C, $H105, NewEmisData!$D:$D, W$6)</f>
        <v>2.2851784558455002</v>
      </c>
      <c r="X105" s="1111">
        <f>SUMIFS(NewEmisData!H:H, NewEmisData!$A:$A, $G105, NewEmisData!$B:$B, $A105, NewEmisData!$C:$C, $H105, NewEmisData!$D:$D, X$6)</f>
        <v>1.77665492953008</v>
      </c>
      <c r="Y105" s="1111">
        <f>SUMIFS(NewEmisData!I:I, NewEmisData!$A:$A, $G105, NewEmisData!$B:$B, $A105, NewEmisData!$C:$C, $H105, NewEmisData!$D:$D, Y$6)</f>
        <v>1.56276598268199</v>
      </c>
      <c r="Z105" s="1111">
        <f>SUMIFS(NewEmisData!J:J, NewEmisData!$A:$A, $G105, NewEmisData!$B:$B, $A105, NewEmisData!$C:$C, $H105, NewEmisData!$D:$D, Z$6)</f>
        <v>1.6150506418937001</v>
      </c>
      <c r="AA105" s="1111">
        <f>SUMIFS(NewEmisData!K:K, NewEmisData!$A:$A, $G105, NewEmisData!$B:$B, $A105, NewEmisData!$C:$C, $H105, NewEmisData!$D:$D, AA$6)</f>
        <v>1.47779953573362</v>
      </c>
      <c r="AB105" s="1111">
        <f>SUMIFS(NewEmisData!L:L, NewEmisData!$A:$A, $G105, NewEmisData!$B:$B, $A105, NewEmisData!$C:$C, $H105, NewEmisData!$D:$D, AB$6)</f>
        <v>1.4778001363942499</v>
      </c>
      <c r="AC105" s="1111">
        <f>SUMIFS(NewEmisData!M:M, NewEmisData!$A:$A, $G105, NewEmisData!$B:$B, $A105, NewEmisData!$C:$C, $H105, NewEmisData!$D:$D, AC$6)</f>
        <v>1.47991659575059</v>
      </c>
      <c r="AD105" s="1111">
        <f t="shared" si="132"/>
        <v>1.47991659575059</v>
      </c>
      <c r="AE105" s="1111">
        <f t="shared" si="175"/>
        <v>7.4194239576110604E-3</v>
      </c>
      <c r="AF105" s="1111">
        <f>SUMIFS(NewEmisData!E:E, NewEmisData!$A:$A, $G105, NewEmisData!$B:$B, $A105, NewEmisData!$C:$C, $H105, NewEmisData!$D:$D, AF$6)</f>
        <v>7.4194239576110604E-3</v>
      </c>
      <c r="AG105" s="1111">
        <f>SUMIFS(NewEmisData!F:F, NewEmisData!$A:$A, $G105, NewEmisData!$B:$B, $A105, NewEmisData!$C:$C, $H105, NewEmisData!$D:$D, AG$6)</f>
        <v>6.7471555112269604E-3</v>
      </c>
      <c r="AH105" s="1111">
        <f>SUMIFS(NewEmisData!G:G, NewEmisData!$A:$A, $G105, NewEmisData!$B:$B, $A105, NewEmisData!$C:$C, $H105, NewEmisData!$D:$D, AH$6)</f>
        <v>6.7487595451477004E-3</v>
      </c>
      <c r="AI105" s="1111">
        <f>SUMIFS(NewEmisData!H:H, NewEmisData!$A:$A, $G105, NewEmisData!$B:$B, $A105, NewEmisData!$C:$C, $H105, NewEmisData!$D:$D, AI$6)</f>
        <v>6.6124600825725501E-3</v>
      </c>
      <c r="AJ105" s="1111">
        <f>SUMIFS(NewEmisData!I:I, NewEmisData!$A:$A, $G105, NewEmisData!$B:$B, $A105, NewEmisData!$C:$C, $H105, NewEmisData!$D:$D, AJ$6)</f>
        <v>6.5775946616658003E-3</v>
      </c>
      <c r="AK105" s="1111">
        <f>SUMIFS(NewEmisData!J:J, NewEmisData!$A:$A, $G105, NewEmisData!$B:$B, $A105, NewEmisData!$C:$C, $H105, NewEmisData!$D:$D, AK$6)</f>
        <v>6.5149161690284396E-3</v>
      </c>
      <c r="AL105" s="1111">
        <f>SUMIFS(NewEmisData!K:K, NewEmisData!$A:$A, $G105, NewEmisData!$B:$B, $A105, NewEmisData!$C:$C, $H105, NewEmisData!$D:$D, AL$6)</f>
        <v>6.5017860407342804E-3</v>
      </c>
      <c r="AM105" s="1111">
        <f>SUMIFS(NewEmisData!L:L, NewEmisData!$A:$A, $G105, NewEmisData!$B:$B, $A105, NewEmisData!$C:$C, $H105, NewEmisData!$D:$D, AM$6)</f>
        <v>6.5015847958577897E-3</v>
      </c>
      <c r="AN105" s="1111">
        <f>SUMIFS(NewEmisData!M:M, NewEmisData!$A:$A, $G105, NewEmisData!$B:$B, $A105, NewEmisData!$C:$C, $H105, NewEmisData!$D:$D, AN$6)</f>
        <v>6.5018545048176604E-3</v>
      </c>
      <c r="AO105" s="1111">
        <f t="shared" si="176"/>
        <v>6.5018545048176604E-3</v>
      </c>
      <c r="AP105" s="1111">
        <f t="shared" si="177"/>
        <v>0.35807070269459501</v>
      </c>
      <c r="AQ105" s="1111">
        <f>SUMIFS(NewEmisData!E:E, NewEmisData!$A:$A, $G105, NewEmisData!$B:$B, $A105, NewEmisData!$C:$C, $H105, NewEmisData!$D:$D, AQ$6)</f>
        <v>0.35807070269459501</v>
      </c>
      <c r="AR105" s="1111">
        <f>SUMIFS(NewEmisData!F:F, NewEmisData!$A:$A, $G105, NewEmisData!$B:$B, $A105, NewEmisData!$C:$C, $H105, NewEmisData!$D:$D, AR$6)</f>
        <v>0.28679070316507099</v>
      </c>
      <c r="AS105" s="1111">
        <f>SUMIFS(NewEmisData!G:G, NewEmisData!$A:$A, $G105, NewEmisData!$B:$B, $A105, NewEmisData!$C:$C, $H105, NewEmisData!$D:$D, AS$6)</f>
        <v>0.218906747032379</v>
      </c>
      <c r="AT105" s="1111">
        <f>SUMIFS(NewEmisData!H:H, NewEmisData!$A:$A, $G105, NewEmisData!$B:$B, $A105, NewEmisData!$C:$C, $H105, NewEmisData!$D:$D, AT$6)</f>
        <v>0.21605365916241701</v>
      </c>
      <c r="AU105" s="1111">
        <f>SUMIFS(NewEmisData!I:I, NewEmisData!$A:$A, $G105, NewEmisData!$B:$B, $A105, NewEmisData!$C:$C, $H105, NewEmisData!$D:$D, AU$6)</f>
        <v>0.217493987012533</v>
      </c>
      <c r="AV105" s="1111">
        <f>SUMIFS(NewEmisData!J:J, NewEmisData!$A:$A, $G105, NewEmisData!$B:$B, $A105, NewEmisData!$C:$C, $H105, NewEmisData!$D:$D, AV$6)</f>
        <v>0.215874408641613</v>
      </c>
      <c r="AW105" s="1111">
        <f>SUMIFS(NewEmisData!K:K, NewEmisData!$A:$A, $G105, NewEmisData!$B:$B, $A105, NewEmisData!$C:$C, $H105, NewEmisData!$D:$D, AW$6)</f>
        <v>0.215548001259909</v>
      </c>
      <c r="AX105" s="1111">
        <f>SUMIFS(NewEmisData!L:L, NewEmisData!$A:$A, $G105, NewEmisData!$B:$B, $A105, NewEmisData!$C:$C, $H105, NewEmisData!$D:$D, AX$6)</f>
        <v>0.215548245034523</v>
      </c>
      <c r="AY105" s="1111">
        <f>SUMIFS(NewEmisData!M:M, NewEmisData!$A:$A, $G105, NewEmisData!$B:$B, $A105, NewEmisData!$C:$C, $H105, NewEmisData!$D:$D, AY$6)</f>
        <v>0.215615404289591</v>
      </c>
      <c r="AZ105" s="1111">
        <f t="shared" si="178"/>
        <v>0.215615404289591</v>
      </c>
      <c r="BA105" s="1111">
        <f t="shared" si="179"/>
        <v>0.13708084004218499</v>
      </c>
      <c r="BB105" s="1111">
        <f>SUMIFS(NewEmisData!E:E, NewEmisData!$A:$A, $G105, NewEmisData!$B:$B, $A105, NewEmisData!$C:$C, $H105, NewEmisData!$D:$D, BB$6)</f>
        <v>0.13708084004218499</v>
      </c>
      <c r="BC105" s="1111">
        <f>SUMIFS(NewEmisData!F:F, NewEmisData!$A:$A, $G105, NewEmisData!$B:$B, $A105, NewEmisData!$C:$C, $H105, NewEmisData!$D:$D, BC$6)</f>
        <v>7.4025422906897703E-2</v>
      </c>
      <c r="BD105" s="1111">
        <f>SUMIFS(NewEmisData!G:G, NewEmisData!$A:$A, $G105, NewEmisData!$B:$B, $A105, NewEmisData!$C:$C, $H105, NewEmisData!$D:$D, BD$6)</f>
        <v>3.24536914485807E-2</v>
      </c>
      <c r="BE105" s="1111">
        <f>SUMIFS(NewEmisData!H:H, NewEmisData!$A:$A, $G105, NewEmisData!$B:$B, $A105, NewEmisData!$C:$C, $H105, NewEmisData!$D:$D, BE$6)</f>
        <v>2.9929781219030799E-2</v>
      </c>
      <c r="BF105" s="1111">
        <f>SUMIFS(NewEmisData!I:I, NewEmisData!$A:$A, $G105, NewEmisData!$B:$B, $A105, NewEmisData!$C:$C, $H105, NewEmisData!$D:$D, BF$6)</f>
        <v>3.12036941885327E-2</v>
      </c>
      <c r="BG105" s="1111">
        <f>SUMIFS(NewEmisData!J:J, NewEmisData!$A:$A, $G105, NewEmisData!$B:$B, $A105, NewEmisData!$C:$C, $H105, NewEmisData!$D:$D, BG$6)</f>
        <v>2.97710028337012E-2</v>
      </c>
      <c r="BH105" s="1111">
        <f>SUMIFS(NewEmisData!K:K, NewEmisData!$A:$A, $G105, NewEmisData!$B:$B, $A105, NewEmisData!$C:$C, $H105, NewEmisData!$D:$D, BH$6)</f>
        <v>2.94822042516945E-2</v>
      </c>
      <c r="BI105" s="1111">
        <f>SUMIFS(NewEmisData!L:L, NewEmisData!$A:$A, $G105, NewEmisData!$B:$B, $A105, NewEmisData!$C:$C, $H105, NewEmisData!$D:$D, BI$6)</f>
        <v>2.94822767059961E-2</v>
      </c>
      <c r="BJ105" s="1111">
        <f>SUMIFS(NewEmisData!M:M, NewEmisData!$A:$A, $G105, NewEmisData!$B:$B, $A105, NewEmisData!$C:$C, $H105, NewEmisData!$D:$D, BJ$6)</f>
        <v>2.9541631676445499E-2</v>
      </c>
      <c r="BK105" s="1111">
        <f t="shared" si="180"/>
        <v>2.9541631676445499E-2</v>
      </c>
      <c r="BL105" s="1111">
        <f t="shared" si="181"/>
        <v>16.594928340204699</v>
      </c>
      <c r="BM105" s="1111">
        <f>SUMIFS(NewEmisData!E:E, NewEmisData!$A:$A, $G105, NewEmisData!$B:$B, $A105, NewEmisData!$C:$C, $H105, NewEmisData!$D:$D, BM$6)</f>
        <v>16.594928340204699</v>
      </c>
      <c r="BN105" s="1111">
        <f>SUMIFS(NewEmisData!F:F, NewEmisData!$A:$A, $G105, NewEmisData!$B:$B, $A105, NewEmisData!$C:$C, $H105, NewEmisData!$D:$D, BN$6)</f>
        <v>7.6490424169191096</v>
      </c>
      <c r="BO105" s="1111">
        <f>SUMIFS(NewEmisData!G:G, NewEmisData!$A:$A, $G105, NewEmisData!$B:$B, $A105, NewEmisData!$C:$C, $H105, NewEmisData!$D:$D, BO$6)</f>
        <v>5.2933247998308204</v>
      </c>
      <c r="BP105" s="1111">
        <f>SUMIFS(NewEmisData!H:H, NewEmisData!$A:$A, $G105, NewEmisData!$B:$B, $A105, NewEmisData!$C:$C, $H105, NewEmisData!$D:$D, BP$6)</f>
        <v>6.1528656139162701</v>
      </c>
      <c r="BQ105" s="1111">
        <f>SUMIFS(NewEmisData!I:I, NewEmisData!$A:$A, $G105, NewEmisData!$B:$B, $A105, NewEmisData!$C:$C, $H105, NewEmisData!$D:$D, BQ$6)</f>
        <v>6.3896779926879201</v>
      </c>
      <c r="BR105" s="1111">
        <f>SUMIFS(NewEmisData!J:J, NewEmisData!$A:$A, $G105, NewEmisData!$B:$B, $A105, NewEmisData!$C:$C, $H105, NewEmisData!$D:$D, BR$6)</f>
        <v>6.18028067450813</v>
      </c>
      <c r="BS105" s="1111">
        <f>SUMIFS(NewEmisData!K:K, NewEmisData!$A:$A, $G105, NewEmisData!$B:$B, $A105, NewEmisData!$C:$C, $H105, NewEmisData!$D:$D, BS$6)</f>
        <v>6.2412735124109204</v>
      </c>
      <c r="BT105" s="1111">
        <f>SUMIFS(NewEmisData!L:L, NewEmisData!$A:$A, $G105, NewEmisData!$B:$B, $A105, NewEmisData!$C:$C, $H105, NewEmisData!$D:$D, BT$6)</f>
        <v>6.2413125974036801</v>
      </c>
      <c r="BU105" s="1111">
        <f>SUMIFS(NewEmisData!M:M, NewEmisData!$A:$A, $G105, NewEmisData!$B:$B, $A105, NewEmisData!$C:$C, $H105, NewEmisData!$D:$D, BU$6)</f>
        <v>6.2790878844376499</v>
      </c>
      <c r="BV105" s="1111">
        <f t="shared" si="182"/>
        <v>6.2790878844376499</v>
      </c>
      <c r="BW105" s="1111">
        <f t="shared" si="183"/>
        <v>2.48613164030948</v>
      </c>
      <c r="BX105" s="1111">
        <f>SUMIFS(NewEmisData!E:E, NewEmisData!$A:$A, $G105, NewEmisData!$B:$B, $A105, NewEmisData!$C:$C, $H105, NewEmisData!$D:$D, BX$6)</f>
        <v>2.48613164030948</v>
      </c>
      <c r="BY105" s="1111">
        <f>SUMIFS(NewEmisData!F:F, NewEmisData!$A:$A, $G105, NewEmisData!$B:$B, $A105, NewEmisData!$C:$C, $H105, NewEmisData!$D:$D, BY$6)</f>
        <v>0.88716407266546604</v>
      </c>
      <c r="BZ105" s="1111">
        <f>SUMIFS(NewEmisData!G:G, NewEmisData!$A:$A, $G105, NewEmisData!$B:$B, $A105, NewEmisData!$C:$C, $H105, NewEmisData!$D:$D, BZ$6)</f>
        <v>0.27749893473415599</v>
      </c>
      <c r="CA105" s="1111">
        <f>SUMIFS(NewEmisData!H:H, NewEmisData!$A:$A, $G105, NewEmisData!$B:$B, $A105, NewEmisData!$C:$C, $H105, NewEmisData!$D:$D, CA$6)</f>
        <v>0.205204834261316</v>
      </c>
      <c r="CB105" s="1111">
        <f>SUMIFS(NewEmisData!I:I, NewEmisData!$A:$A, $G105, NewEmisData!$B:$B, $A105, NewEmisData!$C:$C, $H105, NewEmisData!$D:$D, CB$6)</f>
        <v>0.19805846754263601</v>
      </c>
      <c r="CC105" s="1111">
        <f>SUMIFS(NewEmisData!J:J, NewEmisData!$A:$A, $G105, NewEmisData!$B:$B, $A105, NewEmisData!$C:$C, $H105, NewEmisData!$D:$D, CC$6)</f>
        <v>0.188577407916631</v>
      </c>
      <c r="CD105" s="1111">
        <f>SUMIFS(NewEmisData!K:K, NewEmisData!$A:$A, $G105, NewEmisData!$B:$B, $A105, NewEmisData!$C:$C, $H105, NewEmisData!$D:$D, CD$6)</f>
        <v>0.176016947090364</v>
      </c>
      <c r="CE105" s="1111">
        <f>SUMIFS(NewEmisData!L:L, NewEmisData!$A:$A, $G105, NewEmisData!$B:$B, $A105, NewEmisData!$C:$C, $H105, NewEmisData!$D:$D, CE$6)</f>
        <v>0.17601867154835699</v>
      </c>
      <c r="CF105" s="1111">
        <f>SUMIFS(NewEmisData!M:M, NewEmisData!$A:$A, $G105, NewEmisData!$B:$B, $A105, NewEmisData!$C:$C, $H105, NewEmisData!$D:$D, CF$6)</f>
        <v>0.177222072212638</v>
      </c>
      <c r="CG105" s="1111">
        <f t="shared" si="184"/>
        <v>0.177222072212638</v>
      </c>
      <c r="CH105" s="1111">
        <f t="shared" si="185"/>
        <v>4.30037571070594E-2</v>
      </c>
      <c r="CI105" s="1111">
        <f>SUMIFS(NewEmisData!E:E, NewEmisData!$A:$A, $G105, NewEmisData!$B:$B, $A105, NewEmisData!$C:$C, $H105, NewEmisData!$D:$D, CI$6)</f>
        <v>4.30037571070594E-2</v>
      </c>
      <c r="CJ105" s="1111">
        <f>SUMIFS(NewEmisData!F:F, NewEmisData!$A:$A, $G105, NewEmisData!$B:$B, $A105, NewEmisData!$C:$C, $H105, NewEmisData!$D:$D, CJ$6)</f>
        <v>4.3000582506103398E-2</v>
      </c>
      <c r="CK105" s="1111">
        <f>SUMIFS(NewEmisData!G:G, NewEmisData!$A:$A, $G105, NewEmisData!$B:$B, $A105, NewEmisData!$C:$C, $H105, NewEmisData!$D:$D, CK$6)</f>
        <v>4.2098070872406003E-2</v>
      </c>
      <c r="CL105" s="1111">
        <f>SUMIFS(NewEmisData!H:H, NewEmisData!$A:$A, $G105, NewEmisData!$B:$B, $A105, NewEmisData!$C:$C, $H105, NewEmisData!$D:$D, CL$6)</f>
        <v>4.20881810288605E-2</v>
      </c>
      <c r="CM105" s="1111">
        <f>SUMIFS(NewEmisData!I:I, NewEmisData!$A:$A, $G105, NewEmisData!$B:$B, $A105, NewEmisData!$C:$C, $H105, NewEmisData!$D:$D, CM$6)</f>
        <v>4.2084744630782503E-2</v>
      </c>
      <c r="CN105" s="1111">
        <f>SUMIFS(NewEmisData!J:J, NewEmisData!$A:$A, $G105, NewEmisData!$B:$B, $A105, NewEmisData!$C:$C, $H105, NewEmisData!$D:$D, CN$6)</f>
        <v>4.2080381656288003E-2</v>
      </c>
      <c r="CO105" s="1111">
        <f>SUMIFS(NewEmisData!K:K, NewEmisData!$A:$A, $G105, NewEmisData!$B:$B, $A105, NewEmisData!$C:$C, $H105, NewEmisData!$D:$D, CO$6)</f>
        <v>4.2079482315663198E-2</v>
      </c>
      <c r="CP105" s="1111">
        <f>SUMIFS(NewEmisData!L:L, NewEmisData!$A:$A, $G105, NewEmisData!$B:$B, $A105, NewEmisData!$C:$C, $H105, NewEmisData!$D:$D, CP$6)</f>
        <v>4.2079453335109998E-2</v>
      </c>
      <c r="CQ105" s="1111">
        <f>SUMIFS(NewEmisData!M:M, NewEmisData!$A:$A, $G105, NewEmisData!$B:$B, $A105, NewEmisData!$C:$C, $H105, NewEmisData!$D:$D, CQ$6)</f>
        <v>4.20794642138183E-2</v>
      </c>
      <c r="CR105" s="1111">
        <f t="shared" si="186"/>
        <v>4.20794642138183E-2</v>
      </c>
      <c r="CS105" s="1111">
        <f t="shared" si="187"/>
        <v>0.138983420489801</v>
      </c>
      <c r="CT105" s="1111">
        <f>SUMIFS(NewEmisData!E:E, NewEmisData!$A:$A, $G105, NewEmisData!$B:$B, $A105, NewEmisData!$C:$C, $H105, NewEmisData!$D:$D, CT$6)</f>
        <v>0.138983420489801</v>
      </c>
      <c r="CU105" s="1111">
        <f>SUMIFS(NewEmisData!F:F, NewEmisData!$A:$A, $G105, NewEmisData!$B:$B, $A105, NewEmisData!$C:$C, $H105, NewEmisData!$D:$D, CU$6)</f>
        <v>0.110065157473166</v>
      </c>
      <c r="CV105" s="1111">
        <f>SUMIFS(NewEmisData!G:G, NewEmisData!$A:$A, $G105, NewEmisData!$B:$B, $A105, NewEmisData!$C:$C, $H105, NewEmisData!$D:$D, CV$6)</f>
        <v>9.1123195728333398E-2</v>
      </c>
      <c r="CW105" s="1111">
        <f>SUMIFS(NewEmisData!H:H, NewEmisData!$A:$A, $G105, NewEmisData!$B:$B, $A105, NewEmisData!$C:$C, $H105, NewEmisData!$D:$D, CW$6)</f>
        <v>9.1914690178789796E-2</v>
      </c>
      <c r="CX105" s="1111">
        <f>SUMIFS(NewEmisData!I:I, NewEmisData!$A:$A, $G105, NewEmisData!$B:$B, $A105, NewEmisData!$C:$C, $H105, NewEmisData!$D:$D, CX$6)</f>
        <v>9.2292712015421399E-2</v>
      </c>
      <c r="CY105" s="1111">
        <f>SUMIFS(NewEmisData!J:J, NewEmisData!$A:$A, $G105, NewEmisData!$B:$B, $A105, NewEmisData!$C:$C, $H105, NewEmisData!$D:$D, CY$6)</f>
        <v>9.2452653742200894E-2</v>
      </c>
      <c r="CZ105" s="1111">
        <f>SUMIFS(NewEmisData!K:K, NewEmisData!$A:$A, $G105, NewEmisData!$B:$B, $A105, NewEmisData!$C:$C, $H105, NewEmisData!$D:$D, CZ$6)</f>
        <v>9.1895568332207703E-2</v>
      </c>
      <c r="DA105" s="1111">
        <f>SUMIFS(NewEmisData!L:L, NewEmisData!$A:$A, $G105, NewEmisData!$B:$B, $A105, NewEmisData!$C:$C, $H105, NewEmisData!$D:$D, DA$6)</f>
        <v>9.1895058180879702E-2</v>
      </c>
      <c r="DB105" s="1111">
        <f>SUMIFS(NewEmisData!M:M, NewEmisData!$A:$A, $G105, NewEmisData!$B:$B, $A105, NewEmisData!$C:$C, $H105, NewEmisData!$D:$D, DB$6)</f>
        <v>9.2320675233934807E-2</v>
      </c>
      <c r="DC105" s="1111">
        <f t="shared" si="188"/>
        <v>9.2320675233934807E-2</v>
      </c>
      <c r="DD105" s="1111"/>
      <c r="DE105" s="1111"/>
      <c r="DF105" s="1111"/>
      <c r="DG105" s="1111"/>
      <c r="DH105" s="1111"/>
      <c r="DI105" s="1111"/>
      <c r="DJ105" s="1111"/>
      <c r="DK105" s="1111"/>
      <c r="DL105" s="1111"/>
      <c r="DM105" s="1111"/>
      <c r="DN105" s="1111"/>
      <c r="DO105" s="1111"/>
      <c r="DP105" s="1111"/>
      <c r="DQ105" s="1111"/>
      <c r="DR105" s="1111"/>
      <c r="DS105" s="1111"/>
      <c r="DT105" s="1111"/>
      <c r="DU105" s="1111"/>
      <c r="DV105" s="1111"/>
      <c r="DW105" s="1111"/>
      <c r="DX105" s="1111"/>
      <c r="DY105" s="1111"/>
      <c r="DZ105" s="1111">
        <f t="shared" si="189"/>
        <v>17.209080253273701</v>
      </c>
      <c r="EA105" s="1111">
        <f>SUMIFS(NewEmisData!E:E, NewEmisData!$A:$A, $G105, NewEmisData!$B:$B, $A105, NewEmisData!$C:$C, $H105, NewEmisData!$D:$D, EA$6)</f>
        <v>17.209080253273701</v>
      </c>
      <c r="EB105" s="1111">
        <f>SUMIFS(NewEmisData!F:F, NewEmisData!$A:$A, $G105, NewEmisData!$B:$B, $A105, NewEmisData!$C:$C, $H105, NewEmisData!$D:$D, EB$6)</f>
        <v>7.2706655844581203</v>
      </c>
      <c r="EC105" s="1111">
        <f>SUMIFS(NewEmisData!G:G, NewEmisData!$A:$A, $G105, NewEmisData!$B:$B, $A105, NewEmisData!$C:$C, $H105, NewEmisData!$D:$D, EC$6)</f>
        <v>4.58093294447717</v>
      </c>
      <c r="ED105" s="1111">
        <f>SUMIFS(NewEmisData!H:H, NewEmisData!$A:$A, $G105, NewEmisData!$B:$B, $A105, NewEmisData!$C:$C, $H105, NewEmisData!$D:$D, ED$6)</f>
        <v>4.2163496273832299</v>
      </c>
      <c r="EE105" s="1111">
        <f>SUMIFS(NewEmisData!I:I, NewEmisData!$A:$A, $G105, NewEmisData!$B:$B, $A105, NewEmisData!$C:$C, $H105, NewEmisData!$D:$D, EE$6)</f>
        <v>3.7973777218307498</v>
      </c>
      <c r="EF105" s="1111">
        <f>SUMIFS(NewEmisData!J:J, NewEmisData!$A:$A, $G105, NewEmisData!$B:$B, $A105, NewEmisData!$C:$C, $H105, NewEmisData!$D:$D, EF$6)</f>
        <v>3.8940626870163202</v>
      </c>
      <c r="EG105" s="1111">
        <f>SUMIFS(NewEmisData!K:K, NewEmisData!$A:$A, $G105, NewEmisData!$B:$B, $A105, NewEmisData!$C:$C, $H105, NewEmisData!$D:$D, EG$6)</f>
        <v>3.6460689806509099</v>
      </c>
      <c r="EH105" s="1111">
        <f>SUMIFS(NewEmisData!L:L, NewEmisData!$A:$A, $G105, NewEmisData!$B:$B, $A105, NewEmisData!$C:$C, $H105, NewEmisData!$D:$D, EH$6)</f>
        <v>3.6461040549748001</v>
      </c>
      <c r="EI105" s="1111">
        <f>SUMIFS(NewEmisData!M:M, NewEmisData!$A:$A, $G105, NewEmisData!$B:$B, $A105, NewEmisData!$C:$C, $H105, NewEmisData!$D:$D, EI$6)</f>
        <v>3.6710310602693701</v>
      </c>
      <c r="EJ105" s="1111">
        <f t="shared" si="190"/>
        <v>3.6710310602693701</v>
      </c>
      <c r="EK105" s="1111">
        <f t="shared" si="191"/>
        <v>1516.0926472297899</v>
      </c>
      <c r="EL105" s="1111">
        <f t="shared" si="154"/>
        <v>1516.0926472297899</v>
      </c>
      <c r="EM105" s="1111">
        <f t="shared" si="155"/>
        <v>1383.7625928366399</v>
      </c>
      <c r="EN105" s="1111">
        <f t="shared" si="156"/>
        <v>1274.6757013323299</v>
      </c>
      <c r="EO105" s="1111">
        <f t="shared" si="157"/>
        <v>1248.93285879051</v>
      </c>
      <c r="EP105" s="1111">
        <f t="shared" si="158"/>
        <v>1242.34709692709</v>
      </c>
      <c r="EQ105" s="1111">
        <f t="shared" si="159"/>
        <v>1230.5088675593399</v>
      </c>
      <c r="ER105" s="1111">
        <f t="shared" si="160"/>
        <v>1228.0290689091601</v>
      </c>
      <c r="ES105" s="1111">
        <f t="shared" si="161"/>
        <v>1227.99116763047</v>
      </c>
      <c r="ET105" s="1111">
        <f t="shared" si="162"/>
        <v>1228.04156212526</v>
      </c>
      <c r="EU105" s="1111">
        <f t="shared" si="163"/>
        <v>1228.04156212526</v>
      </c>
      <c r="EV105" s="1111">
        <f t="shared" si="192"/>
        <v>11.3380018594681</v>
      </c>
      <c r="EW105" s="1111">
        <f t="shared" si="144"/>
        <v>11.3380018594681</v>
      </c>
      <c r="EX105" s="1111">
        <f t="shared" si="145"/>
        <v>4.4270777617693096</v>
      </c>
      <c r="EY105" s="1111">
        <f t="shared" si="146"/>
        <v>2.2851784558455002</v>
      </c>
      <c r="EZ105" s="1111">
        <f t="shared" si="147"/>
        <v>1.77665492953008</v>
      </c>
      <c r="FA105" s="1111">
        <f t="shared" si="148"/>
        <v>1.56276598268199</v>
      </c>
      <c r="FB105" s="1111">
        <f t="shared" si="149"/>
        <v>1.6150506418937001</v>
      </c>
      <c r="FC105" s="1111">
        <f t="shared" si="150"/>
        <v>1.47779953573362</v>
      </c>
      <c r="FD105" s="1111">
        <f t="shared" si="151"/>
        <v>1.4778001363942499</v>
      </c>
      <c r="FE105" s="1111">
        <f t="shared" si="152"/>
        <v>1.47991659575059</v>
      </c>
      <c r="FF105" s="1111">
        <f t="shared" si="153"/>
        <v>1.47991659575059</v>
      </c>
      <c r="FG105" s="1111">
        <f t="shared" si="100"/>
        <v>7.4194239576110604E-3</v>
      </c>
      <c r="FH105" s="1111">
        <f t="shared" si="101"/>
        <v>7.4194239576110604E-3</v>
      </c>
      <c r="FI105" s="1111">
        <f t="shared" si="102"/>
        <v>6.7471555112269604E-3</v>
      </c>
      <c r="FJ105" s="1111">
        <f t="shared" si="103"/>
        <v>6.7487595451477004E-3</v>
      </c>
      <c r="FK105" s="1111">
        <f t="shared" si="104"/>
        <v>6.6124600825725501E-3</v>
      </c>
      <c r="FL105" s="1111">
        <f t="shared" si="105"/>
        <v>6.5775946616658003E-3</v>
      </c>
      <c r="FM105" s="1111">
        <f t="shared" si="106"/>
        <v>6.5149161690284396E-3</v>
      </c>
      <c r="FN105" s="1111">
        <f t="shared" si="107"/>
        <v>6.5017860407342804E-3</v>
      </c>
      <c r="FO105" s="1111">
        <f t="shared" si="108"/>
        <v>6.5015847958577897E-3</v>
      </c>
      <c r="FP105" s="1111">
        <f t="shared" si="109"/>
        <v>6.5018545048176604E-3</v>
      </c>
      <c r="FQ105" s="1111">
        <f t="shared" si="110"/>
        <v>6.5018545048176604E-3</v>
      </c>
      <c r="FR105" s="1111">
        <f t="shared" si="133"/>
        <v>0.35807070269459501</v>
      </c>
      <c r="FS105" s="1111">
        <f t="shared" si="134"/>
        <v>0.35807070269459501</v>
      </c>
      <c r="FT105" s="1111">
        <f t="shared" si="135"/>
        <v>0.28679070316507099</v>
      </c>
      <c r="FU105" s="1111">
        <f t="shared" si="136"/>
        <v>0.218906747032379</v>
      </c>
      <c r="FV105" s="1111">
        <f t="shared" si="137"/>
        <v>0.21605365916241701</v>
      </c>
      <c r="FW105" s="1111">
        <f t="shared" si="138"/>
        <v>0.217493987012533</v>
      </c>
      <c r="FX105" s="1111">
        <f t="shared" si="139"/>
        <v>0.215874408641613</v>
      </c>
      <c r="FY105" s="1111">
        <f t="shared" si="140"/>
        <v>0.215548001259909</v>
      </c>
      <c r="FZ105" s="1111">
        <f t="shared" si="141"/>
        <v>0.215548245034523</v>
      </c>
      <c r="GA105" s="1111">
        <f t="shared" si="142"/>
        <v>0.215615404289591</v>
      </c>
      <c r="GB105" s="1111">
        <f t="shared" si="143"/>
        <v>0.215615404289591</v>
      </c>
      <c r="GC105" s="1111">
        <f t="shared" si="164"/>
        <v>0.13708084004218499</v>
      </c>
      <c r="GD105" s="1111">
        <f t="shared" si="165"/>
        <v>0.13708084004218499</v>
      </c>
      <c r="GE105" s="1111">
        <f t="shared" si="166"/>
        <v>7.4025422906897703E-2</v>
      </c>
      <c r="GF105" s="1111">
        <f t="shared" si="167"/>
        <v>3.24536914485807E-2</v>
      </c>
      <c r="GG105" s="1111">
        <f t="shared" si="168"/>
        <v>2.9929781219030799E-2</v>
      </c>
      <c r="GH105" s="1111">
        <f t="shared" si="169"/>
        <v>3.12036941885327E-2</v>
      </c>
      <c r="GI105" s="1111">
        <f t="shared" si="170"/>
        <v>2.97710028337012E-2</v>
      </c>
      <c r="GJ105" s="1111">
        <f t="shared" si="171"/>
        <v>2.94822042516945E-2</v>
      </c>
      <c r="GK105" s="1111">
        <f t="shared" si="172"/>
        <v>2.94822767059961E-2</v>
      </c>
      <c r="GL105" s="1111">
        <f t="shared" si="173"/>
        <v>2.9541631676445499E-2</v>
      </c>
      <c r="GM105" s="1111">
        <f t="shared" si="174"/>
        <v>2.9541631676445499E-2</v>
      </c>
    </row>
    <row r="106" spans="1:195" x14ac:dyDescent="0.2">
      <c r="A106" s="1071" t="s">
        <v>190</v>
      </c>
      <c r="B106" s="1071" t="str">
        <f>NewTech!B28</f>
        <v>TBCNGC</v>
      </c>
      <c r="C106" s="1071" t="str">
        <f>NewTech!C28</f>
        <v>Bus, Conventional CNG</v>
      </c>
      <c r="D106" s="1071" t="str">
        <f>NewTech!D28</f>
        <v>bn-vmt, bn-vmt/a</v>
      </c>
      <c r="E106" s="1071" t="str">
        <f>NewTech!E28</f>
        <v>TBCNG</v>
      </c>
      <c r="F106" s="1071" t="str">
        <f>NewTech!F28</f>
        <v>TB</v>
      </c>
      <c r="G106" s="1110" t="s">
        <v>498</v>
      </c>
      <c r="H106" s="1110" t="s">
        <v>501</v>
      </c>
      <c r="I106" s="1112">
        <v>1</v>
      </c>
      <c r="J106" s="1111" t="str">
        <f t="shared" si="37"/>
        <v>Bus-CNG</v>
      </c>
      <c r="K106" s="1111">
        <f>SUMIFS(NewEmisData!E:E, NewEmisData!$A:$A, $G106, NewEmisData!$B:$B, $A106, NewEmisData!$C:$C, $H106, NewEmisData!$D:$D, K$6)</f>
        <v>1553.5210990931</v>
      </c>
      <c r="L106" s="1111">
        <f>SUMIFS(NewEmisData!F:F, NewEmisData!$A:$A, $G106, NewEmisData!$B:$B, $A106, NewEmisData!$C:$C, $H106, NewEmisData!$D:$D, L$6)</f>
        <v>1408.88496713674</v>
      </c>
      <c r="M106" s="1111">
        <f>SUMIFS(NewEmisData!G:G, NewEmisData!$A:$A, $G106, NewEmisData!$B:$B, $A106, NewEmisData!$C:$C, $H106, NewEmisData!$D:$D, M$6)</f>
        <v>1462.3627813248299</v>
      </c>
      <c r="N106" s="1111">
        <f>SUMIFS(NewEmisData!H:H, NewEmisData!$A:$A, $G106, NewEmisData!$B:$B, $A106, NewEmisData!$C:$C, $H106, NewEmisData!$D:$D, N$6)</f>
        <v>1432.84931920791</v>
      </c>
      <c r="O106" s="1111">
        <f>SUMIFS(NewEmisData!I:I, NewEmisData!$A:$A, $G106, NewEmisData!$B:$B, $A106, NewEmisData!$C:$C, $H106, NewEmisData!$D:$D, O$6)</f>
        <v>1425.2997832645599</v>
      </c>
      <c r="P106" s="1111">
        <f>SUMIFS(NewEmisData!J:J, NewEmisData!$A:$A, $G106, NewEmisData!$B:$B, $A106, NewEmisData!$C:$C, $H106, NewEmisData!$D:$D, P$6)</f>
        <v>1411.72897391071</v>
      </c>
      <c r="Q106" s="1111">
        <f>SUMIFS(NewEmisData!K:K, NewEmisData!$A:$A, $G106, NewEmisData!$B:$B, $A106, NewEmisData!$C:$C, $H106, NewEmisData!$D:$D, Q$6)</f>
        <v>1408.8954231452899</v>
      </c>
      <c r="R106" s="1111">
        <f>SUMIFS(NewEmisData!L:L, NewEmisData!$A:$A, $G106, NewEmisData!$B:$B, $A106, NewEmisData!$C:$C, $H106, NewEmisData!$D:$D, R$6)</f>
        <v>1408.8503496293499</v>
      </c>
      <c r="S106" s="1111">
        <f>SUMIFS(NewEmisData!M:M, NewEmisData!$A:$A, $G106, NewEmisData!$B:$B, $A106, NewEmisData!$C:$C, $H106, NewEmisData!$D:$D, S$6)</f>
        <v>1408.9043821590301</v>
      </c>
      <c r="T106" s="1111">
        <f t="shared" si="131"/>
        <v>1408.9043821590301</v>
      </c>
      <c r="U106" s="1111">
        <f>SUMIFS(NewEmisData!E:E, NewEmisData!$A:$A, $G106, NewEmisData!$B:$B, $A106, NewEmisData!$C:$C, $H106, NewEmisData!$D:$D, U$6)</f>
        <v>12.243629501244</v>
      </c>
      <c r="V106" s="1111">
        <f>SUMIFS(NewEmisData!F:F, NewEmisData!$A:$A, $G106, NewEmisData!$B:$B, $A106, NewEmisData!$C:$C, $H106, NewEmisData!$D:$D, V$6)</f>
        <v>4.4057269822849499</v>
      </c>
      <c r="W106" s="1111">
        <f>SUMIFS(NewEmisData!G:G, NewEmisData!$A:$A, $G106, NewEmisData!$B:$B, $A106, NewEmisData!$C:$C, $H106, NewEmisData!$D:$D, W$6)</f>
        <v>2.5338719659062199</v>
      </c>
      <c r="X106" s="1111">
        <f>SUMIFS(NewEmisData!H:H, NewEmisData!$A:$A, $G106, NewEmisData!$B:$B, $A106, NewEmisData!$C:$C, $H106, NewEmisData!$D:$D, X$6)</f>
        <v>1.97053635775459</v>
      </c>
      <c r="Y106" s="1111">
        <f>SUMIFS(NewEmisData!I:I, NewEmisData!$A:$A, $G106, NewEmisData!$B:$B, $A106, NewEmisData!$C:$C, $H106, NewEmisData!$D:$D, Y$6)</f>
        <v>1.73288574795435</v>
      </c>
      <c r="Z106" s="1111">
        <f>SUMIFS(NewEmisData!J:J, NewEmisData!$A:$A, $G106, NewEmisData!$B:$B, $A106, NewEmisData!$C:$C, $H106, NewEmisData!$D:$D, Z$6)</f>
        <v>1.7912592346090399</v>
      </c>
      <c r="AA106" s="1111">
        <f>SUMIFS(NewEmisData!K:K, NewEmisData!$A:$A, $G106, NewEmisData!$B:$B, $A106, NewEmisData!$C:$C, $H106, NewEmisData!$D:$D, AA$6)</f>
        <v>1.6389959510055401</v>
      </c>
      <c r="AB106" s="1111">
        <f>SUMIFS(NewEmisData!L:L, NewEmisData!$A:$A, $G106, NewEmisData!$B:$B, $A106, NewEmisData!$C:$C, $H106, NewEmisData!$D:$D, AB$6)</f>
        <v>1.6389971437373501</v>
      </c>
      <c r="AC106" s="1111">
        <f>SUMIFS(NewEmisData!M:M, NewEmisData!$A:$A, $G106, NewEmisData!$B:$B, $A106, NewEmisData!$C:$C, $H106, NewEmisData!$D:$D, AC$6)</f>
        <v>1.6413497936376999</v>
      </c>
      <c r="AD106" s="1111">
        <f t="shared" si="132"/>
        <v>1.6413497936376999</v>
      </c>
      <c r="AE106" s="1111">
        <f t="shared" si="175"/>
        <v>7.5181123500885298E-3</v>
      </c>
      <c r="AF106" s="1111">
        <f>SUMIFS(NewEmisData!E:E, NewEmisData!$A:$A, $G106, NewEmisData!$B:$B, $A106, NewEmisData!$C:$C, $H106, NewEmisData!$D:$D, AF$6)</f>
        <v>7.5181123500885298E-3</v>
      </c>
      <c r="AG106" s="1111">
        <f>SUMIFS(NewEmisData!F:F, NewEmisData!$A:$A, $G106, NewEmisData!$B:$B, $A106, NewEmisData!$C:$C, $H106, NewEmisData!$D:$D, AG$6)</f>
        <v>6.72193717894523E-3</v>
      </c>
      <c r="AH106" s="1111">
        <f>SUMIFS(NewEmisData!G:G, NewEmisData!$A:$A, $G106, NewEmisData!$B:$B, $A106, NewEmisData!$C:$C, $H106, NewEmisData!$D:$D, AH$6)</f>
        <v>7.7424633042752298E-3</v>
      </c>
      <c r="AI106" s="1111">
        <f>SUMIFS(NewEmisData!H:H, NewEmisData!$A:$A, $G106, NewEmisData!$B:$B, $A106, NewEmisData!$C:$C, $H106, NewEmisData!$D:$D, AI$6)</f>
        <v>7.5862031517122301E-3</v>
      </c>
      <c r="AJ106" s="1111">
        <f>SUMIFS(NewEmisData!I:I, NewEmisData!$A:$A, $G106, NewEmisData!$B:$B, $A106, NewEmisData!$C:$C, $H106, NewEmisData!$D:$D, AJ$6)</f>
        <v>7.5462363983801496E-3</v>
      </c>
      <c r="AK106" s="1111">
        <f>SUMIFS(NewEmisData!J:J, NewEmisData!$A:$A, $G106, NewEmisData!$B:$B, $A106, NewEmisData!$C:$C, $H106, NewEmisData!$D:$D, AK$6)</f>
        <v>7.4743875655051799E-3</v>
      </c>
      <c r="AL106" s="1111">
        <f>SUMIFS(NewEmisData!K:K, NewEmisData!$A:$A, $G106, NewEmisData!$B:$B, $A106, NewEmisData!$C:$C, $H106, NewEmisData!$D:$D, AL$6)</f>
        <v>7.4593805624821796E-3</v>
      </c>
      <c r="AM106" s="1111">
        <f>SUMIFS(NewEmisData!L:L, NewEmisData!$A:$A, $G106, NewEmisData!$B:$B, $A106, NewEmisData!$C:$C, $H106, NewEmisData!$D:$D, AM$6)</f>
        <v>7.4591468383354304E-3</v>
      </c>
      <c r="AN106" s="1111">
        <f>SUMIFS(NewEmisData!M:M, NewEmisData!$A:$A, $G106, NewEmisData!$B:$B, $A106, NewEmisData!$C:$C, $H106, NewEmisData!$D:$D, AN$6)</f>
        <v>7.4594296654913296E-3</v>
      </c>
      <c r="AO106" s="1111">
        <f t="shared" si="176"/>
        <v>7.4594296654913296E-3</v>
      </c>
      <c r="AP106" s="1111">
        <f t="shared" si="177"/>
        <v>0.39638833463587397</v>
      </c>
      <c r="AQ106" s="1111">
        <f>SUMIFS(NewEmisData!E:E, NewEmisData!$A:$A, $G106, NewEmisData!$B:$B, $A106, NewEmisData!$C:$C, $H106, NewEmisData!$D:$D, AQ$6)</f>
        <v>0.39638833463587397</v>
      </c>
      <c r="AR106" s="1111">
        <f>SUMIFS(NewEmisData!F:F, NewEmisData!$A:$A, $G106, NewEmisData!$B:$B, $A106, NewEmisData!$C:$C, $H106, NewEmisData!$D:$D, AR$6)</f>
        <v>0.29090093127093197</v>
      </c>
      <c r="AS106" s="1111">
        <f>SUMIFS(NewEmisData!G:G, NewEmisData!$A:$A, $G106, NewEmisData!$B:$B, $A106, NewEmisData!$C:$C, $H106, NewEmisData!$D:$D, AS$6)</f>
        <v>0.30512480081238003</v>
      </c>
      <c r="AT106" s="1111">
        <f>SUMIFS(NewEmisData!H:H, NewEmisData!$A:$A, $G106, NewEmisData!$B:$B, $A106, NewEmisData!$C:$C, $H106, NewEmisData!$D:$D, AT$6)</f>
        <v>0.30228358490423202</v>
      </c>
      <c r="AU106" s="1111">
        <f>SUMIFS(NewEmisData!I:I, NewEmisData!$A:$A, $G106, NewEmisData!$B:$B, $A106, NewEmisData!$C:$C, $H106, NewEmisData!$D:$D, AU$6)</f>
        <v>0.30366691295985598</v>
      </c>
      <c r="AV106" s="1111">
        <f>SUMIFS(NewEmisData!J:J, NewEmisData!$A:$A, $G106, NewEmisData!$B:$B, $A106, NewEmisData!$C:$C, $H106, NewEmisData!$D:$D, AV$6)</f>
        <v>0.30208997800131698</v>
      </c>
      <c r="AW106" s="1111">
        <f>SUMIFS(NewEmisData!K:K, NewEmisData!$A:$A, $G106, NewEmisData!$B:$B, $A106, NewEmisData!$C:$C, $H106, NewEmisData!$D:$D, AW$6)</f>
        <v>0.30173562336722598</v>
      </c>
      <c r="AX106" s="1111">
        <f>SUMIFS(NewEmisData!L:L, NewEmisData!$A:$A, $G106, NewEmisData!$B:$B, $A106, NewEmisData!$C:$C, $H106, NewEmisData!$D:$D, AX$6)</f>
        <v>0.30173549102415298</v>
      </c>
      <c r="AY106" s="1111">
        <f>SUMIFS(NewEmisData!M:M, NewEmisData!$A:$A, $G106, NewEmisData!$B:$B, $A106, NewEmisData!$C:$C, $H106, NewEmisData!$D:$D, AY$6)</f>
        <v>0.301808555330837</v>
      </c>
      <c r="AZ106" s="1111">
        <f t="shared" si="178"/>
        <v>0.301808555330837</v>
      </c>
      <c r="BA106" s="1111">
        <f t="shared" si="179"/>
        <v>0.16760085093958199</v>
      </c>
      <c r="BB106" s="1111">
        <f>SUMIFS(NewEmisData!E:E, NewEmisData!$A:$A, $G106, NewEmisData!$B:$B, $A106, NewEmisData!$C:$C, $H106, NewEmisData!$D:$D, BB$6)</f>
        <v>0.16760085093958199</v>
      </c>
      <c r="BC106" s="1111">
        <f>SUMIFS(NewEmisData!F:F, NewEmisData!$A:$A, $G106, NewEmisData!$B:$B, $A106, NewEmisData!$C:$C, $H106, NewEmisData!$D:$D, BC$6)</f>
        <v>7.4285465319141195E-2</v>
      </c>
      <c r="BD106" s="1111">
        <f>SUMIFS(NewEmisData!G:G, NewEmisData!$A:$A, $G106, NewEmisData!$B:$B, $A106, NewEmisData!$C:$C, $H106, NewEmisData!$D:$D, BD$6)</f>
        <v>4.3481827085775297E-2</v>
      </c>
      <c r="BE106" s="1111">
        <f>SUMIFS(NewEmisData!H:H, NewEmisData!$A:$A, $G106, NewEmisData!$B:$B, $A106, NewEmisData!$C:$C, $H106, NewEmisData!$D:$D, BE$6)</f>
        <v>4.0968421942404701E-2</v>
      </c>
      <c r="BF106" s="1111">
        <f>SUMIFS(NewEmisData!I:I, NewEmisData!$A:$A, $G106, NewEmisData!$B:$B, $A106, NewEmisData!$C:$C, $H106, NewEmisData!$D:$D, BF$6)</f>
        <v>4.21915697435057E-2</v>
      </c>
      <c r="BG106" s="1111">
        <f>SUMIFS(NewEmisData!J:J, NewEmisData!$A:$A, $G106, NewEmisData!$B:$B, $A106, NewEmisData!$C:$C, $H106, NewEmisData!$D:$D, BG$6)</f>
        <v>4.0796629114503602E-2</v>
      </c>
      <c r="BH106" s="1111">
        <f>SUMIFS(NewEmisData!K:K, NewEmisData!$A:$A, $G106, NewEmisData!$B:$B, $A106, NewEmisData!$C:$C, $H106, NewEmisData!$D:$D, BH$6)</f>
        <v>4.0483008408731903E-2</v>
      </c>
      <c r="BI106" s="1111">
        <f>SUMIFS(NewEmisData!L:L, NewEmisData!$A:$A, $G106, NewEmisData!$B:$B, $A106, NewEmisData!$C:$C, $H106, NewEmisData!$D:$D, BI$6)</f>
        <v>4.0483108528960102E-2</v>
      </c>
      <c r="BJ106" s="1111">
        <f>SUMIFS(NewEmisData!M:M, NewEmisData!$A:$A, $G106, NewEmisData!$B:$B, $A106, NewEmisData!$C:$C, $H106, NewEmisData!$D:$D, BJ$6)</f>
        <v>4.0547746759359002E-2</v>
      </c>
      <c r="BK106" s="1111">
        <f t="shared" si="180"/>
        <v>4.0547746759359002E-2</v>
      </c>
      <c r="BL106" s="1111">
        <f t="shared" si="181"/>
        <v>17.990411200770101</v>
      </c>
      <c r="BM106" s="1111">
        <f>SUMIFS(NewEmisData!E:E, NewEmisData!$A:$A, $G106, NewEmisData!$B:$B, $A106, NewEmisData!$C:$C, $H106, NewEmisData!$D:$D, BM$6)</f>
        <v>17.990411200770101</v>
      </c>
      <c r="BN106" s="1111">
        <f>SUMIFS(NewEmisData!F:F, NewEmisData!$A:$A, $G106, NewEmisData!$B:$B, $A106, NewEmisData!$C:$C, $H106, NewEmisData!$D:$D, BN$6)</f>
        <v>7.2585459848305502</v>
      </c>
      <c r="BO106" s="1111">
        <f>SUMIFS(NewEmisData!G:G, NewEmisData!$A:$A, $G106, NewEmisData!$B:$B, $A106, NewEmisData!$C:$C, $H106, NewEmisData!$D:$D, BO$6)</f>
        <v>6.1426523915957798</v>
      </c>
      <c r="BP106" s="1111">
        <f>SUMIFS(NewEmisData!H:H, NewEmisData!$A:$A, $G106, NewEmisData!$B:$B, $A106, NewEmisData!$C:$C, $H106, NewEmisData!$D:$D, BP$6)</f>
        <v>7.1691238003443596</v>
      </c>
      <c r="BQ106" s="1111">
        <f>SUMIFS(NewEmisData!I:I, NewEmisData!$A:$A, $G106, NewEmisData!$B:$B, $A106, NewEmisData!$C:$C, $H106, NewEmisData!$D:$D, BQ$6)</f>
        <v>7.4337921877774802</v>
      </c>
      <c r="BR106" s="1111">
        <f>SUMIFS(NewEmisData!J:J, NewEmisData!$A:$A, $G106, NewEmisData!$B:$B, $A106, NewEmisData!$C:$C, $H106, NewEmisData!$D:$D, BR$6)</f>
        <v>7.1994411397323903</v>
      </c>
      <c r="BS106" s="1111">
        <f>SUMIFS(NewEmisData!K:K, NewEmisData!$A:$A, $G106, NewEmisData!$B:$B, $A106, NewEmisData!$C:$C, $H106, NewEmisData!$D:$D, BS$6)</f>
        <v>7.2709849110611904</v>
      </c>
      <c r="BT106" s="1111">
        <f>SUMIFS(NewEmisData!L:L, NewEmisData!$A:$A, $G106, NewEmisData!$B:$B, $A106, NewEmisData!$C:$C, $H106, NewEmisData!$D:$D, BT$6)</f>
        <v>7.2710279922364496</v>
      </c>
      <c r="BU106" s="1111">
        <f>SUMIFS(NewEmisData!M:M, NewEmisData!$A:$A, $G106, NewEmisData!$B:$B, $A106, NewEmisData!$C:$C, $H106, NewEmisData!$D:$D, BU$6)</f>
        <v>7.3149803043521597</v>
      </c>
      <c r="BV106" s="1111">
        <f t="shared" si="182"/>
        <v>7.3149803043521597</v>
      </c>
      <c r="BW106" s="1111">
        <f t="shared" si="183"/>
        <v>2.9430592441144499</v>
      </c>
      <c r="BX106" s="1111">
        <f>SUMIFS(NewEmisData!E:E, NewEmisData!$A:$A, $G106, NewEmisData!$B:$B, $A106, NewEmisData!$C:$C, $H106, NewEmisData!$D:$D, BX$6)</f>
        <v>2.9430592441144499</v>
      </c>
      <c r="BY106" s="1111">
        <f>SUMIFS(NewEmisData!F:F, NewEmisData!$A:$A, $G106, NewEmisData!$B:$B, $A106, NewEmisData!$C:$C, $H106, NewEmisData!$D:$D, BY$6)</f>
        <v>0.85648765894271195</v>
      </c>
      <c r="BZ106" s="1111">
        <f>SUMIFS(NewEmisData!G:G, NewEmisData!$A:$A, $G106, NewEmisData!$B:$B, $A106, NewEmisData!$C:$C, $H106, NewEmisData!$D:$D, BZ$6)</f>
        <v>0.36361632063642702</v>
      </c>
      <c r="CA106" s="1111">
        <f>SUMIFS(NewEmisData!H:H, NewEmisData!$A:$A, $G106, NewEmisData!$B:$B, $A106, NewEmisData!$C:$C, $H106, NewEmisData!$D:$D, CA$6)</f>
        <v>0.27169020086571199</v>
      </c>
      <c r="CB106" s="1111">
        <f>SUMIFS(NewEmisData!I:I, NewEmisData!$A:$A, $G106, NewEmisData!$B:$B, $A106, NewEmisData!$C:$C, $H106, NewEmisData!$D:$D, CB$6)</f>
        <v>0.25980348368640299</v>
      </c>
      <c r="CC106" s="1111">
        <f>SUMIFS(NewEmisData!J:J, NewEmisData!$A:$A, $G106, NewEmisData!$B:$B, $A106, NewEmisData!$C:$C, $H106, NewEmisData!$D:$D, CC$6)</f>
        <v>0.24951146113875</v>
      </c>
      <c r="CD106" s="1111">
        <f>SUMIFS(NewEmisData!K:K, NewEmisData!$A:$A, $G106, NewEmisData!$B:$B, $A106, NewEmisData!$C:$C, $H106, NewEmisData!$D:$D, CD$6)</f>
        <v>0.23278809859364299</v>
      </c>
      <c r="CE106" s="1111">
        <f>SUMIFS(NewEmisData!L:L, NewEmisData!$A:$A, $G106, NewEmisData!$B:$B, $A106, NewEmisData!$C:$C, $H106, NewEmisData!$D:$D, CE$6)</f>
        <v>0.23279061475395799</v>
      </c>
      <c r="CF106" s="1111">
        <f>SUMIFS(NewEmisData!M:M, NewEmisData!$A:$A, $G106, NewEmisData!$B:$B, $A106, NewEmisData!$C:$C, $H106, NewEmisData!$D:$D, CF$6)</f>
        <v>0.23440507280589101</v>
      </c>
      <c r="CG106" s="1111">
        <f t="shared" si="184"/>
        <v>0.23440507280589101</v>
      </c>
      <c r="CH106" s="1111">
        <f t="shared" si="185"/>
        <v>4.2845431807355498E-2</v>
      </c>
      <c r="CI106" s="1111">
        <f>SUMIFS(NewEmisData!E:E, NewEmisData!$A:$A, $G106, NewEmisData!$B:$B, $A106, NewEmisData!$C:$C, $H106, NewEmisData!$D:$D, CI$6)</f>
        <v>4.2845431807355498E-2</v>
      </c>
      <c r="CJ106" s="1111">
        <f>SUMIFS(NewEmisData!F:F, NewEmisData!$A:$A, $G106, NewEmisData!$B:$B, $A106, NewEmisData!$C:$C, $H106, NewEmisData!$D:$D, CJ$6)</f>
        <v>4.2845229082484199E-2</v>
      </c>
      <c r="CK106" s="1111">
        <f>SUMIFS(NewEmisData!G:G, NewEmisData!$A:$A, $G106, NewEmisData!$B:$B, $A106, NewEmisData!$C:$C, $H106, NewEmisData!$D:$D, CK$6)</f>
        <v>4.9324427827802997E-2</v>
      </c>
      <c r="CL106" s="1111">
        <f>SUMIFS(NewEmisData!H:H, NewEmisData!$A:$A, $G106, NewEmisData!$B:$B, $A106, NewEmisData!$C:$C, $H106, NewEmisData!$D:$D, CL$6)</f>
        <v>4.9316373839858499E-2</v>
      </c>
      <c r="CM106" s="1111">
        <f>SUMIFS(NewEmisData!I:I, NewEmisData!$A:$A, $G106, NewEmisData!$B:$B, $A106, NewEmisData!$C:$C, $H106, NewEmisData!$D:$D, CM$6)</f>
        <v>4.9313565182193903E-2</v>
      </c>
      <c r="CN106" s="1111">
        <f>SUMIFS(NewEmisData!J:J, NewEmisData!$A:$A, $G106, NewEmisData!$B:$B, $A106, NewEmisData!$C:$C, $H106, NewEmisData!$D:$D, CN$6)</f>
        <v>4.9310010478126401E-2</v>
      </c>
      <c r="CO106" s="1111">
        <f>SUMIFS(NewEmisData!K:K, NewEmisData!$A:$A, $G106, NewEmisData!$B:$B, $A106, NewEmisData!$C:$C, $H106, NewEmisData!$D:$D, CO$6)</f>
        <v>4.9309269691000898E-2</v>
      </c>
      <c r="CP106" s="1111">
        <f>SUMIFS(NewEmisData!L:L, NewEmisData!$A:$A, $G106, NewEmisData!$B:$B, $A106, NewEmisData!$C:$C, $H106, NewEmisData!$D:$D, CP$6)</f>
        <v>4.9309246414996899E-2</v>
      </c>
      <c r="CQ106" s="1111">
        <f>SUMIFS(NewEmisData!M:M, NewEmisData!$A:$A, $G106, NewEmisData!$B:$B, $A106, NewEmisData!$C:$C, $H106, NewEmisData!$D:$D, CQ$6)</f>
        <v>4.93092310618925E-2</v>
      </c>
      <c r="CR106" s="1111">
        <f t="shared" si="186"/>
        <v>4.93092310618925E-2</v>
      </c>
      <c r="CS106" s="1111">
        <f t="shared" si="187"/>
        <v>9.5022001966096004E-2</v>
      </c>
      <c r="CT106" s="1111">
        <f>SUMIFS(NewEmisData!E:E, NewEmisData!$A:$A, $G106, NewEmisData!$B:$B, $A106, NewEmisData!$C:$C, $H106, NewEmisData!$D:$D, CT$6)</f>
        <v>9.5022001966096004E-2</v>
      </c>
      <c r="CU106" s="1111">
        <f>SUMIFS(NewEmisData!F:F, NewEmisData!$A:$A, $G106, NewEmisData!$B:$B, $A106, NewEmisData!$C:$C, $H106, NewEmisData!$D:$D, CU$6)</f>
        <v>9.4153576596088001E-2</v>
      </c>
      <c r="CV106" s="1111">
        <f>SUMIFS(NewEmisData!G:G, NewEmisData!$A:$A, $G106, NewEmisData!$B:$B, $A106, NewEmisData!$C:$C, $H106, NewEmisData!$D:$D, CV$6)</f>
        <v>0.116196244904277</v>
      </c>
      <c r="CW106" s="1111">
        <f>SUMIFS(NewEmisData!H:H, NewEmisData!$A:$A, $G106, NewEmisData!$B:$B, $A106, NewEmisData!$C:$C, $H106, NewEmisData!$D:$D, CW$6)</f>
        <v>0.117032953911949</v>
      </c>
      <c r="CX106" s="1111">
        <f>SUMIFS(NewEmisData!I:I, NewEmisData!$A:$A, $G106, NewEmisData!$B:$B, $A106, NewEmisData!$C:$C, $H106, NewEmisData!$D:$D, CX$6)</f>
        <v>0.11743259561145999</v>
      </c>
      <c r="CY106" s="1111">
        <f>SUMIFS(NewEmisData!J:J, NewEmisData!$A:$A, $G106, NewEmisData!$B:$B, $A106, NewEmisData!$C:$C, $H106, NewEmisData!$D:$D, CY$6)</f>
        <v>0.117601803127102</v>
      </c>
      <c r="CZ106" s="1111">
        <f>SUMIFS(NewEmisData!K:K, NewEmisData!$A:$A, $G106, NewEmisData!$B:$B, $A106, NewEmisData!$C:$C, $H106, NewEmisData!$D:$D, CZ$6)</f>
        <v>0.11701285490505001</v>
      </c>
      <c r="DA106" s="1111">
        <f>SUMIFS(NewEmisData!L:L, NewEmisData!$A:$A, $G106, NewEmisData!$B:$B, $A106, NewEmisData!$C:$C, $H106, NewEmisData!$D:$D, DA$6)</f>
        <v>0.117012223650427</v>
      </c>
      <c r="DB106" s="1111">
        <f>SUMIFS(NewEmisData!M:M, NewEmisData!$A:$A, $G106, NewEmisData!$B:$B, $A106, NewEmisData!$C:$C, $H106, NewEmisData!$D:$D, DB$6)</f>
        <v>0.117462182372974</v>
      </c>
      <c r="DC106" s="1111">
        <f t="shared" si="188"/>
        <v>0.117462182372974</v>
      </c>
      <c r="DD106" s="1111"/>
      <c r="DE106" s="1111"/>
      <c r="DF106" s="1111"/>
      <c r="DG106" s="1111"/>
      <c r="DH106" s="1111"/>
      <c r="DI106" s="1111"/>
      <c r="DJ106" s="1111"/>
      <c r="DK106" s="1111"/>
      <c r="DL106" s="1111"/>
      <c r="DM106" s="1111"/>
      <c r="DN106" s="1111"/>
      <c r="DO106" s="1111"/>
      <c r="DP106" s="1111"/>
      <c r="DQ106" s="1111"/>
      <c r="DR106" s="1111"/>
      <c r="DS106" s="1111"/>
      <c r="DT106" s="1111"/>
      <c r="DU106" s="1111"/>
      <c r="DV106" s="1111"/>
      <c r="DW106" s="1111"/>
      <c r="DX106" s="1111"/>
      <c r="DY106" s="1111"/>
      <c r="DZ106" s="1111">
        <f t="shared" si="189"/>
        <v>20.8218887386315</v>
      </c>
      <c r="EA106" s="1111">
        <f>SUMIFS(NewEmisData!E:E, NewEmisData!$A:$A, $G106, NewEmisData!$B:$B, $A106, NewEmisData!$C:$C, $H106, NewEmisData!$D:$D, EA$6)</f>
        <v>20.8218887386315</v>
      </c>
      <c r="EB106" s="1111">
        <f>SUMIFS(NewEmisData!F:F, NewEmisData!$A:$A, $G106, NewEmisData!$B:$B, $A106, NewEmisData!$C:$C, $H106, NewEmisData!$D:$D, EB$6)</f>
        <v>7.3439936033795297</v>
      </c>
      <c r="EC106" s="1111">
        <f>SUMIFS(NewEmisData!G:G, NewEmisData!$A:$A, $G106, NewEmisData!$B:$B, $A106, NewEmisData!$C:$C, $H106, NewEmisData!$D:$D, EC$6)</f>
        <v>6.0356206369280203</v>
      </c>
      <c r="ED106" s="1111">
        <f>SUMIFS(NewEmisData!H:H, NewEmisData!$A:$A, $G106, NewEmisData!$B:$B, $A106, NewEmisData!$C:$C, $H106, NewEmisData!$D:$D, ED$6)</f>
        <v>5.5823600108493201</v>
      </c>
      <c r="EE106" s="1111">
        <f>SUMIFS(NewEmisData!I:I, NewEmisData!$A:$A, $G106, NewEmisData!$B:$B, $A106, NewEmisData!$C:$C, $H106, NewEmisData!$D:$D, EE$6)</f>
        <v>5.0088319269148096</v>
      </c>
      <c r="EF106" s="1111">
        <f>SUMIFS(NewEmisData!J:J, NewEmisData!$A:$A, $G106, NewEmisData!$B:$B, $A106, NewEmisData!$C:$C, $H106, NewEmisData!$D:$D, EF$6)</f>
        <v>5.15226788375083</v>
      </c>
      <c r="EG106" s="1111">
        <f>SUMIFS(NewEmisData!K:K, NewEmisData!$A:$A, $G106, NewEmisData!$B:$B, $A106, NewEmisData!$C:$C, $H106, NewEmisData!$D:$D, EG$6)</f>
        <v>4.8220433630077002</v>
      </c>
      <c r="EH106" s="1111">
        <f>SUMIFS(NewEmisData!L:L, NewEmisData!$A:$A, $G106, NewEmisData!$B:$B, $A106, NewEmisData!$C:$C, $H106, NewEmisData!$D:$D, EH$6)</f>
        <v>4.8220933526120904</v>
      </c>
      <c r="EI106" s="1111">
        <f>SUMIFS(NewEmisData!M:M, NewEmisData!$A:$A, $G106, NewEmisData!$B:$B, $A106, NewEmisData!$C:$C, $H106, NewEmisData!$D:$D, EI$6)</f>
        <v>4.8555390504961302</v>
      </c>
      <c r="EJ106" s="1111">
        <f t="shared" si="190"/>
        <v>4.8555390504961302</v>
      </c>
      <c r="EK106" s="1111">
        <f t="shared" si="191"/>
        <v>1553.5210990931</v>
      </c>
      <c r="EL106" s="1111">
        <f t="shared" si="154"/>
        <v>1553.5210990931</v>
      </c>
      <c r="EM106" s="1111">
        <f t="shared" si="155"/>
        <v>1408.88496713674</v>
      </c>
      <c r="EN106" s="1111">
        <f t="shared" si="156"/>
        <v>1462.3627813248299</v>
      </c>
      <c r="EO106" s="1111">
        <f t="shared" si="157"/>
        <v>1432.84931920791</v>
      </c>
      <c r="EP106" s="1111">
        <f t="shared" si="158"/>
        <v>1425.2997832645599</v>
      </c>
      <c r="EQ106" s="1111">
        <f t="shared" si="159"/>
        <v>1411.72897391071</v>
      </c>
      <c r="ER106" s="1111">
        <f t="shared" si="160"/>
        <v>1408.8954231452899</v>
      </c>
      <c r="ES106" s="1111">
        <f t="shared" si="161"/>
        <v>1408.8503496293499</v>
      </c>
      <c r="ET106" s="1111">
        <f t="shared" si="162"/>
        <v>1408.9043821590301</v>
      </c>
      <c r="EU106" s="1111">
        <f t="shared" si="163"/>
        <v>1408.9043821590301</v>
      </c>
      <c r="EV106" s="1111">
        <f t="shared" si="192"/>
        <v>12.243629501244</v>
      </c>
      <c r="EW106" s="1111">
        <f t="shared" si="144"/>
        <v>12.243629501244</v>
      </c>
      <c r="EX106" s="1111">
        <f t="shared" si="145"/>
        <v>4.4057269822849499</v>
      </c>
      <c r="EY106" s="1111">
        <f t="shared" si="146"/>
        <v>2.5338719659062199</v>
      </c>
      <c r="EZ106" s="1111">
        <f t="shared" si="147"/>
        <v>1.97053635775459</v>
      </c>
      <c r="FA106" s="1111">
        <f t="shared" si="148"/>
        <v>1.73288574795435</v>
      </c>
      <c r="FB106" s="1111">
        <f t="shared" si="149"/>
        <v>1.7912592346090399</v>
      </c>
      <c r="FC106" s="1111">
        <f t="shared" si="150"/>
        <v>1.6389959510055401</v>
      </c>
      <c r="FD106" s="1111">
        <f t="shared" si="151"/>
        <v>1.6389971437373501</v>
      </c>
      <c r="FE106" s="1111">
        <f t="shared" si="152"/>
        <v>1.6413497936376999</v>
      </c>
      <c r="FF106" s="1111">
        <f t="shared" si="153"/>
        <v>1.6413497936376999</v>
      </c>
      <c r="FG106" s="1111">
        <f t="shared" si="100"/>
        <v>7.5181123500885298E-3</v>
      </c>
      <c r="FH106" s="1111">
        <f t="shared" si="101"/>
        <v>7.5181123500885298E-3</v>
      </c>
      <c r="FI106" s="1111">
        <f t="shared" si="102"/>
        <v>6.72193717894523E-3</v>
      </c>
      <c r="FJ106" s="1111">
        <f t="shared" si="103"/>
        <v>7.7424633042752298E-3</v>
      </c>
      <c r="FK106" s="1111">
        <f t="shared" si="104"/>
        <v>7.5862031517122301E-3</v>
      </c>
      <c r="FL106" s="1111">
        <f t="shared" si="105"/>
        <v>7.5462363983801496E-3</v>
      </c>
      <c r="FM106" s="1111">
        <f t="shared" si="106"/>
        <v>7.4743875655051799E-3</v>
      </c>
      <c r="FN106" s="1111">
        <f t="shared" si="107"/>
        <v>7.4593805624821796E-3</v>
      </c>
      <c r="FO106" s="1111">
        <f t="shared" si="108"/>
        <v>7.4591468383354304E-3</v>
      </c>
      <c r="FP106" s="1111">
        <f t="shared" si="109"/>
        <v>7.4594296654913296E-3</v>
      </c>
      <c r="FQ106" s="1111">
        <f t="shared" si="110"/>
        <v>7.4594296654913296E-3</v>
      </c>
      <c r="FR106" s="1111">
        <f t="shared" si="133"/>
        <v>0.39638833463587397</v>
      </c>
      <c r="FS106" s="1111">
        <f t="shared" si="134"/>
        <v>0.39638833463587397</v>
      </c>
      <c r="FT106" s="1111">
        <f t="shared" si="135"/>
        <v>0.29090093127093197</v>
      </c>
      <c r="FU106" s="1111">
        <f t="shared" si="136"/>
        <v>0.30512480081238003</v>
      </c>
      <c r="FV106" s="1111">
        <f t="shared" si="137"/>
        <v>0.30228358490423202</v>
      </c>
      <c r="FW106" s="1111">
        <f t="shared" si="138"/>
        <v>0.30366691295985598</v>
      </c>
      <c r="FX106" s="1111">
        <f t="shared" si="139"/>
        <v>0.30208997800131698</v>
      </c>
      <c r="FY106" s="1111">
        <f t="shared" si="140"/>
        <v>0.30173562336722598</v>
      </c>
      <c r="FZ106" s="1111">
        <f t="shared" si="141"/>
        <v>0.30173549102415298</v>
      </c>
      <c r="GA106" s="1111">
        <f t="shared" si="142"/>
        <v>0.301808555330837</v>
      </c>
      <c r="GB106" s="1111">
        <f t="shared" si="143"/>
        <v>0.301808555330837</v>
      </c>
      <c r="GC106" s="1111">
        <f t="shared" si="164"/>
        <v>0.16760085093958199</v>
      </c>
      <c r="GD106" s="1111">
        <f t="shared" si="165"/>
        <v>0.16760085093958199</v>
      </c>
      <c r="GE106" s="1111">
        <f t="shared" si="166"/>
        <v>7.4285465319141195E-2</v>
      </c>
      <c r="GF106" s="1111">
        <f t="shared" si="167"/>
        <v>4.3481827085775297E-2</v>
      </c>
      <c r="GG106" s="1111">
        <f t="shared" si="168"/>
        <v>4.0968421942404701E-2</v>
      </c>
      <c r="GH106" s="1111">
        <f t="shared" si="169"/>
        <v>4.21915697435057E-2</v>
      </c>
      <c r="GI106" s="1111">
        <f t="shared" si="170"/>
        <v>4.0796629114503602E-2</v>
      </c>
      <c r="GJ106" s="1111">
        <f t="shared" si="171"/>
        <v>4.0483008408731903E-2</v>
      </c>
      <c r="GK106" s="1111">
        <f t="shared" si="172"/>
        <v>4.0483108528960102E-2</v>
      </c>
      <c r="GL106" s="1111">
        <f t="shared" si="173"/>
        <v>4.0547746759359002E-2</v>
      </c>
      <c r="GM106" s="1111">
        <f t="shared" si="174"/>
        <v>4.0547746759359002E-2</v>
      </c>
    </row>
    <row r="107" spans="1:195" x14ac:dyDescent="0.2">
      <c r="A107" s="1071" t="s">
        <v>182</v>
      </c>
      <c r="B107" s="1071" t="str">
        <f>NewTech!B29</f>
        <v>TBCNGIM</v>
      </c>
      <c r="C107" s="1071" t="str">
        <f>NewTech!C29</f>
        <v>Bus, Improved CNG</v>
      </c>
      <c r="D107" s="1071" t="str">
        <f>NewTech!D29</f>
        <v>bn-vmt, bn-vmt/a</v>
      </c>
      <c r="E107" s="1071" t="str">
        <f>NewTech!E29</f>
        <v>TBCNG</v>
      </c>
      <c r="F107" s="1071" t="str">
        <f>NewTech!F29</f>
        <v>TB</v>
      </c>
      <c r="G107" s="1110" t="s">
        <v>498</v>
      </c>
      <c r="H107" s="1110" t="s">
        <v>501</v>
      </c>
      <c r="I107" s="1112">
        <v>1</v>
      </c>
      <c r="J107" s="1111" t="str">
        <f t="shared" si="37"/>
        <v>Bus-CNG</v>
      </c>
      <c r="K107" s="1111">
        <f>SUMIFS(NewEmisData!E:E, NewEmisData!$A:$A, $G107, NewEmisData!$B:$B, $A107, NewEmisData!$C:$C, $H107, NewEmisData!$D:$D, K$6)</f>
        <v>1404.3271128133699</v>
      </c>
      <c r="L107" s="1111">
        <f>SUMIFS(NewEmisData!F:F, NewEmisData!$A:$A, $G107, NewEmisData!$B:$B, $A107, NewEmisData!$C:$C, $H107, NewEmisData!$D:$D, L$6)</f>
        <v>1439.6601314125801</v>
      </c>
      <c r="M107" s="1111">
        <f>SUMIFS(NewEmisData!G:G, NewEmisData!$A:$A, $G107, NewEmisData!$B:$B, $A107, NewEmisData!$C:$C, $H107, NewEmisData!$D:$D, M$6)</f>
        <v>1684.18271883701</v>
      </c>
      <c r="N107" s="1111">
        <f>SUMIFS(NewEmisData!H:H, NewEmisData!$A:$A, $G107, NewEmisData!$B:$B, $A107, NewEmisData!$C:$C, $H107, NewEmisData!$D:$D, N$6)</f>
        <v>1650.6602334367401</v>
      </c>
      <c r="O107" s="1111">
        <f>SUMIFS(NewEmisData!I:I, NewEmisData!$A:$A, $G107, NewEmisData!$B:$B, $A107, NewEmisData!$C:$C, $H107, NewEmisData!$D:$D, O$6)</f>
        <v>1642.1438923528999</v>
      </c>
      <c r="P107" s="1111">
        <f>SUMIFS(NewEmisData!J:J, NewEmisData!$A:$A, $G107, NewEmisData!$B:$B, $A107, NewEmisData!$C:$C, $H107, NewEmisData!$D:$D, P$6)</f>
        <v>1626.66978660524</v>
      </c>
      <c r="Q107" s="1111">
        <f>SUMIFS(NewEmisData!K:K, NewEmisData!$A:$A, $G107, NewEmisData!$B:$B, $A107, NewEmisData!$C:$C, $H107, NewEmisData!$D:$D, Q$6)</f>
        <v>1623.30402513322</v>
      </c>
      <c r="R107" s="1111">
        <f>SUMIFS(NewEmisData!L:L, NewEmisData!$A:$A, $G107, NewEmisData!$B:$B, $A107, NewEmisData!$C:$C, $H107, NewEmisData!$D:$D, R$6)</f>
        <v>1623.2520614663099</v>
      </c>
      <c r="S107" s="1111">
        <f>SUMIFS(NewEmisData!M:M, NewEmisData!$A:$A, $G107, NewEmisData!$B:$B, $A107, NewEmisData!$C:$C, $H107, NewEmisData!$D:$D, S$6)</f>
        <v>1623.40710518732</v>
      </c>
      <c r="T107" s="1111">
        <f t="shared" si="131"/>
        <v>1623.40710518732</v>
      </c>
      <c r="U107" s="1111">
        <f>SUMIFS(NewEmisData!E:E, NewEmisData!$A:$A, $G107, NewEmisData!$B:$B, $A107, NewEmisData!$C:$C, $H107, NewEmisData!$D:$D, U$6)</f>
        <v>8.5641579152449303</v>
      </c>
      <c r="V107" s="1111">
        <f>SUMIFS(NewEmisData!F:F, NewEmisData!$A:$A, $G107, NewEmisData!$B:$B, $A107, NewEmisData!$C:$C, $H107, NewEmisData!$D:$D, V$6)</f>
        <v>9.6580110235574494</v>
      </c>
      <c r="W107" s="1111">
        <f>SUMIFS(NewEmisData!G:G, NewEmisData!$A:$A, $G107, NewEmisData!$B:$B, $A107, NewEmisData!$C:$C, $H107, NewEmisData!$D:$D, W$6)</f>
        <v>2.7867389528720699</v>
      </c>
      <c r="X107" s="1111">
        <f>SUMIFS(NewEmisData!H:H, NewEmisData!$A:$A, $G107, NewEmisData!$B:$B, $A107, NewEmisData!$C:$C, $H107, NewEmisData!$D:$D, X$6)</f>
        <v>2.1696941290079601</v>
      </c>
      <c r="Y107" s="1111">
        <f>SUMIFS(NewEmisData!I:I, NewEmisData!$A:$A, $G107, NewEmisData!$B:$B, $A107, NewEmisData!$C:$C, $H107, NewEmisData!$D:$D, Y$6)</f>
        <v>1.9058529098653401</v>
      </c>
      <c r="Z107" s="1111">
        <f>SUMIFS(NewEmisData!J:J, NewEmisData!$A:$A, $G107, NewEmisData!$B:$B, $A107, NewEmisData!$C:$C, $H107, NewEmisData!$D:$D, Z$6)</f>
        <v>1.9715548791583399</v>
      </c>
      <c r="AA107" s="1111">
        <f>SUMIFS(NewEmisData!K:K, NewEmisData!$A:$A, $G107, NewEmisData!$B:$B, $A107, NewEmisData!$C:$C, $H107, NewEmisData!$D:$D, AA$6)</f>
        <v>1.80325718220481</v>
      </c>
      <c r="AB107" s="1111">
        <f>SUMIFS(NewEmisData!L:L, NewEmisData!$A:$A, $G107, NewEmisData!$B:$B, $A107, NewEmisData!$C:$C, $H107, NewEmisData!$D:$D, AB$6)</f>
        <v>1.80325766566259</v>
      </c>
      <c r="AC107" s="1111">
        <f>SUMIFS(NewEmisData!M:M, NewEmisData!$A:$A, $G107, NewEmisData!$B:$B, $A107, NewEmisData!$C:$C, $H107, NewEmisData!$D:$D, AC$6)</f>
        <v>1.80600275766325</v>
      </c>
      <c r="AD107" s="1111">
        <f t="shared" si="132"/>
        <v>1.80600275766325</v>
      </c>
      <c r="AE107" s="1111">
        <f t="shared" si="175"/>
        <v>7.0600558638666397E-3</v>
      </c>
      <c r="AF107" s="1111">
        <f>SUMIFS(NewEmisData!E:E, NewEmisData!$A:$A, $G107, NewEmisData!$B:$B, $A107, NewEmisData!$C:$C, $H107, NewEmisData!$D:$D, AF$6)</f>
        <v>7.0600558638666397E-3</v>
      </c>
      <c r="AG107" s="1111">
        <f>SUMIFS(NewEmisData!F:F, NewEmisData!$A:$A, $G107, NewEmisData!$B:$B, $A107, NewEmisData!$C:$C, $H107, NewEmisData!$D:$D, AG$6)</f>
        <v>7.2188807538929303E-3</v>
      </c>
      <c r="AH107" s="1111">
        <f>SUMIFS(NewEmisData!G:G, NewEmisData!$A:$A, $G107, NewEmisData!$B:$B, $A107, NewEmisData!$C:$C, $H107, NewEmisData!$D:$D, AH$6)</f>
        <v>8.9168853601401706E-3</v>
      </c>
      <c r="AI107" s="1111">
        <f>SUMIFS(NewEmisData!H:H, NewEmisData!$A:$A, $G107, NewEmisData!$B:$B, $A107, NewEmisData!$C:$C, $H107, NewEmisData!$D:$D, AI$6)</f>
        <v>8.7394055968140292E-3</v>
      </c>
      <c r="AJ107" s="1111">
        <f>SUMIFS(NewEmisData!I:I, NewEmisData!$A:$A, $G107, NewEmisData!$B:$B, $A107, NewEmisData!$C:$C, $H107, NewEmisData!$D:$D, AJ$6)</f>
        <v>8.6943184966646898E-3</v>
      </c>
      <c r="AK107" s="1111">
        <f>SUMIFS(NewEmisData!J:J, NewEmisData!$A:$A, $G107, NewEmisData!$B:$B, $A107, NewEmisData!$C:$C, $H107, NewEmisData!$D:$D, AK$6)</f>
        <v>8.6123852585138806E-3</v>
      </c>
      <c r="AL107" s="1111">
        <f>SUMIFS(NewEmisData!K:K, NewEmisData!$A:$A, $G107, NewEmisData!$B:$B, $A107, NewEmisData!$C:$C, $H107, NewEmisData!$D:$D, AL$6)</f>
        <v>8.5945646137361408E-3</v>
      </c>
      <c r="AM107" s="1111">
        <f>SUMIFS(NewEmisData!L:L, NewEmisData!$A:$A, $G107, NewEmisData!$B:$B, $A107, NewEmisData!$C:$C, $H107, NewEmisData!$D:$D, AM$6)</f>
        <v>8.5942912264795907E-3</v>
      </c>
      <c r="AN107" s="1111">
        <f>SUMIFS(NewEmisData!M:M, NewEmisData!$A:$A, $G107, NewEmisData!$B:$B, $A107, NewEmisData!$C:$C, $H107, NewEmisData!$D:$D, AN$6)</f>
        <v>8.5951166029417398E-3</v>
      </c>
      <c r="AO107" s="1111">
        <f t="shared" si="176"/>
        <v>8.5951166029417398E-3</v>
      </c>
      <c r="AP107" s="1111">
        <f t="shared" si="177"/>
        <v>0.308686971765607</v>
      </c>
      <c r="AQ107" s="1111">
        <f>SUMIFS(NewEmisData!E:E, NewEmisData!$A:$A, $G107, NewEmisData!$B:$B, $A107, NewEmisData!$C:$C, $H107, NewEmisData!$D:$D, AQ$6)</f>
        <v>0.308686971765607</v>
      </c>
      <c r="AR107" s="1111">
        <f>SUMIFS(NewEmisData!F:F, NewEmisData!$A:$A, $G107, NewEmisData!$B:$B, $A107, NewEmisData!$C:$C, $H107, NewEmisData!$D:$D, AR$6)</f>
        <v>0.3514917426559</v>
      </c>
      <c r="AS107" s="1111">
        <f>SUMIFS(NewEmisData!G:G, NewEmisData!$A:$A, $G107, NewEmisData!$B:$B, $A107, NewEmisData!$C:$C, $H107, NewEmisData!$D:$D, AS$6)</f>
        <v>0.41477994422651598</v>
      </c>
      <c r="AT107" s="1111">
        <f>SUMIFS(NewEmisData!H:H, NewEmisData!$A:$A, $G107, NewEmisData!$B:$B, $A107, NewEmisData!$C:$C, $H107, NewEmisData!$D:$D, AT$6)</f>
        <v>0.41175694437029597</v>
      </c>
      <c r="AU107" s="1111">
        <f>SUMIFS(NewEmisData!I:I, NewEmisData!$A:$A, $G107, NewEmisData!$B:$B, $A107, NewEmisData!$C:$C, $H107, NewEmisData!$D:$D, AU$6)</f>
        <v>0.41302179377238901</v>
      </c>
      <c r="AV107" s="1111">
        <f>SUMIFS(NewEmisData!J:J, NewEmisData!$A:$A, $G107, NewEmisData!$B:$B, $A107, NewEmisData!$C:$C, $H107, NewEmisData!$D:$D, AV$6)</f>
        <v>0.411506559794103</v>
      </c>
      <c r="AW107" s="1111">
        <f>SUMIFS(NewEmisData!K:K, NewEmisData!$A:$A, $G107, NewEmisData!$B:$B, $A107, NewEmisData!$C:$C, $H107, NewEmisData!$D:$D, AW$6)</f>
        <v>0.41104277522581101</v>
      </c>
      <c r="AX107" s="1111">
        <f>SUMIFS(NewEmisData!L:L, NewEmisData!$A:$A, $G107, NewEmisData!$B:$B, $A107, NewEmisData!$C:$C, $H107, NewEmisData!$D:$D, AX$6)</f>
        <v>0.41104274130226698</v>
      </c>
      <c r="AY107" s="1111">
        <f>SUMIFS(NewEmisData!M:M, NewEmisData!$A:$A, $G107, NewEmisData!$B:$B, $A107, NewEmisData!$C:$C, $H107, NewEmisData!$D:$D, AY$6)</f>
        <v>0.41112796490950498</v>
      </c>
      <c r="AZ107" s="1111">
        <f t="shared" si="178"/>
        <v>0.41112796490950498</v>
      </c>
      <c r="BA107" s="1111">
        <f t="shared" si="179"/>
        <v>8.1280068089980395E-2</v>
      </c>
      <c r="BB107" s="1111">
        <f>SUMIFS(NewEmisData!E:E, NewEmisData!$A:$A, $G107, NewEmisData!$B:$B, $A107, NewEmisData!$C:$C, $H107, NewEmisData!$D:$D, BB$6)</f>
        <v>8.1280068089980395E-2</v>
      </c>
      <c r="BC107" s="1111">
        <f>SUMIFS(NewEmisData!F:F, NewEmisData!$A:$A, $G107, NewEmisData!$B:$B, $A107, NewEmisData!$C:$C, $H107, NewEmisData!$D:$D, BC$6)</f>
        <v>0.119146422058294</v>
      </c>
      <c r="BD107" s="1111">
        <f>SUMIFS(NewEmisData!G:G, NewEmisData!$A:$A, $G107, NewEmisData!$B:$B, $A107, NewEmisData!$C:$C, $H107, NewEmisData!$D:$D, BD$6)</f>
        <v>5.78893636806442E-2</v>
      </c>
      <c r="BE107" s="1111">
        <f>SUMIFS(NewEmisData!H:H, NewEmisData!$A:$A, $G107, NewEmisData!$B:$B, $A107, NewEmisData!$C:$C, $H107, NewEmisData!$D:$D, BE$6)</f>
        <v>5.5215677186708403E-2</v>
      </c>
      <c r="BF107" s="1111">
        <f>SUMIFS(NewEmisData!I:I, NewEmisData!$A:$A, $G107, NewEmisData!$B:$B, $A107, NewEmisData!$C:$C, $H107, NewEmisData!$D:$D, BF$6)</f>
        <v>5.6334175336776801E-2</v>
      </c>
      <c r="BG107" s="1111">
        <f>SUMIFS(NewEmisData!J:J, NewEmisData!$A:$A, $G107, NewEmisData!$B:$B, $A107, NewEmisData!$C:$C, $H107, NewEmisData!$D:$D, BG$6)</f>
        <v>5.4993730550411797E-2</v>
      </c>
      <c r="BH107" s="1111">
        <f>SUMIFS(NewEmisData!K:K, NewEmisData!$A:$A, $G107, NewEmisData!$B:$B, $A107, NewEmisData!$C:$C, $H107, NewEmisData!$D:$D, BH$6)</f>
        <v>5.4583411925712401E-2</v>
      </c>
      <c r="BI107" s="1111">
        <f>SUMIFS(NewEmisData!L:L, NewEmisData!$A:$A, $G107, NewEmisData!$B:$B, $A107, NewEmisData!$C:$C, $H107, NewEmisData!$D:$D, BI$6)</f>
        <v>5.4583454840025802E-2</v>
      </c>
      <c r="BJ107" s="1111">
        <f>SUMIFS(NewEmisData!M:M, NewEmisData!$A:$A, $G107, NewEmisData!$B:$B, $A107, NewEmisData!$C:$C, $H107, NewEmisData!$D:$D, BJ$6)</f>
        <v>5.4658632223239703E-2</v>
      </c>
      <c r="BK107" s="1111">
        <f t="shared" si="180"/>
        <v>5.4658632223239703E-2</v>
      </c>
      <c r="BL107" s="1111">
        <f t="shared" si="181"/>
        <v>9.6002010924587093</v>
      </c>
      <c r="BM107" s="1111">
        <f>SUMIFS(NewEmisData!E:E, NewEmisData!$A:$A, $G107, NewEmisData!$B:$B, $A107, NewEmisData!$C:$C, $H107, NewEmisData!$D:$D, BM$6)</f>
        <v>9.6002010924587093</v>
      </c>
      <c r="BN107" s="1111">
        <f>SUMIFS(NewEmisData!F:F, NewEmisData!$A:$A, $G107, NewEmisData!$B:$B, $A107, NewEmisData!$C:$C, $H107, NewEmisData!$D:$D, BN$6)</f>
        <v>12.295523518061101</v>
      </c>
      <c r="BO107" s="1111">
        <f>SUMIFS(NewEmisData!G:G, NewEmisData!$A:$A, $G107, NewEmisData!$B:$B, $A107, NewEmisData!$C:$C, $H107, NewEmisData!$D:$D, BO$6)</f>
        <v>7.0375198956390097</v>
      </c>
      <c r="BP107" s="1111">
        <f>SUMIFS(NewEmisData!H:H, NewEmisData!$A:$A, $G107, NewEmisData!$B:$B, $A107, NewEmisData!$C:$C, $H107, NewEmisData!$D:$D, BP$6)</f>
        <v>8.2046027913723396</v>
      </c>
      <c r="BQ107" s="1111">
        <f>SUMIFS(NewEmisData!I:I, NewEmisData!$A:$A, $G107, NewEmisData!$B:$B, $A107, NewEmisData!$C:$C, $H107, NewEmisData!$D:$D, BQ$6)</f>
        <v>8.4950302260998694</v>
      </c>
      <c r="BR107" s="1111">
        <f>SUMIFS(NewEmisData!J:J, NewEmisData!$A:$A, $G107, NewEmisData!$B:$B, $A107, NewEmisData!$C:$C, $H107, NewEmisData!$D:$D, BR$6)</f>
        <v>8.2450068898439604</v>
      </c>
      <c r="BS107" s="1111">
        <f>SUMIFS(NewEmisData!K:K, NewEmisData!$A:$A, $G107, NewEmisData!$B:$B, $A107, NewEmisData!$C:$C, $H107, NewEmisData!$D:$D, BS$6)</f>
        <v>8.3127507941159706</v>
      </c>
      <c r="BT107" s="1111">
        <f>SUMIFS(NewEmisData!L:L, NewEmisData!$A:$A, $G107, NewEmisData!$B:$B, $A107, NewEmisData!$C:$C, $H107, NewEmisData!$D:$D, BT$6)</f>
        <v>8.3127918839105899</v>
      </c>
      <c r="BU107" s="1111">
        <f>SUMIFS(NewEmisData!M:M, NewEmisData!$A:$A, $G107, NewEmisData!$B:$B, $A107, NewEmisData!$C:$C, $H107, NewEmisData!$D:$D, BU$6)</f>
        <v>8.3693590724444107</v>
      </c>
      <c r="BV107" s="1111">
        <f t="shared" si="182"/>
        <v>8.3693590724444107</v>
      </c>
      <c r="BW107" s="1111">
        <f t="shared" si="183"/>
        <v>1.6758131705313</v>
      </c>
      <c r="BX107" s="1111">
        <f>SUMIFS(NewEmisData!E:E, NewEmisData!$A:$A, $G107, NewEmisData!$B:$B, $A107, NewEmisData!$C:$C, $H107, NewEmisData!$D:$D, BX$6)</f>
        <v>1.6758131705313</v>
      </c>
      <c r="BY107" s="1111">
        <f>SUMIFS(NewEmisData!F:F, NewEmisData!$A:$A, $G107, NewEmisData!$B:$B, $A107, NewEmisData!$C:$C, $H107, NewEmisData!$D:$D, BY$6)</f>
        <v>2.1481115710610101</v>
      </c>
      <c r="BZ107" s="1111">
        <f>SUMIFS(NewEmisData!G:G, NewEmisData!$A:$A, $G107, NewEmisData!$B:$B, $A107, NewEmisData!$C:$C, $H107, NewEmisData!$D:$D, BZ$6)</f>
        <v>0.473134078922954</v>
      </c>
      <c r="CA107" s="1111">
        <f>SUMIFS(NewEmisData!H:H, NewEmisData!$A:$A, $G107, NewEmisData!$B:$B, $A107, NewEmisData!$C:$C, $H107, NewEmisData!$D:$D, CA$6)</f>
        <v>0.35719325934370499</v>
      </c>
      <c r="CB107" s="1111">
        <f>SUMIFS(NewEmisData!I:I, NewEmisData!$A:$A, $G107, NewEmisData!$B:$B, $A107, NewEmisData!$C:$C, $H107, NewEmisData!$D:$D, CB$6)</f>
        <v>0.33875927128073402</v>
      </c>
      <c r="CC107" s="1111">
        <f>SUMIFS(NewEmisData!J:J, NewEmisData!$A:$A, $G107, NewEmisData!$B:$B, $A107, NewEmisData!$C:$C, $H107, NewEmisData!$D:$D, CC$6)</f>
        <v>0.32794018119465101</v>
      </c>
      <c r="CD107" s="1111">
        <f>SUMIFS(NewEmisData!K:K, NewEmisData!$A:$A, $G107, NewEmisData!$B:$B, $A107, NewEmisData!$C:$C, $H107, NewEmisData!$D:$D, CD$6)</f>
        <v>0.30584592560252699</v>
      </c>
      <c r="CE107" s="1111">
        <f>SUMIFS(NewEmisData!L:L, NewEmisData!$A:$A, $G107, NewEmisData!$B:$B, $A107, NewEmisData!$C:$C, $H107, NewEmisData!$D:$D, CE$6)</f>
        <v>0.30584880738436099</v>
      </c>
      <c r="CF107" s="1111">
        <f>SUMIFS(NewEmisData!M:M, NewEmisData!$A:$A, $G107, NewEmisData!$B:$B, $A107, NewEmisData!$C:$C, $H107, NewEmisData!$D:$D, CF$6)</f>
        <v>0.30802455669086698</v>
      </c>
      <c r="CG107" s="1111">
        <f t="shared" si="184"/>
        <v>0.30802455669086698</v>
      </c>
      <c r="CH107" s="1111">
        <f t="shared" si="185"/>
        <v>4.2670972902907597E-2</v>
      </c>
      <c r="CI107" s="1111">
        <f>SUMIFS(NewEmisData!E:E, NewEmisData!$A:$A, $G107, NewEmisData!$B:$B, $A107, NewEmisData!$C:$C, $H107, NewEmisData!$D:$D, CI$6)</f>
        <v>4.2670972902907597E-2</v>
      </c>
      <c r="CJ107" s="1111">
        <f>SUMIFS(NewEmisData!F:F, NewEmisData!$A:$A, $G107, NewEmisData!$B:$B, $A107, NewEmisData!$C:$C, $H107, NewEmisData!$D:$D, CJ$6)</f>
        <v>4.2670927259417797E-2</v>
      </c>
      <c r="CK107" s="1111">
        <f>SUMIFS(NewEmisData!G:G, NewEmisData!$A:$A, $G107, NewEmisData!$B:$B, $A107, NewEmisData!$C:$C, $H107, NewEmisData!$D:$D, CK$6)</f>
        <v>6.0175723532765499E-2</v>
      </c>
      <c r="CL107" s="1111">
        <f>SUMIFS(NewEmisData!H:H, NewEmisData!$A:$A, $G107, NewEmisData!$B:$B, $A107, NewEmisData!$C:$C, $H107, NewEmisData!$D:$D, CL$6)</f>
        <v>6.01695414399568E-2</v>
      </c>
      <c r="CM107" s="1111">
        <f>SUMIFS(NewEmisData!I:I, NewEmisData!$A:$A, $G107, NewEmisData!$B:$B, $A107, NewEmisData!$C:$C, $H107, NewEmisData!$D:$D, CM$6)</f>
        <v>6.0167450908081101E-2</v>
      </c>
      <c r="CN107" s="1111">
        <f>SUMIFS(NewEmisData!J:J, NewEmisData!$A:$A, $G107, NewEmisData!$B:$B, $A107, NewEmisData!$C:$C, $H107, NewEmisData!$D:$D, CN$6)</f>
        <v>6.0164712219486001E-2</v>
      </c>
      <c r="CO107" s="1111">
        <f>SUMIFS(NewEmisData!K:K, NewEmisData!$A:$A, $G107, NewEmisData!$B:$B, $A107, NewEmisData!$C:$C, $H107, NewEmisData!$D:$D, CO$6)</f>
        <v>6.0164240366087897E-2</v>
      </c>
      <c r="CP107" s="1111">
        <f>SUMIFS(NewEmisData!L:L, NewEmisData!$A:$A, $G107, NewEmisData!$B:$B, $A107, NewEmisData!$C:$C, $H107, NewEmisData!$D:$D, CP$6)</f>
        <v>6.0164163764798897E-2</v>
      </c>
      <c r="CQ107" s="1111">
        <f>SUMIFS(NewEmisData!M:M, NewEmisData!$A:$A, $G107, NewEmisData!$B:$B, $A107, NewEmisData!$C:$C, $H107, NewEmisData!$D:$D, CQ$6)</f>
        <v>6.0164193249358199E-2</v>
      </c>
      <c r="CR107" s="1111">
        <f t="shared" si="186"/>
        <v>6.0164193249358199E-2</v>
      </c>
      <c r="CS107" s="1111">
        <f t="shared" si="187"/>
        <v>0.183740644616634</v>
      </c>
      <c r="CT107" s="1111">
        <f>SUMIFS(NewEmisData!E:E, NewEmisData!$A:$A, $G107, NewEmisData!$B:$B, $A107, NewEmisData!$C:$C, $H107, NewEmisData!$D:$D, CT$6)</f>
        <v>0.183740644616634</v>
      </c>
      <c r="CU107" s="1111">
        <f>SUMIFS(NewEmisData!F:F, NewEmisData!$A:$A, $G107, NewEmisData!$B:$B, $A107, NewEmisData!$C:$C, $H107, NewEmisData!$D:$D, CU$6)</f>
        <v>0.16180582571136101</v>
      </c>
      <c r="CV107" s="1111">
        <f>SUMIFS(NewEmisData!G:G, NewEmisData!$A:$A, $G107, NewEmisData!$B:$B, $A107, NewEmisData!$C:$C, $H107, NewEmisData!$D:$D, CV$6)</f>
        <v>0.18955111286908199</v>
      </c>
      <c r="CW107" s="1111">
        <f>SUMIFS(NewEmisData!H:H, NewEmisData!$A:$A, $G107, NewEmisData!$B:$B, $A107, NewEmisData!$C:$C, $H107, NewEmisData!$D:$D, CW$6)</f>
        <v>0.19191147173666101</v>
      </c>
      <c r="CX107" s="1111">
        <f>SUMIFS(NewEmisData!I:I, NewEmisData!$A:$A, $G107, NewEmisData!$B:$B, $A107, NewEmisData!$C:$C, $H107, NewEmisData!$D:$D, CX$6)</f>
        <v>0.19303868220418799</v>
      </c>
      <c r="CY107" s="1111">
        <f>SUMIFS(NewEmisData!J:J, NewEmisData!$A:$A, $G107, NewEmisData!$B:$B, $A107, NewEmisData!$C:$C, $H107, NewEmisData!$D:$D, CY$6)</f>
        <v>0.19351598474610199</v>
      </c>
      <c r="CZ107" s="1111">
        <f>SUMIFS(NewEmisData!K:K, NewEmisData!$A:$A, $G107, NewEmisData!$B:$B, $A107, NewEmisData!$C:$C, $H107, NewEmisData!$D:$D, CZ$6)</f>
        <v>0.191854404911007</v>
      </c>
      <c r="DA107" s="1111">
        <f>SUMIFS(NewEmisData!L:L, NewEmisData!$A:$A, $G107, NewEmisData!$B:$B, $A107, NewEmisData!$C:$C, $H107, NewEmisData!$D:$D, DA$6)</f>
        <v>0.19185262658754099</v>
      </c>
      <c r="DB107" s="1111">
        <f>SUMIFS(NewEmisData!M:M, NewEmisData!$A:$A, $G107, NewEmisData!$B:$B, $A107, NewEmisData!$C:$C, $H107, NewEmisData!$D:$D, DB$6)</f>
        <v>0.19312216871318899</v>
      </c>
      <c r="DC107" s="1111">
        <f t="shared" si="188"/>
        <v>0.19312216871318899</v>
      </c>
      <c r="DD107" s="1111">
        <v>9.838732208669888E-3</v>
      </c>
      <c r="DE107" s="1111">
        <v>5.4030262224081206E-3</v>
      </c>
      <c r="DF107" s="1111">
        <v>1.0487650130616144E-3</v>
      </c>
      <c r="DG107" s="1111">
        <v>2.7510109386332459E-4</v>
      </c>
      <c r="DH107" s="1111">
        <v>2.5415063000549772E-4</v>
      </c>
      <c r="DI107" s="1111">
        <v>2.539715317459818E-4</v>
      </c>
      <c r="DJ107" s="1111">
        <v>2.5405818908282566E-4</v>
      </c>
      <c r="DK107" s="1111">
        <v>2.5405483284236455E-4</v>
      </c>
      <c r="DL107" s="1111">
        <v>2.541202717389235E-4</v>
      </c>
      <c r="DM107" s="1111">
        <v>2.5415899051356336E-4</v>
      </c>
      <c r="DN107" s="1111">
        <v>2.5415899051356336E-4</v>
      </c>
      <c r="DO107" s="1111">
        <v>3.9260593703563405E-2</v>
      </c>
      <c r="DP107" s="1111">
        <v>2.1413986260209197E-2</v>
      </c>
      <c r="DQ107" s="1111">
        <v>3.9500309260564132E-3</v>
      </c>
      <c r="DR107" s="1111">
        <v>9.2680125243411614E-4</v>
      </c>
      <c r="DS107" s="1111">
        <v>8.5622412783254245E-4</v>
      </c>
      <c r="DT107" s="1111">
        <v>8.5562086259629222E-4</v>
      </c>
      <c r="DU107" s="1111">
        <v>8.559127463082085E-4</v>
      </c>
      <c r="DV107" s="1111">
        <v>8.5590141612128148E-4</v>
      </c>
      <c r="DW107" s="1111">
        <v>8.5612191768918251E-4</v>
      </c>
      <c r="DX107" s="1111">
        <v>8.562523688113036E-4</v>
      </c>
      <c r="DY107" s="1111">
        <v>8.562523688113036E-4</v>
      </c>
      <c r="DZ107" s="1111">
        <f t="shared" si="189"/>
        <v>16.673115899025799</v>
      </c>
      <c r="EA107" s="1111">
        <f>SUMIFS(NewEmisData!E:E, NewEmisData!$A:$A, $G107, NewEmisData!$B:$B, $A107, NewEmisData!$C:$C, $H107, NewEmisData!$D:$D, EA$6)</f>
        <v>16.673115899025799</v>
      </c>
      <c r="EB107" s="1111">
        <f>SUMIFS(NewEmisData!F:F, NewEmisData!$A:$A, $G107, NewEmisData!$B:$B, $A107, NewEmisData!$C:$C, $H107, NewEmisData!$D:$D, EB$6)</f>
        <v>18.1238089179102</v>
      </c>
      <c r="EC107" s="1111">
        <f>SUMIFS(NewEmisData!G:G, NewEmisData!$A:$A, $G107, NewEmisData!$B:$B, $A107, NewEmisData!$C:$C, $H107, NewEmisData!$D:$D, EC$6)</f>
        <v>7.8929936267624203</v>
      </c>
      <c r="ED107" s="1111">
        <f>SUMIFS(NewEmisData!H:H, NewEmisData!$A:$A, $G107, NewEmisData!$B:$B, $A107, NewEmisData!$C:$C, $H107, NewEmisData!$D:$D, ED$6)</f>
        <v>7.3391360413522797</v>
      </c>
      <c r="EE107" s="1111">
        <f>SUMIFS(NewEmisData!I:I, NewEmisData!$A:$A, $G107, NewEmisData!$B:$B, $A107, NewEmisData!$C:$C, $H107, NewEmisData!$D:$D, EE$6)</f>
        <v>6.56449009849179</v>
      </c>
      <c r="EF107" s="1111">
        <f>SUMIFS(NewEmisData!J:J, NewEmisData!$A:$A, $G107, NewEmisData!$B:$B, $A107, NewEmisData!$C:$C, $H107, NewEmisData!$D:$D, EF$6)</f>
        <v>6.7717132351857101</v>
      </c>
      <c r="EG107" s="1111">
        <f>SUMIFS(NewEmisData!K:K, NewEmisData!$A:$A, $G107, NewEmisData!$B:$B, $A107, NewEmisData!$C:$C, $H107, NewEmisData!$D:$D, EG$6)</f>
        <v>6.3353874772199799</v>
      </c>
      <c r="EH107" s="1111">
        <f>SUMIFS(NewEmisData!L:L, NewEmisData!$A:$A, $G107, NewEmisData!$B:$B, $A107, NewEmisData!$C:$C, $H107, NewEmisData!$D:$D, EH$6)</f>
        <v>6.3354430386428602</v>
      </c>
      <c r="EI107" s="1111">
        <f>SUMIFS(NewEmisData!M:M, NewEmisData!$A:$A, $G107, NewEmisData!$B:$B, $A107, NewEmisData!$C:$C, $H107, NewEmisData!$D:$D, EI$6)</f>
        <v>6.3805145100120502</v>
      </c>
      <c r="EJ107" s="1111">
        <f t="shared" si="190"/>
        <v>6.3805145100120502</v>
      </c>
      <c r="EK107" s="1111">
        <f t="shared" si="191"/>
        <v>1404.3271128133699</v>
      </c>
      <c r="EL107" s="1111">
        <f t="shared" si="154"/>
        <v>1404.3271128133699</v>
      </c>
      <c r="EM107" s="1111">
        <f t="shared" si="155"/>
        <v>1439.6601314125801</v>
      </c>
      <c r="EN107" s="1111">
        <f t="shared" si="156"/>
        <v>1684.18271883701</v>
      </c>
      <c r="EO107" s="1111">
        <f t="shared" si="157"/>
        <v>1650.6602334367401</v>
      </c>
      <c r="EP107" s="1111">
        <f t="shared" si="158"/>
        <v>1642.1438923528999</v>
      </c>
      <c r="EQ107" s="1111">
        <f t="shared" si="159"/>
        <v>1626.66978660524</v>
      </c>
      <c r="ER107" s="1111">
        <f t="shared" si="160"/>
        <v>1623.30402513322</v>
      </c>
      <c r="ES107" s="1111">
        <f t="shared" si="161"/>
        <v>1623.2520614663099</v>
      </c>
      <c r="ET107" s="1111">
        <f t="shared" si="162"/>
        <v>1623.40710518732</v>
      </c>
      <c r="EU107" s="1111">
        <f t="shared" si="163"/>
        <v>1623.40710518732</v>
      </c>
      <c r="EV107" s="1111">
        <f t="shared" si="192"/>
        <v>8.5641579152449303</v>
      </c>
      <c r="EW107" s="1111">
        <f t="shared" si="144"/>
        <v>8.5641579152449303</v>
      </c>
      <c r="EX107" s="1111">
        <f t="shared" si="145"/>
        <v>9.6580110235574494</v>
      </c>
      <c r="EY107" s="1111">
        <f t="shared" si="146"/>
        <v>2.7867389528720699</v>
      </c>
      <c r="EZ107" s="1111">
        <f t="shared" si="147"/>
        <v>2.1696941290079601</v>
      </c>
      <c r="FA107" s="1111">
        <f t="shared" si="148"/>
        <v>1.9058529098653401</v>
      </c>
      <c r="FB107" s="1111">
        <f t="shared" si="149"/>
        <v>1.9715548791583399</v>
      </c>
      <c r="FC107" s="1111">
        <f t="shared" si="150"/>
        <v>1.80325718220481</v>
      </c>
      <c r="FD107" s="1111">
        <f t="shared" si="151"/>
        <v>1.80325766566259</v>
      </c>
      <c r="FE107" s="1111">
        <f t="shared" si="152"/>
        <v>1.80600275766325</v>
      </c>
      <c r="FF107" s="1111">
        <f t="shared" si="153"/>
        <v>1.80600275766325</v>
      </c>
      <c r="FG107" s="1111">
        <f t="shared" si="100"/>
        <v>7.0600558638666397E-3</v>
      </c>
      <c r="FH107" s="1111">
        <f t="shared" si="101"/>
        <v>7.0600558638666397E-3</v>
      </c>
      <c r="FI107" s="1111">
        <f t="shared" si="102"/>
        <v>7.2188807538929303E-3</v>
      </c>
      <c r="FJ107" s="1111">
        <f t="shared" si="103"/>
        <v>8.9168853601401706E-3</v>
      </c>
      <c r="FK107" s="1111">
        <f t="shared" si="104"/>
        <v>8.7394055968140292E-3</v>
      </c>
      <c r="FL107" s="1111">
        <f t="shared" si="105"/>
        <v>8.6943184966646898E-3</v>
      </c>
      <c r="FM107" s="1111">
        <f t="shared" si="106"/>
        <v>8.6123852585138806E-3</v>
      </c>
      <c r="FN107" s="1111">
        <f t="shared" si="107"/>
        <v>8.5945646137361408E-3</v>
      </c>
      <c r="FO107" s="1111">
        <f t="shared" si="108"/>
        <v>8.5942912264795907E-3</v>
      </c>
      <c r="FP107" s="1111">
        <f t="shared" si="109"/>
        <v>8.5951166029417398E-3</v>
      </c>
      <c r="FQ107" s="1111">
        <f t="shared" si="110"/>
        <v>8.5951166029417398E-3</v>
      </c>
      <c r="FR107" s="1111">
        <f t="shared" si="133"/>
        <v>0.308686971765607</v>
      </c>
      <c r="FS107" s="1111">
        <f t="shared" si="134"/>
        <v>0.308686971765607</v>
      </c>
      <c r="FT107" s="1111">
        <f t="shared" si="135"/>
        <v>0.3514917426559</v>
      </c>
      <c r="FU107" s="1111">
        <f t="shared" si="136"/>
        <v>0.41477994422651598</v>
      </c>
      <c r="FV107" s="1111">
        <f t="shared" si="137"/>
        <v>0.41175694437029597</v>
      </c>
      <c r="FW107" s="1111">
        <f t="shared" si="138"/>
        <v>0.41302179377238901</v>
      </c>
      <c r="FX107" s="1111">
        <f t="shared" si="139"/>
        <v>0.411506559794103</v>
      </c>
      <c r="FY107" s="1111">
        <f t="shared" si="140"/>
        <v>0.41104277522581101</v>
      </c>
      <c r="FZ107" s="1111">
        <f t="shared" si="141"/>
        <v>0.41104274130226698</v>
      </c>
      <c r="GA107" s="1111">
        <f t="shared" si="142"/>
        <v>0.41112796490950498</v>
      </c>
      <c r="GB107" s="1111">
        <f t="shared" si="143"/>
        <v>0.41112796490950498</v>
      </c>
      <c r="GC107" s="1111">
        <f t="shared" si="164"/>
        <v>8.1280068089980395E-2</v>
      </c>
      <c r="GD107" s="1111">
        <f t="shared" si="165"/>
        <v>8.1280068089980395E-2</v>
      </c>
      <c r="GE107" s="1111">
        <f t="shared" si="166"/>
        <v>0.119146422058294</v>
      </c>
      <c r="GF107" s="1111">
        <f t="shared" si="167"/>
        <v>5.78893636806442E-2</v>
      </c>
      <c r="GG107" s="1111">
        <f t="shared" si="168"/>
        <v>5.5215677186708403E-2</v>
      </c>
      <c r="GH107" s="1111">
        <f t="shared" si="169"/>
        <v>5.6334175336776801E-2</v>
      </c>
      <c r="GI107" s="1111">
        <f t="shared" si="170"/>
        <v>5.4993730550411797E-2</v>
      </c>
      <c r="GJ107" s="1111">
        <f t="shared" si="171"/>
        <v>5.4583411925712401E-2</v>
      </c>
      <c r="GK107" s="1111">
        <f t="shared" si="172"/>
        <v>5.4583454840025802E-2</v>
      </c>
      <c r="GL107" s="1111">
        <f t="shared" si="173"/>
        <v>5.4658632223239703E-2</v>
      </c>
      <c r="GM107" s="1111">
        <f t="shared" si="174"/>
        <v>5.4658632223239703E-2</v>
      </c>
    </row>
    <row r="108" spans="1:195" x14ac:dyDescent="0.2">
      <c r="A108" s="1071" t="s">
        <v>184</v>
      </c>
      <c r="B108" s="1071" t="str">
        <f>NewTech!B29</f>
        <v>TBCNGIM</v>
      </c>
      <c r="C108" s="1071" t="str">
        <f>NewTech!C29</f>
        <v>Bus, Improved CNG</v>
      </c>
      <c r="D108" s="1071" t="str">
        <f>NewTech!D29</f>
        <v>bn-vmt, bn-vmt/a</v>
      </c>
      <c r="E108" s="1071" t="str">
        <f>NewTech!E29</f>
        <v>TBCNG</v>
      </c>
      <c r="F108" s="1071" t="str">
        <f>NewTech!F29</f>
        <v>TB</v>
      </c>
      <c r="G108" s="1110" t="s">
        <v>498</v>
      </c>
      <c r="H108" s="1110" t="s">
        <v>501</v>
      </c>
      <c r="I108" s="1112">
        <v>1</v>
      </c>
      <c r="J108" s="1111" t="str">
        <f t="shared" si="37"/>
        <v>Bus-CNG</v>
      </c>
      <c r="K108" s="1111">
        <f>SUMIFS(NewEmisData!E:E, NewEmisData!$A:$A, $G108, NewEmisData!$B:$B, $A108, NewEmisData!$C:$C, $H108, NewEmisData!$D:$D, K$6)</f>
        <v>1582.4187998643499</v>
      </c>
      <c r="L108" s="1111">
        <f>SUMIFS(NewEmisData!F:F, NewEmisData!$A:$A, $G108, NewEmisData!$B:$B, $A108, NewEmisData!$C:$C, $H108, NewEmisData!$D:$D, L$6)</f>
        <v>1412.03350754338</v>
      </c>
      <c r="M108" s="1111">
        <f>SUMIFS(NewEmisData!G:G, NewEmisData!$A:$A, $G108, NewEmisData!$B:$B, $A108, NewEmisData!$C:$C, $H108, NewEmisData!$D:$D, M$6)</f>
        <v>1546.06349717532</v>
      </c>
      <c r="N108" s="1111">
        <f>SUMIFS(NewEmisData!H:H, NewEmisData!$A:$A, $G108, NewEmisData!$B:$B, $A108, NewEmisData!$C:$C, $H108, NewEmisData!$D:$D, N$6)</f>
        <v>1515.37888281612</v>
      </c>
      <c r="O108" s="1111">
        <f>SUMIFS(NewEmisData!I:I, NewEmisData!$A:$A, $G108, NewEmisData!$B:$B, $A108, NewEmisData!$C:$C, $H108, NewEmisData!$D:$D, O$6)</f>
        <v>1507.61251127639</v>
      </c>
      <c r="P108" s="1111">
        <f>SUMIFS(NewEmisData!J:J, NewEmisData!$A:$A, $G108, NewEmisData!$B:$B, $A108, NewEmisData!$C:$C, $H108, NewEmisData!$D:$D, P$6)</f>
        <v>1493.3470009960599</v>
      </c>
      <c r="Q108" s="1111">
        <f>SUMIFS(NewEmisData!K:K, NewEmisData!$A:$A, $G108, NewEmisData!$B:$B, $A108, NewEmisData!$C:$C, $H108, NewEmisData!$D:$D, Q$6)</f>
        <v>1489.9863533868299</v>
      </c>
      <c r="R108" s="1111">
        <f>SUMIFS(NewEmisData!L:L, NewEmisData!$A:$A, $G108, NewEmisData!$B:$B, $A108, NewEmisData!$C:$C, $H108, NewEmisData!$D:$D, R$6)</f>
        <v>1489.9398704633099</v>
      </c>
      <c r="S108" s="1111">
        <f>SUMIFS(NewEmisData!M:M, NewEmisData!$A:$A, $G108, NewEmisData!$B:$B, $A108, NewEmisData!$C:$C, $H108, NewEmisData!$D:$D, S$6)</f>
        <v>1490.25622635268</v>
      </c>
      <c r="T108" s="1111">
        <f t="shared" si="131"/>
        <v>1490.25622635268</v>
      </c>
      <c r="U108" s="1111">
        <f>SUMIFS(NewEmisData!E:E, NewEmisData!$A:$A, $G108, NewEmisData!$B:$B, $A108, NewEmisData!$C:$C, $H108, NewEmisData!$D:$D, U$6)</f>
        <v>13.9864690314122</v>
      </c>
      <c r="V108" s="1111">
        <f>SUMIFS(NewEmisData!F:F, NewEmisData!$A:$A, $G108, NewEmisData!$B:$B, $A108, NewEmisData!$C:$C, $H108, NewEmisData!$D:$D, V$6)</f>
        <v>8.6222310446848205</v>
      </c>
      <c r="W108" s="1111">
        <f>SUMIFS(NewEmisData!G:G, NewEmisData!$A:$A, $G108, NewEmisData!$B:$B, $A108, NewEmisData!$C:$C, $H108, NewEmisData!$D:$D, W$6)</f>
        <v>2.6611271470383202</v>
      </c>
      <c r="X108" s="1111">
        <f>SUMIFS(NewEmisData!H:H, NewEmisData!$A:$A, $G108, NewEmisData!$B:$B, $A108, NewEmisData!$C:$C, $H108, NewEmisData!$D:$D, X$6)</f>
        <v>2.0703098620271998</v>
      </c>
      <c r="Y108" s="1111">
        <f>SUMIFS(NewEmisData!I:I, NewEmisData!$A:$A, $G108, NewEmisData!$B:$B, $A108, NewEmisData!$C:$C, $H108, NewEmisData!$D:$D, Y$6)</f>
        <v>1.8197121469984701</v>
      </c>
      <c r="Z108" s="1111">
        <f>SUMIFS(NewEmisData!J:J, NewEmisData!$A:$A, $G108, NewEmisData!$B:$B, $A108, NewEmisData!$C:$C, $H108, NewEmisData!$D:$D, Z$6)</f>
        <v>1.8815055816456701</v>
      </c>
      <c r="AA108" s="1111">
        <f>SUMIFS(NewEmisData!K:K, NewEmisData!$A:$A, $G108, NewEmisData!$B:$B, $A108, NewEmisData!$C:$C, $H108, NewEmisData!$D:$D, AA$6)</f>
        <v>1.72120836005601</v>
      </c>
      <c r="AB108" s="1111">
        <f>SUMIFS(NewEmisData!L:L, NewEmisData!$A:$A, $G108, NewEmisData!$B:$B, $A108, NewEmisData!$C:$C, $H108, NewEmisData!$D:$D, AB$6)</f>
        <v>1.72121053061929</v>
      </c>
      <c r="AC108" s="1111">
        <f>SUMIFS(NewEmisData!M:M, NewEmisData!$A:$A, $G108, NewEmisData!$B:$B, $A108, NewEmisData!$C:$C, $H108, NewEmisData!$D:$D, AC$6)</f>
        <v>1.72375209093524</v>
      </c>
      <c r="AD108" s="1111">
        <f t="shared" si="132"/>
        <v>1.72375209093524</v>
      </c>
      <c r="AE108" s="1111">
        <f t="shared" si="175"/>
        <v>7.7542415434254403E-3</v>
      </c>
      <c r="AF108" s="1111">
        <f>SUMIFS(NewEmisData!E:E, NewEmisData!$A:$A, $G108, NewEmisData!$B:$B, $A108, NewEmisData!$C:$C, $H108, NewEmisData!$D:$D, AF$6)</f>
        <v>7.7542415434254403E-3</v>
      </c>
      <c r="AG108" s="1111">
        <f>SUMIFS(NewEmisData!F:F, NewEmisData!$A:$A, $G108, NewEmisData!$B:$B, $A108, NewEmisData!$C:$C, $H108, NewEmisData!$D:$D, AG$6)</f>
        <v>7.0025604799103603E-3</v>
      </c>
      <c r="AH108" s="1111">
        <f>SUMIFS(NewEmisData!G:G, NewEmisData!$A:$A, $G108, NewEmisData!$B:$B, $A108, NewEmisData!$C:$C, $H108, NewEmisData!$D:$D, AH$6)</f>
        <v>8.1856191975243908E-3</v>
      </c>
      <c r="AI108" s="1111">
        <f>SUMIFS(NewEmisData!H:H, NewEmisData!$A:$A, $G108, NewEmisData!$B:$B, $A108, NewEmisData!$C:$C, $H108, NewEmisData!$D:$D, AI$6)</f>
        <v>8.0231652001578006E-3</v>
      </c>
      <c r="AJ108" s="1111">
        <f>SUMIFS(NewEmisData!I:I, NewEmisData!$A:$A, $G108, NewEmisData!$B:$B, $A108, NewEmisData!$C:$C, $H108, NewEmisData!$D:$D, AJ$6)</f>
        <v>7.9820372345914808E-3</v>
      </c>
      <c r="AK108" s="1111">
        <f>SUMIFS(NewEmisData!J:J, NewEmisData!$A:$A, $G108, NewEmisData!$B:$B, $A108, NewEmisData!$C:$C, $H108, NewEmisData!$D:$D, AK$6)</f>
        <v>7.9065086361542296E-3</v>
      </c>
      <c r="AL108" s="1111">
        <f>SUMIFS(NewEmisData!K:K, NewEmisData!$A:$A, $G108, NewEmisData!$B:$B, $A108, NewEmisData!$C:$C, $H108, NewEmisData!$D:$D, AL$6)</f>
        <v>7.8887206920964792E-3</v>
      </c>
      <c r="AM108" s="1111">
        <f>SUMIFS(NewEmisData!L:L, NewEmisData!$A:$A, $G108, NewEmisData!$B:$B, $A108, NewEmisData!$C:$C, $H108, NewEmisData!$D:$D, AM$6)</f>
        <v>7.8884719490300206E-3</v>
      </c>
      <c r="AN108" s="1111">
        <f>SUMIFS(NewEmisData!M:M, NewEmisData!$A:$A, $G108, NewEmisData!$B:$B, $A108, NewEmisData!$C:$C, $H108, NewEmisData!$D:$D, AN$6)</f>
        <v>7.8901444470430397E-3</v>
      </c>
      <c r="AO108" s="1111">
        <f t="shared" si="176"/>
        <v>7.8901444470430397E-3</v>
      </c>
      <c r="AP108" s="1111">
        <f t="shared" si="177"/>
        <v>0.37093923028794801</v>
      </c>
      <c r="AQ108" s="1111">
        <f>SUMIFS(NewEmisData!E:E, NewEmisData!$A:$A, $G108, NewEmisData!$B:$B, $A108, NewEmisData!$C:$C, $H108, NewEmisData!$D:$D, AQ$6)</f>
        <v>0.37093923028794801</v>
      </c>
      <c r="AR108" s="1111">
        <f>SUMIFS(NewEmisData!F:F, NewEmisData!$A:$A, $G108, NewEmisData!$B:$B, $A108, NewEmisData!$C:$C, $H108, NewEmisData!$D:$D, AR$6)</f>
        <v>0.26942906985133003</v>
      </c>
      <c r="AS108" s="1111">
        <f>SUMIFS(NewEmisData!G:G, NewEmisData!$A:$A, $G108, NewEmisData!$B:$B, $A108, NewEmisData!$C:$C, $H108, NewEmisData!$D:$D, AS$6)</f>
        <v>0.31640035064412397</v>
      </c>
      <c r="AT108" s="1111">
        <f>SUMIFS(NewEmisData!H:H, NewEmisData!$A:$A, $G108, NewEmisData!$B:$B, $A108, NewEmisData!$C:$C, $H108, NewEmisData!$D:$D, AT$6)</f>
        <v>0.312988611523218</v>
      </c>
      <c r="AU108" s="1111">
        <f>SUMIFS(NewEmisData!I:I, NewEmisData!$A:$A, $G108, NewEmisData!$B:$B, $A108, NewEmisData!$C:$C, $H108, NewEmisData!$D:$D, AU$6)</f>
        <v>0.314260212084015</v>
      </c>
      <c r="AV108" s="1111">
        <f>SUMIFS(NewEmisData!J:J, NewEmisData!$A:$A, $G108, NewEmisData!$B:$B, $A108, NewEmisData!$C:$C, $H108, NewEmisData!$D:$D, AV$6)</f>
        <v>0.31268832879129399</v>
      </c>
      <c r="AW108" s="1111">
        <f>SUMIFS(NewEmisData!K:K, NewEmisData!$A:$A, $G108, NewEmisData!$B:$B, $A108, NewEmisData!$C:$C, $H108, NewEmisData!$D:$D, AW$6)</f>
        <v>0.312127508613181</v>
      </c>
      <c r="AX108" s="1111">
        <f>SUMIFS(NewEmisData!L:L, NewEmisData!$A:$A, $G108, NewEmisData!$B:$B, $A108, NewEmisData!$C:$C, $H108, NewEmisData!$D:$D, AX$6)</f>
        <v>0.31212733060652997</v>
      </c>
      <c r="AY108" s="1111">
        <f>SUMIFS(NewEmisData!M:M, NewEmisData!$A:$A, $G108, NewEmisData!$B:$B, $A108, NewEmisData!$C:$C, $H108, NewEmisData!$D:$D, AY$6)</f>
        <v>0.31221263444207797</v>
      </c>
      <c r="AZ108" s="1111">
        <f t="shared" si="178"/>
        <v>0.31221263444207797</v>
      </c>
      <c r="BA108" s="1111">
        <f t="shared" si="179"/>
        <v>0.174608341981421</v>
      </c>
      <c r="BB108" s="1111">
        <f>SUMIFS(NewEmisData!E:E, NewEmisData!$A:$A, $G108, NewEmisData!$B:$B, $A108, NewEmisData!$C:$C, $H108, NewEmisData!$D:$D, BB$6)</f>
        <v>0.174608341981421</v>
      </c>
      <c r="BC108" s="1111">
        <f>SUMIFS(NewEmisData!F:F, NewEmisData!$A:$A, $G108, NewEmisData!$B:$B, $A108, NewEmisData!$C:$C, $H108, NewEmisData!$D:$D, BC$6)</f>
        <v>8.4809909896490093E-2</v>
      </c>
      <c r="BD108" s="1111">
        <f>SUMIFS(NewEmisData!G:G, NewEmisData!$A:$A, $G108, NewEmisData!$B:$B, $A108, NewEmisData!$C:$C, $H108, NewEmisData!$D:$D, BD$6)</f>
        <v>4.5970348611854797E-2</v>
      </c>
      <c r="BE108" s="1111">
        <f>SUMIFS(NewEmisData!H:H, NewEmisData!$A:$A, $G108, NewEmisData!$B:$B, $A108, NewEmisData!$C:$C, $H108, NewEmisData!$D:$D, BE$6)</f>
        <v>4.2952507513089398E-2</v>
      </c>
      <c r="BF108" s="1111">
        <f>SUMIFS(NewEmisData!I:I, NewEmisData!$A:$A, $G108, NewEmisData!$B:$B, $A108, NewEmisData!$C:$C, $H108, NewEmisData!$D:$D, BF$6)</f>
        <v>4.4076568857239103E-2</v>
      </c>
      <c r="BG108" s="1111">
        <f>SUMIFS(NewEmisData!J:J, NewEmisData!$A:$A, $G108, NewEmisData!$B:$B, $A108, NewEmisData!$C:$C, $H108, NewEmisData!$D:$D, BG$6)</f>
        <v>4.2686220737973499E-2</v>
      </c>
      <c r="BH108" s="1111">
        <f>SUMIFS(NewEmisData!K:K, NewEmisData!$A:$A, $G108, NewEmisData!$B:$B, $A108, NewEmisData!$C:$C, $H108, NewEmisData!$D:$D, BH$6)</f>
        <v>4.2189628277317197E-2</v>
      </c>
      <c r="BI108" s="1111">
        <f>SUMIFS(NewEmisData!L:L, NewEmisData!$A:$A, $G108, NewEmisData!$B:$B, $A108, NewEmisData!$C:$C, $H108, NewEmisData!$D:$D, BI$6)</f>
        <v>4.2189715264657097E-2</v>
      </c>
      <c r="BJ108" s="1111">
        <f>SUMIFS(NewEmisData!M:M, NewEmisData!$A:$A, $G108, NewEmisData!$B:$B, $A108, NewEmisData!$C:$C, $H108, NewEmisData!$D:$D, BJ$6)</f>
        <v>4.2265205084896902E-2</v>
      </c>
      <c r="BK108" s="1111">
        <f t="shared" si="180"/>
        <v>4.2265205084896902E-2</v>
      </c>
      <c r="BL108" s="1111">
        <f t="shared" si="181"/>
        <v>22.579418641795002</v>
      </c>
      <c r="BM108" s="1111">
        <f>SUMIFS(NewEmisData!E:E, NewEmisData!$A:$A, $G108, NewEmisData!$B:$B, $A108, NewEmisData!$C:$C, $H108, NewEmisData!$D:$D, BM$6)</f>
        <v>22.579418641795002</v>
      </c>
      <c r="BN108" s="1111">
        <f>SUMIFS(NewEmisData!F:F, NewEmisData!$A:$A, $G108, NewEmisData!$B:$B, $A108, NewEmisData!$C:$C, $H108, NewEmisData!$D:$D, BN$6)</f>
        <v>9.0903852362690802</v>
      </c>
      <c r="BO108" s="1111">
        <f>SUMIFS(NewEmisData!G:G, NewEmisData!$A:$A, $G108, NewEmisData!$B:$B, $A108, NewEmisData!$C:$C, $H108, NewEmisData!$D:$D, BO$6)</f>
        <v>7.2508001242851599</v>
      </c>
      <c r="BP108" s="1111">
        <f>SUMIFS(NewEmisData!H:H, NewEmisData!$A:$A, $G108, NewEmisData!$B:$B, $A108, NewEmisData!$C:$C, $H108, NewEmisData!$D:$D, BP$6)</f>
        <v>8.3556987909824798</v>
      </c>
      <c r="BQ108" s="1111">
        <f>SUMIFS(NewEmisData!I:I, NewEmisData!$A:$A, $G108, NewEmisData!$B:$B, $A108, NewEmisData!$C:$C, $H108, NewEmisData!$D:$D, BQ$6)</f>
        <v>8.6465986366556002</v>
      </c>
      <c r="BR108" s="1111">
        <f>SUMIFS(NewEmisData!J:J, NewEmisData!$A:$A, $G108, NewEmisData!$B:$B, $A108, NewEmisData!$C:$C, $H108, NewEmisData!$D:$D, BR$6)</f>
        <v>8.4121179739218093</v>
      </c>
      <c r="BS108" s="1111">
        <f>SUMIFS(NewEmisData!K:K, NewEmisData!$A:$A, $G108, NewEmisData!$B:$B, $A108, NewEmisData!$C:$C, $H108, NewEmisData!$D:$D, BS$6)</f>
        <v>8.4583772012786298</v>
      </c>
      <c r="BT108" s="1111">
        <f>SUMIFS(NewEmisData!L:L, NewEmisData!$A:$A, $G108, NewEmisData!$B:$B, $A108, NewEmisData!$C:$C, $H108, NewEmisData!$D:$D, BT$6)</f>
        <v>8.4584037451519194</v>
      </c>
      <c r="BU108" s="1111">
        <f>SUMIFS(NewEmisData!M:M, NewEmisData!$A:$A, $G108, NewEmisData!$B:$B, $A108, NewEmisData!$C:$C, $H108, NewEmisData!$D:$D, BU$6)</f>
        <v>8.5248446231051407</v>
      </c>
      <c r="BV108" s="1111">
        <f t="shared" si="182"/>
        <v>8.5248446231051407</v>
      </c>
      <c r="BW108" s="1111">
        <f t="shared" si="183"/>
        <v>3.2512109288213198</v>
      </c>
      <c r="BX108" s="1111">
        <f>SUMIFS(NewEmisData!E:E, NewEmisData!$A:$A, $G108, NewEmisData!$B:$B, $A108, NewEmisData!$C:$C, $H108, NewEmisData!$D:$D, BX$6)</f>
        <v>3.2512109288213198</v>
      </c>
      <c r="BY108" s="1111">
        <f>SUMIFS(NewEmisData!F:F, NewEmisData!$A:$A, $G108, NewEmisData!$B:$B, $A108, NewEmisData!$C:$C, $H108, NewEmisData!$D:$D, BY$6)</f>
        <v>1.6109199205326501</v>
      </c>
      <c r="BZ108" s="1111">
        <f>SUMIFS(NewEmisData!G:G, NewEmisData!$A:$A, $G108, NewEmisData!$B:$B, $A108, NewEmisData!$C:$C, $H108, NewEmisData!$D:$D, BZ$6)</f>
        <v>0.37737454157685102</v>
      </c>
      <c r="CA108" s="1111">
        <f>SUMIFS(NewEmisData!H:H, NewEmisData!$A:$A, $G108, NewEmisData!$B:$B, $A108, NewEmisData!$C:$C, $H108, NewEmisData!$D:$D, CA$6)</f>
        <v>0.28217670263127098</v>
      </c>
      <c r="CB108" s="1111">
        <f>SUMIFS(NewEmisData!I:I, NewEmisData!$A:$A, $G108, NewEmisData!$B:$B, $A108, NewEmisData!$C:$C, $H108, NewEmisData!$D:$D, CB$6)</f>
        <v>0.27024110048467198</v>
      </c>
      <c r="CC108" s="1111">
        <f>SUMIFS(NewEmisData!J:J, NewEmisData!$A:$A, $G108, NewEmisData!$B:$B, $A108, NewEmisData!$C:$C, $H108, NewEmisData!$D:$D, CC$6)</f>
        <v>0.25937246400036401</v>
      </c>
      <c r="CD108" s="1111">
        <f>SUMIFS(NewEmisData!K:K, NewEmisData!$A:$A, $G108, NewEmisData!$B:$B, $A108, NewEmisData!$C:$C, $H108, NewEmisData!$D:$D, CD$6)</f>
        <v>0.24206727844256201</v>
      </c>
      <c r="CE108" s="1111">
        <f>SUMIFS(NewEmisData!L:L, NewEmisData!$A:$A, $G108, NewEmisData!$B:$B, $A108, NewEmisData!$C:$C, $H108, NewEmisData!$D:$D, CE$6)</f>
        <v>0.24206948212867599</v>
      </c>
      <c r="CF108" s="1111">
        <f>SUMIFS(NewEmisData!M:M, NewEmisData!$A:$A, $G108, NewEmisData!$B:$B, $A108, NewEmisData!$C:$C, $H108, NewEmisData!$D:$D, CF$6)</f>
        <v>0.24378472910784699</v>
      </c>
      <c r="CG108" s="1111">
        <f t="shared" si="184"/>
        <v>0.24378472910784699</v>
      </c>
      <c r="CH108" s="1111">
        <f t="shared" si="185"/>
        <v>4.2098933652771502E-2</v>
      </c>
      <c r="CI108" s="1111">
        <f>SUMIFS(NewEmisData!E:E, NewEmisData!$A:$A, $G108, NewEmisData!$B:$B, $A108, NewEmisData!$C:$C, $H108, NewEmisData!$D:$D, CI$6)</f>
        <v>4.2098933652771502E-2</v>
      </c>
      <c r="CJ108" s="1111">
        <f>SUMIFS(NewEmisData!F:F, NewEmisData!$A:$A, $G108, NewEmisData!$B:$B, $A108, NewEmisData!$C:$C, $H108, NewEmisData!$D:$D, CJ$6)</f>
        <v>4.2098570742761299E-2</v>
      </c>
      <c r="CK108" s="1111">
        <f>SUMIFS(NewEmisData!G:G, NewEmisData!$A:$A, $G108, NewEmisData!$B:$B, $A108, NewEmisData!$C:$C, $H108, NewEmisData!$D:$D, CK$6)</f>
        <v>5.3159719402687697E-2</v>
      </c>
      <c r="CL108" s="1111">
        <f>SUMIFS(NewEmisData!H:H, NewEmisData!$A:$A, $G108, NewEmisData!$B:$B, $A108, NewEmisData!$C:$C, $H108, NewEmisData!$D:$D, CL$6)</f>
        <v>5.3149739963877903E-2</v>
      </c>
      <c r="CM108" s="1111">
        <f>SUMIFS(NewEmisData!I:I, NewEmisData!$A:$A, $G108, NewEmisData!$B:$B, $A108, NewEmisData!$C:$C, $H108, NewEmisData!$D:$D, CM$6)</f>
        <v>5.3146224692601898E-2</v>
      </c>
      <c r="CN108" s="1111">
        <f>SUMIFS(NewEmisData!J:J, NewEmisData!$A:$A, $G108, NewEmisData!$B:$B, $A108, NewEmisData!$C:$C, $H108, NewEmisData!$D:$D, CN$6)</f>
        <v>5.3141799371229599E-2</v>
      </c>
      <c r="CO108" s="1111">
        <f>SUMIFS(NewEmisData!K:K, NewEmisData!$A:$A, $G108, NewEmisData!$B:$B, $A108, NewEmisData!$C:$C, $H108, NewEmisData!$D:$D, CO$6)</f>
        <v>5.3140820474749002E-2</v>
      </c>
      <c r="CP108" s="1111">
        <f>SUMIFS(NewEmisData!L:L, NewEmisData!$A:$A, $G108, NewEmisData!$B:$B, $A108, NewEmisData!$C:$C, $H108, NewEmisData!$D:$D, CP$6)</f>
        <v>5.3140854292493003E-2</v>
      </c>
      <c r="CQ108" s="1111">
        <f>SUMIFS(NewEmisData!M:M, NewEmisData!$A:$A, $G108, NewEmisData!$B:$B, $A108, NewEmisData!$C:$C, $H108, NewEmisData!$D:$D, CQ$6)</f>
        <v>5.3140835802365199E-2</v>
      </c>
      <c r="CR108" s="1111">
        <f t="shared" si="186"/>
        <v>5.3140835802365199E-2</v>
      </c>
      <c r="CS108" s="1111">
        <f t="shared" si="187"/>
        <v>8.8574444131497496E-2</v>
      </c>
      <c r="CT108" s="1111">
        <f>SUMIFS(NewEmisData!E:E, NewEmisData!$A:$A, $G108, NewEmisData!$B:$B, $A108, NewEmisData!$C:$C, $H108, NewEmisData!$D:$D, CT$6)</f>
        <v>8.8574444131497496E-2</v>
      </c>
      <c r="CU108" s="1111">
        <f>SUMIFS(NewEmisData!F:F, NewEmisData!$A:$A, $G108, NewEmisData!$B:$B, $A108, NewEmisData!$C:$C, $H108, NewEmisData!$D:$D, CU$6)</f>
        <v>0.158338957178361</v>
      </c>
      <c r="CV108" s="1111">
        <f>SUMIFS(NewEmisData!G:G, NewEmisData!$A:$A, $G108, NewEmisData!$B:$B, $A108, NewEmisData!$C:$C, $H108, NewEmisData!$D:$D, CV$6)</f>
        <v>0.22076039280896301</v>
      </c>
      <c r="CW108" s="1111">
        <f>SUMIFS(NewEmisData!H:H, NewEmisData!$A:$A, $G108, NewEmisData!$B:$B, $A108, NewEmisData!$C:$C, $H108, NewEmisData!$D:$D, CW$6)</f>
        <v>0.22567553296085399</v>
      </c>
      <c r="CX108" s="1111">
        <f>SUMIFS(NewEmisData!I:I, NewEmisData!$A:$A, $G108, NewEmisData!$B:$B, $A108, NewEmisData!$C:$C, $H108, NewEmisData!$D:$D, CX$6)</f>
        <v>0.22802236468630799</v>
      </c>
      <c r="CY108" s="1111">
        <f>SUMIFS(NewEmisData!J:J, NewEmisData!$A:$A, $G108, NewEmisData!$B:$B, $A108, NewEmisData!$C:$C, $H108, NewEmisData!$D:$D, CY$6)</f>
        <v>0.22901609159938899</v>
      </c>
      <c r="CZ108" s="1111">
        <f>SUMIFS(NewEmisData!K:K, NewEmisData!$A:$A, $G108, NewEmisData!$B:$B, $A108, NewEmisData!$C:$C, $H108, NewEmisData!$D:$D, CZ$6)</f>
        <v>0.22555616451962901</v>
      </c>
      <c r="DA108" s="1111">
        <f>SUMIFS(NewEmisData!L:L, NewEmisData!$A:$A, $G108, NewEmisData!$B:$B, $A108, NewEmisData!$C:$C, $H108, NewEmisData!$D:$D, DA$6)</f>
        <v>0.22555300582847901</v>
      </c>
      <c r="DB108" s="1111">
        <f>SUMIFS(NewEmisData!M:M, NewEmisData!$A:$A, $G108, NewEmisData!$B:$B, $A108, NewEmisData!$C:$C, $H108, NewEmisData!$D:$D, DB$6)</f>
        <v>0.22819598441319699</v>
      </c>
      <c r="DC108" s="1111">
        <f t="shared" si="188"/>
        <v>0.22819598441319699</v>
      </c>
      <c r="DD108" s="1111"/>
      <c r="DE108" s="1111"/>
      <c r="DF108" s="1111"/>
      <c r="DG108" s="1111"/>
      <c r="DH108" s="1111"/>
      <c r="DI108" s="1111"/>
      <c r="DJ108" s="1111"/>
      <c r="DK108" s="1111"/>
      <c r="DL108" s="1111"/>
      <c r="DM108" s="1111"/>
      <c r="DN108" s="1111"/>
      <c r="DO108" s="1111"/>
      <c r="DP108" s="1111"/>
      <c r="DQ108" s="1111"/>
      <c r="DR108" s="1111"/>
      <c r="DS108" s="1111"/>
      <c r="DT108" s="1111"/>
      <c r="DU108" s="1111"/>
      <c r="DV108" s="1111"/>
      <c r="DW108" s="1111"/>
      <c r="DX108" s="1111"/>
      <c r="DY108" s="1111"/>
      <c r="DZ108" s="1111">
        <f t="shared" si="189"/>
        <v>21.479908688362801</v>
      </c>
      <c r="EA108" s="1111">
        <f>SUMIFS(NewEmisData!E:E, NewEmisData!$A:$A, $G108, NewEmisData!$B:$B, $A108, NewEmisData!$C:$C, $H108, NewEmisData!$D:$D, EA$6)</f>
        <v>21.479908688362801</v>
      </c>
      <c r="EB108" s="1111">
        <f>SUMIFS(NewEmisData!F:F, NewEmisData!$A:$A, $G108, NewEmisData!$B:$B, $A108, NewEmisData!$C:$C, $H108, NewEmisData!$D:$D, EB$6)</f>
        <v>14.1899393572135</v>
      </c>
      <c r="EC108" s="1111">
        <f>SUMIFS(NewEmisData!G:G, NewEmisData!$A:$A, $G108, NewEmisData!$B:$B, $A108, NewEmisData!$C:$C, $H108, NewEmisData!$D:$D, EC$6)</f>
        <v>6.2647803145334597</v>
      </c>
      <c r="ED108" s="1111">
        <f>SUMIFS(NewEmisData!H:H, NewEmisData!$A:$A, $G108, NewEmisData!$B:$B, $A108, NewEmisData!$C:$C, $H108, NewEmisData!$D:$D, ED$6)</f>
        <v>5.7979869012644301</v>
      </c>
      <c r="EE108" s="1111">
        <f>SUMIFS(NewEmisData!I:I, NewEmisData!$A:$A, $G108, NewEmisData!$B:$B, $A108, NewEmisData!$C:$C, $H108, NewEmisData!$D:$D, EE$6)</f>
        <v>5.20919501649339</v>
      </c>
      <c r="EF108" s="1111">
        <f>SUMIFS(NewEmisData!J:J, NewEmisData!$A:$A, $G108, NewEmisData!$B:$B, $A108, NewEmisData!$C:$C, $H108, NewEmisData!$D:$D, EF$6)</f>
        <v>5.35594752180626</v>
      </c>
      <c r="EG108" s="1111">
        <f>SUMIFS(NewEmisData!K:K, NewEmisData!$A:$A, $G108, NewEmisData!$B:$B, $A108, NewEmisData!$C:$C, $H108, NewEmisData!$D:$D, EG$6)</f>
        <v>5.0142547371903996</v>
      </c>
      <c r="EH108" s="1111">
        <f>SUMIFS(NewEmisData!L:L, NewEmisData!$A:$A, $G108, NewEmisData!$B:$B, $A108, NewEmisData!$C:$C, $H108, NewEmisData!$D:$D, EH$6)</f>
        <v>5.01430209801104</v>
      </c>
      <c r="EI108" s="1111">
        <f>SUMIFS(NewEmisData!M:M, NewEmisData!$A:$A, $G108, NewEmisData!$B:$B, $A108, NewEmisData!$C:$C, $H108, NewEmisData!$D:$D, EI$6)</f>
        <v>5.0498323593708303</v>
      </c>
      <c r="EJ108" s="1111">
        <f t="shared" si="190"/>
        <v>5.0498323593708303</v>
      </c>
      <c r="EK108" s="1111">
        <f t="shared" si="191"/>
        <v>1582.4187998643499</v>
      </c>
      <c r="EL108" s="1111">
        <f t="shared" si="154"/>
        <v>1582.4187998643499</v>
      </c>
      <c r="EM108" s="1111">
        <f t="shared" si="155"/>
        <v>1412.03350754338</v>
      </c>
      <c r="EN108" s="1111">
        <f t="shared" si="156"/>
        <v>1546.06349717532</v>
      </c>
      <c r="EO108" s="1111">
        <f t="shared" si="157"/>
        <v>1515.37888281612</v>
      </c>
      <c r="EP108" s="1111">
        <f t="shared" si="158"/>
        <v>1507.61251127639</v>
      </c>
      <c r="EQ108" s="1111">
        <f t="shared" si="159"/>
        <v>1493.3470009960599</v>
      </c>
      <c r="ER108" s="1111">
        <f t="shared" si="160"/>
        <v>1489.9863533868299</v>
      </c>
      <c r="ES108" s="1111">
        <f t="shared" si="161"/>
        <v>1489.9398704633099</v>
      </c>
      <c r="ET108" s="1111">
        <f t="shared" si="162"/>
        <v>1490.25622635268</v>
      </c>
      <c r="EU108" s="1111">
        <f t="shared" si="163"/>
        <v>1490.25622635268</v>
      </c>
      <c r="EV108" s="1111">
        <f t="shared" si="192"/>
        <v>13.9864690314122</v>
      </c>
      <c r="EW108" s="1111">
        <f t="shared" si="144"/>
        <v>13.9864690314122</v>
      </c>
      <c r="EX108" s="1111">
        <f t="shared" si="145"/>
        <v>8.6222310446848205</v>
      </c>
      <c r="EY108" s="1111">
        <f t="shared" si="146"/>
        <v>2.6611271470383202</v>
      </c>
      <c r="EZ108" s="1111">
        <f t="shared" si="147"/>
        <v>2.0703098620271998</v>
      </c>
      <c r="FA108" s="1111">
        <f t="shared" si="148"/>
        <v>1.8197121469984701</v>
      </c>
      <c r="FB108" s="1111">
        <f t="shared" si="149"/>
        <v>1.8815055816456701</v>
      </c>
      <c r="FC108" s="1111">
        <f t="shared" si="150"/>
        <v>1.72120836005601</v>
      </c>
      <c r="FD108" s="1111">
        <f t="shared" si="151"/>
        <v>1.72121053061929</v>
      </c>
      <c r="FE108" s="1111">
        <f t="shared" si="152"/>
        <v>1.72375209093524</v>
      </c>
      <c r="FF108" s="1111">
        <f t="shared" si="153"/>
        <v>1.72375209093524</v>
      </c>
      <c r="FG108" s="1111">
        <f t="shared" si="100"/>
        <v>7.7542415434254403E-3</v>
      </c>
      <c r="FH108" s="1111">
        <f t="shared" si="101"/>
        <v>7.7542415434254403E-3</v>
      </c>
      <c r="FI108" s="1111">
        <f t="shared" si="102"/>
        <v>7.0025604799103603E-3</v>
      </c>
      <c r="FJ108" s="1111">
        <f t="shared" si="103"/>
        <v>8.1856191975243908E-3</v>
      </c>
      <c r="FK108" s="1111">
        <f t="shared" si="104"/>
        <v>8.0231652001578006E-3</v>
      </c>
      <c r="FL108" s="1111">
        <f t="shared" si="105"/>
        <v>7.9820372345914808E-3</v>
      </c>
      <c r="FM108" s="1111">
        <f t="shared" si="106"/>
        <v>7.9065086361542296E-3</v>
      </c>
      <c r="FN108" s="1111">
        <f t="shared" si="107"/>
        <v>7.8887206920964792E-3</v>
      </c>
      <c r="FO108" s="1111">
        <f t="shared" si="108"/>
        <v>7.8884719490300206E-3</v>
      </c>
      <c r="FP108" s="1111">
        <f t="shared" si="109"/>
        <v>7.8901444470430397E-3</v>
      </c>
      <c r="FQ108" s="1111">
        <f t="shared" si="110"/>
        <v>7.8901444470430397E-3</v>
      </c>
      <c r="FR108" s="1111">
        <f t="shared" si="133"/>
        <v>0.37093923028794801</v>
      </c>
      <c r="FS108" s="1111">
        <f t="shared" si="134"/>
        <v>0.37093923028794801</v>
      </c>
      <c r="FT108" s="1111">
        <f t="shared" si="135"/>
        <v>0.26942906985133003</v>
      </c>
      <c r="FU108" s="1111">
        <f t="shared" si="136"/>
        <v>0.31640035064412397</v>
      </c>
      <c r="FV108" s="1111">
        <f t="shared" si="137"/>
        <v>0.312988611523218</v>
      </c>
      <c r="FW108" s="1111">
        <f t="shared" si="138"/>
        <v>0.314260212084015</v>
      </c>
      <c r="FX108" s="1111">
        <f t="shared" si="139"/>
        <v>0.31268832879129399</v>
      </c>
      <c r="FY108" s="1111">
        <f t="shared" si="140"/>
        <v>0.312127508613181</v>
      </c>
      <c r="FZ108" s="1111">
        <f t="shared" si="141"/>
        <v>0.31212733060652997</v>
      </c>
      <c r="GA108" s="1111">
        <f t="shared" si="142"/>
        <v>0.31221263444207797</v>
      </c>
      <c r="GB108" s="1111">
        <f t="shared" si="143"/>
        <v>0.31221263444207797</v>
      </c>
      <c r="GC108" s="1111">
        <f t="shared" si="164"/>
        <v>0.174608341981421</v>
      </c>
      <c r="GD108" s="1111">
        <f t="shared" si="165"/>
        <v>0.174608341981421</v>
      </c>
      <c r="GE108" s="1111">
        <f t="shared" si="166"/>
        <v>8.4809909896490093E-2</v>
      </c>
      <c r="GF108" s="1111">
        <f t="shared" si="167"/>
        <v>4.5970348611854797E-2</v>
      </c>
      <c r="GG108" s="1111">
        <f t="shared" si="168"/>
        <v>4.2952507513089398E-2</v>
      </c>
      <c r="GH108" s="1111">
        <f t="shared" si="169"/>
        <v>4.4076568857239103E-2</v>
      </c>
      <c r="GI108" s="1111">
        <f t="shared" si="170"/>
        <v>4.2686220737973499E-2</v>
      </c>
      <c r="GJ108" s="1111">
        <f t="shared" si="171"/>
        <v>4.2189628277317197E-2</v>
      </c>
      <c r="GK108" s="1111">
        <f t="shared" si="172"/>
        <v>4.2189715264657097E-2</v>
      </c>
      <c r="GL108" s="1111">
        <f t="shared" si="173"/>
        <v>4.2265205084896902E-2</v>
      </c>
      <c r="GM108" s="1111">
        <f t="shared" si="174"/>
        <v>4.2265205084896902E-2</v>
      </c>
    </row>
    <row r="109" spans="1:195" x14ac:dyDescent="0.2">
      <c r="A109" s="1071" t="s">
        <v>186</v>
      </c>
      <c r="B109" s="1071" t="str">
        <f>NewTech!B29</f>
        <v>TBCNGIM</v>
      </c>
      <c r="C109" s="1071" t="str">
        <f>NewTech!C29</f>
        <v>Bus, Improved CNG</v>
      </c>
      <c r="D109" s="1071" t="str">
        <f>NewTech!D29</f>
        <v>bn-vmt, bn-vmt/a</v>
      </c>
      <c r="E109" s="1071" t="str">
        <f>NewTech!E29</f>
        <v>TBCNG</v>
      </c>
      <c r="F109" s="1071" t="str">
        <f>NewTech!F29</f>
        <v>TB</v>
      </c>
      <c r="G109" s="1110" t="s">
        <v>498</v>
      </c>
      <c r="H109" s="1110" t="s">
        <v>501</v>
      </c>
      <c r="I109" s="1112">
        <v>1</v>
      </c>
      <c r="J109" s="1111" t="str">
        <f t="shared" si="37"/>
        <v>Bus-CNG</v>
      </c>
      <c r="K109" s="1111">
        <f>SUMIFS(NewEmisData!E:E, NewEmisData!$A:$A, $G109, NewEmisData!$B:$B, $A109, NewEmisData!$C:$C, $H109, NewEmisData!$D:$D, K$6)</f>
        <v>2178.9967614971001</v>
      </c>
      <c r="L109" s="1111">
        <f>SUMIFS(NewEmisData!F:F, NewEmisData!$A:$A, $G109, NewEmisData!$B:$B, $A109, NewEmisData!$C:$C, $H109, NewEmisData!$D:$D, L$6)</f>
        <v>2166.1808780169699</v>
      </c>
      <c r="M109" s="1111">
        <f>SUMIFS(NewEmisData!G:G, NewEmisData!$A:$A, $G109, NewEmisData!$B:$B, $A109, NewEmisData!$C:$C, $H109, NewEmisData!$D:$D, M$6)</f>
        <v>1829.3230538083899</v>
      </c>
      <c r="N109" s="1111">
        <f>SUMIFS(NewEmisData!H:H, NewEmisData!$A:$A, $G109, NewEmisData!$B:$B, $A109, NewEmisData!$C:$C, $H109, NewEmisData!$D:$D, N$6)</f>
        <v>1792.5465477673099</v>
      </c>
      <c r="O109" s="1111">
        <f>SUMIFS(NewEmisData!I:I, NewEmisData!$A:$A, $G109, NewEmisData!$B:$B, $A109, NewEmisData!$C:$C, $H109, NewEmisData!$D:$D, O$6)</f>
        <v>1783.15413817481</v>
      </c>
      <c r="P109" s="1111">
        <f>SUMIFS(NewEmisData!J:J, NewEmisData!$A:$A, $G109, NewEmisData!$B:$B, $A109, NewEmisData!$C:$C, $H109, NewEmisData!$D:$D, P$6)</f>
        <v>1766.2276580145201</v>
      </c>
      <c r="Q109" s="1111">
        <f>SUMIFS(NewEmisData!K:K, NewEmisData!$A:$A, $G109, NewEmisData!$B:$B, $A109, NewEmisData!$C:$C, $H109, NewEmisData!$D:$D, Q$6)</f>
        <v>1762.65639856503</v>
      </c>
      <c r="R109" s="1111">
        <f>SUMIFS(NewEmisData!L:L, NewEmisData!$A:$A, $G109, NewEmisData!$B:$B, $A109, NewEmisData!$C:$C, $H109, NewEmisData!$D:$D, R$6)</f>
        <v>1762.6002362349</v>
      </c>
      <c r="S109" s="1111">
        <f>SUMIFS(NewEmisData!M:M, NewEmisData!$A:$A, $G109, NewEmisData!$B:$B, $A109, NewEmisData!$C:$C, $H109, NewEmisData!$D:$D, S$6)</f>
        <v>1762.69221348628</v>
      </c>
      <c r="T109" s="1111">
        <f t="shared" si="131"/>
        <v>1762.69221348628</v>
      </c>
      <c r="U109" s="1111">
        <f>SUMIFS(NewEmisData!E:E, NewEmisData!$A:$A, $G109, NewEmisData!$B:$B, $A109, NewEmisData!$C:$C, $H109, NewEmisData!$D:$D, U$6)</f>
        <v>17.791352967534699</v>
      </c>
      <c r="V109" s="1111">
        <f>SUMIFS(NewEmisData!F:F, NewEmisData!$A:$A, $G109, NewEmisData!$B:$B, $A109, NewEmisData!$C:$C, $H109, NewEmisData!$D:$D, V$6)</f>
        <v>17.463111089302298</v>
      </c>
      <c r="W109" s="1111">
        <f>SUMIFS(NewEmisData!G:G, NewEmisData!$A:$A, $G109, NewEmisData!$B:$B, $A109, NewEmisData!$C:$C, $H109, NewEmisData!$D:$D, W$6)</f>
        <v>3.0267310243138001</v>
      </c>
      <c r="X109" s="1111">
        <f>SUMIFS(NewEmisData!H:H, NewEmisData!$A:$A, $G109, NewEmisData!$B:$B, $A109, NewEmisData!$C:$C, $H109, NewEmisData!$D:$D, X$6)</f>
        <v>2.3543137298168899</v>
      </c>
      <c r="Y109" s="1111">
        <f>SUMIFS(NewEmisData!I:I, NewEmisData!$A:$A, $G109, NewEmisData!$B:$B, $A109, NewEmisData!$C:$C, $H109, NewEmisData!$D:$D, Y$6)</f>
        <v>2.0699541963238501</v>
      </c>
      <c r="Z109" s="1111">
        <f>SUMIFS(NewEmisData!J:J, NewEmisData!$A:$A, $G109, NewEmisData!$B:$B, $A109, NewEmisData!$C:$C, $H109, NewEmisData!$D:$D, Z$6)</f>
        <v>2.1398645413845401</v>
      </c>
      <c r="AA109" s="1111">
        <f>SUMIFS(NewEmisData!K:K, NewEmisData!$A:$A, $G109, NewEmisData!$B:$B, $A109, NewEmisData!$C:$C, $H109, NewEmisData!$D:$D, AA$6)</f>
        <v>1.9577154303695801</v>
      </c>
      <c r="AB109" s="1111">
        <f>SUMIFS(NewEmisData!L:L, NewEmisData!$A:$A, $G109, NewEmisData!$B:$B, $A109, NewEmisData!$C:$C, $H109, NewEmisData!$D:$D, AB$6)</f>
        <v>1.9577160230270401</v>
      </c>
      <c r="AC109" s="1111">
        <f>SUMIFS(NewEmisData!M:M, NewEmisData!$A:$A, $G109, NewEmisData!$B:$B, $A109, NewEmisData!$C:$C, $H109, NewEmisData!$D:$D, AC$6)</f>
        <v>1.96058425238824</v>
      </c>
      <c r="AD109" s="1111">
        <f t="shared" si="132"/>
        <v>1.96058425238824</v>
      </c>
      <c r="AE109" s="1111">
        <f t="shared" si="175"/>
        <v>7.75878540003522E-3</v>
      </c>
      <c r="AF109" s="1111">
        <f>SUMIFS(NewEmisData!E:E, NewEmisData!$A:$A, $G109, NewEmisData!$B:$B, $A109, NewEmisData!$C:$C, $H109, NewEmisData!$D:$D, AF$6)</f>
        <v>7.75878540003522E-3</v>
      </c>
      <c r="AG109" s="1111">
        <f>SUMIFS(NewEmisData!F:F, NewEmisData!$A:$A, $G109, NewEmisData!$B:$B, $A109, NewEmisData!$C:$C, $H109, NewEmisData!$D:$D, AG$6)</f>
        <v>7.7206892950845299E-3</v>
      </c>
      <c r="AH109" s="1111">
        <f>SUMIFS(NewEmisData!G:G, NewEmisData!$A:$A, $G109, NewEmisData!$B:$B, $A109, NewEmisData!$C:$C, $H109, NewEmisData!$D:$D, AH$6)</f>
        <v>9.6853348357149507E-3</v>
      </c>
      <c r="AI109" s="1111">
        <f>SUMIFS(NewEmisData!H:H, NewEmisData!$A:$A, $G109, NewEmisData!$B:$B, $A109, NewEmisData!$C:$C, $H109, NewEmisData!$D:$D, AI$6)</f>
        <v>9.4906268999874494E-3</v>
      </c>
      <c r="AJ109" s="1111">
        <f>SUMIFS(NewEmisData!I:I, NewEmisData!$A:$A, $G109, NewEmisData!$B:$B, $A109, NewEmisData!$C:$C, $H109, NewEmisData!$D:$D, AJ$6)</f>
        <v>9.4408902403545405E-3</v>
      </c>
      <c r="AK109" s="1111">
        <f>SUMIFS(NewEmisData!J:J, NewEmisData!$A:$A, $G109, NewEmisData!$B:$B, $A109, NewEmisData!$C:$C, $H109, NewEmisData!$D:$D, AK$6)</f>
        <v>9.3512761456049798E-3</v>
      </c>
      <c r="AL109" s="1111">
        <f>SUMIFS(NewEmisData!K:K, NewEmisData!$A:$A, $G109, NewEmisData!$B:$B, $A109, NewEmisData!$C:$C, $H109, NewEmisData!$D:$D, AL$6)</f>
        <v>9.3323686977463492E-3</v>
      </c>
      <c r="AM109" s="1111">
        <f>SUMIFS(NewEmisData!L:L, NewEmisData!$A:$A, $G109, NewEmisData!$B:$B, $A109, NewEmisData!$C:$C, $H109, NewEmisData!$D:$D, AM$6)</f>
        <v>9.33206965002485E-3</v>
      </c>
      <c r="AN109" s="1111">
        <f>SUMIFS(NewEmisData!M:M, NewEmisData!$A:$A, $G109, NewEmisData!$B:$B, $A109, NewEmisData!$C:$C, $H109, NewEmisData!$D:$D, AN$6)</f>
        <v>9.3325593207045504E-3</v>
      </c>
      <c r="AO109" s="1111">
        <f t="shared" si="176"/>
        <v>9.3325593207045504E-3</v>
      </c>
      <c r="AP109" s="1111">
        <f t="shared" si="177"/>
        <v>0.56323884311686501</v>
      </c>
      <c r="AQ109" s="1111">
        <f>SUMIFS(NewEmisData!E:E, NewEmisData!$A:$A, $G109, NewEmisData!$B:$B, $A109, NewEmisData!$C:$C, $H109, NewEmisData!$D:$D, AQ$6)</f>
        <v>0.56323884311686501</v>
      </c>
      <c r="AR109" s="1111">
        <f>SUMIFS(NewEmisData!F:F, NewEmisData!$A:$A, $G109, NewEmisData!$B:$B, $A109, NewEmisData!$C:$C, $H109, NewEmisData!$D:$D, AR$6)</f>
        <v>0.65967921760836901</v>
      </c>
      <c r="AS109" s="1111">
        <f>SUMIFS(NewEmisData!G:G, NewEmisData!$A:$A, $G109, NewEmisData!$B:$B, $A109, NewEmisData!$C:$C, $H109, NewEmisData!$D:$D, AS$6)</f>
        <v>0.43849398613699297</v>
      </c>
      <c r="AT109" s="1111">
        <f>SUMIFS(NewEmisData!H:H, NewEmisData!$A:$A, $G109, NewEmisData!$B:$B, $A109, NewEmisData!$C:$C, $H109, NewEmisData!$D:$D, AT$6)</f>
        <v>0.435387742291789</v>
      </c>
      <c r="AU109" s="1111">
        <f>SUMIFS(NewEmisData!I:I, NewEmisData!$A:$A, $G109, NewEmisData!$B:$B, $A109, NewEmisData!$C:$C, $H109, NewEmisData!$D:$D, AU$6)</f>
        <v>0.43677651486407298</v>
      </c>
      <c r="AV109" s="1111">
        <f>SUMIFS(NewEmisData!J:J, NewEmisData!$A:$A, $G109, NewEmisData!$B:$B, $A109, NewEmisData!$C:$C, $H109, NewEmisData!$D:$D, AV$6)</f>
        <v>0.43514383186903999</v>
      </c>
      <c r="AW109" s="1111">
        <f>SUMIFS(NewEmisData!K:K, NewEmisData!$A:$A, $G109, NewEmisData!$B:$B, $A109, NewEmisData!$C:$C, $H109, NewEmisData!$D:$D, AW$6)</f>
        <v>0.43469575175796898</v>
      </c>
      <c r="AX109" s="1111">
        <f>SUMIFS(NewEmisData!L:L, NewEmisData!$A:$A, $G109, NewEmisData!$B:$B, $A109, NewEmisData!$C:$C, $H109, NewEmisData!$D:$D, AX$6)</f>
        <v>0.434695702864836</v>
      </c>
      <c r="AY109" s="1111">
        <f>SUMIFS(NewEmisData!M:M, NewEmisData!$A:$A, $G109, NewEmisData!$B:$B, $A109, NewEmisData!$C:$C, $H109, NewEmisData!$D:$D, AY$6)</f>
        <v>0.43478505724157201</v>
      </c>
      <c r="AZ109" s="1111">
        <f t="shared" si="178"/>
        <v>0.43478505724157201</v>
      </c>
      <c r="BA109" s="1111">
        <f t="shared" si="179"/>
        <v>0.19585131976317</v>
      </c>
      <c r="BB109" s="1111">
        <f>SUMIFS(NewEmisData!E:E, NewEmisData!$A:$A, $G109, NewEmisData!$B:$B, $A109, NewEmisData!$C:$C, $H109, NewEmisData!$D:$D, BB$6)</f>
        <v>0.19585131976317</v>
      </c>
      <c r="BC109" s="1111">
        <f>SUMIFS(NewEmisData!F:F, NewEmisData!$A:$A, $G109, NewEmisData!$B:$B, $A109, NewEmisData!$C:$C, $H109, NewEmisData!$D:$D, BC$6)</f>
        <v>0.281164327502613</v>
      </c>
      <c r="BD109" s="1111">
        <f>SUMIFS(NewEmisData!G:G, NewEmisData!$A:$A, $G109, NewEmisData!$B:$B, $A109, NewEmisData!$C:$C, $H109, NewEmisData!$D:$D, BD$6)</f>
        <v>6.1015791831846501E-2</v>
      </c>
      <c r="BE109" s="1111">
        <f>SUMIFS(NewEmisData!H:H, NewEmisData!$A:$A, $G109, NewEmisData!$B:$B, $A109, NewEmisData!$C:$C, $H109, NewEmisData!$D:$D, BE$6)</f>
        <v>5.82674541625035E-2</v>
      </c>
      <c r="BF109" s="1111">
        <f>SUMIFS(NewEmisData!I:I, NewEmisData!$A:$A, $G109, NewEmisData!$B:$B, $A109, NewEmisData!$C:$C, $H109, NewEmisData!$D:$D, BF$6)</f>
        <v>5.9496434405484099E-2</v>
      </c>
      <c r="BG109" s="1111">
        <f>SUMIFS(NewEmisData!J:J, NewEmisData!$A:$A, $G109, NewEmisData!$B:$B, $A109, NewEmisData!$C:$C, $H109, NewEmisData!$D:$D, BG$6)</f>
        <v>5.8051617759569699E-2</v>
      </c>
      <c r="BH109" s="1111">
        <f>SUMIFS(NewEmisData!K:K, NewEmisData!$A:$A, $G109, NewEmisData!$B:$B, $A109, NewEmisData!$C:$C, $H109, NewEmisData!$D:$D, BH$6)</f>
        <v>5.76550670160648E-2</v>
      </c>
      <c r="BI109" s="1111">
        <f>SUMIFS(NewEmisData!L:L, NewEmisData!$A:$A, $G109, NewEmisData!$B:$B, $A109, NewEmisData!$C:$C, $H109, NewEmisData!$D:$D, BI$6)</f>
        <v>5.7655161934684902E-2</v>
      </c>
      <c r="BJ109" s="1111">
        <f>SUMIFS(NewEmisData!M:M, NewEmisData!$A:$A, $G109, NewEmisData!$B:$B, $A109, NewEmisData!$C:$C, $H109, NewEmisData!$D:$D, BJ$6)</f>
        <v>5.7734278106753099E-2</v>
      </c>
      <c r="BK109" s="1111">
        <f t="shared" si="180"/>
        <v>5.7734278106753099E-2</v>
      </c>
      <c r="BL109" s="1111">
        <f t="shared" si="181"/>
        <v>29.4596309958273</v>
      </c>
      <c r="BM109" s="1111">
        <f>SUMIFS(NewEmisData!E:E, NewEmisData!$A:$A, $G109, NewEmisData!$B:$B, $A109, NewEmisData!$C:$C, $H109, NewEmisData!$D:$D, BM$6)</f>
        <v>29.4596309958273</v>
      </c>
      <c r="BN109" s="1111">
        <f>SUMIFS(NewEmisData!F:F, NewEmisData!$A:$A, $G109, NewEmisData!$B:$B, $A109, NewEmisData!$C:$C, $H109, NewEmisData!$D:$D, BN$6)</f>
        <v>28.621105419521001</v>
      </c>
      <c r="BO109" s="1111">
        <f>SUMIFS(NewEmisData!G:G, NewEmisData!$A:$A, $G109, NewEmisData!$B:$B, $A109, NewEmisData!$C:$C, $H109, NewEmisData!$D:$D, BO$6)</f>
        <v>7.6817855463484399</v>
      </c>
      <c r="BP109" s="1111">
        <f>SUMIFS(NewEmisData!H:H, NewEmisData!$A:$A, $G109, NewEmisData!$B:$B, $A109, NewEmisData!$C:$C, $H109, NewEmisData!$D:$D, BP$6)</f>
        <v>8.9963942727621795</v>
      </c>
      <c r="BQ109" s="1111">
        <f>SUMIFS(NewEmisData!I:I, NewEmisData!$A:$A, $G109, NewEmisData!$B:$B, $A109, NewEmisData!$C:$C, $H109, NewEmisData!$D:$D, BQ$6)</f>
        <v>9.3130254372190695</v>
      </c>
      <c r="BR109" s="1111">
        <f>SUMIFS(NewEmisData!J:J, NewEmisData!$A:$A, $G109, NewEmisData!$B:$B, $A109, NewEmisData!$C:$C, $H109, NewEmisData!$D:$D, BR$6)</f>
        <v>9.0340201312627304</v>
      </c>
      <c r="BS109" s="1111">
        <f>SUMIFS(NewEmisData!K:K, NewEmisData!$A:$A, $G109, NewEmisData!$B:$B, $A109, NewEmisData!$C:$C, $H109, NewEmisData!$D:$D, BS$6)</f>
        <v>9.1194870958021301</v>
      </c>
      <c r="BT109" s="1111">
        <f>SUMIFS(NewEmisData!L:L, NewEmisData!$A:$A, $G109, NewEmisData!$B:$B, $A109, NewEmisData!$C:$C, $H109, NewEmisData!$D:$D, BT$6)</f>
        <v>9.1195354358116791</v>
      </c>
      <c r="BU109" s="1111">
        <f>SUMIFS(NewEmisData!M:M, NewEmisData!$A:$A, $G109, NewEmisData!$B:$B, $A109, NewEmisData!$C:$C, $H109, NewEmisData!$D:$D, BU$6)</f>
        <v>9.1768688492373691</v>
      </c>
      <c r="BV109" s="1111">
        <f t="shared" si="182"/>
        <v>9.1768688492373691</v>
      </c>
      <c r="BW109" s="1111">
        <f t="shared" si="183"/>
        <v>5.0930184981446001</v>
      </c>
      <c r="BX109" s="1111">
        <f>SUMIFS(NewEmisData!E:E, NewEmisData!$A:$A, $G109, NewEmisData!$B:$B, $A109, NewEmisData!$C:$C, $H109, NewEmisData!$D:$D, BX$6)</f>
        <v>5.0930184981446001</v>
      </c>
      <c r="BY109" s="1111">
        <f>SUMIFS(NewEmisData!F:F, NewEmisData!$A:$A, $G109, NewEmisData!$B:$B, $A109, NewEmisData!$C:$C, $H109, NewEmisData!$D:$D, BY$6)</f>
        <v>5.0253358346598898</v>
      </c>
      <c r="BZ109" s="1111">
        <f>SUMIFS(NewEmisData!G:G, NewEmisData!$A:$A, $G109, NewEmisData!$B:$B, $A109, NewEmisData!$C:$C, $H109, NewEmisData!$D:$D, BZ$6)</f>
        <v>0.51405823804131701</v>
      </c>
      <c r="CA109" s="1111">
        <f>SUMIFS(NewEmisData!H:H, NewEmisData!$A:$A, $G109, NewEmisData!$B:$B, $A109, NewEmisData!$C:$C, $H109, NewEmisData!$D:$D, CA$6)</f>
        <v>0.387528613317835</v>
      </c>
      <c r="CB109" s="1111">
        <f>SUMIFS(NewEmisData!I:I, NewEmisData!$A:$A, $G109, NewEmisData!$B:$B, $A109, NewEmisData!$C:$C, $H109, NewEmisData!$D:$D, CB$6)</f>
        <v>0.36774416861611597</v>
      </c>
      <c r="CC109" s="1111">
        <f>SUMIFS(NewEmisData!J:J, NewEmisData!$A:$A, $G109, NewEmisData!$B:$B, $A109, NewEmisData!$C:$C, $H109, NewEmisData!$D:$D, CC$6)</f>
        <v>0.35572251850567799</v>
      </c>
      <c r="CD109" s="1111">
        <f>SUMIFS(NewEmisData!K:K, NewEmisData!$A:$A, $G109, NewEmisData!$B:$B, $A109, NewEmisData!$C:$C, $H109, NewEmisData!$D:$D, CD$6)</f>
        <v>0.33175379038174102</v>
      </c>
      <c r="CE109" s="1111">
        <f>SUMIFS(NewEmisData!L:L, NewEmisData!$A:$A, $G109, NewEmisData!$B:$B, $A109, NewEmisData!$C:$C, $H109, NewEmisData!$D:$D, CE$6)</f>
        <v>0.331756695076598</v>
      </c>
      <c r="CF109" s="1111">
        <f>SUMIFS(NewEmisData!M:M, NewEmisData!$A:$A, $G109, NewEmisData!$B:$B, $A109, NewEmisData!$C:$C, $H109, NewEmisData!$D:$D, CF$6)</f>
        <v>0.33409632913945803</v>
      </c>
      <c r="CG109" s="1111">
        <f t="shared" si="184"/>
        <v>0.33409632913945803</v>
      </c>
      <c r="CH109" s="1111">
        <f t="shared" si="185"/>
        <v>5.8005828223388803E-2</v>
      </c>
      <c r="CI109" s="1111">
        <f>SUMIFS(NewEmisData!E:E, NewEmisData!$A:$A, $G109, NewEmisData!$B:$B, $A109, NewEmisData!$C:$C, $H109, NewEmisData!$D:$D, CI$6)</f>
        <v>5.8005828223388803E-2</v>
      </c>
      <c r="CJ109" s="1111">
        <f>SUMIFS(NewEmisData!F:F, NewEmisData!$A:$A, $G109, NewEmisData!$B:$B, $A109, NewEmisData!$C:$C, $H109, NewEmisData!$D:$D, CJ$6)</f>
        <v>5.8005698651183601E-2</v>
      </c>
      <c r="CK109" s="1111">
        <f>SUMIFS(NewEmisData!G:G, NewEmisData!$A:$A, $G109, NewEmisData!$B:$B, $A109, NewEmisData!$C:$C, $H109, NewEmisData!$D:$D, CK$6)</f>
        <v>6.3952492241155401E-2</v>
      </c>
      <c r="CL109" s="1111">
        <f>SUMIFS(NewEmisData!H:H, NewEmisData!$A:$A, $G109, NewEmisData!$B:$B, $A109, NewEmisData!$C:$C, $H109, NewEmisData!$D:$D, CL$6)</f>
        <v>6.3946667315170597E-2</v>
      </c>
      <c r="CM109" s="1111">
        <f>SUMIFS(NewEmisData!I:I, NewEmisData!$A:$A, $G109, NewEmisData!$B:$B, $A109, NewEmisData!$C:$C, $H109, NewEmisData!$D:$D, CM$6)</f>
        <v>6.3944594731192794E-2</v>
      </c>
      <c r="CN109" s="1111">
        <f>SUMIFS(NewEmisData!J:J, NewEmisData!$A:$A, $G109, NewEmisData!$B:$B, $A109, NewEmisData!$C:$C, $H109, NewEmisData!$D:$D, CN$6)</f>
        <v>6.3942027068771501E-2</v>
      </c>
      <c r="CO109" s="1111">
        <f>SUMIFS(NewEmisData!K:K, NewEmisData!$A:$A, $G109, NewEmisData!$B:$B, $A109, NewEmisData!$C:$C, $H109, NewEmisData!$D:$D, CO$6)</f>
        <v>6.3941596803110706E-2</v>
      </c>
      <c r="CP109" s="1111">
        <f>SUMIFS(NewEmisData!L:L, NewEmisData!$A:$A, $G109, NewEmisData!$B:$B, $A109, NewEmisData!$C:$C, $H109, NewEmisData!$D:$D, CP$6)</f>
        <v>6.39415366152081E-2</v>
      </c>
      <c r="CQ109" s="1111">
        <f>SUMIFS(NewEmisData!M:M, NewEmisData!$A:$A, $G109, NewEmisData!$B:$B, $A109, NewEmisData!$C:$C, $H109, NewEmisData!$D:$D, CQ$6)</f>
        <v>6.3941512340742093E-2</v>
      </c>
      <c r="CR109" s="1111">
        <f t="shared" si="186"/>
        <v>6.3941512340742093E-2</v>
      </c>
      <c r="CS109" s="1111">
        <f t="shared" si="187"/>
        <v>0.18414442462908501</v>
      </c>
      <c r="CT109" s="1111">
        <f>SUMIFS(NewEmisData!E:E, NewEmisData!$A:$A, $G109, NewEmisData!$B:$B, $A109, NewEmisData!$C:$C, $H109, NewEmisData!$D:$D, CT$6)</f>
        <v>0.18414442462908501</v>
      </c>
      <c r="CU109" s="1111">
        <f>SUMIFS(NewEmisData!F:F, NewEmisData!$A:$A, $G109, NewEmisData!$B:$B, $A109, NewEmisData!$C:$C, $H109, NewEmisData!$D:$D, CU$6)</f>
        <v>0.19305436052488101</v>
      </c>
      <c r="CV109" s="1111">
        <f>SUMIFS(NewEmisData!G:G, NewEmisData!$A:$A, $G109, NewEmisData!$B:$B, $A109, NewEmisData!$C:$C, $H109, NewEmisData!$D:$D, CV$6)</f>
        <v>0.175367660023205</v>
      </c>
      <c r="CW109" s="1111">
        <f>SUMIFS(NewEmisData!H:H, NewEmisData!$A:$A, $G109, NewEmisData!$B:$B, $A109, NewEmisData!$C:$C, $H109, NewEmisData!$D:$D, CW$6)</f>
        <v>0.17678280347714401</v>
      </c>
      <c r="CX109" s="1111">
        <f>SUMIFS(NewEmisData!I:I, NewEmisData!$A:$A, $G109, NewEmisData!$B:$B, $A109, NewEmisData!$C:$C, $H109, NewEmisData!$D:$D, CX$6)</f>
        <v>0.17745830492190401</v>
      </c>
      <c r="CY109" s="1111">
        <f>SUMIFS(NewEmisData!J:J, NewEmisData!$A:$A, $G109, NewEmisData!$B:$B, $A109, NewEmisData!$C:$C, $H109, NewEmisData!$D:$D, CY$6)</f>
        <v>0.17774444168838499</v>
      </c>
      <c r="CZ109" s="1111">
        <f>SUMIFS(NewEmisData!K:K, NewEmisData!$A:$A, $G109, NewEmisData!$B:$B, $A109, NewEmisData!$C:$C, $H109, NewEmisData!$D:$D, CZ$6)</f>
        <v>0.17674862665267799</v>
      </c>
      <c r="DA109" s="1111">
        <f>SUMIFS(NewEmisData!L:L, NewEmisData!$A:$A, $G109, NewEmisData!$B:$B, $A109, NewEmisData!$C:$C, $H109, NewEmisData!$D:$D, DA$6)</f>
        <v>0.17674752449153799</v>
      </c>
      <c r="DB109" s="1111">
        <f>SUMIFS(NewEmisData!M:M, NewEmisData!$A:$A, $G109, NewEmisData!$B:$B, $A109, NewEmisData!$C:$C, $H109, NewEmisData!$D:$D, DB$6)</f>
        <v>0.17750838787788201</v>
      </c>
      <c r="DC109" s="1111">
        <f t="shared" si="188"/>
        <v>0.17750838787788201</v>
      </c>
      <c r="DD109" s="1111"/>
      <c r="DE109" s="1111"/>
      <c r="DF109" s="1111"/>
      <c r="DG109" s="1111"/>
      <c r="DH109" s="1111"/>
      <c r="DI109" s="1111"/>
      <c r="DJ109" s="1111"/>
      <c r="DK109" s="1111"/>
      <c r="DL109" s="1111"/>
      <c r="DM109" s="1111"/>
      <c r="DN109" s="1111"/>
      <c r="DO109" s="1111"/>
      <c r="DP109" s="1111"/>
      <c r="DQ109" s="1111"/>
      <c r="DR109" s="1111"/>
      <c r="DS109" s="1111"/>
      <c r="DT109" s="1111"/>
      <c r="DU109" s="1111"/>
      <c r="DV109" s="1111"/>
      <c r="DW109" s="1111"/>
      <c r="DX109" s="1111"/>
      <c r="DY109" s="1111"/>
      <c r="DZ109" s="1111">
        <f t="shared" si="189"/>
        <v>33.5417658414489</v>
      </c>
      <c r="EA109" s="1111">
        <f>SUMIFS(NewEmisData!E:E, NewEmisData!$A:$A, $G109, NewEmisData!$B:$B, $A109, NewEmisData!$C:$C, $H109, NewEmisData!$D:$D, EA$6)</f>
        <v>33.5417658414489</v>
      </c>
      <c r="EB109" s="1111">
        <f>SUMIFS(NewEmisData!F:F, NewEmisData!$A:$A, $G109, NewEmisData!$B:$B, $A109, NewEmisData!$C:$C, $H109, NewEmisData!$D:$D, EB$6)</f>
        <v>33.653386551914203</v>
      </c>
      <c r="EC109" s="1111">
        <f>SUMIFS(NewEmisData!G:G, NewEmisData!$A:$A, $G109, NewEmisData!$B:$B, $A109, NewEmisData!$C:$C, $H109, NewEmisData!$D:$D, EC$6)</f>
        <v>8.5715796873766799</v>
      </c>
      <c r="ED109" s="1111">
        <f>SUMIFS(NewEmisData!H:H, NewEmisData!$A:$A, $G109, NewEmisData!$B:$B, $A109, NewEmisData!$C:$C, $H109, NewEmisData!$D:$D, ED$6)</f>
        <v>7.9623983507554996</v>
      </c>
      <c r="EE109" s="1111">
        <f>SUMIFS(NewEmisData!I:I, NewEmisData!$A:$A, $G109, NewEmisData!$B:$B, $A109, NewEmisData!$C:$C, $H109, NewEmisData!$D:$D, EE$6)</f>
        <v>7.1225906928367602</v>
      </c>
      <c r="EF109" s="1111">
        <f>SUMIFS(NewEmisData!J:J, NewEmisData!$A:$A, $G109, NewEmisData!$B:$B, $A109, NewEmisData!$C:$C, $H109, NewEmisData!$D:$D, EF$6)</f>
        <v>7.3453919181039096</v>
      </c>
      <c r="EG109" s="1111">
        <f>SUMIFS(NewEmisData!K:K, NewEmisData!$A:$A, $G109, NewEmisData!$B:$B, $A109, NewEmisData!$C:$C, $H109, NewEmisData!$D:$D, EG$6)</f>
        <v>6.8720474342018099</v>
      </c>
      <c r="EH109" s="1111">
        <f>SUMIFS(NewEmisData!L:L, NewEmisData!$A:$A, $G109, NewEmisData!$B:$B, $A109, NewEmisData!$C:$C, $H109, NewEmisData!$D:$D, EH$6)</f>
        <v>6.87211109726662</v>
      </c>
      <c r="EI109" s="1111">
        <f>SUMIFS(NewEmisData!M:M, NewEmisData!$A:$A, $G109, NewEmisData!$B:$B, $A109, NewEmisData!$C:$C, $H109, NewEmisData!$D:$D, EI$6)</f>
        <v>6.9205737603502202</v>
      </c>
      <c r="EJ109" s="1111">
        <f t="shared" si="190"/>
        <v>6.9205737603502202</v>
      </c>
      <c r="EK109" s="1111">
        <f t="shared" si="191"/>
        <v>2178.9967614971001</v>
      </c>
      <c r="EL109" s="1111">
        <f t="shared" si="154"/>
        <v>2178.9967614971001</v>
      </c>
      <c r="EM109" s="1111">
        <f t="shared" si="155"/>
        <v>2166.1808780169699</v>
      </c>
      <c r="EN109" s="1111">
        <f t="shared" si="156"/>
        <v>1829.3230538083899</v>
      </c>
      <c r="EO109" s="1111">
        <f t="shared" si="157"/>
        <v>1792.5465477673099</v>
      </c>
      <c r="EP109" s="1111">
        <f t="shared" si="158"/>
        <v>1783.15413817481</v>
      </c>
      <c r="EQ109" s="1111">
        <f t="shared" si="159"/>
        <v>1766.2276580145201</v>
      </c>
      <c r="ER109" s="1111">
        <f t="shared" si="160"/>
        <v>1762.65639856503</v>
      </c>
      <c r="ES109" s="1111">
        <f t="shared" si="161"/>
        <v>1762.6002362349</v>
      </c>
      <c r="ET109" s="1111">
        <f t="shared" si="162"/>
        <v>1762.69221348628</v>
      </c>
      <c r="EU109" s="1111">
        <f t="shared" si="163"/>
        <v>1762.69221348628</v>
      </c>
      <c r="EV109" s="1111">
        <f t="shared" si="192"/>
        <v>17.791352967534699</v>
      </c>
      <c r="EW109" s="1111">
        <f t="shared" si="144"/>
        <v>17.791352967534699</v>
      </c>
      <c r="EX109" s="1111">
        <f t="shared" si="145"/>
        <v>17.463111089302298</v>
      </c>
      <c r="EY109" s="1111">
        <f t="shared" si="146"/>
        <v>3.0267310243138001</v>
      </c>
      <c r="EZ109" s="1111">
        <f t="shared" si="147"/>
        <v>2.3543137298168899</v>
      </c>
      <c r="FA109" s="1111">
        <f t="shared" si="148"/>
        <v>2.0699541963238501</v>
      </c>
      <c r="FB109" s="1111">
        <f t="shared" si="149"/>
        <v>2.1398645413845401</v>
      </c>
      <c r="FC109" s="1111">
        <f t="shared" si="150"/>
        <v>1.9577154303695801</v>
      </c>
      <c r="FD109" s="1111">
        <f t="shared" si="151"/>
        <v>1.9577160230270401</v>
      </c>
      <c r="FE109" s="1111">
        <f t="shared" si="152"/>
        <v>1.96058425238824</v>
      </c>
      <c r="FF109" s="1111">
        <f t="shared" si="153"/>
        <v>1.96058425238824</v>
      </c>
      <c r="FG109" s="1111">
        <f t="shared" si="100"/>
        <v>7.75878540003522E-3</v>
      </c>
      <c r="FH109" s="1111">
        <f t="shared" si="101"/>
        <v>7.75878540003522E-3</v>
      </c>
      <c r="FI109" s="1111">
        <f t="shared" si="102"/>
        <v>7.7206892950845299E-3</v>
      </c>
      <c r="FJ109" s="1111">
        <f t="shared" si="103"/>
        <v>9.6853348357149507E-3</v>
      </c>
      <c r="FK109" s="1111">
        <f t="shared" si="104"/>
        <v>9.4906268999874494E-3</v>
      </c>
      <c r="FL109" s="1111">
        <f t="shared" si="105"/>
        <v>9.4408902403545405E-3</v>
      </c>
      <c r="FM109" s="1111">
        <f t="shared" si="106"/>
        <v>9.3512761456049798E-3</v>
      </c>
      <c r="FN109" s="1111">
        <f t="shared" si="107"/>
        <v>9.3323686977463492E-3</v>
      </c>
      <c r="FO109" s="1111">
        <f t="shared" si="108"/>
        <v>9.33206965002485E-3</v>
      </c>
      <c r="FP109" s="1111">
        <f t="shared" si="109"/>
        <v>9.3325593207045504E-3</v>
      </c>
      <c r="FQ109" s="1111">
        <f t="shared" si="110"/>
        <v>9.3325593207045504E-3</v>
      </c>
      <c r="FR109" s="1111">
        <f t="shared" si="133"/>
        <v>0.56323884311686501</v>
      </c>
      <c r="FS109" s="1111">
        <f t="shared" si="134"/>
        <v>0.56323884311686501</v>
      </c>
      <c r="FT109" s="1111">
        <f t="shared" si="135"/>
        <v>0.65967921760836901</v>
      </c>
      <c r="FU109" s="1111">
        <f t="shared" si="136"/>
        <v>0.43849398613699297</v>
      </c>
      <c r="FV109" s="1111">
        <f t="shared" si="137"/>
        <v>0.435387742291789</v>
      </c>
      <c r="FW109" s="1111">
        <f t="shared" si="138"/>
        <v>0.43677651486407298</v>
      </c>
      <c r="FX109" s="1111">
        <f t="shared" si="139"/>
        <v>0.43514383186903999</v>
      </c>
      <c r="FY109" s="1111">
        <f t="shared" si="140"/>
        <v>0.43469575175796898</v>
      </c>
      <c r="FZ109" s="1111">
        <f t="shared" si="141"/>
        <v>0.434695702864836</v>
      </c>
      <c r="GA109" s="1111">
        <f t="shared" si="142"/>
        <v>0.43478505724157201</v>
      </c>
      <c r="GB109" s="1111">
        <f t="shared" si="143"/>
        <v>0.43478505724157201</v>
      </c>
      <c r="GC109" s="1111">
        <f t="shared" si="164"/>
        <v>0.19585131976317</v>
      </c>
      <c r="GD109" s="1111">
        <f t="shared" si="165"/>
        <v>0.19585131976317</v>
      </c>
      <c r="GE109" s="1111">
        <f t="shared" si="166"/>
        <v>0.281164327502613</v>
      </c>
      <c r="GF109" s="1111">
        <f t="shared" si="167"/>
        <v>6.1015791831846501E-2</v>
      </c>
      <c r="GG109" s="1111">
        <f t="shared" si="168"/>
        <v>5.82674541625035E-2</v>
      </c>
      <c r="GH109" s="1111">
        <f t="shared" si="169"/>
        <v>5.9496434405484099E-2</v>
      </c>
      <c r="GI109" s="1111">
        <f t="shared" si="170"/>
        <v>5.8051617759569699E-2</v>
      </c>
      <c r="GJ109" s="1111">
        <f t="shared" si="171"/>
        <v>5.76550670160648E-2</v>
      </c>
      <c r="GK109" s="1111">
        <f t="shared" si="172"/>
        <v>5.7655161934684902E-2</v>
      </c>
      <c r="GL109" s="1111">
        <f t="shared" si="173"/>
        <v>5.7734278106753099E-2</v>
      </c>
      <c r="GM109" s="1111">
        <f t="shared" si="174"/>
        <v>5.7734278106753099E-2</v>
      </c>
    </row>
    <row r="110" spans="1:195" x14ac:dyDescent="0.2">
      <c r="A110" s="1071" t="s">
        <v>188</v>
      </c>
      <c r="B110" s="1071" t="str">
        <f>NewTech!B29</f>
        <v>TBCNGIM</v>
      </c>
      <c r="C110" s="1071" t="str">
        <f>NewTech!C29</f>
        <v>Bus, Improved CNG</v>
      </c>
      <c r="D110" s="1071" t="str">
        <f>NewTech!D29</f>
        <v>bn-vmt, bn-vmt/a</v>
      </c>
      <c r="E110" s="1071" t="str">
        <f>NewTech!E29</f>
        <v>TBCNG</v>
      </c>
      <c r="F110" s="1071" t="str">
        <f>NewTech!F29</f>
        <v>TB</v>
      </c>
      <c r="G110" s="1110" t="s">
        <v>498</v>
      </c>
      <c r="H110" s="1110" t="s">
        <v>501</v>
      </c>
      <c r="I110" s="1112">
        <v>1</v>
      </c>
      <c r="J110" s="1111" t="str">
        <f t="shared" si="37"/>
        <v>Bus-CNG</v>
      </c>
      <c r="K110" s="1111">
        <f>SUMIFS(NewEmisData!E:E, NewEmisData!$A:$A, $G110, NewEmisData!$B:$B, $A110, NewEmisData!$C:$C, $H110, NewEmisData!$D:$D, K$6)</f>
        <v>1516.0926472297899</v>
      </c>
      <c r="L110" s="1111">
        <f>SUMIFS(NewEmisData!F:F, NewEmisData!$A:$A, $G110, NewEmisData!$B:$B, $A110, NewEmisData!$C:$C, $H110, NewEmisData!$D:$D, L$6)</f>
        <v>1383.7625928366399</v>
      </c>
      <c r="M110" s="1111">
        <f>SUMIFS(NewEmisData!G:G, NewEmisData!$A:$A, $G110, NewEmisData!$B:$B, $A110, NewEmisData!$C:$C, $H110, NewEmisData!$D:$D, M$6)</f>
        <v>1274.6757013323299</v>
      </c>
      <c r="N110" s="1111">
        <f>SUMIFS(NewEmisData!H:H, NewEmisData!$A:$A, $G110, NewEmisData!$B:$B, $A110, NewEmisData!$C:$C, $H110, NewEmisData!$D:$D, N$6)</f>
        <v>1248.93285879051</v>
      </c>
      <c r="O110" s="1111">
        <f>SUMIFS(NewEmisData!I:I, NewEmisData!$A:$A, $G110, NewEmisData!$B:$B, $A110, NewEmisData!$C:$C, $H110, NewEmisData!$D:$D, O$6)</f>
        <v>1242.34709692709</v>
      </c>
      <c r="P110" s="1111">
        <f>SUMIFS(NewEmisData!J:J, NewEmisData!$A:$A, $G110, NewEmisData!$B:$B, $A110, NewEmisData!$C:$C, $H110, NewEmisData!$D:$D, P$6)</f>
        <v>1230.5088675593399</v>
      </c>
      <c r="Q110" s="1111">
        <f>SUMIFS(NewEmisData!K:K, NewEmisData!$A:$A, $G110, NewEmisData!$B:$B, $A110, NewEmisData!$C:$C, $H110, NewEmisData!$D:$D, Q$6)</f>
        <v>1228.0290689091601</v>
      </c>
      <c r="R110" s="1111">
        <f>SUMIFS(NewEmisData!L:L, NewEmisData!$A:$A, $G110, NewEmisData!$B:$B, $A110, NewEmisData!$C:$C, $H110, NewEmisData!$D:$D, R$6)</f>
        <v>1227.99116763047</v>
      </c>
      <c r="S110" s="1111">
        <f>SUMIFS(NewEmisData!M:M, NewEmisData!$A:$A, $G110, NewEmisData!$B:$B, $A110, NewEmisData!$C:$C, $H110, NewEmisData!$D:$D, S$6)</f>
        <v>1228.04156212526</v>
      </c>
      <c r="T110" s="1111">
        <f t="shared" si="131"/>
        <v>1228.04156212526</v>
      </c>
      <c r="U110" s="1111">
        <f>SUMIFS(NewEmisData!E:E, NewEmisData!$A:$A, $G110, NewEmisData!$B:$B, $A110, NewEmisData!$C:$C, $H110, NewEmisData!$D:$D, U$6)</f>
        <v>11.3380018594681</v>
      </c>
      <c r="V110" s="1111">
        <f>SUMIFS(NewEmisData!F:F, NewEmisData!$A:$A, $G110, NewEmisData!$B:$B, $A110, NewEmisData!$C:$C, $H110, NewEmisData!$D:$D, V$6)</f>
        <v>4.4270777617693096</v>
      </c>
      <c r="W110" s="1111">
        <f>SUMIFS(NewEmisData!G:G, NewEmisData!$A:$A, $G110, NewEmisData!$B:$B, $A110, NewEmisData!$C:$C, $H110, NewEmisData!$D:$D, W$6)</f>
        <v>2.2851784558455002</v>
      </c>
      <c r="X110" s="1111">
        <f>SUMIFS(NewEmisData!H:H, NewEmisData!$A:$A, $G110, NewEmisData!$B:$B, $A110, NewEmisData!$C:$C, $H110, NewEmisData!$D:$D, X$6)</f>
        <v>1.77665492953008</v>
      </c>
      <c r="Y110" s="1111">
        <f>SUMIFS(NewEmisData!I:I, NewEmisData!$A:$A, $G110, NewEmisData!$B:$B, $A110, NewEmisData!$C:$C, $H110, NewEmisData!$D:$D, Y$6)</f>
        <v>1.56276598268199</v>
      </c>
      <c r="Z110" s="1111">
        <f>SUMIFS(NewEmisData!J:J, NewEmisData!$A:$A, $G110, NewEmisData!$B:$B, $A110, NewEmisData!$C:$C, $H110, NewEmisData!$D:$D, Z$6)</f>
        <v>1.6150506418937001</v>
      </c>
      <c r="AA110" s="1111">
        <f>SUMIFS(NewEmisData!K:K, NewEmisData!$A:$A, $G110, NewEmisData!$B:$B, $A110, NewEmisData!$C:$C, $H110, NewEmisData!$D:$D, AA$6)</f>
        <v>1.47779953573362</v>
      </c>
      <c r="AB110" s="1111">
        <f>SUMIFS(NewEmisData!L:L, NewEmisData!$A:$A, $G110, NewEmisData!$B:$B, $A110, NewEmisData!$C:$C, $H110, NewEmisData!$D:$D, AB$6)</f>
        <v>1.4778001363942499</v>
      </c>
      <c r="AC110" s="1111">
        <f>SUMIFS(NewEmisData!M:M, NewEmisData!$A:$A, $G110, NewEmisData!$B:$B, $A110, NewEmisData!$C:$C, $H110, NewEmisData!$D:$D, AC$6)</f>
        <v>1.47991659575059</v>
      </c>
      <c r="AD110" s="1111">
        <f t="shared" si="132"/>
        <v>1.47991659575059</v>
      </c>
      <c r="AE110" s="1111">
        <f t="shared" si="175"/>
        <v>7.4194239576110604E-3</v>
      </c>
      <c r="AF110" s="1111">
        <f>SUMIFS(NewEmisData!E:E, NewEmisData!$A:$A, $G110, NewEmisData!$B:$B, $A110, NewEmisData!$C:$C, $H110, NewEmisData!$D:$D, AF$6)</f>
        <v>7.4194239576110604E-3</v>
      </c>
      <c r="AG110" s="1111">
        <f>SUMIFS(NewEmisData!F:F, NewEmisData!$A:$A, $G110, NewEmisData!$B:$B, $A110, NewEmisData!$C:$C, $H110, NewEmisData!$D:$D, AG$6)</f>
        <v>6.7471555112269604E-3</v>
      </c>
      <c r="AH110" s="1111">
        <f>SUMIFS(NewEmisData!G:G, NewEmisData!$A:$A, $G110, NewEmisData!$B:$B, $A110, NewEmisData!$C:$C, $H110, NewEmisData!$D:$D, AH$6)</f>
        <v>6.7487595451477004E-3</v>
      </c>
      <c r="AI110" s="1111">
        <f>SUMIFS(NewEmisData!H:H, NewEmisData!$A:$A, $G110, NewEmisData!$B:$B, $A110, NewEmisData!$C:$C, $H110, NewEmisData!$D:$D, AI$6)</f>
        <v>6.6124600825725501E-3</v>
      </c>
      <c r="AJ110" s="1111">
        <f>SUMIFS(NewEmisData!I:I, NewEmisData!$A:$A, $G110, NewEmisData!$B:$B, $A110, NewEmisData!$C:$C, $H110, NewEmisData!$D:$D, AJ$6)</f>
        <v>6.5775946616658003E-3</v>
      </c>
      <c r="AK110" s="1111">
        <f>SUMIFS(NewEmisData!J:J, NewEmisData!$A:$A, $G110, NewEmisData!$B:$B, $A110, NewEmisData!$C:$C, $H110, NewEmisData!$D:$D, AK$6)</f>
        <v>6.5149161690284396E-3</v>
      </c>
      <c r="AL110" s="1111">
        <f>SUMIFS(NewEmisData!K:K, NewEmisData!$A:$A, $G110, NewEmisData!$B:$B, $A110, NewEmisData!$C:$C, $H110, NewEmisData!$D:$D, AL$6)</f>
        <v>6.5017860407342804E-3</v>
      </c>
      <c r="AM110" s="1111">
        <f>SUMIFS(NewEmisData!L:L, NewEmisData!$A:$A, $G110, NewEmisData!$B:$B, $A110, NewEmisData!$C:$C, $H110, NewEmisData!$D:$D, AM$6)</f>
        <v>6.5015847958577897E-3</v>
      </c>
      <c r="AN110" s="1111">
        <f>SUMIFS(NewEmisData!M:M, NewEmisData!$A:$A, $G110, NewEmisData!$B:$B, $A110, NewEmisData!$C:$C, $H110, NewEmisData!$D:$D, AN$6)</f>
        <v>6.5018545048176604E-3</v>
      </c>
      <c r="AO110" s="1111">
        <f t="shared" si="176"/>
        <v>6.5018545048176604E-3</v>
      </c>
      <c r="AP110" s="1111">
        <f t="shared" si="177"/>
        <v>0.35807070269459501</v>
      </c>
      <c r="AQ110" s="1111">
        <f>SUMIFS(NewEmisData!E:E, NewEmisData!$A:$A, $G110, NewEmisData!$B:$B, $A110, NewEmisData!$C:$C, $H110, NewEmisData!$D:$D, AQ$6)</f>
        <v>0.35807070269459501</v>
      </c>
      <c r="AR110" s="1111">
        <f>SUMIFS(NewEmisData!F:F, NewEmisData!$A:$A, $G110, NewEmisData!$B:$B, $A110, NewEmisData!$C:$C, $H110, NewEmisData!$D:$D, AR$6)</f>
        <v>0.28679070316507099</v>
      </c>
      <c r="AS110" s="1111">
        <f>SUMIFS(NewEmisData!G:G, NewEmisData!$A:$A, $G110, NewEmisData!$B:$B, $A110, NewEmisData!$C:$C, $H110, NewEmisData!$D:$D, AS$6)</f>
        <v>0.218906747032379</v>
      </c>
      <c r="AT110" s="1111">
        <f>SUMIFS(NewEmisData!H:H, NewEmisData!$A:$A, $G110, NewEmisData!$B:$B, $A110, NewEmisData!$C:$C, $H110, NewEmisData!$D:$D, AT$6)</f>
        <v>0.21605365916241701</v>
      </c>
      <c r="AU110" s="1111">
        <f>SUMIFS(NewEmisData!I:I, NewEmisData!$A:$A, $G110, NewEmisData!$B:$B, $A110, NewEmisData!$C:$C, $H110, NewEmisData!$D:$D, AU$6)</f>
        <v>0.217493987012533</v>
      </c>
      <c r="AV110" s="1111">
        <f>SUMIFS(NewEmisData!J:J, NewEmisData!$A:$A, $G110, NewEmisData!$B:$B, $A110, NewEmisData!$C:$C, $H110, NewEmisData!$D:$D, AV$6)</f>
        <v>0.215874408641613</v>
      </c>
      <c r="AW110" s="1111">
        <f>SUMIFS(NewEmisData!K:K, NewEmisData!$A:$A, $G110, NewEmisData!$B:$B, $A110, NewEmisData!$C:$C, $H110, NewEmisData!$D:$D, AW$6)</f>
        <v>0.215548001259909</v>
      </c>
      <c r="AX110" s="1111">
        <f>SUMIFS(NewEmisData!L:L, NewEmisData!$A:$A, $G110, NewEmisData!$B:$B, $A110, NewEmisData!$C:$C, $H110, NewEmisData!$D:$D, AX$6)</f>
        <v>0.215548245034523</v>
      </c>
      <c r="AY110" s="1111">
        <f>SUMIFS(NewEmisData!M:M, NewEmisData!$A:$A, $G110, NewEmisData!$B:$B, $A110, NewEmisData!$C:$C, $H110, NewEmisData!$D:$D, AY$6)</f>
        <v>0.215615404289591</v>
      </c>
      <c r="AZ110" s="1111">
        <f t="shared" si="178"/>
        <v>0.215615404289591</v>
      </c>
      <c r="BA110" s="1111">
        <f t="shared" si="179"/>
        <v>0.13708084004218499</v>
      </c>
      <c r="BB110" s="1111">
        <f>SUMIFS(NewEmisData!E:E, NewEmisData!$A:$A, $G110, NewEmisData!$B:$B, $A110, NewEmisData!$C:$C, $H110, NewEmisData!$D:$D, BB$6)</f>
        <v>0.13708084004218499</v>
      </c>
      <c r="BC110" s="1111">
        <f>SUMIFS(NewEmisData!F:F, NewEmisData!$A:$A, $G110, NewEmisData!$B:$B, $A110, NewEmisData!$C:$C, $H110, NewEmisData!$D:$D, BC$6)</f>
        <v>7.4025422906897703E-2</v>
      </c>
      <c r="BD110" s="1111">
        <f>SUMIFS(NewEmisData!G:G, NewEmisData!$A:$A, $G110, NewEmisData!$B:$B, $A110, NewEmisData!$C:$C, $H110, NewEmisData!$D:$D, BD$6)</f>
        <v>3.24536914485807E-2</v>
      </c>
      <c r="BE110" s="1111">
        <f>SUMIFS(NewEmisData!H:H, NewEmisData!$A:$A, $G110, NewEmisData!$B:$B, $A110, NewEmisData!$C:$C, $H110, NewEmisData!$D:$D, BE$6)</f>
        <v>2.9929781219030799E-2</v>
      </c>
      <c r="BF110" s="1111">
        <f>SUMIFS(NewEmisData!I:I, NewEmisData!$A:$A, $G110, NewEmisData!$B:$B, $A110, NewEmisData!$C:$C, $H110, NewEmisData!$D:$D, BF$6)</f>
        <v>3.12036941885327E-2</v>
      </c>
      <c r="BG110" s="1111">
        <f>SUMIFS(NewEmisData!J:J, NewEmisData!$A:$A, $G110, NewEmisData!$B:$B, $A110, NewEmisData!$C:$C, $H110, NewEmisData!$D:$D, BG$6)</f>
        <v>2.97710028337012E-2</v>
      </c>
      <c r="BH110" s="1111">
        <f>SUMIFS(NewEmisData!K:K, NewEmisData!$A:$A, $G110, NewEmisData!$B:$B, $A110, NewEmisData!$C:$C, $H110, NewEmisData!$D:$D, BH$6)</f>
        <v>2.94822042516945E-2</v>
      </c>
      <c r="BI110" s="1111">
        <f>SUMIFS(NewEmisData!L:L, NewEmisData!$A:$A, $G110, NewEmisData!$B:$B, $A110, NewEmisData!$C:$C, $H110, NewEmisData!$D:$D, BI$6)</f>
        <v>2.94822767059961E-2</v>
      </c>
      <c r="BJ110" s="1111">
        <f>SUMIFS(NewEmisData!M:M, NewEmisData!$A:$A, $G110, NewEmisData!$B:$B, $A110, NewEmisData!$C:$C, $H110, NewEmisData!$D:$D, BJ$6)</f>
        <v>2.9541631676445499E-2</v>
      </c>
      <c r="BK110" s="1111">
        <f t="shared" si="180"/>
        <v>2.9541631676445499E-2</v>
      </c>
      <c r="BL110" s="1111">
        <f t="shared" si="181"/>
        <v>16.594928340204699</v>
      </c>
      <c r="BM110" s="1111">
        <f>SUMIFS(NewEmisData!E:E, NewEmisData!$A:$A, $G110, NewEmisData!$B:$B, $A110, NewEmisData!$C:$C, $H110, NewEmisData!$D:$D, BM$6)</f>
        <v>16.594928340204699</v>
      </c>
      <c r="BN110" s="1111">
        <f>SUMIFS(NewEmisData!F:F, NewEmisData!$A:$A, $G110, NewEmisData!$B:$B, $A110, NewEmisData!$C:$C, $H110, NewEmisData!$D:$D, BN$6)</f>
        <v>7.6490424169191096</v>
      </c>
      <c r="BO110" s="1111">
        <f>SUMIFS(NewEmisData!G:G, NewEmisData!$A:$A, $G110, NewEmisData!$B:$B, $A110, NewEmisData!$C:$C, $H110, NewEmisData!$D:$D, BO$6)</f>
        <v>5.2933247998308204</v>
      </c>
      <c r="BP110" s="1111">
        <f>SUMIFS(NewEmisData!H:H, NewEmisData!$A:$A, $G110, NewEmisData!$B:$B, $A110, NewEmisData!$C:$C, $H110, NewEmisData!$D:$D, BP$6)</f>
        <v>6.1528656139162701</v>
      </c>
      <c r="BQ110" s="1111">
        <f>SUMIFS(NewEmisData!I:I, NewEmisData!$A:$A, $G110, NewEmisData!$B:$B, $A110, NewEmisData!$C:$C, $H110, NewEmisData!$D:$D, BQ$6)</f>
        <v>6.3896779926879201</v>
      </c>
      <c r="BR110" s="1111">
        <f>SUMIFS(NewEmisData!J:J, NewEmisData!$A:$A, $G110, NewEmisData!$B:$B, $A110, NewEmisData!$C:$C, $H110, NewEmisData!$D:$D, BR$6)</f>
        <v>6.18028067450813</v>
      </c>
      <c r="BS110" s="1111">
        <f>SUMIFS(NewEmisData!K:K, NewEmisData!$A:$A, $G110, NewEmisData!$B:$B, $A110, NewEmisData!$C:$C, $H110, NewEmisData!$D:$D, BS$6)</f>
        <v>6.2412735124109204</v>
      </c>
      <c r="BT110" s="1111">
        <f>SUMIFS(NewEmisData!L:L, NewEmisData!$A:$A, $G110, NewEmisData!$B:$B, $A110, NewEmisData!$C:$C, $H110, NewEmisData!$D:$D, BT$6)</f>
        <v>6.2413125974036801</v>
      </c>
      <c r="BU110" s="1111">
        <f>SUMIFS(NewEmisData!M:M, NewEmisData!$A:$A, $G110, NewEmisData!$B:$B, $A110, NewEmisData!$C:$C, $H110, NewEmisData!$D:$D, BU$6)</f>
        <v>6.2790878844376499</v>
      </c>
      <c r="BV110" s="1111">
        <f t="shared" si="182"/>
        <v>6.2790878844376499</v>
      </c>
      <c r="BW110" s="1111">
        <f t="shared" si="183"/>
        <v>2.48613164030948</v>
      </c>
      <c r="BX110" s="1111">
        <f>SUMIFS(NewEmisData!E:E, NewEmisData!$A:$A, $G110, NewEmisData!$B:$B, $A110, NewEmisData!$C:$C, $H110, NewEmisData!$D:$D, BX$6)</f>
        <v>2.48613164030948</v>
      </c>
      <c r="BY110" s="1111">
        <f>SUMIFS(NewEmisData!F:F, NewEmisData!$A:$A, $G110, NewEmisData!$B:$B, $A110, NewEmisData!$C:$C, $H110, NewEmisData!$D:$D, BY$6)</f>
        <v>0.88716407266546604</v>
      </c>
      <c r="BZ110" s="1111">
        <f>SUMIFS(NewEmisData!G:G, NewEmisData!$A:$A, $G110, NewEmisData!$B:$B, $A110, NewEmisData!$C:$C, $H110, NewEmisData!$D:$D, BZ$6)</f>
        <v>0.27749893473415599</v>
      </c>
      <c r="CA110" s="1111">
        <f>SUMIFS(NewEmisData!H:H, NewEmisData!$A:$A, $G110, NewEmisData!$B:$B, $A110, NewEmisData!$C:$C, $H110, NewEmisData!$D:$D, CA$6)</f>
        <v>0.205204834261316</v>
      </c>
      <c r="CB110" s="1111">
        <f>SUMIFS(NewEmisData!I:I, NewEmisData!$A:$A, $G110, NewEmisData!$B:$B, $A110, NewEmisData!$C:$C, $H110, NewEmisData!$D:$D, CB$6)</f>
        <v>0.19805846754263601</v>
      </c>
      <c r="CC110" s="1111">
        <f>SUMIFS(NewEmisData!J:J, NewEmisData!$A:$A, $G110, NewEmisData!$B:$B, $A110, NewEmisData!$C:$C, $H110, NewEmisData!$D:$D, CC$6)</f>
        <v>0.188577407916631</v>
      </c>
      <c r="CD110" s="1111">
        <f>SUMIFS(NewEmisData!K:K, NewEmisData!$A:$A, $G110, NewEmisData!$B:$B, $A110, NewEmisData!$C:$C, $H110, NewEmisData!$D:$D, CD$6)</f>
        <v>0.176016947090364</v>
      </c>
      <c r="CE110" s="1111">
        <f>SUMIFS(NewEmisData!L:L, NewEmisData!$A:$A, $G110, NewEmisData!$B:$B, $A110, NewEmisData!$C:$C, $H110, NewEmisData!$D:$D, CE$6)</f>
        <v>0.17601867154835699</v>
      </c>
      <c r="CF110" s="1111">
        <f>SUMIFS(NewEmisData!M:M, NewEmisData!$A:$A, $G110, NewEmisData!$B:$B, $A110, NewEmisData!$C:$C, $H110, NewEmisData!$D:$D, CF$6)</f>
        <v>0.177222072212638</v>
      </c>
      <c r="CG110" s="1111">
        <f t="shared" si="184"/>
        <v>0.177222072212638</v>
      </c>
      <c r="CH110" s="1111">
        <f t="shared" si="185"/>
        <v>4.30037571070594E-2</v>
      </c>
      <c r="CI110" s="1111">
        <f>SUMIFS(NewEmisData!E:E, NewEmisData!$A:$A, $G110, NewEmisData!$B:$B, $A110, NewEmisData!$C:$C, $H110, NewEmisData!$D:$D, CI$6)</f>
        <v>4.30037571070594E-2</v>
      </c>
      <c r="CJ110" s="1111">
        <f>SUMIFS(NewEmisData!F:F, NewEmisData!$A:$A, $G110, NewEmisData!$B:$B, $A110, NewEmisData!$C:$C, $H110, NewEmisData!$D:$D, CJ$6)</f>
        <v>4.3000582506103398E-2</v>
      </c>
      <c r="CK110" s="1111">
        <f>SUMIFS(NewEmisData!G:G, NewEmisData!$A:$A, $G110, NewEmisData!$B:$B, $A110, NewEmisData!$C:$C, $H110, NewEmisData!$D:$D, CK$6)</f>
        <v>4.2098070872406003E-2</v>
      </c>
      <c r="CL110" s="1111">
        <f>SUMIFS(NewEmisData!H:H, NewEmisData!$A:$A, $G110, NewEmisData!$B:$B, $A110, NewEmisData!$C:$C, $H110, NewEmisData!$D:$D, CL$6)</f>
        <v>4.20881810288605E-2</v>
      </c>
      <c r="CM110" s="1111">
        <f>SUMIFS(NewEmisData!I:I, NewEmisData!$A:$A, $G110, NewEmisData!$B:$B, $A110, NewEmisData!$C:$C, $H110, NewEmisData!$D:$D, CM$6)</f>
        <v>4.2084744630782503E-2</v>
      </c>
      <c r="CN110" s="1111">
        <f>SUMIFS(NewEmisData!J:J, NewEmisData!$A:$A, $G110, NewEmisData!$B:$B, $A110, NewEmisData!$C:$C, $H110, NewEmisData!$D:$D, CN$6)</f>
        <v>4.2080381656288003E-2</v>
      </c>
      <c r="CO110" s="1111">
        <f>SUMIFS(NewEmisData!K:K, NewEmisData!$A:$A, $G110, NewEmisData!$B:$B, $A110, NewEmisData!$C:$C, $H110, NewEmisData!$D:$D, CO$6)</f>
        <v>4.2079482315663198E-2</v>
      </c>
      <c r="CP110" s="1111">
        <f>SUMIFS(NewEmisData!L:L, NewEmisData!$A:$A, $G110, NewEmisData!$B:$B, $A110, NewEmisData!$C:$C, $H110, NewEmisData!$D:$D, CP$6)</f>
        <v>4.2079453335109998E-2</v>
      </c>
      <c r="CQ110" s="1111">
        <f>SUMIFS(NewEmisData!M:M, NewEmisData!$A:$A, $G110, NewEmisData!$B:$B, $A110, NewEmisData!$C:$C, $H110, NewEmisData!$D:$D, CQ$6)</f>
        <v>4.20794642138183E-2</v>
      </c>
      <c r="CR110" s="1111">
        <f t="shared" si="186"/>
        <v>4.20794642138183E-2</v>
      </c>
      <c r="CS110" s="1111">
        <f t="shared" si="187"/>
        <v>0.138983420489801</v>
      </c>
      <c r="CT110" s="1111">
        <f>SUMIFS(NewEmisData!E:E, NewEmisData!$A:$A, $G110, NewEmisData!$B:$B, $A110, NewEmisData!$C:$C, $H110, NewEmisData!$D:$D, CT$6)</f>
        <v>0.138983420489801</v>
      </c>
      <c r="CU110" s="1111">
        <f>SUMIFS(NewEmisData!F:F, NewEmisData!$A:$A, $G110, NewEmisData!$B:$B, $A110, NewEmisData!$C:$C, $H110, NewEmisData!$D:$D, CU$6)</f>
        <v>0.110065157473166</v>
      </c>
      <c r="CV110" s="1111">
        <f>SUMIFS(NewEmisData!G:G, NewEmisData!$A:$A, $G110, NewEmisData!$B:$B, $A110, NewEmisData!$C:$C, $H110, NewEmisData!$D:$D, CV$6)</f>
        <v>9.1123195728333398E-2</v>
      </c>
      <c r="CW110" s="1111">
        <f>SUMIFS(NewEmisData!H:H, NewEmisData!$A:$A, $G110, NewEmisData!$B:$B, $A110, NewEmisData!$C:$C, $H110, NewEmisData!$D:$D, CW$6)</f>
        <v>9.1914690178789796E-2</v>
      </c>
      <c r="CX110" s="1111">
        <f>SUMIFS(NewEmisData!I:I, NewEmisData!$A:$A, $G110, NewEmisData!$B:$B, $A110, NewEmisData!$C:$C, $H110, NewEmisData!$D:$D, CX$6)</f>
        <v>9.2292712015421399E-2</v>
      </c>
      <c r="CY110" s="1111">
        <f>SUMIFS(NewEmisData!J:J, NewEmisData!$A:$A, $G110, NewEmisData!$B:$B, $A110, NewEmisData!$C:$C, $H110, NewEmisData!$D:$D, CY$6)</f>
        <v>9.2452653742200894E-2</v>
      </c>
      <c r="CZ110" s="1111">
        <f>SUMIFS(NewEmisData!K:K, NewEmisData!$A:$A, $G110, NewEmisData!$B:$B, $A110, NewEmisData!$C:$C, $H110, NewEmisData!$D:$D, CZ$6)</f>
        <v>9.1895568332207703E-2</v>
      </c>
      <c r="DA110" s="1111">
        <f>SUMIFS(NewEmisData!L:L, NewEmisData!$A:$A, $G110, NewEmisData!$B:$B, $A110, NewEmisData!$C:$C, $H110, NewEmisData!$D:$D, DA$6)</f>
        <v>9.1895058180879702E-2</v>
      </c>
      <c r="DB110" s="1111">
        <f>SUMIFS(NewEmisData!M:M, NewEmisData!$A:$A, $G110, NewEmisData!$B:$B, $A110, NewEmisData!$C:$C, $H110, NewEmisData!$D:$D, DB$6)</f>
        <v>9.2320675233934807E-2</v>
      </c>
      <c r="DC110" s="1111">
        <f t="shared" si="188"/>
        <v>9.2320675233934807E-2</v>
      </c>
      <c r="DD110" s="1111"/>
      <c r="DE110" s="1111"/>
      <c r="DF110" s="1111"/>
      <c r="DG110" s="1111"/>
      <c r="DH110" s="1111"/>
      <c r="DI110" s="1111"/>
      <c r="DJ110" s="1111"/>
      <c r="DK110" s="1111"/>
      <c r="DL110" s="1111"/>
      <c r="DM110" s="1111"/>
      <c r="DN110" s="1111"/>
      <c r="DO110" s="1111"/>
      <c r="DP110" s="1111"/>
      <c r="DQ110" s="1111"/>
      <c r="DR110" s="1111"/>
      <c r="DS110" s="1111"/>
      <c r="DT110" s="1111"/>
      <c r="DU110" s="1111"/>
      <c r="DV110" s="1111"/>
      <c r="DW110" s="1111"/>
      <c r="DX110" s="1111"/>
      <c r="DY110" s="1111"/>
      <c r="DZ110" s="1111">
        <f t="shared" si="189"/>
        <v>17.209080253273701</v>
      </c>
      <c r="EA110" s="1111">
        <f>SUMIFS(NewEmisData!E:E, NewEmisData!$A:$A, $G110, NewEmisData!$B:$B, $A110, NewEmisData!$C:$C, $H110, NewEmisData!$D:$D, EA$6)</f>
        <v>17.209080253273701</v>
      </c>
      <c r="EB110" s="1111">
        <f>SUMIFS(NewEmisData!F:F, NewEmisData!$A:$A, $G110, NewEmisData!$B:$B, $A110, NewEmisData!$C:$C, $H110, NewEmisData!$D:$D, EB$6)</f>
        <v>7.2706655844581203</v>
      </c>
      <c r="EC110" s="1111">
        <f>SUMIFS(NewEmisData!G:G, NewEmisData!$A:$A, $G110, NewEmisData!$B:$B, $A110, NewEmisData!$C:$C, $H110, NewEmisData!$D:$D, EC$6)</f>
        <v>4.58093294447717</v>
      </c>
      <c r="ED110" s="1111">
        <f>SUMIFS(NewEmisData!H:H, NewEmisData!$A:$A, $G110, NewEmisData!$B:$B, $A110, NewEmisData!$C:$C, $H110, NewEmisData!$D:$D, ED$6)</f>
        <v>4.2163496273832299</v>
      </c>
      <c r="EE110" s="1111">
        <f>SUMIFS(NewEmisData!I:I, NewEmisData!$A:$A, $G110, NewEmisData!$B:$B, $A110, NewEmisData!$C:$C, $H110, NewEmisData!$D:$D, EE$6)</f>
        <v>3.7973777218307498</v>
      </c>
      <c r="EF110" s="1111">
        <f>SUMIFS(NewEmisData!J:J, NewEmisData!$A:$A, $G110, NewEmisData!$B:$B, $A110, NewEmisData!$C:$C, $H110, NewEmisData!$D:$D, EF$6)</f>
        <v>3.8940626870163202</v>
      </c>
      <c r="EG110" s="1111">
        <f>SUMIFS(NewEmisData!K:K, NewEmisData!$A:$A, $G110, NewEmisData!$B:$B, $A110, NewEmisData!$C:$C, $H110, NewEmisData!$D:$D, EG$6)</f>
        <v>3.6460689806509099</v>
      </c>
      <c r="EH110" s="1111">
        <f>SUMIFS(NewEmisData!L:L, NewEmisData!$A:$A, $G110, NewEmisData!$B:$B, $A110, NewEmisData!$C:$C, $H110, NewEmisData!$D:$D, EH$6)</f>
        <v>3.6461040549748001</v>
      </c>
      <c r="EI110" s="1111">
        <f>SUMIFS(NewEmisData!M:M, NewEmisData!$A:$A, $G110, NewEmisData!$B:$B, $A110, NewEmisData!$C:$C, $H110, NewEmisData!$D:$D, EI$6)</f>
        <v>3.6710310602693701</v>
      </c>
      <c r="EJ110" s="1111">
        <f t="shared" si="190"/>
        <v>3.6710310602693701</v>
      </c>
      <c r="EK110" s="1111">
        <f t="shared" si="191"/>
        <v>1516.0926472297899</v>
      </c>
      <c r="EL110" s="1111">
        <f t="shared" si="154"/>
        <v>1516.0926472297899</v>
      </c>
      <c r="EM110" s="1111">
        <f t="shared" si="155"/>
        <v>1383.7625928366399</v>
      </c>
      <c r="EN110" s="1111">
        <f t="shared" si="156"/>
        <v>1274.6757013323299</v>
      </c>
      <c r="EO110" s="1111">
        <f t="shared" si="157"/>
        <v>1248.93285879051</v>
      </c>
      <c r="EP110" s="1111">
        <f t="shared" si="158"/>
        <v>1242.34709692709</v>
      </c>
      <c r="EQ110" s="1111">
        <f t="shared" si="159"/>
        <v>1230.5088675593399</v>
      </c>
      <c r="ER110" s="1111">
        <f t="shared" si="160"/>
        <v>1228.0290689091601</v>
      </c>
      <c r="ES110" s="1111">
        <f t="shared" si="161"/>
        <v>1227.99116763047</v>
      </c>
      <c r="ET110" s="1111">
        <f t="shared" si="162"/>
        <v>1228.04156212526</v>
      </c>
      <c r="EU110" s="1111">
        <f t="shared" si="163"/>
        <v>1228.04156212526</v>
      </c>
      <c r="EV110" s="1111">
        <f t="shared" si="192"/>
        <v>11.3380018594681</v>
      </c>
      <c r="EW110" s="1111">
        <f t="shared" si="144"/>
        <v>11.3380018594681</v>
      </c>
      <c r="EX110" s="1111">
        <f t="shared" si="145"/>
        <v>4.4270777617693096</v>
      </c>
      <c r="EY110" s="1111">
        <f t="shared" si="146"/>
        <v>2.2851784558455002</v>
      </c>
      <c r="EZ110" s="1111">
        <f t="shared" si="147"/>
        <v>1.77665492953008</v>
      </c>
      <c r="FA110" s="1111">
        <f t="shared" si="148"/>
        <v>1.56276598268199</v>
      </c>
      <c r="FB110" s="1111">
        <f t="shared" si="149"/>
        <v>1.6150506418937001</v>
      </c>
      <c r="FC110" s="1111">
        <f t="shared" si="150"/>
        <v>1.47779953573362</v>
      </c>
      <c r="FD110" s="1111">
        <f t="shared" si="151"/>
        <v>1.4778001363942499</v>
      </c>
      <c r="FE110" s="1111">
        <f t="shared" si="152"/>
        <v>1.47991659575059</v>
      </c>
      <c r="FF110" s="1111">
        <f t="shared" si="153"/>
        <v>1.47991659575059</v>
      </c>
      <c r="FG110" s="1111">
        <f t="shared" si="100"/>
        <v>7.4194239576110604E-3</v>
      </c>
      <c r="FH110" s="1111">
        <f t="shared" si="101"/>
        <v>7.4194239576110604E-3</v>
      </c>
      <c r="FI110" s="1111">
        <f t="shared" si="102"/>
        <v>6.7471555112269604E-3</v>
      </c>
      <c r="FJ110" s="1111">
        <f t="shared" si="103"/>
        <v>6.7487595451477004E-3</v>
      </c>
      <c r="FK110" s="1111">
        <f t="shared" si="104"/>
        <v>6.6124600825725501E-3</v>
      </c>
      <c r="FL110" s="1111">
        <f t="shared" si="105"/>
        <v>6.5775946616658003E-3</v>
      </c>
      <c r="FM110" s="1111">
        <f t="shared" si="106"/>
        <v>6.5149161690284396E-3</v>
      </c>
      <c r="FN110" s="1111">
        <f t="shared" si="107"/>
        <v>6.5017860407342804E-3</v>
      </c>
      <c r="FO110" s="1111">
        <f t="shared" si="108"/>
        <v>6.5015847958577897E-3</v>
      </c>
      <c r="FP110" s="1111">
        <f t="shared" si="109"/>
        <v>6.5018545048176604E-3</v>
      </c>
      <c r="FQ110" s="1111">
        <f t="shared" si="110"/>
        <v>6.5018545048176604E-3</v>
      </c>
      <c r="FR110" s="1111">
        <f t="shared" si="133"/>
        <v>0.35807070269459501</v>
      </c>
      <c r="FS110" s="1111">
        <f t="shared" si="134"/>
        <v>0.35807070269459501</v>
      </c>
      <c r="FT110" s="1111">
        <f t="shared" si="135"/>
        <v>0.28679070316507099</v>
      </c>
      <c r="FU110" s="1111">
        <f t="shared" si="136"/>
        <v>0.218906747032379</v>
      </c>
      <c r="FV110" s="1111">
        <f t="shared" si="137"/>
        <v>0.21605365916241701</v>
      </c>
      <c r="FW110" s="1111">
        <f t="shared" si="138"/>
        <v>0.217493987012533</v>
      </c>
      <c r="FX110" s="1111">
        <f t="shared" si="139"/>
        <v>0.215874408641613</v>
      </c>
      <c r="FY110" s="1111">
        <f t="shared" si="140"/>
        <v>0.215548001259909</v>
      </c>
      <c r="FZ110" s="1111">
        <f t="shared" si="141"/>
        <v>0.215548245034523</v>
      </c>
      <c r="GA110" s="1111">
        <f t="shared" si="142"/>
        <v>0.215615404289591</v>
      </c>
      <c r="GB110" s="1111">
        <f t="shared" si="143"/>
        <v>0.215615404289591</v>
      </c>
      <c r="GC110" s="1111">
        <f t="shared" si="164"/>
        <v>0.13708084004218499</v>
      </c>
      <c r="GD110" s="1111">
        <f t="shared" si="165"/>
        <v>0.13708084004218499</v>
      </c>
      <c r="GE110" s="1111">
        <f t="shared" si="166"/>
        <v>7.4025422906897703E-2</v>
      </c>
      <c r="GF110" s="1111">
        <f t="shared" si="167"/>
        <v>3.24536914485807E-2</v>
      </c>
      <c r="GG110" s="1111">
        <f t="shared" si="168"/>
        <v>2.9929781219030799E-2</v>
      </c>
      <c r="GH110" s="1111">
        <f t="shared" si="169"/>
        <v>3.12036941885327E-2</v>
      </c>
      <c r="GI110" s="1111">
        <f t="shared" si="170"/>
        <v>2.97710028337012E-2</v>
      </c>
      <c r="GJ110" s="1111">
        <f t="shared" si="171"/>
        <v>2.94822042516945E-2</v>
      </c>
      <c r="GK110" s="1111">
        <f t="shared" si="172"/>
        <v>2.94822767059961E-2</v>
      </c>
      <c r="GL110" s="1111">
        <f t="shared" si="173"/>
        <v>2.9541631676445499E-2</v>
      </c>
      <c r="GM110" s="1111">
        <f t="shared" si="174"/>
        <v>2.9541631676445499E-2</v>
      </c>
    </row>
    <row r="111" spans="1:195" x14ac:dyDescent="0.2">
      <c r="A111" s="1071" t="s">
        <v>190</v>
      </c>
      <c r="B111" s="1071" t="str">
        <f>NewTech!B29</f>
        <v>TBCNGIM</v>
      </c>
      <c r="C111" s="1071" t="str">
        <f>NewTech!C29</f>
        <v>Bus, Improved CNG</v>
      </c>
      <c r="D111" s="1071" t="str">
        <f>NewTech!D29</f>
        <v>bn-vmt, bn-vmt/a</v>
      </c>
      <c r="E111" s="1071" t="str">
        <f>NewTech!E29</f>
        <v>TBCNG</v>
      </c>
      <c r="F111" s="1071" t="str">
        <f>NewTech!F29</f>
        <v>TB</v>
      </c>
      <c r="G111" s="1110" t="s">
        <v>498</v>
      </c>
      <c r="H111" s="1110" t="s">
        <v>501</v>
      </c>
      <c r="I111" s="1112">
        <v>1</v>
      </c>
      <c r="J111" s="1111" t="str">
        <f t="shared" si="37"/>
        <v>Bus-CNG</v>
      </c>
      <c r="K111" s="1111">
        <f>SUMIFS(NewEmisData!E:E, NewEmisData!$A:$A, $G111, NewEmisData!$B:$B, $A111, NewEmisData!$C:$C, $H111, NewEmisData!$D:$D, K$6)</f>
        <v>1553.5210990931</v>
      </c>
      <c r="L111" s="1111">
        <f>SUMIFS(NewEmisData!F:F, NewEmisData!$A:$A, $G111, NewEmisData!$B:$B, $A111, NewEmisData!$C:$C, $H111, NewEmisData!$D:$D, L$6)</f>
        <v>1408.88496713674</v>
      </c>
      <c r="M111" s="1111">
        <f>SUMIFS(NewEmisData!G:G, NewEmisData!$A:$A, $G111, NewEmisData!$B:$B, $A111, NewEmisData!$C:$C, $H111, NewEmisData!$D:$D, M$6)</f>
        <v>1462.3627813248299</v>
      </c>
      <c r="N111" s="1111">
        <f>SUMIFS(NewEmisData!H:H, NewEmisData!$A:$A, $G111, NewEmisData!$B:$B, $A111, NewEmisData!$C:$C, $H111, NewEmisData!$D:$D, N$6)</f>
        <v>1432.84931920791</v>
      </c>
      <c r="O111" s="1111">
        <f>SUMIFS(NewEmisData!I:I, NewEmisData!$A:$A, $G111, NewEmisData!$B:$B, $A111, NewEmisData!$C:$C, $H111, NewEmisData!$D:$D, O$6)</f>
        <v>1425.2997832645599</v>
      </c>
      <c r="P111" s="1111">
        <f>SUMIFS(NewEmisData!J:J, NewEmisData!$A:$A, $G111, NewEmisData!$B:$B, $A111, NewEmisData!$C:$C, $H111, NewEmisData!$D:$D, P$6)</f>
        <v>1411.72897391071</v>
      </c>
      <c r="Q111" s="1111">
        <f>SUMIFS(NewEmisData!K:K, NewEmisData!$A:$A, $G111, NewEmisData!$B:$B, $A111, NewEmisData!$C:$C, $H111, NewEmisData!$D:$D, Q$6)</f>
        <v>1408.8954231452899</v>
      </c>
      <c r="R111" s="1111">
        <f>SUMIFS(NewEmisData!L:L, NewEmisData!$A:$A, $G111, NewEmisData!$B:$B, $A111, NewEmisData!$C:$C, $H111, NewEmisData!$D:$D, R$6)</f>
        <v>1408.8503496293499</v>
      </c>
      <c r="S111" s="1111">
        <f>SUMIFS(NewEmisData!M:M, NewEmisData!$A:$A, $G111, NewEmisData!$B:$B, $A111, NewEmisData!$C:$C, $H111, NewEmisData!$D:$D, S$6)</f>
        <v>1408.9043821590301</v>
      </c>
      <c r="T111" s="1111">
        <f t="shared" si="131"/>
        <v>1408.9043821590301</v>
      </c>
      <c r="U111" s="1111">
        <f>SUMIFS(NewEmisData!E:E, NewEmisData!$A:$A, $G111, NewEmisData!$B:$B, $A111, NewEmisData!$C:$C, $H111, NewEmisData!$D:$D, U$6)</f>
        <v>12.243629501244</v>
      </c>
      <c r="V111" s="1111">
        <f>SUMIFS(NewEmisData!F:F, NewEmisData!$A:$A, $G111, NewEmisData!$B:$B, $A111, NewEmisData!$C:$C, $H111, NewEmisData!$D:$D, V$6)</f>
        <v>4.4057269822849499</v>
      </c>
      <c r="W111" s="1111">
        <f>SUMIFS(NewEmisData!G:G, NewEmisData!$A:$A, $G111, NewEmisData!$B:$B, $A111, NewEmisData!$C:$C, $H111, NewEmisData!$D:$D, W$6)</f>
        <v>2.5338719659062199</v>
      </c>
      <c r="X111" s="1111">
        <f>SUMIFS(NewEmisData!H:H, NewEmisData!$A:$A, $G111, NewEmisData!$B:$B, $A111, NewEmisData!$C:$C, $H111, NewEmisData!$D:$D, X$6)</f>
        <v>1.97053635775459</v>
      </c>
      <c r="Y111" s="1111">
        <f>SUMIFS(NewEmisData!I:I, NewEmisData!$A:$A, $G111, NewEmisData!$B:$B, $A111, NewEmisData!$C:$C, $H111, NewEmisData!$D:$D, Y$6)</f>
        <v>1.73288574795435</v>
      </c>
      <c r="Z111" s="1111">
        <f>SUMIFS(NewEmisData!J:J, NewEmisData!$A:$A, $G111, NewEmisData!$B:$B, $A111, NewEmisData!$C:$C, $H111, NewEmisData!$D:$D, Z$6)</f>
        <v>1.7912592346090399</v>
      </c>
      <c r="AA111" s="1111">
        <f>SUMIFS(NewEmisData!K:K, NewEmisData!$A:$A, $G111, NewEmisData!$B:$B, $A111, NewEmisData!$C:$C, $H111, NewEmisData!$D:$D, AA$6)</f>
        <v>1.6389959510055401</v>
      </c>
      <c r="AB111" s="1111">
        <f>SUMIFS(NewEmisData!L:L, NewEmisData!$A:$A, $G111, NewEmisData!$B:$B, $A111, NewEmisData!$C:$C, $H111, NewEmisData!$D:$D, AB$6)</f>
        <v>1.6389971437373501</v>
      </c>
      <c r="AC111" s="1111">
        <f>SUMIFS(NewEmisData!M:M, NewEmisData!$A:$A, $G111, NewEmisData!$B:$B, $A111, NewEmisData!$C:$C, $H111, NewEmisData!$D:$D, AC$6)</f>
        <v>1.6413497936376999</v>
      </c>
      <c r="AD111" s="1111">
        <f t="shared" si="132"/>
        <v>1.6413497936376999</v>
      </c>
      <c r="AE111" s="1111">
        <f t="shared" si="175"/>
        <v>7.5181123500885298E-3</v>
      </c>
      <c r="AF111" s="1111">
        <f>SUMIFS(NewEmisData!E:E, NewEmisData!$A:$A, $G111, NewEmisData!$B:$B, $A111, NewEmisData!$C:$C, $H111, NewEmisData!$D:$D, AF$6)</f>
        <v>7.5181123500885298E-3</v>
      </c>
      <c r="AG111" s="1111">
        <f>SUMIFS(NewEmisData!F:F, NewEmisData!$A:$A, $G111, NewEmisData!$B:$B, $A111, NewEmisData!$C:$C, $H111, NewEmisData!$D:$D, AG$6)</f>
        <v>6.72193717894523E-3</v>
      </c>
      <c r="AH111" s="1111">
        <f>SUMIFS(NewEmisData!G:G, NewEmisData!$A:$A, $G111, NewEmisData!$B:$B, $A111, NewEmisData!$C:$C, $H111, NewEmisData!$D:$D, AH$6)</f>
        <v>7.7424633042752298E-3</v>
      </c>
      <c r="AI111" s="1111">
        <f>SUMIFS(NewEmisData!H:H, NewEmisData!$A:$A, $G111, NewEmisData!$B:$B, $A111, NewEmisData!$C:$C, $H111, NewEmisData!$D:$D, AI$6)</f>
        <v>7.5862031517122301E-3</v>
      </c>
      <c r="AJ111" s="1111">
        <f>SUMIFS(NewEmisData!I:I, NewEmisData!$A:$A, $G111, NewEmisData!$B:$B, $A111, NewEmisData!$C:$C, $H111, NewEmisData!$D:$D, AJ$6)</f>
        <v>7.5462363983801496E-3</v>
      </c>
      <c r="AK111" s="1111">
        <f>SUMIFS(NewEmisData!J:J, NewEmisData!$A:$A, $G111, NewEmisData!$B:$B, $A111, NewEmisData!$C:$C, $H111, NewEmisData!$D:$D, AK$6)</f>
        <v>7.4743875655051799E-3</v>
      </c>
      <c r="AL111" s="1111">
        <f>SUMIFS(NewEmisData!K:K, NewEmisData!$A:$A, $G111, NewEmisData!$B:$B, $A111, NewEmisData!$C:$C, $H111, NewEmisData!$D:$D, AL$6)</f>
        <v>7.4593805624821796E-3</v>
      </c>
      <c r="AM111" s="1111">
        <f>SUMIFS(NewEmisData!L:L, NewEmisData!$A:$A, $G111, NewEmisData!$B:$B, $A111, NewEmisData!$C:$C, $H111, NewEmisData!$D:$D, AM$6)</f>
        <v>7.4591468383354304E-3</v>
      </c>
      <c r="AN111" s="1111">
        <f>SUMIFS(NewEmisData!M:M, NewEmisData!$A:$A, $G111, NewEmisData!$B:$B, $A111, NewEmisData!$C:$C, $H111, NewEmisData!$D:$D, AN$6)</f>
        <v>7.4594296654913296E-3</v>
      </c>
      <c r="AO111" s="1111">
        <f t="shared" si="176"/>
        <v>7.4594296654913296E-3</v>
      </c>
      <c r="AP111" s="1111">
        <f t="shared" si="177"/>
        <v>0.39638833463587397</v>
      </c>
      <c r="AQ111" s="1111">
        <f>SUMIFS(NewEmisData!E:E, NewEmisData!$A:$A, $G111, NewEmisData!$B:$B, $A111, NewEmisData!$C:$C, $H111, NewEmisData!$D:$D, AQ$6)</f>
        <v>0.39638833463587397</v>
      </c>
      <c r="AR111" s="1111">
        <f>SUMIFS(NewEmisData!F:F, NewEmisData!$A:$A, $G111, NewEmisData!$B:$B, $A111, NewEmisData!$C:$C, $H111, NewEmisData!$D:$D, AR$6)</f>
        <v>0.29090093127093197</v>
      </c>
      <c r="AS111" s="1111">
        <f>SUMIFS(NewEmisData!G:G, NewEmisData!$A:$A, $G111, NewEmisData!$B:$B, $A111, NewEmisData!$C:$C, $H111, NewEmisData!$D:$D, AS$6)</f>
        <v>0.30512480081238003</v>
      </c>
      <c r="AT111" s="1111">
        <f>SUMIFS(NewEmisData!H:H, NewEmisData!$A:$A, $G111, NewEmisData!$B:$B, $A111, NewEmisData!$C:$C, $H111, NewEmisData!$D:$D, AT$6)</f>
        <v>0.30228358490423202</v>
      </c>
      <c r="AU111" s="1111">
        <f>SUMIFS(NewEmisData!I:I, NewEmisData!$A:$A, $G111, NewEmisData!$B:$B, $A111, NewEmisData!$C:$C, $H111, NewEmisData!$D:$D, AU$6)</f>
        <v>0.30366691295985598</v>
      </c>
      <c r="AV111" s="1111">
        <f>SUMIFS(NewEmisData!J:J, NewEmisData!$A:$A, $G111, NewEmisData!$B:$B, $A111, NewEmisData!$C:$C, $H111, NewEmisData!$D:$D, AV$6)</f>
        <v>0.30208997800131698</v>
      </c>
      <c r="AW111" s="1111">
        <f>SUMIFS(NewEmisData!K:K, NewEmisData!$A:$A, $G111, NewEmisData!$B:$B, $A111, NewEmisData!$C:$C, $H111, NewEmisData!$D:$D, AW$6)</f>
        <v>0.30173562336722598</v>
      </c>
      <c r="AX111" s="1111">
        <f>SUMIFS(NewEmisData!L:L, NewEmisData!$A:$A, $G111, NewEmisData!$B:$B, $A111, NewEmisData!$C:$C, $H111, NewEmisData!$D:$D, AX$6)</f>
        <v>0.30173549102415298</v>
      </c>
      <c r="AY111" s="1111">
        <f>SUMIFS(NewEmisData!M:M, NewEmisData!$A:$A, $G111, NewEmisData!$B:$B, $A111, NewEmisData!$C:$C, $H111, NewEmisData!$D:$D, AY$6)</f>
        <v>0.301808555330837</v>
      </c>
      <c r="AZ111" s="1111">
        <f t="shared" si="178"/>
        <v>0.301808555330837</v>
      </c>
      <c r="BA111" s="1111">
        <f t="shared" si="179"/>
        <v>0.16760085093958199</v>
      </c>
      <c r="BB111" s="1111">
        <f>SUMIFS(NewEmisData!E:E, NewEmisData!$A:$A, $G111, NewEmisData!$B:$B, $A111, NewEmisData!$C:$C, $H111, NewEmisData!$D:$D, BB$6)</f>
        <v>0.16760085093958199</v>
      </c>
      <c r="BC111" s="1111">
        <f>SUMIFS(NewEmisData!F:F, NewEmisData!$A:$A, $G111, NewEmisData!$B:$B, $A111, NewEmisData!$C:$C, $H111, NewEmisData!$D:$D, BC$6)</f>
        <v>7.4285465319141195E-2</v>
      </c>
      <c r="BD111" s="1111">
        <f>SUMIFS(NewEmisData!G:G, NewEmisData!$A:$A, $G111, NewEmisData!$B:$B, $A111, NewEmisData!$C:$C, $H111, NewEmisData!$D:$D, BD$6)</f>
        <v>4.3481827085775297E-2</v>
      </c>
      <c r="BE111" s="1111">
        <f>SUMIFS(NewEmisData!H:H, NewEmisData!$A:$A, $G111, NewEmisData!$B:$B, $A111, NewEmisData!$C:$C, $H111, NewEmisData!$D:$D, BE$6)</f>
        <v>4.0968421942404701E-2</v>
      </c>
      <c r="BF111" s="1111">
        <f>SUMIFS(NewEmisData!I:I, NewEmisData!$A:$A, $G111, NewEmisData!$B:$B, $A111, NewEmisData!$C:$C, $H111, NewEmisData!$D:$D, BF$6)</f>
        <v>4.21915697435057E-2</v>
      </c>
      <c r="BG111" s="1111">
        <f>SUMIFS(NewEmisData!J:J, NewEmisData!$A:$A, $G111, NewEmisData!$B:$B, $A111, NewEmisData!$C:$C, $H111, NewEmisData!$D:$D, BG$6)</f>
        <v>4.0796629114503602E-2</v>
      </c>
      <c r="BH111" s="1111">
        <f>SUMIFS(NewEmisData!K:K, NewEmisData!$A:$A, $G111, NewEmisData!$B:$B, $A111, NewEmisData!$C:$C, $H111, NewEmisData!$D:$D, BH$6)</f>
        <v>4.0483008408731903E-2</v>
      </c>
      <c r="BI111" s="1111">
        <f>SUMIFS(NewEmisData!L:L, NewEmisData!$A:$A, $G111, NewEmisData!$B:$B, $A111, NewEmisData!$C:$C, $H111, NewEmisData!$D:$D, BI$6)</f>
        <v>4.0483108528960102E-2</v>
      </c>
      <c r="BJ111" s="1111">
        <f>SUMIFS(NewEmisData!M:M, NewEmisData!$A:$A, $G111, NewEmisData!$B:$B, $A111, NewEmisData!$C:$C, $H111, NewEmisData!$D:$D, BJ$6)</f>
        <v>4.0547746759359002E-2</v>
      </c>
      <c r="BK111" s="1111">
        <f t="shared" si="180"/>
        <v>4.0547746759359002E-2</v>
      </c>
      <c r="BL111" s="1111">
        <f t="shared" si="181"/>
        <v>17.990411200770101</v>
      </c>
      <c r="BM111" s="1111">
        <f>SUMIFS(NewEmisData!E:E, NewEmisData!$A:$A, $G111, NewEmisData!$B:$B, $A111, NewEmisData!$C:$C, $H111, NewEmisData!$D:$D, BM$6)</f>
        <v>17.990411200770101</v>
      </c>
      <c r="BN111" s="1111">
        <f>SUMIFS(NewEmisData!F:F, NewEmisData!$A:$A, $G111, NewEmisData!$B:$B, $A111, NewEmisData!$C:$C, $H111, NewEmisData!$D:$D, BN$6)</f>
        <v>7.2585459848305502</v>
      </c>
      <c r="BO111" s="1111">
        <f>SUMIFS(NewEmisData!G:G, NewEmisData!$A:$A, $G111, NewEmisData!$B:$B, $A111, NewEmisData!$C:$C, $H111, NewEmisData!$D:$D, BO$6)</f>
        <v>6.1426523915957798</v>
      </c>
      <c r="BP111" s="1111">
        <f>SUMIFS(NewEmisData!H:H, NewEmisData!$A:$A, $G111, NewEmisData!$B:$B, $A111, NewEmisData!$C:$C, $H111, NewEmisData!$D:$D, BP$6)</f>
        <v>7.1691238003443596</v>
      </c>
      <c r="BQ111" s="1111">
        <f>SUMIFS(NewEmisData!I:I, NewEmisData!$A:$A, $G111, NewEmisData!$B:$B, $A111, NewEmisData!$C:$C, $H111, NewEmisData!$D:$D, BQ$6)</f>
        <v>7.4337921877774802</v>
      </c>
      <c r="BR111" s="1111">
        <f>SUMIFS(NewEmisData!J:J, NewEmisData!$A:$A, $G111, NewEmisData!$B:$B, $A111, NewEmisData!$C:$C, $H111, NewEmisData!$D:$D, BR$6)</f>
        <v>7.1994411397323903</v>
      </c>
      <c r="BS111" s="1111">
        <f>SUMIFS(NewEmisData!K:K, NewEmisData!$A:$A, $G111, NewEmisData!$B:$B, $A111, NewEmisData!$C:$C, $H111, NewEmisData!$D:$D, BS$6)</f>
        <v>7.2709849110611904</v>
      </c>
      <c r="BT111" s="1111">
        <f>SUMIFS(NewEmisData!L:L, NewEmisData!$A:$A, $G111, NewEmisData!$B:$B, $A111, NewEmisData!$C:$C, $H111, NewEmisData!$D:$D, BT$6)</f>
        <v>7.2710279922364496</v>
      </c>
      <c r="BU111" s="1111">
        <f>SUMIFS(NewEmisData!M:M, NewEmisData!$A:$A, $G111, NewEmisData!$B:$B, $A111, NewEmisData!$C:$C, $H111, NewEmisData!$D:$D, BU$6)</f>
        <v>7.3149803043521597</v>
      </c>
      <c r="BV111" s="1111">
        <f t="shared" si="182"/>
        <v>7.3149803043521597</v>
      </c>
      <c r="BW111" s="1111">
        <f t="shared" si="183"/>
        <v>2.9430592441144499</v>
      </c>
      <c r="BX111" s="1111">
        <f>SUMIFS(NewEmisData!E:E, NewEmisData!$A:$A, $G111, NewEmisData!$B:$B, $A111, NewEmisData!$C:$C, $H111, NewEmisData!$D:$D, BX$6)</f>
        <v>2.9430592441144499</v>
      </c>
      <c r="BY111" s="1111">
        <f>SUMIFS(NewEmisData!F:F, NewEmisData!$A:$A, $G111, NewEmisData!$B:$B, $A111, NewEmisData!$C:$C, $H111, NewEmisData!$D:$D, BY$6)</f>
        <v>0.85648765894271195</v>
      </c>
      <c r="BZ111" s="1111">
        <f>SUMIFS(NewEmisData!G:G, NewEmisData!$A:$A, $G111, NewEmisData!$B:$B, $A111, NewEmisData!$C:$C, $H111, NewEmisData!$D:$D, BZ$6)</f>
        <v>0.36361632063642702</v>
      </c>
      <c r="CA111" s="1111">
        <f>SUMIFS(NewEmisData!H:H, NewEmisData!$A:$A, $G111, NewEmisData!$B:$B, $A111, NewEmisData!$C:$C, $H111, NewEmisData!$D:$D, CA$6)</f>
        <v>0.27169020086571199</v>
      </c>
      <c r="CB111" s="1111">
        <f>SUMIFS(NewEmisData!I:I, NewEmisData!$A:$A, $G111, NewEmisData!$B:$B, $A111, NewEmisData!$C:$C, $H111, NewEmisData!$D:$D, CB$6)</f>
        <v>0.25980348368640299</v>
      </c>
      <c r="CC111" s="1111">
        <f>SUMIFS(NewEmisData!J:J, NewEmisData!$A:$A, $G111, NewEmisData!$B:$B, $A111, NewEmisData!$C:$C, $H111, NewEmisData!$D:$D, CC$6)</f>
        <v>0.24951146113875</v>
      </c>
      <c r="CD111" s="1111">
        <f>SUMIFS(NewEmisData!K:K, NewEmisData!$A:$A, $G111, NewEmisData!$B:$B, $A111, NewEmisData!$C:$C, $H111, NewEmisData!$D:$D, CD$6)</f>
        <v>0.23278809859364299</v>
      </c>
      <c r="CE111" s="1111">
        <f>SUMIFS(NewEmisData!L:L, NewEmisData!$A:$A, $G111, NewEmisData!$B:$B, $A111, NewEmisData!$C:$C, $H111, NewEmisData!$D:$D, CE$6)</f>
        <v>0.23279061475395799</v>
      </c>
      <c r="CF111" s="1111">
        <f>SUMIFS(NewEmisData!M:M, NewEmisData!$A:$A, $G111, NewEmisData!$B:$B, $A111, NewEmisData!$C:$C, $H111, NewEmisData!$D:$D, CF$6)</f>
        <v>0.23440507280589101</v>
      </c>
      <c r="CG111" s="1111">
        <f t="shared" si="184"/>
        <v>0.23440507280589101</v>
      </c>
      <c r="CH111" s="1111">
        <f t="shared" si="185"/>
        <v>4.2845431807355498E-2</v>
      </c>
      <c r="CI111" s="1111">
        <f>SUMIFS(NewEmisData!E:E, NewEmisData!$A:$A, $G111, NewEmisData!$B:$B, $A111, NewEmisData!$C:$C, $H111, NewEmisData!$D:$D, CI$6)</f>
        <v>4.2845431807355498E-2</v>
      </c>
      <c r="CJ111" s="1111">
        <f>SUMIFS(NewEmisData!F:F, NewEmisData!$A:$A, $G111, NewEmisData!$B:$B, $A111, NewEmisData!$C:$C, $H111, NewEmisData!$D:$D, CJ$6)</f>
        <v>4.2845229082484199E-2</v>
      </c>
      <c r="CK111" s="1111">
        <f>SUMIFS(NewEmisData!G:G, NewEmisData!$A:$A, $G111, NewEmisData!$B:$B, $A111, NewEmisData!$C:$C, $H111, NewEmisData!$D:$D, CK$6)</f>
        <v>4.9324427827802997E-2</v>
      </c>
      <c r="CL111" s="1111">
        <f>SUMIFS(NewEmisData!H:H, NewEmisData!$A:$A, $G111, NewEmisData!$B:$B, $A111, NewEmisData!$C:$C, $H111, NewEmisData!$D:$D, CL$6)</f>
        <v>4.9316373839858499E-2</v>
      </c>
      <c r="CM111" s="1111">
        <f>SUMIFS(NewEmisData!I:I, NewEmisData!$A:$A, $G111, NewEmisData!$B:$B, $A111, NewEmisData!$C:$C, $H111, NewEmisData!$D:$D, CM$6)</f>
        <v>4.9313565182193903E-2</v>
      </c>
      <c r="CN111" s="1111">
        <f>SUMIFS(NewEmisData!J:J, NewEmisData!$A:$A, $G111, NewEmisData!$B:$B, $A111, NewEmisData!$C:$C, $H111, NewEmisData!$D:$D, CN$6)</f>
        <v>4.9310010478126401E-2</v>
      </c>
      <c r="CO111" s="1111">
        <f>SUMIFS(NewEmisData!K:K, NewEmisData!$A:$A, $G111, NewEmisData!$B:$B, $A111, NewEmisData!$C:$C, $H111, NewEmisData!$D:$D, CO$6)</f>
        <v>4.9309269691000898E-2</v>
      </c>
      <c r="CP111" s="1111">
        <f>SUMIFS(NewEmisData!L:L, NewEmisData!$A:$A, $G111, NewEmisData!$B:$B, $A111, NewEmisData!$C:$C, $H111, NewEmisData!$D:$D, CP$6)</f>
        <v>4.9309246414996899E-2</v>
      </c>
      <c r="CQ111" s="1111">
        <f>SUMIFS(NewEmisData!M:M, NewEmisData!$A:$A, $G111, NewEmisData!$B:$B, $A111, NewEmisData!$C:$C, $H111, NewEmisData!$D:$D, CQ$6)</f>
        <v>4.93092310618925E-2</v>
      </c>
      <c r="CR111" s="1111">
        <f t="shared" si="186"/>
        <v>4.93092310618925E-2</v>
      </c>
      <c r="CS111" s="1111">
        <f t="shared" si="187"/>
        <v>9.5022001966096004E-2</v>
      </c>
      <c r="CT111" s="1111">
        <f>SUMIFS(NewEmisData!E:E, NewEmisData!$A:$A, $G111, NewEmisData!$B:$B, $A111, NewEmisData!$C:$C, $H111, NewEmisData!$D:$D, CT$6)</f>
        <v>9.5022001966096004E-2</v>
      </c>
      <c r="CU111" s="1111">
        <f>SUMIFS(NewEmisData!F:F, NewEmisData!$A:$A, $G111, NewEmisData!$B:$B, $A111, NewEmisData!$C:$C, $H111, NewEmisData!$D:$D, CU$6)</f>
        <v>9.4153576596088001E-2</v>
      </c>
      <c r="CV111" s="1111">
        <f>SUMIFS(NewEmisData!G:G, NewEmisData!$A:$A, $G111, NewEmisData!$B:$B, $A111, NewEmisData!$C:$C, $H111, NewEmisData!$D:$D, CV$6)</f>
        <v>0.116196244904277</v>
      </c>
      <c r="CW111" s="1111">
        <f>SUMIFS(NewEmisData!H:H, NewEmisData!$A:$A, $G111, NewEmisData!$B:$B, $A111, NewEmisData!$C:$C, $H111, NewEmisData!$D:$D, CW$6)</f>
        <v>0.117032953911949</v>
      </c>
      <c r="CX111" s="1111">
        <f>SUMIFS(NewEmisData!I:I, NewEmisData!$A:$A, $G111, NewEmisData!$B:$B, $A111, NewEmisData!$C:$C, $H111, NewEmisData!$D:$D, CX$6)</f>
        <v>0.11743259561145999</v>
      </c>
      <c r="CY111" s="1111">
        <f>SUMIFS(NewEmisData!J:J, NewEmisData!$A:$A, $G111, NewEmisData!$B:$B, $A111, NewEmisData!$C:$C, $H111, NewEmisData!$D:$D, CY$6)</f>
        <v>0.117601803127102</v>
      </c>
      <c r="CZ111" s="1111">
        <f>SUMIFS(NewEmisData!K:K, NewEmisData!$A:$A, $G111, NewEmisData!$B:$B, $A111, NewEmisData!$C:$C, $H111, NewEmisData!$D:$D, CZ$6)</f>
        <v>0.11701285490505001</v>
      </c>
      <c r="DA111" s="1111">
        <f>SUMIFS(NewEmisData!L:L, NewEmisData!$A:$A, $G111, NewEmisData!$B:$B, $A111, NewEmisData!$C:$C, $H111, NewEmisData!$D:$D, DA$6)</f>
        <v>0.117012223650427</v>
      </c>
      <c r="DB111" s="1111">
        <f>SUMIFS(NewEmisData!M:M, NewEmisData!$A:$A, $G111, NewEmisData!$B:$B, $A111, NewEmisData!$C:$C, $H111, NewEmisData!$D:$D, DB$6)</f>
        <v>0.117462182372974</v>
      </c>
      <c r="DC111" s="1111">
        <f t="shared" si="188"/>
        <v>0.117462182372974</v>
      </c>
      <c r="DD111" s="1111"/>
      <c r="DE111" s="1111"/>
      <c r="DF111" s="1111"/>
      <c r="DG111" s="1111"/>
      <c r="DH111" s="1111"/>
      <c r="DI111" s="1111"/>
      <c r="DJ111" s="1111"/>
      <c r="DK111" s="1111"/>
      <c r="DL111" s="1111"/>
      <c r="DM111" s="1111"/>
      <c r="DN111" s="1111"/>
      <c r="DO111" s="1111"/>
      <c r="DP111" s="1111"/>
      <c r="DQ111" s="1111"/>
      <c r="DR111" s="1111"/>
      <c r="DS111" s="1111"/>
      <c r="DT111" s="1111"/>
      <c r="DU111" s="1111"/>
      <c r="DV111" s="1111"/>
      <c r="DW111" s="1111"/>
      <c r="DX111" s="1111"/>
      <c r="DY111" s="1111"/>
      <c r="DZ111" s="1111">
        <f t="shared" si="189"/>
        <v>20.8218887386315</v>
      </c>
      <c r="EA111" s="1111">
        <f>SUMIFS(NewEmisData!E:E, NewEmisData!$A:$A, $G111, NewEmisData!$B:$B, $A111, NewEmisData!$C:$C, $H111, NewEmisData!$D:$D, EA$6)</f>
        <v>20.8218887386315</v>
      </c>
      <c r="EB111" s="1111">
        <f>SUMIFS(NewEmisData!F:F, NewEmisData!$A:$A, $G111, NewEmisData!$B:$B, $A111, NewEmisData!$C:$C, $H111, NewEmisData!$D:$D, EB$6)</f>
        <v>7.3439936033795297</v>
      </c>
      <c r="EC111" s="1111">
        <f>SUMIFS(NewEmisData!G:G, NewEmisData!$A:$A, $G111, NewEmisData!$B:$B, $A111, NewEmisData!$C:$C, $H111, NewEmisData!$D:$D, EC$6)</f>
        <v>6.0356206369280203</v>
      </c>
      <c r="ED111" s="1111">
        <f>SUMIFS(NewEmisData!H:H, NewEmisData!$A:$A, $G111, NewEmisData!$B:$B, $A111, NewEmisData!$C:$C, $H111, NewEmisData!$D:$D, ED$6)</f>
        <v>5.5823600108493201</v>
      </c>
      <c r="EE111" s="1111">
        <f>SUMIFS(NewEmisData!I:I, NewEmisData!$A:$A, $G111, NewEmisData!$B:$B, $A111, NewEmisData!$C:$C, $H111, NewEmisData!$D:$D, EE$6)</f>
        <v>5.0088319269148096</v>
      </c>
      <c r="EF111" s="1111">
        <f>SUMIFS(NewEmisData!J:J, NewEmisData!$A:$A, $G111, NewEmisData!$B:$B, $A111, NewEmisData!$C:$C, $H111, NewEmisData!$D:$D, EF$6)</f>
        <v>5.15226788375083</v>
      </c>
      <c r="EG111" s="1111">
        <f>SUMIFS(NewEmisData!K:K, NewEmisData!$A:$A, $G111, NewEmisData!$B:$B, $A111, NewEmisData!$C:$C, $H111, NewEmisData!$D:$D, EG$6)</f>
        <v>4.8220433630077002</v>
      </c>
      <c r="EH111" s="1111">
        <f>SUMIFS(NewEmisData!L:L, NewEmisData!$A:$A, $G111, NewEmisData!$B:$B, $A111, NewEmisData!$C:$C, $H111, NewEmisData!$D:$D, EH$6)</f>
        <v>4.8220933526120904</v>
      </c>
      <c r="EI111" s="1111">
        <f>SUMIFS(NewEmisData!M:M, NewEmisData!$A:$A, $G111, NewEmisData!$B:$B, $A111, NewEmisData!$C:$C, $H111, NewEmisData!$D:$D, EI$6)</f>
        <v>4.8555390504961302</v>
      </c>
      <c r="EJ111" s="1111">
        <f t="shared" si="190"/>
        <v>4.8555390504961302</v>
      </c>
      <c r="EK111" s="1111">
        <f t="shared" si="191"/>
        <v>1553.5210990931</v>
      </c>
      <c r="EL111" s="1111">
        <f t="shared" si="154"/>
        <v>1553.5210990931</v>
      </c>
      <c r="EM111" s="1111">
        <f t="shared" si="155"/>
        <v>1408.88496713674</v>
      </c>
      <c r="EN111" s="1111">
        <f t="shared" si="156"/>
        <v>1462.3627813248299</v>
      </c>
      <c r="EO111" s="1111">
        <f t="shared" si="157"/>
        <v>1432.84931920791</v>
      </c>
      <c r="EP111" s="1111">
        <f t="shared" si="158"/>
        <v>1425.2997832645599</v>
      </c>
      <c r="EQ111" s="1111">
        <f t="shared" si="159"/>
        <v>1411.72897391071</v>
      </c>
      <c r="ER111" s="1111">
        <f t="shared" si="160"/>
        <v>1408.8954231452899</v>
      </c>
      <c r="ES111" s="1111">
        <f t="shared" si="161"/>
        <v>1408.8503496293499</v>
      </c>
      <c r="ET111" s="1111">
        <f t="shared" si="162"/>
        <v>1408.9043821590301</v>
      </c>
      <c r="EU111" s="1111">
        <f t="shared" si="163"/>
        <v>1408.9043821590301</v>
      </c>
      <c r="EV111" s="1111">
        <f t="shared" si="192"/>
        <v>12.243629501244</v>
      </c>
      <c r="EW111" s="1111">
        <f t="shared" si="144"/>
        <v>12.243629501244</v>
      </c>
      <c r="EX111" s="1111">
        <f t="shared" si="145"/>
        <v>4.4057269822849499</v>
      </c>
      <c r="EY111" s="1111">
        <f t="shared" si="146"/>
        <v>2.5338719659062199</v>
      </c>
      <c r="EZ111" s="1111">
        <f t="shared" si="147"/>
        <v>1.97053635775459</v>
      </c>
      <c r="FA111" s="1111">
        <f t="shared" si="148"/>
        <v>1.73288574795435</v>
      </c>
      <c r="FB111" s="1111">
        <f t="shared" si="149"/>
        <v>1.7912592346090399</v>
      </c>
      <c r="FC111" s="1111">
        <f t="shared" si="150"/>
        <v>1.6389959510055401</v>
      </c>
      <c r="FD111" s="1111">
        <f t="shared" si="151"/>
        <v>1.6389971437373501</v>
      </c>
      <c r="FE111" s="1111">
        <f t="shared" si="152"/>
        <v>1.6413497936376999</v>
      </c>
      <c r="FF111" s="1111">
        <f t="shared" si="153"/>
        <v>1.6413497936376999</v>
      </c>
      <c r="FG111" s="1111">
        <f t="shared" si="100"/>
        <v>7.5181123500885298E-3</v>
      </c>
      <c r="FH111" s="1111">
        <f t="shared" si="101"/>
        <v>7.5181123500885298E-3</v>
      </c>
      <c r="FI111" s="1111">
        <f t="shared" si="102"/>
        <v>6.72193717894523E-3</v>
      </c>
      <c r="FJ111" s="1111">
        <f t="shared" si="103"/>
        <v>7.7424633042752298E-3</v>
      </c>
      <c r="FK111" s="1111">
        <f t="shared" si="104"/>
        <v>7.5862031517122301E-3</v>
      </c>
      <c r="FL111" s="1111">
        <f t="shared" si="105"/>
        <v>7.5462363983801496E-3</v>
      </c>
      <c r="FM111" s="1111">
        <f t="shared" si="106"/>
        <v>7.4743875655051799E-3</v>
      </c>
      <c r="FN111" s="1111">
        <f t="shared" si="107"/>
        <v>7.4593805624821796E-3</v>
      </c>
      <c r="FO111" s="1111">
        <f t="shared" si="108"/>
        <v>7.4591468383354304E-3</v>
      </c>
      <c r="FP111" s="1111">
        <f t="shared" si="109"/>
        <v>7.4594296654913296E-3</v>
      </c>
      <c r="FQ111" s="1111">
        <f t="shared" si="110"/>
        <v>7.4594296654913296E-3</v>
      </c>
      <c r="FR111" s="1111">
        <f t="shared" si="133"/>
        <v>0.39638833463587397</v>
      </c>
      <c r="FS111" s="1111">
        <f t="shared" si="134"/>
        <v>0.39638833463587397</v>
      </c>
      <c r="FT111" s="1111">
        <f t="shared" si="135"/>
        <v>0.29090093127093197</v>
      </c>
      <c r="FU111" s="1111">
        <f t="shared" si="136"/>
        <v>0.30512480081238003</v>
      </c>
      <c r="FV111" s="1111">
        <f t="shared" si="137"/>
        <v>0.30228358490423202</v>
      </c>
      <c r="FW111" s="1111">
        <f t="shared" si="138"/>
        <v>0.30366691295985598</v>
      </c>
      <c r="FX111" s="1111">
        <f t="shared" si="139"/>
        <v>0.30208997800131698</v>
      </c>
      <c r="FY111" s="1111">
        <f t="shared" si="140"/>
        <v>0.30173562336722598</v>
      </c>
      <c r="FZ111" s="1111">
        <f t="shared" si="141"/>
        <v>0.30173549102415298</v>
      </c>
      <c r="GA111" s="1111">
        <f t="shared" si="142"/>
        <v>0.301808555330837</v>
      </c>
      <c r="GB111" s="1111">
        <f t="shared" si="143"/>
        <v>0.301808555330837</v>
      </c>
      <c r="GC111" s="1111">
        <f t="shared" si="164"/>
        <v>0.16760085093958199</v>
      </c>
      <c r="GD111" s="1111">
        <f t="shared" si="165"/>
        <v>0.16760085093958199</v>
      </c>
      <c r="GE111" s="1111">
        <f t="shared" si="166"/>
        <v>7.4285465319141195E-2</v>
      </c>
      <c r="GF111" s="1111">
        <f t="shared" si="167"/>
        <v>4.3481827085775297E-2</v>
      </c>
      <c r="GG111" s="1111">
        <f t="shared" si="168"/>
        <v>4.0968421942404701E-2</v>
      </c>
      <c r="GH111" s="1111">
        <f t="shared" si="169"/>
        <v>4.21915697435057E-2</v>
      </c>
      <c r="GI111" s="1111">
        <f t="shared" si="170"/>
        <v>4.0796629114503602E-2</v>
      </c>
      <c r="GJ111" s="1111">
        <f t="shared" si="171"/>
        <v>4.0483008408731903E-2</v>
      </c>
      <c r="GK111" s="1111">
        <f t="shared" si="172"/>
        <v>4.0483108528960102E-2</v>
      </c>
      <c r="GL111" s="1111">
        <f t="shared" si="173"/>
        <v>4.0547746759359002E-2</v>
      </c>
      <c r="GM111" s="1111">
        <f t="shared" si="174"/>
        <v>4.0547746759359002E-2</v>
      </c>
    </row>
    <row r="112" spans="1:195" x14ac:dyDescent="0.2">
      <c r="A112" s="1071" t="s">
        <v>182</v>
      </c>
      <c r="B112" s="1071" t="str">
        <f>NewTech!B30</f>
        <v>TBCNGADV</v>
      </c>
      <c r="C112" s="1071" t="str">
        <f>NewTech!C30</f>
        <v>Bus, Advanced Tech CNG</v>
      </c>
      <c r="D112" s="1071" t="str">
        <f>NewTech!D30</f>
        <v>bn-vmt, bn-vmt/a</v>
      </c>
      <c r="E112" s="1071" t="str">
        <f>NewTech!E30</f>
        <v>TBCNG</v>
      </c>
      <c r="F112" s="1071" t="str">
        <f>NewTech!F30</f>
        <v>TB</v>
      </c>
      <c r="G112" s="1110" t="s">
        <v>498</v>
      </c>
      <c r="H112" s="1110" t="s">
        <v>501</v>
      </c>
      <c r="I112" s="1112">
        <v>1</v>
      </c>
      <c r="J112" s="1111" t="str">
        <f t="shared" si="37"/>
        <v>Bus-CNG</v>
      </c>
      <c r="K112" s="1111">
        <f>SUMIFS(NewEmisData!E:E, NewEmisData!$A:$A, $G112, NewEmisData!$B:$B, $A112, NewEmisData!$C:$C, $H112, NewEmisData!$D:$D, K$6)</f>
        <v>1404.3271128133699</v>
      </c>
      <c r="L112" s="1111">
        <f>SUMIFS(NewEmisData!F:F, NewEmisData!$A:$A, $G112, NewEmisData!$B:$B, $A112, NewEmisData!$C:$C, $H112, NewEmisData!$D:$D, L$6)</f>
        <v>1439.6601314125801</v>
      </c>
      <c r="M112" s="1111">
        <f>SUMIFS(NewEmisData!G:G, NewEmisData!$A:$A, $G112, NewEmisData!$B:$B, $A112, NewEmisData!$C:$C, $H112, NewEmisData!$D:$D, M$6)</f>
        <v>1684.18271883701</v>
      </c>
      <c r="N112" s="1111">
        <f>SUMIFS(NewEmisData!H:H, NewEmisData!$A:$A, $G112, NewEmisData!$B:$B, $A112, NewEmisData!$C:$C, $H112, NewEmisData!$D:$D, N$6)</f>
        <v>1650.6602334367401</v>
      </c>
      <c r="O112" s="1111">
        <f>SUMIFS(NewEmisData!I:I, NewEmisData!$A:$A, $G112, NewEmisData!$B:$B, $A112, NewEmisData!$C:$C, $H112, NewEmisData!$D:$D, O$6)</f>
        <v>1642.1438923528999</v>
      </c>
      <c r="P112" s="1111">
        <f>SUMIFS(NewEmisData!J:J, NewEmisData!$A:$A, $G112, NewEmisData!$B:$B, $A112, NewEmisData!$C:$C, $H112, NewEmisData!$D:$D, P$6)</f>
        <v>1626.66978660524</v>
      </c>
      <c r="Q112" s="1111">
        <f>SUMIFS(NewEmisData!K:K, NewEmisData!$A:$A, $G112, NewEmisData!$B:$B, $A112, NewEmisData!$C:$C, $H112, NewEmisData!$D:$D, Q$6)</f>
        <v>1623.30402513322</v>
      </c>
      <c r="R112" s="1111">
        <f>SUMIFS(NewEmisData!L:L, NewEmisData!$A:$A, $G112, NewEmisData!$B:$B, $A112, NewEmisData!$C:$C, $H112, NewEmisData!$D:$D, R$6)</f>
        <v>1623.2520614663099</v>
      </c>
      <c r="S112" s="1111">
        <f>SUMIFS(NewEmisData!M:M, NewEmisData!$A:$A, $G112, NewEmisData!$B:$B, $A112, NewEmisData!$C:$C, $H112, NewEmisData!$D:$D, S$6)</f>
        <v>1623.40710518732</v>
      </c>
      <c r="T112" s="1111">
        <f t="shared" si="131"/>
        <v>1623.40710518732</v>
      </c>
      <c r="U112" s="1111">
        <f>SUMIFS(NewEmisData!E:E, NewEmisData!$A:$A, $G112, NewEmisData!$B:$B, $A112, NewEmisData!$C:$C, $H112, NewEmisData!$D:$D, U$6)</f>
        <v>8.5641579152449303</v>
      </c>
      <c r="V112" s="1111">
        <f>SUMIFS(NewEmisData!F:F, NewEmisData!$A:$A, $G112, NewEmisData!$B:$B, $A112, NewEmisData!$C:$C, $H112, NewEmisData!$D:$D, V$6)</f>
        <v>9.6580110235574494</v>
      </c>
      <c r="W112" s="1111">
        <f>SUMIFS(NewEmisData!G:G, NewEmisData!$A:$A, $G112, NewEmisData!$B:$B, $A112, NewEmisData!$C:$C, $H112, NewEmisData!$D:$D, W$6)</f>
        <v>2.7867389528720699</v>
      </c>
      <c r="X112" s="1111">
        <f>SUMIFS(NewEmisData!H:H, NewEmisData!$A:$A, $G112, NewEmisData!$B:$B, $A112, NewEmisData!$C:$C, $H112, NewEmisData!$D:$D, X$6)</f>
        <v>2.1696941290079601</v>
      </c>
      <c r="Y112" s="1111">
        <f>SUMIFS(NewEmisData!I:I, NewEmisData!$A:$A, $G112, NewEmisData!$B:$B, $A112, NewEmisData!$C:$C, $H112, NewEmisData!$D:$D, Y$6)</f>
        <v>1.9058529098653401</v>
      </c>
      <c r="Z112" s="1111">
        <f>SUMIFS(NewEmisData!J:J, NewEmisData!$A:$A, $G112, NewEmisData!$B:$B, $A112, NewEmisData!$C:$C, $H112, NewEmisData!$D:$D, Z$6)</f>
        <v>1.9715548791583399</v>
      </c>
      <c r="AA112" s="1111">
        <f>SUMIFS(NewEmisData!K:K, NewEmisData!$A:$A, $G112, NewEmisData!$B:$B, $A112, NewEmisData!$C:$C, $H112, NewEmisData!$D:$D, AA$6)</f>
        <v>1.80325718220481</v>
      </c>
      <c r="AB112" s="1111">
        <f>SUMIFS(NewEmisData!L:L, NewEmisData!$A:$A, $G112, NewEmisData!$B:$B, $A112, NewEmisData!$C:$C, $H112, NewEmisData!$D:$D, AB$6)</f>
        <v>1.80325766566259</v>
      </c>
      <c r="AC112" s="1111">
        <f>SUMIFS(NewEmisData!M:M, NewEmisData!$A:$A, $G112, NewEmisData!$B:$B, $A112, NewEmisData!$C:$C, $H112, NewEmisData!$D:$D, AC$6)</f>
        <v>1.80600275766325</v>
      </c>
      <c r="AD112" s="1111">
        <f t="shared" si="132"/>
        <v>1.80600275766325</v>
      </c>
      <c r="AE112" s="1111">
        <f t="shared" si="175"/>
        <v>7.0600558638666397E-3</v>
      </c>
      <c r="AF112" s="1111">
        <f>SUMIFS(NewEmisData!E:E, NewEmisData!$A:$A, $G112, NewEmisData!$B:$B, $A112, NewEmisData!$C:$C, $H112, NewEmisData!$D:$D, AF$6)</f>
        <v>7.0600558638666397E-3</v>
      </c>
      <c r="AG112" s="1111">
        <f>SUMIFS(NewEmisData!F:F, NewEmisData!$A:$A, $G112, NewEmisData!$B:$B, $A112, NewEmisData!$C:$C, $H112, NewEmisData!$D:$D, AG$6)</f>
        <v>7.2188807538929303E-3</v>
      </c>
      <c r="AH112" s="1111">
        <f>SUMIFS(NewEmisData!G:G, NewEmisData!$A:$A, $G112, NewEmisData!$B:$B, $A112, NewEmisData!$C:$C, $H112, NewEmisData!$D:$D, AH$6)</f>
        <v>8.9168853601401706E-3</v>
      </c>
      <c r="AI112" s="1111">
        <f>SUMIFS(NewEmisData!H:H, NewEmisData!$A:$A, $G112, NewEmisData!$B:$B, $A112, NewEmisData!$C:$C, $H112, NewEmisData!$D:$D, AI$6)</f>
        <v>8.7394055968140292E-3</v>
      </c>
      <c r="AJ112" s="1111">
        <f>SUMIFS(NewEmisData!I:I, NewEmisData!$A:$A, $G112, NewEmisData!$B:$B, $A112, NewEmisData!$C:$C, $H112, NewEmisData!$D:$D, AJ$6)</f>
        <v>8.6943184966646898E-3</v>
      </c>
      <c r="AK112" s="1111">
        <f>SUMIFS(NewEmisData!J:J, NewEmisData!$A:$A, $G112, NewEmisData!$B:$B, $A112, NewEmisData!$C:$C, $H112, NewEmisData!$D:$D, AK$6)</f>
        <v>8.6123852585138806E-3</v>
      </c>
      <c r="AL112" s="1111">
        <f>SUMIFS(NewEmisData!K:K, NewEmisData!$A:$A, $G112, NewEmisData!$B:$B, $A112, NewEmisData!$C:$C, $H112, NewEmisData!$D:$D, AL$6)</f>
        <v>8.5945646137361408E-3</v>
      </c>
      <c r="AM112" s="1111">
        <f>SUMIFS(NewEmisData!L:L, NewEmisData!$A:$A, $G112, NewEmisData!$B:$B, $A112, NewEmisData!$C:$C, $H112, NewEmisData!$D:$D, AM$6)</f>
        <v>8.5942912264795907E-3</v>
      </c>
      <c r="AN112" s="1111">
        <f>SUMIFS(NewEmisData!M:M, NewEmisData!$A:$A, $G112, NewEmisData!$B:$B, $A112, NewEmisData!$C:$C, $H112, NewEmisData!$D:$D, AN$6)</f>
        <v>8.5951166029417398E-3</v>
      </c>
      <c r="AO112" s="1111">
        <f t="shared" si="176"/>
        <v>8.5951166029417398E-3</v>
      </c>
      <c r="AP112" s="1111">
        <f t="shared" si="177"/>
        <v>0.308686971765607</v>
      </c>
      <c r="AQ112" s="1111">
        <f>SUMIFS(NewEmisData!E:E, NewEmisData!$A:$A, $G112, NewEmisData!$B:$B, $A112, NewEmisData!$C:$C, $H112, NewEmisData!$D:$D, AQ$6)</f>
        <v>0.308686971765607</v>
      </c>
      <c r="AR112" s="1111">
        <f>SUMIFS(NewEmisData!F:F, NewEmisData!$A:$A, $G112, NewEmisData!$B:$B, $A112, NewEmisData!$C:$C, $H112, NewEmisData!$D:$D, AR$6)</f>
        <v>0.3514917426559</v>
      </c>
      <c r="AS112" s="1111">
        <f>SUMIFS(NewEmisData!G:G, NewEmisData!$A:$A, $G112, NewEmisData!$B:$B, $A112, NewEmisData!$C:$C, $H112, NewEmisData!$D:$D, AS$6)</f>
        <v>0.41477994422651598</v>
      </c>
      <c r="AT112" s="1111">
        <f>SUMIFS(NewEmisData!H:H, NewEmisData!$A:$A, $G112, NewEmisData!$B:$B, $A112, NewEmisData!$C:$C, $H112, NewEmisData!$D:$D, AT$6)</f>
        <v>0.41175694437029597</v>
      </c>
      <c r="AU112" s="1111">
        <f>SUMIFS(NewEmisData!I:I, NewEmisData!$A:$A, $G112, NewEmisData!$B:$B, $A112, NewEmisData!$C:$C, $H112, NewEmisData!$D:$D, AU$6)</f>
        <v>0.41302179377238901</v>
      </c>
      <c r="AV112" s="1111">
        <f>SUMIFS(NewEmisData!J:J, NewEmisData!$A:$A, $G112, NewEmisData!$B:$B, $A112, NewEmisData!$C:$C, $H112, NewEmisData!$D:$D, AV$6)</f>
        <v>0.411506559794103</v>
      </c>
      <c r="AW112" s="1111">
        <f>SUMIFS(NewEmisData!K:K, NewEmisData!$A:$A, $G112, NewEmisData!$B:$B, $A112, NewEmisData!$C:$C, $H112, NewEmisData!$D:$D, AW$6)</f>
        <v>0.41104277522581101</v>
      </c>
      <c r="AX112" s="1111">
        <f>SUMIFS(NewEmisData!L:L, NewEmisData!$A:$A, $G112, NewEmisData!$B:$B, $A112, NewEmisData!$C:$C, $H112, NewEmisData!$D:$D, AX$6)</f>
        <v>0.41104274130226698</v>
      </c>
      <c r="AY112" s="1111">
        <f>SUMIFS(NewEmisData!M:M, NewEmisData!$A:$A, $G112, NewEmisData!$B:$B, $A112, NewEmisData!$C:$C, $H112, NewEmisData!$D:$D, AY$6)</f>
        <v>0.41112796490950498</v>
      </c>
      <c r="AZ112" s="1111">
        <f t="shared" si="178"/>
        <v>0.41112796490950498</v>
      </c>
      <c r="BA112" s="1111">
        <f t="shared" si="179"/>
        <v>8.1280068089980395E-2</v>
      </c>
      <c r="BB112" s="1111">
        <f>SUMIFS(NewEmisData!E:E, NewEmisData!$A:$A, $G112, NewEmisData!$B:$B, $A112, NewEmisData!$C:$C, $H112, NewEmisData!$D:$D, BB$6)</f>
        <v>8.1280068089980395E-2</v>
      </c>
      <c r="BC112" s="1111">
        <f>SUMIFS(NewEmisData!F:F, NewEmisData!$A:$A, $G112, NewEmisData!$B:$B, $A112, NewEmisData!$C:$C, $H112, NewEmisData!$D:$D, BC$6)</f>
        <v>0.119146422058294</v>
      </c>
      <c r="BD112" s="1111">
        <f>SUMIFS(NewEmisData!G:G, NewEmisData!$A:$A, $G112, NewEmisData!$B:$B, $A112, NewEmisData!$C:$C, $H112, NewEmisData!$D:$D, BD$6)</f>
        <v>5.78893636806442E-2</v>
      </c>
      <c r="BE112" s="1111">
        <f>SUMIFS(NewEmisData!H:H, NewEmisData!$A:$A, $G112, NewEmisData!$B:$B, $A112, NewEmisData!$C:$C, $H112, NewEmisData!$D:$D, BE$6)</f>
        <v>5.5215677186708403E-2</v>
      </c>
      <c r="BF112" s="1111">
        <f>SUMIFS(NewEmisData!I:I, NewEmisData!$A:$A, $G112, NewEmisData!$B:$B, $A112, NewEmisData!$C:$C, $H112, NewEmisData!$D:$D, BF$6)</f>
        <v>5.6334175336776801E-2</v>
      </c>
      <c r="BG112" s="1111">
        <f>SUMIFS(NewEmisData!J:J, NewEmisData!$A:$A, $G112, NewEmisData!$B:$B, $A112, NewEmisData!$C:$C, $H112, NewEmisData!$D:$D, BG$6)</f>
        <v>5.4993730550411797E-2</v>
      </c>
      <c r="BH112" s="1111">
        <f>SUMIFS(NewEmisData!K:K, NewEmisData!$A:$A, $G112, NewEmisData!$B:$B, $A112, NewEmisData!$C:$C, $H112, NewEmisData!$D:$D, BH$6)</f>
        <v>5.4583411925712401E-2</v>
      </c>
      <c r="BI112" s="1111">
        <f>SUMIFS(NewEmisData!L:L, NewEmisData!$A:$A, $G112, NewEmisData!$B:$B, $A112, NewEmisData!$C:$C, $H112, NewEmisData!$D:$D, BI$6)</f>
        <v>5.4583454840025802E-2</v>
      </c>
      <c r="BJ112" s="1111">
        <f>SUMIFS(NewEmisData!M:M, NewEmisData!$A:$A, $G112, NewEmisData!$B:$B, $A112, NewEmisData!$C:$C, $H112, NewEmisData!$D:$D, BJ$6)</f>
        <v>5.4658632223239703E-2</v>
      </c>
      <c r="BK112" s="1111">
        <f t="shared" si="180"/>
        <v>5.4658632223239703E-2</v>
      </c>
      <c r="BL112" s="1111">
        <f t="shared" si="181"/>
        <v>9.6002010924587093</v>
      </c>
      <c r="BM112" s="1111">
        <f>SUMIFS(NewEmisData!E:E, NewEmisData!$A:$A, $G112, NewEmisData!$B:$B, $A112, NewEmisData!$C:$C, $H112, NewEmisData!$D:$D, BM$6)</f>
        <v>9.6002010924587093</v>
      </c>
      <c r="BN112" s="1111">
        <f>SUMIFS(NewEmisData!F:F, NewEmisData!$A:$A, $G112, NewEmisData!$B:$B, $A112, NewEmisData!$C:$C, $H112, NewEmisData!$D:$D, BN$6)</f>
        <v>12.295523518061101</v>
      </c>
      <c r="BO112" s="1111">
        <f>SUMIFS(NewEmisData!G:G, NewEmisData!$A:$A, $G112, NewEmisData!$B:$B, $A112, NewEmisData!$C:$C, $H112, NewEmisData!$D:$D, BO$6)</f>
        <v>7.0375198956390097</v>
      </c>
      <c r="BP112" s="1111">
        <f>SUMIFS(NewEmisData!H:H, NewEmisData!$A:$A, $G112, NewEmisData!$B:$B, $A112, NewEmisData!$C:$C, $H112, NewEmisData!$D:$D, BP$6)</f>
        <v>8.2046027913723396</v>
      </c>
      <c r="BQ112" s="1111">
        <f>SUMIFS(NewEmisData!I:I, NewEmisData!$A:$A, $G112, NewEmisData!$B:$B, $A112, NewEmisData!$C:$C, $H112, NewEmisData!$D:$D, BQ$6)</f>
        <v>8.4950302260998694</v>
      </c>
      <c r="BR112" s="1111">
        <f>SUMIFS(NewEmisData!J:J, NewEmisData!$A:$A, $G112, NewEmisData!$B:$B, $A112, NewEmisData!$C:$C, $H112, NewEmisData!$D:$D, BR$6)</f>
        <v>8.2450068898439604</v>
      </c>
      <c r="BS112" s="1111">
        <f>SUMIFS(NewEmisData!K:K, NewEmisData!$A:$A, $G112, NewEmisData!$B:$B, $A112, NewEmisData!$C:$C, $H112, NewEmisData!$D:$D, BS$6)</f>
        <v>8.3127507941159706</v>
      </c>
      <c r="BT112" s="1111">
        <f>SUMIFS(NewEmisData!L:L, NewEmisData!$A:$A, $G112, NewEmisData!$B:$B, $A112, NewEmisData!$C:$C, $H112, NewEmisData!$D:$D, BT$6)</f>
        <v>8.3127918839105899</v>
      </c>
      <c r="BU112" s="1111">
        <f>SUMIFS(NewEmisData!M:M, NewEmisData!$A:$A, $G112, NewEmisData!$B:$B, $A112, NewEmisData!$C:$C, $H112, NewEmisData!$D:$D, BU$6)</f>
        <v>8.3693590724444107</v>
      </c>
      <c r="BV112" s="1111">
        <f t="shared" si="182"/>
        <v>8.3693590724444107</v>
      </c>
      <c r="BW112" s="1111">
        <f t="shared" si="183"/>
        <v>1.6758131705313</v>
      </c>
      <c r="BX112" s="1111">
        <f>SUMIFS(NewEmisData!E:E, NewEmisData!$A:$A, $G112, NewEmisData!$B:$B, $A112, NewEmisData!$C:$C, $H112, NewEmisData!$D:$D, BX$6)</f>
        <v>1.6758131705313</v>
      </c>
      <c r="BY112" s="1111">
        <f>SUMIFS(NewEmisData!F:F, NewEmisData!$A:$A, $G112, NewEmisData!$B:$B, $A112, NewEmisData!$C:$C, $H112, NewEmisData!$D:$D, BY$6)</f>
        <v>2.1481115710610101</v>
      </c>
      <c r="BZ112" s="1111">
        <f>SUMIFS(NewEmisData!G:G, NewEmisData!$A:$A, $G112, NewEmisData!$B:$B, $A112, NewEmisData!$C:$C, $H112, NewEmisData!$D:$D, BZ$6)</f>
        <v>0.473134078922954</v>
      </c>
      <c r="CA112" s="1111">
        <f>SUMIFS(NewEmisData!H:H, NewEmisData!$A:$A, $G112, NewEmisData!$B:$B, $A112, NewEmisData!$C:$C, $H112, NewEmisData!$D:$D, CA$6)</f>
        <v>0.35719325934370499</v>
      </c>
      <c r="CB112" s="1111">
        <f>SUMIFS(NewEmisData!I:I, NewEmisData!$A:$A, $G112, NewEmisData!$B:$B, $A112, NewEmisData!$C:$C, $H112, NewEmisData!$D:$D, CB$6)</f>
        <v>0.33875927128073402</v>
      </c>
      <c r="CC112" s="1111">
        <f>SUMIFS(NewEmisData!J:J, NewEmisData!$A:$A, $G112, NewEmisData!$B:$B, $A112, NewEmisData!$C:$C, $H112, NewEmisData!$D:$D, CC$6)</f>
        <v>0.32794018119465101</v>
      </c>
      <c r="CD112" s="1111">
        <f>SUMIFS(NewEmisData!K:K, NewEmisData!$A:$A, $G112, NewEmisData!$B:$B, $A112, NewEmisData!$C:$C, $H112, NewEmisData!$D:$D, CD$6)</f>
        <v>0.30584592560252699</v>
      </c>
      <c r="CE112" s="1111">
        <f>SUMIFS(NewEmisData!L:L, NewEmisData!$A:$A, $G112, NewEmisData!$B:$B, $A112, NewEmisData!$C:$C, $H112, NewEmisData!$D:$D, CE$6)</f>
        <v>0.30584880738436099</v>
      </c>
      <c r="CF112" s="1111">
        <f>SUMIFS(NewEmisData!M:M, NewEmisData!$A:$A, $G112, NewEmisData!$B:$B, $A112, NewEmisData!$C:$C, $H112, NewEmisData!$D:$D, CF$6)</f>
        <v>0.30802455669086698</v>
      </c>
      <c r="CG112" s="1111">
        <f t="shared" si="184"/>
        <v>0.30802455669086698</v>
      </c>
      <c r="CH112" s="1111">
        <f t="shared" si="185"/>
        <v>4.2670972902907597E-2</v>
      </c>
      <c r="CI112" s="1111">
        <f>SUMIFS(NewEmisData!E:E, NewEmisData!$A:$A, $G112, NewEmisData!$B:$B, $A112, NewEmisData!$C:$C, $H112, NewEmisData!$D:$D, CI$6)</f>
        <v>4.2670972902907597E-2</v>
      </c>
      <c r="CJ112" s="1111">
        <f>SUMIFS(NewEmisData!F:F, NewEmisData!$A:$A, $G112, NewEmisData!$B:$B, $A112, NewEmisData!$C:$C, $H112, NewEmisData!$D:$D, CJ$6)</f>
        <v>4.2670927259417797E-2</v>
      </c>
      <c r="CK112" s="1111">
        <f>SUMIFS(NewEmisData!G:G, NewEmisData!$A:$A, $G112, NewEmisData!$B:$B, $A112, NewEmisData!$C:$C, $H112, NewEmisData!$D:$D, CK$6)</f>
        <v>6.0175723532765499E-2</v>
      </c>
      <c r="CL112" s="1111">
        <f>SUMIFS(NewEmisData!H:H, NewEmisData!$A:$A, $G112, NewEmisData!$B:$B, $A112, NewEmisData!$C:$C, $H112, NewEmisData!$D:$D, CL$6)</f>
        <v>6.01695414399568E-2</v>
      </c>
      <c r="CM112" s="1111">
        <f>SUMIFS(NewEmisData!I:I, NewEmisData!$A:$A, $G112, NewEmisData!$B:$B, $A112, NewEmisData!$C:$C, $H112, NewEmisData!$D:$D, CM$6)</f>
        <v>6.0167450908081101E-2</v>
      </c>
      <c r="CN112" s="1111">
        <f>SUMIFS(NewEmisData!J:J, NewEmisData!$A:$A, $G112, NewEmisData!$B:$B, $A112, NewEmisData!$C:$C, $H112, NewEmisData!$D:$D, CN$6)</f>
        <v>6.0164712219486001E-2</v>
      </c>
      <c r="CO112" s="1111">
        <f>SUMIFS(NewEmisData!K:K, NewEmisData!$A:$A, $G112, NewEmisData!$B:$B, $A112, NewEmisData!$C:$C, $H112, NewEmisData!$D:$D, CO$6)</f>
        <v>6.0164240366087897E-2</v>
      </c>
      <c r="CP112" s="1111">
        <f>SUMIFS(NewEmisData!L:L, NewEmisData!$A:$A, $G112, NewEmisData!$B:$B, $A112, NewEmisData!$C:$C, $H112, NewEmisData!$D:$D, CP$6)</f>
        <v>6.0164163764798897E-2</v>
      </c>
      <c r="CQ112" s="1111">
        <f>SUMIFS(NewEmisData!M:M, NewEmisData!$A:$A, $G112, NewEmisData!$B:$B, $A112, NewEmisData!$C:$C, $H112, NewEmisData!$D:$D, CQ$6)</f>
        <v>6.0164193249358199E-2</v>
      </c>
      <c r="CR112" s="1111">
        <f t="shared" si="186"/>
        <v>6.0164193249358199E-2</v>
      </c>
      <c r="CS112" s="1111">
        <f t="shared" si="187"/>
        <v>0.183740644616634</v>
      </c>
      <c r="CT112" s="1111">
        <f>SUMIFS(NewEmisData!E:E, NewEmisData!$A:$A, $G112, NewEmisData!$B:$B, $A112, NewEmisData!$C:$C, $H112, NewEmisData!$D:$D, CT$6)</f>
        <v>0.183740644616634</v>
      </c>
      <c r="CU112" s="1111">
        <f>SUMIFS(NewEmisData!F:F, NewEmisData!$A:$A, $G112, NewEmisData!$B:$B, $A112, NewEmisData!$C:$C, $H112, NewEmisData!$D:$D, CU$6)</f>
        <v>0.16180582571136101</v>
      </c>
      <c r="CV112" s="1111">
        <f>SUMIFS(NewEmisData!G:G, NewEmisData!$A:$A, $G112, NewEmisData!$B:$B, $A112, NewEmisData!$C:$C, $H112, NewEmisData!$D:$D, CV$6)</f>
        <v>0.18955111286908199</v>
      </c>
      <c r="CW112" s="1111">
        <f>SUMIFS(NewEmisData!H:H, NewEmisData!$A:$A, $G112, NewEmisData!$B:$B, $A112, NewEmisData!$C:$C, $H112, NewEmisData!$D:$D, CW$6)</f>
        <v>0.19191147173666101</v>
      </c>
      <c r="CX112" s="1111">
        <f>SUMIFS(NewEmisData!I:I, NewEmisData!$A:$A, $G112, NewEmisData!$B:$B, $A112, NewEmisData!$C:$C, $H112, NewEmisData!$D:$D, CX$6)</f>
        <v>0.19303868220418799</v>
      </c>
      <c r="CY112" s="1111">
        <f>SUMIFS(NewEmisData!J:J, NewEmisData!$A:$A, $G112, NewEmisData!$B:$B, $A112, NewEmisData!$C:$C, $H112, NewEmisData!$D:$D, CY$6)</f>
        <v>0.19351598474610199</v>
      </c>
      <c r="CZ112" s="1111">
        <f>SUMIFS(NewEmisData!K:K, NewEmisData!$A:$A, $G112, NewEmisData!$B:$B, $A112, NewEmisData!$C:$C, $H112, NewEmisData!$D:$D, CZ$6)</f>
        <v>0.191854404911007</v>
      </c>
      <c r="DA112" s="1111">
        <f>SUMIFS(NewEmisData!L:L, NewEmisData!$A:$A, $G112, NewEmisData!$B:$B, $A112, NewEmisData!$C:$C, $H112, NewEmisData!$D:$D, DA$6)</f>
        <v>0.19185262658754099</v>
      </c>
      <c r="DB112" s="1111">
        <f>SUMIFS(NewEmisData!M:M, NewEmisData!$A:$A, $G112, NewEmisData!$B:$B, $A112, NewEmisData!$C:$C, $H112, NewEmisData!$D:$D, DB$6)</f>
        <v>0.19312216871318899</v>
      </c>
      <c r="DC112" s="1111">
        <f t="shared" si="188"/>
        <v>0.19312216871318899</v>
      </c>
      <c r="DD112" s="1111">
        <v>9.838732208669888E-3</v>
      </c>
      <c r="DE112" s="1111">
        <v>5.4030262224081206E-3</v>
      </c>
      <c r="DF112" s="1111">
        <v>1.0487650130616144E-3</v>
      </c>
      <c r="DG112" s="1111">
        <v>2.7510109386332459E-4</v>
      </c>
      <c r="DH112" s="1111">
        <v>2.5415063000549772E-4</v>
      </c>
      <c r="DI112" s="1111">
        <v>2.539715317459818E-4</v>
      </c>
      <c r="DJ112" s="1111">
        <v>2.5405818908282566E-4</v>
      </c>
      <c r="DK112" s="1111">
        <v>2.5405483284236455E-4</v>
      </c>
      <c r="DL112" s="1111">
        <v>2.541202717389235E-4</v>
      </c>
      <c r="DM112" s="1111">
        <v>2.5415899051356336E-4</v>
      </c>
      <c r="DN112" s="1111">
        <v>2.5415899051356336E-4</v>
      </c>
      <c r="DO112" s="1111">
        <v>3.9260593703563405E-2</v>
      </c>
      <c r="DP112" s="1111">
        <v>2.1413986260209197E-2</v>
      </c>
      <c r="DQ112" s="1111">
        <v>3.9500309260564132E-3</v>
      </c>
      <c r="DR112" s="1111">
        <v>9.2680125243411614E-4</v>
      </c>
      <c r="DS112" s="1111">
        <v>8.5622412783254245E-4</v>
      </c>
      <c r="DT112" s="1111">
        <v>8.5562086259629222E-4</v>
      </c>
      <c r="DU112" s="1111">
        <v>8.559127463082085E-4</v>
      </c>
      <c r="DV112" s="1111">
        <v>8.5590141612128148E-4</v>
      </c>
      <c r="DW112" s="1111">
        <v>8.5612191768918251E-4</v>
      </c>
      <c r="DX112" s="1111">
        <v>8.562523688113036E-4</v>
      </c>
      <c r="DY112" s="1111">
        <v>8.562523688113036E-4</v>
      </c>
      <c r="DZ112" s="1111">
        <f t="shared" si="189"/>
        <v>16.673115899025799</v>
      </c>
      <c r="EA112" s="1111">
        <f>SUMIFS(NewEmisData!E:E, NewEmisData!$A:$A, $G112, NewEmisData!$B:$B, $A112, NewEmisData!$C:$C, $H112, NewEmisData!$D:$D, EA$6)</f>
        <v>16.673115899025799</v>
      </c>
      <c r="EB112" s="1111">
        <f>SUMIFS(NewEmisData!F:F, NewEmisData!$A:$A, $G112, NewEmisData!$B:$B, $A112, NewEmisData!$C:$C, $H112, NewEmisData!$D:$D, EB$6)</f>
        <v>18.1238089179102</v>
      </c>
      <c r="EC112" s="1111">
        <f>SUMIFS(NewEmisData!G:G, NewEmisData!$A:$A, $G112, NewEmisData!$B:$B, $A112, NewEmisData!$C:$C, $H112, NewEmisData!$D:$D, EC$6)</f>
        <v>7.8929936267624203</v>
      </c>
      <c r="ED112" s="1111">
        <f>SUMIFS(NewEmisData!H:H, NewEmisData!$A:$A, $G112, NewEmisData!$B:$B, $A112, NewEmisData!$C:$C, $H112, NewEmisData!$D:$D, ED$6)</f>
        <v>7.3391360413522797</v>
      </c>
      <c r="EE112" s="1111">
        <f>SUMIFS(NewEmisData!I:I, NewEmisData!$A:$A, $G112, NewEmisData!$B:$B, $A112, NewEmisData!$C:$C, $H112, NewEmisData!$D:$D, EE$6)</f>
        <v>6.56449009849179</v>
      </c>
      <c r="EF112" s="1111">
        <f>SUMIFS(NewEmisData!J:J, NewEmisData!$A:$A, $G112, NewEmisData!$B:$B, $A112, NewEmisData!$C:$C, $H112, NewEmisData!$D:$D, EF$6)</f>
        <v>6.7717132351857101</v>
      </c>
      <c r="EG112" s="1111">
        <f>SUMIFS(NewEmisData!K:K, NewEmisData!$A:$A, $G112, NewEmisData!$B:$B, $A112, NewEmisData!$C:$C, $H112, NewEmisData!$D:$D, EG$6)</f>
        <v>6.3353874772199799</v>
      </c>
      <c r="EH112" s="1111">
        <f>SUMIFS(NewEmisData!L:L, NewEmisData!$A:$A, $G112, NewEmisData!$B:$B, $A112, NewEmisData!$C:$C, $H112, NewEmisData!$D:$D, EH$6)</f>
        <v>6.3354430386428602</v>
      </c>
      <c r="EI112" s="1111">
        <f>SUMIFS(NewEmisData!M:M, NewEmisData!$A:$A, $G112, NewEmisData!$B:$B, $A112, NewEmisData!$C:$C, $H112, NewEmisData!$D:$D, EI$6)</f>
        <v>6.3805145100120502</v>
      </c>
      <c r="EJ112" s="1111">
        <f t="shared" si="190"/>
        <v>6.3805145100120502</v>
      </c>
      <c r="EK112" s="1111">
        <f t="shared" si="191"/>
        <v>1404.3271128133699</v>
      </c>
      <c r="EL112" s="1111">
        <f t="shared" si="154"/>
        <v>1404.3271128133699</v>
      </c>
      <c r="EM112" s="1111">
        <f t="shared" si="155"/>
        <v>1439.6601314125801</v>
      </c>
      <c r="EN112" s="1111">
        <f t="shared" si="156"/>
        <v>1684.18271883701</v>
      </c>
      <c r="EO112" s="1111">
        <f t="shared" si="157"/>
        <v>1650.6602334367401</v>
      </c>
      <c r="EP112" s="1111">
        <f t="shared" si="158"/>
        <v>1642.1438923528999</v>
      </c>
      <c r="EQ112" s="1111">
        <f t="shared" si="159"/>
        <v>1626.66978660524</v>
      </c>
      <c r="ER112" s="1111">
        <f t="shared" si="160"/>
        <v>1623.30402513322</v>
      </c>
      <c r="ES112" s="1111">
        <f t="shared" si="161"/>
        <v>1623.2520614663099</v>
      </c>
      <c r="ET112" s="1111">
        <f t="shared" si="162"/>
        <v>1623.40710518732</v>
      </c>
      <c r="EU112" s="1111">
        <f t="shared" si="163"/>
        <v>1623.40710518732</v>
      </c>
      <c r="EV112" s="1111">
        <f t="shared" si="192"/>
        <v>8.5641579152449303</v>
      </c>
      <c r="EW112" s="1111">
        <f t="shared" si="144"/>
        <v>8.5641579152449303</v>
      </c>
      <c r="EX112" s="1111">
        <f t="shared" si="145"/>
        <v>9.6580110235574494</v>
      </c>
      <c r="EY112" s="1111">
        <f t="shared" si="146"/>
        <v>2.7867389528720699</v>
      </c>
      <c r="EZ112" s="1111">
        <f t="shared" si="147"/>
        <v>2.1696941290079601</v>
      </c>
      <c r="FA112" s="1111">
        <f t="shared" si="148"/>
        <v>1.9058529098653401</v>
      </c>
      <c r="FB112" s="1111">
        <f t="shared" si="149"/>
        <v>1.9715548791583399</v>
      </c>
      <c r="FC112" s="1111">
        <f t="shared" si="150"/>
        <v>1.80325718220481</v>
      </c>
      <c r="FD112" s="1111">
        <f t="shared" si="151"/>
        <v>1.80325766566259</v>
      </c>
      <c r="FE112" s="1111">
        <f t="shared" si="152"/>
        <v>1.80600275766325</v>
      </c>
      <c r="FF112" s="1111">
        <f t="shared" si="153"/>
        <v>1.80600275766325</v>
      </c>
      <c r="FG112" s="1111">
        <f t="shared" si="100"/>
        <v>7.0600558638666397E-3</v>
      </c>
      <c r="FH112" s="1111">
        <f t="shared" si="101"/>
        <v>7.0600558638666397E-3</v>
      </c>
      <c r="FI112" s="1111">
        <f t="shared" si="102"/>
        <v>7.2188807538929303E-3</v>
      </c>
      <c r="FJ112" s="1111">
        <f t="shared" si="103"/>
        <v>8.9168853601401706E-3</v>
      </c>
      <c r="FK112" s="1111">
        <f t="shared" si="104"/>
        <v>8.7394055968140292E-3</v>
      </c>
      <c r="FL112" s="1111">
        <f t="shared" si="105"/>
        <v>8.6943184966646898E-3</v>
      </c>
      <c r="FM112" s="1111">
        <f t="shared" si="106"/>
        <v>8.6123852585138806E-3</v>
      </c>
      <c r="FN112" s="1111">
        <f t="shared" si="107"/>
        <v>8.5945646137361408E-3</v>
      </c>
      <c r="FO112" s="1111">
        <f t="shared" si="108"/>
        <v>8.5942912264795907E-3</v>
      </c>
      <c r="FP112" s="1111">
        <f t="shared" si="109"/>
        <v>8.5951166029417398E-3</v>
      </c>
      <c r="FQ112" s="1111">
        <f t="shared" si="110"/>
        <v>8.5951166029417398E-3</v>
      </c>
      <c r="FR112" s="1111">
        <f t="shared" si="133"/>
        <v>0.308686971765607</v>
      </c>
      <c r="FS112" s="1111">
        <f t="shared" si="134"/>
        <v>0.308686971765607</v>
      </c>
      <c r="FT112" s="1111">
        <f t="shared" si="135"/>
        <v>0.3514917426559</v>
      </c>
      <c r="FU112" s="1111">
        <f t="shared" si="136"/>
        <v>0.41477994422651598</v>
      </c>
      <c r="FV112" s="1111">
        <f t="shared" si="137"/>
        <v>0.41175694437029597</v>
      </c>
      <c r="FW112" s="1111">
        <f t="shared" si="138"/>
        <v>0.41302179377238901</v>
      </c>
      <c r="FX112" s="1111">
        <f t="shared" si="139"/>
        <v>0.411506559794103</v>
      </c>
      <c r="FY112" s="1111">
        <f t="shared" si="140"/>
        <v>0.41104277522581101</v>
      </c>
      <c r="FZ112" s="1111">
        <f t="shared" si="141"/>
        <v>0.41104274130226698</v>
      </c>
      <c r="GA112" s="1111">
        <f t="shared" si="142"/>
        <v>0.41112796490950498</v>
      </c>
      <c r="GB112" s="1111">
        <f t="shared" si="143"/>
        <v>0.41112796490950498</v>
      </c>
      <c r="GC112" s="1111">
        <f t="shared" si="164"/>
        <v>8.1280068089980395E-2</v>
      </c>
      <c r="GD112" s="1111">
        <f t="shared" si="165"/>
        <v>8.1280068089980395E-2</v>
      </c>
      <c r="GE112" s="1111">
        <f t="shared" si="166"/>
        <v>0.119146422058294</v>
      </c>
      <c r="GF112" s="1111">
        <f t="shared" si="167"/>
        <v>5.78893636806442E-2</v>
      </c>
      <c r="GG112" s="1111">
        <f t="shared" si="168"/>
        <v>5.5215677186708403E-2</v>
      </c>
      <c r="GH112" s="1111">
        <f t="shared" si="169"/>
        <v>5.6334175336776801E-2</v>
      </c>
      <c r="GI112" s="1111">
        <f t="shared" si="170"/>
        <v>5.4993730550411797E-2</v>
      </c>
      <c r="GJ112" s="1111">
        <f t="shared" si="171"/>
        <v>5.4583411925712401E-2</v>
      </c>
      <c r="GK112" s="1111">
        <f t="shared" si="172"/>
        <v>5.4583454840025802E-2</v>
      </c>
      <c r="GL112" s="1111">
        <f t="shared" si="173"/>
        <v>5.4658632223239703E-2</v>
      </c>
      <c r="GM112" s="1111">
        <f t="shared" si="174"/>
        <v>5.4658632223239703E-2</v>
      </c>
    </row>
    <row r="113" spans="1:195" x14ac:dyDescent="0.2">
      <c r="A113" s="1071" t="s">
        <v>184</v>
      </c>
      <c r="B113" s="1071" t="str">
        <f>NewTech!B30</f>
        <v>TBCNGADV</v>
      </c>
      <c r="C113" s="1071" t="str">
        <f>NewTech!C30</f>
        <v>Bus, Advanced Tech CNG</v>
      </c>
      <c r="D113" s="1071" t="str">
        <f>NewTech!D30</f>
        <v>bn-vmt, bn-vmt/a</v>
      </c>
      <c r="E113" s="1071" t="str">
        <f>NewTech!E30</f>
        <v>TBCNG</v>
      </c>
      <c r="F113" s="1071" t="str">
        <f>NewTech!F30</f>
        <v>TB</v>
      </c>
      <c r="G113" s="1110" t="s">
        <v>498</v>
      </c>
      <c r="H113" s="1110" t="s">
        <v>501</v>
      </c>
      <c r="I113" s="1112">
        <v>1</v>
      </c>
      <c r="J113" s="1111" t="str">
        <f t="shared" si="37"/>
        <v>Bus-CNG</v>
      </c>
      <c r="K113" s="1111">
        <f>SUMIFS(NewEmisData!E:E, NewEmisData!$A:$A, $G113, NewEmisData!$B:$B, $A113, NewEmisData!$C:$C, $H113, NewEmisData!$D:$D, K$6)</f>
        <v>1582.4187998643499</v>
      </c>
      <c r="L113" s="1111">
        <f>SUMIFS(NewEmisData!F:F, NewEmisData!$A:$A, $G113, NewEmisData!$B:$B, $A113, NewEmisData!$C:$C, $H113, NewEmisData!$D:$D, L$6)</f>
        <v>1412.03350754338</v>
      </c>
      <c r="M113" s="1111">
        <f>SUMIFS(NewEmisData!G:G, NewEmisData!$A:$A, $G113, NewEmisData!$B:$B, $A113, NewEmisData!$C:$C, $H113, NewEmisData!$D:$D, M$6)</f>
        <v>1546.06349717532</v>
      </c>
      <c r="N113" s="1111">
        <f>SUMIFS(NewEmisData!H:H, NewEmisData!$A:$A, $G113, NewEmisData!$B:$B, $A113, NewEmisData!$C:$C, $H113, NewEmisData!$D:$D, N$6)</f>
        <v>1515.37888281612</v>
      </c>
      <c r="O113" s="1111">
        <f>SUMIFS(NewEmisData!I:I, NewEmisData!$A:$A, $G113, NewEmisData!$B:$B, $A113, NewEmisData!$C:$C, $H113, NewEmisData!$D:$D, O$6)</f>
        <v>1507.61251127639</v>
      </c>
      <c r="P113" s="1111">
        <f>SUMIFS(NewEmisData!J:J, NewEmisData!$A:$A, $G113, NewEmisData!$B:$B, $A113, NewEmisData!$C:$C, $H113, NewEmisData!$D:$D, P$6)</f>
        <v>1493.3470009960599</v>
      </c>
      <c r="Q113" s="1111">
        <f>SUMIFS(NewEmisData!K:K, NewEmisData!$A:$A, $G113, NewEmisData!$B:$B, $A113, NewEmisData!$C:$C, $H113, NewEmisData!$D:$D, Q$6)</f>
        <v>1489.9863533868299</v>
      </c>
      <c r="R113" s="1111">
        <f>SUMIFS(NewEmisData!L:L, NewEmisData!$A:$A, $G113, NewEmisData!$B:$B, $A113, NewEmisData!$C:$C, $H113, NewEmisData!$D:$D, R$6)</f>
        <v>1489.9398704633099</v>
      </c>
      <c r="S113" s="1111">
        <f>SUMIFS(NewEmisData!M:M, NewEmisData!$A:$A, $G113, NewEmisData!$B:$B, $A113, NewEmisData!$C:$C, $H113, NewEmisData!$D:$D, S$6)</f>
        <v>1490.25622635268</v>
      </c>
      <c r="T113" s="1111">
        <f t="shared" si="131"/>
        <v>1490.25622635268</v>
      </c>
      <c r="U113" s="1111">
        <f>SUMIFS(NewEmisData!E:E, NewEmisData!$A:$A, $G113, NewEmisData!$B:$B, $A113, NewEmisData!$C:$C, $H113, NewEmisData!$D:$D, U$6)</f>
        <v>13.9864690314122</v>
      </c>
      <c r="V113" s="1111">
        <f>SUMIFS(NewEmisData!F:F, NewEmisData!$A:$A, $G113, NewEmisData!$B:$B, $A113, NewEmisData!$C:$C, $H113, NewEmisData!$D:$D, V$6)</f>
        <v>8.6222310446848205</v>
      </c>
      <c r="W113" s="1111">
        <f>SUMIFS(NewEmisData!G:G, NewEmisData!$A:$A, $G113, NewEmisData!$B:$B, $A113, NewEmisData!$C:$C, $H113, NewEmisData!$D:$D, W$6)</f>
        <v>2.6611271470383202</v>
      </c>
      <c r="X113" s="1111">
        <f>SUMIFS(NewEmisData!H:H, NewEmisData!$A:$A, $G113, NewEmisData!$B:$B, $A113, NewEmisData!$C:$C, $H113, NewEmisData!$D:$D, X$6)</f>
        <v>2.0703098620271998</v>
      </c>
      <c r="Y113" s="1111">
        <f>SUMIFS(NewEmisData!I:I, NewEmisData!$A:$A, $G113, NewEmisData!$B:$B, $A113, NewEmisData!$C:$C, $H113, NewEmisData!$D:$D, Y$6)</f>
        <v>1.8197121469984701</v>
      </c>
      <c r="Z113" s="1111">
        <f>SUMIFS(NewEmisData!J:J, NewEmisData!$A:$A, $G113, NewEmisData!$B:$B, $A113, NewEmisData!$C:$C, $H113, NewEmisData!$D:$D, Z$6)</f>
        <v>1.8815055816456701</v>
      </c>
      <c r="AA113" s="1111">
        <f>SUMIFS(NewEmisData!K:K, NewEmisData!$A:$A, $G113, NewEmisData!$B:$B, $A113, NewEmisData!$C:$C, $H113, NewEmisData!$D:$D, AA$6)</f>
        <v>1.72120836005601</v>
      </c>
      <c r="AB113" s="1111">
        <f>SUMIFS(NewEmisData!L:L, NewEmisData!$A:$A, $G113, NewEmisData!$B:$B, $A113, NewEmisData!$C:$C, $H113, NewEmisData!$D:$D, AB$6)</f>
        <v>1.72121053061929</v>
      </c>
      <c r="AC113" s="1111">
        <f>SUMIFS(NewEmisData!M:M, NewEmisData!$A:$A, $G113, NewEmisData!$B:$B, $A113, NewEmisData!$C:$C, $H113, NewEmisData!$D:$D, AC$6)</f>
        <v>1.72375209093524</v>
      </c>
      <c r="AD113" s="1111">
        <f t="shared" si="132"/>
        <v>1.72375209093524</v>
      </c>
      <c r="AE113" s="1111">
        <f t="shared" si="175"/>
        <v>7.7542415434254403E-3</v>
      </c>
      <c r="AF113" s="1111">
        <f>SUMIFS(NewEmisData!E:E, NewEmisData!$A:$A, $G113, NewEmisData!$B:$B, $A113, NewEmisData!$C:$C, $H113, NewEmisData!$D:$D, AF$6)</f>
        <v>7.7542415434254403E-3</v>
      </c>
      <c r="AG113" s="1111">
        <f>SUMIFS(NewEmisData!F:F, NewEmisData!$A:$A, $G113, NewEmisData!$B:$B, $A113, NewEmisData!$C:$C, $H113, NewEmisData!$D:$D, AG$6)</f>
        <v>7.0025604799103603E-3</v>
      </c>
      <c r="AH113" s="1111">
        <f>SUMIFS(NewEmisData!G:G, NewEmisData!$A:$A, $G113, NewEmisData!$B:$B, $A113, NewEmisData!$C:$C, $H113, NewEmisData!$D:$D, AH$6)</f>
        <v>8.1856191975243908E-3</v>
      </c>
      <c r="AI113" s="1111">
        <f>SUMIFS(NewEmisData!H:H, NewEmisData!$A:$A, $G113, NewEmisData!$B:$B, $A113, NewEmisData!$C:$C, $H113, NewEmisData!$D:$D, AI$6)</f>
        <v>8.0231652001578006E-3</v>
      </c>
      <c r="AJ113" s="1111">
        <f>SUMIFS(NewEmisData!I:I, NewEmisData!$A:$A, $G113, NewEmisData!$B:$B, $A113, NewEmisData!$C:$C, $H113, NewEmisData!$D:$D, AJ$6)</f>
        <v>7.9820372345914808E-3</v>
      </c>
      <c r="AK113" s="1111">
        <f>SUMIFS(NewEmisData!J:J, NewEmisData!$A:$A, $G113, NewEmisData!$B:$B, $A113, NewEmisData!$C:$C, $H113, NewEmisData!$D:$D, AK$6)</f>
        <v>7.9065086361542296E-3</v>
      </c>
      <c r="AL113" s="1111">
        <f>SUMIFS(NewEmisData!K:K, NewEmisData!$A:$A, $G113, NewEmisData!$B:$B, $A113, NewEmisData!$C:$C, $H113, NewEmisData!$D:$D, AL$6)</f>
        <v>7.8887206920964792E-3</v>
      </c>
      <c r="AM113" s="1111">
        <f>SUMIFS(NewEmisData!L:L, NewEmisData!$A:$A, $G113, NewEmisData!$B:$B, $A113, NewEmisData!$C:$C, $H113, NewEmisData!$D:$D, AM$6)</f>
        <v>7.8884719490300206E-3</v>
      </c>
      <c r="AN113" s="1111">
        <f>SUMIFS(NewEmisData!M:M, NewEmisData!$A:$A, $G113, NewEmisData!$B:$B, $A113, NewEmisData!$C:$C, $H113, NewEmisData!$D:$D, AN$6)</f>
        <v>7.8901444470430397E-3</v>
      </c>
      <c r="AO113" s="1111">
        <f t="shared" si="176"/>
        <v>7.8901444470430397E-3</v>
      </c>
      <c r="AP113" s="1111">
        <f t="shared" si="177"/>
        <v>0.37093923028794801</v>
      </c>
      <c r="AQ113" s="1111">
        <f>SUMIFS(NewEmisData!E:E, NewEmisData!$A:$A, $G113, NewEmisData!$B:$B, $A113, NewEmisData!$C:$C, $H113, NewEmisData!$D:$D, AQ$6)</f>
        <v>0.37093923028794801</v>
      </c>
      <c r="AR113" s="1111">
        <f>SUMIFS(NewEmisData!F:F, NewEmisData!$A:$A, $G113, NewEmisData!$B:$B, $A113, NewEmisData!$C:$C, $H113, NewEmisData!$D:$D, AR$6)</f>
        <v>0.26942906985133003</v>
      </c>
      <c r="AS113" s="1111">
        <f>SUMIFS(NewEmisData!G:G, NewEmisData!$A:$A, $G113, NewEmisData!$B:$B, $A113, NewEmisData!$C:$C, $H113, NewEmisData!$D:$D, AS$6)</f>
        <v>0.31640035064412397</v>
      </c>
      <c r="AT113" s="1111">
        <f>SUMIFS(NewEmisData!H:H, NewEmisData!$A:$A, $G113, NewEmisData!$B:$B, $A113, NewEmisData!$C:$C, $H113, NewEmisData!$D:$D, AT$6)</f>
        <v>0.312988611523218</v>
      </c>
      <c r="AU113" s="1111">
        <f>SUMIFS(NewEmisData!I:I, NewEmisData!$A:$A, $G113, NewEmisData!$B:$B, $A113, NewEmisData!$C:$C, $H113, NewEmisData!$D:$D, AU$6)</f>
        <v>0.314260212084015</v>
      </c>
      <c r="AV113" s="1111">
        <f>SUMIFS(NewEmisData!J:J, NewEmisData!$A:$A, $G113, NewEmisData!$B:$B, $A113, NewEmisData!$C:$C, $H113, NewEmisData!$D:$D, AV$6)</f>
        <v>0.31268832879129399</v>
      </c>
      <c r="AW113" s="1111">
        <f>SUMIFS(NewEmisData!K:K, NewEmisData!$A:$A, $G113, NewEmisData!$B:$B, $A113, NewEmisData!$C:$C, $H113, NewEmisData!$D:$D, AW$6)</f>
        <v>0.312127508613181</v>
      </c>
      <c r="AX113" s="1111">
        <f>SUMIFS(NewEmisData!L:L, NewEmisData!$A:$A, $G113, NewEmisData!$B:$B, $A113, NewEmisData!$C:$C, $H113, NewEmisData!$D:$D, AX$6)</f>
        <v>0.31212733060652997</v>
      </c>
      <c r="AY113" s="1111">
        <f>SUMIFS(NewEmisData!M:M, NewEmisData!$A:$A, $G113, NewEmisData!$B:$B, $A113, NewEmisData!$C:$C, $H113, NewEmisData!$D:$D, AY$6)</f>
        <v>0.31221263444207797</v>
      </c>
      <c r="AZ113" s="1111">
        <f t="shared" si="178"/>
        <v>0.31221263444207797</v>
      </c>
      <c r="BA113" s="1111">
        <f t="shared" si="179"/>
        <v>0.174608341981421</v>
      </c>
      <c r="BB113" s="1111">
        <f>SUMIFS(NewEmisData!E:E, NewEmisData!$A:$A, $G113, NewEmisData!$B:$B, $A113, NewEmisData!$C:$C, $H113, NewEmisData!$D:$D, BB$6)</f>
        <v>0.174608341981421</v>
      </c>
      <c r="BC113" s="1111">
        <f>SUMIFS(NewEmisData!F:F, NewEmisData!$A:$A, $G113, NewEmisData!$B:$B, $A113, NewEmisData!$C:$C, $H113, NewEmisData!$D:$D, BC$6)</f>
        <v>8.4809909896490093E-2</v>
      </c>
      <c r="BD113" s="1111">
        <f>SUMIFS(NewEmisData!G:G, NewEmisData!$A:$A, $G113, NewEmisData!$B:$B, $A113, NewEmisData!$C:$C, $H113, NewEmisData!$D:$D, BD$6)</f>
        <v>4.5970348611854797E-2</v>
      </c>
      <c r="BE113" s="1111">
        <f>SUMIFS(NewEmisData!H:H, NewEmisData!$A:$A, $G113, NewEmisData!$B:$B, $A113, NewEmisData!$C:$C, $H113, NewEmisData!$D:$D, BE$6)</f>
        <v>4.2952507513089398E-2</v>
      </c>
      <c r="BF113" s="1111">
        <f>SUMIFS(NewEmisData!I:I, NewEmisData!$A:$A, $G113, NewEmisData!$B:$B, $A113, NewEmisData!$C:$C, $H113, NewEmisData!$D:$D, BF$6)</f>
        <v>4.4076568857239103E-2</v>
      </c>
      <c r="BG113" s="1111">
        <f>SUMIFS(NewEmisData!J:J, NewEmisData!$A:$A, $G113, NewEmisData!$B:$B, $A113, NewEmisData!$C:$C, $H113, NewEmisData!$D:$D, BG$6)</f>
        <v>4.2686220737973499E-2</v>
      </c>
      <c r="BH113" s="1111">
        <f>SUMIFS(NewEmisData!K:K, NewEmisData!$A:$A, $G113, NewEmisData!$B:$B, $A113, NewEmisData!$C:$C, $H113, NewEmisData!$D:$D, BH$6)</f>
        <v>4.2189628277317197E-2</v>
      </c>
      <c r="BI113" s="1111">
        <f>SUMIFS(NewEmisData!L:L, NewEmisData!$A:$A, $G113, NewEmisData!$B:$B, $A113, NewEmisData!$C:$C, $H113, NewEmisData!$D:$D, BI$6)</f>
        <v>4.2189715264657097E-2</v>
      </c>
      <c r="BJ113" s="1111">
        <f>SUMIFS(NewEmisData!M:M, NewEmisData!$A:$A, $G113, NewEmisData!$B:$B, $A113, NewEmisData!$C:$C, $H113, NewEmisData!$D:$D, BJ$6)</f>
        <v>4.2265205084896902E-2</v>
      </c>
      <c r="BK113" s="1111">
        <f t="shared" si="180"/>
        <v>4.2265205084896902E-2</v>
      </c>
      <c r="BL113" s="1111">
        <f t="shared" si="181"/>
        <v>22.579418641795002</v>
      </c>
      <c r="BM113" s="1111">
        <f>SUMIFS(NewEmisData!E:E, NewEmisData!$A:$A, $G113, NewEmisData!$B:$B, $A113, NewEmisData!$C:$C, $H113, NewEmisData!$D:$D, BM$6)</f>
        <v>22.579418641795002</v>
      </c>
      <c r="BN113" s="1111">
        <f>SUMIFS(NewEmisData!F:F, NewEmisData!$A:$A, $G113, NewEmisData!$B:$B, $A113, NewEmisData!$C:$C, $H113, NewEmisData!$D:$D, BN$6)</f>
        <v>9.0903852362690802</v>
      </c>
      <c r="BO113" s="1111">
        <f>SUMIFS(NewEmisData!G:G, NewEmisData!$A:$A, $G113, NewEmisData!$B:$B, $A113, NewEmisData!$C:$C, $H113, NewEmisData!$D:$D, BO$6)</f>
        <v>7.2508001242851599</v>
      </c>
      <c r="BP113" s="1111">
        <f>SUMIFS(NewEmisData!H:H, NewEmisData!$A:$A, $G113, NewEmisData!$B:$B, $A113, NewEmisData!$C:$C, $H113, NewEmisData!$D:$D, BP$6)</f>
        <v>8.3556987909824798</v>
      </c>
      <c r="BQ113" s="1111">
        <f>SUMIFS(NewEmisData!I:I, NewEmisData!$A:$A, $G113, NewEmisData!$B:$B, $A113, NewEmisData!$C:$C, $H113, NewEmisData!$D:$D, BQ$6)</f>
        <v>8.6465986366556002</v>
      </c>
      <c r="BR113" s="1111">
        <f>SUMIFS(NewEmisData!J:J, NewEmisData!$A:$A, $G113, NewEmisData!$B:$B, $A113, NewEmisData!$C:$C, $H113, NewEmisData!$D:$D, BR$6)</f>
        <v>8.4121179739218093</v>
      </c>
      <c r="BS113" s="1111">
        <f>SUMIFS(NewEmisData!K:K, NewEmisData!$A:$A, $G113, NewEmisData!$B:$B, $A113, NewEmisData!$C:$C, $H113, NewEmisData!$D:$D, BS$6)</f>
        <v>8.4583772012786298</v>
      </c>
      <c r="BT113" s="1111">
        <f>SUMIFS(NewEmisData!L:L, NewEmisData!$A:$A, $G113, NewEmisData!$B:$B, $A113, NewEmisData!$C:$C, $H113, NewEmisData!$D:$D, BT$6)</f>
        <v>8.4584037451519194</v>
      </c>
      <c r="BU113" s="1111">
        <f>SUMIFS(NewEmisData!M:M, NewEmisData!$A:$A, $G113, NewEmisData!$B:$B, $A113, NewEmisData!$C:$C, $H113, NewEmisData!$D:$D, BU$6)</f>
        <v>8.5248446231051407</v>
      </c>
      <c r="BV113" s="1111">
        <f t="shared" si="182"/>
        <v>8.5248446231051407</v>
      </c>
      <c r="BW113" s="1111">
        <f t="shared" si="183"/>
        <v>3.2512109288213198</v>
      </c>
      <c r="BX113" s="1111">
        <f>SUMIFS(NewEmisData!E:E, NewEmisData!$A:$A, $G113, NewEmisData!$B:$B, $A113, NewEmisData!$C:$C, $H113, NewEmisData!$D:$D, BX$6)</f>
        <v>3.2512109288213198</v>
      </c>
      <c r="BY113" s="1111">
        <f>SUMIFS(NewEmisData!F:F, NewEmisData!$A:$A, $G113, NewEmisData!$B:$B, $A113, NewEmisData!$C:$C, $H113, NewEmisData!$D:$D, BY$6)</f>
        <v>1.6109199205326501</v>
      </c>
      <c r="BZ113" s="1111">
        <f>SUMIFS(NewEmisData!G:G, NewEmisData!$A:$A, $G113, NewEmisData!$B:$B, $A113, NewEmisData!$C:$C, $H113, NewEmisData!$D:$D, BZ$6)</f>
        <v>0.37737454157685102</v>
      </c>
      <c r="CA113" s="1111">
        <f>SUMIFS(NewEmisData!H:H, NewEmisData!$A:$A, $G113, NewEmisData!$B:$B, $A113, NewEmisData!$C:$C, $H113, NewEmisData!$D:$D, CA$6)</f>
        <v>0.28217670263127098</v>
      </c>
      <c r="CB113" s="1111">
        <f>SUMIFS(NewEmisData!I:I, NewEmisData!$A:$A, $G113, NewEmisData!$B:$B, $A113, NewEmisData!$C:$C, $H113, NewEmisData!$D:$D, CB$6)</f>
        <v>0.27024110048467198</v>
      </c>
      <c r="CC113" s="1111">
        <f>SUMIFS(NewEmisData!J:J, NewEmisData!$A:$A, $G113, NewEmisData!$B:$B, $A113, NewEmisData!$C:$C, $H113, NewEmisData!$D:$D, CC$6)</f>
        <v>0.25937246400036401</v>
      </c>
      <c r="CD113" s="1111">
        <f>SUMIFS(NewEmisData!K:K, NewEmisData!$A:$A, $G113, NewEmisData!$B:$B, $A113, NewEmisData!$C:$C, $H113, NewEmisData!$D:$D, CD$6)</f>
        <v>0.24206727844256201</v>
      </c>
      <c r="CE113" s="1111">
        <f>SUMIFS(NewEmisData!L:L, NewEmisData!$A:$A, $G113, NewEmisData!$B:$B, $A113, NewEmisData!$C:$C, $H113, NewEmisData!$D:$D, CE$6)</f>
        <v>0.24206948212867599</v>
      </c>
      <c r="CF113" s="1111">
        <f>SUMIFS(NewEmisData!M:M, NewEmisData!$A:$A, $G113, NewEmisData!$B:$B, $A113, NewEmisData!$C:$C, $H113, NewEmisData!$D:$D, CF$6)</f>
        <v>0.24378472910784699</v>
      </c>
      <c r="CG113" s="1111">
        <f t="shared" si="184"/>
        <v>0.24378472910784699</v>
      </c>
      <c r="CH113" s="1111">
        <f t="shared" si="185"/>
        <v>4.2098933652771502E-2</v>
      </c>
      <c r="CI113" s="1111">
        <f>SUMIFS(NewEmisData!E:E, NewEmisData!$A:$A, $G113, NewEmisData!$B:$B, $A113, NewEmisData!$C:$C, $H113, NewEmisData!$D:$D, CI$6)</f>
        <v>4.2098933652771502E-2</v>
      </c>
      <c r="CJ113" s="1111">
        <f>SUMIFS(NewEmisData!F:F, NewEmisData!$A:$A, $G113, NewEmisData!$B:$B, $A113, NewEmisData!$C:$C, $H113, NewEmisData!$D:$D, CJ$6)</f>
        <v>4.2098570742761299E-2</v>
      </c>
      <c r="CK113" s="1111">
        <f>SUMIFS(NewEmisData!G:G, NewEmisData!$A:$A, $G113, NewEmisData!$B:$B, $A113, NewEmisData!$C:$C, $H113, NewEmisData!$D:$D, CK$6)</f>
        <v>5.3159719402687697E-2</v>
      </c>
      <c r="CL113" s="1111">
        <f>SUMIFS(NewEmisData!H:H, NewEmisData!$A:$A, $G113, NewEmisData!$B:$B, $A113, NewEmisData!$C:$C, $H113, NewEmisData!$D:$D, CL$6)</f>
        <v>5.3149739963877903E-2</v>
      </c>
      <c r="CM113" s="1111">
        <f>SUMIFS(NewEmisData!I:I, NewEmisData!$A:$A, $G113, NewEmisData!$B:$B, $A113, NewEmisData!$C:$C, $H113, NewEmisData!$D:$D, CM$6)</f>
        <v>5.3146224692601898E-2</v>
      </c>
      <c r="CN113" s="1111">
        <f>SUMIFS(NewEmisData!J:J, NewEmisData!$A:$A, $G113, NewEmisData!$B:$B, $A113, NewEmisData!$C:$C, $H113, NewEmisData!$D:$D, CN$6)</f>
        <v>5.3141799371229599E-2</v>
      </c>
      <c r="CO113" s="1111">
        <f>SUMIFS(NewEmisData!K:K, NewEmisData!$A:$A, $G113, NewEmisData!$B:$B, $A113, NewEmisData!$C:$C, $H113, NewEmisData!$D:$D, CO$6)</f>
        <v>5.3140820474749002E-2</v>
      </c>
      <c r="CP113" s="1111">
        <f>SUMIFS(NewEmisData!L:L, NewEmisData!$A:$A, $G113, NewEmisData!$B:$B, $A113, NewEmisData!$C:$C, $H113, NewEmisData!$D:$D, CP$6)</f>
        <v>5.3140854292493003E-2</v>
      </c>
      <c r="CQ113" s="1111">
        <f>SUMIFS(NewEmisData!M:M, NewEmisData!$A:$A, $G113, NewEmisData!$B:$B, $A113, NewEmisData!$C:$C, $H113, NewEmisData!$D:$D, CQ$6)</f>
        <v>5.3140835802365199E-2</v>
      </c>
      <c r="CR113" s="1111">
        <f t="shared" si="186"/>
        <v>5.3140835802365199E-2</v>
      </c>
      <c r="CS113" s="1111">
        <f t="shared" si="187"/>
        <v>8.8574444131497496E-2</v>
      </c>
      <c r="CT113" s="1111">
        <f>SUMIFS(NewEmisData!E:E, NewEmisData!$A:$A, $G113, NewEmisData!$B:$B, $A113, NewEmisData!$C:$C, $H113, NewEmisData!$D:$D, CT$6)</f>
        <v>8.8574444131497496E-2</v>
      </c>
      <c r="CU113" s="1111">
        <f>SUMIFS(NewEmisData!F:F, NewEmisData!$A:$A, $G113, NewEmisData!$B:$B, $A113, NewEmisData!$C:$C, $H113, NewEmisData!$D:$D, CU$6)</f>
        <v>0.158338957178361</v>
      </c>
      <c r="CV113" s="1111">
        <f>SUMIFS(NewEmisData!G:G, NewEmisData!$A:$A, $G113, NewEmisData!$B:$B, $A113, NewEmisData!$C:$C, $H113, NewEmisData!$D:$D, CV$6)</f>
        <v>0.22076039280896301</v>
      </c>
      <c r="CW113" s="1111">
        <f>SUMIFS(NewEmisData!H:H, NewEmisData!$A:$A, $G113, NewEmisData!$B:$B, $A113, NewEmisData!$C:$C, $H113, NewEmisData!$D:$D, CW$6)</f>
        <v>0.22567553296085399</v>
      </c>
      <c r="CX113" s="1111">
        <f>SUMIFS(NewEmisData!I:I, NewEmisData!$A:$A, $G113, NewEmisData!$B:$B, $A113, NewEmisData!$C:$C, $H113, NewEmisData!$D:$D, CX$6)</f>
        <v>0.22802236468630799</v>
      </c>
      <c r="CY113" s="1111">
        <f>SUMIFS(NewEmisData!J:J, NewEmisData!$A:$A, $G113, NewEmisData!$B:$B, $A113, NewEmisData!$C:$C, $H113, NewEmisData!$D:$D, CY$6)</f>
        <v>0.22901609159938899</v>
      </c>
      <c r="CZ113" s="1111">
        <f>SUMIFS(NewEmisData!K:K, NewEmisData!$A:$A, $G113, NewEmisData!$B:$B, $A113, NewEmisData!$C:$C, $H113, NewEmisData!$D:$D, CZ$6)</f>
        <v>0.22555616451962901</v>
      </c>
      <c r="DA113" s="1111">
        <f>SUMIFS(NewEmisData!L:L, NewEmisData!$A:$A, $G113, NewEmisData!$B:$B, $A113, NewEmisData!$C:$C, $H113, NewEmisData!$D:$D, DA$6)</f>
        <v>0.22555300582847901</v>
      </c>
      <c r="DB113" s="1111">
        <f>SUMIFS(NewEmisData!M:M, NewEmisData!$A:$A, $G113, NewEmisData!$B:$B, $A113, NewEmisData!$C:$C, $H113, NewEmisData!$D:$D, DB$6)</f>
        <v>0.22819598441319699</v>
      </c>
      <c r="DC113" s="1111">
        <f t="shared" si="188"/>
        <v>0.22819598441319699</v>
      </c>
      <c r="DD113" s="1111"/>
      <c r="DE113" s="1111"/>
      <c r="DF113" s="1111"/>
      <c r="DG113" s="1111"/>
      <c r="DH113" s="1111"/>
      <c r="DI113" s="1111"/>
      <c r="DJ113" s="1111"/>
      <c r="DK113" s="1111"/>
      <c r="DL113" s="1111"/>
      <c r="DM113" s="1111"/>
      <c r="DN113" s="1111"/>
      <c r="DO113" s="1111"/>
      <c r="DP113" s="1111"/>
      <c r="DQ113" s="1111"/>
      <c r="DR113" s="1111"/>
      <c r="DS113" s="1111"/>
      <c r="DT113" s="1111"/>
      <c r="DU113" s="1111"/>
      <c r="DV113" s="1111"/>
      <c r="DW113" s="1111"/>
      <c r="DX113" s="1111"/>
      <c r="DY113" s="1111"/>
      <c r="DZ113" s="1111">
        <f t="shared" si="189"/>
        <v>21.479908688362801</v>
      </c>
      <c r="EA113" s="1111">
        <f>SUMIFS(NewEmisData!E:E, NewEmisData!$A:$A, $G113, NewEmisData!$B:$B, $A113, NewEmisData!$C:$C, $H113, NewEmisData!$D:$D, EA$6)</f>
        <v>21.479908688362801</v>
      </c>
      <c r="EB113" s="1111">
        <f>SUMIFS(NewEmisData!F:F, NewEmisData!$A:$A, $G113, NewEmisData!$B:$B, $A113, NewEmisData!$C:$C, $H113, NewEmisData!$D:$D, EB$6)</f>
        <v>14.1899393572135</v>
      </c>
      <c r="EC113" s="1111">
        <f>SUMIFS(NewEmisData!G:G, NewEmisData!$A:$A, $G113, NewEmisData!$B:$B, $A113, NewEmisData!$C:$C, $H113, NewEmisData!$D:$D, EC$6)</f>
        <v>6.2647803145334597</v>
      </c>
      <c r="ED113" s="1111">
        <f>SUMIFS(NewEmisData!H:H, NewEmisData!$A:$A, $G113, NewEmisData!$B:$B, $A113, NewEmisData!$C:$C, $H113, NewEmisData!$D:$D, ED$6)</f>
        <v>5.7979869012644301</v>
      </c>
      <c r="EE113" s="1111">
        <f>SUMIFS(NewEmisData!I:I, NewEmisData!$A:$A, $G113, NewEmisData!$B:$B, $A113, NewEmisData!$C:$C, $H113, NewEmisData!$D:$D, EE$6)</f>
        <v>5.20919501649339</v>
      </c>
      <c r="EF113" s="1111">
        <f>SUMIFS(NewEmisData!J:J, NewEmisData!$A:$A, $G113, NewEmisData!$B:$B, $A113, NewEmisData!$C:$C, $H113, NewEmisData!$D:$D, EF$6)</f>
        <v>5.35594752180626</v>
      </c>
      <c r="EG113" s="1111">
        <f>SUMIFS(NewEmisData!K:K, NewEmisData!$A:$A, $G113, NewEmisData!$B:$B, $A113, NewEmisData!$C:$C, $H113, NewEmisData!$D:$D, EG$6)</f>
        <v>5.0142547371903996</v>
      </c>
      <c r="EH113" s="1111">
        <f>SUMIFS(NewEmisData!L:L, NewEmisData!$A:$A, $G113, NewEmisData!$B:$B, $A113, NewEmisData!$C:$C, $H113, NewEmisData!$D:$D, EH$6)</f>
        <v>5.01430209801104</v>
      </c>
      <c r="EI113" s="1111">
        <f>SUMIFS(NewEmisData!M:M, NewEmisData!$A:$A, $G113, NewEmisData!$B:$B, $A113, NewEmisData!$C:$C, $H113, NewEmisData!$D:$D, EI$6)</f>
        <v>5.0498323593708303</v>
      </c>
      <c r="EJ113" s="1111">
        <f t="shared" si="190"/>
        <v>5.0498323593708303</v>
      </c>
      <c r="EK113" s="1111">
        <f t="shared" si="191"/>
        <v>1582.4187998643499</v>
      </c>
      <c r="EL113" s="1111">
        <f t="shared" si="154"/>
        <v>1582.4187998643499</v>
      </c>
      <c r="EM113" s="1111">
        <f t="shared" si="155"/>
        <v>1412.03350754338</v>
      </c>
      <c r="EN113" s="1111">
        <f t="shared" si="156"/>
        <v>1546.06349717532</v>
      </c>
      <c r="EO113" s="1111">
        <f t="shared" si="157"/>
        <v>1515.37888281612</v>
      </c>
      <c r="EP113" s="1111">
        <f t="shared" si="158"/>
        <v>1507.61251127639</v>
      </c>
      <c r="EQ113" s="1111">
        <f t="shared" si="159"/>
        <v>1493.3470009960599</v>
      </c>
      <c r="ER113" s="1111">
        <f t="shared" si="160"/>
        <v>1489.9863533868299</v>
      </c>
      <c r="ES113" s="1111">
        <f t="shared" si="161"/>
        <v>1489.9398704633099</v>
      </c>
      <c r="ET113" s="1111">
        <f t="shared" si="162"/>
        <v>1490.25622635268</v>
      </c>
      <c r="EU113" s="1111">
        <f t="shared" si="163"/>
        <v>1490.25622635268</v>
      </c>
      <c r="EV113" s="1111">
        <f t="shared" si="192"/>
        <v>13.9864690314122</v>
      </c>
      <c r="EW113" s="1111">
        <f t="shared" si="144"/>
        <v>13.9864690314122</v>
      </c>
      <c r="EX113" s="1111">
        <f t="shared" si="145"/>
        <v>8.6222310446848205</v>
      </c>
      <c r="EY113" s="1111">
        <f t="shared" si="146"/>
        <v>2.6611271470383202</v>
      </c>
      <c r="EZ113" s="1111">
        <f t="shared" si="147"/>
        <v>2.0703098620271998</v>
      </c>
      <c r="FA113" s="1111">
        <f t="shared" si="148"/>
        <v>1.8197121469984701</v>
      </c>
      <c r="FB113" s="1111">
        <f t="shared" si="149"/>
        <v>1.8815055816456701</v>
      </c>
      <c r="FC113" s="1111">
        <f t="shared" si="150"/>
        <v>1.72120836005601</v>
      </c>
      <c r="FD113" s="1111">
        <f t="shared" si="151"/>
        <v>1.72121053061929</v>
      </c>
      <c r="FE113" s="1111">
        <f t="shared" si="152"/>
        <v>1.72375209093524</v>
      </c>
      <c r="FF113" s="1111">
        <f t="shared" si="153"/>
        <v>1.72375209093524</v>
      </c>
      <c r="FG113" s="1111">
        <f t="shared" si="100"/>
        <v>7.7542415434254403E-3</v>
      </c>
      <c r="FH113" s="1111">
        <f t="shared" si="101"/>
        <v>7.7542415434254403E-3</v>
      </c>
      <c r="FI113" s="1111">
        <f t="shared" si="102"/>
        <v>7.0025604799103603E-3</v>
      </c>
      <c r="FJ113" s="1111">
        <f t="shared" si="103"/>
        <v>8.1856191975243908E-3</v>
      </c>
      <c r="FK113" s="1111">
        <f t="shared" si="104"/>
        <v>8.0231652001578006E-3</v>
      </c>
      <c r="FL113" s="1111">
        <f t="shared" si="105"/>
        <v>7.9820372345914808E-3</v>
      </c>
      <c r="FM113" s="1111">
        <f t="shared" si="106"/>
        <v>7.9065086361542296E-3</v>
      </c>
      <c r="FN113" s="1111">
        <f t="shared" si="107"/>
        <v>7.8887206920964792E-3</v>
      </c>
      <c r="FO113" s="1111">
        <f t="shared" si="108"/>
        <v>7.8884719490300206E-3</v>
      </c>
      <c r="FP113" s="1111">
        <f t="shared" si="109"/>
        <v>7.8901444470430397E-3</v>
      </c>
      <c r="FQ113" s="1111">
        <f t="shared" si="110"/>
        <v>7.8901444470430397E-3</v>
      </c>
      <c r="FR113" s="1111">
        <f t="shared" si="133"/>
        <v>0.37093923028794801</v>
      </c>
      <c r="FS113" s="1111">
        <f t="shared" si="134"/>
        <v>0.37093923028794801</v>
      </c>
      <c r="FT113" s="1111">
        <f t="shared" si="135"/>
        <v>0.26942906985133003</v>
      </c>
      <c r="FU113" s="1111">
        <f t="shared" si="136"/>
        <v>0.31640035064412397</v>
      </c>
      <c r="FV113" s="1111">
        <f t="shared" si="137"/>
        <v>0.312988611523218</v>
      </c>
      <c r="FW113" s="1111">
        <f t="shared" si="138"/>
        <v>0.314260212084015</v>
      </c>
      <c r="FX113" s="1111">
        <f t="shared" si="139"/>
        <v>0.31268832879129399</v>
      </c>
      <c r="FY113" s="1111">
        <f t="shared" si="140"/>
        <v>0.312127508613181</v>
      </c>
      <c r="FZ113" s="1111">
        <f t="shared" si="141"/>
        <v>0.31212733060652997</v>
      </c>
      <c r="GA113" s="1111">
        <f t="shared" si="142"/>
        <v>0.31221263444207797</v>
      </c>
      <c r="GB113" s="1111">
        <f t="shared" si="143"/>
        <v>0.31221263444207797</v>
      </c>
      <c r="GC113" s="1111">
        <f t="shared" si="164"/>
        <v>0.174608341981421</v>
      </c>
      <c r="GD113" s="1111">
        <f t="shared" si="165"/>
        <v>0.174608341981421</v>
      </c>
      <c r="GE113" s="1111">
        <f t="shared" si="166"/>
        <v>8.4809909896490093E-2</v>
      </c>
      <c r="GF113" s="1111">
        <f t="shared" si="167"/>
        <v>4.5970348611854797E-2</v>
      </c>
      <c r="GG113" s="1111">
        <f t="shared" si="168"/>
        <v>4.2952507513089398E-2</v>
      </c>
      <c r="GH113" s="1111">
        <f t="shared" si="169"/>
        <v>4.4076568857239103E-2</v>
      </c>
      <c r="GI113" s="1111">
        <f t="shared" si="170"/>
        <v>4.2686220737973499E-2</v>
      </c>
      <c r="GJ113" s="1111">
        <f t="shared" si="171"/>
        <v>4.2189628277317197E-2</v>
      </c>
      <c r="GK113" s="1111">
        <f t="shared" si="172"/>
        <v>4.2189715264657097E-2</v>
      </c>
      <c r="GL113" s="1111">
        <f t="shared" si="173"/>
        <v>4.2265205084896902E-2</v>
      </c>
      <c r="GM113" s="1111">
        <f t="shared" si="174"/>
        <v>4.2265205084896902E-2</v>
      </c>
    </row>
    <row r="114" spans="1:195" x14ac:dyDescent="0.2">
      <c r="A114" s="1071" t="s">
        <v>186</v>
      </c>
      <c r="B114" s="1071" t="str">
        <f>NewTech!B30</f>
        <v>TBCNGADV</v>
      </c>
      <c r="C114" s="1071" t="str">
        <f>NewTech!C30</f>
        <v>Bus, Advanced Tech CNG</v>
      </c>
      <c r="D114" s="1071" t="str">
        <f>NewTech!D30</f>
        <v>bn-vmt, bn-vmt/a</v>
      </c>
      <c r="E114" s="1071" t="str">
        <f>NewTech!E30</f>
        <v>TBCNG</v>
      </c>
      <c r="F114" s="1071" t="str">
        <f>NewTech!F30</f>
        <v>TB</v>
      </c>
      <c r="G114" s="1110" t="s">
        <v>498</v>
      </c>
      <c r="H114" s="1110" t="s">
        <v>501</v>
      </c>
      <c r="I114" s="1112">
        <v>1</v>
      </c>
      <c r="J114" s="1111" t="str">
        <f t="shared" si="37"/>
        <v>Bus-CNG</v>
      </c>
      <c r="K114" s="1111">
        <f>SUMIFS(NewEmisData!E:E, NewEmisData!$A:$A, $G114, NewEmisData!$B:$B, $A114, NewEmisData!$C:$C, $H114, NewEmisData!$D:$D, K$6)</f>
        <v>2178.9967614971001</v>
      </c>
      <c r="L114" s="1111">
        <f>SUMIFS(NewEmisData!F:F, NewEmisData!$A:$A, $G114, NewEmisData!$B:$B, $A114, NewEmisData!$C:$C, $H114, NewEmisData!$D:$D, L$6)</f>
        <v>2166.1808780169699</v>
      </c>
      <c r="M114" s="1111">
        <f>SUMIFS(NewEmisData!G:G, NewEmisData!$A:$A, $G114, NewEmisData!$B:$B, $A114, NewEmisData!$C:$C, $H114, NewEmisData!$D:$D, M$6)</f>
        <v>1829.3230538083899</v>
      </c>
      <c r="N114" s="1111">
        <f>SUMIFS(NewEmisData!H:H, NewEmisData!$A:$A, $G114, NewEmisData!$B:$B, $A114, NewEmisData!$C:$C, $H114, NewEmisData!$D:$D, N$6)</f>
        <v>1792.5465477673099</v>
      </c>
      <c r="O114" s="1111">
        <f>SUMIFS(NewEmisData!I:I, NewEmisData!$A:$A, $G114, NewEmisData!$B:$B, $A114, NewEmisData!$C:$C, $H114, NewEmisData!$D:$D, O$6)</f>
        <v>1783.15413817481</v>
      </c>
      <c r="P114" s="1111">
        <f>SUMIFS(NewEmisData!J:J, NewEmisData!$A:$A, $G114, NewEmisData!$B:$B, $A114, NewEmisData!$C:$C, $H114, NewEmisData!$D:$D, P$6)</f>
        <v>1766.2276580145201</v>
      </c>
      <c r="Q114" s="1111">
        <f>SUMIFS(NewEmisData!K:K, NewEmisData!$A:$A, $G114, NewEmisData!$B:$B, $A114, NewEmisData!$C:$C, $H114, NewEmisData!$D:$D, Q$6)</f>
        <v>1762.65639856503</v>
      </c>
      <c r="R114" s="1111">
        <f>SUMIFS(NewEmisData!L:L, NewEmisData!$A:$A, $G114, NewEmisData!$B:$B, $A114, NewEmisData!$C:$C, $H114, NewEmisData!$D:$D, R$6)</f>
        <v>1762.6002362349</v>
      </c>
      <c r="S114" s="1111">
        <f>SUMIFS(NewEmisData!M:M, NewEmisData!$A:$A, $G114, NewEmisData!$B:$B, $A114, NewEmisData!$C:$C, $H114, NewEmisData!$D:$D, S$6)</f>
        <v>1762.69221348628</v>
      </c>
      <c r="T114" s="1111">
        <f t="shared" si="131"/>
        <v>1762.69221348628</v>
      </c>
      <c r="U114" s="1111">
        <f>SUMIFS(NewEmisData!E:E, NewEmisData!$A:$A, $G114, NewEmisData!$B:$B, $A114, NewEmisData!$C:$C, $H114, NewEmisData!$D:$D, U$6)</f>
        <v>17.791352967534699</v>
      </c>
      <c r="V114" s="1111">
        <f>SUMIFS(NewEmisData!F:F, NewEmisData!$A:$A, $G114, NewEmisData!$B:$B, $A114, NewEmisData!$C:$C, $H114, NewEmisData!$D:$D, V$6)</f>
        <v>17.463111089302298</v>
      </c>
      <c r="W114" s="1111">
        <f>SUMIFS(NewEmisData!G:G, NewEmisData!$A:$A, $G114, NewEmisData!$B:$B, $A114, NewEmisData!$C:$C, $H114, NewEmisData!$D:$D, W$6)</f>
        <v>3.0267310243138001</v>
      </c>
      <c r="X114" s="1111">
        <f>SUMIFS(NewEmisData!H:H, NewEmisData!$A:$A, $G114, NewEmisData!$B:$B, $A114, NewEmisData!$C:$C, $H114, NewEmisData!$D:$D, X$6)</f>
        <v>2.3543137298168899</v>
      </c>
      <c r="Y114" s="1111">
        <f>SUMIFS(NewEmisData!I:I, NewEmisData!$A:$A, $G114, NewEmisData!$B:$B, $A114, NewEmisData!$C:$C, $H114, NewEmisData!$D:$D, Y$6)</f>
        <v>2.0699541963238501</v>
      </c>
      <c r="Z114" s="1111">
        <f>SUMIFS(NewEmisData!J:J, NewEmisData!$A:$A, $G114, NewEmisData!$B:$B, $A114, NewEmisData!$C:$C, $H114, NewEmisData!$D:$D, Z$6)</f>
        <v>2.1398645413845401</v>
      </c>
      <c r="AA114" s="1111">
        <f>SUMIFS(NewEmisData!K:K, NewEmisData!$A:$A, $G114, NewEmisData!$B:$B, $A114, NewEmisData!$C:$C, $H114, NewEmisData!$D:$D, AA$6)</f>
        <v>1.9577154303695801</v>
      </c>
      <c r="AB114" s="1111">
        <f>SUMIFS(NewEmisData!L:L, NewEmisData!$A:$A, $G114, NewEmisData!$B:$B, $A114, NewEmisData!$C:$C, $H114, NewEmisData!$D:$D, AB$6)</f>
        <v>1.9577160230270401</v>
      </c>
      <c r="AC114" s="1111">
        <f>SUMIFS(NewEmisData!M:M, NewEmisData!$A:$A, $G114, NewEmisData!$B:$B, $A114, NewEmisData!$C:$C, $H114, NewEmisData!$D:$D, AC$6)</f>
        <v>1.96058425238824</v>
      </c>
      <c r="AD114" s="1111">
        <f t="shared" si="132"/>
        <v>1.96058425238824</v>
      </c>
      <c r="AE114" s="1111">
        <f t="shared" si="175"/>
        <v>7.75878540003522E-3</v>
      </c>
      <c r="AF114" s="1111">
        <f>SUMIFS(NewEmisData!E:E, NewEmisData!$A:$A, $G114, NewEmisData!$B:$B, $A114, NewEmisData!$C:$C, $H114, NewEmisData!$D:$D, AF$6)</f>
        <v>7.75878540003522E-3</v>
      </c>
      <c r="AG114" s="1111">
        <f>SUMIFS(NewEmisData!F:F, NewEmisData!$A:$A, $G114, NewEmisData!$B:$B, $A114, NewEmisData!$C:$C, $H114, NewEmisData!$D:$D, AG$6)</f>
        <v>7.7206892950845299E-3</v>
      </c>
      <c r="AH114" s="1111">
        <f>SUMIFS(NewEmisData!G:G, NewEmisData!$A:$A, $G114, NewEmisData!$B:$B, $A114, NewEmisData!$C:$C, $H114, NewEmisData!$D:$D, AH$6)</f>
        <v>9.6853348357149507E-3</v>
      </c>
      <c r="AI114" s="1111">
        <f>SUMIFS(NewEmisData!H:H, NewEmisData!$A:$A, $G114, NewEmisData!$B:$B, $A114, NewEmisData!$C:$C, $H114, NewEmisData!$D:$D, AI$6)</f>
        <v>9.4906268999874494E-3</v>
      </c>
      <c r="AJ114" s="1111">
        <f>SUMIFS(NewEmisData!I:I, NewEmisData!$A:$A, $G114, NewEmisData!$B:$B, $A114, NewEmisData!$C:$C, $H114, NewEmisData!$D:$D, AJ$6)</f>
        <v>9.4408902403545405E-3</v>
      </c>
      <c r="AK114" s="1111">
        <f>SUMIFS(NewEmisData!J:J, NewEmisData!$A:$A, $G114, NewEmisData!$B:$B, $A114, NewEmisData!$C:$C, $H114, NewEmisData!$D:$D, AK$6)</f>
        <v>9.3512761456049798E-3</v>
      </c>
      <c r="AL114" s="1111">
        <f>SUMIFS(NewEmisData!K:K, NewEmisData!$A:$A, $G114, NewEmisData!$B:$B, $A114, NewEmisData!$C:$C, $H114, NewEmisData!$D:$D, AL$6)</f>
        <v>9.3323686977463492E-3</v>
      </c>
      <c r="AM114" s="1111">
        <f>SUMIFS(NewEmisData!L:L, NewEmisData!$A:$A, $G114, NewEmisData!$B:$B, $A114, NewEmisData!$C:$C, $H114, NewEmisData!$D:$D, AM$6)</f>
        <v>9.33206965002485E-3</v>
      </c>
      <c r="AN114" s="1111">
        <f>SUMIFS(NewEmisData!M:M, NewEmisData!$A:$A, $G114, NewEmisData!$B:$B, $A114, NewEmisData!$C:$C, $H114, NewEmisData!$D:$D, AN$6)</f>
        <v>9.3325593207045504E-3</v>
      </c>
      <c r="AO114" s="1111">
        <f t="shared" si="176"/>
        <v>9.3325593207045504E-3</v>
      </c>
      <c r="AP114" s="1111">
        <f t="shared" si="177"/>
        <v>0.56323884311686501</v>
      </c>
      <c r="AQ114" s="1111">
        <f>SUMIFS(NewEmisData!E:E, NewEmisData!$A:$A, $G114, NewEmisData!$B:$B, $A114, NewEmisData!$C:$C, $H114, NewEmisData!$D:$D, AQ$6)</f>
        <v>0.56323884311686501</v>
      </c>
      <c r="AR114" s="1111">
        <f>SUMIFS(NewEmisData!F:F, NewEmisData!$A:$A, $G114, NewEmisData!$B:$B, $A114, NewEmisData!$C:$C, $H114, NewEmisData!$D:$D, AR$6)</f>
        <v>0.65967921760836901</v>
      </c>
      <c r="AS114" s="1111">
        <f>SUMIFS(NewEmisData!G:G, NewEmisData!$A:$A, $G114, NewEmisData!$B:$B, $A114, NewEmisData!$C:$C, $H114, NewEmisData!$D:$D, AS$6)</f>
        <v>0.43849398613699297</v>
      </c>
      <c r="AT114" s="1111">
        <f>SUMIFS(NewEmisData!H:H, NewEmisData!$A:$A, $G114, NewEmisData!$B:$B, $A114, NewEmisData!$C:$C, $H114, NewEmisData!$D:$D, AT$6)</f>
        <v>0.435387742291789</v>
      </c>
      <c r="AU114" s="1111">
        <f>SUMIFS(NewEmisData!I:I, NewEmisData!$A:$A, $G114, NewEmisData!$B:$B, $A114, NewEmisData!$C:$C, $H114, NewEmisData!$D:$D, AU$6)</f>
        <v>0.43677651486407298</v>
      </c>
      <c r="AV114" s="1111">
        <f>SUMIFS(NewEmisData!J:J, NewEmisData!$A:$A, $G114, NewEmisData!$B:$B, $A114, NewEmisData!$C:$C, $H114, NewEmisData!$D:$D, AV$6)</f>
        <v>0.43514383186903999</v>
      </c>
      <c r="AW114" s="1111">
        <f>SUMIFS(NewEmisData!K:K, NewEmisData!$A:$A, $G114, NewEmisData!$B:$B, $A114, NewEmisData!$C:$C, $H114, NewEmisData!$D:$D, AW$6)</f>
        <v>0.43469575175796898</v>
      </c>
      <c r="AX114" s="1111">
        <f>SUMIFS(NewEmisData!L:L, NewEmisData!$A:$A, $G114, NewEmisData!$B:$B, $A114, NewEmisData!$C:$C, $H114, NewEmisData!$D:$D, AX$6)</f>
        <v>0.434695702864836</v>
      </c>
      <c r="AY114" s="1111">
        <f>SUMIFS(NewEmisData!M:M, NewEmisData!$A:$A, $G114, NewEmisData!$B:$B, $A114, NewEmisData!$C:$C, $H114, NewEmisData!$D:$D, AY$6)</f>
        <v>0.43478505724157201</v>
      </c>
      <c r="AZ114" s="1111">
        <f t="shared" si="178"/>
        <v>0.43478505724157201</v>
      </c>
      <c r="BA114" s="1111">
        <f t="shared" si="179"/>
        <v>0.19585131976317</v>
      </c>
      <c r="BB114" s="1111">
        <f>SUMIFS(NewEmisData!E:E, NewEmisData!$A:$A, $G114, NewEmisData!$B:$B, $A114, NewEmisData!$C:$C, $H114, NewEmisData!$D:$D, BB$6)</f>
        <v>0.19585131976317</v>
      </c>
      <c r="BC114" s="1111">
        <f>SUMIFS(NewEmisData!F:F, NewEmisData!$A:$A, $G114, NewEmisData!$B:$B, $A114, NewEmisData!$C:$C, $H114, NewEmisData!$D:$D, BC$6)</f>
        <v>0.281164327502613</v>
      </c>
      <c r="BD114" s="1111">
        <f>SUMIFS(NewEmisData!G:G, NewEmisData!$A:$A, $G114, NewEmisData!$B:$B, $A114, NewEmisData!$C:$C, $H114, NewEmisData!$D:$D, BD$6)</f>
        <v>6.1015791831846501E-2</v>
      </c>
      <c r="BE114" s="1111">
        <f>SUMIFS(NewEmisData!H:H, NewEmisData!$A:$A, $G114, NewEmisData!$B:$B, $A114, NewEmisData!$C:$C, $H114, NewEmisData!$D:$D, BE$6)</f>
        <v>5.82674541625035E-2</v>
      </c>
      <c r="BF114" s="1111">
        <f>SUMIFS(NewEmisData!I:I, NewEmisData!$A:$A, $G114, NewEmisData!$B:$B, $A114, NewEmisData!$C:$C, $H114, NewEmisData!$D:$D, BF$6)</f>
        <v>5.9496434405484099E-2</v>
      </c>
      <c r="BG114" s="1111">
        <f>SUMIFS(NewEmisData!J:J, NewEmisData!$A:$A, $G114, NewEmisData!$B:$B, $A114, NewEmisData!$C:$C, $H114, NewEmisData!$D:$D, BG$6)</f>
        <v>5.8051617759569699E-2</v>
      </c>
      <c r="BH114" s="1111">
        <f>SUMIFS(NewEmisData!K:K, NewEmisData!$A:$A, $G114, NewEmisData!$B:$B, $A114, NewEmisData!$C:$C, $H114, NewEmisData!$D:$D, BH$6)</f>
        <v>5.76550670160648E-2</v>
      </c>
      <c r="BI114" s="1111">
        <f>SUMIFS(NewEmisData!L:L, NewEmisData!$A:$A, $G114, NewEmisData!$B:$B, $A114, NewEmisData!$C:$C, $H114, NewEmisData!$D:$D, BI$6)</f>
        <v>5.7655161934684902E-2</v>
      </c>
      <c r="BJ114" s="1111">
        <f>SUMIFS(NewEmisData!M:M, NewEmisData!$A:$A, $G114, NewEmisData!$B:$B, $A114, NewEmisData!$C:$C, $H114, NewEmisData!$D:$D, BJ$6)</f>
        <v>5.7734278106753099E-2</v>
      </c>
      <c r="BK114" s="1111">
        <f t="shared" si="180"/>
        <v>5.7734278106753099E-2</v>
      </c>
      <c r="BL114" s="1111">
        <f t="shared" si="181"/>
        <v>29.4596309958273</v>
      </c>
      <c r="BM114" s="1111">
        <f>SUMIFS(NewEmisData!E:E, NewEmisData!$A:$A, $G114, NewEmisData!$B:$B, $A114, NewEmisData!$C:$C, $H114, NewEmisData!$D:$D, BM$6)</f>
        <v>29.4596309958273</v>
      </c>
      <c r="BN114" s="1111">
        <f>SUMIFS(NewEmisData!F:F, NewEmisData!$A:$A, $G114, NewEmisData!$B:$B, $A114, NewEmisData!$C:$C, $H114, NewEmisData!$D:$D, BN$6)</f>
        <v>28.621105419521001</v>
      </c>
      <c r="BO114" s="1111">
        <f>SUMIFS(NewEmisData!G:G, NewEmisData!$A:$A, $G114, NewEmisData!$B:$B, $A114, NewEmisData!$C:$C, $H114, NewEmisData!$D:$D, BO$6)</f>
        <v>7.6817855463484399</v>
      </c>
      <c r="BP114" s="1111">
        <f>SUMIFS(NewEmisData!H:H, NewEmisData!$A:$A, $G114, NewEmisData!$B:$B, $A114, NewEmisData!$C:$C, $H114, NewEmisData!$D:$D, BP$6)</f>
        <v>8.9963942727621795</v>
      </c>
      <c r="BQ114" s="1111">
        <f>SUMIFS(NewEmisData!I:I, NewEmisData!$A:$A, $G114, NewEmisData!$B:$B, $A114, NewEmisData!$C:$C, $H114, NewEmisData!$D:$D, BQ$6)</f>
        <v>9.3130254372190695</v>
      </c>
      <c r="BR114" s="1111">
        <f>SUMIFS(NewEmisData!J:J, NewEmisData!$A:$A, $G114, NewEmisData!$B:$B, $A114, NewEmisData!$C:$C, $H114, NewEmisData!$D:$D, BR$6)</f>
        <v>9.0340201312627304</v>
      </c>
      <c r="BS114" s="1111">
        <f>SUMIFS(NewEmisData!K:K, NewEmisData!$A:$A, $G114, NewEmisData!$B:$B, $A114, NewEmisData!$C:$C, $H114, NewEmisData!$D:$D, BS$6)</f>
        <v>9.1194870958021301</v>
      </c>
      <c r="BT114" s="1111">
        <f>SUMIFS(NewEmisData!L:L, NewEmisData!$A:$A, $G114, NewEmisData!$B:$B, $A114, NewEmisData!$C:$C, $H114, NewEmisData!$D:$D, BT$6)</f>
        <v>9.1195354358116791</v>
      </c>
      <c r="BU114" s="1111">
        <f>SUMIFS(NewEmisData!M:M, NewEmisData!$A:$A, $G114, NewEmisData!$B:$B, $A114, NewEmisData!$C:$C, $H114, NewEmisData!$D:$D, BU$6)</f>
        <v>9.1768688492373691</v>
      </c>
      <c r="BV114" s="1111">
        <f t="shared" si="182"/>
        <v>9.1768688492373691</v>
      </c>
      <c r="BW114" s="1111">
        <f t="shared" si="183"/>
        <v>5.0930184981446001</v>
      </c>
      <c r="BX114" s="1111">
        <f>SUMIFS(NewEmisData!E:E, NewEmisData!$A:$A, $G114, NewEmisData!$B:$B, $A114, NewEmisData!$C:$C, $H114, NewEmisData!$D:$D, BX$6)</f>
        <v>5.0930184981446001</v>
      </c>
      <c r="BY114" s="1111">
        <f>SUMIFS(NewEmisData!F:F, NewEmisData!$A:$A, $G114, NewEmisData!$B:$B, $A114, NewEmisData!$C:$C, $H114, NewEmisData!$D:$D, BY$6)</f>
        <v>5.0253358346598898</v>
      </c>
      <c r="BZ114" s="1111">
        <f>SUMIFS(NewEmisData!G:G, NewEmisData!$A:$A, $G114, NewEmisData!$B:$B, $A114, NewEmisData!$C:$C, $H114, NewEmisData!$D:$D, BZ$6)</f>
        <v>0.51405823804131701</v>
      </c>
      <c r="CA114" s="1111">
        <f>SUMIFS(NewEmisData!H:H, NewEmisData!$A:$A, $G114, NewEmisData!$B:$B, $A114, NewEmisData!$C:$C, $H114, NewEmisData!$D:$D, CA$6)</f>
        <v>0.387528613317835</v>
      </c>
      <c r="CB114" s="1111">
        <f>SUMIFS(NewEmisData!I:I, NewEmisData!$A:$A, $G114, NewEmisData!$B:$B, $A114, NewEmisData!$C:$C, $H114, NewEmisData!$D:$D, CB$6)</f>
        <v>0.36774416861611597</v>
      </c>
      <c r="CC114" s="1111">
        <f>SUMIFS(NewEmisData!J:J, NewEmisData!$A:$A, $G114, NewEmisData!$B:$B, $A114, NewEmisData!$C:$C, $H114, NewEmisData!$D:$D, CC$6)</f>
        <v>0.35572251850567799</v>
      </c>
      <c r="CD114" s="1111">
        <f>SUMIFS(NewEmisData!K:K, NewEmisData!$A:$A, $G114, NewEmisData!$B:$B, $A114, NewEmisData!$C:$C, $H114, NewEmisData!$D:$D, CD$6)</f>
        <v>0.33175379038174102</v>
      </c>
      <c r="CE114" s="1111">
        <f>SUMIFS(NewEmisData!L:L, NewEmisData!$A:$A, $G114, NewEmisData!$B:$B, $A114, NewEmisData!$C:$C, $H114, NewEmisData!$D:$D, CE$6)</f>
        <v>0.331756695076598</v>
      </c>
      <c r="CF114" s="1111">
        <f>SUMIFS(NewEmisData!M:M, NewEmisData!$A:$A, $G114, NewEmisData!$B:$B, $A114, NewEmisData!$C:$C, $H114, NewEmisData!$D:$D, CF$6)</f>
        <v>0.33409632913945803</v>
      </c>
      <c r="CG114" s="1111">
        <f t="shared" si="184"/>
        <v>0.33409632913945803</v>
      </c>
      <c r="CH114" s="1111">
        <f t="shared" si="185"/>
        <v>5.8005828223388803E-2</v>
      </c>
      <c r="CI114" s="1111">
        <f>SUMIFS(NewEmisData!E:E, NewEmisData!$A:$A, $G114, NewEmisData!$B:$B, $A114, NewEmisData!$C:$C, $H114, NewEmisData!$D:$D, CI$6)</f>
        <v>5.8005828223388803E-2</v>
      </c>
      <c r="CJ114" s="1111">
        <f>SUMIFS(NewEmisData!F:F, NewEmisData!$A:$A, $G114, NewEmisData!$B:$B, $A114, NewEmisData!$C:$C, $H114, NewEmisData!$D:$D, CJ$6)</f>
        <v>5.8005698651183601E-2</v>
      </c>
      <c r="CK114" s="1111">
        <f>SUMIFS(NewEmisData!G:G, NewEmisData!$A:$A, $G114, NewEmisData!$B:$B, $A114, NewEmisData!$C:$C, $H114, NewEmisData!$D:$D, CK$6)</f>
        <v>6.3952492241155401E-2</v>
      </c>
      <c r="CL114" s="1111">
        <f>SUMIFS(NewEmisData!H:H, NewEmisData!$A:$A, $G114, NewEmisData!$B:$B, $A114, NewEmisData!$C:$C, $H114, NewEmisData!$D:$D, CL$6)</f>
        <v>6.3946667315170597E-2</v>
      </c>
      <c r="CM114" s="1111">
        <f>SUMIFS(NewEmisData!I:I, NewEmisData!$A:$A, $G114, NewEmisData!$B:$B, $A114, NewEmisData!$C:$C, $H114, NewEmisData!$D:$D, CM$6)</f>
        <v>6.3944594731192794E-2</v>
      </c>
      <c r="CN114" s="1111">
        <f>SUMIFS(NewEmisData!J:J, NewEmisData!$A:$A, $G114, NewEmisData!$B:$B, $A114, NewEmisData!$C:$C, $H114, NewEmisData!$D:$D, CN$6)</f>
        <v>6.3942027068771501E-2</v>
      </c>
      <c r="CO114" s="1111">
        <f>SUMIFS(NewEmisData!K:K, NewEmisData!$A:$A, $G114, NewEmisData!$B:$B, $A114, NewEmisData!$C:$C, $H114, NewEmisData!$D:$D, CO$6)</f>
        <v>6.3941596803110706E-2</v>
      </c>
      <c r="CP114" s="1111">
        <f>SUMIFS(NewEmisData!L:L, NewEmisData!$A:$A, $G114, NewEmisData!$B:$B, $A114, NewEmisData!$C:$C, $H114, NewEmisData!$D:$D, CP$6)</f>
        <v>6.39415366152081E-2</v>
      </c>
      <c r="CQ114" s="1111">
        <f>SUMIFS(NewEmisData!M:M, NewEmisData!$A:$A, $G114, NewEmisData!$B:$B, $A114, NewEmisData!$C:$C, $H114, NewEmisData!$D:$D, CQ$6)</f>
        <v>6.3941512340742093E-2</v>
      </c>
      <c r="CR114" s="1111">
        <f t="shared" si="186"/>
        <v>6.3941512340742093E-2</v>
      </c>
      <c r="CS114" s="1111">
        <f t="shared" si="187"/>
        <v>0.18414442462908501</v>
      </c>
      <c r="CT114" s="1111">
        <f>SUMIFS(NewEmisData!E:E, NewEmisData!$A:$A, $G114, NewEmisData!$B:$B, $A114, NewEmisData!$C:$C, $H114, NewEmisData!$D:$D, CT$6)</f>
        <v>0.18414442462908501</v>
      </c>
      <c r="CU114" s="1111">
        <f>SUMIFS(NewEmisData!F:F, NewEmisData!$A:$A, $G114, NewEmisData!$B:$B, $A114, NewEmisData!$C:$C, $H114, NewEmisData!$D:$D, CU$6)</f>
        <v>0.19305436052488101</v>
      </c>
      <c r="CV114" s="1111">
        <f>SUMIFS(NewEmisData!G:G, NewEmisData!$A:$A, $G114, NewEmisData!$B:$B, $A114, NewEmisData!$C:$C, $H114, NewEmisData!$D:$D, CV$6)</f>
        <v>0.175367660023205</v>
      </c>
      <c r="CW114" s="1111">
        <f>SUMIFS(NewEmisData!H:H, NewEmisData!$A:$A, $G114, NewEmisData!$B:$B, $A114, NewEmisData!$C:$C, $H114, NewEmisData!$D:$D, CW$6)</f>
        <v>0.17678280347714401</v>
      </c>
      <c r="CX114" s="1111">
        <f>SUMIFS(NewEmisData!I:I, NewEmisData!$A:$A, $G114, NewEmisData!$B:$B, $A114, NewEmisData!$C:$C, $H114, NewEmisData!$D:$D, CX$6)</f>
        <v>0.17745830492190401</v>
      </c>
      <c r="CY114" s="1111">
        <f>SUMIFS(NewEmisData!J:J, NewEmisData!$A:$A, $G114, NewEmisData!$B:$B, $A114, NewEmisData!$C:$C, $H114, NewEmisData!$D:$D, CY$6)</f>
        <v>0.17774444168838499</v>
      </c>
      <c r="CZ114" s="1111">
        <f>SUMIFS(NewEmisData!K:K, NewEmisData!$A:$A, $G114, NewEmisData!$B:$B, $A114, NewEmisData!$C:$C, $H114, NewEmisData!$D:$D, CZ$6)</f>
        <v>0.17674862665267799</v>
      </c>
      <c r="DA114" s="1111">
        <f>SUMIFS(NewEmisData!L:L, NewEmisData!$A:$A, $G114, NewEmisData!$B:$B, $A114, NewEmisData!$C:$C, $H114, NewEmisData!$D:$D, DA$6)</f>
        <v>0.17674752449153799</v>
      </c>
      <c r="DB114" s="1111">
        <f>SUMIFS(NewEmisData!M:M, NewEmisData!$A:$A, $G114, NewEmisData!$B:$B, $A114, NewEmisData!$C:$C, $H114, NewEmisData!$D:$D, DB$6)</f>
        <v>0.17750838787788201</v>
      </c>
      <c r="DC114" s="1111">
        <f t="shared" si="188"/>
        <v>0.17750838787788201</v>
      </c>
      <c r="DD114" s="1111"/>
      <c r="DE114" s="1111"/>
      <c r="DF114" s="1111"/>
      <c r="DG114" s="1111"/>
      <c r="DH114" s="1111"/>
      <c r="DI114" s="1111"/>
      <c r="DJ114" s="1111"/>
      <c r="DK114" s="1111"/>
      <c r="DL114" s="1111"/>
      <c r="DM114" s="1111"/>
      <c r="DN114" s="1111"/>
      <c r="DO114" s="1111"/>
      <c r="DP114" s="1111"/>
      <c r="DQ114" s="1111"/>
      <c r="DR114" s="1111"/>
      <c r="DS114" s="1111"/>
      <c r="DT114" s="1111"/>
      <c r="DU114" s="1111"/>
      <c r="DV114" s="1111"/>
      <c r="DW114" s="1111"/>
      <c r="DX114" s="1111"/>
      <c r="DY114" s="1111"/>
      <c r="DZ114" s="1111">
        <f t="shared" si="189"/>
        <v>33.5417658414489</v>
      </c>
      <c r="EA114" s="1111">
        <f>SUMIFS(NewEmisData!E:E, NewEmisData!$A:$A, $G114, NewEmisData!$B:$B, $A114, NewEmisData!$C:$C, $H114, NewEmisData!$D:$D, EA$6)</f>
        <v>33.5417658414489</v>
      </c>
      <c r="EB114" s="1111">
        <f>SUMIFS(NewEmisData!F:F, NewEmisData!$A:$A, $G114, NewEmisData!$B:$B, $A114, NewEmisData!$C:$C, $H114, NewEmisData!$D:$D, EB$6)</f>
        <v>33.653386551914203</v>
      </c>
      <c r="EC114" s="1111">
        <f>SUMIFS(NewEmisData!G:G, NewEmisData!$A:$A, $G114, NewEmisData!$B:$B, $A114, NewEmisData!$C:$C, $H114, NewEmisData!$D:$D, EC$6)</f>
        <v>8.5715796873766799</v>
      </c>
      <c r="ED114" s="1111">
        <f>SUMIFS(NewEmisData!H:H, NewEmisData!$A:$A, $G114, NewEmisData!$B:$B, $A114, NewEmisData!$C:$C, $H114, NewEmisData!$D:$D, ED$6)</f>
        <v>7.9623983507554996</v>
      </c>
      <c r="EE114" s="1111">
        <f>SUMIFS(NewEmisData!I:I, NewEmisData!$A:$A, $G114, NewEmisData!$B:$B, $A114, NewEmisData!$C:$C, $H114, NewEmisData!$D:$D, EE$6)</f>
        <v>7.1225906928367602</v>
      </c>
      <c r="EF114" s="1111">
        <f>SUMIFS(NewEmisData!J:J, NewEmisData!$A:$A, $G114, NewEmisData!$B:$B, $A114, NewEmisData!$C:$C, $H114, NewEmisData!$D:$D, EF$6)</f>
        <v>7.3453919181039096</v>
      </c>
      <c r="EG114" s="1111">
        <f>SUMIFS(NewEmisData!K:K, NewEmisData!$A:$A, $G114, NewEmisData!$B:$B, $A114, NewEmisData!$C:$C, $H114, NewEmisData!$D:$D, EG$6)</f>
        <v>6.8720474342018099</v>
      </c>
      <c r="EH114" s="1111">
        <f>SUMIFS(NewEmisData!L:L, NewEmisData!$A:$A, $G114, NewEmisData!$B:$B, $A114, NewEmisData!$C:$C, $H114, NewEmisData!$D:$D, EH$6)</f>
        <v>6.87211109726662</v>
      </c>
      <c r="EI114" s="1111">
        <f>SUMIFS(NewEmisData!M:M, NewEmisData!$A:$A, $G114, NewEmisData!$B:$B, $A114, NewEmisData!$C:$C, $H114, NewEmisData!$D:$D, EI$6)</f>
        <v>6.9205737603502202</v>
      </c>
      <c r="EJ114" s="1111">
        <f t="shared" si="190"/>
        <v>6.9205737603502202</v>
      </c>
      <c r="EK114" s="1111">
        <f t="shared" si="191"/>
        <v>2178.9967614971001</v>
      </c>
      <c r="EL114" s="1111">
        <f t="shared" si="154"/>
        <v>2178.9967614971001</v>
      </c>
      <c r="EM114" s="1111">
        <f t="shared" si="155"/>
        <v>2166.1808780169699</v>
      </c>
      <c r="EN114" s="1111">
        <f t="shared" si="156"/>
        <v>1829.3230538083899</v>
      </c>
      <c r="EO114" s="1111">
        <f t="shared" si="157"/>
        <v>1792.5465477673099</v>
      </c>
      <c r="EP114" s="1111">
        <f t="shared" si="158"/>
        <v>1783.15413817481</v>
      </c>
      <c r="EQ114" s="1111">
        <f t="shared" si="159"/>
        <v>1766.2276580145201</v>
      </c>
      <c r="ER114" s="1111">
        <f t="shared" si="160"/>
        <v>1762.65639856503</v>
      </c>
      <c r="ES114" s="1111">
        <f t="shared" si="161"/>
        <v>1762.6002362349</v>
      </c>
      <c r="ET114" s="1111">
        <f t="shared" si="162"/>
        <v>1762.69221348628</v>
      </c>
      <c r="EU114" s="1111">
        <f t="shared" si="163"/>
        <v>1762.69221348628</v>
      </c>
      <c r="EV114" s="1111">
        <f t="shared" si="192"/>
        <v>17.791352967534699</v>
      </c>
      <c r="EW114" s="1111">
        <f t="shared" si="144"/>
        <v>17.791352967534699</v>
      </c>
      <c r="EX114" s="1111">
        <f t="shared" si="145"/>
        <v>17.463111089302298</v>
      </c>
      <c r="EY114" s="1111">
        <f t="shared" si="146"/>
        <v>3.0267310243138001</v>
      </c>
      <c r="EZ114" s="1111">
        <f t="shared" si="147"/>
        <v>2.3543137298168899</v>
      </c>
      <c r="FA114" s="1111">
        <f t="shared" si="148"/>
        <v>2.0699541963238501</v>
      </c>
      <c r="FB114" s="1111">
        <f t="shared" si="149"/>
        <v>2.1398645413845401</v>
      </c>
      <c r="FC114" s="1111">
        <f t="shared" si="150"/>
        <v>1.9577154303695801</v>
      </c>
      <c r="FD114" s="1111">
        <f t="shared" si="151"/>
        <v>1.9577160230270401</v>
      </c>
      <c r="FE114" s="1111">
        <f t="shared" si="152"/>
        <v>1.96058425238824</v>
      </c>
      <c r="FF114" s="1111">
        <f t="shared" si="153"/>
        <v>1.96058425238824</v>
      </c>
      <c r="FG114" s="1111">
        <f t="shared" si="100"/>
        <v>7.75878540003522E-3</v>
      </c>
      <c r="FH114" s="1111">
        <f t="shared" si="101"/>
        <v>7.75878540003522E-3</v>
      </c>
      <c r="FI114" s="1111">
        <f t="shared" si="102"/>
        <v>7.7206892950845299E-3</v>
      </c>
      <c r="FJ114" s="1111">
        <f t="shared" si="103"/>
        <v>9.6853348357149507E-3</v>
      </c>
      <c r="FK114" s="1111">
        <f t="shared" si="104"/>
        <v>9.4906268999874494E-3</v>
      </c>
      <c r="FL114" s="1111">
        <f t="shared" si="105"/>
        <v>9.4408902403545405E-3</v>
      </c>
      <c r="FM114" s="1111">
        <f t="shared" si="106"/>
        <v>9.3512761456049798E-3</v>
      </c>
      <c r="FN114" s="1111">
        <f t="shared" si="107"/>
        <v>9.3323686977463492E-3</v>
      </c>
      <c r="FO114" s="1111">
        <f t="shared" si="108"/>
        <v>9.33206965002485E-3</v>
      </c>
      <c r="FP114" s="1111">
        <f t="shared" si="109"/>
        <v>9.3325593207045504E-3</v>
      </c>
      <c r="FQ114" s="1111">
        <f t="shared" si="110"/>
        <v>9.3325593207045504E-3</v>
      </c>
      <c r="FR114" s="1111">
        <f t="shared" si="133"/>
        <v>0.56323884311686501</v>
      </c>
      <c r="FS114" s="1111">
        <f t="shared" si="134"/>
        <v>0.56323884311686501</v>
      </c>
      <c r="FT114" s="1111">
        <f t="shared" si="135"/>
        <v>0.65967921760836901</v>
      </c>
      <c r="FU114" s="1111">
        <f t="shared" si="136"/>
        <v>0.43849398613699297</v>
      </c>
      <c r="FV114" s="1111">
        <f t="shared" si="137"/>
        <v>0.435387742291789</v>
      </c>
      <c r="FW114" s="1111">
        <f t="shared" si="138"/>
        <v>0.43677651486407298</v>
      </c>
      <c r="FX114" s="1111">
        <f t="shared" si="139"/>
        <v>0.43514383186903999</v>
      </c>
      <c r="FY114" s="1111">
        <f t="shared" si="140"/>
        <v>0.43469575175796898</v>
      </c>
      <c r="FZ114" s="1111">
        <f t="shared" si="141"/>
        <v>0.434695702864836</v>
      </c>
      <c r="GA114" s="1111">
        <f t="shared" si="142"/>
        <v>0.43478505724157201</v>
      </c>
      <c r="GB114" s="1111">
        <f t="shared" si="143"/>
        <v>0.43478505724157201</v>
      </c>
      <c r="GC114" s="1111">
        <f t="shared" si="164"/>
        <v>0.19585131976317</v>
      </c>
      <c r="GD114" s="1111">
        <f t="shared" si="165"/>
        <v>0.19585131976317</v>
      </c>
      <c r="GE114" s="1111">
        <f t="shared" si="166"/>
        <v>0.281164327502613</v>
      </c>
      <c r="GF114" s="1111">
        <f t="shared" si="167"/>
        <v>6.1015791831846501E-2</v>
      </c>
      <c r="GG114" s="1111">
        <f t="shared" si="168"/>
        <v>5.82674541625035E-2</v>
      </c>
      <c r="GH114" s="1111">
        <f t="shared" si="169"/>
        <v>5.9496434405484099E-2</v>
      </c>
      <c r="GI114" s="1111">
        <f t="shared" si="170"/>
        <v>5.8051617759569699E-2</v>
      </c>
      <c r="GJ114" s="1111">
        <f t="shared" si="171"/>
        <v>5.76550670160648E-2</v>
      </c>
      <c r="GK114" s="1111">
        <f t="shared" si="172"/>
        <v>5.7655161934684902E-2</v>
      </c>
      <c r="GL114" s="1111">
        <f t="shared" si="173"/>
        <v>5.7734278106753099E-2</v>
      </c>
      <c r="GM114" s="1111">
        <f t="shared" si="174"/>
        <v>5.7734278106753099E-2</v>
      </c>
    </row>
    <row r="115" spans="1:195" x14ac:dyDescent="0.2">
      <c r="A115" s="1071" t="s">
        <v>188</v>
      </c>
      <c r="B115" s="1071" t="str">
        <f>NewTech!B30</f>
        <v>TBCNGADV</v>
      </c>
      <c r="C115" s="1071" t="str">
        <f>NewTech!C30</f>
        <v>Bus, Advanced Tech CNG</v>
      </c>
      <c r="D115" s="1071" t="str">
        <f>NewTech!D30</f>
        <v>bn-vmt, bn-vmt/a</v>
      </c>
      <c r="E115" s="1071" t="str">
        <f>NewTech!E30</f>
        <v>TBCNG</v>
      </c>
      <c r="F115" s="1071" t="str">
        <f>NewTech!F30</f>
        <v>TB</v>
      </c>
      <c r="G115" s="1110" t="s">
        <v>498</v>
      </c>
      <c r="H115" s="1110" t="s">
        <v>501</v>
      </c>
      <c r="I115" s="1112">
        <v>1</v>
      </c>
      <c r="J115" s="1111" t="str">
        <f t="shared" si="37"/>
        <v>Bus-CNG</v>
      </c>
      <c r="K115" s="1111">
        <f>SUMIFS(NewEmisData!E:E, NewEmisData!$A:$A, $G115, NewEmisData!$B:$B, $A115, NewEmisData!$C:$C, $H115, NewEmisData!$D:$D, K$6)</f>
        <v>1516.0926472297899</v>
      </c>
      <c r="L115" s="1111">
        <f>SUMIFS(NewEmisData!F:F, NewEmisData!$A:$A, $G115, NewEmisData!$B:$B, $A115, NewEmisData!$C:$C, $H115, NewEmisData!$D:$D, L$6)</f>
        <v>1383.7625928366399</v>
      </c>
      <c r="M115" s="1111">
        <f>SUMIFS(NewEmisData!G:G, NewEmisData!$A:$A, $G115, NewEmisData!$B:$B, $A115, NewEmisData!$C:$C, $H115, NewEmisData!$D:$D, M$6)</f>
        <v>1274.6757013323299</v>
      </c>
      <c r="N115" s="1111">
        <f>SUMIFS(NewEmisData!H:H, NewEmisData!$A:$A, $G115, NewEmisData!$B:$B, $A115, NewEmisData!$C:$C, $H115, NewEmisData!$D:$D, N$6)</f>
        <v>1248.93285879051</v>
      </c>
      <c r="O115" s="1111">
        <f>SUMIFS(NewEmisData!I:I, NewEmisData!$A:$A, $G115, NewEmisData!$B:$B, $A115, NewEmisData!$C:$C, $H115, NewEmisData!$D:$D, O$6)</f>
        <v>1242.34709692709</v>
      </c>
      <c r="P115" s="1111">
        <f>SUMIFS(NewEmisData!J:J, NewEmisData!$A:$A, $G115, NewEmisData!$B:$B, $A115, NewEmisData!$C:$C, $H115, NewEmisData!$D:$D, P$6)</f>
        <v>1230.5088675593399</v>
      </c>
      <c r="Q115" s="1111">
        <f>SUMIFS(NewEmisData!K:K, NewEmisData!$A:$A, $G115, NewEmisData!$B:$B, $A115, NewEmisData!$C:$C, $H115, NewEmisData!$D:$D, Q$6)</f>
        <v>1228.0290689091601</v>
      </c>
      <c r="R115" s="1111">
        <f>SUMIFS(NewEmisData!L:L, NewEmisData!$A:$A, $G115, NewEmisData!$B:$B, $A115, NewEmisData!$C:$C, $H115, NewEmisData!$D:$D, R$6)</f>
        <v>1227.99116763047</v>
      </c>
      <c r="S115" s="1111">
        <f>SUMIFS(NewEmisData!M:M, NewEmisData!$A:$A, $G115, NewEmisData!$B:$B, $A115, NewEmisData!$C:$C, $H115, NewEmisData!$D:$D, S$6)</f>
        <v>1228.04156212526</v>
      </c>
      <c r="T115" s="1111">
        <f t="shared" si="131"/>
        <v>1228.04156212526</v>
      </c>
      <c r="U115" s="1111">
        <f>SUMIFS(NewEmisData!E:E, NewEmisData!$A:$A, $G115, NewEmisData!$B:$B, $A115, NewEmisData!$C:$C, $H115, NewEmisData!$D:$D, U$6)</f>
        <v>11.3380018594681</v>
      </c>
      <c r="V115" s="1111">
        <f>SUMIFS(NewEmisData!F:F, NewEmisData!$A:$A, $G115, NewEmisData!$B:$B, $A115, NewEmisData!$C:$C, $H115, NewEmisData!$D:$D, V$6)</f>
        <v>4.4270777617693096</v>
      </c>
      <c r="W115" s="1111">
        <f>SUMIFS(NewEmisData!G:G, NewEmisData!$A:$A, $G115, NewEmisData!$B:$B, $A115, NewEmisData!$C:$C, $H115, NewEmisData!$D:$D, W$6)</f>
        <v>2.2851784558455002</v>
      </c>
      <c r="X115" s="1111">
        <f>SUMIFS(NewEmisData!H:H, NewEmisData!$A:$A, $G115, NewEmisData!$B:$B, $A115, NewEmisData!$C:$C, $H115, NewEmisData!$D:$D, X$6)</f>
        <v>1.77665492953008</v>
      </c>
      <c r="Y115" s="1111">
        <f>SUMIFS(NewEmisData!I:I, NewEmisData!$A:$A, $G115, NewEmisData!$B:$B, $A115, NewEmisData!$C:$C, $H115, NewEmisData!$D:$D, Y$6)</f>
        <v>1.56276598268199</v>
      </c>
      <c r="Z115" s="1111">
        <f>SUMIFS(NewEmisData!J:J, NewEmisData!$A:$A, $G115, NewEmisData!$B:$B, $A115, NewEmisData!$C:$C, $H115, NewEmisData!$D:$D, Z$6)</f>
        <v>1.6150506418937001</v>
      </c>
      <c r="AA115" s="1111">
        <f>SUMIFS(NewEmisData!K:K, NewEmisData!$A:$A, $G115, NewEmisData!$B:$B, $A115, NewEmisData!$C:$C, $H115, NewEmisData!$D:$D, AA$6)</f>
        <v>1.47779953573362</v>
      </c>
      <c r="AB115" s="1111">
        <f>SUMIFS(NewEmisData!L:L, NewEmisData!$A:$A, $G115, NewEmisData!$B:$B, $A115, NewEmisData!$C:$C, $H115, NewEmisData!$D:$D, AB$6)</f>
        <v>1.4778001363942499</v>
      </c>
      <c r="AC115" s="1111">
        <f>SUMIFS(NewEmisData!M:M, NewEmisData!$A:$A, $G115, NewEmisData!$B:$B, $A115, NewEmisData!$C:$C, $H115, NewEmisData!$D:$D, AC$6)</f>
        <v>1.47991659575059</v>
      </c>
      <c r="AD115" s="1111">
        <f t="shared" si="132"/>
        <v>1.47991659575059</v>
      </c>
      <c r="AE115" s="1111">
        <f t="shared" si="175"/>
        <v>7.4194239576110604E-3</v>
      </c>
      <c r="AF115" s="1111">
        <f>SUMIFS(NewEmisData!E:E, NewEmisData!$A:$A, $G115, NewEmisData!$B:$B, $A115, NewEmisData!$C:$C, $H115, NewEmisData!$D:$D, AF$6)</f>
        <v>7.4194239576110604E-3</v>
      </c>
      <c r="AG115" s="1111">
        <f>SUMIFS(NewEmisData!F:F, NewEmisData!$A:$A, $G115, NewEmisData!$B:$B, $A115, NewEmisData!$C:$C, $H115, NewEmisData!$D:$D, AG$6)</f>
        <v>6.7471555112269604E-3</v>
      </c>
      <c r="AH115" s="1111">
        <f>SUMIFS(NewEmisData!G:G, NewEmisData!$A:$A, $G115, NewEmisData!$B:$B, $A115, NewEmisData!$C:$C, $H115, NewEmisData!$D:$D, AH$6)</f>
        <v>6.7487595451477004E-3</v>
      </c>
      <c r="AI115" s="1111">
        <f>SUMIFS(NewEmisData!H:H, NewEmisData!$A:$A, $G115, NewEmisData!$B:$B, $A115, NewEmisData!$C:$C, $H115, NewEmisData!$D:$D, AI$6)</f>
        <v>6.6124600825725501E-3</v>
      </c>
      <c r="AJ115" s="1111">
        <f>SUMIFS(NewEmisData!I:I, NewEmisData!$A:$A, $G115, NewEmisData!$B:$B, $A115, NewEmisData!$C:$C, $H115, NewEmisData!$D:$D, AJ$6)</f>
        <v>6.5775946616658003E-3</v>
      </c>
      <c r="AK115" s="1111">
        <f>SUMIFS(NewEmisData!J:J, NewEmisData!$A:$A, $G115, NewEmisData!$B:$B, $A115, NewEmisData!$C:$C, $H115, NewEmisData!$D:$D, AK$6)</f>
        <v>6.5149161690284396E-3</v>
      </c>
      <c r="AL115" s="1111">
        <f>SUMIFS(NewEmisData!K:K, NewEmisData!$A:$A, $G115, NewEmisData!$B:$B, $A115, NewEmisData!$C:$C, $H115, NewEmisData!$D:$D, AL$6)</f>
        <v>6.5017860407342804E-3</v>
      </c>
      <c r="AM115" s="1111">
        <f>SUMIFS(NewEmisData!L:L, NewEmisData!$A:$A, $G115, NewEmisData!$B:$B, $A115, NewEmisData!$C:$C, $H115, NewEmisData!$D:$D, AM$6)</f>
        <v>6.5015847958577897E-3</v>
      </c>
      <c r="AN115" s="1111">
        <f>SUMIFS(NewEmisData!M:M, NewEmisData!$A:$A, $G115, NewEmisData!$B:$B, $A115, NewEmisData!$C:$C, $H115, NewEmisData!$D:$D, AN$6)</f>
        <v>6.5018545048176604E-3</v>
      </c>
      <c r="AO115" s="1111">
        <f t="shared" si="176"/>
        <v>6.5018545048176604E-3</v>
      </c>
      <c r="AP115" s="1111">
        <f t="shared" si="177"/>
        <v>0.35807070269459501</v>
      </c>
      <c r="AQ115" s="1111">
        <f>SUMIFS(NewEmisData!E:E, NewEmisData!$A:$A, $G115, NewEmisData!$B:$B, $A115, NewEmisData!$C:$C, $H115, NewEmisData!$D:$D, AQ$6)</f>
        <v>0.35807070269459501</v>
      </c>
      <c r="AR115" s="1111">
        <f>SUMIFS(NewEmisData!F:F, NewEmisData!$A:$A, $G115, NewEmisData!$B:$B, $A115, NewEmisData!$C:$C, $H115, NewEmisData!$D:$D, AR$6)</f>
        <v>0.28679070316507099</v>
      </c>
      <c r="AS115" s="1111">
        <f>SUMIFS(NewEmisData!G:G, NewEmisData!$A:$A, $G115, NewEmisData!$B:$B, $A115, NewEmisData!$C:$C, $H115, NewEmisData!$D:$D, AS$6)</f>
        <v>0.218906747032379</v>
      </c>
      <c r="AT115" s="1111">
        <f>SUMIFS(NewEmisData!H:H, NewEmisData!$A:$A, $G115, NewEmisData!$B:$B, $A115, NewEmisData!$C:$C, $H115, NewEmisData!$D:$D, AT$6)</f>
        <v>0.21605365916241701</v>
      </c>
      <c r="AU115" s="1111">
        <f>SUMIFS(NewEmisData!I:I, NewEmisData!$A:$A, $G115, NewEmisData!$B:$B, $A115, NewEmisData!$C:$C, $H115, NewEmisData!$D:$D, AU$6)</f>
        <v>0.217493987012533</v>
      </c>
      <c r="AV115" s="1111">
        <f>SUMIFS(NewEmisData!J:J, NewEmisData!$A:$A, $G115, NewEmisData!$B:$B, $A115, NewEmisData!$C:$C, $H115, NewEmisData!$D:$D, AV$6)</f>
        <v>0.215874408641613</v>
      </c>
      <c r="AW115" s="1111">
        <f>SUMIFS(NewEmisData!K:K, NewEmisData!$A:$A, $G115, NewEmisData!$B:$B, $A115, NewEmisData!$C:$C, $H115, NewEmisData!$D:$D, AW$6)</f>
        <v>0.215548001259909</v>
      </c>
      <c r="AX115" s="1111">
        <f>SUMIFS(NewEmisData!L:L, NewEmisData!$A:$A, $G115, NewEmisData!$B:$B, $A115, NewEmisData!$C:$C, $H115, NewEmisData!$D:$D, AX$6)</f>
        <v>0.215548245034523</v>
      </c>
      <c r="AY115" s="1111">
        <f>SUMIFS(NewEmisData!M:M, NewEmisData!$A:$A, $G115, NewEmisData!$B:$B, $A115, NewEmisData!$C:$C, $H115, NewEmisData!$D:$D, AY$6)</f>
        <v>0.215615404289591</v>
      </c>
      <c r="AZ115" s="1111">
        <f t="shared" si="178"/>
        <v>0.215615404289591</v>
      </c>
      <c r="BA115" s="1111">
        <f t="shared" si="179"/>
        <v>0.13708084004218499</v>
      </c>
      <c r="BB115" s="1111">
        <f>SUMIFS(NewEmisData!E:E, NewEmisData!$A:$A, $G115, NewEmisData!$B:$B, $A115, NewEmisData!$C:$C, $H115, NewEmisData!$D:$D, BB$6)</f>
        <v>0.13708084004218499</v>
      </c>
      <c r="BC115" s="1111">
        <f>SUMIFS(NewEmisData!F:F, NewEmisData!$A:$A, $G115, NewEmisData!$B:$B, $A115, NewEmisData!$C:$C, $H115, NewEmisData!$D:$D, BC$6)</f>
        <v>7.4025422906897703E-2</v>
      </c>
      <c r="BD115" s="1111">
        <f>SUMIFS(NewEmisData!G:G, NewEmisData!$A:$A, $G115, NewEmisData!$B:$B, $A115, NewEmisData!$C:$C, $H115, NewEmisData!$D:$D, BD$6)</f>
        <v>3.24536914485807E-2</v>
      </c>
      <c r="BE115" s="1111">
        <f>SUMIFS(NewEmisData!H:H, NewEmisData!$A:$A, $G115, NewEmisData!$B:$B, $A115, NewEmisData!$C:$C, $H115, NewEmisData!$D:$D, BE$6)</f>
        <v>2.9929781219030799E-2</v>
      </c>
      <c r="BF115" s="1111">
        <f>SUMIFS(NewEmisData!I:I, NewEmisData!$A:$A, $G115, NewEmisData!$B:$B, $A115, NewEmisData!$C:$C, $H115, NewEmisData!$D:$D, BF$6)</f>
        <v>3.12036941885327E-2</v>
      </c>
      <c r="BG115" s="1111">
        <f>SUMIFS(NewEmisData!J:J, NewEmisData!$A:$A, $G115, NewEmisData!$B:$B, $A115, NewEmisData!$C:$C, $H115, NewEmisData!$D:$D, BG$6)</f>
        <v>2.97710028337012E-2</v>
      </c>
      <c r="BH115" s="1111">
        <f>SUMIFS(NewEmisData!K:K, NewEmisData!$A:$A, $G115, NewEmisData!$B:$B, $A115, NewEmisData!$C:$C, $H115, NewEmisData!$D:$D, BH$6)</f>
        <v>2.94822042516945E-2</v>
      </c>
      <c r="BI115" s="1111">
        <f>SUMIFS(NewEmisData!L:L, NewEmisData!$A:$A, $G115, NewEmisData!$B:$B, $A115, NewEmisData!$C:$C, $H115, NewEmisData!$D:$D, BI$6)</f>
        <v>2.94822767059961E-2</v>
      </c>
      <c r="BJ115" s="1111">
        <f>SUMIFS(NewEmisData!M:M, NewEmisData!$A:$A, $G115, NewEmisData!$B:$B, $A115, NewEmisData!$C:$C, $H115, NewEmisData!$D:$D, BJ$6)</f>
        <v>2.9541631676445499E-2</v>
      </c>
      <c r="BK115" s="1111">
        <f t="shared" si="180"/>
        <v>2.9541631676445499E-2</v>
      </c>
      <c r="BL115" s="1111">
        <f t="shared" si="181"/>
        <v>16.594928340204699</v>
      </c>
      <c r="BM115" s="1111">
        <f>SUMIFS(NewEmisData!E:E, NewEmisData!$A:$A, $G115, NewEmisData!$B:$B, $A115, NewEmisData!$C:$C, $H115, NewEmisData!$D:$D, BM$6)</f>
        <v>16.594928340204699</v>
      </c>
      <c r="BN115" s="1111">
        <f>SUMIFS(NewEmisData!F:F, NewEmisData!$A:$A, $G115, NewEmisData!$B:$B, $A115, NewEmisData!$C:$C, $H115, NewEmisData!$D:$D, BN$6)</f>
        <v>7.6490424169191096</v>
      </c>
      <c r="BO115" s="1111">
        <f>SUMIFS(NewEmisData!G:G, NewEmisData!$A:$A, $G115, NewEmisData!$B:$B, $A115, NewEmisData!$C:$C, $H115, NewEmisData!$D:$D, BO$6)</f>
        <v>5.2933247998308204</v>
      </c>
      <c r="BP115" s="1111">
        <f>SUMIFS(NewEmisData!H:H, NewEmisData!$A:$A, $G115, NewEmisData!$B:$B, $A115, NewEmisData!$C:$C, $H115, NewEmisData!$D:$D, BP$6)</f>
        <v>6.1528656139162701</v>
      </c>
      <c r="BQ115" s="1111">
        <f>SUMIFS(NewEmisData!I:I, NewEmisData!$A:$A, $G115, NewEmisData!$B:$B, $A115, NewEmisData!$C:$C, $H115, NewEmisData!$D:$D, BQ$6)</f>
        <v>6.3896779926879201</v>
      </c>
      <c r="BR115" s="1111">
        <f>SUMIFS(NewEmisData!J:J, NewEmisData!$A:$A, $G115, NewEmisData!$B:$B, $A115, NewEmisData!$C:$C, $H115, NewEmisData!$D:$D, BR$6)</f>
        <v>6.18028067450813</v>
      </c>
      <c r="BS115" s="1111">
        <f>SUMIFS(NewEmisData!K:K, NewEmisData!$A:$A, $G115, NewEmisData!$B:$B, $A115, NewEmisData!$C:$C, $H115, NewEmisData!$D:$D, BS$6)</f>
        <v>6.2412735124109204</v>
      </c>
      <c r="BT115" s="1111">
        <f>SUMIFS(NewEmisData!L:L, NewEmisData!$A:$A, $G115, NewEmisData!$B:$B, $A115, NewEmisData!$C:$C, $H115, NewEmisData!$D:$D, BT$6)</f>
        <v>6.2413125974036801</v>
      </c>
      <c r="BU115" s="1111">
        <f>SUMIFS(NewEmisData!M:M, NewEmisData!$A:$A, $G115, NewEmisData!$B:$B, $A115, NewEmisData!$C:$C, $H115, NewEmisData!$D:$D, BU$6)</f>
        <v>6.2790878844376499</v>
      </c>
      <c r="BV115" s="1111">
        <f t="shared" si="182"/>
        <v>6.2790878844376499</v>
      </c>
      <c r="BW115" s="1111">
        <f t="shared" si="183"/>
        <v>2.48613164030948</v>
      </c>
      <c r="BX115" s="1111">
        <f>SUMIFS(NewEmisData!E:E, NewEmisData!$A:$A, $G115, NewEmisData!$B:$B, $A115, NewEmisData!$C:$C, $H115, NewEmisData!$D:$D, BX$6)</f>
        <v>2.48613164030948</v>
      </c>
      <c r="BY115" s="1111">
        <f>SUMIFS(NewEmisData!F:F, NewEmisData!$A:$A, $G115, NewEmisData!$B:$B, $A115, NewEmisData!$C:$C, $H115, NewEmisData!$D:$D, BY$6)</f>
        <v>0.88716407266546604</v>
      </c>
      <c r="BZ115" s="1111">
        <f>SUMIFS(NewEmisData!G:G, NewEmisData!$A:$A, $G115, NewEmisData!$B:$B, $A115, NewEmisData!$C:$C, $H115, NewEmisData!$D:$D, BZ$6)</f>
        <v>0.27749893473415599</v>
      </c>
      <c r="CA115" s="1111">
        <f>SUMIFS(NewEmisData!H:H, NewEmisData!$A:$A, $G115, NewEmisData!$B:$B, $A115, NewEmisData!$C:$C, $H115, NewEmisData!$D:$D, CA$6)</f>
        <v>0.205204834261316</v>
      </c>
      <c r="CB115" s="1111">
        <f>SUMIFS(NewEmisData!I:I, NewEmisData!$A:$A, $G115, NewEmisData!$B:$B, $A115, NewEmisData!$C:$C, $H115, NewEmisData!$D:$D, CB$6)</f>
        <v>0.19805846754263601</v>
      </c>
      <c r="CC115" s="1111">
        <f>SUMIFS(NewEmisData!J:J, NewEmisData!$A:$A, $G115, NewEmisData!$B:$B, $A115, NewEmisData!$C:$C, $H115, NewEmisData!$D:$D, CC$6)</f>
        <v>0.188577407916631</v>
      </c>
      <c r="CD115" s="1111">
        <f>SUMIFS(NewEmisData!K:K, NewEmisData!$A:$A, $G115, NewEmisData!$B:$B, $A115, NewEmisData!$C:$C, $H115, NewEmisData!$D:$D, CD$6)</f>
        <v>0.176016947090364</v>
      </c>
      <c r="CE115" s="1111">
        <f>SUMIFS(NewEmisData!L:L, NewEmisData!$A:$A, $G115, NewEmisData!$B:$B, $A115, NewEmisData!$C:$C, $H115, NewEmisData!$D:$D, CE$6)</f>
        <v>0.17601867154835699</v>
      </c>
      <c r="CF115" s="1111">
        <f>SUMIFS(NewEmisData!M:M, NewEmisData!$A:$A, $G115, NewEmisData!$B:$B, $A115, NewEmisData!$C:$C, $H115, NewEmisData!$D:$D, CF$6)</f>
        <v>0.177222072212638</v>
      </c>
      <c r="CG115" s="1111">
        <f t="shared" si="184"/>
        <v>0.177222072212638</v>
      </c>
      <c r="CH115" s="1111">
        <f t="shared" si="185"/>
        <v>4.30037571070594E-2</v>
      </c>
      <c r="CI115" s="1111">
        <f>SUMIFS(NewEmisData!E:E, NewEmisData!$A:$A, $G115, NewEmisData!$B:$B, $A115, NewEmisData!$C:$C, $H115, NewEmisData!$D:$D, CI$6)</f>
        <v>4.30037571070594E-2</v>
      </c>
      <c r="CJ115" s="1111">
        <f>SUMIFS(NewEmisData!F:F, NewEmisData!$A:$A, $G115, NewEmisData!$B:$B, $A115, NewEmisData!$C:$C, $H115, NewEmisData!$D:$D, CJ$6)</f>
        <v>4.3000582506103398E-2</v>
      </c>
      <c r="CK115" s="1111">
        <f>SUMIFS(NewEmisData!G:G, NewEmisData!$A:$A, $G115, NewEmisData!$B:$B, $A115, NewEmisData!$C:$C, $H115, NewEmisData!$D:$D, CK$6)</f>
        <v>4.2098070872406003E-2</v>
      </c>
      <c r="CL115" s="1111">
        <f>SUMIFS(NewEmisData!H:H, NewEmisData!$A:$A, $G115, NewEmisData!$B:$B, $A115, NewEmisData!$C:$C, $H115, NewEmisData!$D:$D, CL$6)</f>
        <v>4.20881810288605E-2</v>
      </c>
      <c r="CM115" s="1111">
        <f>SUMIFS(NewEmisData!I:I, NewEmisData!$A:$A, $G115, NewEmisData!$B:$B, $A115, NewEmisData!$C:$C, $H115, NewEmisData!$D:$D, CM$6)</f>
        <v>4.2084744630782503E-2</v>
      </c>
      <c r="CN115" s="1111">
        <f>SUMIFS(NewEmisData!J:J, NewEmisData!$A:$A, $G115, NewEmisData!$B:$B, $A115, NewEmisData!$C:$C, $H115, NewEmisData!$D:$D, CN$6)</f>
        <v>4.2080381656288003E-2</v>
      </c>
      <c r="CO115" s="1111">
        <f>SUMIFS(NewEmisData!K:K, NewEmisData!$A:$A, $G115, NewEmisData!$B:$B, $A115, NewEmisData!$C:$C, $H115, NewEmisData!$D:$D, CO$6)</f>
        <v>4.2079482315663198E-2</v>
      </c>
      <c r="CP115" s="1111">
        <f>SUMIFS(NewEmisData!L:L, NewEmisData!$A:$A, $G115, NewEmisData!$B:$B, $A115, NewEmisData!$C:$C, $H115, NewEmisData!$D:$D, CP$6)</f>
        <v>4.2079453335109998E-2</v>
      </c>
      <c r="CQ115" s="1111">
        <f>SUMIFS(NewEmisData!M:M, NewEmisData!$A:$A, $G115, NewEmisData!$B:$B, $A115, NewEmisData!$C:$C, $H115, NewEmisData!$D:$D, CQ$6)</f>
        <v>4.20794642138183E-2</v>
      </c>
      <c r="CR115" s="1111">
        <f t="shared" si="186"/>
        <v>4.20794642138183E-2</v>
      </c>
      <c r="CS115" s="1111">
        <f t="shared" si="187"/>
        <v>0.138983420489801</v>
      </c>
      <c r="CT115" s="1111">
        <f>SUMIFS(NewEmisData!E:E, NewEmisData!$A:$A, $G115, NewEmisData!$B:$B, $A115, NewEmisData!$C:$C, $H115, NewEmisData!$D:$D, CT$6)</f>
        <v>0.138983420489801</v>
      </c>
      <c r="CU115" s="1111">
        <f>SUMIFS(NewEmisData!F:F, NewEmisData!$A:$A, $G115, NewEmisData!$B:$B, $A115, NewEmisData!$C:$C, $H115, NewEmisData!$D:$D, CU$6)</f>
        <v>0.110065157473166</v>
      </c>
      <c r="CV115" s="1111">
        <f>SUMIFS(NewEmisData!G:G, NewEmisData!$A:$A, $G115, NewEmisData!$B:$B, $A115, NewEmisData!$C:$C, $H115, NewEmisData!$D:$D, CV$6)</f>
        <v>9.1123195728333398E-2</v>
      </c>
      <c r="CW115" s="1111">
        <f>SUMIFS(NewEmisData!H:H, NewEmisData!$A:$A, $G115, NewEmisData!$B:$B, $A115, NewEmisData!$C:$C, $H115, NewEmisData!$D:$D, CW$6)</f>
        <v>9.1914690178789796E-2</v>
      </c>
      <c r="CX115" s="1111">
        <f>SUMIFS(NewEmisData!I:I, NewEmisData!$A:$A, $G115, NewEmisData!$B:$B, $A115, NewEmisData!$C:$C, $H115, NewEmisData!$D:$D, CX$6)</f>
        <v>9.2292712015421399E-2</v>
      </c>
      <c r="CY115" s="1111">
        <f>SUMIFS(NewEmisData!J:J, NewEmisData!$A:$A, $G115, NewEmisData!$B:$B, $A115, NewEmisData!$C:$C, $H115, NewEmisData!$D:$D, CY$6)</f>
        <v>9.2452653742200894E-2</v>
      </c>
      <c r="CZ115" s="1111">
        <f>SUMIFS(NewEmisData!K:K, NewEmisData!$A:$A, $G115, NewEmisData!$B:$B, $A115, NewEmisData!$C:$C, $H115, NewEmisData!$D:$D, CZ$6)</f>
        <v>9.1895568332207703E-2</v>
      </c>
      <c r="DA115" s="1111">
        <f>SUMIFS(NewEmisData!L:L, NewEmisData!$A:$A, $G115, NewEmisData!$B:$B, $A115, NewEmisData!$C:$C, $H115, NewEmisData!$D:$D, DA$6)</f>
        <v>9.1895058180879702E-2</v>
      </c>
      <c r="DB115" s="1111">
        <f>SUMIFS(NewEmisData!M:M, NewEmisData!$A:$A, $G115, NewEmisData!$B:$B, $A115, NewEmisData!$C:$C, $H115, NewEmisData!$D:$D, DB$6)</f>
        <v>9.2320675233934807E-2</v>
      </c>
      <c r="DC115" s="1111">
        <f t="shared" si="188"/>
        <v>9.2320675233934807E-2</v>
      </c>
      <c r="DD115" s="1111"/>
      <c r="DE115" s="1111"/>
      <c r="DF115" s="1111"/>
      <c r="DG115" s="1111"/>
      <c r="DH115" s="1111"/>
      <c r="DI115" s="1111"/>
      <c r="DJ115" s="1111"/>
      <c r="DK115" s="1111"/>
      <c r="DL115" s="1111"/>
      <c r="DM115" s="1111"/>
      <c r="DN115" s="1111"/>
      <c r="DO115" s="1111"/>
      <c r="DP115" s="1111"/>
      <c r="DQ115" s="1111"/>
      <c r="DR115" s="1111"/>
      <c r="DS115" s="1111"/>
      <c r="DT115" s="1111"/>
      <c r="DU115" s="1111"/>
      <c r="DV115" s="1111"/>
      <c r="DW115" s="1111"/>
      <c r="DX115" s="1111"/>
      <c r="DY115" s="1111"/>
      <c r="DZ115" s="1111">
        <f t="shared" si="189"/>
        <v>17.209080253273701</v>
      </c>
      <c r="EA115" s="1111">
        <f>SUMIFS(NewEmisData!E:E, NewEmisData!$A:$A, $G115, NewEmisData!$B:$B, $A115, NewEmisData!$C:$C, $H115, NewEmisData!$D:$D, EA$6)</f>
        <v>17.209080253273701</v>
      </c>
      <c r="EB115" s="1111">
        <f>SUMIFS(NewEmisData!F:F, NewEmisData!$A:$A, $G115, NewEmisData!$B:$B, $A115, NewEmisData!$C:$C, $H115, NewEmisData!$D:$D, EB$6)</f>
        <v>7.2706655844581203</v>
      </c>
      <c r="EC115" s="1111">
        <f>SUMIFS(NewEmisData!G:G, NewEmisData!$A:$A, $G115, NewEmisData!$B:$B, $A115, NewEmisData!$C:$C, $H115, NewEmisData!$D:$D, EC$6)</f>
        <v>4.58093294447717</v>
      </c>
      <c r="ED115" s="1111">
        <f>SUMIFS(NewEmisData!H:H, NewEmisData!$A:$A, $G115, NewEmisData!$B:$B, $A115, NewEmisData!$C:$C, $H115, NewEmisData!$D:$D, ED$6)</f>
        <v>4.2163496273832299</v>
      </c>
      <c r="EE115" s="1111">
        <f>SUMIFS(NewEmisData!I:I, NewEmisData!$A:$A, $G115, NewEmisData!$B:$B, $A115, NewEmisData!$C:$C, $H115, NewEmisData!$D:$D, EE$6)</f>
        <v>3.7973777218307498</v>
      </c>
      <c r="EF115" s="1111">
        <f>SUMIFS(NewEmisData!J:J, NewEmisData!$A:$A, $G115, NewEmisData!$B:$B, $A115, NewEmisData!$C:$C, $H115, NewEmisData!$D:$D, EF$6)</f>
        <v>3.8940626870163202</v>
      </c>
      <c r="EG115" s="1111">
        <f>SUMIFS(NewEmisData!K:K, NewEmisData!$A:$A, $G115, NewEmisData!$B:$B, $A115, NewEmisData!$C:$C, $H115, NewEmisData!$D:$D, EG$6)</f>
        <v>3.6460689806509099</v>
      </c>
      <c r="EH115" s="1111">
        <f>SUMIFS(NewEmisData!L:L, NewEmisData!$A:$A, $G115, NewEmisData!$B:$B, $A115, NewEmisData!$C:$C, $H115, NewEmisData!$D:$D, EH$6)</f>
        <v>3.6461040549748001</v>
      </c>
      <c r="EI115" s="1111">
        <f>SUMIFS(NewEmisData!M:M, NewEmisData!$A:$A, $G115, NewEmisData!$B:$B, $A115, NewEmisData!$C:$C, $H115, NewEmisData!$D:$D, EI$6)</f>
        <v>3.6710310602693701</v>
      </c>
      <c r="EJ115" s="1111">
        <f t="shared" si="190"/>
        <v>3.6710310602693701</v>
      </c>
      <c r="EK115" s="1111">
        <f t="shared" si="191"/>
        <v>1516.0926472297899</v>
      </c>
      <c r="EL115" s="1111">
        <f t="shared" si="154"/>
        <v>1516.0926472297899</v>
      </c>
      <c r="EM115" s="1111">
        <f t="shared" si="155"/>
        <v>1383.7625928366399</v>
      </c>
      <c r="EN115" s="1111">
        <f t="shared" si="156"/>
        <v>1274.6757013323299</v>
      </c>
      <c r="EO115" s="1111">
        <f t="shared" si="157"/>
        <v>1248.93285879051</v>
      </c>
      <c r="EP115" s="1111">
        <f t="shared" si="158"/>
        <v>1242.34709692709</v>
      </c>
      <c r="EQ115" s="1111">
        <f t="shared" si="159"/>
        <v>1230.5088675593399</v>
      </c>
      <c r="ER115" s="1111">
        <f t="shared" si="160"/>
        <v>1228.0290689091601</v>
      </c>
      <c r="ES115" s="1111">
        <f t="shared" si="161"/>
        <v>1227.99116763047</v>
      </c>
      <c r="ET115" s="1111">
        <f t="shared" si="162"/>
        <v>1228.04156212526</v>
      </c>
      <c r="EU115" s="1111">
        <f t="shared" si="163"/>
        <v>1228.04156212526</v>
      </c>
      <c r="EV115" s="1111">
        <f t="shared" si="192"/>
        <v>11.3380018594681</v>
      </c>
      <c r="EW115" s="1111">
        <f t="shared" si="144"/>
        <v>11.3380018594681</v>
      </c>
      <c r="EX115" s="1111">
        <f t="shared" si="145"/>
        <v>4.4270777617693096</v>
      </c>
      <c r="EY115" s="1111">
        <f t="shared" si="146"/>
        <v>2.2851784558455002</v>
      </c>
      <c r="EZ115" s="1111">
        <f t="shared" si="147"/>
        <v>1.77665492953008</v>
      </c>
      <c r="FA115" s="1111">
        <f t="shared" si="148"/>
        <v>1.56276598268199</v>
      </c>
      <c r="FB115" s="1111">
        <f t="shared" si="149"/>
        <v>1.6150506418937001</v>
      </c>
      <c r="FC115" s="1111">
        <f t="shared" si="150"/>
        <v>1.47779953573362</v>
      </c>
      <c r="FD115" s="1111">
        <f t="shared" si="151"/>
        <v>1.4778001363942499</v>
      </c>
      <c r="FE115" s="1111">
        <f t="shared" si="152"/>
        <v>1.47991659575059</v>
      </c>
      <c r="FF115" s="1111">
        <f t="shared" si="153"/>
        <v>1.47991659575059</v>
      </c>
      <c r="FG115" s="1111">
        <f t="shared" si="100"/>
        <v>7.4194239576110604E-3</v>
      </c>
      <c r="FH115" s="1111">
        <f t="shared" si="101"/>
        <v>7.4194239576110604E-3</v>
      </c>
      <c r="FI115" s="1111">
        <f t="shared" si="102"/>
        <v>6.7471555112269604E-3</v>
      </c>
      <c r="FJ115" s="1111">
        <f t="shared" si="103"/>
        <v>6.7487595451477004E-3</v>
      </c>
      <c r="FK115" s="1111">
        <f t="shared" si="104"/>
        <v>6.6124600825725501E-3</v>
      </c>
      <c r="FL115" s="1111">
        <f t="shared" si="105"/>
        <v>6.5775946616658003E-3</v>
      </c>
      <c r="FM115" s="1111">
        <f t="shared" si="106"/>
        <v>6.5149161690284396E-3</v>
      </c>
      <c r="FN115" s="1111">
        <f t="shared" si="107"/>
        <v>6.5017860407342804E-3</v>
      </c>
      <c r="FO115" s="1111">
        <f t="shared" si="108"/>
        <v>6.5015847958577897E-3</v>
      </c>
      <c r="FP115" s="1111">
        <f t="shared" si="109"/>
        <v>6.5018545048176604E-3</v>
      </c>
      <c r="FQ115" s="1111">
        <f t="shared" si="110"/>
        <v>6.5018545048176604E-3</v>
      </c>
      <c r="FR115" s="1111">
        <f t="shared" si="133"/>
        <v>0.35807070269459501</v>
      </c>
      <c r="FS115" s="1111">
        <f t="shared" si="134"/>
        <v>0.35807070269459501</v>
      </c>
      <c r="FT115" s="1111">
        <f t="shared" si="135"/>
        <v>0.28679070316507099</v>
      </c>
      <c r="FU115" s="1111">
        <f t="shared" si="136"/>
        <v>0.218906747032379</v>
      </c>
      <c r="FV115" s="1111">
        <f t="shared" si="137"/>
        <v>0.21605365916241701</v>
      </c>
      <c r="FW115" s="1111">
        <f t="shared" si="138"/>
        <v>0.217493987012533</v>
      </c>
      <c r="FX115" s="1111">
        <f t="shared" si="139"/>
        <v>0.215874408641613</v>
      </c>
      <c r="FY115" s="1111">
        <f t="shared" si="140"/>
        <v>0.215548001259909</v>
      </c>
      <c r="FZ115" s="1111">
        <f t="shared" si="141"/>
        <v>0.215548245034523</v>
      </c>
      <c r="GA115" s="1111">
        <f t="shared" si="142"/>
        <v>0.215615404289591</v>
      </c>
      <c r="GB115" s="1111">
        <f t="shared" si="143"/>
        <v>0.215615404289591</v>
      </c>
      <c r="GC115" s="1111">
        <f t="shared" si="164"/>
        <v>0.13708084004218499</v>
      </c>
      <c r="GD115" s="1111">
        <f t="shared" si="165"/>
        <v>0.13708084004218499</v>
      </c>
      <c r="GE115" s="1111">
        <f t="shared" si="166"/>
        <v>7.4025422906897703E-2</v>
      </c>
      <c r="GF115" s="1111">
        <f t="shared" si="167"/>
        <v>3.24536914485807E-2</v>
      </c>
      <c r="GG115" s="1111">
        <f t="shared" si="168"/>
        <v>2.9929781219030799E-2</v>
      </c>
      <c r="GH115" s="1111">
        <f t="shared" si="169"/>
        <v>3.12036941885327E-2</v>
      </c>
      <c r="GI115" s="1111">
        <f t="shared" si="170"/>
        <v>2.97710028337012E-2</v>
      </c>
      <c r="GJ115" s="1111">
        <f t="shared" si="171"/>
        <v>2.94822042516945E-2</v>
      </c>
      <c r="GK115" s="1111">
        <f t="shared" si="172"/>
        <v>2.94822767059961E-2</v>
      </c>
      <c r="GL115" s="1111">
        <f t="shared" si="173"/>
        <v>2.9541631676445499E-2</v>
      </c>
      <c r="GM115" s="1111">
        <f t="shared" si="174"/>
        <v>2.9541631676445499E-2</v>
      </c>
    </row>
    <row r="116" spans="1:195" x14ac:dyDescent="0.2">
      <c r="A116" s="1071" t="s">
        <v>190</v>
      </c>
      <c r="B116" s="1071" t="str">
        <f>NewTech!B30</f>
        <v>TBCNGADV</v>
      </c>
      <c r="C116" s="1071" t="str">
        <f>NewTech!C30</f>
        <v>Bus, Advanced Tech CNG</v>
      </c>
      <c r="D116" s="1071" t="str">
        <f>NewTech!D30</f>
        <v>bn-vmt, bn-vmt/a</v>
      </c>
      <c r="E116" s="1071" t="str">
        <f>NewTech!E30</f>
        <v>TBCNG</v>
      </c>
      <c r="F116" s="1071" t="str">
        <f>NewTech!F30</f>
        <v>TB</v>
      </c>
      <c r="G116" s="1110" t="s">
        <v>498</v>
      </c>
      <c r="H116" s="1110" t="s">
        <v>501</v>
      </c>
      <c r="I116" s="1112">
        <v>1</v>
      </c>
      <c r="J116" s="1111" t="str">
        <f t="shared" si="37"/>
        <v>Bus-CNG</v>
      </c>
      <c r="K116" s="1111">
        <f>SUMIFS(NewEmisData!E:E, NewEmisData!$A:$A, $G116, NewEmisData!$B:$B, $A116, NewEmisData!$C:$C, $H116, NewEmisData!$D:$D, K$6)</f>
        <v>1553.5210990931</v>
      </c>
      <c r="L116" s="1111">
        <f>SUMIFS(NewEmisData!F:F, NewEmisData!$A:$A, $G116, NewEmisData!$B:$B, $A116, NewEmisData!$C:$C, $H116, NewEmisData!$D:$D, L$6)</f>
        <v>1408.88496713674</v>
      </c>
      <c r="M116" s="1111">
        <f>SUMIFS(NewEmisData!G:G, NewEmisData!$A:$A, $G116, NewEmisData!$B:$B, $A116, NewEmisData!$C:$C, $H116, NewEmisData!$D:$D, M$6)</f>
        <v>1462.3627813248299</v>
      </c>
      <c r="N116" s="1111">
        <f>SUMIFS(NewEmisData!H:H, NewEmisData!$A:$A, $G116, NewEmisData!$B:$B, $A116, NewEmisData!$C:$C, $H116, NewEmisData!$D:$D, N$6)</f>
        <v>1432.84931920791</v>
      </c>
      <c r="O116" s="1111">
        <f>SUMIFS(NewEmisData!I:I, NewEmisData!$A:$A, $G116, NewEmisData!$B:$B, $A116, NewEmisData!$C:$C, $H116, NewEmisData!$D:$D, O$6)</f>
        <v>1425.2997832645599</v>
      </c>
      <c r="P116" s="1111">
        <f>SUMIFS(NewEmisData!J:J, NewEmisData!$A:$A, $G116, NewEmisData!$B:$B, $A116, NewEmisData!$C:$C, $H116, NewEmisData!$D:$D, P$6)</f>
        <v>1411.72897391071</v>
      </c>
      <c r="Q116" s="1111">
        <f>SUMIFS(NewEmisData!K:K, NewEmisData!$A:$A, $G116, NewEmisData!$B:$B, $A116, NewEmisData!$C:$C, $H116, NewEmisData!$D:$D, Q$6)</f>
        <v>1408.8954231452899</v>
      </c>
      <c r="R116" s="1111">
        <f>SUMIFS(NewEmisData!L:L, NewEmisData!$A:$A, $G116, NewEmisData!$B:$B, $A116, NewEmisData!$C:$C, $H116, NewEmisData!$D:$D, R$6)</f>
        <v>1408.8503496293499</v>
      </c>
      <c r="S116" s="1111">
        <f>SUMIFS(NewEmisData!M:M, NewEmisData!$A:$A, $G116, NewEmisData!$B:$B, $A116, NewEmisData!$C:$C, $H116, NewEmisData!$D:$D, S$6)</f>
        <v>1408.9043821590301</v>
      </c>
      <c r="T116" s="1111">
        <f t="shared" si="131"/>
        <v>1408.9043821590301</v>
      </c>
      <c r="U116" s="1111">
        <f>SUMIFS(NewEmisData!E:E, NewEmisData!$A:$A, $G116, NewEmisData!$B:$B, $A116, NewEmisData!$C:$C, $H116, NewEmisData!$D:$D, U$6)</f>
        <v>12.243629501244</v>
      </c>
      <c r="V116" s="1111">
        <f>SUMIFS(NewEmisData!F:F, NewEmisData!$A:$A, $G116, NewEmisData!$B:$B, $A116, NewEmisData!$C:$C, $H116, NewEmisData!$D:$D, V$6)</f>
        <v>4.4057269822849499</v>
      </c>
      <c r="W116" s="1111">
        <f>SUMIFS(NewEmisData!G:G, NewEmisData!$A:$A, $G116, NewEmisData!$B:$B, $A116, NewEmisData!$C:$C, $H116, NewEmisData!$D:$D, W$6)</f>
        <v>2.5338719659062199</v>
      </c>
      <c r="X116" s="1111">
        <f>SUMIFS(NewEmisData!H:H, NewEmisData!$A:$A, $G116, NewEmisData!$B:$B, $A116, NewEmisData!$C:$C, $H116, NewEmisData!$D:$D, X$6)</f>
        <v>1.97053635775459</v>
      </c>
      <c r="Y116" s="1111">
        <f>SUMIFS(NewEmisData!I:I, NewEmisData!$A:$A, $G116, NewEmisData!$B:$B, $A116, NewEmisData!$C:$C, $H116, NewEmisData!$D:$D, Y$6)</f>
        <v>1.73288574795435</v>
      </c>
      <c r="Z116" s="1111">
        <f>SUMIFS(NewEmisData!J:J, NewEmisData!$A:$A, $G116, NewEmisData!$B:$B, $A116, NewEmisData!$C:$C, $H116, NewEmisData!$D:$D, Z$6)</f>
        <v>1.7912592346090399</v>
      </c>
      <c r="AA116" s="1111">
        <f>SUMIFS(NewEmisData!K:K, NewEmisData!$A:$A, $G116, NewEmisData!$B:$B, $A116, NewEmisData!$C:$C, $H116, NewEmisData!$D:$D, AA$6)</f>
        <v>1.6389959510055401</v>
      </c>
      <c r="AB116" s="1111">
        <f>SUMIFS(NewEmisData!L:L, NewEmisData!$A:$A, $G116, NewEmisData!$B:$B, $A116, NewEmisData!$C:$C, $H116, NewEmisData!$D:$D, AB$6)</f>
        <v>1.6389971437373501</v>
      </c>
      <c r="AC116" s="1111">
        <f>SUMIFS(NewEmisData!M:M, NewEmisData!$A:$A, $G116, NewEmisData!$B:$B, $A116, NewEmisData!$C:$C, $H116, NewEmisData!$D:$D, AC$6)</f>
        <v>1.6413497936376999</v>
      </c>
      <c r="AD116" s="1111">
        <f t="shared" si="132"/>
        <v>1.6413497936376999</v>
      </c>
      <c r="AE116" s="1111">
        <f t="shared" si="175"/>
        <v>7.5181123500885298E-3</v>
      </c>
      <c r="AF116" s="1111">
        <f>SUMIFS(NewEmisData!E:E, NewEmisData!$A:$A, $G116, NewEmisData!$B:$B, $A116, NewEmisData!$C:$C, $H116, NewEmisData!$D:$D, AF$6)</f>
        <v>7.5181123500885298E-3</v>
      </c>
      <c r="AG116" s="1111">
        <f>SUMIFS(NewEmisData!F:F, NewEmisData!$A:$A, $G116, NewEmisData!$B:$B, $A116, NewEmisData!$C:$C, $H116, NewEmisData!$D:$D, AG$6)</f>
        <v>6.72193717894523E-3</v>
      </c>
      <c r="AH116" s="1111">
        <f>SUMIFS(NewEmisData!G:G, NewEmisData!$A:$A, $G116, NewEmisData!$B:$B, $A116, NewEmisData!$C:$C, $H116, NewEmisData!$D:$D, AH$6)</f>
        <v>7.7424633042752298E-3</v>
      </c>
      <c r="AI116" s="1111">
        <f>SUMIFS(NewEmisData!H:H, NewEmisData!$A:$A, $G116, NewEmisData!$B:$B, $A116, NewEmisData!$C:$C, $H116, NewEmisData!$D:$D, AI$6)</f>
        <v>7.5862031517122301E-3</v>
      </c>
      <c r="AJ116" s="1111">
        <f>SUMIFS(NewEmisData!I:I, NewEmisData!$A:$A, $G116, NewEmisData!$B:$B, $A116, NewEmisData!$C:$C, $H116, NewEmisData!$D:$D, AJ$6)</f>
        <v>7.5462363983801496E-3</v>
      </c>
      <c r="AK116" s="1111">
        <f>SUMIFS(NewEmisData!J:J, NewEmisData!$A:$A, $G116, NewEmisData!$B:$B, $A116, NewEmisData!$C:$C, $H116, NewEmisData!$D:$D, AK$6)</f>
        <v>7.4743875655051799E-3</v>
      </c>
      <c r="AL116" s="1111">
        <f>SUMIFS(NewEmisData!K:K, NewEmisData!$A:$A, $G116, NewEmisData!$B:$B, $A116, NewEmisData!$C:$C, $H116, NewEmisData!$D:$D, AL$6)</f>
        <v>7.4593805624821796E-3</v>
      </c>
      <c r="AM116" s="1111">
        <f>SUMIFS(NewEmisData!L:L, NewEmisData!$A:$A, $G116, NewEmisData!$B:$B, $A116, NewEmisData!$C:$C, $H116, NewEmisData!$D:$D, AM$6)</f>
        <v>7.4591468383354304E-3</v>
      </c>
      <c r="AN116" s="1111">
        <f>SUMIFS(NewEmisData!M:M, NewEmisData!$A:$A, $G116, NewEmisData!$B:$B, $A116, NewEmisData!$C:$C, $H116, NewEmisData!$D:$D, AN$6)</f>
        <v>7.4594296654913296E-3</v>
      </c>
      <c r="AO116" s="1111">
        <f t="shared" si="176"/>
        <v>7.4594296654913296E-3</v>
      </c>
      <c r="AP116" s="1111">
        <f t="shared" si="177"/>
        <v>0.39638833463587397</v>
      </c>
      <c r="AQ116" s="1111">
        <f>SUMIFS(NewEmisData!E:E, NewEmisData!$A:$A, $G116, NewEmisData!$B:$B, $A116, NewEmisData!$C:$C, $H116, NewEmisData!$D:$D, AQ$6)</f>
        <v>0.39638833463587397</v>
      </c>
      <c r="AR116" s="1111">
        <f>SUMIFS(NewEmisData!F:F, NewEmisData!$A:$A, $G116, NewEmisData!$B:$B, $A116, NewEmisData!$C:$C, $H116, NewEmisData!$D:$D, AR$6)</f>
        <v>0.29090093127093197</v>
      </c>
      <c r="AS116" s="1111">
        <f>SUMIFS(NewEmisData!G:G, NewEmisData!$A:$A, $G116, NewEmisData!$B:$B, $A116, NewEmisData!$C:$C, $H116, NewEmisData!$D:$D, AS$6)</f>
        <v>0.30512480081238003</v>
      </c>
      <c r="AT116" s="1111">
        <f>SUMIFS(NewEmisData!H:H, NewEmisData!$A:$A, $G116, NewEmisData!$B:$B, $A116, NewEmisData!$C:$C, $H116, NewEmisData!$D:$D, AT$6)</f>
        <v>0.30228358490423202</v>
      </c>
      <c r="AU116" s="1111">
        <f>SUMIFS(NewEmisData!I:I, NewEmisData!$A:$A, $G116, NewEmisData!$B:$B, $A116, NewEmisData!$C:$C, $H116, NewEmisData!$D:$D, AU$6)</f>
        <v>0.30366691295985598</v>
      </c>
      <c r="AV116" s="1111">
        <f>SUMIFS(NewEmisData!J:J, NewEmisData!$A:$A, $G116, NewEmisData!$B:$B, $A116, NewEmisData!$C:$C, $H116, NewEmisData!$D:$D, AV$6)</f>
        <v>0.30208997800131698</v>
      </c>
      <c r="AW116" s="1111">
        <f>SUMIFS(NewEmisData!K:K, NewEmisData!$A:$A, $G116, NewEmisData!$B:$B, $A116, NewEmisData!$C:$C, $H116, NewEmisData!$D:$D, AW$6)</f>
        <v>0.30173562336722598</v>
      </c>
      <c r="AX116" s="1111">
        <f>SUMIFS(NewEmisData!L:L, NewEmisData!$A:$A, $G116, NewEmisData!$B:$B, $A116, NewEmisData!$C:$C, $H116, NewEmisData!$D:$D, AX$6)</f>
        <v>0.30173549102415298</v>
      </c>
      <c r="AY116" s="1111">
        <f>SUMIFS(NewEmisData!M:M, NewEmisData!$A:$A, $G116, NewEmisData!$B:$B, $A116, NewEmisData!$C:$C, $H116, NewEmisData!$D:$D, AY$6)</f>
        <v>0.301808555330837</v>
      </c>
      <c r="AZ116" s="1111">
        <f t="shared" si="178"/>
        <v>0.301808555330837</v>
      </c>
      <c r="BA116" s="1111">
        <f t="shared" si="179"/>
        <v>0.16760085093958199</v>
      </c>
      <c r="BB116" s="1111">
        <f>SUMIFS(NewEmisData!E:E, NewEmisData!$A:$A, $G116, NewEmisData!$B:$B, $A116, NewEmisData!$C:$C, $H116, NewEmisData!$D:$D, BB$6)</f>
        <v>0.16760085093958199</v>
      </c>
      <c r="BC116" s="1111">
        <f>SUMIFS(NewEmisData!F:F, NewEmisData!$A:$A, $G116, NewEmisData!$B:$B, $A116, NewEmisData!$C:$C, $H116, NewEmisData!$D:$D, BC$6)</f>
        <v>7.4285465319141195E-2</v>
      </c>
      <c r="BD116" s="1111">
        <f>SUMIFS(NewEmisData!G:G, NewEmisData!$A:$A, $G116, NewEmisData!$B:$B, $A116, NewEmisData!$C:$C, $H116, NewEmisData!$D:$D, BD$6)</f>
        <v>4.3481827085775297E-2</v>
      </c>
      <c r="BE116" s="1111">
        <f>SUMIFS(NewEmisData!H:H, NewEmisData!$A:$A, $G116, NewEmisData!$B:$B, $A116, NewEmisData!$C:$C, $H116, NewEmisData!$D:$D, BE$6)</f>
        <v>4.0968421942404701E-2</v>
      </c>
      <c r="BF116" s="1111">
        <f>SUMIFS(NewEmisData!I:I, NewEmisData!$A:$A, $G116, NewEmisData!$B:$B, $A116, NewEmisData!$C:$C, $H116, NewEmisData!$D:$D, BF$6)</f>
        <v>4.21915697435057E-2</v>
      </c>
      <c r="BG116" s="1111">
        <f>SUMIFS(NewEmisData!J:J, NewEmisData!$A:$A, $G116, NewEmisData!$B:$B, $A116, NewEmisData!$C:$C, $H116, NewEmisData!$D:$D, BG$6)</f>
        <v>4.0796629114503602E-2</v>
      </c>
      <c r="BH116" s="1111">
        <f>SUMIFS(NewEmisData!K:K, NewEmisData!$A:$A, $G116, NewEmisData!$B:$B, $A116, NewEmisData!$C:$C, $H116, NewEmisData!$D:$D, BH$6)</f>
        <v>4.0483008408731903E-2</v>
      </c>
      <c r="BI116" s="1111">
        <f>SUMIFS(NewEmisData!L:L, NewEmisData!$A:$A, $G116, NewEmisData!$B:$B, $A116, NewEmisData!$C:$C, $H116, NewEmisData!$D:$D, BI$6)</f>
        <v>4.0483108528960102E-2</v>
      </c>
      <c r="BJ116" s="1111">
        <f>SUMIFS(NewEmisData!M:M, NewEmisData!$A:$A, $G116, NewEmisData!$B:$B, $A116, NewEmisData!$C:$C, $H116, NewEmisData!$D:$D, BJ$6)</f>
        <v>4.0547746759359002E-2</v>
      </c>
      <c r="BK116" s="1111">
        <f t="shared" si="180"/>
        <v>4.0547746759359002E-2</v>
      </c>
      <c r="BL116" s="1111">
        <f t="shared" si="181"/>
        <v>17.990411200770101</v>
      </c>
      <c r="BM116" s="1111">
        <f>SUMIFS(NewEmisData!E:E, NewEmisData!$A:$A, $G116, NewEmisData!$B:$B, $A116, NewEmisData!$C:$C, $H116, NewEmisData!$D:$D, BM$6)</f>
        <v>17.990411200770101</v>
      </c>
      <c r="BN116" s="1111">
        <f>SUMIFS(NewEmisData!F:F, NewEmisData!$A:$A, $G116, NewEmisData!$B:$B, $A116, NewEmisData!$C:$C, $H116, NewEmisData!$D:$D, BN$6)</f>
        <v>7.2585459848305502</v>
      </c>
      <c r="BO116" s="1111">
        <f>SUMIFS(NewEmisData!G:G, NewEmisData!$A:$A, $G116, NewEmisData!$B:$B, $A116, NewEmisData!$C:$C, $H116, NewEmisData!$D:$D, BO$6)</f>
        <v>6.1426523915957798</v>
      </c>
      <c r="BP116" s="1111">
        <f>SUMIFS(NewEmisData!H:H, NewEmisData!$A:$A, $G116, NewEmisData!$B:$B, $A116, NewEmisData!$C:$C, $H116, NewEmisData!$D:$D, BP$6)</f>
        <v>7.1691238003443596</v>
      </c>
      <c r="BQ116" s="1111">
        <f>SUMIFS(NewEmisData!I:I, NewEmisData!$A:$A, $G116, NewEmisData!$B:$B, $A116, NewEmisData!$C:$C, $H116, NewEmisData!$D:$D, BQ$6)</f>
        <v>7.4337921877774802</v>
      </c>
      <c r="BR116" s="1111">
        <f>SUMIFS(NewEmisData!J:J, NewEmisData!$A:$A, $G116, NewEmisData!$B:$B, $A116, NewEmisData!$C:$C, $H116, NewEmisData!$D:$D, BR$6)</f>
        <v>7.1994411397323903</v>
      </c>
      <c r="BS116" s="1111">
        <f>SUMIFS(NewEmisData!K:K, NewEmisData!$A:$A, $G116, NewEmisData!$B:$B, $A116, NewEmisData!$C:$C, $H116, NewEmisData!$D:$D, BS$6)</f>
        <v>7.2709849110611904</v>
      </c>
      <c r="BT116" s="1111">
        <f>SUMIFS(NewEmisData!L:L, NewEmisData!$A:$A, $G116, NewEmisData!$B:$B, $A116, NewEmisData!$C:$C, $H116, NewEmisData!$D:$D, BT$6)</f>
        <v>7.2710279922364496</v>
      </c>
      <c r="BU116" s="1111">
        <f>SUMIFS(NewEmisData!M:M, NewEmisData!$A:$A, $G116, NewEmisData!$B:$B, $A116, NewEmisData!$C:$C, $H116, NewEmisData!$D:$D, BU$6)</f>
        <v>7.3149803043521597</v>
      </c>
      <c r="BV116" s="1111">
        <f t="shared" si="182"/>
        <v>7.3149803043521597</v>
      </c>
      <c r="BW116" s="1111">
        <f t="shared" si="183"/>
        <v>2.9430592441144499</v>
      </c>
      <c r="BX116" s="1111">
        <f>SUMIFS(NewEmisData!E:E, NewEmisData!$A:$A, $G116, NewEmisData!$B:$B, $A116, NewEmisData!$C:$C, $H116, NewEmisData!$D:$D, BX$6)</f>
        <v>2.9430592441144499</v>
      </c>
      <c r="BY116" s="1111">
        <f>SUMIFS(NewEmisData!F:F, NewEmisData!$A:$A, $G116, NewEmisData!$B:$B, $A116, NewEmisData!$C:$C, $H116, NewEmisData!$D:$D, BY$6)</f>
        <v>0.85648765894271195</v>
      </c>
      <c r="BZ116" s="1111">
        <f>SUMIFS(NewEmisData!G:G, NewEmisData!$A:$A, $G116, NewEmisData!$B:$B, $A116, NewEmisData!$C:$C, $H116, NewEmisData!$D:$D, BZ$6)</f>
        <v>0.36361632063642702</v>
      </c>
      <c r="CA116" s="1111">
        <f>SUMIFS(NewEmisData!H:H, NewEmisData!$A:$A, $G116, NewEmisData!$B:$B, $A116, NewEmisData!$C:$C, $H116, NewEmisData!$D:$D, CA$6)</f>
        <v>0.27169020086571199</v>
      </c>
      <c r="CB116" s="1111">
        <f>SUMIFS(NewEmisData!I:I, NewEmisData!$A:$A, $G116, NewEmisData!$B:$B, $A116, NewEmisData!$C:$C, $H116, NewEmisData!$D:$D, CB$6)</f>
        <v>0.25980348368640299</v>
      </c>
      <c r="CC116" s="1111">
        <f>SUMIFS(NewEmisData!J:J, NewEmisData!$A:$A, $G116, NewEmisData!$B:$B, $A116, NewEmisData!$C:$C, $H116, NewEmisData!$D:$D, CC$6)</f>
        <v>0.24951146113875</v>
      </c>
      <c r="CD116" s="1111">
        <f>SUMIFS(NewEmisData!K:K, NewEmisData!$A:$A, $G116, NewEmisData!$B:$B, $A116, NewEmisData!$C:$C, $H116, NewEmisData!$D:$D, CD$6)</f>
        <v>0.23278809859364299</v>
      </c>
      <c r="CE116" s="1111">
        <f>SUMIFS(NewEmisData!L:L, NewEmisData!$A:$A, $G116, NewEmisData!$B:$B, $A116, NewEmisData!$C:$C, $H116, NewEmisData!$D:$D, CE$6)</f>
        <v>0.23279061475395799</v>
      </c>
      <c r="CF116" s="1111">
        <f>SUMIFS(NewEmisData!M:M, NewEmisData!$A:$A, $G116, NewEmisData!$B:$B, $A116, NewEmisData!$C:$C, $H116, NewEmisData!$D:$D, CF$6)</f>
        <v>0.23440507280589101</v>
      </c>
      <c r="CG116" s="1111">
        <f t="shared" si="184"/>
        <v>0.23440507280589101</v>
      </c>
      <c r="CH116" s="1111">
        <f t="shared" si="185"/>
        <v>4.2845431807355498E-2</v>
      </c>
      <c r="CI116" s="1111">
        <f>SUMIFS(NewEmisData!E:E, NewEmisData!$A:$A, $G116, NewEmisData!$B:$B, $A116, NewEmisData!$C:$C, $H116, NewEmisData!$D:$D, CI$6)</f>
        <v>4.2845431807355498E-2</v>
      </c>
      <c r="CJ116" s="1111">
        <f>SUMIFS(NewEmisData!F:F, NewEmisData!$A:$A, $G116, NewEmisData!$B:$B, $A116, NewEmisData!$C:$C, $H116, NewEmisData!$D:$D, CJ$6)</f>
        <v>4.2845229082484199E-2</v>
      </c>
      <c r="CK116" s="1111">
        <f>SUMIFS(NewEmisData!G:G, NewEmisData!$A:$A, $G116, NewEmisData!$B:$B, $A116, NewEmisData!$C:$C, $H116, NewEmisData!$D:$D, CK$6)</f>
        <v>4.9324427827802997E-2</v>
      </c>
      <c r="CL116" s="1111">
        <f>SUMIFS(NewEmisData!H:H, NewEmisData!$A:$A, $G116, NewEmisData!$B:$B, $A116, NewEmisData!$C:$C, $H116, NewEmisData!$D:$D, CL$6)</f>
        <v>4.9316373839858499E-2</v>
      </c>
      <c r="CM116" s="1111">
        <f>SUMIFS(NewEmisData!I:I, NewEmisData!$A:$A, $G116, NewEmisData!$B:$B, $A116, NewEmisData!$C:$C, $H116, NewEmisData!$D:$D, CM$6)</f>
        <v>4.9313565182193903E-2</v>
      </c>
      <c r="CN116" s="1111">
        <f>SUMIFS(NewEmisData!J:J, NewEmisData!$A:$A, $G116, NewEmisData!$B:$B, $A116, NewEmisData!$C:$C, $H116, NewEmisData!$D:$D, CN$6)</f>
        <v>4.9310010478126401E-2</v>
      </c>
      <c r="CO116" s="1111">
        <f>SUMIFS(NewEmisData!K:K, NewEmisData!$A:$A, $G116, NewEmisData!$B:$B, $A116, NewEmisData!$C:$C, $H116, NewEmisData!$D:$D, CO$6)</f>
        <v>4.9309269691000898E-2</v>
      </c>
      <c r="CP116" s="1111">
        <f>SUMIFS(NewEmisData!L:L, NewEmisData!$A:$A, $G116, NewEmisData!$B:$B, $A116, NewEmisData!$C:$C, $H116, NewEmisData!$D:$D, CP$6)</f>
        <v>4.9309246414996899E-2</v>
      </c>
      <c r="CQ116" s="1111">
        <f>SUMIFS(NewEmisData!M:M, NewEmisData!$A:$A, $G116, NewEmisData!$B:$B, $A116, NewEmisData!$C:$C, $H116, NewEmisData!$D:$D, CQ$6)</f>
        <v>4.93092310618925E-2</v>
      </c>
      <c r="CR116" s="1111">
        <f t="shared" si="186"/>
        <v>4.93092310618925E-2</v>
      </c>
      <c r="CS116" s="1111">
        <f t="shared" si="187"/>
        <v>9.5022001966096004E-2</v>
      </c>
      <c r="CT116" s="1111">
        <f>SUMIFS(NewEmisData!E:E, NewEmisData!$A:$A, $G116, NewEmisData!$B:$B, $A116, NewEmisData!$C:$C, $H116, NewEmisData!$D:$D, CT$6)</f>
        <v>9.5022001966096004E-2</v>
      </c>
      <c r="CU116" s="1111">
        <f>SUMIFS(NewEmisData!F:F, NewEmisData!$A:$A, $G116, NewEmisData!$B:$B, $A116, NewEmisData!$C:$C, $H116, NewEmisData!$D:$D, CU$6)</f>
        <v>9.4153576596088001E-2</v>
      </c>
      <c r="CV116" s="1111">
        <f>SUMIFS(NewEmisData!G:G, NewEmisData!$A:$A, $G116, NewEmisData!$B:$B, $A116, NewEmisData!$C:$C, $H116, NewEmisData!$D:$D, CV$6)</f>
        <v>0.116196244904277</v>
      </c>
      <c r="CW116" s="1111">
        <f>SUMIFS(NewEmisData!H:H, NewEmisData!$A:$A, $G116, NewEmisData!$B:$B, $A116, NewEmisData!$C:$C, $H116, NewEmisData!$D:$D, CW$6)</f>
        <v>0.117032953911949</v>
      </c>
      <c r="CX116" s="1111">
        <f>SUMIFS(NewEmisData!I:I, NewEmisData!$A:$A, $G116, NewEmisData!$B:$B, $A116, NewEmisData!$C:$C, $H116, NewEmisData!$D:$D, CX$6)</f>
        <v>0.11743259561145999</v>
      </c>
      <c r="CY116" s="1111">
        <f>SUMIFS(NewEmisData!J:J, NewEmisData!$A:$A, $G116, NewEmisData!$B:$B, $A116, NewEmisData!$C:$C, $H116, NewEmisData!$D:$D, CY$6)</f>
        <v>0.117601803127102</v>
      </c>
      <c r="CZ116" s="1111">
        <f>SUMIFS(NewEmisData!K:K, NewEmisData!$A:$A, $G116, NewEmisData!$B:$B, $A116, NewEmisData!$C:$C, $H116, NewEmisData!$D:$D, CZ$6)</f>
        <v>0.11701285490505001</v>
      </c>
      <c r="DA116" s="1111">
        <f>SUMIFS(NewEmisData!L:L, NewEmisData!$A:$A, $G116, NewEmisData!$B:$B, $A116, NewEmisData!$C:$C, $H116, NewEmisData!$D:$D, DA$6)</f>
        <v>0.117012223650427</v>
      </c>
      <c r="DB116" s="1111">
        <f>SUMIFS(NewEmisData!M:M, NewEmisData!$A:$A, $G116, NewEmisData!$B:$B, $A116, NewEmisData!$C:$C, $H116, NewEmisData!$D:$D, DB$6)</f>
        <v>0.117462182372974</v>
      </c>
      <c r="DC116" s="1111">
        <f t="shared" si="188"/>
        <v>0.117462182372974</v>
      </c>
      <c r="DD116" s="1111"/>
      <c r="DE116" s="1111"/>
      <c r="DF116" s="1111"/>
      <c r="DG116" s="1111"/>
      <c r="DH116" s="1111"/>
      <c r="DI116" s="1111"/>
      <c r="DJ116" s="1111"/>
      <c r="DK116" s="1111"/>
      <c r="DL116" s="1111"/>
      <c r="DM116" s="1111"/>
      <c r="DN116" s="1111"/>
      <c r="DO116" s="1111"/>
      <c r="DP116" s="1111"/>
      <c r="DQ116" s="1111"/>
      <c r="DR116" s="1111"/>
      <c r="DS116" s="1111"/>
      <c r="DT116" s="1111"/>
      <c r="DU116" s="1111"/>
      <c r="DV116" s="1111"/>
      <c r="DW116" s="1111"/>
      <c r="DX116" s="1111"/>
      <c r="DY116" s="1111"/>
      <c r="DZ116" s="1111">
        <f t="shared" si="189"/>
        <v>20.8218887386315</v>
      </c>
      <c r="EA116" s="1111">
        <f>SUMIFS(NewEmisData!E:E, NewEmisData!$A:$A, $G116, NewEmisData!$B:$B, $A116, NewEmisData!$C:$C, $H116, NewEmisData!$D:$D, EA$6)</f>
        <v>20.8218887386315</v>
      </c>
      <c r="EB116" s="1111">
        <f>SUMIFS(NewEmisData!F:F, NewEmisData!$A:$A, $G116, NewEmisData!$B:$B, $A116, NewEmisData!$C:$C, $H116, NewEmisData!$D:$D, EB$6)</f>
        <v>7.3439936033795297</v>
      </c>
      <c r="EC116" s="1111">
        <f>SUMIFS(NewEmisData!G:G, NewEmisData!$A:$A, $G116, NewEmisData!$B:$B, $A116, NewEmisData!$C:$C, $H116, NewEmisData!$D:$D, EC$6)</f>
        <v>6.0356206369280203</v>
      </c>
      <c r="ED116" s="1111">
        <f>SUMIFS(NewEmisData!H:H, NewEmisData!$A:$A, $G116, NewEmisData!$B:$B, $A116, NewEmisData!$C:$C, $H116, NewEmisData!$D:$D, ED$6)</f>
        <v>5.5823600108493201</v>
      </c>
      <c r="EE116" s="1111">
        <f>SUMIFS(NewEmisData!I:I, NewEmisData!$A:$A, $G116, NewEmisData!$B:$B, $A116, NewEmisData!$C:$C, $H116, NewEmisData!$D:$D, EE$6)</f>
        <v>5.0088319269148096</v>
      </c>
      <c r="EF116" s="1111">
        <f>SUMIFS(NewEmisData!J:J, NewEmisData!$A:$A, $G116, NewEmisData!$B:$B, $A116, NewEmisData!$C:$C, $H116, NewEmisData!$D:$D, EF$6)</f>
        <v>5.15226788375083</v>
      </c>
      <c r="EG116" s="1111">
        <f>SUMIFS(NewEmisData!K:K, NewEmisData!$A:$A, $G116, NewEmisData!$B:$B, $A116, NewEmisData!$C:$C, $H116, NewEmisData!$D:$D, EG$6)</f>
        <v>4.8220433630077002</v>
      </c>
      <c r="EH116" s="1111">
        <f>SUMIFS(NewEmisData!L:L, NewEmisData!$A:$A, $G116, NewEmisData!$B:$B, $A116, NewEmisData!$C:$C, $H116, NewEmisData!$D:$D, EH$6)</f>
        <v>4.8220933526120904</v>
      </c>
      <c r="EI116" s="1111">
        <f>SUMIFS(NewEmisData!M:M, NewEmisData!$A:$A, $G116, NewEmisData!$B:$B, $A116, NewEmisData!$C:$C, $H116, NewEmisData!$D:$D, EI$6)</f>
        <v>4.8555390504961302</v>
      </c>
      <c r="EJ116" s="1111">
        <f t="shared" si="190"/>
        <v>4.8555390504961302</v>
      </c>
      <c r="EK116" s="1111">
        <f t="shared" si="191"/>
        <v>1553.5210990931</v>
      </c>
      <c r="EL116" s="1111">
        <f t="shared" si="154"/>
        <v>1553.5210990931</v>
      </c>
      <c r="EM116" s="1111">
        <f t="shared" si="155"/>
        <v>1408.88496713674</v>
      </c>
      <c r="EN116" s="1111">
        <f t="shared" si="156"/>
        <v>1462.3627813248299</v>
      </c>
      <c r="EO116" s="1111">
        <f t="shared" si="157"/>
        <v>1432.84931920791</v>
      </c>
      <c r="EP116" s="1111">
        <f t="shared" si="158"/>
        <v>1425.2997832645599</v>
      </c>
      <c r="EQ116" s="1111">
        <f t="shared" si="159"/>
        <v>1411.72897391071</v>
      </c>
      <c r="ER116" s="1111">
        <f t="shared" si="160"/>
        <v>1408.8954231452899</v>
      </c>
      <c r="ES116" s="1111">
        <f t="shared" si="161"/>
        <v>1408.8503496293499</v>
      </c>
      <c r="ET116" s="1111">
        <f t="shared" si="162"/>
        <v>1408.9043821590301</v>
      </c>
      <c r="EU116" s="1111">
        <f t="shared" si="163"/>
        <v>1408.9043821590301</v>
      </c>
      <c r="EV116" s="1111">
        <f t="shared" si="192"/>
        <v>12.243629501244</v>
      </c>
      <c r="EW116" s="1111">
        <f t="shared" si="144"/>
        <v>12.243629501244</v>
      </c>
      <c r="EX116" s="1111">
        <f t="shared" si="145"/>
        <v>4.4057269822849499</v>
      </c>
      <c r="EY116" s="1111">
        <f t="shared" si="146"/>
        <v>2.5338719659062199</v>
      </c>
      <c r="EZ116" s="1111">
        <f t="shared" si="147"/>
        <v>1.97053635775459</v>
      </c>
      <c r="FA116" s="1111">
        <f t="shared" si="148"/>
        <v>1.73288574795435</v>
      </c>
      <c r="FB116" s="1111">
        <f t="shared" si="149"/>
        <v>1.7912592346090399</v>
      </c>
      <c r="FC116" s="1111">
        <f t="shared" si="150"/>
        <v>1.6389959510055401</v>
      </c>
      <c r="FD116" s="1111">
        <f t="shared" si="151"/>
        <v>1.6389971437373501</v>
      </c>
      <c r="FE116" s="1111">
        <f t="shared" si="152"/>
        <v>1.6413497936376999</v>
      </c>
      <c r="FF116" s="1111">
        <f t="shared" si="153"/>
        <v>1.6413497936376999</v>
      </c>
      <c r="FG116" s="1111">
        <f t="shared" ref="FG116:FG181" si="193">AE116</f>
        <v>7.5181123500885298E-3</v>
      </c>
      <c r="FH116" s="1111">
        <f t="shared" ref="FH116:FH181" si="194">AF116</f>
        <v>7.5181123500885298E-3</v>
      </c>
      <c r="FI116" s="1111">
        <f t="shared" ref="FI116:FI181" si="195">AG116</f>
        <v>6.72193717894523E-3</v>
      </c>
      <c r="FJ116" s="1111">
        <f t="shared" ref="FJ116:FJ181" si="196">AH116</f>
        <v>7.7424633042752298E-3</v>
      </c>
      <c r="FK116" s="1111">
        <f t="shared" ref="FK116:FK181" si="197">AI116</f>
        <v>7.5862031517122301E-3</v>
      </c>
      <c r="FL116" s="1111">
        <f t="shared" ref="FL116:FL181" si="198">AJ116</f>
        <v>7.5462363983801496E-3</v>
      </c>
      <c r="FM116" s="1111">
        <f t="shared" ref="FM116:FM181" si="199">AK116</f>
        <v>7.4743875655051799E-3</v>
      </c>
      <c r="FN116" s="1111">
        <f t="shared" ref="FN116:FN181" si="200">AL116</f>
        <v>7.4593805624821796E-3</v>
      </c>
      <c r="FO116" s="1111">
        <f t="shared" ref="FO116:FO181" si="201">AM116</f>
        <v>7.4591468383354304E-3</v>
      </c>
      <c r="FP116" s="1111">
        <f t="shared" ref="FP116:FP181" si="202">AN116</f>
        <v>7.4594296654913296E-3</v>
      </c>
      <c r="FQ116" s="1111">
        <f t="shared" ref="FQ116:FQ181" si="203">AO116</f>
        <v>7.4594296654913296E-3</v>
      </c>
      <c r="FR116" s="1111">
        <f t="shared" si="133"/>
        <v>0.39638833463587397</v>
      </c>
      <c r="FS116" s="1111">
        <f t="shared" si="134"/>
        <v>0.39638833463587397</v>
      </c>
      <c r="FT116" s="1111">
        <f t="shared" si="135"/>
        <v>0.29090093127093197</v>
      </c>
      <c r="FU116" s="1111">
        <f t="shared" si="136"/>
        <v>0.30512480081238003</v>
      </c>
      <c r="FV116" s="1111">
        <f t="shared" si="137"/>
        <v>0.30228358490423202</v>
      </c>
      <c r="FW116" s="1111">
        <f t="shared" si="138"/>
        <v>0.30366691295985598</v>
      </c>
      <c r="FX116" s="1111">
        <f t="shared" si="139"/>
        <v>0.30208997800131698</v>
      </c>
      <c r="FY116" s="1111">
        <f t="shared" si="140"/>
        <v>0.30173562336722598</v>
      </c>
      <c r="FZ116" s="1111">
        <f t="shared" si="141"/>
        <v>0.30173549102415298</v>
      </c>
      <c r="GA116" s="1111">
        <f t="shared" si="142"/>
        <v>0.301808555330837</v>
      </c>
      <c r="GB116" s="1111">
        <f t="shared" si="143"/>
        <v>0.301808555330837</v>
      </c>
      <c r="GC116" s="1111">
        <f t="shared" si="164"/>
        <v>0.16760085093958199</v>
      </c>
      <c r="GD116" s="1111">
        <f t="shared" si="165"/>
        <v>0.16760085093958199</v>
      </c>
      <c r="GE116" s="1111">
        <f t="shared" si="166"/>
        <v>7.4285465319141195E-2</v>
      </c>
      <c r="GF116" s="1111">
        <f t="shared" si="167"/>
        <v>4.3481827085775297E-2</v>
      </c>
      <c r="GG116" s="1111">
        <f t="shared" si="168"/>
        <v>4.0968421942404701E-2</v>
      </c>
      <c r="GH116" s="1111">
        <f t="shared" si="169"/>
        <v>4.21915697435057E-2</v>
      </c>
      <c r="GI116" s="1111">
        <f t="shared" si="170"/>
        <v>4.0796629114503602E-2</v>
      </c>
      <c r="GJ116" s="1111">
        <f t="shared" si="171"/>
        <v>4.0483008408731903E-2</v>
      </c>
      <c r="GK116" s="1111">
        <f t="shared" si="172"/>
        <v>4.0483108528960102E-2</v>
      </c>
      <c r="GL116" s="1111">
        <f t="shared" si="173"/>
        <v>4.0547746759359002E-2</v>
      </c>
      <c r="GM116" s="1111">
        <f t="shared" si="174"/>
        <v>4.0547746759359002E-2</v>
      </c>
    </row>
    <row r="117" spans="1:195" x14ac:dyDescent="0.2">
      <c r="A117" s="1071" t="s">
        <v>182</v>
      </c>
      <c r="B117" s="1071" t="str">
        <f>NewTech!B31</f>
        <v>TBCNGAH</v>
      </c>
      <c r="C117" s="1071" t="str">
        <f>NewTech!C31</f>
        <v>Bus, Advanced Hybird CNG</v>
      </c>
      <c r="D117" s="1071" t="str">
        <f>NewTech!D31</f>
        <v>bn-vmt, bn-vmt/a</v>
      </c>
      <c r="E117" s="1071" t="str">
        <f>NewTech!E31</f>
        <v>TBCNG</v>
      </c>
      <c r="F117" s="1071" t="str">
        <f>NewTech!F31</f>
        <v>TB</v>
      </c>
      <c r="G117" s="1110" t="s">
        <v>498</v>
      </c>
      <c r="H117" s="1110" t="s">
        <v>501</v>
      </c>
      <c r="I117" s="1112">
        <v>1</v>
      </c>
      <c r="J117" s="1111" t="str">
        <f t="shared" si="37"/>
        <v>Bus-CNG</v>
      </c>
      <c r="K117" s="1111">
        <f>SUMIFS(NewEmisData!E:E, NewEmisData!$A:$A, $G117, NewEmisData!$B:$B, $A117, NewEmisData!$C:$C, $H117, NewEmisData!$D:$D, K$6)</f>
        <v>1404.3271128133699</v>
      </c>
      <c r="L117" s="1111">
        <f>SUMIFS(NewEmisData!F:F, NewEmisData!$A:$A, $G117, NewEmisData!$B:$B, $A117, NewEmisData!$C:$C, $H117, NewEmisData!$D:$D, L$6)</f>
        <v>1439.6601314125801</v>
      </c>
      <c r="M117" s="1111">
        <f>SUMIFS(NewEmisData!G:G, NewEmisData!$A:$A, $G117, NewEmisData!$B:$B, $A117, NewEmisData!$C:$C, $H117, NewEmisData!$D:$D, M$6)</f>
        <v>1684.18271883701</v>
      </c>
      <c r="N117" s="1111">
        <f>SUMIFS(NewEmisData!H:H, NewEmisData!$A:$A, $G117, NewEmisData!$B:$B, $A117, NewEmisData!$C:$C, $H117, NewEmisData!$D:$D, N$6)</f>
        <v>1650.6602334367401</v>
      </c>
      <c r="O117" s="1111">
        <f>SUMIFS(NewEmisData!I:I, NewEmisData!$A:$A, $G117, NewEmisData!$B:$B, $A117, NewEmisData!$C:$C, $H117, NewEmisData!$D:$D, O$6)</f>
        <v>1642.1438923528999</v>
      </c>
      <c r="P117" s="1111">
        <f>SUMIFS(NewEmisData!J:J, NewEmisData!$A:$A, $G117, NewEmisData!$B:$B, $A117, NewEmisData!$C:$C, $H117, NewEmisData!$D:$D, P$6)</f>
        <v>1626.66978660524</v>
      </c>
      <c r="Q117" s="1111">
        <f>SUMIFS(NewEmisData!K:K, NewEmisData!$A:$A, $G117, NewEmisData!$B:$B, $A117, NewEmisData!$C:$C, $H117, NewEmisData!$D:$D, Q$6)</f>
        <v>1623.30402513322</v>
      </c>
      <c r="R117" s="1111">
        <f>SUMIFS(NewEmisData!L:L, NewEmisData!$A:$A, $G117, NewEmisData!$B:$B, $A117, NewEmisData!$C:$C, $H117, NewEmisData!$D:$D, R$6)</f>
        <v>1623.2520614663099</v>
      </c>
      <c r="S117" s="1111">
        <f>SUMIFS(NewEmisData!M:M, NewEmisData!$A:$A, $G117, NewEmisData!$B:$B, $A117, NewEmisData!$C:$C, $H117, NewEmisData!$D:$D, S$6)</f>
        <v>1623.40710518732</v>
      </c>
      <c r="T117" s="1111">
        <f t="shared" si="131"/>
        <v>1623.40710518732</v>
      </c>
      <c r="U117" s="1111">
        <f>SUMIFS(NewEmisData!E:E, NewEmisData!$A:$A, $G117, NewEmisData!$B:$B, $A117, NewEmisData!$C:$C, $H117, NewEmisData!$D:$D, U$6)</f>
        <v>8.5641579152449303</v>
      </c>
      <c r="V117" s="1111">
        <f>SUMIFS(NewEmisData!F:F, NewEmisData!$A:$A, $G117, NewEmisData!$B:$B, $A117, NewEmisData!$C:$C, $H117, NewEmisData!$D:$D, V$6)</f>
        <v>9.6580110235574494</v>
      </c>
      <c r="W117" s="1111">
        <f>SUMIFS(NewEmisData!G:G, NewEmisData!$A:$A, $G117, NewEmisData!$B:$B, $A117, NewEmisData!$C:$C, $H117, NewEmisData!$D:$D, W$6)</f>
        <v>2.7867389528720699</v>
      </c>
      <c r="X117" s="1111">
        <f>SUMIFS(NewEmisData!H:H, NewEmisData!$A:$A, $G117, NewEmisData!$B:$B, $A117, NewEmisData!$C:$C, $H117, NewEmisData!$D:$D, X$6)</f>
        <v>2.1696941290079601</v>
      </c>
      <c r="Y117" s="1111">
        <f>SUMIFS(NewEmisData!I:I, NewEmisData!$A:$A, $G117, NewEmisData!$B:$B, $A117, NewEmisData!$C:$C, $H117, NewEmisData!$D:$D, Y$6)</f>
        <v>1.9058529098653401</v>
      </c>
      <c r="Z117" s="1111">
        <f>SUMIFS(NewEmisData!J:J, NewEmisData!$A:$A, $G117, NewEmisData!$B:$B, $A117, NewEmisData!$C:$C, $H117, NewEmisData!$D:$D, Z$6)</f>
        <v>1.9715548791583399</v>
      </c>
      <c r="AA117" s="1111">
        <f>SUMIFS(NewEmisData!K:K, NewEmisData!$A:$A, $G117, NewEmisData!$B:$B, $A117, NewEmisData!$C:$C, $H117, NewEmisData!$D:$D, AA$6)</f>
        <v>1.80325718220481</v>
      </c>
      <c r="AB117" s="1111">
        <f>SUMIFS(NewEmisData!L:L, NewEmisData!$A:$A, $G117, NewEmisData!$B:$B, $A117, NewEmisData!$C:$C, $H117, NewEmisData!$D:$D, AB$6)</f>
        <v>1.80325766566259</v>
      </c>
      <c r="AC117" s="1111">
        <f>SUMIFS(NewEmisData!M:M, NewEmisData!$A:$A, $G117, NewEmisData!$B:$B, $A117, NewEmisData!$C:$C, $H117, NewEmisData!$D:$D, AC$6)</f>
        <v>1.80600275766325</v>
      </c>
      <c r="AD117" s="1111">
        <f t="shared" si="132"/>
        <v>1.80600275766325</v>
      </c>
      <c r="AE117" s="1111">
        <f t="shared" si="175"/>
        <v>7.0600558638666397E-3</v>
      </c>
      <c r="AF117" s="1111">
        <f>SUMIFS(NewEmisData!E:E, NewEmisData!$A:$A, $G117, NewEmisData!$B:$B, $A117, NewEmisData!$C:$C, $H117, NewEmisData!$D:$D, AF$6)</f>
        <v>7.0600558638666397E-3</v>
      </c>
      <c r="AG117" s="1111">
        <f>SUMIFS(NewEmisData!F:F, NewEmisData!$A:$A, $G117, NewEmisData!$B:$B, $A117, NewEmisData!$C:$C, $H117, NewEmisData!$D:$D, AG$6)</f>
        <v>7.2188807538929303E-3</v>
      </c>
      <c r="AH117" s="1111">
        <f>SUMIFS(NewEmisData!G:G, NewEmisData!$A:$A, $G117, NewEmisData!$B:$B, $A117, NewEmisData!$C:$C, $H117, NewEmisData!$D:$D, AH$6)</f>
        <v>8.9168853601401706E-3</v>
      </c>
      <c r="AI117" s="1111">
        <f>SUMIFS(NewEmisData!H:H, NewEmisData!$A:$A, $G117, NewEmisData!$B:$B, $A117, NewEmisData!$C:$C, $H117, NewEmisData!$D:$D, AI$6)</f>
        <v>8.7394055968140292E-3</v>
      </c>
      <c r="AJ117" s="1111">
        <f>SUMIFS(NewEmisData!I:I, NewEmisData!$A:$A, $G117, NewEmisData!$B:$B, $A117, NewEmisData!$C:$C, $H117, NewEmisData!$D:$D, AJ$6)</f>
        <v>8.6943184966646898E-3</v>
      </c>
      <c r="AK117" s="1111">
        <f>SUMIFS(NewEmisData!J:J, NewEmisData!$A:$A, $G117, NewEmisData!$B:$B, $A117, NewEmisData!$C:$C, $H117, NewEmisData!$D:$D, AK$6)</f>
        <v>8.6123852585138806E-3</v>
      </c>
      <c r="AL117" s="1111">
        <f>SUMIFS(NewEmisData!K:K, NewEmisData!$A:$A, $G117, NewEmisData!$B:$B, $A117, NewEmisData!$C:$C, $H117, NewEmisData!$D:$D, AL$6)</f>
        <v>8.5945646137361408E-3</v>
      </c>
      <c r="AM117" s="1111">
        <f>SUMIFS(NewEmisData!L:L, NewEmisData!$A:$A, $G117, NewEmisData!$B:$B, $A117, NewEmisData!$C:$C, $H117, NewEmisData!$D:$D, AM$6)</f>
        <v>8.5942912264795907E-3</v>
      </c>
      <c r="AN117" s="1111">
        <f>SUMIFS(NewEmisData!M:M, NewEmisData!$A:$A, $G117, NewEmisData!$B:$B, $A117, NewEmisData!$C:$C, $H117, NewEmisData!$D:$D, AN$6)</f>
        <v>8.5951166029417398E-3</v>
      </c>
      <c r="AO117" s="1111">
        <f t="shared" si="176"/>
        <v>8.5951166029417398E-3</v>
      </c>
      <c r="AP117" s="1111">
        <f t="shared" si="177"/>
        <v>0.308686971765607</v>
      </c>
      <c r="AQ117" s="1111">
        <f>SUMIFS(NewEmisData!E:E, NewEmisData!$A:$A, $G117, NewEmisData!$B:$B, $A117, NewEmisData!$C:$C, $H117, NewEmisData!$D:$D, AQ$6)</f>
        <v>0.308686971765607</v>
      </c>
      <c r="AR117" s="1111">
        <f>SUMIFS(NewEmisData!F:F, NewEmisData!$A:$A, $G117, NewEmisData!$B:$B, $A117, NewEmisData!$C:$C, $H117, NewEmisData!$D:$D, AR$6)</f>
        <v>0.3514917426559</v>
      </c>
      <c r="AS117" s="1111">
        <f>SUMIFS(NewEmisData!G:G, NewEmisData!$A:$A, $G117, NewEmisData!$B:$B, $A117, NewEmisData!$C:$C, $H117, NewEmisData!$D:$D, AS$6)</f>
        <v>0.41477994422651598</v>
      </c>
      <c r="AT117" s="1111">
        <f>SUMIFS(NewEmisData!H:H, NewEmisData!$A:$A, $G117, NewEmisData!$B:$B, $A117, NewEmisData!$C:$C, $H117, NewEmisData!$D:$D, AT$6)</f>
        <v>0.41175694437029597</v>
      </c>
      <c r="AU117" s="1111">
        <f>SUMIFS(NewEmisData!I:I, NewEmisData!$A:$A, $G117, NewEmisData!$B:$B, $A117, NewEmisData!$C:$C, $H117, NewEmisData!$D:$D, AU$6)</f>
        <v>0.41302179377238901</v>
      </c>
      <c r="AV117" s="1111">
        <f>SUMIFS(NewEmisData!J:J, NewEmisData!$A:$A, $G117, NewEmisData!$B:$B, $A117, NewEmisData!$C:$C, $H117, NewEmisData!$D:$D, AV$6)</f>
        <v>0.411506559794103</v>
      </c>
      <c r="AW117" s="1111">
        <f>SUMIFS(NewEmisData!K:K, NewEmisData!$A:$A, $G117, NewEmisData!$B:$B, $A117, NewEmisData!$C:$C, $H117, NewEmisData!$D:$D, AW$6)</f>
        <v>0.41104277522581101</v>
      </c>
      <c r="AX117" s="1111">
        <f>SUMIFS(NewEmisData!L:L, NewEmisData!$A:$A, $G117, NewEmisData!$B:$B, $A117, NewEmisData!$C:$C, $H117, NewEmisData!$D:$D, AX$6)</f>
        <v>0.41104274130226698</v>
      </c>
      <c r="AY117" s="1111">
        <f>SUMIFS(NewEmisData!M:M, NewEmisData!$A:$A, $G117, NewEmisData!$B:$B, $A117, NewEmisData!$C:$C, $H117, NewEmisData!$D:$D, AY$6)</f>
        <v>0.41112796490950498</v>
      </c>
      <c r="AZ117" s="1111">
        <f t="shared" si="178"/>
        <v>0.41112796490950498</v>
      </c>
      <c r="BA117" s="1111">
        <f t="shared" si="179"/>
        <v>8.1280068089980395E-2</v>
      </c>
      <c r="BB117" s="1111">
        <f>SUMIFS(NewEmisData!E:E, NewEmisData!$A:$A, $G117, NewEmisData!$B:$B, $A117, NewEmisData!$C:$C, $H117, NewEmisData!$D:$D, BB$6)</f>
        <v>8.1280068089980395E-2</v>
      </c>
      <c r="BC117" s="1111">
        <f>SUMIFS(NewEmisData!F:F, NewEmisData!$A:$A, $G117, NewEmisData!$B:$B, $A117, NewEmisData!$C:$C, $H117, NewEmisData!$D:$D, BC$6)</f>
        <v>0.119146422058294</v>
      </c>
      <c r="BD117" s="1111">
        <f>SUMIFS(NewEmisData!G:G, NewEmisData!$A:$A, $G117, NewEmisData!$B:$B, $A117, NewEmisData!$C:$C, $H117, NewEmisData!$D:$D, BD$6)</f>
        <v>5.78893636806442E-2</v>
      </c>
      <c r="BE117" s="1111">
        <f>SUMIFS(NewEmisData!H:H, NewEmisData!$A:$A, $G117, NewEmisData!$B:$B, $A117, NewEmisData!$C:$C, $H117, NewEmisData!$D:$D, BE$6)</f>
        <v>5.5215677186708403E-2</v>
      </c>
      <c r="BF117" s="1111">
        <f>SUMIFS(NewEmisData!I:I, NewEmisData!$A:$A, $G117, NewEmisData!$B:$B, $A117, NewEmisData!$C:$C, $H117, NewEmisData!$D:$D, BF$6)</f>
        <v>5.6334175336776801E-2</v>
      </c>
      <c r="BG117" s="1111">
        <f>SUMIFS(NewEmisData!J:J, NewEmisData!$A:$A, $G117, NewEmisData!$B:$B, $A117, NewEmisData!$C:$C, $H117, NewEmisData!$D:$D, BG$6)</f>
        <v>5.4993730550411797E-2</v>
      </c>
      <c r="BH117" s="1111">
        <f>SUMIFS(NewEmisData!K:K, NewEmisData!$A:$A, $G117, NewEmisData!$B:$B, $A117, NewEmisData!$C:$C, $H117, NewEmisData!$D:$D, BH$6)</f>
        <v>5.4583411925712401E-2</v>
      </c>
      <c r="BI117" s="1111">
        <f>SUMIFS(NewEmisData!L:L, NewEmisData!$A:$A, $G117, NewEmisData!$B:$B, $A117, NewEmisData!$C:$C, $H117, NewEmisData!$D:$D, BI$6)</f>
        <v>5.4583454840025802E-2</v>
      </c>
      <c r="BJ117" s="1111">
        <f>SUMIFS(NewEmisData!M:M, NewEmisData!$A:$A, $G117, NewEmisData!$B:$B, $A117, NewEmisData!$C:$C, $H117, NewEmisData!$D:$D, BJ$6)</f>
        <v>5.4658632223239703E-2</v>
      </c>
      <c r="BK117" s="1111">
        <f t="shared" si="180"/>
        <v>5.4658632223239703E-2</v>
      </c>
      <c r="BL117" s="1111">
        <f t="shared" si="181"/>
        <v>9.6002010924587093</v>
      </c>
      <c r="BM117" s="1111">
        <f>SUMIFS(NewEmisData!E:E, NewEmisData!$A:$A, $G117, NewEmisData!$B:$B, $A117, NewEmisData!$C:$C, $H117, NewEmisData!$D:$D, BM$6)</f>
        <v>9.6002010924587093</v>
      </c>
      <c r="BN117" s="1111">
        <f>SUMIFS(NewEmisData!F:F, NewEmisData!$A:$A, $G117, NewEmisData!$B:$B, $A117, NewEmisData!$C:$C, $H117, NewEmisData!$D:$D, BN$6)</f>
        <v>12.295523518061101</v>
      </c>
      <c r="BO117" s="1111">
        <f>SUMIFS(NewEmisData!G:G, NewEmisData!$A:$A, $G117, NewEmisData!$B:$B, $A117, NewEmisData!$C:$C, $H117, NewEmisData!$D:$D, BO$6)</f>
        <v>7.0375198956390097</v>
      </c>
      <c r="BP117" s="1111">
        <f>SUMIFS(NewEmisData!H:H, NewEmisData!$A:$A, $G117, NewEmisData!$B:$B, $A117, NewEmisData!$C:$C, $H117, NewEmisData!$D:$D, BP$6)</f>
        <v>8.2046027913723396</v>
      </c>
      <c r="BQ117" s="1111">
        <f>SUMIFS(NewEmisData!I:I, NewEmisData!$A:$A, $G117, NewEmisData!$B:$B, $A117, NewEmisData!$C:$C, $H117, NewEmisData!$D:$D, BQ$6)</f>
        <v>8.4950302260998694</v>
      </c>
      <c r="BR117" s="1111">
        <f>SUMIFS(NewEmisData!J:J, NewEmisData!$A:$A, $G117, NewEmisData!$B:$B, $A117, NewEmisData!$C:$C, $H117, NewEmisData!$D:$D, BR$6)</f>
        <v>8.2450068898439604</v>
      </c>
      <c r="BS117" s="1111">
        <f>SUMIFS(NewEmisData!K:K, NewEmisData!$A:$A, $G117, NewEmisData!$B:$B, $A117, NewEmisData!$C:$C, $H117, NewEmisData!$D:$D, BS$6)</f>
        <v>8.3127507941159706</v>
      </c>
      <c r="BT117" s="1111">
        <f>SUMIFS(NewEmisData!L:L, NewEmisData!$A:$A, $G117, NewEmisData!$B:$B, $A117, NewEmisData!$C:$C, $H117, NewEmisData!$D:$D, BT$6)</f>
        <v>8.3127918839105899</v>
      </c>
      <c r="BU117" s="1111">
        <f>SUMIFS(NewEmisData!M:M, NewEmisData!$A:$A, $G117, NewEmisData!$B:$B, $A117, NewEmisData!$C:$C, $H117, NewEmisData!$D:$D, BU$6)</f>
        <v>8.3693590724444107</v>
      </c>
      <c r="BV117" s="1111">
        <f t="shared" si="182"/>
        <v>8.3693590724444107</v>
      </c>
      <c r="BW117" s="1111">
        <f t="shared" si="183"/>
        <v>1.6758131705313</v>
      </c>
      <c r="BX117" s="1111">
        <f>SUMIFS(NewEmisData!E:E, NewEmisData!$A:$A, $G117, NewEmisData!$B:$B, $A117, NewEmisData!$C:$C, $H117, NewEmisData!$D:$D, BX$6)</f>
        <v>1.6758131705313</v>
      </c>
      <c r="BY117" s="1111">
        <f>SUMIFS(NewEmisData!F:F, NewEmisData!$A:$A, $G117, NewEmisData!$B:$B, $A117, NewEmisData!$C:$C, $H117, NewEmisData!$D:$D, BY$6)</f>
        <v>2.1481115710610101</v>
      </c>
      <c r="BZ117" s="1111">
        <f>SUMIFS(NewEmisData!G:G, NewEmisData!$A:$A, $G117, NewEmisData!$B:$B, $A117, NewEmisData!$C:$C, $H117, NewEmisData!$D:$D, BZ$6)</f>
        <v>0.473134078922954</v>
      </c>
      <c r="CA117" s="1111">
        <f>SUMIFS(NewEmisData!H:H, NewEmisData!$A:$A, $G117, NewEmisData!$B:$B, $A117, NewEmisData!$C:$C, $H117, NewEmisData!$D:$D, CA$6)</f>
        <v>0.35719325934370499</v>
      </c>
      <c r="CB117" s="1111">
        <f>SUMIFS(NewEmisData!I:I, NewEmisData!$A:$A, $G117, NewEmisData!$B:$B, $A117, NewEmisData!$C:$C, $H117, NewEmisData!$D:$D, CB$6)</f>
        <v>0.33875927128073402</v>
      </c>
      <c r="CC117" s="1111">
        <f>SUMIFS(NewEmisData!J:J, NewEmisData!$A:$A, $G117, NewEmisData!$B:$B, $A117, NewEmisData!$C:$C, $H117, NewEmisData!$D:$D, CC$6)</f>
        <v>0.32794018119465101</v>
      </c>
      <c r="CD117" s="1111">
        <f>SUMIFS(NewEmisData!K:K, NewEmisData!$A:$A, $G117, NewEmisData!$B:$B, $A117, NewEmisData!$C:$C, $H117, NewEmisData!$D:$D, CD$6)</f>
        <v>0.30584592560252699</v>
      </c>
      <c r="CE117" s="1111">
        <f>SUMIFS(NewEmisData!L:L, NewEmisData!$A:$A, $G117, NewEmisData!$B:$B, $A117, NewEmisData!$C:$C, $H117, NewEmisData!$D:$D, CE$6)</f>
        <v>0.30584880738436099</v>
      </c>
      <c r="CF117" s="1111">
        <f>SUMIFS(NewEmisData!M:M, NewEmisData!$A:$A, $G117, NewEmisData!$B:$B, $A117, NewEmisData!$C:$C, $H117, NewEmisData!$D:$D, CF$6)</f>
        <v>0.30802455669086698</v>
      </c>
      <c r="CG117" s="1111">
        <f t="shared" si="184"/>
        <v>0.30802455669086698</v>
      </c>
      <c r="CH117" s="1111">
        <f t="shared" si="185"/>
        <v>4.2670972902907597E-2</v>
      </c>
      <c r="CI117" s="1111">
        <f>SUMIFS(NewEmisData!E:E, NewEmisData!$A:$A, $G117, NewEmisData!$B:$B, $A117, NewEmisData!$C:$C, $H117, NewEmisData!$D:$D, CI$6)</f>
        <v>4.2670972902907597E-2</v>
      </c>
      <c r="CJ117" s="1111">
        <f>SUMIFS(NewEmisData!F:F, NewEmisData!$A:$A, $G117, NewEmisData!$B:$B, $A117, NewEmisData!$C:$C, $H117, NewEmisData!$D:$D, CJ$6)</f>
        <v>4.2670927259417797E-2</v>
      </c>
      <c r="CK117" s="1111">
        <f>SUMIFS(NewEmisData!G:G, NewEmisData!$A:$A, $G117, NewEmisData!$B:$B, $A117, NewEmisData!$C:$C, $H117, NewEmisData!$D:$D, CK$6)</f>
        <v>6.0175723532765499E-2</v>
      </c>
      <c r="CL117" s="1111">
        <f>SUMIFS(NewEmisData!H:H, NewEmisData!$A:$A, $G117, NewEmisData!$B:$B, $A117, NewEmisData!$C:$C, $H117, NewEmisData!$D:$D, CL$6)</f>
        <v>6.01695414399568E-2</v>
      </c>
      <c r="CM117" s="1111">
        <f>SUMIFS(NewEmisData!I:I, NewEmisData!$A:$A, $G117, NewEmisData!$B:$B, $A117, NewEmisData!$C:$C, $H117, NewEmisData!$D:$D, CM$6)</f>
        <v>6.0167450908081101E-2</v>
      </c>
      <c r="CN117" s="1111">
        <f>SUMIFS(NewEmisData!J:J, NewEmisData!$A:$A, $G117, NewEmisData!$B:$B, $A117, NewEmisData!$C:$C, $H117, NewEmisData!$D:$D, CN$6)</f>
        <v>6.0164712219486001E-2</v>
      </c>
      <c r="CO117" s="1111">
        <f>SUMIFS(NewEmisData!K:K, NewEmisData!$A:$A, $G117, NewEmisData!$B:$B, $A117, NewEmisData!$C:$C, $H117, NewEmisData!$D:$D, CO$6)</f>
        <v>6.0164240366087897E-2</v>
      </c>
      <c r="CP117" s="1111">
        <f>SUMIFS(NewEmisData!L:L, NewEmisData!$A:$A, $G117, NewEmisData!$B:$B, $A117, NewEmisData!$C:$C, $H117, NewEmisData!$D:$D, CP$6)</f>
        <v>6.0164163764798897E-2</v>
      </c>
      <c r="CQ117" s="1111">
        <f>SUMIFS(NewEmisData!M:M, NewEmisData!$A:$A, $G117, NewEmisData!$B:$B, $A117, NewEmisData!$C:$C, $H117, NewEmisData!$D:$D, CQ$6)</f>
        <v>6.0164193249358199E-2</v>
      </c>
      <c r="CR117" s="1111">
        <f t="shared" si="186"/>
        <v>6.0164193249358199E-2</v>
      </c>
      <c r="CS117" s="1111">
        <f t="shared" si="187"/>
        <v>0.183740644616634</v>
      </c>
      <c r="CT117" s="1111">
        <f>SUMIFS(NewEmisData!E:E, NewEmisData!$A:$A, $G117, NewEmisData!$B:$B, $A117, NewEmisData!$C:$C, $H117, NewEmisData!$D:$D, CT$6)</f>
        <v>0.183740644616634</v>
      </c>
      <c r="CU117" s="1111">
        <f>SUMIFS(NewEmisData!F:F, NewEmisData!$A:$A, $G117, NewEmisData!$B:$B, $A117, NewEmisData!$C:$C, $H117, NewEmisData!$D:$D, CU$6)</f>
        <v>0.16180582571136101</v>
      </c>
      <c r="CV117" s="1111">
        <f>SUMIFS(NewEmisData!G:G, NewEmisData!$A:$A, $G117, NewEmisData!$B:$B, $A117, NewEmisData!$C:$C, $H117, NewEmisData!$D:$D, CV$6)</f>
        <v>0.18955111286908199</v>
      </c>
      <c r="CW117" s="1111">
        <f>SUMIFS(NewEmisData!H:H, NewEmisData!$A:$A, $G117, NewEmisData!$B:$B, $A117, NewEmisData!$C:$C, $H117, NewEmisData!$D:$D, CW$6)</f>
        <v>0.19191147173666101</v>
      </c>
      <c r="CX117" s="1111">
        <f>SUMIFS(NewEmisData!I:I, NewEmisData!$A:$A, $G117, NewEmisData!$B:$B, $A117, NewEmisData!$C:$C, $H117, NewEmisData!$D:$D, CX$6)</f>
        <v>0.19303868220418799</v>
      </c>
      <c r="CY117" s="1111">
        <f>SUMIFS(NewEmisData!J:J, NewEmisData!$A:$A, $G117, NewEmisData!$B:$B, $A117, NewEmisData!$C:$C, $H117, NewEmisData!$D:$D, CY$6)</f>
        <v>0.19351598474610199</v>
      </c>
      <c r="CZ117" s="1111">
        <f>SUMIFS(NewEmisData!K:K, NewEmisData!$A:$A, $G117, NewEmisData!$B:$B, $A117, NewEmisData!$C:$C, $H117, NewEmisData!$D:$D, CZ$6)</f>
        <v>0.191854404911007</v>
      </c>
      <c r="DA117" s="1111">
        <f>SUMIFS(NewEmisData!L:L, NewEmisData!$A:$A, $G117, NewEmisData!$B:$B, $A117, NewEmisData!$C:$C, $H117, NewEmisData!$D:$D, DA$6)</f>
        <v>0.19185262658754099</v>
      </c>
      <c r="DB117" s="1111">
        <f>SUMIFS(NewEmisData!M:M, NewEmisData!$A:$A, $G117, NewEmisData!$B:$B, $A117, NewEmisData!$C:$C, $H117, NewEmisData!$D:$D, DB$6)</f>
        <v>0.19312216871318899</v>
      </c>
      <c r="DC117" s="1111">
        <f t="shared" si="188"/>
        <v>0.19312216871318899</v>
      </c>
      <c r="DD117" s="1111">
        <v>9.838732208669888E-3</v>
      </c>
      <c r="DE117" s="1111">
        <v>5.4030262224081206E-3</v>
      </c>
      <c r="DF117" s="1111">
        <v>1.0487650130616144E-3</v>
      </c>
      <c r="DG117" s="1111">
        <v>2.7510109386332459E-4</v>
      </c>
      <c r="DH117" s="1111">
        <v>2.5415063000549772E-4</v>
      </c>
      <c r="DI117" s="1111">
        <v>2.539715317459818E-4</v>
      </c>
      <c r="DJ117" s="1111">
        <v>2.5405818908282566E-4</v>
      </c>
      <c r="DK117" s="1111">
        <v>2.5405483284236455E-4</v>
      </c>
      <c r="DL117" s="1111">
        <v>2.541202717389235E-4</v>
      </c>
      <c r="DM117" s="1111">
        <v>2.5415899051356336E-4</v>
      </c>
      <c r="DN117" s="1111">
        <v>2.5415899051356336E-4</v>
      </c>
      <c r="DO117" s="1111">
        <v>3.9260593703563405E-2</v>
      </c>
      <c r="DP117" s="1111">
        <v>2.1413986260209197E-2</v>
      </c>
      <c r="DQ117" s="1111">
        <v>3.9500309260564132E-3</v>
      </c>
      <c r="DR117" s="1111">
        <v>9.2680125243411614E-4</v>
      </c>
      <c r="DS117" s="1111">
        <v>8.5622412783254245E-4</v>
      </c>
      <c r="DT117" s="1111">
        <v>8.5562086259629222E-4</v>
      </c>
      <c r="DU117" s="1111">
        <v>8.559127463082085E-4</v>
      </c>
      <c r="DV117" s="1111">
        <v>8.5590141612128148E-4</v>
      </c>
      <c r="DW117" s="1111">
        <v>8.5612191768918251E-4</v>
      </c>
      <c r="DX117" s="1111">
        <v>8.562523688113036E-4</v>
      </c>
      <c r="DY117" s="1111">
        <v>8.562523688113036E-4</v>
      </c>
      <c r="DZ117" s="1111">
        <f t="shared" si="189"/>
        <v>16.673115899025799</v>
      </c>
      <c r="EA117" s="1111">
        <f>SUMIFS(NewEmisData!E:E, NewEmisData!$A:$A, $G117, NewEmisData!$B:$B, $A117, NewEmisData!$C:$C, $H117, NewEmisData!$D:$D, EA$6)</f>
        <v>16.673115899025799</v>
      </c>
      <c r="EB117" s="1111">
        <f>SUMIFS(NewEmisData!F:F, NewEmisData!$A:$A, $G117, NewEmisData!$B:$B, $A117, NewEmisData!$C:$C, $H117, NewEmisData!$D:$D, EB$6)</f>
        <v>18.1238089179102</v>
      </c>
      <c r="EC117" s="1111">
        <f>SUMIFS(NewEmisData!G:G, NewEmisData!$A:$A, $G117, NewEmisData!$B:$B, $A117, NewEmisData!$C:$C, $H117, NewEmisData!$D:$D, EC$6)</f>
        <v>7.8929936267624203</v>
      </c>
      <c r="ED117" s="1111">
        <f>SUMIFS(NewEmisData!H:H, NewEmisData!$A:$A, $G117, NewEmisData!$B:$B, $A117, NewEmisData!$C:$C, $H117, NewEmisData!$D:$D, ED$6)</f>
        <v>7.3391360413522797</v>
      </c>
      <c r="EE117" s="1111">
        <f>SUMIFS(NewEmisData!I:I, NewEmisData!$A:$A, $G117, NewEmisData!$B:$B, $A117, NewEmisData!$C:$C, $H117, NewEmisData!$D:$D, EE$6)</f>
        <v>6.56449009849179</v>
      </c>
      <c r="EF117" s="1111">
        <f>SUMIFS(NewEmisData!J:J, NewEmisData!$A:$A, $G117, NewEmisData!$B:$B, $A117, NewEmisData!$C:$C, $H117, NewEmisData!$D:$D, EF$6)</f>
        <v>6.7717132351857101</v>
      </c>
      <c r="EG117" s="1111">
        <f>SUMIFS(NewEmisData!K:K, NewEmisData!$A:$A, $G117, NewEmisData!$B:$B, $A117, NewEmisData!$C:$C, $H117, NewEmisData!$D:$D, EG$6)</f>
        <v>6.3353874772199799</v>
      </c>
      <c r="EH117" s="1111">
        <f>SUMIFS(NewEmisData!L:L, NewEmisData!$A:$A, $G117, NewEmisData!$B:$B, $A117, NewEmisData!$C:$C, $H117, NewEmisData!$D:$D, EH$6)</f>
        <v>6.3354430386428602</v>
      </c>
      <c r="EI117" s="1111">
        <f>SUMIFS(NewEmisData!M:M, NewEmisData!$A:$A, $G117, NewEmisData!$B:$B, $A117, NewEmisData!$C:$C, $H117, NewEmisData!$D:$D, EI$6)</f>
        <v>6.3805145100120502</v>
      </c>
      <c r="EJ117" s="1111">
        <f t="shared" si="190"/>
        <v>6.3805145100120502</v>
      </c>
      <c r="EK117" s="1111">
        <f t="shared" si="191"/>
        <v>1404.3271128133699</v>
      </c>
      <c r="EL117" s="1111">
        <f t="shared" si="154"/>
        <v>1404.3271128133699</v>
      </c>
      <c r="EM117" s="1111">
        <f t="shared" si="155"/>
        <v>1439.6601314125801</v>
      </c>
      <c r="EN117" s="1111">
        <f t="shared" si="156"/>
        <v>1684.18271883701</v>
      </c>
      <c r="EO117" s="1111">
        <f t="shared" si="157"/>
        <v>1650.6602334367401</v>
      </c>
      <c r="EP117" s="1111">
        <f t="shared" si="158"/>
        <v>1642.1438923528999</v>
      </c>
      <c r="EQ117" s="1111">
        <f t="shared" si="159"/>
        <v>1626.66978660524</v>
      </c>
      <c r="ER117" s="1111">
        <f t="shared" si="160"/>
        <v>1623.30402513322</v>
      </c>
      <c r="ES117" s="1111">
        <f t="shared" si="161"/>
        <v>1623.2520614663099</v>
      </c>
      <c r="ET117" s="1111">
        <f t="shared" si="162"/>
        <v>1623.40710518732</v>
      </c>
      <c r="EU117" s="1111">
        <f t="shared" si="163"/>
        <v>1623.40710518732</v>
      </c>
      <c r="EV117" s="1111">
        <f t="shared" si="192"/>
        <v>8.5641579152449303</v>
      </c>
      <c r="EW117" s="1111">
        <f t="shared" si="144"/>
        <v>8.5641579152449303</v>
      </c>
      <c r="EX117" s="1111">
        <f t="shared" si="145"/>
        <v>9.6580110235574494</v>
      </c>
      <c r="EY117" s="1111">
        <f t="shared" si="146"/>
        <v>2.7867389528720699</v>
      </c>
      <c r="EZ117" s="1111">
        <f t="shared" si="147"/>
        <v>2.1696941290079601</v>
      </c>
      <c r="FA117" s="1111">
        <f t="shared" si="148"/>
        <v>1.9058529098653401</v>
      </c>
      <c r="FB117" s="1111">
        <f t="shared" si="149"/>
        <v>1.9715548791583399</v>
      </c>
      <c r="FC117" s="1111">
        <f t="shared" si="150"/>
        <v>1.80325718220481</v>
      </c>
      <c r="FD117" s="1111">
        <f t="shared" si="151"/>
        <v>1.80325766566259</v>
      </c>
      <c r="FE117" s="1111">
        <f t="shared" si="152"/>
        <v>1.80600275766325</v>
      </c>
      <c r="FF117" s="1111">
        <f t="shared" si="153"/>
        <v>1.80600275766325</v>
      </c>
      <c r="FG117" s="1111">
        <f t="shared" si="193"/>
        <v>7.0600558638666397E-3</v>
      </c>
      <c r="FH117" s="1111">
        <f t="shared" si="194"/>
        <v>7.0600558638666397E-3</v>
      </c>
      <c r="FI117" s="1111">
        <f t="shared" si="195"/>
        <v>7.2188807538929303E-3</v>
      </c>
      <c r="FJ117" s="1111">
        <f t="shared" si="196"/>
        <v>8.9168853601401706E-3</v>
      </c>
      <c r="FK117" s="1111">
        <f t="shared" si="197"/>
        <v>8.7394055968140292E-3</v>
      </c>
      <c r="FL117" s="1111">
        <f t="shared" si="198"/>
        <v>8.6943184966646898E-3</v>
      </c>
      <c r="FM117" s="1111">
        <f t="shared" si="199"/>
        <v>8.6123852585138806E-3</v>
      </c>
      <c r="FN117" s="1111">
        <f t="shared" si="200"/>
        <v>8.5945646137361408E-3</v>
      </c>
      <c r="FO117" s="1111">
        <f t="shared" si="201"/>
        <v>8.5942912264795907E-3</v>
      </c>
      <c r="FP117" s="1111">
        <f t="shared" si="202"/>
        <v>8.5951166029417398E-3</v>
      </c>
      <c r="FQ117" s="1111">
        <f t="shared" si="203"/>
        <v>8.5951166029417398E-3</v>
      </c>
      <c r="FR117" s="1111">
        <f t="shared" si="133"/>
        <v>0.308686971765607</v>
      </c>
      <c r="FS117" s="1111">
        <f t="shared" si="134"/>
        <v>0.308686971765607</v>
      </c>
      <c r="FT117" s="1111">
        <f t="shared" si="135"/>
        <v>0.3514917426559</v>
      </c>
      <c r="FU117" s="1111">
        <f t="shared" si="136"/>
        <v>0.41477994422651598</v>
      </c>
      <c r="FV117" s="1111">
        <f t="shared" si="137"/>
        <v>0.41175694437029597</v>
      </c>
      <c r="FW117" s="1111">
        <f t="shared" si="138"/>
        <v>0.41302179377238901</v>
      </c>
      <c r="FX117" s="1111">
        <f t="shared" si="139"/>
        <v>0.411506559794103</v>
      </c>
      <c r="FY117" s="1111">
        <f t="shared" si="140"/>
        <v>0.41104277522581101</v>
      </c>
      <c r="FZ117" s="1111">
        <f t="shared" si="141"/>
        <v>0.41104274130226698</v>
      </c>
      <c r="GA117" s="1111">
        <f t="shared" si="142"/>
        <v>0.41112796490950498</v>
      </c>
      <c r="GB117" s="1111">
        <f t="shared" si="143"/>
        <v>0.41112796490950498</v>
      </c>
      <c r="GC117" s="1111">
        <f t="shared" si="164"/>
        <v>8.1280068089980395E-2</v>
      </c>
      <c r="GD117" s="1111">
        <f t="shared" si="165"/>
        <v>8.1280068089980395E-2</v>
      </c>
      <c r="GE117" s="1111">
        <f t="shared" si="166"/>
        <v>0.119146422058294</v>
      </c>
      <c r="GF117" s="1111">
        <f t="shared" si="167"/>
        <v>5.78893636806442E-2</v>
      </c>
      <c r="GG117" s="1111">
        <f t="shared" si="168"/>
        <v>5.5215677186708403E-2</v>
      </c>
      <c r="GH117" s="1111">
        <f t="shared" si="169"/>
        <v>5.6334175336776801E-2</v>
      </c>
      <c r="GI117" s="1111">
        <f t="shared" si="170"/>
        <v>5.4993730550411797E-2</v>
      </c>
      <c r="GJ117" s="1111">
        <f t="shared" si="171"/>
        <v>5.4583411925712401E-2</v>
      </c>
      <c r="GK117" s="1111">
        <f t="shared" si="172"/>
        <v>5.4583454840025802E-2</v>
      </c>
      <c r="GL117" s="1111">
        <f t="shared" si="173"/>
        <v>5.4658632223239703E-2</v>
      </c>
      <c r="GM117" s="1111">
        <f t="shared" si="174"/>
        <v>5.4658632223239703E-2</v>
      </c>
    </row>
    <row r="118" spans="1:195" x14ac:dyDescent="0.2">
      <c r="A118" s="1071" t="s">
        <v>184</v>
      </c>
      <c r="B118" s="1071" t="str">
        <f>NewTech!B31</f>
        <v>TBCNGAH</v>
      </c>
      <c r="C118" s="1071" t="str">
        <f>NewTech!C31</f>
        <v>Bus, Advanced Hybird CNG</v>
      </c>
      <c r="D118" s="1071" t="str">
        <f>NewTech!D31</f>
        <v>bn-vmt, bn-vmt/a</v>
      </c>
      <c r="E118" s="1071" t="str">
        <f>NewTech!E31</f>
        <v>TBCNG</v>
      </c>
      <c r="F118" s="1071" t="str">
        <f>NewTech!F31</f>
        <v>TB</v>
      </c>
      <c r="G118" s="1110" t="s">
        <v>498</v>
      </c>
      <c r="H118" s="1110" t="s">
        <v>501</v>
      </c>
      <c r="I118" s="1112">
        <v>1</v>
      </c>
      <c r="J118" s="1111" t="str">
        <f t="shared" si="37"/>
        <v>Bus-CNG</v>
      </c>
      <c r="K118" s="1111">
        <f>SUMIFS(NewEmisData!E:E, NewEmisData!$A:$A, $G118, NewEmisData!$B:$B, $A118, NewEmisData!$C:$C, $H118, NewEmisData!$D:$D, K$6)</f>
        <v>1582.4187998643499</v>
      </c>
      <c r="L118" s="1111">
        <f>SUMIFS(NewEmisData!F:F, NewEmisData!$A:$A, $G118, NewEmisData!$B:$B, $A118, NewEmisData!$C:$C, $H118, NewEmisData!$D:$D, L$6)</f>
        <v>1412.03350754338</v>
      </c>
      <c r="M118" s="1111">
        <f>SUMIFS(NewEmisData!G:G, NewEmisData!$A:$A, $G118, NewEmisData!$B:$B, $A118, NewEmisData!$C:$C, $H118, NewEmisData!$D:$D, M$6)</f>
        <v>1546.06349717532</v>
      </c>
      <c r="N118" s="1111">
        <f>SUMIFS(NewEmisData!H:H, NewEmisData!$A:$A, $G118, NewEmisData!$B:$B, $A118, NewEmisData!$C:$C, $H118, NewEmisData!$D:$D, N$6)</f>
        <v>1515.37888281612</v>
      </c>
      <c r="O118" s="1111">
        <f>SUMIFS(NewEmisData!I:I, NewEmisData!$A:$A, $G118, NewEmisData!$B:$B, $A118, NewEmisData!$C:$C, $H118, NewEmisData!$D:$D, O$6)</f>
        <v>1507.61251127639</v>
      </c>
      <c r="P118" s="1111">
        <f>SUMIFS(NewEmisData!J:J, NewEmisData!$A:$A, $G118, NewEmisData!$B:$B, $A118, NewEmisData!$C:$C, $H118, NewEmisData!$D:$D, P$6)</f>
        <v>1493.3470009960599</v>
      </c>
      <c r="Q118" s="1111">
        <f>SUMIFS(NewEmisData!K:K, NewEmisData!$A:$A, $G118, NewEmisData!$B:$B, $A118, NewEmisData!$C:$C, $H118, NewEmisData!$D:$D, Q$6)</f>
        <v>1489.9863533868299</v>
      </c>
      <c r="R118" s="1111">
        <f>SUMIFS(NewEmisData!L:L, NewEmisData!$A:$A, $G118, NewEmisData!$B:$B, $A118, NewEmisData!$C:$C, $H118, NewEmisData!$D:$D, R$6)</f>
        <v>1489.9398704633099</v>
      </c>
      <c r="S118" s="1111">
        <f>SUMIFS(NewEmisData!M:M, NewEmisData!$A:$A, $G118, NewEmisData!$B:$B, $A118, NewEmisData!$C:$C, $H118, NewEmisData!$D:$D, S$6)</f>
        <v>1490.25622635268</v>
      </c>
      <c r="T118" s="1111">
        <f t="shared" si="131"/>
        <v>1490.25622635268</v>
      </c>
      <c r="U118" s="1111">
        <f>SUMIFS(NewEmisData!E:E, NewEmisData!$A:$A, $G118, NewEmisData!$B:$B, $A118, NewEmisData!$C:$C, $H118, NewEmisData!$D:$D, U$6)</f>
        <v>13.9864690314122</v>
      </c>
      <c r="V118" s="1111">
        <f>SUMIFS(NewEmisData!F:F, NewEmisData!$A:$A, $G118, NewEmisData!$B:$B, $A118, NewEmisData!$C:$C, $H118, NewEmisData!$D:$D, V$6)</f>
        <v>8.6222310446848205</v>
      </c>
      <c r="W118" s="1111">
        <f>SUMIFS(NewEmisData!G:G, NewEmisData!$A:$A, $G118, NewEmisData!$B:$B, $A118, NewEmisData!$C:$C, $H118, NewEmisData!$D:$D, W$6)</f>
        <v>2.6611271470383202</v>
      </c>
      <c r="X118" s="1111">
        <f>SUMIFS(NewEmisData!H:H, NewEmisData!$A:$A, $G118, NewEmisData!$B:$B, $A118, NewEmisData!$C:$C, $H118, NewEmisData!$D:$D, X$6)</f>
        <v>2.0703098620271998</v>
      </c>
      <c r="Y118" s="1111">
        <f>SUMIFS(NewEmisData!I:I, NewEmisData!$A:$A, $G118, NewEmisData!$B:$B, $A118, NewEmisData!$C:$C, $H118, NewEmisData!$D:$D, Y$6)</f>
        <v>1.8197121469984701</v>
      </c>
      <c r="Z118" s="1111">
        <f>SUMIFS(NewEmisData!J:J, NewEmisData!$A:$A, $G118, NewEmisData!$B:$B, $A118, NewEmisData!$C:$C, $H118, NewEmisData!$D:$D, Z$6)</f>
        <v>1.8815055816456701</v>
      </c>
      <c r="AA118" s="1111">
        <f>SUMIFS(NewEmisData!K:K, NewEmisData!$A:$A, $G118, NewEmisData!$B:$B, $A118, NewEmisData!$C:$C, $H118, NewEmisData!$D:$D, AA$6)</f>
        <v>1.72120836005601</v>
      </c>
      <c r="AB118" s="1111">
        <f>SUMIFS(NewEmisData!L:L, NewEmisData!$A:$A, $G118, NewEmisData!$B:$B, $A118, NewEmisData!$C:$C, $H118, NewEmisData!$D:$D, AB$6)</f>
        <v>1.72121053061929</v>
      </c>
      <c r="AC118" s="1111">
        <f>SUMIFS(NewEmisData!M:M, NewEmisData!$A:$A, $G118, NewEmisData!$B:$B, $A118, NewEmisData!$C:$C, $H118, NewEmisData!$D:$D, AC$6)</f>
        <v>1.72375209093524</v>
      </c>
      <c r="AD118" s="1111">
        <f t="shared" si="132"/>
        <v>1.72375209093524</v>
      </c>
      <c r="AE118" s="1111">
        <f t="shared" si="175"/>
        <v>7.7542415434254403E-3</v>
      </c>
      <c r="AF118" s="1111">
        <f>SUMIFS(NewEmisData!E:E, NewEmisData!$A:$A, $G118, NewEmisData!$B:$B, $A118, NewEmisData!$C:$C, $H118, NewEmisData!$D:$D, AF$6)</f>
        <v>7.7542415434254403E-3</v>
      </c>
      <c r="AG118" s="1111">
        <f>SUMIFS(NewEmisData!F:F, NewEmisData!$A:$A, $G118, NewEmisData!$B:$B, $A118, NewEmisData!$C:$C, $H118, NewEmisData!$D:$D, AG$6)</f>
        <v>7.0025604799103603E-3</v>
      </c>
      <c r="AH118" s="1111">
        <f>SUMIFS(NewEmisData!G:G, NewEmisData!$A:$A, $G118, NewEmisData!$B:$B, $A118, NewEmisData!$C:$C, $H118, NewEmisData!$D:$D, AH$6)</f>
        <v>8.1856191975243908E-3</v>
      </c>
      <c r="AI118" s="1111">
        <f>SUMIFS(NewEmisData!H:H, NewEmisData!$A:$A, $G118, NewEmisData!$B:$B, $A118, NewEmisData!$C:$C, $H118, NewEmisData!$D:$D, AI$6)</f>
        <v>8.0231652001578006E-3</v>
      </c>
      <c r="AJ118" s="1111">
        <f>SUMIFS(NewEmisData!I:I, NewEmisData!$A:$A, $G118, NewEmisData!$B:$B, $A118, NewEmisData!$C:$C, $H118, NewEmisData!$D:$D, AJ$6)</f>
        <v>7.9820372345914808E-3</v>
      </c>
      <c r="AK118" s="1111">
        <f>SUMIFS(NewEmisData!J:J, NewEmisData!$A:$A, $G118, NewEmisData!$B:$B, $A118, NewEmisData!$C:$C, $H118, NewEmisData!$D:$D, AK$6)</f>
        <v>7.9065086361542296E-3</v>
      </c>
      <c r="AL118" s="1111">
        <f>SUMIFS(NewEmisData!K:K, NewEmisData!$A:$A, $G118, NewEmisData!$B:$B, $A118, NewEmisData!$C:$C, $H118, NewEmisData!$D:$D, AL$6)</f>
        <v>7.8887206920964792E-3</v>
      </c>
      <c r="AM118" s="1111">
        <f>SUMIFS(NewEmisData!L:L, NewEmisData!$A:$A, $G118, NewEmisData!$B:$B, $A118, NewEmisData!$C:$C, $H118, NewEmisData!$D:$D, AM$6)</f>
        <v>7.8884719490300206E-3</v>
      </c>
      <c r="AN118" s="1111">
        <f>SUMIFS(NewEmisData!M:M, NewEmisData!$A:$A, $G118, NewEmisData!$B:$B, $A118, NewEmisData!$C:$C, $H118, NewEmisData!$D:$D, AN$6)</f>
        <v>7.8901444470430397E-3</v>
      </c>
      <c r="AO118" s="1111">
        <f t="shared" si="176"/>
        <v>7.8901444470430397E-3</v>
      </c>
      <c r="AP118" s="1111">
        <f t="shared" si="177"/>
        <v>0.37093923028794801</v>
      </c>
      <c r="AQ118" s="1111">
        <f>SUMIFS(NewEmisData!E:E, NewEmisData!$A:$A, $G118, NewEmisData!$B:$B, $A118, NewEmisData!$C:$C, $H118, NewEmisData!$D:$D, AQ$6)</f>
        <v>0.37093923028794801</v>
      </c>
      <c r="AR118" s="1111">
        <f>SUMIFS(NewEmisData!F:F, NewEmisData!$A:$A, $G118, NewEmisData!$B:$B, $A118, NewEmisData!$C:$C, $H118, NewEmisData!$D:$D, AR$6)</f>
        <v>0.26942906985133003</v>
      </c>
      <c r="AS118" s="1111">
        <f>SUMIFS(NewEmisData!G:G, NewEmisData!$A:$A, $G118, NewEmisData!$B:$B, $A118, NewEmisData!$C:$C, $H118, NewEmisData!$D:$D, AS$6)</f>
        <v>0.31640035064412397</v>
      </c>
      <c r="AT118" s="1111">
        <f>SUMIFS(NewEmisData!H:H, NewEmisData!$A:$A, $G118, NewEmisData!$B:$B, $A118, NewEmisData!$C:$C, $H118, NewEmisData!$D:$D, AT$6)</f>
        <v>0.312988611523218</v>
      </c>
      <c r="AU118" s="1111">
        <f>SUMIFS(NewEmisData!I:I, NewEmisData!$A:$A, $G118, NewEmisData!$B:$B, $A118, NewEmisData!$C:$C, $H118, NewEmisData!$D:$D, AU$6)</f>
        <v>0.314260212084015</v>
      </c>
      <c r="AV118" s="1111">
        <f>SUMIFS(NewEmisData!J:J, NewEmisData!$A:$A, $G118, NewEmisData!$B:$B, $A118, NewEmisData!$C:$C, $H118, NewEmisData!$D:$D, AV$6)</f>
        <v>0.31268832879129399</v>
      </c>
      <c r="AW118" s="1111">
        <f>SUMIFS(NewEmisData!K:K, NewEmisData!$A:$A, $G118, NewEmisData!$B:$B, $A118, NewEmisData!$C:$C, $H118, NewEmisData!$D:$D, AW$6)</f>
        <v>0.312127508613181</v>
      </c>
      <c r="AX118" s="1111">
        <f>SUMIFS(NewEmisData!L:L, NewEmisData!$A:$A, $G118, NewEmisData!$B:$B, $A118, NewEmisData!$C:$C, $H118, NewEmisData!$D:$D, AX$6)</f>
        <v>0.31212733060652997</v>
      </c>
      <c r="AY118" s="1111">
        <f>SUMIFS(NewEmisData!M:M, NewEmisData!$A:$A, $G118, NewEmisData!$B:$B, $A118, NewEmisData!$C:$C, $H118, NewEmisData!$D:$D, AY$6)</f>
        <v>0.31221263444207797</v>
      </c>
      <c r="AZ118" s="1111">
        <f t="shared" si="178"/>
        <v>0.31221263444207797</v>
      </c>
      <c r="BA118" s="1111">
        <f t="shared" si="179"/>
        <v>0.174608341981421</v>
      </c>
      <c r="BB118" s="1111">
        <f>SUMIFS(NewEmisData!E:E, NewEmisData!$A:$A, $G118, NewEmisData!$B:$B, $A118, NewEmisData!$C:$C, $H118, NewEmisData!$D:$D, BB$6)</f>
        <v>0.174608341981421</v>
      </c>
      <c r="BC118" s="1111">
        <f>SUMIFS(NewEmisData!F:F, NewEmisData!$A:$A, $G118, NewEmisData!$B:$B, $A118, NewEmisData!$C:$C, $H118, NewEmisData!$D:$D, BC$6)</f>
        <v>8.4809909896490093E-2</v>
      </c>
      <c r="BD118" s="1111">
        <f>SUMIFS(NewEmisData!G:G, NewEmisData!$A:$A, $G118, NewEmisData!$B:$B, $A118, NewEmisData!$C:$C, $H118, NewEmisData!$D:$D, BD$6)</f>
        <v>4.5970348611854797E-2</v>
      </c>
      <c r="BE118" s="1111">
        <f>SUMIFS(NewEmisData!H:H, NewEmisData!$A:$A, $G118, NewEmisData!$B:$B, $A118, NewEmisData!$C:$C, $H118, NewEmisData!$D:$D, BE$6)</f>
        <v>4.2952507513089398E-2</v>
      </c>
      <c r="BF118" s="1111">
        <f>SUMIFS(NewEmisData!I:I, NewEmisData!$A:$A, $G118, NewEmisData!$B:$B, $A118, NewEmisData!$C:$C, $H118, NewEmisData!$D:$D, BF$6)</f>
        <v>4.4076568857239103E-2</v>
      </c>
      <c r="BG118" s="1111">
        <f>SUMIFS(NewEmisData!J:J, NewEmisData!$A:$A, $G118, NewEmisData!$B:$B, $A118, NewEmisData!$C:$C, $H118, NewEmisData!$D:$D, BG$6)</f>
        <v>4.2686220737973499E-2</v>
      </c>
      <c r="BH118" s="1111">
        <f>SUMIFS(NewEmisData!K:K, NewEmisData!$A:$A, $G118, NewEmisData!$B:$B, $A118, NewEmisData!$C:$C, $H118, NewEmisData!$D:$D, BH$6)</f>
        <v>4.2189628277317197E-2</v>
      </c>
      <c r="BI118" s="1111">
        <f>SUMIFS(NewEmisData!L:L, NewEmisData!$A:$A, $G118, NewEmisData!$B:$B, $A118, NewEmisData!$C:$C, $H118, NewEmisData!$D:$D, BI$6)</f>
        <v>4.2189715264657097E-2</v>
      </c>
      <c r="BJ118" s="1111">
        <f>SUMIFS(NewEmisData!M:M, NewEmisData!$A:$A, $G118, NewEmisData!$B:$B, $A118, NewEmisData!$C:$C, $H118, NewEmisData!$D:$D, BJ$6)</f>
        <v>4.2265205084896902E-2</v>
      </c>
      <c r="BK118" s="1111">
        <f t="shared" si="180"/>
        <v>4.2265205084896902E-2</v>
      </c>
      <c r="BL118" s="1111">
        <f t="shared" si="181"/>
        <v>22.579418641795002</v>
      </c>
      <c r="BM118" s="1111">
        <f>SUMIFS(NewEmisData!E:E, NewEmisData!$A:$A, $G118, NewEmisData!$B:$B, $A118, NewEmisData!$C:$C, $H118, NewEmisData!$D:$D, BM$6)</f>
        <v>22.579418641795002</v>
      </c>
      <c r="BN118" s="1111">
        <f>SUMIFS(NewEmisData!F:F, NewEmisData!$A:$A, $G118, NewEmisData!$B:$B, $A118, NewEmisData!$C:$C, $H118, NewEmisData!$D:$D, BN$6)</f>
        <v>9.0903852362690802</v>
      </c>
      <c r="BO118" s="1111">
        <f>SUMIFS(NewEmisData!G:G, NewEmisData!$A:$A, $G118, NewEmisData!$B:$B, $A118, NewEmisData!$C:$C, $H118, NewEmisData!$D:$D, BO$6)</f>
        <v>7.2508001242851599</v>
      </c>
      <c r="BP118" s="1111">
        <f>SUMIFS(NewEmisData!H:H, NewEmisData!$A:$A, $G118, NewEmisData!$B:$B, $A118, NewEmisData!$C:$C, $H118, NewEmisData!$D:$D, BP$6)</f>
        <v>8.3556987909824798</v>
      </c>
      <c r="BQ118" s="1111">
        <f>SUMIFS(NewEmisData!I:I, NewEmisData!$A:$A, $G118, NewEmisData!$B:$B, $A118, NewEmisData!$C:$C, $H118, NewEmisData!$D:$D, BQ$6)</f>
        <v>8.6465986366556002</v>
      </c>
      <c r="BR118" s="1111">
        <f>SUMIFS(NewEmisData!J:J, NewEmisData!$A:$A, $G118, NewEmisData!$B:$B, $A118, NewEmisData!$C:$C, $H118, NewEmisData!$D:$D, BR$6)</f>
        <v>8.4121179739218093</v>
      </c>
      <c r="BS118" s="1111">
        <f>SUMIFS(NewEmisData!K:K, NewEmisData!$A:$A, $G118, NewEmisData!$B:$B, $A118, NewEmisData!$C:$C, $H118, NewEmisData!$D:$D, BS$6)</f>
        <v>8.4583772012786298</v>
      </c>
      <c r="BT118" s="1111">
        <f>SUMIFS(NewEmisData!L:L, NewEmisData!$A:$A, $G118, NewEmisData!$B:$B, $A118, NewEmisData!$C:$C, $H118, NewEmisData!$D:$D, BT$6)</f>
        <v>8.4584037451519194</v>
      </c>
      <c r="BU118" s="1111">
        <f>SUMIFS(NewEmisData!M:M, NewEmisData!$A:$A, $G118, NewEmisData!$B:$B, $A118, NewEmisData!$C:$C, $H118, NewEmisData!$D:$D, BU$6)</f>
        <v>8.5248446231051407</v>
      </c>
      <c r="BV118" s="1111">
        <f t="shared" si="182"/>
        <v>8.5248446231051407</v>
      </c>
      <c r="BW118" s="1111">
        <f t="shared" si="183"/>
        <v>3.2512109288213198</v>
      </c>
      <c r="BX118" s="1111">
        <f>SUMIFS(NewEmisData!E:E, NewEmisData!$A:$A, $G118, NewEmisData!$B:$B, $A118, NewEmisData!$C:$C, $H118, NewEmisData!$D:$D, BX$6)</f>
        <v>3.2512109288213198</v>
      </c>
      <c r="BY118" s="1111">
        <f>SUMIFS(NewEmisData!F:F, NewEmisData!$A:$A, $G118, NewEmisData!$B:$B, $A118, NewEmisData!$C:$C, $H118, NewEmisData!$D:$D, BY$6)</f>
        <v>1.6109199205326501</v>
      </c>
      <c r="BZ118" s="1111">
        <f>SUMIFS(NewEmisData!G:G, NewEmisData!$A:$A, $G118, NewEmisData!$B:$B, $A118, NewEmisData!$C:$C, $H118, NewEmisData!$D:$D, BZ$6)</f>
        <v>0.37737454157685102</v>
      </c>
      <c r="CA118" s="1111">
        <f>SUMIFS(NewEmisData!H:H, NewEmisData!$A:$A, $G118, NewEmisData!$B:$B, $A118, NewEmisData!$C:$C, $H118, NewEmisData!$D:$D, CA$6)</f>
        <v>0.28217670263127098</v>
      </c>
      <c r="CB118" s="1111">
        <f>SUMIFS(NewEmisData!I:I, NewEmisData!$A:$A, $G118, NewEmisData!$B:$B, $A118, NewEmisData!$C:$C, $H118, NewEmisData!$D:$D, CB$6)</f>
        <v>0.27024110048467198</v>
      </c>
      <c r="CC118" s="1111">
        <f>SUMIFS(NewEmisData!J:J, NewEmisData!$A:$A, $G118, NewEmisData!$B:$B, $A118, NewEmisData!$C:$C, $H118, NewEmisData!$D:$D, CC$6)</f>
        <v>0.25937246400036401</v>
      </c>
      <c r="CD118" s="1111">
        <f>SUMIFS(NewEmisData!K:K, NewEmisData!$A:$A, $G118, NewEmisData!$B:$B, $A118, NewEmisData!$C:$C, $H118, NewEmisData!$D:$D, CD$6)</f>
        <v>0.24206727844256201</v>
      </c>
      <c r="CE118" s="1111">
        <f>SUMIFS(NewEmisData!L:L, NewEmisData!$A:$A, $G118, NewEmisData!$B:$B, $A118, NewEmisData!$C:$C, $H118, NewEmisData!$D:$D, CE$6)</f>
        <v>0.24206948212867599</v>
      </c>
      <c r="CF118" s="1111">
        <f>SUMIFS(NewEmisData!M:M, NewEmisData!$A:$A, $G118, NewEmisData!$B:$B, $A118, NewEmisData!$C:$C, $H118, NewEmisData!$D:$D, CF$6)</f>
        <v>0.24378472910784699</v>
      </c>
      <c r="CG118" s="1111">
        <f t="shared" si="184"/>
        <v>0.24378472910784699</v>
      </c>
      <c r="CH118" s="1111">
        <f t="shared" si="185"/>
        <v>4.2098933652771502E-2</v>
      </c>
      <c r="CI118" s="1111">
        <f>SUMIFS(NewEmisData!E:E, NewEmisData!$A:$A, $G118, NewEmisData!$B:$B, $A118, NewEmisData!$C:$C, $H118, NewEmisData!$D:$D, CI$6)</f>
        <v>4.2098933652771502E-2</v>
      </c>
      <c r="CJ118" s="1111">
        <f>SUMIFS(NewEmisData!F:F, NewEmisData!$A:$A, $G118, NewEmisData!$B:$B, $A118, NewEmisData!$C:$C, $H118, NewEmisData!$D:$D, CJ$6)</f>
        <v>4.2098570742761299E-2</v>
      </c>
      <c r="CK118" s="1111">
        <f>SUMIFS(NewEmisData!G:G, NewEmisData!$A:$A, $G118, NewEmisData!$B:$B, $A118, NewEmisData!$C:$C, $H118, NewEmisData!$D:$D, CK$6)</f>
        <v>5.3159719402687697E-2</v>
      </c>
      <c r="CL118" s="1111">
        <f>SUMIFS(NewEmisData!H:H, NewEmisData!$A:$A, $G118, NewEmisData!$B:$B, $A118, NewEmisData!$C:$C, $H118, NewEmisData!$D:$D, CL$6)</f>
        <v>5.3149739963877903E-2</v>
      </c>
      <c r="CM118" s="1111">
        <f>SUMIFS(NewEmisData!I:I, NewEmisData!$A:$A, $G118, NewEmisData!$B:$B, $A118, NewEmisData!$C:$C, $H118, NewEmisData!$D:$D, CM$6)</f>
        <v>5.3146224692601898E-2</v>
      </c>
      <c r="CN118" s="1111">
        <f>SUMIFS(NewEmisData!J:J, NewEmisData!$A:$A, $G118, NewEmisData!$B:$B, $A118, NewEmisData!$C:$C, $H118, NewEmisData!$D:$D, CN$6)</f>
        <v>5.3141799371229599E-2</v>
      </c>
      <c r="CO118" s="1111">
        <f>SUMIFS(NewEmisData!K:K, NewEmisData!$A:$A, $G118, NewEmisData!$B:$B, $A118, NewEmisData!$C:$C, $H118, NewEmisData!$D:$D, CO$6)</f>
        <v>5.3140820474749002E-2</v>
      </c>
      <c r="CP118" s="1111">
        <f>SUMIFS(NewEmisData!L:L, NewEmisData!$A:$A, $G118, NewEmisData!$B:$B, $A118, NewEmisData!$C:$C, $H118, NewEmisData!$D:$D, CP$6)</f>
        <v>5.3140854292493003E-2</v>
      </c>
      <c r="CQ118" s="1111">
        <f>SUMIFS(NewEmisData!M:M, NewEmisData!$A:$A, $G118, NewEmisData!$B:$B, $A118, NewEmisData!$C:$C, $H118, NewEmisData!$D:$D, CQ$6)</f>
        <v>5.3140835802365199E-2</v>
      </c>
      <c r="CR118" s="1111">
        <f t="shared" si="186"/>
        <v>5.3140835802365199E-2</v>
      </c>
      <c r="CS118" s="1111">
        <f t="shared" si="187"/>
        <v>8.8574444131497496E-2</v>
      </c>
      <c r="CT118" s="1111">
        <f>SUMIFS(NewEmisData!E:E, NewEmisData!$A:$A, $G118, NewEmisData!$B:$B, $A118, NewEmisData!$C:$C, $H118, NewEmisData!$D:$D, CT$6)</f>
        <v>8.8574444131497496E-2</v>
      </c>
      <c r="CU118" s="1111">
        <f>SUMIFS(NewEmisData!F:F, NewEmisData!$A:$A, $G118, NewEmisData!$B:$B, $A118, NewEmisData!$C:$C, $H118, NewEmisData!$D:$D, CU$6)</f>
        <v>0.158338957178361</v>
      </c>
      <c r="CV118" s="1111">
        <f>SUMIFS(NewEmisData!G:G, NewEmisData!$A:$A, $G118, NewEmisData!$B:$B, $A118, NewEmisData!$C:$C, $H118, NewEmisData!$D:$D, CV$6)</f>
        <v>0.22076039280896301</v>
      </c>
      <c r="CW118" s="1111">
        <f>SUMIFS(NewEmisData!H:H, NewEmisData!$A:$A, $G118, NewEmisData!$B:$B, $A118, NewEmisData!$C:$C, $H118, NewEmisData!$D:$D, CW$6)</f>
        <v>0.22567553296085399</v>
      </c>
      <c r="CX118" s="1111">
        <f>SUMIFS(NewEmisData!I:I, NewEmisData!$A:$A, $G118, NewEmisData!$B:$B, $A118, NewEmisData!$C:$C, $H118, NewEmisData!$D:$D, CX$6)</f>
        <v>0.22802236468630799</v>
      </c>
      <c r="CY118" s="1111">
        <f>SUMIFS(NewEmisData!J:J, NewEmisData!$A:$A, $G118, NewEmisData!$B:$B, $A118, NewEmisData!$C:$C, $H118, NewEmisData!$D:$D, CY$6)</f>
        <v>0.22901609159938899</v>
      </c>
      <c r="CZ118" s="1111">
        <f>SUMIFS(NewEmisData!K:K, NewEmisData!$A:$A, $G118, NewEmisData!$B:$B, $A118, NewEmisData!$C:$C, $H118, NewEmisData!$D:$D, CZ$6)</f>
        <v>0.22555616451962901</v>
      </c>
      <c r="DA118" s="1111">
        <f>SUMIFS(NewEmisData!L:L, NewEmisData!$A:$A, $G118, NewEmisData!$B:$B, $A118, NewEmisData!$C:$C, $H118, NewEmisData!$D:$D, DA$6)</f>
        <v>0.22555300582847901</v>
      </c>
      <c r="DB118" s="1111">
        <f>SUMIFS(NewEmisData!M:M, NewEmisData!$A:$A, $G118, NewEmisData!$B:$B, $A118, NewEmisData!$C:$C, $H118, NewEmisData!$D:$D, DB$6)</f>
        <v>0.22819598441319699</v>
      </c>
      <c r="DC118" s="1111">
        <f t="shared" si="188"/>
        <v>0.22819598441319699</v>
      </c>
      <c r="DD118" s="1111"/>
      <c r="DE118" s="1111"/>
      <c r="DF118" s="1111"/>
      <c r="DG118" s="1111"/>
      <c r="DH118" s="1111"/>
      <c r="DI118" s="1111"/>
      <c r="DJ118" s="1111"/>
      <c r="DK118" s="1111"/>
      <c r="DL118" s="1111"/>
      <c r="DM118" s="1111"/>
      <c r="DN118" s="1111"/>
      <c r="DO118" s="1111"/>
      <c r="DP118" s="1111"/>
      <c r="DQ118" s="1111"/>
      <c r="DR118" s="1111"/>
      <c r="DS118" s="1111"/>
      <c r="DT118" s="1111"/>
      <c r="DU118" s="1111"/>
      <c r="DV118" s="1111"/>
      <c r="DW118" s="1111"/>
      <c r="DX118" s="1111"/>
      <c r="DY118" s="1111"/>
      <c r="DZ118" s="1111">
        <f t="shared" si="189"/>
        <v>21.479908688362801</v>
      </c>
      <c r="EA118" s="1111">
        <f>SUMIFS(NewEmisData!E:E, NewEmisData!$A:$A, $G118, NewEmisData!$B:$B, $A118, NewEmisData!$C:$C, $H118, NewEmisData!$D:$D, EA$6)</f>
        <v>21.479908688362801</v>
      </c>
      <c r="EB118" s="1111">
        <f>SUMIFS(NewEmisData!F:F, NewEmisData!$A:$A, $G118, NewEmisData!$B:$B, $A118, NewEmisData!$C:$C, $H118, NewEmisData!$D:$D, EB$6)</f>
        <v>14.1899393572135</v>
      </c>
      <c r="EC118" s="1111">
        <f>SUMIFS(NewEmisData!G:G, NewEmisData!$A:$A, $G118, NewEmisData!$B:$B, $A118, NewEmisData!$C:$C, $H118, NewEmisData!$D:$D, EC$6)</f>
        <v>6.2647803145334597</v>
      </c>
      <c r="ED118" s="1111">
        <f>SUMIFS(NewEmisData!H:H, NewEmisData!$A:$A, $G118, NewEmisData!$B:$B, $A118, NewEmisData!$C:$C, $H118, NewEmisData!$D:$D, ED$6)</f>
        <v>5.7979869012644301</v>
      </c>
      <c r="EE118" s="1111">
        <f>SUMIFS(NewEmisData!I:I, NewEmisData!$A:$A, $G118, NewEmisData!$B:$B, $A118, NewEmisData!$C:$C, $H118, NewEmisData!$D:$D, EE$6)</f>
        <v>5.20919501649339</v>
      </c>
      <c r="EF118" s="1111">
        <f>SUMIFS(NewEmisData!J:J, NewEmisData!$A:$A, $G118, NewEmisData!$B:$B, $A118, NewEmisData!$C:$C, $H118, NewEmisData!$D:$D, EF$6)</f>
        <v>5.35594752180626</v>
      </c>
      <c r="EG118" s="1111">
        <f>SUMIFS(NewEmisData!K:K, NewEmisData!$A:$A, $G118, NewEmisData!$B:$B, $A118, NewEmisData!$C:$C, $H118, NewEmisData!$D:$D, EG$6)</f>
        <v>5.0142547371903996</v>
      </c>
      <c r="EH118" s="1111">
        <f>SUMIFS(NewEmisData!L:L, NewEmisData!$A:$A, $G118, NewEmisData!$B:$B, $A118, NewEmisData!$C:$C, $H118, NewEmisData!$D:$D, EH$6)</f>
        <v>5.01430209801104</v>
      </c>
      <c r="EI118" s="1111">
        <f>SUMIFS(NewEmisData!M:M, NewEmisData!$A:$A, $G118, NewEmisData!$B:$B, $A118, NewEmisData!$C:$C, $H118, NewEmisData!$D:$D, EI$6)</f>
        <v>5.0498323593708303</v>
      </c>
      <c r="EJ118" s="1111">
        <f t="shared" si="190"/>
        <v>5.0498323593708303</v>
      </c>
      <c r="EK118" s="1111">
        <f t="shared" si="191"/>
        <v>1582.4187998643499</v>
      </c>
      <c r="EL118" s="1111">
        <f t="shared" si="154"/>
        <v>1582.4187998643499</v>
      </c>
      <c r="EM118" s="1111">
        <f t="shared" si="155"/>
        <v>1412.03350754338</v>
      </c>
      <c r="EN118" s="1111">
        <f t="shared" si="156"/>
        <v>1546.06349717532</v>
      </c>
      <c r="EO118" s="1111">
        <f t="shared" si="157"/>
        <v>1515.37888281612</v>
      </c>
      <c r="EP118" s="1111">
        <f t="shared" si="158"/>
        <v>1507.61251127639</v>
      </c>
      <c r="EQ118" s="1111">
        <f t="shared" si="159"/>
        <v>1493.3470009960599</v>
      </c>
      <c r="ER118" s="1111">
        <f t="shared" si="160"/>
        <v>1489.9863533868299</v>
      </c>
      <c r="ES118" s="1111">
        <f t="shared" si="161"/>
        <v>1489.9398704633099</v>
      </c>
      <c r="ET118" s="1111">
        <f t="shared" si="162"/>
        <v>1490.25622635268</v>
      </c>
      <c r="EU118" s="1111">
        <f t="shared" si="163"/>
        <v>1490.25622635268</v>
      </c>
      <c r="EV118" s="1111">
        <f t="shared" si="192"/>
        <v>13.9864690314122</v>
      </c>
      <c r="EW118" s="1111">
        <f t="shared" si="144"/>
        <v>13.9864690314122</v>
      </c>
      <c r="EX118" s="1111">
        <f t="shared" si="145"/>
        <v>8.6222310446848205</v>
      </c>
      <c r="EY118" s="1111">
        <f t="shared" si="146"/>
        <v>2.6611271470383202</v>
      </c>
      <c r="EZ118" s="1111">
        <f t="shared" si="147"/>
        <v>2.0703098620271998</v>
      </c>
      <c r="FA118" s="1111">
        <f t="shared" si="148"/>
        <v>1.8197121469984701</v>
      </c>
      <c r="FB118" s="1111">
        <f t="shared" si="149"/>
        <v>1.8815055816456701</v>
      </c>
      <c r="FC118" s="1111">
        <f t="shared" si="150"/>
        <v>1.72120836005601</v>
      </c>
      <c r="FD118" s="1111">
        <f t="shared" si="151"/>
        <v>1.72121053061929</v>
      </c>
      <c r="FE118" s="1111">
        <f t="shared" si="152"/>
        <v>1.72375209093524</v>
      </c>
      <c r="FF118" s="1111">
        <f t="shared" si="153"/>
        <v>1.72375209093524</v>
      </c>
      <c r="FG118" s="1111">
        <f t="shared" si="193"/>
        <v>7.7542415434254403E-3</v>
      </c>
      <c r="FH118" s="1111">
        <f t="shared" si="194"/>
        <v>7.7542415434254403E-3</v>
      </c>
      <c r="FI118" s="1111">
        <f t="shared" si="195"/>
        <v>7.0025604799103603E-3</v>
      </c>
      <c r="FJ118" s="1111">
        <f t="shared" si="196"/>
        <v>8.1856191975243908E-3</v>
      </c>
      <c r="FK118" s="1111">
        <f t="shared" si="197"/>
        <v>8.0231652001578006E-3</v>
      </c>
      <c r="FL118" s="1111">
        <f t="shared" si="198"/>
        <v>7.9820372345914808E-3</v>
      </c>
      <c r="FM118" s="1111">
        <f t="shared" si="199"/>
        <v>7.9065086361542296E-3</v>
      </c>
      <c r="FN118" s="1111">
        <f t="shared" si="200"/>
        <v>7.8887206920964792E-3</v>
      </c>
      <c r="FO118" s="1111">
        <f t="shared" si="201"/>
        <v>7.8884719490300206E-3</v>
      </c>
      <c r="FP118" s="1111">
        <f t="shared" si="202"/>
        <v>7.8901444470430397E-3</v>
      </c>
      <c r="FQ118" s="1111">
        <f t="shared" si="203"/>
        <v>7.8901444470430397E-3</v>
      </c>
      <c r="FR118" s="1111">
        <f t="shared" si="133"/>
        <v>0.37093923028794801</v>
      </c>
      <c r="FS118" s="1111">
        <f t="shared" si="134"/>
        <v>0.37093923028794801</v>
      </c>
      <c r="FT118" s="1111">
        <f t="shared" si="135"/>
        <v>0.26942906985133003</v>
      </c>
      <c r="FU118" s="1111">
        <f t="shared" si="136"/>
        <v>0.31640035064412397</v>
      </c>
      <c r="FV118" s="1111">
        <f t="shared" si="137"/>
        <v>0.312988611523218</v>
      </c>
      <c r="FW118" s="1111">
        <f t="shared" si="138"/>
        <v>0.314260212084015</v>
      </c>
      <c r="FX118" s="1111">
        <f t="shared" si="139"/>
        <v>0.31268832879129399</v>
      </c>
      <c r="FY118" s="1111">
        <f t="shared" si="140"/>
        <v>0.312127508613181</v>
      </c>
      <c r="FZ118" s="1111">
        <f t="shared" si="141"/>
        <v>0.31212733060652997</v>
      </c>
      <c r="GA118" s="1111">
        <f t="shared" si="142"/>
        <v>0.31221263444207797</v>
      </c>
      <c r="GB118" s="1111">
        <f t="shared" si="143"/>
        <v>0.31221263444207797</v>
      </c>
      <c r="GC118" s="1111">
        <f t="shared" si="164"/>
        <v>0.174608341981421</v>
      </c>
      <c r="GD118" s="1111">
        <f t="shared" si="165"/>
        <v>0.174608341981421</v>
      </c>
      <c r="GE118" s="1111">
        <f t="shared" si="166"/>
        <v>8.4809909896490093E-2</v>
      </c>
      <c r="GF118" s="1111">
        <f t="shared" si="167"/>
        <v>4.5970348611854797E-2</v>
      </c>
      <c r="GG118" s="1111">
        <f t="shared" si="168"/>
        <v>4.2952507513089398E-2</v>
      </c>
      <c r="GH118" s="1111">
        <f t="shared" si="169"/>
        <v>4.4076568857239103E-2</v>
      </c>
      <c r="GI118" s="1111">
        <f t="shared" si="170"/>
        <v>4.2686220737973499E-2</v>
      </c>
      <c r="GJ118" s="1111">
        <f t="shared" si="171"/>
        <v>4.2189628277317197E-2</v>
      </c>
      <c r="GK118" s="1111">
        <f t="shared" si="172"/>
        <v>4.2189715264657097E-2</v>
      </c>
      <c r="GL118" s="1111">
        <f t="shared" si="173"/>
        <v>4.2265205084896902E-2</v>
      </c>
      <c r="GM118" s="1111">
        <f t="shared" si="174"/>
        <v>4.2265205084896902E-2</v>
      </c>
    </row>
    <row r="119" spans="1:195" x14ac:dyDescent="0.2">
      <c r="A119" s="1071" t="s">
        <v>186</v>
      </c>
      <c r="B119" s="1071" t="str">
        <f>NewTech!B31</f>
        <v>TBCNGAH</v>
      </c>
      <c r="C119" s="1071" t="str">
        <f>NewTech!C31</f>
        <v>Bus, Advanced Hybird CNG</v>
      </c>
      <c r="D119" s="1071" t="str">
        <f>NewTech!D31</f>
        <v>bn-vmt, bn-vmt/a</v>
      </c>
      <c r="E119" s="1071" t="str">
        <f>NewTech!E31</f>
        <v>TBCNG</v>
      </c>
      <c r="F119" s="1071" t="str">
        <f>NewTech!F31</f>
        <v>TB</v>
      </c>
      <c r="G119" s="1110" t="s">
        <v>498</v>
      </c>
      <c r="H119" s="1110" t="s">
        <v>501</v>
      </c>
      <c r="I119" s="1112">
        <v>1</v>
      </c>
      <c r="J119" s="1111" t="str">
        <f t="shared" si="37"/>
        <v>Bus-CNG</v>
      </c>
      <c r="K119" s="1111">
        <f>SUMIFS(NewEmisData!E:E, NewEmisData!$A:$A, $G119, NewEmisData!$B:$B, $A119, NewEmisData!$C:$C, $H119, NewEmisData!$D:$D, K$6)</f>
        <v>2178.9967614971001</v>
      </c>
      <c r="L119" s="1111">
        <f>SUMIFS(NewEmisData!F:F, NewEmisData!$A:$A, $G119, NewEmisData!$B:$B, $A119, NewEmisData!$C:$C, $H119, NewEmisData!$D:$D, L$6)</f>
        <v>2166.1808780169699</v>
      </c>
      <c r="M119" s="1111">
        <f>SUMIFS(NewEmisData!G:G, NewEmisData!$A:$A, $G119, NewEmisData!$B:$B, $A119, NewEmisData!$C:$C, $H119, NewEmisData!$D:$D, M$6)</f>
        <v>1829.3230538083899</v>
      </c>
      <c r="N119" s="1111">
        <f>SUMIFS(NewEmisData!H:H, NewEmisData!$A:$A, $G119, NewEmisData!$B:$B, $A119, NewEmisData!$C:$C, $H119, NewEmisData!$D:$D, N$6)</f>
        <v>1792.5465477673099</v>
      </c>
      <c r="O119" s="1111">
        <f>SUMIFS(NewEmisData!I:I, NewEmisData!$A:$A, $G119, NewEmisData!$B:$B, $A119, NewEmisData!$C:$C, $H119, NewEmisData!$D:$D, O$6)</f>
        <v>1783.15413817481</v>
      </c>
      <c r="P119" s="1111">
        <f>SUMIFS(NewEmisData!J:J, NewEmisData!$A:$A, $G119, NewEmisData!$B:$B, $A119, NewEmisData!$C:$C, $H119, NewEmisData!$D:$D, P$6)</f>
        <v>1766.2276580145201</v>
      </c>
      <c r="Q119" s="1111">
        <f>SUMIFS(NewEmisData!K:K, NewEmisData!$A:$A, $G119, NewEmisData!$B:$B, $A119, NewEmisData!$C:$C, $H119, NewEmisData!$D:$D, Q$6)</f>
        <v>1762.65639856503</v>
      </c>
      <c r="R119" s="1111">
        <f>SUMIFS(NewEmisData!L:L, NewEmisData!$A:$A, $G119, NewEmisData!$B:$B, $A119, NewEmisData!$C:$C, $H119, NewEmisData!$D:$D, R$6)</f>
        <v>1762.6002362349</v>
      </c>
      <c r="S119" s="1111">
        <f>SUMIFS(NewEmisData!M:M, NewEmisData!$A:$A, $G119, NewEmisData!$B:$B, $A119, NewEmisData!$C:$C, $H119, NewEmisData!$D:$D, S$6)</f>
        <v>1762.69221348628</v>
      </c>
      <c r="T119" s="1111">
        <f t="shared" si="131"/>
        <v>1762.69221348628</v>
      </c>
      <c r="U119" s="1111">
        <f>SUMIFS(NewEmisData!E:E, NewEmisData!$A:$A, $G119, NewEmisData!$B:$B, $A119, NewEmisData!$C:$C, $H119, NewEmisData!$D:$D, U$6)</f>
        <v>17.791352967534699</v>
      </c>
      <c r="V119" s="1111">
        <f>SUMIFS(NewEmisData!F:F, NewEmisData!$A:$A, $G119, NewEmisData!$B:$B, $A119, NewEmisData!$C:$C, $H119, NewEmisData!$D:$D, V$6)</f>
        <v>17.463111089302298</v>
      </c>
      <c r="W119" s="1111">
        <f>SUMIFS(NewEmisData!G:G, NewEmisData!$A:$A, $G119, NewEmisData!$B:$B, $A119, NewEmisData!$C:$C, $H119, NewEmisData!$D:$D, W$6)</f>
        <v>3.0267310243138001</v>
      </c>
      <c r="X119" s="1111">
        <f>SUMIFS(NewEmisData!H:H, NewEmisData!$A:$A, $G119, NewEmisData!$B:$B, $A119, NewEmisData!$C:$C, $H119, NewEmisData!$D:$D, X$6)</f>
        <v>2.3543137298168899</v>
      </c>
      <c r="Y119" s="1111">
        <f>SUMIFS(NewEmisData!I:I, NewEmisData!$A:$A, $G119, NewEmisData!$B:$B, $A119, NewEmisData!$C:$C, $H119, NewEmisData!$D:$D, Y$6)</f>
        <v>2.0699541963238501</v>
      </c>
      <c r="Z119" s="1111">
        <f>SUMIFS(NewEmisData!J:J, NewEmisData!$A:$A, $G119, NewEmisData!$B:$B, $A119, NewEmisData!$C:$C, $H119, NewEmisData!$D:$D, Z$6)</f>
        <v>2.1398645413845401</v>
      </c>
      <c r="AA119" s="1111">
        <f>SUMIFS(NewEmisData!K:K, NewEmisData!$A:$A, $G119, NewEmisData!$B:$B, $A119, NewEmisData!$C:$C, $H119, NewEmisData!$D:$D, AA$6)</f>
        <v>1.9577154303695801</v>
      </c>
      <c r="AB119" s="1111">
        <f>SUMIFS(NewEmisData!L:L, NewEmisData!$A:$A, $G119, NewEmisData!$B:$B, $A119, NewEmisData!$C:$C, $H119, NewEmisData!$D:$D, AB$6)</f>
        <v>1.9577160230270401</v>
      </c>
      <c r="AC119" s="1111">
        <f>SUMIFS(NewEmisData!M:M, NewEmisData!$A:$A, $G119, NewEmisData!$B:$B, $A119, NewEmisData!$C:$C, $H119, NewEmisData!$D:$D, AC$6)</f>
        <v>1.96058425238824</v>
      </c>
      <c r="AD119" s="1111">
        <f t="shared" si="132"/>
        <v>1.96058425238824</v>
      </c>
      <c r="AE119" s="1111">
        <f t="shared" si="175"/>
        <v>7.75878540003522E-3</v>
      </c>
      <c r="AF119" s="1111">
        <f>SUMIFS(NewEmisData!E:E, NewEmisData!$A:$A, $G119, NewEmisData!$B:$B, $A119, NewEmisData!$C:$C, $H119, NewEmisData!$D:$D, AF$6)</f>
        <v>7.75878540003522E-3</v>
      </c>
      <c r="AG119" s="1111">
        <f>SUMIFS(NewEmisData!F:F, NewEmisData!$A:$A, $G119, NewEmisData!$B:$B, $A119, NewEmisData!$C:$C, $H119, NewEmisData!$D:$D, AG$6)</f>
        <v>7.7206892950845299E-3</v>
      </c>
      <c r="AH119" s="1111">
        <f>SUMIFS(NewEmisData!G:G, NewEmisData!$A:$A, $G119, NewEmisData!$B:$B, $A119, NewEmisData!$C:$C, $H119, NewEmisData!$D:$D, AH$6)</f>
        <v>9.6853348357149507E-3</v>
      </c>
      <c r="AI119" s="1111">
        <f>SUMIFS(NewEmisData!H:H, NewEmisData!$A:$A, $G119, NewEmisData!$B:$B, $A119, NewEmisData!$C:$C, $H119, NewEmisData!$D:$D, AI$6)</f>
        <v>9.4906268999874494E-3</v>
      </c>
      <c r="AJ119" s="1111">
        <f>SUMIFS(NewEmisData!I:I, NewEmisData!$A:$A, $G119, NewEmisData!$B:$B, $A119, NewEmisData!$C:$C, $H119, NewEmisData!$D:$D, AJ$6)</f>
        <v>9.4408902403545405E-3</v>
      </c>
      <c r="AK119" s="1111">
        <f>SUMIFS(NewEmisData!J:J, NewEmisData!$A:$A, $G119, NewEmisData!$B:$B, $A119, NewEmisData!$C:$C, $H119, NewEmisData!$D:$D, AK$6)</f>
        <v>9.3512761456049798E-3</v>
      </c>
      <c r="AL119" s="1111">
        <f>SUMIFS(NewEmisData!K:K, NewEmisData!$A:$A, $G119, NewEmisData!$B:$B, $A119, NewEmisData!$C:$C, $H119, NewEmisData!$D:$D, AL$6)</f>
        <v>9.3323686977463492E-3</v>
      </c>
      <c r="AM119" s="1111">
        <f>SUMIFS(NewEmisData!L:L, NewEmisData!$A:$A, $G119, NewEmisData!$B:$B, $A119, NewEmisData!$C:$C, $H119, NewEmisData!$D:$D, AM$6)</f>
        <v>9.33206965002485E-3</v>
      </c>
      <c r="AN119" s="1111">
        <f>SUMIFS(NewEmisData!M:M, NewEmisData!$A:$A, $G119, NewEmisData!$B:$B, $A119, NewEmisData!$C:$C, $H119, NewEmisData!$D:$D, AN$6)</f>
        <v>9.3325593207045504E-3</v>
      </c>
      <c r="AO119" s="1111">
        <f t="shared" si="176"/>
        <v>9.3325593207045504E-3</v>
      </c>
      <c r="AP119" s="1111">
        <f t="shared" si="177"/>
        <v>0.56323884311686501</v>
      </c>
      <c r="AQ119" s="1111">
        <f>SUMIFS(NewEmisData!E:E, NewEmisData!$A:$A, $G119, NewEmisData!$B:$B, $A119, NewEmisData!$C:$C, $H119, NewEmisData!$D:$D, AQ$6)</f>
        <v>0.56323884311686501</v>
      </c>
      <c r="AR119" s="1111">
        <f>SUMIFS(NewEmisData!F:F, NewEmisData!$A:$A, $G119, NewEmisData!$B:$B, $A119, NewEmisData!$C:$C, $H119, NewEmisData!$D:$D, AR$6)</f>
        <v>0.65967921760836901</v>
      </c>
      <c r="AS119" s="1111">
        <f>SUMIFS(NewEmisData!G:G, NewEmisData!$A:$A, $G119, NewEmisData!$B:$B, $A119, NewEmisData!$C:$C, $H119, NewEmisData!$D:$D, AS$6)</f>
        <v>0.43849398613699297</v>
      </c>
      <c r="AT119" s="1111">
        <f>SUMIFS(NewEmisData!H:H, NewEmisData!$A:$A, $G119, NewEmisData!$B:$B, $A119, NewEmisData!$C:$C, $H119, NewEmisData!$D:$D, AT$6)</f>
        <v>0.435387742291789</v>
      </c>
      <c r="AU119" s="1111">
        <f>SUMIFS(NewEmisData!I:I, NewEmisData!$A:$A, $G119, NewEmisData!$B:$B, $A119, NewEmisData!$C:$C, $H119, NewEmisData!$D:$D, AU$6)</f>
        <v>0.43677651486407298</v>
      </c>
      <c r="AV119" s="1111">
        <f>SUMIFS(NewEmisData!J:J, NewEmisData!$A:$A, $G119, NewEmisData!$B:$B, $A119, NewEmisData!$C:$C, $H119, NewEmisData!$D:$D, AV$6)</f>
        <v>0.43514383186903999</v>
      </c>
      <c r="AW119" s="1111">
        <f>SUMIFS(NewEmisData!K:K, NewEmisData!$A:$A, $G119, NewEmisData!$B:$B, $A119, NewEmisData!$C:$C, $H119, NewEmisData!$D:$D, AW$6)</f>
        <v>0.43469575175796898</v>
      </c>
      <c r="AX119" s="1111">
        <f>SUMIFS(NewEmisData!L:L, NewEmisData!$A:$A, $G119, NewEmisData!$B:$B, $A119, NewEmisData!$C:$C, $H119, NewEmisData!$D:$D, AX$6)</f>
        <v>0.434695702864836</v>
      </c>
      <c r="AY119" s="1111">
        <f>SUMIFS(NewEmisData!M:M, NewEmisData!$A:$A, $G119, NewEmisData!$B:$B, $A119, NewEmisData!$C:$C, $H119, NewEmisData!$D:$D, AY$6)</f>
        <v>0.43478505724157201</v>
      </c>
      <c r="AZ119" s="1111">
        <f t="shared" si="178"/>
        <v>0.43478505724157201</v>
      </c>
      <c r="BA119" s="1111">
        <f t="shared" si="179"/>
        <v>0.19585131976317</v>
      </c>
      <c r="BB119" s="1111">
        <f>SUMIFS(NewEmisData!E:E, NewEmisData!$A:$A, $G119, NewEmisData!$B:$B, $A119, NewEmisData!$C:$C, $H119, NewEmisData!$D:$D, BB$6)</f>
        <v>0.19585131976317</v>
      </c>
      <c r="BC119" s="1111">
        <f>SUMIFS(NewEmisData!F:F, NewEmisData!$A:$A, $G119, NewEmisData!$B:$B, $A119, NewEmisData!$C:$C, $H119, NewEmisData!$D:$D, BC$6)</f>
        <v>0.281164327502613</v>
      </c>
      <c r="BD119" s="1111">
        <f>SUMIFS(NewEmisData!G:G, NewEmisData!$A:$A, $G119, NewEmisData!$B:$B, $A119, NewEmisData!$C:$C, $H119, NewEmisData!$D:$D, BD$6)</f>
        <v>6.1015791831846501E-2</v>
      </c>
      <c r="BE119" s="1111">
        <f>SUMIFS(NewEmisData!H:H, NewEmisData!$A:$A, $G119, NewEmisData!$B:$B, $A119, NewEmisData!$C:$C, $H119, NewEmisData!$D:$D, BE$6)</f>
        <v>5.82674541625035E-2</v>
      </c>
      <c r="BF119" s="1111">
        <f>SUMIFS(NewEmisData!I:I, NewEmisData!$A:$A, $G119, NewEmisData!$B:$B, $A119, NewEmisData!$C:$C, $H119, NewEmisData!$D:$D, BF$6)</f>
        <v>5.9496434405484099E-2</v>
      </c>
      <c r="BG119" s="1111">
        <f>SUMIFS(NewEmisData!J:J, NewEmisData!$A:$A, $G119, NewEmisData!$B:$B, $A119, NewEmisData!$C:$C, $H119, NewEmisData!$D:$D, BG$6)</f>
        <v>5.8051617759569699E-2</v>
      </c>
      <c r="BH119" s="1111">
        <f>SUMIFS(NewEmisData!K:K, NewEmisData!$A:$A, $G119, NewEmisData!$B:$B, $A119, NewEmisData!$C:$C, $H119, NewEmisData!$D:$D, BH$6)</f>
        <v>5.76550670160648E-2</v>
      </c>
      <c r="BI119" s="1111">
        <f>SUMIFS(NewEmisData!L:L, NewEmisData!$A:$A, $G119, NewEmisData!$B:$B, $A119, NewEmisData!$C:$C, $H119, NewEmisData!$D:$D, BI$6)</f>
        <v>5.7655161934684902E-2</v>
      </c>
      <c r="BJ119" s="1111">
        <f>SUMIFS(NewEmisData!M:M, NewEmisData!$A:$A, $G119, NewEmisData!$B:$B, $A119, NewEmisData!$C:$C, $H119, NewEmisData!$D:$D, BJ$6)</f>
        <v>5.7734278106753099E-2</v>
      </c>
      <c r="BK119" s="1111">
        <f t="shared" si="180"/>
        <v>5.7734278106753099E-2</v>
      </c>
      <c r="BL119" s="1111">
        <f t="shared" si="181"/>
        <v>29.4596309958273</v>
      </c>
      <c r="BM119" s="1111">
        <f>SUMIFS(NewEmisData!E:E, NewEmisData!$A:$A, $G119, NewEmisData!$B:$B, $A119, NewEmisData!$C:$C, $H119, NewEmisData!$D:$D, BM$6)</f>
        <v>29.4596309958273</v>
      </c>
      <c r="BN119" s="1111">
        <f>SUMIFS(NewEmisData!F:F, NewEmisData!$A:$A, $G119, NewEmisData!$B:$B, $A119, NewEmisData!$C:$C, $H119, NewEmisData!$D:$D, BN$6)</f>
        <v>28.621105419521001</v>
      </c>
      <c r="BO119" s="1111">
        <f>SUMIFS(NewEmisData!G:G, NewEmisData!$A:$A, $G119, NewEmisData!$B:$B, $A119, NewEmisData!$C:$C, $H119, NewEmisData!$D:$D, BO$6)</f>
        <v>7.6817855463484399</v>
      </c>
      <c r="BP119" s="1111">
        <f>SUMIFS(NewEmisData!H:H, NewEmisData!$A:$A, $G119, NewEmisData!$B:$B, $A119, NewEmisData!$C:$C, $H119, NewEmisData!$D:$D, BP$6)</f>
        <v>8.9963942727621795</v>
      </c>
      <c r="BQ119" s="1111">
        <f>SUMIFS(NewEmisData!I:I, NewEmisData!$A:$A, $G119, NewEmisData!$B:$B, $A119, NewEmisData!$C:$C, $H119, NewEmisData!$D:$D, BQ$6)</f>
        <v>9.3130254372190695</v>
      </c>
      <c r="BR119" s="1111">
        <f>SUMIFS(NewEmisData!J:J, NewEmisData!$A:$A, $G119, NewEmisData!$B:$B, $A119, NewEmisData!$C:$C, $H119, NewEmisData!$D:$D, BR$6)</f>
        <v>9.0340201312627304</v>
      </c>
      <c r="BS119" s="1111">
        <f>SUMIFS(NewEmisData!K:K, NewEmisData!$A:$A, $G119, NewEmisData!$B:$B, $A119, NewEmisData!$C:$C, $H119, NewEmisData!$D:$D, BS$6)</f>
        <v>9.1194870958021301</v>
      </c>
      <c r="BT119" s="1111">
        <f>SUMIFS(NewEmisData!L:L, NewEmisData!$A:$A, $G119, NewEmisData!$B:$B, $A119, NewEmisData!$C:$C, $H119, NewEmisData!$D:$D, BT$6)</f>
        <v>9.1195354358116791</v>
      </c>
      <c r="BU119" s="1111">
        <f>SUMIFS(NewEmisData!M:M, NewEmisData!$A:$A, $G119, NewEmisData!$B:$B, $A119, NewEmisData!$C:$C, $H119, NewEmisData!$D:$D, BU$6)</f>
        <v>9.1768688492373691</v>
      </c>
      <c r="BV119" s="1111">
        <f t="shared" si="182"/>
        <v>9.1768688492373691</v>
      </c>
      <c r="BW119" s="1111">
        <f t="shared" si="183"/>
        <v>5.0930184981446001</v>
      </c>
      <c r="BX119" s="1111">
        <f>SUMIFS(NewEmisData!E:E, NewEmisData!$A:$A, $G119, NewEmisData!$B:$B, $A119, NewEmisData!$C:$C, $H119, NewEmisData!$D:$D, BX$6)</f>
        <v>5.0930184981446001</v>
      </c>
      <c r="BY119" s="1111">
        <f>SUMIFS(NewEmisData!F:F, NewEmisData!$A:$A, $G119, NewEmisData!$B:$B, $A119, NewEmisData!$C:$C, $H119, NewEmisData!$D:$D, BY$6)</f>
        <v>5.0253358346598898</v>
      </c>
      <c r="BZ119" s="1111">
        <f>SUMIFS(NewEmisData!G:G, NewEmisData!$A:$A, $G119, NewEmisData!$B:$B, $A119, NewEmisData!$C:$C, $H119, NewEmisData!$D:$D, BZ$6)</f>
        <v>0.51405823804131701</v>
      </c>
      <c r="CA119" s="1111">
        <f>SUMIFS(NewEmisData!H:H, NewEmisData!$A:$A, $G119, NewEmisData!$B:$B, $A119, NewEmisData!$C:$C, $H119, NewEmisData!$D:$D, CA$6)</f>
        <v>0.387528613317835</v>
      </c>
      <c r="CB119" s="1111">
        <f>SUMIFS(NewEmisData!I:I, NewEmisData!$A:$A, $G119, NewEmisData!$B:$B, $A119, NewEmisData!$C:$C, $H119, NewEmisData!$D:$D, CB$6)</f>
        <v>0.36774416861611597</v>
      </c>
      <c r="CC119" s="1111">
        <f>SUMIFS(NewEmisData!J:J, NewEmisData!$A:$A, $G119, NewEmisData!$B:$B, $A119, NewEmisData!$C:$C, $H119, NewEmisData!$D:$D, CC$6)</f>
        <v>0.35572251850567799</v>
      </c>
      <c r="CD119" s="1111">
        <f>SUMIFS(NewEmisData!K:K, NewEmisData!$A:$A, $G119, NewEmisData!$B:$B, $A119, NewEmisData!$C:$C, $H119, NewEmisData!$D:$D, CD$6)</f>
        <v>0.33175379038174102</v>
      </c>
      <c r="CE119" s="1111">
        <f>SUMIFS(NewEmisData!L:L, NewEmisData!$A:$A, $G119, NewEmisData!$B:$B, $A119, NewEmisData!$C:$C, $H119, NewEmisData!$D:$D, CE$6)</f>
        <v>0.331756695076598</v>
      </c>
      <c r="CF119" s="1111">
        <f>SUMIFS(NewEmisData!M:M, NewEmisData!$A:$A, $G119, NewEmisData!$B:$B, $A119, NewEmisData!$C:$C, $H119, NewEmisData!$D:$D, CF$6)</f>
        <v>0.33409632913945803</v>
      </c>
      <c r="CG119" s="1111">
        <f t="shared" si="184"/>
        <v>0.33409632913945803</v>
      </c>
      <c r="CH119" s="1111">
        <f t="shared" si="185"/>
        <v>5.8005828223388803E-2</v>
      </c>
      <c r="CI119" s="1111">
        <f>SUMIFS(NewEmisData!E:E, NewEmisData!$A:$A, $G119, NewEmisData!$B:$B, $A119, NewEmisData!$C:$C, $H119, NewEmisData!$D:$D, CI$6)</f>
        <v>5.8005828223388803E-2</v>
      </c>
      <c r="CJ119" s="1111">
        <f>SUMIFS(NewEmisData!F:F, NewEmisData!$A:$A, $G119, NewEmisData!$B:$B, $A119, NewEmisData!$C:$C, $H119, NewEmisData!$D:$D, CJ$6)</f>
        <v>5.8005698651183601E-2</v>
      </c>
      <c r="CK119" s="1111">
        <f>SUMIFS(NewEmisData!G:G, NewEmisData!$A:$A, $G119, NewEmisData!$B:$B, $A119, NewEmisData!$C:$C, $H119, NewEmisData!$D:$D, CK$6)</f>
        <v>6.3952492241155401E-2</v>
      </c>
      <c r="CL119" s="1111">
        <f>SUMIFS(NewEmisData!H:H, NewEmisData!$A:$A, $G119, NewEmisData!$B:$B, $A119, NewEmisData!$C:$C, $H119, NewEmisData!$D:$D, CL$6)</f>
        <v>6.3946667315170597E-2</v>
      </c>
      <c r="CM119" s="1111">
        <f>SUMIFS(NewEmisData!I:I, NewEmisData!$A:$A, $G119, NewEmisData!$B:$B, $A119, NewEmisData!$C:$C, $H119, NewEmisData!$D:$D, CM$6)</f>
        <v>6.3944594731192794E-2</v>
      </c>
      <c r="CN119" s="1111">
        <f>SUMIFS(NewEmisData!J:J, NewEmisData!$A:$A, $G119, NewEmisData!$B:$B, $A119, NewEmisData!$C:$C, $H119, NewEmisData!$D:$D, CN$6)</f>
        <v>6.3942027068771501E-2</v>
      </c>
      <c r="CO119" s="1111">
        <f>SUMIFS(NewEmisData!K:K, NewEmisData!$A:$A, $G119, NewEmisData!$B:$B, $A119, NewEmisData!$C:$C, $H119, NewEmisData!$D:$D, CO$6)</f>
        <v>6.3941596803110706E-2</v>
      </c>
      <c r="CP119" s="1111">
        <f>SUMIFS(NewEmisData!L:L, NewEmisData!$A:$A, $G119, NewEmisData!$B:$B, $A119, NewEmisData!$C:$C, $H119, NewEmisData!$D:$D, CP$6)</f>
        <v>6.39415366152081E-2</v>
      </c>
      <c r="CQ119" s="1111">
        <f>SUMIFS(NewEmisData!M:M, NewEmisData!$A:$A, $G119, NewEmisData!$B:$B, $A119, NewEmisData!$C:$C, $H119, NewEmisData!$D:$D, CQ$6)</f>
        <v>6.3941512340742093E-2</v>
      </c>
      <c r="CR119" s="1111">
        <f t="shared" si="186"/>
        <v>6.3941512340742093E-2</v>
      </c>
      <c r="CS119" s="1111">
        <f t="shared" si="187"/>
        <v>0.18414442462908501</v>
      </c>
      <c r="CT119" s="1111">
        <f>SUMIFS(NewEmisData!E:E, NewEmisData!$A:$A, $G119, NewEmisData!$B:$B, $A119, NewEmisData!$C:$C, $H119, NewEmisData!$D:$D, CT$6)</f>
        <v>0.18414442462908501</v>
      </c>
      <c r="CU119" s="1111">
        <f>SUMIFS(NewEmisData!F:F, NewEmisData!$A:$A, $G119, NewEmisData!$B:$B, $A119, NewEmisData!$C:$C, $H119, NewEmisData!$D:$D, CU$6)</f>
        <v>0.19305436052488101</v>
      </c>
      <c r="CV119" s="1111">
        <f>SUMIFS(NewEmisData!G:G, NewEmisData!$A:$A, $G119, NewEmisData!$B:$B, $A119, NewEmisData!$C:$C, $H119, NewEmisData!$D:$D, CV$6)</f>
        <v>0.175367660023205</v>
      </c>
      <c r="CW119" s="1111">
        <f>SUMIFS(NewEmisData!H:H, NewEmisData!$A:$A, $G119, NewEmisData!$B:$B, $A119, NewEmisData!$C:$C, $H119, NewEmisData!$D:$D, CW$6)</f>
        <v>0.17678280347714401</v>
      </c>
      <c r="CX119" s="1111">
        <f>SUMIFS(NewEmisData!I:I, NewEmisData!$A:$A, $G119, NewEmisData!$B:$B, $A119, NewEmisData!$C:$C, $H119, NewEmisData!$D:$D, CX$6)</f>
        <v>0.17745830492190401</v>
      </c>
      <c r="CY119" s="1111">
        <f>SUMIFS(NewEmisData!J:J, NewEmisData!$A:$A, $G119, NewEmisData!$B:$B, $A119, NewEmisData!$C:$C, $H119, NewEmisData!$D:$D, CY$6)</f>
        <v>0.17774444168838499</v>
      </c>
      <c r="CZ119" s="1111">
        <f>SUMIFS(NewEmisData!K:K, NewEmisData!$A:$A, $G119, NewEmisData!$B:$B, $A119, NewEmisData!$C:$C, $H119, NewEmisData!$D:$D, CZ$6)</f>
        <v>0.17674862665267799</v>
      </c>
      <c r="DA119" s="1111">
        <f>SUMIFS(NewEmisData!L:L, NewEmisData!$A:$A, $G119, NewEmisData!$B:$B, $A119, NewEmisData!$C:$C, $H119, NewEmisData!$D:$D, DA$6)</f>
        <v>0.17674752449153799</v>
      </c>
      <c r="DB119" s="1111">
        <f>SUMIFS(NewEmisData!M:M, NewEmisData!$A:$A, $G119, NewEmisData!$B:$B, $A119, NewEmisData!$C:$C, $H119, NewEmisData!$D:$D, DB$6)</f>
        <v>0.17750838787788201</v>
      </c>
      <c r="DC119" s="1111">
        <f t="shared" si="188"/>
        <v>0.17750838787788201</v>
      </c>
      <c r="DD119" s="1111"/>
      <c r="DE119" s="1111"/>
      <c r="DF119" s="1111"/>
      <c r="DG119" s="1111"/>
      <c r="DH119" s="1111"/>
      <c r="DI119" s="1111"/>
      <c r="DJ119" s="1111"/>
      <c r="DK119" s="1111"/>
      <c r="DL119" s="1111"/>
      <c r="DM119" s="1111"/>
      <c r="DN119" s="1111"/>
      <c r="DO119" s="1111"/>
      <c r="DP119" s="1111"/>
      <c r="DQ119" s="1111"/>
      <c r="DR119" s="1111"/>
      <c r="DS119" s="1111"/>
      <c r="DT119" s="1111"/>
      <c r="DU119" s="1111"/>
      <c r="DV119" s="1111"/>
      <c r="DW119" s="1111"/>
      <c r="DX119" s="1111"/>
      <c r="DY119" s="1111"/>
      <c r="DZ119" s="1111">
        <f t="shared" si="189"/>
        <v>33.5417658414489</v>
      </c>
      <c r="EA119" s="1111">
        <f>SUMIFS(NewEmisData!E:E, NewEmisData!$A:$A, $G119, NewEmisData!$B:$B, $A119, NewEmisData!$C:$C, $H119, NewEmisData!$D:$D, EA$6)</f>
        <v>33.5417658414489</v>
      </c>
      <c r="EB119" s="1111">
        <f>SUMIFS(NewEmisData!F:F, NewEmisData!$A:$A, $G119, NewEmisData!$B:$B, $A119, NewEmisData!$C:$C, $H119, NewEmisData!$D:$D, EB$6)</f>
        <v>33.653386551914203</v>
      </c>
      <c r="EC119" s="1111">
        <f>SUMIFS(NewEmisData!G:G, NewEmisData!$A:$A, $G119, NewEmisData!$B:$B, $A119, NewEmisData!$C:$C, $H119, NewEmisData!$D:$D, EC$6)</f>
        <v>8.5715796873766799</v>
      </c>
      <c r="ED119" s="1111">
        <f>SUMIFS(NewEmisData!H:H, NewEmisData!$A:$A, $G119, NewEmisData!$B:$B, $A119, NewEmisData!$C:$C, $H119, NewEmisData!$D:$D, ED$6)</f>
        <v>7.9623983507554996</v>
      </c>
      <c r="EE119" s="1111">
        <f>SUMIFS(NewEmisData!I:I, NewEmisData!$A:$A, $G119, NewEmisData!$B:$B, $A119, NewEmisData!$C:$C, $H119, NewEmisData!$D:$D, EE$6)</f>
        <v>7.1225906928367602</v>
      </c>
      <c r="EF119" s="1111">
        <f>SUMIFS(NewEmisData!J:J, NewEmisData!$A:$A, $G119, NewEmisData!$B:$B, $A119, NewEmisData!$C:$C, $H119, NewEmisData!$D:$D, EF$6)</f>
        <v>7.3453919181039096</v>
      </c>
      <c r="EG119" s="1111">
        <f>SUMIFS(NewEmisData!K:K, NewEmisData!$A:$A, $G119, NewEmisData!$B:$B, $A119, NewEmisData!$C:$C, $H119, NewEmisData!$D:$D, EG$6)</f>
        <v>6.8720474342018099</v>
      </c>
      <c r="EH119" s="1111">
        <f>SUMIFS(NewEmisData!L:L, NewEmisData!$A:$A, $G119, NewEmisData!$B:$B, $A119, NewEmisData!$C:$C, $H119, NewEmisData!$D:$D, EH$6)</f>
        <v>6.87211109726662</v>
      </c>
      <c r="EI119" s="1111">
        <f>SUMIFS(NewEmisData!M:M, NewEmisData!$A:$A, $G119, NewEmisData!$B:$B, $A119, NewEmisData!$C:$C, $H119, NewEmisData!$D:$D, EI$6)</f>
        <v>6.9205737603502202</v>
      </c>
      <c r="EJ119" s="1111">
        <f t="shared" si="190"/>
        <v>6.9205737603502202</v>
      </c>
      <c r="EK119" s="1111">
        <f t="shared" si="191"/>
        <v>2178.9967614971001</v>
      </c>
      <c r="EL119" s="1111">
        <f t="shared" si="154"/>
        <v>2178.9967614971001</v>
      </c>
      <c r="EM119" s="1111">
        <f t="shared" si="155"/>
        <v>2166.1808780169699</v>
      </c>
      <c r="EN119" s="1111">
        <f t="shared" si="156"/>
        <v>1829.3230538083899</v>
      </c>
      <c r="EO119" s="1111">
        <f t="shared" si="157"/>
        <v>1792.5465477673099</v>
      </c>
      <c r="EP119" s="1111">
        <f t="shared" si="158"/>
        <v>1783.15413817481</v>
      </c>
      <c r="EQ119" s="1111">
        <f t="shared" si="159"/>
        <v>1766.2276580145201</v>
      </c>
      <c r="ER119" s="1111">
        <f t="shared" si="160"/>
        <v>1762.65639856503</v>
      </c>
      <c r="ES119" s="1111">
        <f t="shared" si="161"/>
        <v>1762.6002362349</v>
      </c>
      <c r="ET119" s="1111">
        <f t="shared" si="162"/>
        <v>1762.69221348628</v>
      </c>
      <c r="EU119" s="1111">
        <f t="shared" si="163"/>
        <v>1762.69221348628</v>
      </c>
      <c r="EV119" s="1111">
        <f t="shared" si="192"/>
        <v>17.791352967534699</v>
      </c>
      <c r="EW119" s="1111">
        <f t="shared" si="144"/>
        <v>17.791352967534699</v>
      </c>
      <c r="EX119" s="1111">
        <f t="shared" si="145"/>
        <v>17.463111089302298</v>
      </c>
      <c r="EY119" s="1111">
        <f t="shared" si="146"/>
        <v>3.0267310243138001</v>
      </c>
      <c r="EZ119" s="1111">
        <f t="shared" si="147"/>
        <v>2.3543137298168899</v>
      </c>
      <c r="FA119" s="1111">
        <f t="shared" si="148"/>
        <v>2.0699541963238501</v>
      </c>
      <c r="FB119" s="1111">
        <f t="shared" si="149"/>
        <v>2.1398645413845401</v>
      </c>
      <c r="FC119" s="1111">
        <f t="shared" si="150"/>
        <v>1.9577154303695801</v>
      </c>
      <c r="FD119" s="1111">
        <f t="shared" si="151"/>
        <v>1.9577160230270401</v>
      </c>
      <c r="FE119" s="1111">
        <f t="shared" si="152"/>
        <v>1.96058425238824</v>
      </c>
      <c r="FF119" s="1111">
        <f t="shared" si="153"/>
        <v>1.96058425238824</v>
      </c>
      <c r="FG119" s="1111">
        <f t="shared" si="193"/>
        <v>7.75878540003522E-3</v>
      </c>
      <c r="FH119" s="1111">
        <f t="shared" si="194"/>
        <v>7.75878540003522E-3</v>
      </c>
      <c r="FI119" s="1111">
        <f t="shared" si="195"/>
        <v>7.7206892950845299E-3</v>
      </c>
      <c r="FJ119" s="1111">
        <f t="shared" si="196"/>
        <v>9.6853348357149507E-3</v>
      </c>
      <c r="FK119" s="1111">
        <f t="shared" si="197"/>
        <v>9.4906268999874494E-3</v>
      </c>
      <c r="FL119" s="1111">
        <f t="shared" si="198"/>
        <v>9.4408902403545405E-3</v>
      </c>
      <c r="FM119" s="1111">
        <f t="shared" si="199"/>
        <v>9.3512761456049798E-3</v>
      </c>
      <c r="FN119" s="1111">
        <f t="shared" si="200"/>
        <v>9.3323686977463492E-3</v>
      </c>
      <c r="FO119" s="1111">
        <f t="shared" si="201"/>
        <v>9.33206965002485E-3</v>
      </c>
      <c r="FP119" s="1111">
        <f t="shared" si="202"/>
        <v>9.3325593207045504E-3</v>
      </c>
      <c r="FQ119" s="1111">
        <f t="shared" si="203"/>
        <v>9.3325593207045504E-3</v>
      </c>
      <c r="FR119" s="1111">
        <f t="shared" si="133"/>
        <v>0.56323884311686501</v>
      </c>
      <c r="FS119" s="1111">
        <f t="shared" si="134"/>
        <v>0.56323884311686501</v>
      </c>
      <c r="FT119" s="1111">
        <f t="shared" si="135"/>
        <v>0.65967921760836901</v>
      </c>
      <c r="FU119" s="1111">
        <f t="shared" si="136"/>
        <v>0.43849398613699297</v>
      </c>
      <c r="FV119" s="1111">
        <f t="shared" si="137"/>
        <v>0.435387742291789</v>
      </c>
      <c r="FW119" s="1111">
        <f t="shared" si="138"/>
        <v>0.43677651486407298</v>
      </c>
      <c r="FX119" s="1111">
        <f t="shared" si="139"/>
        <v>0.43514383186903999</v>
      </c>
      <c r="FY119" s="1111">
        <f t="shared" si="140"/>
        <v>0.43469575175796898</v>
      </c>
      <c r="FZ119" s="1111">
        <f t="shared" si="141"/>
        <v>0.434695702864836</v>
      </c>
      <c r="GA119" s="1111">
        <f t="shared" si="142"/>
        <v>0.43478505724157201</v>
      </c>
      <c r="GB119" s="1111">
        <f t="shared" si="143"/>
        <v>0.43478505724157201</v>
      </c>
      <c r="GC119" s="1111">
        <f t="shared" si="164"/>
        <v>0.19585131976317</v>
      </c>
      <c r="GD119" s="1111">
        <f t="shared" si="165"/>
        <v>0.19585131976317</v>
      </c>
      <c r="GE119" s="1111">
        <f t="shared" si="166"/>
        <v>0.281164327502613</v>
      </c>
      <c r="GF119" s="1111">
        <f t="shared" si="167"/>
        <v>6.1015791831846501E-2</v>
      </c>
      <c r="GG119" s="1111">
        <f t="shared" si="168"/>
        <v>5.82674541625035E-2</v>
      </c>
      <c r="GH119" s="1111">
        <f t="shared" si="169"/>
        <v>5.9496434405484099E-2</v>
      </c>
      <c r="GI119" s="1111">
        <f t="shared" si="170"/>
        <v>5.8051617759569699E-2</v>
      </c>
      <c r="GJ119" s="1111">
        <f t="shared" si="171"/>
        <v>5.76550670160648E-2</v>
      </c>
      <c r="GK119" s="1111">
        <f t="shared" si="172"/>
        <v>5.7655161934684902E-2</v>
      </c>
      <c r="GL119" s="1111">
        <f t="shared" si="173"/>
        <v>5.7734278106753099E-2</v>
      </c>
      <c r="GM119" s="1111">
        <f t="shared" si="174"/>
        <v>5.7734278106753099E-2</v>
      </c>
    </row>
    <row r="120" spans="1:195" x14ac:dyDescent="0.2">
      <c r="A120" s="1071" t="s">
        <v>188</v>
      </c>
      <c r="B120" s="1071" t="str">
        <f>NewTech!B31</f>
        <v>TBCNGAH</v>
      </c>
      <c r="C120" s="1071" t="str">
        <f>NewTech!C31</f>
        <v>Bus, Advanced Hybird CNG</v>
      </c>
      <c r="D120" s="1071" t="str">
        <f>NewTech!D31</f>
        <v>bn-vmt, bn-vmt/a</v>
      </c>
      <c r="E120" s="1071" t="str">
        <f>NewTech!E31</f>
        <v>TBCNG</v>
      </c>
      <c r="F120" s="1071" t="str">
        <f>NewTech!F31</f>
        <v>TB</v>
      </c>
      <c r="G120" s="1110" t="s">
        <v>498</v>
      </c>
      <c r="H120" s="1110" t="s">
        <v>501</v>
      </c>
      <c r="I120" s="1112">
        <v>1</v>
      </c>
      <c r="J120" s="1111" t="str">
        <f t="shared" si="37"/>
        <v>Bus-CNG</v>
      </c>
      <c r="K120" s="1111">
        <f>SUMIFS(NewEmisData!E:E, NewEmisData!$A:$A, $G120, NewEmisData!$B:$B, $A120, NewEmisData!$C:$C, $H120, NewEmisData!$D:$D, K$6)</f>
        <v>1516.0926472297899</v>
      </c>
      <c r="L120" s="1111">
        <f>SUMIFS(NewEmisData!F:F, NewEmisData!$A:$A, $G120, NewEmisData!$B:$B, $A120, NewEmisData!$C:$C, $H120, NewEmisData!$D:$D, L$6)</f>
        <v>1383.7625928366399</v>
      </c>
      <c r="M120" s="1111">
        <f>SUMIFS(NewEmisData!G:G, NewEmisData!$A:$A, $G120, NewEmisData!$B:$B, $A120, NewEmisData!$C:$C, $H120, NewEmisData!$D:$D, M$6)</f>
        <v>1274.6757013323299</v>
      </c>
      <c r="N120" s="1111">
        <f>SUMIFS(NewEmisData!H:H, NewEmisData!$A:$A, $G120, NewEmisData!$B:$B, $A120, NewEmisData!$C:$C, $H120, NewEmisData!$D:$D, N$6)</f>
        <v>1248.93285879051</v>
      </c>
      <c r="O120" s="1111">
        <f>SUMIFS(NewEmisData!I:I, NewEmisData!$A:$A, $G120, NewEmisData!$B:$B, $A120, NewEmisData!$C:$C, $H120, NewEmisData!$D:$D, O$6)</f>
        <v>1242.34709692709</v>
      </c>
      <c r="P120" s="1111">
        <f>SUMIFS(NewEmisData!J:J, NewEmisData!$A:$A, $G120, NewEmisData!$B:$B, $A120, NewEmisData!$C:$C, $H120, NewEmisData!$D:$D, P$6)</f>
        <v>1230.5088675593399</v>
      </c>
      <c r="Q120" s="1111">
        <f>SUMIFS(NewEmisData!K:K, NewEmisData!$A:$A, $G120, NewEmisData!$B:$B, $A120, NewEmisData!$C:$C, $H120, NewEmisData!$D:$D, Q$6)</f>
        <v>1228.0290689091601</v>
      </c>
      <c r="R120" s="1111">
        <f>SUMIFS(NewEmisData!L:L, NewEmisData!$A:$A, $G120, NewEmisData!$B:$B, $A120, NewEmisData!$C:$C, $H120, NewEmisData!$D:$D, R$6)</f>
        <v>1227.99116763047</v>
      </c>
      <c r="S120" s="1111">
        <f>SUMIFS(NewEmisData!M:M, NewEmisData!$A:$A, $G120, NewEmisData!$B:$B, $A120, NewEmisData!$C:$C, $H120, NewEmisData!$D:$D, S$6)</f>
        <v>1228.04156212526</v>
      </c>
      <c r="T120" s="1111">
        <f t="shared" si="131"/>
        <v>1228.04156212526</v>
      </c>
      <c r="U120" s="1111">
        <f>SUMIFS(NewEmisData!E:E, NewEmisData!$A:$A, $G120, NewEmisData!$B:$B, $A120, NewEmisData!$C:$C, $H120, NewEmisData!$D:$D, U$6)</f>
        <v>11.3380018594681</v>
      </c>
      <c r="V120" s="1111">
        <f>SUMIFS(NewEmisData!F:F, NewEmisData!$A:$A, $G120, NewEmisData!$B:$B, $A120, NewEmisData!$C:$C, $H120, NewEmisData!$D:$D, V$6)</f>
        <v>4.4270777617693096</v>
      </c>
      <c r="W120" s="1111">
        <f>SUMIFS(NewEmisData!G:G, NewEmisData!$A:$A, $G120, NewEmisData!$B:$B, $A120, NewEmisData!$C:$C, $H120, NewEmisData!$D:$D, W$6)</f>
        <v>2.2851784558455002</v>
      </c>
      <c r="X120" s="1111">
        <f>SUMIFS(NewEmisData!H:H, NewEmisData!$A:$A, $G120, NewEmisData!$B:$B, $A120, NewEmisData!$C:$C, $H120, NewEmisData!$D:$D, X$6)</f>
        <v>1.77665492953008</v>
      </c>
      <c r="Y120" s="1111">
        <f>SUMIFS(NewEmisData!I:I, NewEmisData!$A:$A, $G120, NewEmisData!$B:$B, $A120, NewEmisData!$C:$C, $H120, NewEmisData!$D:$D, Y$6)</f>
        <v>1.56276598268199</v>
      </c>
      <c r="Z120" s="1111">
        <f>SUMIFS(NewEmisData!J:J, NewEmisData!$A:$A, $G120, NewEmisData!$B:$B, $A120, NewEmisData!$C:$C, $H120, NewEmisData!$D:$D, Z$6)</f>
        <v>1.6150506418937001</v>
      </c>
      <c r="AA120" s="1111">
        <f>SUMIFS(NewEmisData!K:K, NewEmisData!$A:$A, $G120, NewEmisData!$B:$B, $A120, NewEmisData!$C:$C, $H120, NewEmisData!$D:$D, AA$6)</f>
        <v>1.47779953573362</v>
      </c>
      <c r="AB120" s="1111">
        <f>SUMIFS(NewEmisData!L:L, NewEmisData!$A:$A, $G120, NewEmisData!$B:$B, $A120, NewEmisData!$C:$C, $H120, NewEmisData!$D:$D, AB$6)</f>
        <v>1.4778001363942499</v>
      </c>
      <c r="AC120" s="1111">
        <f>SUMIFS(NewEmisData!M:M, NewEmisData!$A:$A, $G120, NewEmisData!$B:$B, $A120, NewEmisData!$C:$C, $H120, NewEmisData!$D:$D, AC$6)</f>
        <v>1.47991659575059</v>
      </c>
      <c r="AD120" s="1111">
        <f t="shared" si="132"/>
        <v>1.47991659575059</v>
      </c>
      <c r="AE120" s="1111">
        <f t="shared" si="175"/>
        <v>7.4194239576110604E-3</v>
      </c>
      <c r="AF120" s="1111">
        <f>SUMIFS(NewEmisData!E:E, NewEmisData!$A:$A, $G120, NewEmisData!$B:$B, $A120, NewEmisData!$C:$C, $H120, NewEmisData!$D:$D, AF$6)</f>
        <v>7.4194239576110604E-3</v>
      </c>
      <c r="AG120" s="1111">
        <f>SUMIFS(NewEmisData!F:F, NewEmisData!$A:$A, $G120, NewEmisData!$B:$B, $A120, NewEmisData!$C:$C, $H120, NewEmisData!$D:$D, AG$6)</f>
        <v>6.7471555112269604E-3</v>
      </c>
      <c r="AH120" s="1111">
        <f>SUMIFS(NewEmisData!G:G, NewEmisData!$A:$A, $G120, NewEmisData!$B:$B, $A120, NewEmisData!$C:$C, $H120, NewEmisData!$D:$D, AH$6)</f>
        <v>6.7487595451477004E-3</v>
      </c>
      <c r="AI120" s="1111">
        <f>SUMIFS(NewEmisData!H:H, NewEmisData!$A:$A, $G120, NewEmisData!$B:$B, $A120, NewEmisData!$C:$C, $H120, NewEmisData!$D:$D, AI$6)</f>
        <v>6.6124600825725501E-3</v>
      </c>
      <c r="AJ120" s="1111">
        <f>SUMIFS(NewEmisData!I:I, NewEmisData!$A:$A, $G120, NewEmisData!$B:$B, $A120, NewEmisData!$C:$C, $H120, NewEmisData!$D:$D, AJ$6)</f>
        <v>6.5775946616658003E-3</v>
      </c>
      <c r="AK120" s="1111">
        <f>SUMIFS(NewEmisData!J:J, NewEmisData!$A:$A, $G120, NewEmisData!$B:$B, $A120, NewEmisData!$C:$C, $H120, NewEmisData!$D:$D, AK$6)</f>
        <v>6.5149161690284396E-3</v>
      </c>
      <c r="AL120" s="1111">
        <f>SUMIFS(NewEmisData!K:K, NewEmisData!$A:$A, $G120, NewEmisData!$B:$B, $A120, NewEmisData!$C:$C, $H120, NewEmisData!$D:$D, AL$6)</f>
        <v>6.5017860407342804E-3</v>
      </c>
      <c r="AM120" s="1111">
        <f>SUMIFS(NewEmisData!L:L, NewEmisData!$A:$A, $G120, NewEmisData!$B:$B, $A120, NewEmisData!$C:$C, $H120, NewEmisData!$D:$D, AM$6)</f>
        <v>6.5015847958577897E-3</v>
      </c>
      <c r="AN120" s="1111">
        <f>SUMIFS(NewEmisData!M:M, NewEmisData!$A:$A, $G120, NewEmisData!$B:$B, $A120, NewEmisData!$C:$C, $H120, NewEmisData!$D:$D, AN$6)</f>
        <v>6.5018545048176604E-3</v>
      </c>
      <c r="AO120" s="1111">
        <f t="shared" si="176"/>
        <v>6.5018545048176604E-3</v>
      </c>
      <c r="AP120" s="1111">
        <f t="shared" si="177"/>
        <v>0.35807070269459501</v>
      </c>
      <c r="AQ120" s="1111">
        <f>SUMIFS(NewEmisData!E:E, NewEmisData!$A:$A, $G120, NewEmisData!$B:$B, $A120, NewEmisData!$C:$C, $H120, NewEmisData!$D:$D, AQ$6)</f>
        <v>0.35807070269459501</v>
      </c>
      <c r="AR120" s="1111">
        <f>SUMIFS(NewEmisData!F:F, NewEmisData!$A:$A, $G120, NewEmisData!$B:$B, $A120, NewEmisData!$C:$C, $H120, NewEmisData!$D:$D, AR$6)</f>
        <v>0.28679070316507099</v>
      </c>
      <c r="AS120" s="1111">
        <f>SUMIFS(NewEmisData!G:G, NewEmisData!$A:$A, $G120, NewEmisData!$B:$B, $A120, NewEmisData!$C:$C, $H120, NewEmisData!$D:$D, AS$6)</f>
        <v>0.218906747032379</v>
      </c>
      <c r="AT120" s="1111">
        <f>SUMIFS(NewEmisData!H:H, NewEmisData!$A:$A, $G120, NewEmisData!$B:$B, $A120, NewEmisData!$C:$C, $H120, NewEmisData!$D:$D, AT$6)</f>
        <v>0.21605365916241701</v>
      </c>
      <c r="AU120" s="1111">
        <f>SUMIFS(NewEmisData!I:I, NewEmisData!$A:$A, $G120, NewEmisData!$B:$B, $A120, NewEmisData!$C:$C, $H120, NewEmisData!$D:$D, AU$6)</f>
        <v>0.217493987012533</v>
      </c>
      <c r="AV120" s="1111">
        <f>SUMIFS(NewEmisData!J:J, NewEmisData!$A:$A, $G120, NewEmisData!$B:$B, $A120, NewEmisData!$C:$C, $H120, NewEmisData!$D:$D, AV$6)</f>
        <v>0.215874408641613</v>
      </c>
      <c r="AW120" s="1111">
        <f>SUMIFS(NewEmisData!K:K, NewEmisData!$A:$A, $G120, NewEmisData!$B:$B, $A120, NewEmisData!$C:$C, $H120, NewEmisData!$D:$D, AW$6)</f>
        <v>0.215548001259909</v>
      </c>
      <c r="AX120" s="1111">
        <f>SUMIFS(NewEmisData!L:L, NewEmisData!$A:$A, $G120, NewEmisData!$B:$B, $A120, NewEmisData!$C:$C, $H120, NewEmisData!$D:$D, AX$6)</f>
        <v>0.215548245034523</v>
      </c>
      <c r="AY120" s="1111">
        <f>SUMIFS(NewEmisData!M:M, NewEmisData!$A:$A, $G120, NewEmisData!$B:$B, $A120, NewEmisData!$C:$C, $H120, NewEmisData!$D:$D, AY$6)</f>
        <v>0.215615404289591</v>
      </c>
      <c r="AZ120" s="1111">
        <f t="shared" si="178"/>
        <v>0.215615404289591</v>
      </c>
      <c r="BA120" s="1111">
        <f t="shared" si="179"/>
        <v>0.13708084004218499</v>
      </c>
      <c r="BB120" s="1111">
        <f>SUMIFS(NewEmisData!E:E, NewEmisData!$A:$A, $G120, NewEmisData!$B:$B, $A120, NewEmisData!$C:$C, $H120, NewEmisData!$D:$D, BB$6)</f>
        <v>0.13708084004218499</v>
      </c>
      <c r="BC120" s="1111">
        <f>SUMIFS(NewEmisData!F:F, NewEmisData!$A:$A, $G120, NewEmisData!$B:$B, $A120, NewEmisData!$C:$C, $H120, NewEmisData!$D:$D, BC$6)</f>
        <v>7.4025422906897703E-2</v>
      </c>
      <c r="BD120" s="1111">
        <f>SUMIFS(NewEmisData!G:G, NewEmisData!$A:$A, $G120, NewEmisData!$B:$B, $A120, NewEmisData!$C:$C, $H120, NewEmisData!$D:$D, BD$6)</f>
        <v>3.24536914485807E-2</v>
      </c>
      <c r="BE120" s="1111">
        <f>SUMIFS(NewEmisData!H:H, NewEmisData!$A:$A, $G120, NewEmisData!$B:$B, $A120, NewEmisData!$C:$C, $H120, NewEmisData!$D:$D, BE$6)</f>
        <v>2.9929781219030799E-2</v>
      </c>
      <c r="BF120" s="1111">
        <f>SUMIFS(NewEmisData!I:I, NewEmisData!$A:$A, $G120, NewEmisData!$B:$B, $A120, NewEmisData!$C:$C, $H120, NewEmisData!$D:$D, BF$6)</f>
        <v>3.12036941885327E-2</v>
      </c>
      <c r="BG120" s="1111">
        <f>SUMIFS(NewEmisData!J:J, NewEmisData!$A:$A, $G120, NewEmisData!$B:$B, $A120, NewEmisData!$C:$C, $H120, NewEmisData!$D:$D, BG$6)</f>
        <v>2.97710028337012E-2</v>
      </c>
      <c r="BH120" s="1111">
        <f>SUMIFS(NewEmisData!K:K, NewEmisData!$A:$A, $G120, NewEmisData!$B:$B, $A120, NewEmisData!$C:$C, $H120, NewEmisData!$D:$D, BH$6)</f>
        <v>2.94822042516945E-2</v>
      </c>
      <c r="BI120" s="1111">
        <f>SUMIFS(NewEmisData!L:L, NewEmisData!$A:$A, $G120, NewEmisData!$B:$B, $A120, NewEmisData!$C:$C, $H120, NewEmisData!$D:$D, BI$6)</f>
        <v>2.94822767059961E-2</v>
      </c>
      <c r="BJ120" s="1111">
        <f>SUMIFS(NewEmisData!M:M, NewEmisData!$A:$A, $G120, NewEmisData!$B:$B, $A120, NewEmisData!$C:$C, $H120, NewEmisData!$D:$D, BJ$6)</f>
        <v>2.9541631676445499E-2</v>
      </c>
      <c r="BK120" s="1111">
        <f t="shared" si="180"/>
        <v>2.9541631676445499E-2</v>
      </c>
      <c r="BL120" s="1111">
        <f t="shared" si="181"/>
        <v>16.594928340204699</v>
      </c>
      <c r="BM120" s="1111">
        <f>SUMIFS(NewEmisData!E:E, NewEmisData!$A:$A, $G120, NewEmisData!$B:$B, $A120, NewEmisData!$C:$C, $H120, NewEmisData!$D:$D, BM$6)</f>
        <v>16.594928340204699</v>
      </c>
      <c r="BN120" s="1111">
        <f>SUMIFS(NewEmisData!F:F, NewEmisData!$A:$A, $G120, NewEmisData!$B:$B, $A120, NewEmisData!$C:$C, $H120, NewEmisData!$D:$D, BN$6)</f>
        <v>7.6490424169191096</v>
      </c>
      <c r="BO120" s="1111">
        <f>SUMIFS(NewEmisData!G:G, NewEmisData!$A:$A, $G120, NewEmisData!$B:$B, $A120, NewEmisData!$C:$C, $H120, NewEmisData!$D:$D, BO$6)</f>
        <v>5.2933247998308204</v>
      </c>
      <c r="BP120" s="1111">
        <f>SUMIFS(NewEmisData!H:H, NewEmisData!$A:$A, $G120, NewEmisData!$B:$B, $A120, NewEmisData!$C:$C, $H120, NewEmisData!$D:$D, BP$6)</f>
        <v>6.1528656139162701</v>
      </c>
      <c r="BQ120" s="1111">
        <f>SUMIFS(NewEmisData!I:I, NewEmisData!$A:$A, $G120, NewEmisData!$B:$B, $A120, NewEmisData!$C:$C, $H120, NewEmisData!$D:$D, BQ$6)</f>
        <v>6.3896779926879201</v>
      </c>
      <c r="BR120" s="1111">
        <f>SUMIFS(NewEmisData!J:J, NewEmisData!$A:$A, $G120, NewEmisData!$B:$B, $A120, NewEmisData!$C:$C, $H120, NewEmisData!$D:$D, BR$6)</f>
        <v>6.18028067450813</v>
      </c>
      <c r="BS120" s="1111">
        <f>SUMIFS(NewEmisData!K:K, NewEmisData!$A:$A, $G120, NewEmisData!$B:$B, $A120, NewEmisData!$C:$C, $H120, NewEmisData!$D:$D, BS$6)</f>
        <v>6.2412735124109204</v>
      </c>
      <c r="BT120" s="1111">
        <f>SUMIFS(NewEmisData!L:L, NewEmisData!$A:$A, $G120, NewEmisData!$B:$B, $A120, NewEmisData!$C:$C, $H120, NewEmisData!$D:$D, BT$6)</f>
        <v>6.2413125974036801</v>
      </c>
      <c r="BU120" s="1111">
        <f>SUMIFS(NewEmisData!M:M, NewEmisData!$A:$A, $G120, NewEmisData!$B:$B, $A120, NewEmisData!$C:$C, $H120, NewEmisData!$D:$D, BU$6)</f>
        <v>6.2790878844376499</v>
      </c>
      <c r="BV120" s="1111">
        <f t="shared" si="182"/>
        <v>6.2790878844376499</v>
      </c>
      <c r="BW120" s="1111">
        <f t="shared" si="183"/>
        <v>2.48613164030948</v>
      </c>
      <c r="BX120" s="1111">
        <f>SUMIFS(NewEmisData!E:E, NewEmisData!$A:$A, $G120, NewEmisData!$B:$B, $A120, NewEmisData!$C:$C, $H120, NewEmisData!$D:$D, BX$6)</f>
        <v>2.48613164030948</v>
      </c>
      <c r="BY120" s="1111">
        <f>SUMIFS(NewEmisData!F:F, NewEmisData!$A:$A, $G120, NewEmisData!$B:$B, $A120, NewEmisData!$C:$C, $H120, NewEmisData!$D:$D, BY$6)</f>
        <v>0.88716407266546604</v>
      </c>
      <c r="BZ120" s="1111">
        <f>SUMIFS(NewEmisData!G:G, NewEmisData!$A:$A, $G120, NewEmisData!$B:$B, $A120, NewEmisData!$C:$C, $H120, NewEmisData!$D:$D, BZ$6)</f>
        <v>0.27749893473415599</v>
      </c>
      <c r="CA120" s="1111">
        <f>SUMIFS(NewEmisData!H:H, NewEmisData!$A:$A, $G120, NewEmisData!$B:$B, $A120, NewEmisData!$C:$C, $H120, NewEmisData!$D:$D, CA$6)</f>
        <v>0.205204834261316</v>
      </c>
      <c r="CB120" s="1111">
        <f>SUMIFS(NewEmisData!I:I, NewEmisData!$A:$A, $G120, NewEmisData!$B:$B, $A120, NewEmisData!$C:$C, $H120, NewEmisData!$D:$D, CB$6)</f>
        <v>0.19805846754263601</v>
      </c>
      <c r="CC120" s="1111">
        <f>SUMIFS(NewEmisData!J:J, NewEmisData!$A:$A, $G120, NewEmisData!$B:$B, $A120, NewEmisData!$C:$C, $H120, NewEmisData!$D:$D, CC$6)</f>
        <v>0.188577407916631</v>
      </c>
      <c r="CD120" s="1111">
        <f>SUMIFS(NewEmisData!K:K, NewEmisData!$A:$A, $G120, NewEmisData!$B:$B, $A120, NewEmisData!$C:$C, $H120, NewEmisData!$D:$D, CD$6)</f>
        <v>0.176016947090364</v>
      </c>
      <c r="CE120" s="1111">
        <f>SUMIFS(NewEmisData!L:L, NewEmisData!$A:$A, $G120, NewEmisData!$B:$B, $A120, NewEmisData!$C:$C, $H120, NewEmisData!$D:$D, CE$6)</f>
        <v>0.17601867154835699</v>
      </c>
      <c r="CF120" s="1111">
        <f>SUMIFS(NewEmisData!M:M, NewEmisData!$A:$A, $G120, NewEmisData!$B:$B, $A120, NewEmisData!$C:$C, $H120, NewEmisData!$D:$D, CF$6)</f>
        <v>0.177222072212638</v>
      </c>
      <c r="CG120" s="1111">
        <f t="shared" si="184"/>
        <v>0.177222072212638</v>
      </c>
      <c r="CH120" s="1111">
        <f t="shared" si="185"/>
        <v>4.30037571070594E-2</v>
      </c>
      <c r="CI120" s="1111">
        <f>SUMIFS(NewEmisData!E:E, NewEmisData!$A:$A, $G120, NewEmisData!$B:$B, $A120, NewEmisData!$C:$C, $H120, NewEmisData!$D:$D, CI$6)</f>
        <v>4.30037571070594E-2</v>
      </c>
      <c r="CJ120" s="1111">
        <f>SUMIFS(NewEmisData!F:F, NewEmisData!$A:$A, $G120, NewEmisData!$B:$B, $A120, NewEmisData!$C:$C, $H120, NewEmisData!$D:$D, CJ$6)</f>
        <v>4.3000582506103398E-2</v>
      </c>
      <c r="CK120" s="1111">
        <f>SUMIFS(NewEmisData!G:G, NewEmisData!$A:$A, $G120, NewEmisData!$B:$B, $A120, NewEmisData!$C:$C, $H120, NewEmisData!$D:$D, CK$6)</f>
        <v>4.2098070872406003E-2</v>
      </c>
      <c r="CL120" s="1111">
        <f>SUMIFS(NewEmisData!H:H, NewEmisData!$A:$A, $G120, NewEmisData!$B:$B, $A120, NewEmisData!$C:$C, $H120, NewEmisData!$D:$D, CL$6)</f>
        <v>4.20881810288605E-2</v>
      </c>
      <c r="CM120" s="1111">
        <f>SUMIFS(NewEmisData!I:I, NewEmisData!$A:$A, $G120, NewEmisData!$B:$B, $A120, NewEmisData!$C:$C, $H120, NewEmisData!$D:$D, CM$6)</f>
        <v>4.2084744630782503E-2</v>
      </c>
      <c r="CN120" s="1111">
        <f>SUMIFS(NewEmisData!J:J, NewEmisData!$A:$A, $G120, NewEmisData!$B:$B, $A120, NewEmisData!$C:$C, $H120, NewEmisData!$D:$D, CN$6)</f>
        <v>4.2080381656288003E-2</v>
      </c>
      <c r="CO120" s="1111">
        <f>SUMIFS(NewEmisData!K:K, NewEmisData!$A:$A, $G120, NewEmisData!$B:$B, $A120, NewEmisData!$C:$C, $H120, NewEmisData!$D:$D, CO$6)</f>
        <v>4.2079482315663198E-2</v>
      </c>
      <c r="CP120" s="1111">
        <f>SUMIFS(NewEmisData!L:L, NewEmisData!$A:$A, $G120, NewEmisData!$B:$B, $A120, NewEmisData!$C:$C, $H120, NewEmisData!$D:$D, CP$6)</f>
        <v>4.2079453335109998E-2</v>
      </c>
      <c r="CQ120" s="1111">
        <f>SUMIFS(NewEmisData!M:M, NewEmisData!$A:$A, $G120, NewEmisData!$B:$B, $A120, NewEmisData!$C:$C, $H120, NewEmisData!$D:$D, CQ$6)</f>
        <v>4.20794642138183E-2</v>
      </c>
      <c r="CR120" s="1111">
        <f t="shared" si="186"/>
        <v>4.20794642138183E-2</v>
      </c>
      <c r="CS120" s="1111">
        <f t="shared" si="187"/>
        <v>0.138983420489801</v>
      </c>
      <c r="CT120" s="1111">
        <f>SUMIFS(NewEmisData!E:E, NewEmisData!$A:$A, $G120, NewEmisData!$B:$B, $A120, NewEmisData!$C:$C, $H120, NewEmisData!$D:$D, CT$6)</f>
        <v>0.138983420489801</v>
      </c>
      <c r="CU120" s="1111">
        <f>SUMIFS(NewEmisData!F:F, NewEmisData!$A:$A, $G120, NewEmisData!$B:$B, $A120, NewEmisData!$C:$C, $H120, NewEmisData!$D:$D, CU$6)</f>
        <v>0.110065157473166</v>
      </c>
      <c r="CV120" s="1111">
        <f>SUMIFS(NewEmisData!G:G, NewEmisData!$A:$A, $G120, NewEmisData!$B:$B, $A120, NewEmisData!$C:$C, $H120, NewEmisData!$D:$D, CV$6)</f>
        <v>9.1123195728333398E-2</v>
      </c>
      <c r="CW120" s="1111">
        <f>SUMIFS(NewEmisData!H:H, NewEmisData!$A:$A, $G120, NewEmisData!$B:$B, $A120, NewEmisData!$C:$C, $H120, NewEmisData!$D:$D, CW$6)</f>
        <v>9.1914690178789796E-2</v>
      </c>
      <c r="CX120" s="1111">
        <f>SUMIFS(NewEmisData!I:I, NewEmisData!$A:$A, $G120, NewEmisData!$B:$B, $A120, NewEmisData!$C:$C, $H120, NewEmisData!$D:$D, CX$6)</f>
        <v>9.2292712015421399E-2</v>
      </c>
      <c r="CY120" s="1111">
        <f>SUMIFS(NewEmisData!J:J, NewEmisData!$A:$A, $G120, NewEmisData!$B:$B, $A120, NewEmisData!$C:$C, $H120, NewEmisData!$D:$D, CY$6)</f>
        <v>9.2452653742200894E-2</v>
      </c>
      <c r="CZ120" s="1111">
        <f>SUMIFS(NewEmisData!K:K, NewEmisData!$A:$A, $G120, NewEmisData!$B:$B, $A120, NewEmisData!$C:$C, $H120, NewEmisData!$D:$D, CZ$6)</f>
        <v>9.1895568332207703E-2</v>
      </c>
      <c r="DA120" s="1111">
        <f>SUMIFS(NewEmisData!L:L, NewEmisData!$A:$A, $G120, NewEmisData!$B:$B, $A120, NewEmisData!$C:$C, $H120, NewEmisData!$D:$D, DA$6)</f>
        <v>9.1895058180879702E-2</v>
      </c>
      <c r="DB120" s="1111">
        <f>SUMIFS(NewEmisData!M:M, NewEmisData!$A:$A, $G120, NewEmisData!$B:$B, $A120, NewEmisData!$C:$C, $H120, NewEmisData!$D:$D, DB$6)</f>
        <v>9.2320675233934807E-2</v>
      </c>
      <c r="DC120" s="1111">
        <f t="shared" si="188"/>
        <v>9.2320675233934807E-2</v>
      </c>
      <c r="DD120" s="1111"/>
      <c r="DE120" s="1111"/>
      <c r="DF120" s="1111"/>
      <c r="DG120" s="1111"/>
      <c r="DH120" s="1111"/>
      <c r="DI120" s="1111"/>
      <c r="DJ120" s="1111"/>
      <c r="DK120" s="1111"/>
      <c r="DL120" s="1111"/>
      <c r="DM120" s="1111"/>
      <c r="DN120" s="1111"/>
      <c r="DO120" s="1111"/>
      <c r="DP120" s="1111"/>
      <c r="DQ120" s="1111"/>
      <c r="DR120" s="1111"/>
      <c r="DS120" s="1111"/>
      <c r="DT120" s="1111"/>
      <c r="DU120" s="1111"/>
      <c r="DV120" s="1111"/>
      <c r="DW120" s="1111"/>
      <c r="DX120" s="1111"/>
      <c r="DY120" s="1111"/>
      <c r="DZ120" s="1111">
        <f t="shared" si="189"/>
        <v>17.209080253273701</v>
      </c>
      <c r="EA120" s="1111">
        <f>SUMIFS(NewEmisData!E:E, NewEmisData!$A:$A, $G120, NewEmisData!$B:$B, $A120, NewEmisData!$C:$C, $H120, NewEmisData!$D:$D, EA$6)</f>
        <v>17.209080253273701</v>
      </c>
      <c r="EB120" s="1111">
        <f>SUMIFS(NewEmisData!F:F, NewEmisData!$A:$A, $G120, NewEmisData!$B:$B, $A120, NewEmisData!$C:$C, $H120, NewEmisData!$D:$D, EB$6)</f>
        <v>7.2706655844581203</v>
      </c>
      <c r="EC120" s="1111">
        <f>SUMIFS(NewEmisData!G:G, NewEmisData!$A:$A, $G120, NewEmisData!$B:$B, $A120, NewEmisData!$C:$C, $H120, NewEmisData!$D:$D, EC$6)</f>
        <v>4.58093294447717</v>
      </c>
      <c r="ED120" s="1111">
        <f>SUMIFS(NewEmisData!H:H, NewEmisData!$A:$A, $G120, NewEmisData!$B:$B, $A120, NewEmisData!$C:$C, $H120, NewEmisData!$D:$D, ED$6)</f>
        <v>4.2163496273832299</v>
      </c>
      <c r="EE120" s="1111">
        <f>SUMIFS(NewEmisData!I:I, NewEmisData!$A:$A, $G120, NewEmisData!$B:$B, $A120, NewEmisData!$C:$C, $H120, NewEmisData!$D:$D, EE$6)</f>
        <v>3.7973777218307498</v>
      </c>
      <c r="EF120" s="1111">
        <f>SUMIFS(NewEmisData!J:J, NewEmisData!$A:$A, $G120, NewEmisData!$B:$B, $A120, NewEmisData!$C:$C, $H120, NewEmisData!$D:$D, EF$6)</f>
        <v>3.8940626870163202</v>
      </c>
      <c r="EG120" s="1111">
        <f>SUMIFS(NewEmisData!K:K, NewEmisData!$A:$A, $G120, NewEmisData!$B:$B, $A120, NewEmisData!$C:$C, $H120, NewEmisData!$D:$D, EG$6)</f>
        <v>3.6460689806509099</v>
      </c>
      <c r="EH120" s="1111">
        <f>SUMIFS(NewEmisData!L:L, NewEmisData!$A:$A, $G120, NewEmisData!$B:$B, $A120, NewEmisData!$C:$C, $H120, NewEmisData!$D:$D, EH$6)</f>
        <v>3.6461040549748001</v>
      </c>
      <c r="EI120" s="1111">
        <f>SUMIFS(NewEmisData!M:M, NewEmisData!$A:$A, $G120, NewEmisData!$B:$B, $A120, NewEmisData!$C:$C, $H120, NewEmisData!$D:$D, EI$6)</f>
        <v>3.6710310602693701</v>
      </c>
      <c r="EJ120" s="1111">
        <f t="shared" si="190"/>
        <v>3.6710310602693701</v>
      </c>
      <c r="EK120" s="1111">
        <f t="shared" si="191"/>
        <v>1516.0926472297899</v>
      </c>
      <c r="EL120" s="1111">
        <f t="shared" si="154"/>
        <v>1516.0926472297899</v>
      </c>
      <c r="EM120" s="1111">
        <f t="shared" si="155"/>
        <v>1383.7625928366399</v>
      </c>
      <c r="EN120" s="1111">
        <f t="shared" si="156"/>
        <v>1274.6757013323299</v>
      </c>
      <c r="EO120" s="1111">
        <f t="shared" si="157"/>
        <v>1248.93285879051</v>
      </c>
      <c r="EP120" s="1111">
        <f t="shared" si="158"/>
        <v>1242.34709692709</v>
      </c>
      <c r="EQ120" s="1111">
        <f t="shared" si="159"/>
        <v>1230.5088675593399</v>
      </c>
      <c r="ER120" s="1111">
        <f t="shared" si="160"/>
        <v>1228.0290689091601</v>
      </c>
      <c r="ES120" s="1111">
        <f t="shared" si="161"/>
        <v>1227.99116763047</v>
      </c>
      <c r="ET120" s="1111">
        <f t="shared" si="162"/>
        <v>1228.04156212526</v>
      </c>
      <c r="EU120" s="1111">
        <f t="shared" si="163"/>
        <v>1228.04156212526</v>
      </c>
      <c r="EV120" s="1111">
        <f t="shared" si="192"/>
        <v>11.3380018594681</v>
      </c>
      <c r="EW120" s="1111">
        <f t="shared" si="144"/>
        <v>11.3380018594681</v>
      </c>
      <c r="EX120" s="1111">
        <f t="shared" si="145"/>
        <v>4.4270777617693096</v>
      </c>
      <c r="EY120" s="1111">
        <f t="shared" si="146"/>
        <v>2.2851784558455002</v>
      </c>
      <c r="EZ120" s="1111">
        <f t="shared" si="147"/>
        <v>1.77665492953008</v>
      </c>
      <c r="FA120" s="1111">
        <f t="shared" si="148"/>
        <v>1.56276598268199</v>
      </c>
      <c r="FB120" s="1111">
        <f t="shared" si="149"/>
        <v>1.6150506418937001</v>
      </c>
      <c r="FC120" s="1111">
        <f t="shared" si="150"/>
        <v>1.47779953573362</v>
      </c>
      <c r="FD120" s="1111">
        <f t="shared" si="151"/>
        <v>1.4778001363942499</v>
      </c>
      <c r="FE120" s="1111">
        <f t="shared" si="152"/>
        <v>1.47991659575059</v>
      </c>
      <c r="FF120" s="1111">
        <f t="shared" si="153"/>
        <v>1.47991659575059</v>
      </c>
      <c r="FG120" s="1111">
        <f t="shared" si="193"/>
        <v>7.4194239576110604E-3</v>
      </c>
      <c r="FH120" s="1111">
        <f t="shared" si="194"/>
        <v>7.4194239576110604E-3</v>
      </c>
      <c r="FI120" s="1111">
        <f t="shared" si="195"/>
        <v>6.7471555112269604E-3</v>
      </c>
      <c r="FJ120" s="1111">
        <f t="shared" si="196"/>
        <v>6.7487595451477004E-3</v>
      </c>
      <c r="FK120" s="1111">
        <f t="shared" si="197"/>
        <v>6.6124600825725501E-3</v>
      </c>
      <c r="FL120" s="1111">
        <f t="shared" si="198"/>
        <v>6.5775946616658003E-3</v>
      </c>
      <c r="FM120" s="1111">
        <f t="shared" si="199"/>
        <v>6.5149161690284396E-3</v>
      </c>
      <c r="FN120" s="1111">
        <f t="shared" si="200"/>
        <v>6.5017860407342804E-3</v>
      </c>
      <c r="FO120" s="1111">
        <f t="shared" si="201"/>
        <v>6.5015847958577897E-3</v>
      </c>
      <c r="FP120" s="1111">
        <f t="shared" si="202"/>
        <v>6.5018545048176604E-3</v>
      </c>
      <c r="FQ120" s="1111">
        <f t="shared" si="203"/>
        <v>6.5018545048176604E-3</v>
      </c>
      <c r="FR120" s="1111">
        <f t="shared" si="133"/>
        <v>0.35807070269459501</v>
      </c>
      <c r="FS120" s="1111">
        <f t="shared" si="134"/>
        <v>0.35807070269459501</v>
      </c>
      <c r="FT120" s="1111">
        <f t="shared" si="135"/>
        <v>0.28679070316507099</v>
      </c>
      <c r="FU120" s="1111">
        <f t="shared" si="136"/>
        <v>0.218906747032379</v>
      </c>
      <c r="FV120" s="1111">
        <f t="shared" si="137"/>
        <v>0.21605365916241701</v>
      </c>
      <c r="FW120" s="1111">
        <f t="shared" si="138"/>
        <v>0.217493987012533</v>
      </c>
      <c r="FX120" s="1111">
        <f t="shared" si="139"/>
        <v>0.215874408641613</v>
      </c>
      <c r="FY120" s="1111">
        <f t="shared" si="140"/>
        <v>0.215548001259909</v>
      </c>
      <c r="FZ120" s="1111">
        <f t="shared" si="141"/>
        <v>0.215548245034523</v>
      </c>
      <c r="GA120" s="1111">
        <f t="shared" si="142"/>
        <v>0.215615404289591</v>
      </c>
      <c r="GB120" s="1111">
        <f t="shared" si="143"/>
        <v>0.215615404289591</v>
      </c>
      <c r="GC120" s="1111">
        <f t="shared" si="164"/>
        <v>0.13708084004218499</v>
      </c>
      <c r="GD120" s="1111">
        <f t="shared" si="165"/>
        <v>0.13708084004218499</v>
      </c>
      <c r="GE120" s="1111">
        <f t="shared" si="166"/>
        <v>7.4025422906897703E-2</v>
      </c>
      <c r="GF120" s="1111">
        <f t="shared" si="167"/>
        <v>3.24536914485807E-2</v>
      </c>
      <c r="GG120" s="1111">
        <f t="shared" si="168"/>
        <v>2.9929781219030799E-2</v>
      </c>
      <c r="GH120" s="1111">
        <f t="shared" si="169"/>
        <v>3.12036941885327E-2</v>
      </c>
      <c r="GI120" s="1111">
        <f t="shared" si="170"/>
        <v>2.97710028337012E-2</v>
      </c>
      <c r="GJ120" s="1111">
        <f t="shared" si="171"/>
        <v>2.94822042516945E-2</v>
      </c>
      <c r="GK120" s="1111">
        <f t="shared" si="172"/>
        <v>2.94822767059961E-2</v>
      </c>
      <c r="GL120" s="1111">
        <f t="shared" si="173"/>
        <v>2.9541631676445499E-2</v>
      </c>
      <c r="GM120" s="1111">
        <f t="shared" si="174"/>
        <v>2.9541631676445499E-2</v>
      </c>
    </row>
    <row r="121" spans="1:195" x14ac:dyDescent="0.2">
      <c r="A121" s="1071" t="s">
        <v>190</v>
      </c>
      <c r="B121" s="1071" t="str">
        <f>NewTech!B31</f>
        <v>TBCNGAH</v>
      </c>
      <c r="C121" s="1071" t="str">
        <f>NewTech!C31</f>
        <v>Bus, Advanced Hybird CNG</v>
      </c>
      <c r="D121" s="1071" t="str">
        <f>NewTech!D31</f>
        <v>bn-vmt, bn-vmt/a</v>
      </c>
      <c r="E121" s="1071" t="str">
        <f>NewTech!E31</f>
        <v>TBCNG</v>
      </c>
      <c r="F121" s="1071" t="str">
        <f>NewTech!F31</f>
        <v>TB</v>
      </c>
      <c r="G121" s="1110" t="s">
        <v>498</v>
      </c>
      <c r="H121" s="1110" t="s">
        <v>501</v>
      </c>
      <c r="I121" s="1112">
        <v>1</v>
      </c>
      <c r="J121" s="1111" t="str">
        <f t="shared" si="37"/>
        <v>Bus-CNG</v>
      </c>
      <c r="K121" s="1111">
        <f>SUMIFS(NewEmisData!E:E, NewEmisData!$A:$A, $G121, NewEmisData!$B:$B, $A121, NewEmisData!$C:$C, $H121, NewEmisData!$D:$D, K$6)</f>
        <v>1553.5210990931</v>
      </c>
      <c r="L121" s="1111">
        <f>SUMIFS(NewEmisData!F:F, NewEmisData!$A:$A, $G121, NewEmisData!$B:$B, $A121, NewEmisData!$C:$C, $H121, NewEmisData!$D:$D, L$6)</f>
        <v>1408.88496713674</v>
      </c>
      <c r="M121" s="1111">
        <f>SUMIFS(NewEmisData!G:G, NewEmisData!$A:$A, $G121, NewEmisData!$B:$B, $A121, NewEmisData!$C:$C, $H121, NewEmisData!$D:$D, M$6)</f>
        <v>1462.3627813248299</v>
      </c>
      <c r="N121" s="1111">
        <f>SUMIFS(NewEmisData!H:H, NewEmisData!$A:$A, $G121, NewEmisData!$B:$B, $A121, NewEmisData!$C:$C, $H121, NewEmisData!$D:$D, N$6)</f>
        <v>1432.84931920791</v>
      </c>
      <c r="O121" s="1111">
        <f>SUMIFS(NewEmisData!I:I, NewEmisData!$A:$A, $G121, NewEmisData!$B:$B, $A121, NewEmisData!$C:$C, $H121, NewEmisData!$D:$D, O$6)</f>
        <v>1425.2997832645599</v>
      </c>
      <c r="P121" s="1111">
        <f>SUMIFS(NewEmisData!J:J, NewEmisData!$A:$A, $G121, NewEmisData!$B:$B, $A121, NewEmisData!$C:$C, $H121, NewEmisData!$D:$D, P$6)</f>
        <v>1411.72897391071</v>
      </c>
      <c r="Q121" s="1111">
        <f>SUMIFS(NewEmisData!K:K, NewEmisData!$A:$A, $G121, NewEmisData!$B:$B, $A121, NewEmisData!$C:$C, $H121, NewEmisData!$D:$D, Q$6)</f>
        <v>1408.8954231452899</v>
      </c>
      <c r="R121" s="1111">
        <f>SUMIFS(NewEmisData!L:L, NewEmisData!$A:$A, $G121, NewEmisData!$B:$B, $A121, NewEmisData!$C:$C, $H121, NewEmisData!$D:$D, R$6)</f>
        <v>1408.8503496293499</v>
      </c>
      <c r="S121" s="1111">
        <f>SUMIFS(NewEmisData!M:M, NewEmisData!$A:$A, $G121, NewEmisData!$B:$B, $A121, NewEmisData!$C:$C, $H121, NewEmisData!$D:$D, S$6)</f>
        <v>1408.9043821590301</v>
      </c>
      <c r="T121" s="1111">
        <f t="shared" si="131"/>
        <v>1408.9043821590301</v>
      </c>
      <c r="U121" s="1111">
        <f>SUMIFS(NewEmisData!E:E, NewEmisData!$A:$A, $G121, NewEmisData!$B:$B, $A121, NewEmisData!$C:$C, $H121, NewEmisData!$D:$D, U$6)</f>
        <v>12.243629501244</v>
      </c>
      <c r="V121" s="1111">
        <f>SUMIFS(NewEmisData!F:F, NewEmisData!$A:$A, $G121, NewEmisData!$B:$B, $A121, NewEmisData!$C:$C, $H121, NewEmisData!$D:$D, V$6)</f>
        <v>4.4057269822849499</v>
      </c>
      <c r="W121" s="1111">
        <f>SUMIFS(NewEmisData!G:G, NewEmisData!$A:$A, $G121, NewEmisData!$B:$B, $A121, NewEmisData!$C:$C, $H121, NewEmisData!$D:$D, W$6)</f>
        <v>2.5338719659062199</v>
      </c>
      <c r="X121" s="1111">
        <f>SUMIFS(NewEmisData!H:H, NewEmisData!$A:$A, $G121, NewEmisData!$B:$B, $A121, NewEmisData!$C:$C, $H121, NewEmisData!$D:$D, X$6)</f>
        <v>1.97053635775459</v>
      </c>
      <c r="Y121" s="1111">
        <f>SUMIFS(NewEmisData!I:I, NewEmisData!$A:$A, $G121, NewEmisData!$B:$B, $A121, NewEmisData!$C:$C, $H121, NewEmisData!$D:$D, Y$6)</f>
        <v>1.73288574795435</v>
      </c>
      <c r="Z121" s="1111">
        <f>SUMIFS(NewEmisData!J:J, NewEmisData!$A:$A, $G121, NewEmisData!$B:$B, $A121, NewEmisData!$C:$C, $H121, NewEmisData!$D:$D, Z$6)</f>
        <v>1.7912592346090399</v>
      </c>
      <c r="AA121" s="1111">
        <f>SUMIFS(NewEmisData!K:K, NewEmisData!$A:$A, $G121, NewEmisData!$B:$B, $A121, NewEmisData!$C:$C, $H121, NewEmisData!$D:$D, AA$6)</f>
        <v>1.6389959510055401</v>
      </c>
      <c r="AB121" s="1111">
        <f>SUMIFS(NewEmisData!L:L, NewEmisData!$A:$A, $G121, NewEmisData!$B:$B, $A121, NewEmisData!$C:$C, $H121, NewEmisData!$D:$D, AB$6)</f>
        <v>1.6389971437373501</v>
      </c>
      <c r="AC121" s="1111">
        <f>SUMIFS(NewEmisData!M:M, NewEmisData!$A:$A, $G121, NewEmisData!$B:$B, $A121, NewEmisData!$C:$C, $H121, NewEmisData!$D:$D, AC$6)</f>
        <v>1.6413497936376999</v>
      </c>
      <c r="AD121" s="1111">
        <f t="shared" si="132"/>
        <v>1.6413497936376999</v>
      </c>
      <c r="AE121" s="1111">
        <f t="shared" si="175"/>
        <v>7.5181123500885298E-3</v>
      </c>
      <c r="AF121" s="1111">
        <f>SUMIFS(NewEmisData!E:E, NewEmisData!$A:$A, $G121, NewEmisData!$B:$B, $A121, NewEmisData!$C:$C, $H121, NewEmisData!$D:$D, AF$6)</f>
        <v>7.5181123500885298E-3</v>
      </c>
      <c r="AG121" s="1111">
        <f>SUMIFS(NewEmisData!F:F, NewEmisData!$A:$A, $G121, NewEmisData!$B:$B, $A121, NewEmisData!$C:$C, $H121, NewEmisData!$D:$D, AG$6)</f>
        <v>6.72193717894523E-3</v>
      </c>
      <c r="AH121" s="1111">
        <f>SUMIFS(NewEmisData!G:G, NewEmisData!$A:$A, $G121, NewEmisData!$B:$B, $A121, NewEmisData!$C:$C, $H121, NewEmisData!$D:$D, AH$6)</f>
        <v>7.7424633042752298E-3</v>
      </c>
      <c r="AI121" s="1111">
        <f>SUMIFS(NewEmisData!H:H, NewEmisData!$A:$A, $G121, NewEmisData!$B:$B, $A121, NewEmisData!$C:$C, $H121, NewEmisData!$D:$D, AI$6)</f>
        <v>7.5862031517122301E-3</v>
      </c>
      <c r="AJ121" s="1111">
        <f>SUMIFS(NewEmisData!I:I, NewEmisData!$A:$A, $G121, NewEmisData!$B:$B, $A121, NewEmisData!$C:$C, $H121, NewEmisData!$D:$D, AJ$6)</f>
        <v>7.5462363983801496E-3</v>
      </c>
      <c r="AK121" s="1111">
        <f>SUMIFS(NewEmisData!J:J, NewEmisData!$A:$A, $G121, NewEmisData!$B:$B, $A121, NewEmisData!$C:$C, $H121, NewEmisData!$D:$D, AK$6)</f>
        <v>7.4743875655051799E-3</v>
      </c>
      <c r="AL121" s="1111">
        <f>SUMIFS(NewEmisData!K:K, NewEmisData!$A:$A, $G121, NewEmisData!$B:$B, $A121, NewEmisData!$C:$C, $H121, NewEmisData!$D:$D, AL$6)</f>
        <v>7.4593805624821796E-3</v>
      </c>
      <c r="AM121" s="1111">
        <f>SUMIFS(NewEmisData!L:L, NewEmisData!$A:$A, $G121, NewEmisData!$B:$B, $A121, NewEmisData!$C:$C, $H121, NewEmisData!$D:$D, AM$6)</f>
        <v>7.4591468383354304E-3</v>
      </c>
      <c r="AN121" s="1111">
        <f>SUMIFS(NewEmisData!M:M, NewEmisData!$A:$A, $G121, NewEmisData!$B:$B, $A121, NewEmisData!$C:$C, $H121, NewEmisData!$D:$D, AN$6)</f>
        <v>7.4594296654913296E-3</v>
      </c>
      <c r="AO121" s="1111">
        <f t="shared" si="176"/>
        <v>7.4594296654913296E-3</v>
      </c>
      <c r="AP121" s="1111">
        <f t="shared" si="177"/>
        <v>0.39638833463587397</v>
      </c>
      <c r="AQ121" s="1111">
        <f>SUMIFS(NewEmisData!E:E, NewEmisData!$A:$A, $G121, NewEmisData!$B:$B, $A121, NewEmisData!$C:$C, $H121, NewEmisData!$D:$D, AQ$6)</f>
        <v>0.39638833463587397</v>
      </c>
      <c r="AR121" s="1111">
        <f>SUMIFS(NewEmisData!F:F, NewEmisData!$A:$A, $G121, NewEmisData!$B:$B, $A121, NewEmisData!$C:$C, $H121, NewEmisData!$D:$D, AR$6)</f>
        <v>0.29090093127093197</v>
      </c>
      <c r="AS121" s="1111">
        <f>SUMIFS(NewEmisData!G:G, NewEmisData!$A:$A, $G121, NewEmisData!$B:$B, $A121, NewEmisData!$C:$C, $H121, NewEmisData!$D:$D, AS$6)</f>
        <v>0.30512480081238003</v>
      </c>
      <c r="AT121" s="1111">
        <f>SUMIFS(NewEmisData!H:H, NewEmisData!$A:$A, $G121, NewEmisData!$B:$B, $A121, NewEmisData!$C:$C, $H121, NewEmisData!$D:$D, AT$6)</f>
        <v>0.30228358490423202</v>
      </c>
      <c r="AU121" s="1111">
        <f>SUMIFS(NewEmisData!I:I, NewEmisData!$A:$A, $G121, NewEmisData!$B:$B, $A121, NewEmisData!$C:$C, $H121, NewEmisData!$D:$D, AU$6)</f>
        <v>0.30366691295985598</v>
      </c>
      <c r="AV121" s="1111">
        <f>SUMIFS(NewEmisData!J:J, NewEmisData!$A:$A, $G121, NewEmisData!$B:$B, $A121, NewEmisData!$C:$C, $H121, NewEmisData!$D:$D, AV$6)</f>
        <v>0.30208997800131698</v>
      </c>
      <c r="AW121" s="1111">
        <f>SUMIFS(NewEmisData!K:K, NewEmisData!$A:$A, $G121, NewEmisData!$B:$B, $A121, NewEmisData!$C:$C, $H121, NewEmisData!$D:$D, AW$6)</f>
        <v>0.30173562336722598</v>
      </c>
      <c r="AX121" s="1111">
        <f>SUMIFS(NewEmisData!L:L, NewEmisData!$A:$A, $G121, NewEmisData!$B:$B, $A121, NewEmisData!$C:$C, $H121, NewEmisData!$D:$D, AX$6)</f>
        <v>0.30173549102415298</v>
      </c>
      <c r="AY121" s="1111">
        <f>SUMIFS(NewEmisData!M:M, NewEmisData!$A:$A, $G121, NewEmisData!$B:$B, $A121, NewEmisData!$C:$C, $H121, NewEmisData!$D:$D, AY$6)</f>
        <v>0.301808555330837</v>
      </c>
      <c r="AZ121" s="1111">
        <f t="shared" si="178"/>
        <v>0.301808555330837</v>
      </c>
      <c r="BA121" s="1111">
        <f t="shared" si="179"/>
        <v>0.16760085093958199</v>
      </c>
      <c r="BB121" s="1111">
        <f>SUMIFS(NewEmisData!E:E, NewEmisData!$A:$A, $G121, NewEmisData!$B:$B, $A121, NewEmisData!$C:$C, $H121, NewEmisData!$D:$D, BB$6)</f>
        <v>0.16760085093958199</v>
      </c>
      <c r="BC121" s="1111">
        <f>SUMIFS(NewEmisData!F:F, NewEmisData!$A:$A, $G121, NewEmisData!$B:$B, $A121, NewEmisData!$C:$C, $H121, NewEmisData!$D:$D, BC$6)</f>
        <v>7.4285465319141195E-2</v>
      </c>
      <c r="BD121" s="1111">
        <f>SUMIFS(NewEmisData!G:G, NewEmisData!$A:$A, $G121, NewEmisData!$B:$B, $A121, NewEmisData!$C:$C, $H121, NewEmisData!$D:$D, BD$6)</f>
        <v>4.3481827085775297E-2</v>
      </c>
      <c r="BE121" s="1111">
        <f>SUMIFS(NewEmisData!H:H, NewEmisData!$A:$A, $G121, NewEmisData!$B:$B, $A121, NewEmisData!$C:$C, $H121, NewEmisData!$D:$D, BE$6)</f>
        <v>4.0968421942404701E-2</v>
      </c>
      <c r="BF121" s="1111">
        <f>SUMIFS(NewEmisData!I:I, NewEmisData!$A:$A, $G121, NewEmisData!$B:$B, $A121, NewEmisData!$C:$C, $H121, NewEmisData!$D:$D, BF$6)</f>
        <v>4.21915697435057E-2</v>
      </c>
      <c r="BG121" s="1111">
        <f>SUMIFS(NewEmisData!J:J, NewEmisData!$A:$A, $G121, NewEmisData!$B:$B, $A121, NewEmisData!$C:$C, $H121, NewEmisData!$D:$D, BG$6)</f>
        <v>4.0796629114503602E-2</v>
      </c>
      <c r="BH121" s="1111">
        <f>SUMIFS(NewEmisData!K:K, NewEmisData!$A:$A, $G121, NewEmisData!$B:$B, $A121, NewEmisData!$C:$C, $H121, NewEmisData!$D:$D, BH$6)</f>
        <v>4.0483008408731903E-2</v>
      </c>
      <c r="BI121" s="1111">
        <f>SUMIFS(NewEmisData!L:L, NewEmisData!$A:$A, $G121, NewEmisData!$B:$B, $A121, NewEmisData!$C:$C, $H121, NewEmisData!$D:$D, BI$6)</f>
        <v>4.0483108528960102E-2</v>
      </c>
      <c r="BJ121" s="1111">
        <f>SUMIFS(NewEmisData!M:M, NewEmisData!$A:$A, $G121, NewEmisData!$B:$B, $A121, NewEmisData!$C:$C, $H121, NewEmisData!$D:$D, BJ$6)</f>
        <v>4.0547746759359002E-2</v>
      </c>
      <c r="BK121" s="1111">
        <f t="shared" si="180"/>
        <v>4.0547746759359002E-2</v>
      </c>
      <c r="BL121" s="1111">
        <f t="shared" si="181"/>
        <v>17.990411200770101</v>
      </c>
      <c r="BM121" s="1111">
        <f>SUMIFS(NewEmisData!E:E, NewEmisData!$A:$A, $G121, NewEmisData!$B:$B, $A121, NewEmisData!$C:$C, $H121, NewEmisData!$D:$D, BM$6)</f>
        <v>17.990411200770101</v>
      </c>
      <c r="BN121" s="1111">
        <f>SUMIFS(NewEmisData!F:F, NewEmisData!$A:$A, $G121, NewEmisData!$B:$B, $A121, NewEmisData!$C:$C, $H121, NewEmisData!$D:$D, BN$6)</f>
        <v>7.2585459848305502</v>
      </c>
      <c r="BO121" s="1111">
        <f>SUMIFS(NewEmisData!G:G, NewEmisData!$A:$A, $G121, NewEmisData!$B:$B, $A121, NewEmisData!$C:$C, $H121, NewEmisData!$D:$D, BO$6)</f>
        <v>6.1426523915957798</v>
      </c>
      <c r="BP121" s="1111">
        <f>SUMIFS(NewEmisData!H:H, NewEmisData!$A:$A, $G121, NewEmisData!$B:$B, $A121, NewEmisData!$C:$C, $H121, NewEmisData!$D:$D, BP$6)</f>
        <v>7.1691238003443596</v>
      </c>
      <c r="BQ121" s="1111">
        <f>SUMIFS(NewEmisData!I:I, NewEmisData!$A:$A, $G121, NewEmisData!$B:$B, $A121, NewEmisData!$C:$C, $H121, NewEmisData!$D:$D, BQ$6)</f>
        <v>7.4337921877774802</v>
      </c>
      <c r="BR121" s="1111">
        <f>SUMIFS(NewEmisData!J:J, NewEmisData!$A:$A, $G121, NewEmisData!$B:$B, $A121, NewEmisData!$C:$C, $H121, NewEmisData!$D:$D, BR$6)</f>
        <v>7.1994411397323903</v>
      </c>
      <c r="BS121" s="1111">
        <f>SUMIFS(NewEmisData!K:K, NewEmisData!$A:$A, $G121, NewEmisData!$B:$B, $A121, NewEmisData!$C:$C, $H121, NewEmisData!$D:$D, BS$6)</f>
        <v>7.2709849110611904</v>
      </c>
      <c r="BT121" s="1111">
        <f>SUMIFS(NewEmisData!L:L, NewEmisData!$A:$A, $G121, NewEmisData!$B:$B, $A121, NewEmisData!$C:$C, $H121, NewEmisData!$D:$D, BT$6)</f>
        <v>7.2710279922364496</v>
      </c>
      <c r="BU121" s="1111">
        <f>SUMIFS(NewEmisData!M:M, NewEmisData!$A:$A, $G121, NewEmisData!$B:$B, $A121, NewEmisData!$C:$C, $H121, NewEmisData!$D:$D, BU$6)</f>
        <v>7.3149803043521597</v>
      </c>
      <c r="BV121" s="1111">
        <f t="shared" si="182"/>
        <v>7.3149803043521597</v>
      </c>
      <c r="BW121" s="1111">
        <f t="shared" si="183"/>
        <v>2.9430592441144499</v>
      </c>
      <c r="BX121" s="1111">
        <f>SUMIFS(NewEmisData!E:E, NewEmisData!$A:$A, $G121, NewEmisData!$B:$B, $A121, NewEmisData!$C:$C, $H121, NewEmisData!$D:$D, BX$6)</f>
        <v>2.9430592441144499</v>
      </c>
      <c r="BY121" s="1111">
        <f>SUMIFS(NewEmisData!F:F, NewEmisData!$A:$A, $G121, NewEmisData!$B:$B, $A121, NewEmisData!$C:$C, $H121, NewEmisData!$D:$D, BY$6)</f>
        <v>0.85648765894271195</v>
      </c>
      <c r="BZ121" s="1111">
        <f>SUMIFS(NewEmisData!G:G, NewEmisData!$A:$A, $G121, NewEmisData!$B:$B, $A121, NewEmisData!$C:$C, $H121, NewEmisData!$D:$D, BZ$6)</f>
        <v>0.36361632063642702</v>
      </c>
      <c r="CA121" s="1111">
        <f>SUMIFS(NewEmisData!H:H, NewEmisData!$A:$A, $G121, NewEmisData!$B:$B, $A121, NewEmisData!$C:$C, $H121, NewEmisData!$D:$D, CA$6)</f>
        <v>0.27169020086571199</v>
      </c>
      <c r="CB121" s="1111">
        <f>SUMIFS(NewEmisData!I:I, NewEmisData!$A:$A, $G121, NewEmisData!$B:$B, $A121, NewEmisData!$C:$C, $H121, NewEmisData!$D:$D, CB$6)</f>
        <v>0.25980348368640299</v>
      </c>
      <c r="CC121" s="1111">
        <f>SUMIFS(NewEmisData!J:J, NewEmisData!$A:$A, $G121, NewEmisData!$B:$B, $A121, NewEmisData!$C:$C, $H121, NewEmisData!$D:$D, CC$6)</f>
        <v>0.24951146113875</v>
      </c>
      <c r="CD121" s="1111">
        <f>SUMIFS(NewEmisData!K:K, NewEmisData!$A:$A, $G121, NewEmisData!$B:$B, $A121, NewEmisData!$C:$C, $H121, NewEmisData!$D:$D, CD$6)</f>
        <v>0.23278809859364299</v>
      </c>
      <c r="CE121" s="1111">
        <f>SUMIFS(NewEmisData!L:L, NewEmisData!$A:$A, $G121, NewEmisData!$B:$B, $A121, NewEmisData!$C:$C, $H121, NewEmisData!$D:$D, CE$6)</f>
        <v>0.23279061475395799</v>
      </c>
      <c r="CF121" s="1111">
        <f>SUMIFS(NewEmisData!M:M, NewEmisData!$A:$A, $G121, NewEmisData!$B:$B, $A121, NewEmisData!$C:$C, $H121, NewEmisData!$D:$D, CF$6)</f>
        <v>0.23440507280589101</v>
      </c>
      <c r="CG121" s="1111">
        <f t="shared" si="184"/>
        <v>0.23440507280589101</v>
      </c>
      <c r="CH121" s="1111">
        <f t="shared" si="185"/>
        <v>4.2845431807355498E-2</v>
      </c>
      <c r="CI121" s="1111">
        <f>SUMIFS(NewEmisData!E:E, NewEmisData!$A:$A, $G121, NewEmisData!$B:$B, $A121, NewEmisData!$C:$C, $H121, NewEmisData!$D:$D, CI$6)</f>
        <v>4.2845431807355498E-2</v>
      </c>
      <c r="CJ121" s="1111">
        <f>SUMIFS(NewEmisData!F:F, NewEmisData!$A:$A, $G121, NewEmisData!$B:$B, $A121, NewEmisData!$C:$C, $H121, NewEmisData!$D:$D, CJ$6)</f>
        <v>4.2845229082484199E-2</v>
      </c>
      <c r="CK121" s="1111">
        <f>SUMIFS(NewEmisData!G:G, NewEmisData!$A:$A, $G121, NewEmisData!$B:$B, $A121, NewEmisData!$C:$C, $H121, NewEmisData!$D:$D, CK$6)</f>
        <v>4.9324427827802997E-2</v>
      </c>
      <c r="CL121" s="1111">
        <f>SUMIFS(NewEmisData!H:H, NewEmisData!$A:$A, $G121, NewEmisData!$B:$B, $A121, NewEmisData!$C:$C, $H121, NewEmisData!$D:$D, CL$6)</f>
        <v>4.9316373839858499E-2</v>
      </c>
      <c r="CM121" s="1111">
        <f>SUMIFS(NewEmisData!I:I, NewEmisData!$A:$A, $G121, NewEmisData!$B:$B, $A121, NewEmisData!$C:$C, $H121, NewEmisData!$D:$D, CM$6)</f>
        <v>4.9313565182193903E-2</v>
      </c>
      <c r="CN121" s="1111">
        <f>SUMIFS(NewEmisData!J:J, NewEmisData!$A:$A, $G121, NewEmisData!$B:$B, $A121, NewEmisData!$C:$C, $H121, NewEmisData!$D:$D, CN$6)</f>
        <v>4.9310010478126401E-2</v>
      </c>
      <c r="CO121" s="1111">
        <f>SUMIFS(NewEmisData!K:K, NewEmisData!$A:$A, $G121, NewEmisData!$B:$B, $A121, NewEmisData!$C:$C, $H121, NewEmisData!$D:$D, CO$6)</f>
        <v>4.9309269691000898E-2</v>
      </c>
      <c r="CP121" s="1111">
        <f>SUMIFS(NewEmisData!L:L, NewEmisData!$A:$A, $G121, NewEmisData!$B:$B, $A121, NewEmisData!$C:$C, $H121, NewEmisData!$D:$D, CP$6)</f>
        <v>4.9309246414996899E-2</v>
      </c>
      <c r="CQ121" s="1111">
        <f>SUMIFS(NewEmisData!M:M, NewEmisData!$A:$A, $G121, NewEmisData!$B:$B, $A121, NewEmisData!$C:$C, $H121, NewEmisData!$D:$D, CQ$6)</f>
        <v>4.93092310618925E-2</v>
      </c>
      <c r="CR121" s="1111">
        <f t="shared" si="186"/>
        <v>4.93092310618925E-2</v>
      </c>
      <c r="CS121" s="1111">
        <f t="shared" si="187"/>
        <v>9.5022001966096004E-2</v>
      </c>
      <c r="CT121" s="1111">
        <f>SUMIFS(NewEmisData!E:E, NewEmisData!$A:$A, $G121, NewEmisData!$B:$B, $A121, NewEmisData!$C:$C, $H121, NewEmisData!$D:$D, CT$6)</f>
        <v>9.5022001966096004E-2</v>
      </c>
      <c r="CU121" s="1111">
        <f>SUMIFS(NewEmisData!F:F, NewEmisData!$A:$A, $G121, NewEmisData!$B:$B, $A121, NewEmisData!$C:$C, $H121, NewEmisData!$D:$D, CU$6)</f>
        <v>9.4153576596088001E-2</v>
      </c>
      <c r="CV121" s="1111">
        <f>SUMIFS(NewEmisData!G:G, NewEmisData!$A:$A, $G121, NewEmisData!$B:$B, $A121, NewEmisData!$C:$C, $H121, NewEmisData!$D:$D, CV$6)</f>
        <v>0.116196244904277</v>
      </c>
      <c r="CW121" s="1111">
        <f>SUMIFS(NewEmisData!H:H, NewEmisData!$A:$A, $G121, NewEmisData!$B:$B, $A121, NewEmisData!$C:$C, $H121, NewEmisData!$D:$D, CW$6)</f>
        <v>0.117032953911949</v>
      </c>
      <c r="CX121" s="1111">
        <f>SUMIFS(NewEmisData!I:I, NewEmisData!$A:$A, $G121, NewEmisData!$B:$B, $A121, NewEmisData!$C:$C, $H121, NewEmisData!$D:$D, CX$6)</f>
        <v>0.11743259561145999</v>
      </c>
      <c r="CY121" s="1111">
        <f>SUMIFS(NewEmisData!J:J, NewEmisData!$A:$A, $G121, NewEmisData!$B:$B, $A121, NewEmisData!$C:$C, $H121, NewEmisData!$D:$D, CY$6)</f>
        <v>0.117601803127102</v>
      </c>
      <c r="CZ121" s="1111">
        <f>SUMIFS(NewEmisData!K:K, NewEmisData!$A:$A, $G121, NewEmisData!$B:$B, $A121, NewEmisData!$C:$C, $H121, NewEmisData!$D:$D, CZ$6)</f>
        <v>0.11701285490505001</v>
      </c>
      <c r="DA121" s="1111">
        <f>SUMIFS(NewEmisData!L:L, NewEmisData!$A:$A, $G121, NewEmisData!$B:$B, $A121, NewEmisData!$C:$C, $H121, NewEmisData!$D:$D, DA$6)</f>
        <v>0.117012223650427</v>
      </c>
      <c r="DB121" s="1111">
        <f>SUMIFS(NewEmisData!M:M, NewEmisData!$A:$A, $G121, NewEmisData!$B:$B, $A121, NewEmisData!$C:$C, $H121, NewEmisData!$D:$D, DB$6)</f>
        <v>0.117462182372974</v>
      </c>
      <c r="DC121" s="1111">
        <f t="shared" si="188"/>
        <v>0.117462182372974</v>
      </c>
      <c r="DD121" s="1111"/>
      <c r="DE121" s="1111"/>
      <c r="DF121" s="1111"/>
      <c r="DG121" s="1111"/>
      <c r="DH121" s="1111"/>
      <c r="DI121" s="1111"/>
      <c r="DJ121" s="1111"/>
      <c r="DK121" s="1111"/>
      <c r="DL121" s="1111"/>
      <c r="DM121" s="1111"/>
      <c r="DN121" s="1111"/>
      <c r="DO121" s="1111"/>
      <c r="DP121" s="1111"/>
      <c r="DQ121" s="1111"/>
      <c r="DR121" s="1111"/>
      <c r="DS121" s="1111"/>
      <c r="DT121" s="1111"/>
      <c r="DU121" s="1111"/>
      <c r="DV121" s="1111"/>
      <c r="DW121" s="1111"/>
      <c r="DX121" s="1111"/>
      <c r="DY121" s="1111"/>
      <c r="DZ121" s="1111">
        <f t="shared" si="189"/>
        <v>20.8218887386315</v>
      </c>
      <c r="EA121" s="1111">
        <f>SUMIFS(NewEmisData!E:E, NewEmisData!$A:$A, $G121, NewEmisData!$B:$B, $A121, NewEmisData!$C:$C, $H121, NewEmisData!$D:$D, EA$6)</f>
        <v>20.8218887386315</v>
      </c>
      <c r="EB121" s="1111">
        <f>SUMIFS(NewEmisData!F:F, NewEmisData!$A:$A, $G121, NewEmisData!$B:$B, $A121, NewEmisData!$C:$C, $H121, NewEmisData!$D:$D, EB$6)</f>
        <v>7.3439936033795297</v>
      </c>
      <c r="EC121" s="1111">
        <f>SUMIFS(NewEmisData!G:G, NewEmisData!$A:$A, $G121, NewEmisData!$B:$B, $A121, NewEmisData!$C:$C, $H121, NewEmisData!$D:$D, EC$6)</f>
        <v>6.0356206369280203</v>
      </c>
      <c r="ED121" s="1111">
        <f>SUMIFS(NewEmisData!H:H, NewEmisData!$A:$A, $G121, NewEmisData!$B:$B, $A121, NewEmisData!$C:$C, $H121, NewEmisData!$D:$D, ED$6)</f>
        <v>5.5823600108493201</v>
      </c>
      <c r="EE121" s="1111">
        <f>SUMIFS(NewEmisData!I:I, NewEmisData!$A:$A, $G121, NewEmisData!$B:$B, $A121, NewEmisData!$C:$C, $H121, NewEmisData!$D:$D, EE$6)</f>
        <v>5.0088319269148096</v>
      </c>
      <c r="EF121" s="1111">
        <f>SUMIFS(NewEmisData!J:J, NewEmisData!$A:$A, $G121, NewEmisData!$B:$B, $A121, NewEmisData!$C:$C, $H121, NewEmisData!$D:$D, EF$6)</f>
        <v>5.15226788375083</v>
      </c>
      <c r="EG121" s="1111">
        <f>SUMIFS(NewEmisData!K:K, NewEmisData!$A:$A, $G121, NewEmisData!$B:$B, $A121, NewEmisData!$C:$C, $H121, NewEmisData!$D:$D, EG$6)</f>
        <v>4.8220433630077002</v>
      </c>
      <c r="EH121" s="1111">
        <f>SUMIFS(NewEmisData!L:L, NewEmisData!$A:$A, $G121, NewEmisData!$B:$B, $A121, NewEmisData!$C:$C, $H121, NewEmisData!$D:$D, EH$6)</f>
        <v>4.8220933526120904</v>
      </c>
      <c r="EI121" s="1111">
        <f>SUMIFS(NewEmisData!M:M, NewEmisData!$A:$A, $G121, NewEmisData!$B:$B, $A121, NewEmisData!$C:$C, $H121, NewEmisData!$D:$D, EI$6)</f>
        <v>4.8555390504961302</v>
      </c>
      <c r="EJ121" s="1111">
        <f t="shared" si="190"/>
        <v>4.8555390504961302</v>
      </c>
      <c r="EK121" s="1111">
        <f t="shared" si="191"/>
        <v>1553.5210990931</v>
      </c>
      <c r="EL121" s="1111">
        <f t="shared" si="154"/>
        <v>1553.5210990931</v>
      </c>
      <c r="EM121" s="1111">
        <f t="shared" si="155"/>
        <v>1408.88496713674</v>
      </c>
      <c r="EN121" s="1111">
        <f t="shared" si="156"/>
        <v>1462.3627813248299</v>
      </c>
      <c r="EO121" s="1111">
        <f t="shared" si="157"/>
        <v>1432.84931920791</v>
      </c>
      <c r="EP121" s="1111">
        <f t="shared" si="158"/>
        <v>1425.2997832645599</v>
      </c>
      <c r="EQ121" s="1111">
        <f t="shared" si="159"/>
        <v>1411.72897391071</v>
      </c>
      <c r="ER121" s="1111">
        <f t="shared" si="160"/>
        <v>1408.8954231452899</v>
      </c>
      <c r="ES121" s="1111">
        <f t="shared" si="161"/>
        <v>1408.8503496293499</v>
      </c>
      <c r="ET121" s="1111">
        <f t="shared" si="162"/>
        <v>1408.9043821590301</v>
      </c>
      <c r="EU121" s="1111">
        <f t="shared" si="163"/>
        <v>1408.9043821590301</v>
      </c>
      <c r="EV121" s="1111">
        <f t="shared" si="192"/>
        <v>12.243629501244</v>
      </c>
      <c r="EW121" s="1111">
        <f t="shared" si="144"/>
        <v>12.243629501244</v>
      </c>
      <c r="EX121" s="1111">
        <f t="shared" si="145"/>
        <v>4.4057269822849499</v>
      </c>
      <c r="EY121" s="1111">
        <f t="shared" si="146"/>
        <v>2.5338719659062199</v>
      </c>
      <c r="EZ121" s="1111">
        <f t="shared" si="147"/>
        <v>1.97053635775459</v>
      </c>
      <c r="FA121" s="1111">
        <f t="shared" si="148"/>
        <v>1.73288574795435</v>
      </c>
      <c r="FB121" s="1111">
        <f t="shared" si="149"/>
        <v>1.7912592346090399</v>
      </c>
      <c r="FC121" s="1111">
        <f t="shared" si="150"/>
        <v>1.6389959510055401</v>
      </c>
      <c r="FD121" s="1111">
        <f t="shared" si="151"/>
        <v>1.6389971437373501</v>
      </c>
      <c r="FE121" s="1111">
        <f t="shared" si="152"/>
        <v>1.6413497936376999</v>
      </c>
      <c r="FF121" s="1111">
        <f t="shared" si="153"/>
        <v>1.6413497936376999</v>
      </c>
      <c r="FG121" s="1111">
        <f t="shared" si="193"/>
        <v>7.5181123500885298E-3</v>
      </c>
      <c r="FH121" s="1111">
        <f t="shared" si="194"/>
        <v>7.5181123500885298E-3</v>
      </c>
      <c r="FI121" s="1111">
        <f t="shared" si="195"/>
        <v>6.72193717894523E-3</v>
      </c>
      <c r="FJ121" s="1111">
        <f t="shared" si="196"/>
        <v>7.7424633042752298E-3</v>
      </c>
      <c r="FK121" s="1111">
        <f t="shared" si="197"/>
        <v>7.5862031517122301E-3</v>
      </c>
      <c r="FL121" s="1111">
        <f t="shared" si="198"/>
        <v>7.5462363983801496E-3</v>
      </c>
      <c r="FM121" s="1111">
        <f t="shared" si="199"/>
        <v>7.4743875655051799E-3</v>
      </c>
      <c r="FN121" s="1111">
        <f t="shared" si="200"/>
        <v>7.4593805624821796E-3</v>
      </c>
      <c r="FO121" s="1111">
        <f t="shared" si="201"/>
        <v>7.4591468383354304E-3</v>
      </c>
      <c r="FP121" s="1111">
        <f t="shared" si="202"/>
        <v>7.4594296654913296E-3</v>
      </c>
      <c r="FQ121" s="1111">
        <f t="shared" si="203"/>
        <v>7.4594296654913296E-3</v>
      </c>
      <c r="FR121" s="1111">
        <f t="shared" si="133"/>
        <v>0.39638833463587397</v>
      </c>
      <c r="FS121" s="1111">
        <f t="shared" si="134"/>
        <v>0.39638833463587397</v>
      </c>
      <c r="FT121" s="1111">
        <f t="shared" si="135"/>
        <v>0.29090093127093197</v>
      </c>
      <c r="FU121" s="1111">
        <f t="shared" si="136"/>
        <v>0.30512480081238003</v>
      </c>
      <c r="FV121" s="1111">
        <f t="shared" si="137"/>
        <v>0.30228358490423202</v>
      </c>
      <c r="FW121" s="1111">
        <f t="shared" si="138"/>
        <v>0.30366691295985598</v>
      </c>
      <c r="FX121" s="1111">
        <f t="shared" si="139"/>
        <v>0.30208997800131698</v>
      </c>
      <c r="FY121" s="1111">
        <f t="shared" si="140"/>
        <v>0.30173562336722598</v>
      </c>
      <c r="FZ121" s="1111">
        <f t="shared" si="141"/>
        <v>0.30173549102415298</v>
      </c>
      <c r="GA121" s="1111">
        <f t="shared" si="142"/>
        <v>0.301808555330837</v>
      </c>
      <c r="GB121" s="1111">
        <f t="shared" si="143"/>
        <v>0.301808555330837</v>
      </c>
      <c r="GC121" s="1111">
        <f t="shared" si="164"/>
        <v>0.16760085093958199</v>
      </c>
      <c r="GD121" s="1111">
        <f t="shared" si="165"/>
        <v>0.16760085093958199</v>
      </c>
      <c r="GE121" s="1111">
        <f t="shared" si="166"/>
        <v>7.4285465319141195E-2</v>
      </c>
      <c r="GF121" s="1111">
        <f t="shared" si="167"/>
        <v>4.3481827085775297E-2</v>
      </c>
      <c r="GG121" s="1111">
        <f t="shared" si="168"/>
        <v>4.0968421942404701E-2</v>
      </c>
      <c r="GH121" s="1111">
        <f t="shared" si="169"/>
        <v>4.21915697435057E-2</v>
      </c>
      <c r="GI121" s="1111">
        <f t="shared" si="170"/>
        <v>4.0796629114503602E-2</v>
      </c>
      <c r="GJ121" s="1111">
        <f t="shared" si="171"/>
        <v>4.0483008408731903E-2</v>
      </c>
      <c r="GK121" s="1111">
        <f t="shared" si="172"/>
        <v>4.0483108528960102E-2</v>
      </c>
      <c r="GL121" s="1111">
        <f t="shared" si="173"/>
        <v>4.0547746759359002E-2</v>
      </c>
      <c r="GM121" s="1111">
        <f t="shared" si="174"/>
        <v>4.0547746759359002E-2</v>
      </c>
    </row>
    <row r="122" spans="1:195" s="265" customFormat="1" x14ac:dyDescent="0.2">
      <c r="A122" s="1071" t="s">
        <v>182</v>
      </c>
      <c r="B122" s="1071" t="s">
        <v>235</v>
      </c>
      <c r="C122" s="1071" t="s">
        <v>236</v>
      </c>
      <c r="D122" s="1071" t="str">
        <f>NewTech!D34</f>
        <v>bn-vmt, bn-vmt/a</v>
      </c>
      <c r="E122" s="1071" t="str">
        <f>NewTech!E34</f>
        <v>TRNELC</v>
      </c>
      <c r="F122" s="1071" t="str">
        <f>NewTech!F34</f>
        <v>TB</v>
      </c>
      <c r="G122" s="1115" t="s">
        <v>498</v>
      </c>
      <c r="H122" s="1113" t="s">
        <v>1961</v>
      </c>
      <c r="I122" s="1113">
        <v>1</v>
      </c>
      <c r="J122" s="1113" t="str">
        <f t="shared" si="37"/>
        <v>Bus-ELC</v>
      </c>
      <c r="K122" s="1111">
        <f>SUMIFS(NewEmisData!E:E, NewEmisData!$A:$A, $G122, NewEmisData!$B:$B, $A122, NewEmisData!$C:$C, $H122, NewEmisData!$D:$D, K$6)</f>
        <v>0</v>
      </c>
      <c r="L122" s="1111">
        <f>SUMIFS(NewEmisData!F:F, NewEmisData!$A:$A, $G122, NewEmisData!$B:$B, $A122, NewEmisData!$C:$C, $H122, NewEmisData!$D:$D, L$6)</f>
        <v>0</v>
      </c>
      <c r="M122" s="1111">
        <f>SUMIFS(NewEmisData!G:G, NewEmisData!$A:$A, $G122, NewEmisData!$B:$B, $A122, NewEmisData!$C:$C, $H122, NewEmisData!$D:$D, M$6)</f>
        <v>0</v>
      </c>
      <c r="N122" s="1111">
        <f>SUMIFS(NewEmisData!H:H, NewEmisData!$A:$A, $G122, NewEmisData!$B:$B, $A122, NewEmisData!$C:$C, $H122, NewEmisData!$D:$D, N$6)</f>
        <v>0</v>
      </c>
      <c r="O122" s="1111">
        <f>SUMIFS(NewEmisData!I:I, NewEmisData!$A:$A, $G122, NewEmisData!$B:$B, $A122, NewEmisData!$C:$C, $H122, NewEmisData!$D:$D, O$6)</f>
        <v>0</v>
      </c>
      <c r="P122" s="1111">
        <f>SUMIFS(NewEmisData!J:J, NewEmisData!$A:$A, $G122, NewEmisData!$B:$B, $A122, NewEmisData!$C:$C, $H122, NewEmisData!$D:$D, P$6)</f>
        <v>0</v>
      </c>
      <c r="Q122" s="1111">
        <f>SUMIFS(NewEmisData!K:K, NewEmisData!$A:$A, $G122, NewEmisData!$B:$B, $A122, NewEmisData!$C:$C, $H122, NewEmisData!$D:$D, Q$6)</f>
        <v>0</v>
      </c>
      <c r="R122" s="1111">
        <f>SUMIFS(NewEmisData!L:L, NewEmisData!$A:$A, $G122, NewEmisData!$B:$B, $A122, NewEmisData!$C:$C, $H122, NewEmisData!$D:$D, R$6)</f>
        <v>0</v>
      </c>
      <c r="S122" s="1111">
        <f>SUMIFS(NewEmisData!M:M, NewEmisData!$A:$A, $G122, NewEmisData!$B:$B, $A122, NewEmisData!$C:$C, $H122, NewEmisData!$D:$D, S$6)</f>
        <v>0</v>
      </c>
      <c r="T122" s="1111">
        <f t="shared" si="131"/>
        <v>0</v>
      </c>
      <c r="U122" s="1111">
        <f>SUMIFS(NewEmisData!E:E, NewEmisData!$A:$A, $G122, NewEmisData!$B:$B, $A122, NewEmisData!$C:$C, $H122, NewEmisData!$D:$D, U$6)</f>
        <v>0</v>
      </c>
      <c r="V122" s="1111">
        <f>SUMIFS(NewEmisData!F:F, NewEmisData!$A:$A, $G122, NewEmisData!$B:$B, $A122, NewEmisData!$C:$C, $H122, NewEmisData!$D:$D, V$6)</f>
        <v>0</v>
      </c>
      <c r="W122" s="1111">
        <f>SUMIFS(NewEmisData!G:G, NewEmisData!$A:$A, $G122, NewEmisData!$B:$B, $A122, NewEmisData!$C:$C, $H122, NewEmisData!$D:$D, W$6)</f>
        <v>0</v>
      </c>
      <c r="X122" s="1111">
        <f>SUMIFS(NewEmisData!H:H, NewEmisData!$A:$A, $G122, NewEmisData!$B:$B, $A122, NewEmisData!$C:$C, $H122, NewEmisData!$D:$D, X$6)</f>
        <v>0</v>
      </c>
      <c r="Y122" s="1111">
        <f>SUMIFS(NewEmisData!I:I, NewEmisData!$A:$A, $G122, NewEmisData!$B:$B, $A122, NewEmisData!$C:$C, $H122, NewEmisData!$D:$D, Y$6)</f>
        <v>0</v>
      </c>
      <c r="Z122" s="1111">
        <f>SUMIFS(NewEmisData!J:J, NewEmisData!$A:$A, $G122, NewEmisData!$B:$B, $A122, NewEmisData!$C:$C, $H122, NewEmisData!$D:$D, Z$6)</f>
        <v>0</v>
      </c>
      <c r="AA122" s="1111">
        <f>SUMIFS(NewEmisData!K:K, NewEmisData!$A:$A, $G122, NewEmisData!$B:$B, $A122, NewEmisData!$C:$C, $H122, NewEmisData!$D:$D, AA$6)</f>
        <v>0</v>
      </c>
      <c r="AB122" s="1111">
        <f>SUMIFS(NewEmisData!L:L, NewEmisData!$A:$A, $G122, NewEmisData!$B:$B, $A122, NewEmisData!$C:$C, $H122, NewEmisData!$D:$D, AB$6)</f>
        <v>0</v>
      </c>
      <c r="AC122" s="1111">
        <f>SUMIFS(NewEmisData!M:M, NewEmisData!$A:$A, $G122, NewEmisData!$B:$B, $A122, NewEmisData!$C:$C, $H122, NewEmisData!$D:$D, AC$6)</f>
        <v>0</v>
      </c>
      <c r="AD122" s="1111">
        <f t="shared" ref="AD122:AD131" si="204">AC122</f>
        <v>0</v>
      </c>
      <c r="AE122" s="1111">
        <f t="shared" ref="AE122:AE131" si="205">AF122</f>
        <v>0</v>
      </c>
      <c r="AF122" s="1111">
        <f>SUMIFS(NewEmisData!E:E, NewEmisData!$A:$A, $G122, NewEmisData!$B:$B, $A122, NewEmisData!$C:$C, $H122, NewEmisData!$D:$D, AF$6)</f>
        <v>0</v>
      </c>
      <c r="AG122" s="1111">
        <f>SUMIFS(NewEmisData!F:F, NewEmisData!$A:$A, $G122, NewEmisData!$B:$B, $A122, NewEmisData!$C:$C, $H122, NewEmisData!$D:$D, AG$6)</f>
        <v>0</v>
      </c>
      <c r="AH122" s="1111">
        <f>SUMIFS(NewEmisData!G:G, NewEmisData!$A:$A, $G122, NewEmisData!$B:$B, $A122, NewEmisData!$C:$C, $H122, NewEmisData!$D:$D, AH$6)</f>
        <v>0</v>
      </c>
      <c r="AI122" s="1111">
        <f>SUMIFS(NewEmisData!H:H, NewEmisData!$A:$A, $G122, NewEmisData!$B:$B, $A122, NewEmisData!$C:$C, $H122, NewEmisData!$D:$D, AI$6)</f>
        <v>0</v>
      </c>
      <c r="AJ122" s="1111">
        <f>SUMIFS(NewEmisData!I:I, NewEmisData!$A:$A, $G122, NewEmisData!$B:$B, $A122, NewEmisData!$C:$C, $H122, NewEmisData!$D:$D, AJ$6)</f>
        <v>0</v>
      </c>
      <c r="AK122" s="1111">
        <f>SUMIFS(NewEmisData!J:J, NewEmisData!$A:$A, $G122, NewEmisData!$B:$B, $A122, NewEmisData!$C:$C, $H122, NewEmisData!$D:$D, AK$6)</f>
        <v>0</v>
      </c>
      <c r="AL122" s="1111">
        <f>SUMIFS(NewEmisData!K:K, NewEmisData!$A:$A, $G122, NewEmisData!$B:$B, $A122, NewEmisData!$C:$C, $H122, NewEmisData!$D:$D, AL$6)</f>
        <v>0</v>
      </c>
      <c r="AM122" s="1111">
        <f>SUMIFS(NewEmisData!L:L, NewEmisData!$A:$A, $G122, NewEmisData!$B:$B, $A122, NewEmisData!$C:$C, $H122, NewEmisData!$D:$D, AM$6)</f>
        <v>0</v>
      </c>
      <c r="AN122" s="1111">
        <f>SUMIFS(NewEmisData!M:M, NewEmisData!$A:$A, $G122, NewEmisData!$B:$B, $A122, NewEmisData!$C:$C, $H122, NewEmisData!$D:$D, AN$6)</f>
        <v>0</v>
      </c>
      <c r="AO122" s="1111">
        <f t="shared" ref="AO122:AO131" si="206">AN122</f>
        <v>0</v>
      </c>
      <c r="AP122" s="1111">
        <f t="shared" ref="AP122:AP131" si="207">AQ122</f>
        <v>0.28277996035796599</v>
      </c>
      <c r="AQ122" s="1111">
        <f>SUMIFS(NewEmisData!E:E, NewEmisData!$A:$A, $G122, NewEmisData!$B:$B, $A122, NewEmisData!$C:$C, $H122, NewEmisData!$D:$D, AQ$6)</f>
        <v>0.28277996035796599</v>
      </c>
      <c r="AR122" s="1111">
        <f>SUMIFS(NewEmisData!F:F, NewEmisData!$A:$A, $G122, NewEmisData!$B:$B, $A122, NewEmisData!$C:$C, $H122, NewEmisData!$D:$D, AR$6)</f>
        <v>0.28403962324753601</v>
      </c>
      <c r="AS122" s="1111">
        <f>SUMIFS(NewEmisData!G:G, NewEmisData!$A:$A, $G122, NewEmisData!$B:$B, $A122, NewEmisData!$C:$C, $H122, NewEmisData!$D:$D, AS$6)</f>
        <v>0.439680372173264</v>
      </c>
      <c r="AT122" s="1111">
        <f>SUMIFS(NewEmisData!H:H, NewEmisData!$A:$A, $G122, NewEmisData!$B:$B, $A122, NewEmisData!$C:$C, $H122, NewEmisData!$D:$D, AT$6)</f>
        <v>0.44099658421857602</v>
      </c>
      <c r="AU122" s="1111">
        <f>SUMIFS(NewEmisData!I:I, NewEmisData!$A:$A, $G122, NewEmisData!$B:$B, $A122, NewEmisData!$C:$C, $H122, NewEmisData!$D:$D, AU$6)</f>
        <v>0.433560526315594</v>
      </c>
      <c r="AV122" s="1111">
        <f>SUMIFS(NewEmisData!J:J, NewEmisData!$A:$A, $G122, NewEmisData!$B:$B, $A122, NewEmisData!$C:$C, $H122, NewEmisData!$D:$D, AV$6)</f>
        <v>0.42933826204539599</v>
      </c>
      <c r="AW122" s="1111">
        <f>SUMIFS(NewEmisData!K:K, NewEmisData!$A:$A, $G122, NewEmisData!$B:$B, $A122, NewEmisData!$C:$C, $H122, NewEmisData!$D:$D, AW$6)</f>
        <v>0.42878154898758097</v>
      </c>
      <c r="AX122" s="1111">
        <f>SUMIFS(NewEmisData!L:L, NewEmisData!$A:$A, $G122, NewEmisData!$B:$B, $A122, NewEmisData!$C:$C, $H122, NewEmisData!$D:$D, AX$6)</f>
        <v>0.42864825840065801</v>
      </c>
      <c r="AY122" s="1111">
        <f>SUMIFS(NewEmisData!M:M, NewEmisData!$A:$A, $G122, NewEmisData!$B:$B, $A122, NewEmisData!$C:$C, $H122, NewEmisData!$D:$D, AY$6)</f>
        <v>0.42866959782549302</v>
      </c>
      <c r="AZ122" s="1111">
        <f t="shared" ref="AZ122:AZ131" si="208">AY122</f>
        <v>0.42866959782549302</v>
      </c>
      <c r="BA122" s="1111">
        <f t="shared" ref="BA122:BA131" si="209">BB122</f>
        <v>3.5985561302258398E-2</v>
      </c>
      <c r="BB122" s="1111">
        <f>SUMIFS(NewEmisData!E:E, NewEmisData!$A:$A, $G122, NewEmisData!$B:$B, $A122, NewEmisData!$C:$C, $H122, NewEmisData!$D:$D, BB$6)</f>
        <v>3.5985561302258398E-2</v>
      </c>
      <c r="BC122" s="1111">
        <f>SUMIFS(NewEmisData!F:F, NewEmisData!$A:$A, $G122, NewEmisData!$B:$B, $A122, NewEmisData!$C:$C, $H122, NewEmisData!$D:$D, BC$6)</f>
        <v>3.6151916846221502E-2</v>
      </c>
      <c r="BD122" s="1111">
        <f>SUMIFS(NewEmisData!G:G, NewEmisData!$A:$A, $G122, NewEmisData!$B:$B, $A122, NewEmisData!$C:$C, $H122, NewEmisData!$D:$D, BD$6)</f>
        <v>5.5660815141034201E-2</v>
      </c>
      <c r="BE122" s="1111">
        <f>SUMIFS(NewEmisData!H:H, NewEmisData!$A:$A, $G122, NewEmisData!$B:$B, $A122, NewEmisData!$C:$C, $H122, NewEmisData!$D:$D, BE$6)</f>
        <v>5.5828047810141897E-2</v>
      </c>
      <c r="BF122" s="1111">
        <f>SUMIFS(NewEmisData!I:I, NewEmisData!$A:$A, $G122, NewEmisData!$B:$B, $A122, NewEmisData!$C:$C, $H122, NewEmisData!$D:$D, BF$6)</f>
        <v>5.4890097193820798E-2</v>
      </c>
      <c r="BG122" s="1111">
        <f>SUMIFS(NewEmisData!J:J, NewEmisData!$A:$A, $G122, NewEmisData!$B:$B, $A122, NewEmisData!$C:$C, $H122, NewEmisData!$D:$D, BG$6)</f>
        <v>5.4357782630601099E-2</v>
      </c>
      <c r="BH122" s="1111">
        <f>SUMIFS(NewEmisData!K:K, NewEmisData!$A:$A, $G122, NewEmisData!$B:$B, $A122, NewEmisData!$C:$C, $H122, NewEmisData!$D:$D, BH$6)</f>
        <v>5.42874936769858E-2</v>
      </c>
      <c r="BI122" s="1111">
        <f>SUMIFS(NewEmisData!L:L, NewEmisData!$A:$A, $G122, NewEmisData!$B:$B, $A122, NewEmisData!$C:$C, $H122, NewEmisData!$D:$D, BI$6)</f>
        <v>5.4270677380055601E-2</v>
      </c>
      <c r="BJ122" s="1111">
        <f>SUMIFS(NewEmisData!M:M, NewEmisData!$A:$A, $G122, NewEmisData!$B:$B, $A122, NewEmisData!$C:$C, $H122, NewEmisData!$D:$D, BJ$6)</f>
        <v>5.42734513075935E-2</v>
      </c>
      <c r="BK122" s="1111">
        <f t="shared" ref="BK122:BK131" si="210">BJ122</f>
        <v>5.42734513075935E-2</v>
      </c>
      <c r="BL122" s="1111">
        <f t="shared" ref="BL122:BL131" si="211">BM122</f>
        <v>0</v>
      </c>
      <c r="BM122" s="1111">
        <f>SUMIFS(NewEmisData!E:E, NewEmisData!$A:$A, $G122, NewEmisData!$B:$B, $A122, NewEmisData!$C:$C, $H122, NewEmisData!$D:$D, BM$6)</f>
        <v>0</v>
      </c>
      <c r="BN122" s="1111">
        <f>SUMIFS(NewEmisData!F:F, NewEmisData!$A:$A, $G122, NewEmisData!$B:$B, $A122, NewEmisData!$C:$C, $H122, NewEmisData!$D:$D, BN$6)</f>
        <v>0</v>
      </c>
      <c r="BO122" s="1111">
        <f>SUMIFS(NewEmisData!G:G, NewEmisData!$A:$A, $G122, NewEmisData!$B:$B, $A122, NewEmisData!$C:$C, $H122, NewEmisData!$D:$D, BO$6)</f>
        <v>0</v>
      </c>
      <c r="BP122" s="1111">
        <f>SUMIFS(NewEmisData!H:H, NewEmisData!$A:$A, $G122, NewEmisData!$B:$B, $A122, NewEmisData!$C:$C, $H122, NewEmisData!$D:$D, BP$6)</f>
        <v>0</v>
      </c>
      <c r="BQ122" s="1111">
        <f>SUMIFS(NewEmisData!I:I, NewEmisData!$A:$A, $G122, NewEmisData!$B:$B, $A122, NewEmisData!$C:$C, $H122, NewEmisData!$D:$D, BQ$6)</f>
        <v>0</v>
      </c>
      <c r="BR122" s="1111">
        <f>SUMIFS(NewEmisData!J:J, NewEmisData!$A:$A, $G122, NewEmisData!$B:$B, $A122, NewEmisData!$C:$C, $H122, NewEmisData!$D:$D, BR$6)</f>
        <v>0</v>
      </c>
      <c r="BS122" s="1111">
        <f>SUMIFS(NewEmisData!K:K, NewEmisData!$A:$A, $G122, NewEmisData!$B:$B, $A122, NewEmisData!$C:$C, $H122, NewEmisData!$D:$D, BS$6)</f>
        <v>0</v>
      </c>
      <c r="BT122" s="1111">
        <f>SUMIFS(NewEmisData!L:L, NewEmisData!$A:$A, $G122, NewEmisData!$B:$B, $A122, NewEmisData!$C:$C, $H122, NewEmisData!$D:$D, BT$6)</f>
        <v>0</v>
      </c>
      <c r="BU122" s="1111">
        <f>SUMIFS(NewEmisData!M:M, NewEmisData!$A:$A, $G122, NewEmisData!$B:$B, $A122, NewEmisData!$C:$C, $H122, NewEmisData!$D:$D, BU$6)</f>
        <v>0</v>
      </c>
      <c r="BV122" s="1111">
        <f t="shared" ref="BV122:BV131" si="212">BU122</f>
        <v>0</v>
      </c>
      <c r="BW122" s="1111">
        <f t="shared" ref="BW122:BW131" si="213">BX122</f>
        <v>0</v>
      </c>
      <c r="BX122" s="1111">
        <f>SUMIFS(NewEmisData!E:E, NewEmisData!$A:$A, $G122, NewEmisData!$B:$B, $A122, NewEmisData!$C:$C, $H122, NewEmisData!$D:$D, BX$6)</f>
        <v>0</v>
      </c>
      <c r="BY122" s="1111">
        <f>SUMIFS(NewEmisData!F:F, NewEmisData!$A:$A, $G122, NewEmisData!$B:$B, $A122, NewEmisData!$C:$C, $H122, NewEmisData!$D:$D, BY$6)</f>
        <v>0</v>
      </c>
      <c r="BZ122" s="1111">
        <f>SUMIFS(NewEmisData!G:G, NewEmisData!$A:$A, $G122, NewEmisData!$B:$B, $A122, NewEmisData!$C:$C, $H122, NewEmisData!$D:$D, BZ$6)</f>
        <v>0</v>
      </c>
      <c r="CA122" s="1111">
        <f>SUMIFS(NewEmisData!H:H, NewEmisData!$A:$A, $G122, NewEmisData!$B:$B, $A122, NewEmisData!$C:$C, $H122, NewEmisData!$D:$D, CA$6)</f>
        <v>0</v>
      </c>
      <c r="CB122" s="1111">
        <f>SUMIFS(NewEmisData!I:I, NewEmisData!$A:$A, $G122, NewEmisData!$B:$B, $A122, NewEmisData!$C:$C, $H122, NewEmisData!$D:$D, CB$6)</f>
        <v>0</v>
      </c>
      <c r="CC122" s="1111">
        <f>SUMIFS(NewEmisData!J:J, NewEmisData!$A:$A, $G122, NewEmisData!$B:$B, $A122, NewEmisData!$C:$C, $H122, NewEmisData!$D:$D, CC$6)</f>
        <v>0</v>
      </c>
      <c r="CD122" s="1111">
        <f>SUMIFS(NewEmisData!K:K, NewEmisData!$A:$A, $G122, NewEmisData!$B:$B, $A122, NewEmisData!$C:$C, $H122, NewEmisData!$D:$D, CD$6)</f>
        <v>0</v>
      </c>
      <c r="CE122" s="1111">
        <f>SUMIFS(NewEmisData!L:L, NewEmisData!$A:$A, $G122, NewEmisData!$B:$B, $A122, NewEmisData!$C:$C, $H122, NewEmisData!$D:$D, CE$6)</f>
        <v>0</v>
      </c>
      <c r="CF122" s="1111">
        <f>SUMIFS(NewEmisData!M:M, NewEmisData!$A:$A, $G122, NewEmisData!$B:$B, $A122, NewEmisData!$C:$C, $H122, NewEmisData!$D:$D, CF$6)</f>
        <v>0</v>
      </c>
      <c r="CG122" s="1111">
        <f t="shared" ref="CG122:CG131" si="214">CF122</f>
        <v>0</v>
      </c>
      <c r="CH122" s="1111">
        <f t="shared" ref="CH122:CH131" si="215">CI122</f>
        <v>0</v>
      </c>
      <c r="CI122" s="1111">
        <f>SUMIFS(NewEmisData!E:E, NewEmisData!$A:$A, $G122, NewEmisData!$B:$B, $A122, NewEmisData!$C:$C, $H122, NewEmisData!$D:$D, CI$6)</f>
        <v>0</v>
      </c>
      <c r="CJ122" s="1111">
        <f>SUMIFS(NewEmisData!F:F, NewEmisData!$A:$A, $G122, NewEmisData!$B:$B, $A122, NewEmisData!$C:$C, $H122, NewEmisData!$D:$D, CJ$6)</f>
        <v>0</v>
      </c>
      <c r="CK122" s="1111">
        <f>SUMIFS(NewEmisData!G:G, NewEmisData!$A:$A, $G122, NewEmisData!$B:$B, $A122, NewEmisData!$C:$C, $H122, NewEmisData!$D:$D, CK$6)</f>
        <v>0</v>
      </c>
      <c r="CL122" s="1111">
        <f>SUMIFS(NewEmisData!H:H, NewEmisData!$A:$A, $G122, NewEmisData!$B:$B, $A122, NewEmisData!$C:$C, $H122, NewEmisData!$D:$D, CL$6)</f>
        <v>0</v>
      </c>
      <c r="CM122" s="1111">
        <f>SUMIFS(NewEmisData!I:I, NewEmisData!$A:$A, $G122, NewEmisData!$B:$B, $A122, NewEmisData!$C:$C, $H122, NewEmisData!$D:$D, CM$6)</f>
        <v>0</v>
      </c>
      <c r="CN122" s="1111">
        <f>SUMIFS(NewEmisData!J:J, NewEmisData!$A:$A, $G122, NewEmisData!$B:$B, $A122, NewEmisData!$C:$C, $H122, NewEmisData!$D:$D, CN$6)</f>
        <v>0</v>
      </c>
      <c r="CO122" s="1111">
        <f>SUMIFS(NewEmisData!K:K, NewEmisData!$A:$A, $G122, NewEmisData!$B:$B, $A122, NewEmisData!$C:$C, $H122, NewEmisData!$D:$D, CO$6)</f>
        <v>0</v>
      </c>
      <c r="CP122" s="1111">
        <f>SUMIFS(NewEmisData!L:L, NewEmisData!$A:$A, $G122, NewEmisData!$B:$B, $A122, NewEmisData!$C:$C, $H122, NewEmisData!$D:$D, CP$6)</f>
        <v>0</v>
      </c>
      <c r="CQ122" s="1111">
        <f>SUMIFS(NewEmisData!M:M, NewEmisData!$A:$A, $G122, NewEmisData!$B:$B, $A122, NewEmisData!$C:$C, $H122, NewEmisData!$D:$D, CQ$6)</f>
        <v>0</v>
      </c>
      <c r="CR122" s="1111">
        <f t="shared" ref="CR122:CR131" si="216">CQ122</f>
        <v>0</v>
      </c>
      <c r="CS122" s="1111">
        <f t="shared" ref="CS122:CS131" si="217">CT122</f>
        <v>0</v>
      </c>
      <c r="CT122" s="1111">
        <f>SUMIFS(NewEmisData!E:E, NewEmisData!$A:$A, $G122, NewEmisData!$B:$B, $A122, NewEmisData!$C:$C, $H122, NewEmisData!$D:$D, CT$6)</f>
        <v>0</v>
      </c>
      <c r="CU122" s="1111">
        <f>SUMIFS(NewEmisData!F:F, NewEmisData!$A:$A, $G122, NewEmisData!$B:$B, $A122, NewEmisData!$C:$C, $H122, NewEmisData!$D:$D, CU$6)</f>
        <v>0</v>
      </c>
      <c r="CV122" s="1111">
        <f>SUMIFS(NewEmisData!G:G, NewEmisData!$A:$A, $G122, NewEmisData!$B:$B, $A122, NewEmisData!$C:$C, $H122, NewEmisData!$D:$D, CV$6)</f>
        <v>0</v>
      </c>
      <c r="CW122" s="1111">
        <f>SUMIFS(NewEmisData!H:H, NewEmisData!$A:$A, $G122, NewEmisData!$B:$B, $A122, NewEmisData!$C:$C, $H122, NewEmisData!$D:$D, CW$6)</f>
        <v>0</v>
      </c>
      <c r="CX122" s="1111">
        <f>SUMIFS(NewEmisData!I:I, NewEmisData!$A:$A, $G122, NewEmisData!$B:$B, $A122, NewEmisData!$C:$C, $H122, NewEmisData!$D:$D, CX$6)</f>
        <v>0</v>
      </c>
      <c r="CY122" s="1111">
        <f>SUMIFS(NewEmisData!J:J, NewEmisData!$A:$A, $G122, NewEmisData!$B:$B, $A122, NewEmisData!$C:$C, $H122, NewEmisData!$D:$D, CY$6)</f>
        <v>0</v>
      </c>
      <c r="CZ122" s="1111">
        <f>SUMIFS(NewEmisData!K:K, NewEmisData!$A:$A, $G122, NewEmisData!$B:$B, $A122, NewEmisData!$C:$C, $H122, NewEmisData!$D:$D, CZ$6)</f>
        <v>0</v>
      </c>
      <c r="DA122" s="1111">
        <f>SUMIFS(NewEmisData!L:L, NewEmisData!$A:$A, $G122, NewEmisData!$B:$B, $A122, NewEmisData!$C:$C, $H122, NewEmisData!$D:$D, DA$6)</f>
        <v>0</v>
      </c>
      <c r="DB122" s="1111">
        <f>SUMIFS(NewEmisData!M:M, NewEmisData!$A:$A, $G122, NewEmisData!$B:$B, $A122, NewEmisData!$C:$C, $H122, NewEmisData!$D:$D, DB$6)</f>
        <v>0</v>
      </c>
      <c r="DC122" s="1111">
        <f t="shared" si="188"/>
        <v>0</v>
      </c>
      <c r="DD122" s="1072"/>
      <c r="DE122" s="1072"/>
      <c r="DF122" s="1072"/>
      <c r="DG122" s="1072"/>
      <c r="DH122" s="1072"/>
      <c r="DI122" s="1072"/>
      <c r="DJ122" s="1072"/>
      <c r="DK122" s="1072"/>
      <c r="DL122" s="1072"/>
      <c r="DM122" s="1072"/>
      <c r="DN122" s="1072"/>
      <c r="DO122" s="1072"/>
      <c r="DP122" s="1072"/>
      <c r="DQ122" s="1072"/>
      <c r="DR122" s="1072"/>
      <c r="DS122" s="1072"/>
      <c r="DT122" s="1072"/>
      <c r="DU122" s="1072"/>
      <c r="DV122" s="1072"/>
      <c r="DW122" s="1072"/>
      <c r="DX122" s="1072"/>
      <c r="DY122" s="1072"/>
      <c r="DZ122" s="1111">
        <f t="shared" si="189"/>
        <v>0</v>
      </c>
      <c r="EA122" s="1111">
        <f>SUMIFS(NewEmisData!E:E, NewEmisData!$A:$A, $G122, NewEmisData!$B:$B, $A122, NewEmisData!$C:$C, $H122, NewEmisData!$D:$D, EA$6)</f>
        <v>0</v>
      </c>
      <c r="EB122" s="1111">
        <f>SUMIFS(NewEmisData!F:F, NewEmisData!$A:$A, $G122, NewEmisData!$B:$B, $A122, NewEmisData!$C:$C, $H122, NewEmisData!$D:$D, EB$6)</f>
        <v>0</v>
      </c>
      <c r="EC122" s="1111">
        <f>SUMIFS(NewEmisData!G:G, NewEmisData!$A:$A, $G122, NewEmisData!$B:$B, $A122, NewEmisData!$C:$C, $H122, NewEmisData!$D:$D, EC$6)</f>
        <v>0</v>
      </c>
      <c r="ED122" s="1111">
        <f>SUMIFS(NewEmisData!H:H, NewEmisData!$A:$A, $G122, NewEmisData!$B:$B, $A122, NewEmisData!$C:$C, $H122, NewEmisData!$D:$D, ED$6)</f>
        <v>0</v>
      </c>
      <c r="EE122" s="1111">
        <f>SUMIFS(NewEmisData!I:I, NewEmisData!$A:$A, $G122, NewEmisData!$B:$B, $A122, NewEmisData!$C:$C, $H122, NewEmisData!$D:$D, EE$6)</f>
        <v>0</v>
      </c>
      <c r="EF122" s="1111">
        <f>SUMIFS(NewEmisData!J:J, NewEmisData!$A:$A, $G122, NewEmisData!$B:$B, $A122, NewEmisData!$C:$C, $H122, NewEmisData!$D:$D, EF$6)</f>
        <v>0</v>
      </c>
      <c r="EG122" s="1111">
        <f>SUMIFS(NewEmisData!K:K, NewEmisData!$A:$A, $G122, NewEmisData!$B:$B, $A122, NewEmisData!$C:$C, $H122, NewEmisData!$D:$D, EG$6)</f>
        <v>0</v>
      </c>
      <c r="EH122" s="1111">
        <f>SUMIFS(NewEmisData!L:L, NewEmisData!$A:$A, $G122, NewEmisData!$B:$B, $A122, NewEmisData!$C:$C, $H122, NewEmisData!$D:$D, EH$6)</f>
        <v>0</v>
      </c>
      <c r="EI122" s="1111">
        <f>SUMIFS(NewEmisData!M:M, NewEmisData!$A:$A, $G122, NewEmisData!$B:$B, $A122, NewEmisData!$C:$C, $H122, NewEmisData!$D:$D, EI$6)</f>
        <v>0</v>
      </c>
      <c r="EJ122" s="1111">
        <f t="shared" ref="EJ122:EJ131" si="218">EI122</f>
        <v>0</v>
      </c>
      <c r="EK122" s="1111">
        <f t="shared" ref="EK122:EK131" si="219">EL122</f>
        <v>0</v>
      </c>
      <c r="EL122" s="1111">
        <f t="shared" si="154"/>
        <v>0</v>
      </c>
      <c r="EM122" s="1111">
        <f t="shared" si="155"/>
        <v>0</v>
      </c>
      <c r="EN122" s="1111">
        <f t="shared" si="156"/>
        <v>0</v>
      </c>
      <c r="EO122" s="1111">
        <f t="shared" si="157"/>
        <v>0</v>
      </c>
      <c r="EP122" s="1111">
        <f t="shared" si="158"/>
        <v>0</v>
      </c>
      <c r="EQ122" s="1111">
        <f t="shared" si="159"/>
        <v>0</v>
      </c>
      <c r="ER122" s="1111">
        <f t="shared" si="160"/>
        <v>0</v>
      </c>
      <c r="ES122" s="1111">
        <f t="shared" si="161"/>
        <v>0</v>
      </c>
      <c r="ET122" s="1111">
        <f t="shared" si="162"/>
        <v>0</v>
      </c>
      <c r="EU122" s="1111">
        <f t="shared" ref="EU122:EU131" si="220">T122</f>
        <v>0</v>
      </c>
      <c r="EV122" s="1111">
        <f t="shared" ref="EV122:EV131" si="221">EW122</f>
        <v>0</v>
      </c>
      <c r="EW122" s="1111">
        <f t="shared" si="144"/>
        <v>0</v>
      </c>
      <c r="EX122" s="1111">
        <f t="shared" si="145"/>
        <v>0</v>
      </c>
      <c r="EY122" s="1111">
        <f t="shared" si="146"/>
        <v>0</v>
      </c>
      <c r="EZ122" s="1111">
        <f t="shared" si="147"/>
        <v>0</v>
      </c>
      <c r="FA122" s="1111">
        <f t="shared" si="148"/>
        <v>0</v>
      </c>
      <c r="FB122" s="1111">
        <f t="shared" si="149"/>
        <v>0</v>
      </c>
      <c r="FC122" s="1111">
        <f t="shared" si="150"/>
        <v>0</v>
      </c>
      <c r="FD122" s="1111">
        <f t="shared" si="151"/>
        <v>0</v>
      </c>
      <c r="FE122" s="1111">
        <f t="shared" si="152"/>
        <v>0</v>
      </c>
      <c r="FF122" s="1111">
        <f t="shared" ref="FF122:FF131" si="222">AD122</f>
        <v>0</v>
      </c>
      <c r="FG122" s="1111">
        <f t="shared" ref="FG122:FG131" si="223">AE122</f>
        <v>0</v>
      </c>
      <c r="FH122" s="1111">
        <f t="shared" si="194"/>
        <v>0</v>
      </c>
      <c r="FI122" s="1111">
        <f t="shared" si="195"/>
        <v>0</v>
      </c>
      <c r="FJ122" s="1111">
        <f t="shared" si="196"/>
        <v>0</v>
      </c>
      <c r="FK122" s="1111">
        <f t="shared" si="197"/>
        <v>0</v>
      </c>
      <c r="FL122" s="1111">
        <f t="shared" si="198"/>
        <v>0</v>
      </c>
      <c r="FM122" s="1111">
        <f t="shared" si="199"/>
        <v>0</v>
      </c>
      <c r="FN122" s="1111">
        <f t="shared" si="200"/>
        <v>0</v>
      </c>
      <c r="FO122" s="1111">
        <f t="shared" si="201"/>
        <v>0</v>
      </c>
      <c r="FP122" s="1111">
        <f t="shared" si="202"/>
        <v>0</v>
      </c>
      <c r="FQ122" s="1111">
        <f t="shared" ref="FQ122:FQ131" si="224">AO122</f>
        <v>0</v>
      </c>
      <c r="FR122" s="1111">
        <f t="shared" ref="FR122:FR131" si="225">AP122</f>
        <v>0.28277996035796599</v>
      </c>
      <c r="FS122" s="1111">
        <f t="shared" si="134"/>
        <v>0.28277996035796599</v>
      </c>
      <c r="FT122" s="1111">
        <f t="shared" si="135"/>
        <v>0.28403962324753601</v>
      </c>
      <c r="FU122" s="1111">
        <f t="shared" si="136"/>
        <v>0.439680372173264</v>
      </c>
      <c r="FV122" s="1111">
        <f t="shared" si="137"/>
        <v>0.44099658421857602</v>
      </c>
      <c r="FW122" s="1111">
        <f t="shared" si="138"/>
        <v>0.433560526315594</v>
      </c>
      <c r="FX122" s="1111">
        <f t="shared" si="139"/>
        <v>0.42933826204539599</v>
      </c>
      <c r="FY122" s="1111">
        <f t="shared" si="140"/>
        <v>0.42878154898758097</v>
      </c>
      <c r="FZ122" s="1111">
        <f t="shared" si="141"/>
        <v>0.42864825840065801</v>
      </c>
      <c r="GA122" s="1111">
        <f t="shared" si="142"/>
        <v>0.42866959782549302</v>
      </c>
      <c r="GB122" s="1111">
        <f t="shared" ref="GB122:GB131" si="226">AZ122</f>
        <v>0.42866959782549302</v>
      </c>
      <c r="GC122" s="1111">
        <f t="shared" ref="GC122:GC131" si="227">BA122</f>
        <v>3.5985561302258398E-2</v>
      </c>
      <c r="GD122" s="1111">
        <f t="shared" si="165"/>
        <v>3.5985561302258398E-2</v>
      </c>
      <c r="GE122" s="1111">
        <f t="shared" si="166"/>
        <v>3.6151916846221502E-2</v>
      </c>
      <c r="GF122" s="1111">
        <f t="shared" si="167"/>
        <v>5.5660815141034201E-2</v>
      </c>
      <c r="GG122" s="1111">
        <f t="shared" si="168"/>
        <v>5.5828047810141897E-2</v>
      </c>
      <c r="GH122" s="1111">
        <f t="shared" si="169"/>
        <v>5.4890097193820798E-2</v>
      </c>
      <c r="GI122" s="1111">
        <f t="shared" si="170"/>
        <v>5.4357782630601099E-2</v>
      </c>
      <c r="GJ122" s="1111">
        <f t="shared" si="171"/>
        <v>5.42874936769858E-2</v>
      </c>
      <c r="GK122" s="1111">
        <f t="shared" si="172"/>
        <v>5.4270677380055601E-2</v>
      </c>
      <c r="GL122" s="1111">
        <f t="shared" si="173"/>
        <v>5.42734513075935E-2</v>
      </c>
      <c r="GM122" s="1111">
        <f t="shared" si="174"/>
        <v>5.42734513075935E-2</v>
      </c>
    </row>
    <row r="123" spans="1:195" s="265" customFormat="1" x14ac:dyDescent="0.2">
      <c r="A123" s="1071" t="s">
        <v>184</v>
      </c>
      <c r="B123" s="1071" t="s">
        <v>235</v>
      </c>
      <c r="C123" s="1071" t="s">
        <v>236</v>
      </c>
      <c r="D123" s="1071" t="str">
        <f>NewTech!D34</f>
        <v>bn-vmt, bn-vmt/a</v>
      </c>
      <c r="E123" s="1071" t="str">
        <f>NewTech!E34</f>
        <v>TRNELC</v>
      </c>
      <c r="F123" s="1071" t="str">
        <f>NewTech!F34</f>
        <v>TB</v>
      </c>
      <c r="G123" s="1115" t="s">
        <v>498</v>
      </c>
      <c r="H123" s="1113" t="s">
        <v>1961</v>
      </c>
      <c r="I123" s="1113">
        <v>1</v>
      </c>
      <c r="J123" s="1113" t="str">
        <f t="shared" ref="J123:J131" si="228">CONCATENATE(G123,"-",H123)</f>
        <v>Bus-ELC</v>
      </c>
      <c r="K123" s="1111">
        <f>SUMIFS(NewEmisData!E:E, NewEmisData!$A:$A, $G123, NewEmisData!$B:$B, $A123, NewEmisData!$C:$C, $H123, NewEmisData!$D:$D, K$6)</f>
        <v>0</v>
      </c>
      <c r="L123" s="1111">
        <f>SUMIFS(NewEmisData!F:F, NewEmisData!$A:$A, $G123, NewEmisData!$B:$B, $A123, NewEmisData!$C:$C, $H123, NewEmisData!$D:$D, L$6)</f>
        <v>0</v>
      </c>
      <c r="M123" s="1111">
        <f>SUMIFS(NewEmisData!G:G, NewEmisData!$A:$A, $G123, NewEmisData!$B:$B, $A123, NewEmisData!$C:$C, $H123, NewEmisData!$D:$D, M$6)</f>
        <v>0</v>
      </c>
      <c r="N123" s="1111">
        <f>SUMIFS(NewEmisData!H:H, NewEmisData!$A:$A, $G123, NewEmisData!$B:$B, $A123, NewEmisData!$C:$C, $H123, NewEmisData!$D:$D, N$6)</f>
        <v>0</v>
      </c>
      <c r="O123" s="1111">
        <f>SUMIFS(NewEmisData!I:I, NewEmisData!$A:$A, $G123, NewEmisData!$B:$B, $A123, NewEmisData!$C:$C, $H123, NewEmisData!$D:$D, O$6)</f>
        <v>0</v>
      </c>
      <c r="P123" s="1111">
        <f>SUMIFS(NewEmisData!J:J, NewEmisData!$A:$A, $G123, NewEmisData!$B:$B, $A123, NewEmisData!$C:$C, $H123, NewEmisData!$D:$D, P$6)</f>
        <v>0</v>
      </c>
      <c r="Q123" s="1111">
        <f>SUMIFS(NewEmisData!K:K, NewEmisData!$A:$A, $G123, NewEmisData!$B:$B, $A123, NewEmisData!$C:$C, $H123, NewEmisData!$D:$D, Q$6)</f>
        <v>0</v>
      </c>
      <c r="R123" s="1111">
        <f>SUMIFS(NewEmisData!L:L, NewEmisData!$A:$A, $G123, NewEmisData!$B:$B, $A123, NewEmisData!$C:$C, $H123, NewEmisData!$D:$D, R$6)</f>
        <v>0</v>
      </c>
      <c r="S123" s="1111">
        <f>SUMIFS(NewEmisData!M:M, NewEmisData!$A:$A, $G123, NewEmisData!$B:$B, $A123, NewEmisData!$C:$C, $H123, NewEmisData!$D:$D, S$6)</f>
        <v>0</v>
      </c>
      <c r="T123" s="1111">
        <f t="shared" si="131"/>
        <v>0</v>
      </c>
      <c r="U123" s="1111">
        <f>SUMIFS(NewEmisData!E:E, NewEmisData!$A:$A, $G123, NewEmisData!$B:$B, $A123, NewEmisData!$C:$C, $H123, NewEmisData!$D:$D, U$6)</f>
        <v>0</v>
      </c>
      <c r="V123" s="1111">
        <f>SUMIFS(NewEmisData!F:F, NewEmisData!$A:$A, $G123, NewEmisData!$B:$B, $A123, NewEmisData!$C:$C, $H123, NewEmisData!$D:$D, V$6)</f>
        <v>0</v>
      </c>
      <c r="W123" s="1111">
        <f>SUMIFS(NewEmisData!G:G, NewEmisData!$A:$A, $G123, NewEmisData!$B:$B, $A123, NewEmisData!$C:$C, $H123, NewEmisData!$D:$D, W$6)</f>
        <v>0</v>
      </c>
      <c r="X123" s="1111">
        <f>SUMIFS(NewEmisData!H:H, NewEmisData!$A:$A, $G123, NewEmisData!$B:$B, $A123, NewEmisData!$C:$C, $H123, NewEmisData!$D:$D, X$6)</f>
        <v>0</v>
      </c>
      <c r="Y123" s="1111">
        <f>SUMIFS(NewEmisData!I:I, NewEmisData!$A:$A, $G123, NewEmisData!$B:$B, $A123, NewEmisData!$C:$C, $H123, NewEmisData!$D:$D, Y$6)</f>
        <v>0</v>
      </c>
      <c r="Z123" s="1111">
        <f>SUMIFS(NewEmisData!J:J, NewEmisData!$A:$A, $G123, NewEmisData!$B:$B, $A123, NewEmisData!$C:$C, $H123, NewEmisData!$D:$D, Z$6)</f>
        <v>0</v>
      </c>
      <c r="AA123" s="1111">
        <f>SUMIFS(NewEmisData!K:K, NewEmisData!$A:$A, $G123, NewEmisData!$B:$B, $A123, NewEmisData!$C:$C, $H123, NewEmisData!$D:$D, AA$6)</f>
        <v>0</v>
      </c>
      <c r="AB123" s="1111">
        <f>SUMIFS(NewEmisData!L:L, NewEmisData!$A:$A, $G123, NewEmisData!$B:$B, $A123, NewEmisData!$C:$C, $H123, NewEmisData!$D:$D, AB$6)</f>
        <v>0</v>
      </c>
      <c r="AC123" s="1111">
        <f>SUMIFS(NewEmisData!M:M, NewEmisData!$A:$A, $G123, NewEmisData!$B:$B, $A123, NewEmisData!$C:$C, $H123, NewEmisData!$D:$D, AC$6)</f>
        <v>0</v>
      </c>
      <c r="AD123" s="1111">
        <f t="shared" si="204"/>
        <v>0</v>
      </c>
      <c r="AE123" s="1111">
        <f t="shared" si="205"/>
        <v>0</v>
      </c>
      <c r="AF123" s="1111">
        <f>SUMIFS(NewEmisData!E:E, NewEmisData!$A:$A, $G123, NewEmisData!$B:$B, $A123, NewEmisData!$C:$C, $H123, NewEmisData!$D:$D, AF$6)</f>
        <v>0</v>
      </c>
      <c r="AG123" s="1111">
        <f>SUMIFS(NewEmisData!F:F, NewEmisData!$A:$A, $G123, NewEmisData!$B:$B, $A123, NewEmisData!$C:$C, $H123, NewEmisData!$D:$D, AG$6)</f>
        <v>0</v>
      </c>
      <c r="AH123" s="1111">
        <f>SUMIFS(NewEmisData!G:G, NewEmisData!$A:$A, $G123, NewEmisData!$B:$B, $A123, NewEmisData!$C:$C, $H123, NewEmisData!$D:$D, AH$6)</f>
        <v>0</v>
      </c>
      <c r="AI123" s="1111">
        <f>SUMIFS(NewEmisData!H:H, NewEmisData!$A:$A, $G123, NewEmisData!$B:$B, $A123, NewEmisData!$C:$C, $H123, NewEmisData!$D:$D, AI$6)</f>
        <v>0</v>
      </c>
      <c r="AJ123" s="1111">
        <f>SUMIFS(NewEmisData!I:I, NewEmisData!$A:$A, $G123, NewEmisData!$B:$B, $A123, NewEmisData!$C:$C, $H123, NewEmisData!$D:$D, AJ$6)</f>
        <v>0</v>
      </c>
      <c r="AK123" s="1111">
        <f>SUMIFS(NewEmisData!J:J, NewEmisData!$A:$A, $G123, NewEmisData!$B:$B, $A123, NewEmisData!$C:$C, $H123, NewEmisData!$D:$D, AK$6)</f>
        <v>0</v>
      </c>
      <c r="AL123" s="1111">
        <f>SUMIFS(NewEmisData!K:K, NewEmisData!$A:$A, $G123, NewEmisData!$B:$B, $A123, NewEmisData!$C:$C, $H123, NewEmisData!$D:$D, AL$6)</f>
        <v>0</v>
      </c>
      <c r="AM123" s="1111">
        <f>SUMIFS(NewEmisData!L:L, NewEmisData!$A:$A, $G123, NewEmisData!$B:$B, $A123, NewEmisData!$C:$C, $H123, NewEmisData!$D:$D, AM$6)</f>
        <v>0</v>
      </c>
      <c r="AN123" s="1111">
        <f>SUMIFS(NewEmisData!M:M, NewEmisData!$A:$A, $G123, NewEmisData!$B:$B, $A123, NewEmisData!$C:$C, $H123, NewEmisData!$D:$D, AN$6)</f>
        <v>0</v>
      </c>
      <c r="AO123" s="1111">
        <f t="shared" si="206"/>
        <v>0</v>
      </c>
      <c r="AP123" s="1111">
        <f t="shared" si="207"/>
        <v>0.21898051461328999</v>
      </c>
      <c r="AQ123" s="1111">
        <f>SUMIFS(NewEmisData!E:E, NewEmisData!$A:$A, $G123, NewEmisData!$B:$B, $A123, NewEmisData!$C:$C, $H123, NewEmisData!$D:$D, AQ$6)</f>
        <v>0.21898051461328999</v>
      </c>
      <c r="AR123" s="1111">
        <f>SUMIFS(NewEmisData!F:F, NewEmisData!$A:$A, $G123, NewEmisData!$B:$B, $A123, NewEmisData!$C:$C, $H123, NewEmisData!$D:$D, AR$6)</f>
        <v>0.205451953092012</v>
      </c>
      <c r="AS123" s="1111">
        <f>SUMIFS(NewEmisData!G:G, NewEmisData!$A:$A, $G123, NewEmisData!$B:$B, $A123, NewEmisData!$C:$C, $H123, NewEmisData!$D:$D, AS$6)</f>
        <v>0.32169849087721403</v>
      </c>
      <c r="AT123" s="1111">
        <f>SUMIFS(NewEmisData!H:H, NewEmisData!$A:$A, $G123, NewEmisData!$B:$B, $A123, NewEmisData!$C:$C, $H123, NewEmisData!$D:$D, AT$6)</f>
        <v>0.32274359018111498</v>
      </c>
      <c r="AU123" s="1111">
        <f>SUMIFS(NewEmisData!I:I, NewEmisData!$A:$A, $G123, NewEmisData!$B:$B, $A123, NewEmisData!$C:$C, $H123, NewEmisData!$D:$D, AU$6)</f>
        <v>0.322111761670834</v>
      </c>
      <c r="AV123" s="1111">
        <f>SUMIFS(NewEmisData!J:J, NewEmisData!$A:$A, $G123, NewEmisData!$B:$B, $A123, NewEmisData!$C:$C, $H123, NewEmisData!$D:$D, AV$6)</f>
        <v>0.32195178668498098</v>
      </c>
      <c r="AW123" s="1111">
        <f>SUMIFS(NewEmisData!K:K, NewEmisData!$A:$A, $G123, NewEmisData!$B:$B, $A123, NewEmisData!$C:$C, $H123, NewEmisData!$D:$D, AW$6)</f>
        <v>0.32184525817804299</v>
      </c>
      <c r="AX123" s="1111">
        <f>SUMIFS(NewEmisData!L:L, NewEmisData!$A:$A, $G123, NewEmisData!$B:$B, $A123, NewEmisData!$C:$C, $H123, NewEmisData!$D:$D, AX$6)</f>
        <v>0.32182427800119601</v>
      </c>
      <c r="AY123" s="1111">
        <f>SUMIFS(NewEmisData!M:M, NewEmisData!$A:$A, $G123, NewEmisData!$B:$B, $A123, NewEmisData!$C:$C, $H123, NewEmisData!$D:$D, AY$6)</f>
        <v>0.32187468881790698</v>
      </c>
      <c r="AZ123" s="1111">
        <f t="shared" si="208"/>
        <v>0.32187468881790698</v>
      </c>
      <c r="BA123" s="1111">
        <f t="shared" si="209"/>
        <v>2.7942001485860998E-2</v>
      </c>
      <c r="BB123" s="1111">
        <f>SUMIFS(NewEmisData!E:E, NewEmisData!$A:$A, $G123, NewEmisData!$B:$B, $A123, NewEmisData!$C:$C, $H123, NewEmisData!$D:$D, BB$6)</f>
        <v>2.7942001485860998E-2</v>
      </c>
      <c r="BC123" s="1111">
        <f>SUMIFS(NewEmisData!F:F, NewEmisData!$A:$A, $G123, NewEmisData!$B:$B, $A123, NewEmisData!$C:$C, $H123, NewEmisData!$D:$D, BC$6)</f>
        <v>2.6214510012818999E-2</v>
      </c>
      <c r="BD123" s="1111">
        <f>SUMIFS(NewEmisData!G:G, NewEmisData!$A:$A, $G123, NewEmisData!$B:$B, $A123, NewEmisData!$C:$C, $H123, NewEmisData!$D:$D, BD$6)</f>
        <v>4.0800964066513998E-2</v>
      </c>
      <c r="BE123" s="1111">
        <f>SUMIFS(NewEmisData!H:H, NewEmisData!$A:$A, $G123, NewEmisData!$B:$B, $A123, NewEmisData!$C:$C, $H123, NewEmisData!$D:$D, BE$6)</f>
        <v>4.0933745412523002E-2</v>
      </c>
      <c r="BF123" s="1111">
        <f>SUMIFS(NewEmisData!I:I, NewEmisData!$A:$A, $G123, NewEmisData!$B:$B, $A123, NewEmisData!$C:$C, $H123, NewEmisData!$D:$D, BF$6)</f>
        <v>4.0853777901298099E-2</v>
      </c>
      <c r="BG123" s="1111">
        <f>SUMIFS(NewEmisData!J:J, NewEmisData!$A:$A, $G123, NewEmisData!$B:$B, $A123, NewEmisData!$C:$C, $H123, NewEmisData!$D:$D, BG$6)</f>
        <v>4.0833631402063898E-2</v>
      </c>
      <c r="BH123" s="1111">
        <f>SUMIFS(NewEmisData!K:K, NewEmisData!$A:$A, $G123, NewEmisData!$B:$B, $A123, NewEmisData!$C:$C, $H123, NewEmisData!$D:$D, BH$6)</f>
        <v>4.08201189921851E-2</v>
      </c>
      <c r="BI123" s="1111">
        <f>SUMIFS(NewEmisData!L:L, NewEmisData!$A:$A, $G123, NewEmisData!$B:$B, $A123, NewEmisData!$C:$C, $H123, NewEmisData!$D:$D, BI$6)</f>
        <v>4.0817481810898899E-2</v>
      </c>
      <c r="BJ123" s="1111">
        <f>SUMIFS(NewEmisData!M:M, NewEmisData!$A:$A, $G123, NewEmisData!$B:$B, $A123, NewEmisData!$C:$C, $H123, NewEmisData!$D:$D, BJ$6)</f>
        <v>4.0823863408724299E-2</v>
      </c>
      <c r="BK123" s="1111">
        <f t="shared" si="210"/>
        <v>4.0823863408724299E-2</v>
      </c>
      <c r="BL123" s="1111">
        <f t="shared" si="211"/>
        <v>0</v>
      </c>
      <c r="BM123" s="1111">
        <f>SUMIFS(NewEmisData!E:E, NewEmisData!$A:$A, $G123, NewEmisData!$B:$B, $A123, NewEmisData!$C:$C, $H123, NewEmisData!$D:$D, BM$6)</f>
        <v>0</v>
      </c>
      <c r="BN123" s="1111">
        <f>SUMIFS(NewEmisData!F:F, NewEmisData!$A:$A, $G123, NewEmisData!$B:$B, $A123, NewEmisData!$C:$C, $H123, NewEmisData!$D:$D, BN$6)</f>
        <v>0</v>
      </c>
      <c r="BO123" s="1111">
        <f>SUMIFS(NewEmisData!G:G, NewEmisData!$A:$A, $G123, NewEmisData!$B:$B, $A123, NewEmisData!$C:$C, $H123, NewEmisData!$D:$D, BO$6)</f>
        <v>0</v>
      </c>
      <c r="BP123" s="1111">
        <f>SUMIFS(NewEmisData!H:H, NewEmisData!$A:$A, $G123, NewEmisData!$B:$B, $A123, NewEmisData!$C:$C, $H123, NewEmisData!$D:$D, BP$6)</f>
        <v>0</v>
      </c>
      <c r="BQ123" s="1111">
        <f>SUMIFS(NewEmisData!I:I, NewEmisData!$A:$A, $G123, NewEmisData!$B:$B, $A123, NewEmisData!$C:$C, $H123, NewEmisData!$D:$D, BQ$6)</f>
        <v>0</v>
      </c>
      <c r="BR123" s="1111">
        <f>SUMIFS(NewEmisData!J:J, NewEmisData!$A:$A, $G123, NewEmisData!$B:$B, $A123, NewEmisData!$C:$C, $H123, NewEmisData!$D:$D, BR$6)</f>
        <v>0</v>
      </c>
      <c r="BS123" s="1111">
        <f>SUMIFS(NewEmisData!K:K, NewEmisData!$A:$A, $G123, NewEmisData!$B:$B, $A123, NewEmisData!$C:$C, $H123, NewEmisData!$D:$D, BS$6)</f>
        <v>0</v>
      </c>
      <c r="BT123" s="1111">
        <f>SUMIFS(NewEmisData!L:L, NewEmisData!$A:$A, $G123, NewEmisData!$B:$B, $A123, NewEmisData!$C:$C, $H123, NewEmisData!$D:$D, BT$6)</f>
        <v>0</v>
      </c>
      <c r="BU123" s="1111">
        <f>SUMIFS(NewEmisData!M:M, NewEmisData!$A:$A, $G123, NewEmisData!$B:$B, $A123, NewEmisData!$C:$C, $H123, NewEmisData!$D:$D, BU$6)</f>
        <v>0</v>
      </c>
      <c r="BV123" s="1111">
        <f t="shared" si="212"/>
        <v>0</v>
      </c>
      <c r="BW123" s="1111">
        <f t="shared" si="213"/>
        <v>0</v>
      </c>
      <c r="BX123" s="1111">
        <f>SUMIFS(NewEmisData!E:E, NewEmisData!$A:$A, $G123, NewEmisData!$B:$B, $A123, NewEmisData!$C:$C, $H123, NewEmisData!$D:$D, BX$6)</f>
        <v>0</v>
      </c>
      <c r="BY123" s="1111">
        <f>SUMIFS(NewEmisData!F:F, NewEmisData!$A:$A, $G123, NewEmisData!$B:$B, $A123, NewEmisData!$C:$C, $H123, NewEmisData!$D:$D, BY$6)</f>
        <v>0</v>
      </c>
      <c r="BZ123" s="1111">
        <f>SUMIFS(NewEmisData!G:G, NewEmisData!$A:$A, $G123, NewEmisData!$B:$B, $A123, NewEmisData!$C:$C, $H123, NewEmisData!$D:$D, BZ$6)</f>
        <v>0</v>
      </c>
      <c r="CA123" s="1111">
        <f>SUMIFS(NewEmisData!H:H, NewEmisData!$A:$A, $G123, NewEmisData!$B:$B, $A123, NewEmisData!$C:$C, $H123, NewEmisData!$D:$D, CA$6)</f>
        <v>0</v>
      </c>
      <c r="CB123" s="1111">
        <f>SUMIFS(NewEmisData!I:I, NewEmisData!$A:$A, $G123, NewEmisData!$B:$B, $A123, NewEmisData!$C:$C, $H123, NewEmisData!$D:$D, CB$6)</f>
        <v>0</v>
      </c>
      <c r="CC123" s="1111">
        <f>SUMIFS(NewEmisData!J:J, NewEmisData!$A:$A, $G123, NewEmisData!$B:$B, $A123, NewEmisData!$C:$C, $H123, NewEmisData!$D:$D, CC$6)</f>
        <v>0</v>
      </c>
      <c r="CD123" s="1111">
        <f>SUMIFS(NewEmisData!K:K, NewEmisData!$A:$A, $G123, NewEmisData!$B:$B, $A123, NewEmisData!$C:$C, $H123, NewEmisData!$D:$D, CD$6)</f>
        <v>0</v>
      </c>
      <c r="CE123" s="1111">
        <f>SUMIFS(NewEmisData!L:L, NewEmisData!$A:$A, $G123, NewEmisData!$B:$B, $A123, NewEmisData!$C:$C, $H123, NewEmisData!$D:$D, CE$6)</f>
        <v>0</v>
      </c>
      <c r="CF123" s="1111">
        <f>SUMIFS(NewEmisData!M:M, NewEmisData!$A:$A, $G123, NewEmisData!$B:$B, $A123, NewEmisData!$C:$C, $H123, NewEmisData!$D:$D, CF$6)</f>
        <v>0</v>
      </c>
      <c r="CG123" s="1111">
        <f t="shared" si="214"/>
        <v>0</v>
      </c>
      <c r="CH123" s="1111">
        <f t="shared" si="215"/>
        <v>0</v>
      </c>
      <c r="CI123" s="1111">
        <f>SUMIFS(NewEmisData!E:E, NewEmisData!$A:$A, $G123, NewEmisData!$B:$B, $A123, NewEmisData!$C:$C, $H123, NewEmisData!$D:$D, CI$6)</f>
        <v>0</v>
      </c>
      <c r="CJ123" s="1111">
        <f>SUMIFS(NewEmisData!F:F, NewEmisData!$A:$A, $G123, NewEmisData!$B:$B, $A123, NewEmisData!$C:$C, $H123, NewEmisData!$D:$D, CJ$6)</f>
        <v>0</v>
      </c>
      <c r="CK123" s="1111">
        <f>SUMIFS(NewEmisData!G:G, NewEmisData!$A:$A, $G123, NewEmisData!$B:$B, $A123, NewEmisData!$C:$C, $H123, NewEmisData!$D:$D, CK$6)</f>
        <v>0</v>
      </c>
      <c r="CL123" s="1111">
        <f>SUMIFS(NewEmisData!H:H, NewEmisData!$A:$A, $G123, NewEmisData!$B:$B, $A123, NewEmisData!$C:$C, $H123, NewEmisData!$D:$D, CL$6)</f>
        <v>0</v>
      </c>
      <c r="CM123" s="1111">
        <f>SUMIFS(NewEmisData!I:I, NewEmisData!$A:$A, $G123, NewEmisData!$B:$B, $A123, NewEmisData!$C:$C, $H123, NewEmisData!$D:$D, CM$6)</f>
        <v>0</v>
      </c>
      <c r="CN123" s="1111">
        <f>SUMIFS(NewEmisData!J:J, NewEmisData!$A:$A, $G123, NewEmisData!$B:$B, $A123, NewEmisData!$C:$C, $H123, NewEmisData!$D:$D, CN$6)</f>
        <v>0</v>
      </c>
      <c r="CO123" s="1111">
        <f>SUMIFS(NewEmisData!K:K, NewEmisData!$A:$A, $G123, NewEmisData!$B:$B, $A123, NewEmisData!$C:$C, $H123, NewEmisData!$D:$D, CO$6)</f>
        <v>0</v>
      </c>
      <c r="CP123" s="1111">
        <f>SUMIFS(NewEmisData!L:L, NewEmisData!$A:$A, $G123, NewEmisData!$B:$B, $A123, NewEmisData!$C:$C, $H123, NewEmisData!$D:$D, CP$6)</f>
        <v>0</v>
      </c>
      <c r="CQ123" s="1111">
        <f>SUMIFS(NewEmisData!M:M, NewEmisData!$A:$A, $G123, NewEmisData!$B:$B, $A123, NewEmisData!$C:$C, $H123, NewEmisData!$D:$D, CQ$6)</f>
        <v>0</v>
      </c>
      <c r="CR123" s="1111">
        <f t="shared" si="216"/>
        <v>0</v>
      </c>
      <c r="CS123" s="1111">
        <f t="shared" si="217"/>
        <v>0</v>
      </c>
      <c r="CT123" s="1111">
        <f>SUMIFS(NewEmisData!E:E, NewEmisData!$A:$A, $G123, NewEmisData!$B:$B, $A123, NewEmisData!$C:$C, $H123, NewEmisData!$D:$D, CT$6)</f>
        <v>0</v>
      </c>
      <c r="CU123" s="1111">
        <f>SUMIFS(NewEmisData!F:F, NewEmisData!$A:$A, $G123, NewEmisData!$B:$B, $A123, NewEmisData!$C:$C, $H123, NewEmisData!$D:$D, CU$6)</f>
        <v>0</v>
      </c>
      <c r="CV123" s="1111">
        <f>SUMIFS(NewEmisData!G:G, NewEmisData!$A:$A, $G123, NewEmisData!$B:$B, $A123, NewEmisData!$C:$C, $H123, NewEmisData!$D:$D, CV$6)</f>
        <v>0</v>
      </c>
      <c r="CW123" s="1111">
        <f>SUMIFS(NewEmisData!H:H, NewEmisData!$A:$A, $G123, NewEmisData!$B:$B, $A123, NewEmisData!$C:$C, $H123, NewEmisData!$D:$D, CW$6)</f>
        <v>0</v>
      </c>
      <c r="CX123" s="1111">
        <f>SUMIFS(NewEmisData!I:I, NewEmisData!$A:$A, $G123, NewEmisData!$B:$B, $A123, NewEmisData!$C:$C, $H123, NewEmisData!$D:$D, CX$6)</f>
        <v>0</v>
      </c>
      <c r="CY123" s="1111">
        <f>SUMIFS(NewEmisData!J:J, NewEmisData!$A:$A, $G123, NewEmisData!$B:$B, $A123, NewEmisData!$C:$C, $H123, NewEmisData!$D:$D, CY$6)</f>
        <v>0</v>
      </c>
      <c r="CZ123" s="1111">
        <f>SUMIFS(NewEmisData!K:K, NewEmisData!$A:$A, $G123, NewEmisData!$B:$B, $A123, NewEmisData!$C:$C, $H123, NewEmisData!$D:$D, CZ$6)</f>
        <v>0</v>
      </c>
      <c r="DA123" s="1111">
        <f>SUMIFS(NewEmisData!L:L, NewEmisData!$A:$A, $G123, NewEmisData!$B:$B, $A123, NewEmisData!$C:$C, $H123, NewEmisData!$D:$D, DA$6)</f>
        <v>0</v>
      </c>
      <c r="DB123" s="1111">
        <f>SUMIFS(NewEmisData!M:M, NewEmisData!$A:$A, $G123, NewEmisData!$B:$B, $A123, NewEmisData!$C:$C, $H123, NewEmisData!$D:$D, DB$6)</f>
        <v>0</v>
      </c>
      <c r="DC123" s="1111">
        <f t="shared" si="188"/>
        <v>0</v>
      </c>
      <c r="DD123" s="1072"/>
      <c r="DE123" s="1072"/>
      <c r="DF123" s="1072"/>
      <c r="DG123" s="1072"/>
      <c r="DH123" s="1072"/>
      <c r="DI123" s="1072"/>
      <c r="DJ123" s="1072"/>
      <c r="DK123" s="1072"/>
      <c r="DL123" s="1072"/>
      <c r="DM123" s="1072"/>
      <c r="DN123" s="1072"/>
      <c r="DO123" s="1072"/>
      <c r="DP123" s="1072"/>
      <c r="DQ123" s="1072"/>
      <c r="DR123" s="1072"/>
      <c r="DS123" s="1072"/>
      <c r="DT123" s="1072"/>
      <c r="DU123" s="1072"/>
      <c r="DV123" s="1072"/>
      <c r="DW123" s="1072"/>
      <c r="DX123" s="1072"/>
      <c r="DY123" s="1072"/>
      <c r="DZ123" s="1111">
        <f t="shared" si="189"/>
        <v>0</v>
      </c>
      <c r="EA123" s="1111">
        <f>SUMIFS(NewEmisData!E:E, NewEmisData!$A:$A, $G123, NewEmisData!$B:$B, $A123, NewEmisData!$C:$C, $H123, NewEmisData!$D:$D, EA$6)</f>
        <v>0</v>
      </c>
      <c r="EB123" s="1111">
        <f>SUMIFS(NewEmisData!F:F, NewEmisData!$A:$A, $G123, NewEmisData!$B:$B, $A123, NewEmisData!$C:$C, $H123, NewEmisData!$D:$D, EB$6)</f>
        <v>0</v>
      </c>
      <c r="EC123" s="1111">
        <f>SUMIFS(NewEmisData!G:G, NewEmisData!$A:$A, $G123, NewEmisData!$B:$B, $A123, NewEmisData!$C:$C, $H123, NewEmisData!$D:$D, EC$6)</f>
        <v>0</v>
      </c>
      <c r="ED123" s="1111">
        <f>SUMIFS(NewEmisData!H:H, NewEmisData!$A:$A, $G123, NewEmisData!$B:$B, $A123, NewEmisData!$C:$C, $H123, NewEmisData!$D:$D, ED$6)</f>
        <v>0</v>
      </c>
      <c r="EE123" s="1111">
        <f>SUMIFS(NewEmisData!I:I, NewEmisData!$A:$A, $G123, NewEmisData!$B:$B, $A123, NewEmisData!$C:$C, $H123, NewEmisData!$D:$D, EE$6)</f>
        <v>0</v>
      </c>
      <c r="EF123" s="1111">
        <f>SUMIFS(NewEmisData!J:J, NewEmisData!$A:$A, $G123, NewEmisData!$B:$B, $A123, NewEmisData!$C:$C, $H123, NewEmisData!$D:$D, EF$6)</f>
        <v>0</v>
      </c>
      <c r="EG123" s="1111">
        <f>SUMIFS(NewEmisData!K:K, NewEmisData!$A:$A, $G123, NewEmisData!$B:$B, $A123, NewEmisData!$C:$C, $H123, NewEmisData!$D:$D, EG$6)</f>
        <v>0</v>
      </c>
      <c r="EH123" s="1111">
        <f>SUMIFS(NewEmisData!L:L, NewEmisData!$A:$A, $G123, NewEmisData!$B:$B, $A123, NewEmisData!$C:$C, $H123, NewEmisData!$D:$D, EH$6)</f>
        <v>0</v>
      </c>
      <c r="EI123" s="1111">
        <f>SUMIFS(NewEmisData!M:M, NewEmisData!$A:$A, $G123, NewEmisData!$B:$B, $A123, NewEmisData!$C:$C, $H123, NewEmisData!$D:$D, EI$6)</f>
        <v>0</v>
      </c>
      <c r="EJ123" s="1111">
        <f t="shared" si="218"/>
        <v>0</v>
      </c>
      <c r="EK123" s="1111">
        <f t="shared" si="219"/>
        <v>0</v>
      </c>
      <c r="EL123" s="1111">
        <f t="shared" si="154"/>
        <v>0</v>
      </c>
      <c r="EM123" s="1111">
        <f t="shared" si="155"/>
        <v>0</v>
      </c>
      <c r="EN123" s="1111">
        <f t="shared" si="156"/>
        <v>0</v>
      </c>
      <c r="EO123" s="1111">
        <f t="shared" si="157"/>
        <v>0</v>
      </c>
      <c r="EP123" s="1111">
        <f t="shared" si="158"/>
        <v>0</v>
      </c>
      <c r="EQ123" s="1111">
        <f t="shared" si="159"/>
        <v>0</v>
      </c>
      <c r="ER123" s="1111">
        <f t="shared" si="160"/>
        <v>0</v>
      </c>
      <c r="ES123" s="1111">
        <f t="shared" si="161"/>
        <v>0</v>
      </c>
      <c r="ET123" s="1111">
        <f t="shared" si="162"/>
        <v>0</v>
      </c>
      <c r="EU123" s="1111">
        <f t="shared" si="220"/>
        <v>0</v>
      </c>
      <c r="EV123" s="1111">
        <f t="shared" si="221"/>
        <v>0</v>
      </c>
      <c r="EW123" s="1111">
        <f t="shared" si="144"/>
        <v>0</v>
      </c>
      <c r="EX123" s="1111">
        <f t="shared" si="145"/>
        <v>0</v>
      </c>
      <c r="EY123" s="1111">
        <f t="shared" si="146"/>
        <v>0</v>
      </c>
      <c r="EZ123" s="1111">
        <f t="shared" si="147"/>
        <v>0</v>
      </c>
      <c r="FA123" s="1111">
        <f t="shared" si="148"/>
        <v>0</v>
      </c>
      <c r="FB123" s="1111">
        <f t="shared" si="149"/>
        <v>0</v>
      </c>
      <c r="FC123" s="1111">
        <f t="shared" si="150"/>
        <v>0</v>
      </c>
      <c r="FD123" s="1111">
        <f t="shared" si="151"/>
        <v>0</v>
      </c>
      <c r="FE123" s="1111">
        <f t="shared" si="152"/>
        <v>0</v>
      </c>
      <c r="FF123" s="1111">
        <f t="shared" si="222"/>
        <v>0</v>
      </c>
      <c r="FG123" s="1111">
        <f t="shared" si="223"/>
        <v>0</v>
      </c>
      <c r="FH123" s="1111">
        <f t="shared" si="194"/>
        <v>0</v>
      </c>
      <c r="FI123" s="1111">
        <f t="shared" si="195"/>
        <v>0</v>
      </c>
      <c r="FJ123" s="1111">
        <f t="shared" si="196"/>
        <v>0</v>
      </c>
      <c r="FK123" s="1111">
        <f t="shared" si="197"/>
        <v>0</v>
      </c>
      <c r="FL123" s="1111">
        <f t="shared" si="198"/>
        <v>0</v>
      </c>
      <c r="FM123" s="1111">
        <f t="shared" si="199"/>
        <v>0</v>
      </c>
      <c r="FN123" s="1111">
        <f t="shared" si="200"/>
        <v>0</v>
      </c>
      <c r="FO123" s="1111">
        <f t="shared" si="201"/>
        <v>0</v>
      </c>
      <c r="FP123" s="1111">
        <f t="shared" si="202"/>
        <v>0</v>
      </c>
      <c r="FQ123" s="1111">
        <f t="shared" si="224"/>
        <v>0</v>
      </c>
      <c r="FR123" s="1111">
        <f t="shared" si="225"/>
        <v>0.21898051461328999</v>
      </c>
      <c r="FS123" s="1111">
        <f t="shared" si="134"/>
        <v>0.21898051461328999</v>
      </c>
      <c r="FT123" s="1111">
        <f t="shared" si="135"/>
        <v>0.205451953092012</v>
      </c>
      <c r="FU123" s="1111">
        <f t="shared" si="136"/>
        <v>0.32169849087721403</v>
      </c>
      <c r="FV123" s="1111">
        <f t="shared" si="137"/>
        <v>0.32274359018111498</v>
      </c>
      <c r="FW123" s="1111">
        <f t="shared" si="138"/>
        <v>0.322111761670834</v>
      </c>
      <c r="FX123" s="1111">
        <f t="shared" si="139"/>
        <v>0.32195178668498098</v>
      </c>
      <c r="FY123" s="1111">
        <f t="shared" si="140"/>
        <v>0.32184525817804299</v>
      </c>
      <c r="FZ123" s="1111">
        <f t="shared" si="141"/>
        <v>0.32182427800119601</v>
      </c>
      <c r="GA123" s="1111">
        <f t="shared" si="142"/>
        <v>0.32187468881790698</v>
      </c>
      <c r="GB123" s="1111">
        <f t="shared" si="226"/>
        <v>0.32187468881790698</v>
      </c>
      <c r="GC123" s="1111">
        <f t="shared" si="227"/>
        <v>2.7942001485860998E-2</v>
      </c>
      <c r="GD123" s="1111">
        <f t="shared" si="165"/>
        <v>2.7942001485860998E-2</v>
      </c>
      <c r="GE123" s="1111">
        <f t="shared" si="166"/>
        <v>2.6214510012818999E-2</v>
      </c>
      <c r="GF123" s="1111">
        <f t="shared" si="167"/>
        <v>4.0800964066513998E-2</v>
      </c>
      <c r="GG123" s="1111">
        <f t="shared" si="168"/>
        <v>4.0933745412523002E-2</v>
      </c>
      <c r="GH123" s="1111">
        <f t="shared" si="169"/>
        <v>4.0853777901298099E-2</v>
      </c>
      <c r="GI123" s="1111">
        <f t="shared" si="170"/>
        <v>4.0833631402063898E-2</v>
      </c>
      <c r="GJ123" s="1111">
        <f t="shared" si="171"/>
        <v>4.08201189921851E-2</v>
      </c>
      <c r="GK123" s="1111">
        <f t="shared" si="172"/>
        <v>4.0817481810898899E-2</v>
      </c>
      <c r="GL123" s="1111">
        <f t="shared" si="173"/>
        <v>4.0823863408724299E-2</v>
      </c>
      <c r="GM123" s="1111">
        <f t="shared" si="174"/>
        <v>4.0823863408724299E-2</v>
      </c>
    </row>
    <row r="124" spans="1:195" s="265" customFormat="1" x14ac:dyDescent="0.2">
      <c r="A124" s="1071" t="s">
        <v>186</v>
      </c>
      <c r="B124" s="1071" t="s">
        <v>235</v>
      </c>
      <c r="C124" s="1071" t="s">
        <v>236</v>
      </c>
      <c r="D124" s="1071" t="str">
        <f>NewTech!D34</f>
        <v>bn-vmt, bn-vmt/a</v>
      </c>
      <c r="E124" s="1071" t="str">
        <f>NewTech!E34</f>
        <v>TRNELC</v>
      </c>
      <c r="F124" s="1071" t="str">
        <f>NewTech!F34</f>
        <v>TB</v>
      </c>
      <c r="G124" s="1115" t="s">
        <v>498</v>
      </c>
      <c r="H124" s="1113" t="s">
        <v>1961</v>
      </c>
      <c r="I124" s="1113">
        <v>1</v>
      </c>
      <c r="J124" s="1113" t="str">
        <f t="shared" si="228"/>
        <v>Bus-ELC</v>
      </c>
      <c r="K124" s="1111">
        <f>SUMIFS(NewEmisData!E:E, NewEmisData!$A:$A, $G124, NewEmisData!$B:$B, $A124, NewEmisData!$C:$C, $H124, NewEmisData!$D:$D, K$6)</f>
        <v>0</v>
      </c>
      <c r="L124" s="1111">
        <f>SUMIFS(NewEmisData!F:F, NewEmisData!$A:$A, $G124, NewEmisData!$B:$B, $A124, NewEmisData!$C:$C, $H124, NewEmisData!$D:$D, L$6)</f>
        <v>0</v>
      </c>
      <c r="M124" s="1111">
        <f>SUMIFS(NewEmisData!G:G, NewEmisData!$A:$A, $G124, NewEmisData!$B:$B, $A124, NewEmisData!$C:$C, $H124, NewEmisData!$D:$D, M$6)</f>
        <v>0</v>
      </c>
      <c r="N124" s="1111">
        <f>SUMIFS(NewEmisData!H:H, NewEmisData!$A:$A, $G124, NewEmisData!$B:$B, $A124, NewEmisData!$C:$C, $H124, NewEmisData!$D:$D, N$6)</f>
        <v>0</v>
      </c>
      <c r="O124" s="1111">
        <f>SUMIFS(NewEmisData!I:I, NewEmisData!$A:$A, $G124, NewEmisData!$B:$B, $A124, NewEmisData!$C:$C, $H124, NewEmisData!$D:$D, O$6)</f>
        <v>0</v>
      </c>
      <c r="P124" s="1111">
        <f>SUMIFS(NewEmisData!J:J, NewEmisData!$A:$A, $G124, NewEmisData!$B:$B, $A124, NewEmisData!$C:$C, $H124, NewEmisData!$D:$D, P$6)</f>
        <v>0</v>
      </c>
      <c r="Q124" s="1111">
        <f>SUMIFS(NewEmisData!K:K, NewEmisData!$A:$A, $G124, NewEmisData!$B:$B, $A124, NewEmisData!$C:$C, $H124, NewEmisData!$D:$D, Q$6)</f>
        <v>0</v>
      </c>
      <c r="R124" s="1111">
        <f>SUMIFS(NewEmisData!L:L, NewEmisData!$A:$A, $G124, NewEmisData!$B:$B, $A124, NewEmisData!$C:$C, $H124, NewEmisData!$D:$D, R$6)</f>
        <v>0</v>
      </c>
      <c r="S124" s="1111">
        <f>SUMIFS(NewEmisData!M:M, NewEmisData!$A:$A, $G124, NewEmisData!$B:$B, $A124, NewEmisData!$C:$C, $H124, NewEmisData!$D:$D, S$6)</f>
        <v>0</v>
      </c>
      <c r="T124" s="1111">
        <f t="shared" si="131"/>
        <v>0</v>
      </c>
      <c r="U124" s="1111">
        <f>SUMIFS(NewEmisData!E:E, NewEmisData!$A:$A, $G124, NewEmisData!$B:$B, $A124, NewEmisData!$C:$C, $H124, NewEmisData!$D:$D, U$6)</f>
        <v>0</v>
      </c>
      <c r="V124" s="1111">
        <f>SUMIFS(NewEmisData!F:F, NewEmisData!$A:$A, $G124, NewEmisData!$B:$B, $A124, NewEmisData!$C:$C, $H124, NewEmisData!$D:$D, V$6)</f>
        <v>0</v>
      </c>
      <c r="W124" s="1111">
        <f>SUMIFS(NewEmisData!G:G, NewEmisData!$A:$A, $G124, NewEmisData!$B:$B, $A124, NewEmisData!$C:$C, $H124, NewEmisData!$D:$D, W$6)</f>
        <v>0</v>
      </c>
      <c r="X124" s="1111">
        <f>SUMIFS(NewEmisData!H:H, NewEmisData!$A:$A, $G124, NewEmisData!$B:$B, $A124, NewEmisData!$C:$C, $H124, NewEmisData!$D:$D, X$6)</f>
        <v>0</v>
      </c>
      <c r="Y124" s="1111">
        <f>SUMIFS(NewEmisData!I:I, NewEmisData!$A:$A, $G124, NewEmisData!$B:$B, $A124, NewEmisData!$C:$C, $H124, NewEmisData!$D:$D, Y$6)</f>
        <v>0</v>
      </c>
      <c r="Z124" s="1111">
        <f>SUMIFS(NewEmisData!J:J, NewEmisData!$A:$A, $G124, NewEmisData!$B:$B, $A124, NewEmisData!$C:$C, $H124, NewEmisData!$D:$D, Z$6)</f>
        <v>0</v>
      </c>
      <c r="AA124" s="1111">
        <f>SUMIFS(NewEmisData!K:K, NewEmisData!$A:$A, $G124, NewEmisData!$B:$B, $A124, NewEmisData!$C:$C, $H124, NewEmisData!$D:$D, AA$6)</f>
        <v>0</v>
      </c>
      <c r="AB124" s="1111">
        <f>SUMIFS(NewEmisData!L:L, NewEmisData!$A:$A, $G124, NewEmisData!$B:$B, $A124, NewEmisData!$C:$C, $H124, NewEmisData!$D:$D, AB$6)</f>
        <v>0</v>
      </c>
      <c r="AC124" s="1111">
        <f>SUMIFS(NewEmisData!M:M, NewEmisData!$A:$A, $G124, NewEmisData!$B:$B, $A124, NewEmisData!$C:$C, $H124, NewEmisData!$D:$D, AC$6)</f>
        <v>0</v>
      </c>
      <c r="AD124" s="1111">
        <f t="shared" si="204"/>
        <v>0</v>
      </c>
      <c r="AE124" s="1111">
        <f t="shared" si="205"/>
        <v>0</v>
      </c>
      <c r="AF124" s="1111">
        <f>SUMIFS(NewEmisData!E:E, NewEmisData!$A:$A, $G124, NewEmisData!$B:$B, $A124, NewEmisData!$C:$C, $H124, NewEmisData!$D:$D, AF$6)</f>
        <v>0</v>
      </c>
      <c r="AG124" s="1111">
        <f>SUMIFS(NewEmisData!F:F, NewEmisData!$A:$A, $G124, NewEmisData!$B:$B, $A124, NewEmisData!$C:$C, $H124, NewEmisData!$D:$D, AG$6)</f>
        <v>0</v>
      </c>
      <c r="AH124" s="1111">
        <f>SUMIFS(NewEmisData!G:G, NewEmisData!$A:$A, $G124, NewEmisData!$B:$B, $A124, NewEmisData!$C:$C, $H124, NewEmisData!$D:$D, AH$6)</f>
        <v>0</v>
      </c>
      <c r="AI124" s="1111">
        <f>SUMIFS(NewEmisData!H:H, NewEmisData!$A:$A, $G124, NewEmisData!$B:$B, $A124, NewEmisData!$C:$C, $H124, NewEmisData!$D:$D, AI$6)</f>
        <v>0</v>
      </c>
      <c r="AJ124" s="1111">
        <f>SUMIFS(NewEmisData!I:I, NewEmisData!$A:$A, $G124, NewEmisData!$B:$B, $A124, NewEmisData!$C:$C, $H124, NewEmisData!$D:$D, AJ$6)</f>
        <v>0</v>
      </c>
      <c r="AK124" s="1111">
        <f>SUMIFS(NewEmisData!J:J, NewEmisData!$A:$A, $G124, NewEmisData!$B:$B, $A124, NewEmisData!$C:$C, $H124, NewEmisData!$D:$D, AK$6)</f>
        <v>0</v>
      </c>
      <c r="AL124" s="1111">
        <f>SUMIFS(NewEmisData!K:K, NewEmisData!$A:$A, $G124, NewEmisData!$B:$B, $A124, NewEmisData!$C:$C, $H124, NewEmisData!$D:$D, AL$6)</f>
        <v>0</v>
      </c>
      <c r="AM124" s="1111">
        <f>SUMIFS(NewEmisData!L:L, NewEmisData!$A:$A, $G124, NewEmisData!$B:$B, $A124, NewEmisData!$C:$C, $H124, NewEmisData!$D:$D, AM$6)</f>
        <v>0</v>
      </c>
      <c r="AN124" s="1111">
        <f>SUMIFS(NewEmisData!M:M, NewEmisData!$A:$A, $G124, NewEmisData!$B:$B, $A124, NewEmisData!$C:$C, $H124, NewEmisData!$D:$D, AN$6)</f>
        <v>0</v>
      </c>
      <c r="AO124" s="1111">
        <f t="shared" si="206"/>
        <v>0</v>
      </c>
      <c r="AP124" s="1111">
        <f t="shared" si="207"/>
        <v>0.42175676585306598</v>
      </c>
      <c r="AQ124" s="1111">
        <f>SUMIFS(NewEmisData!E:E, NewEmisData!$A:$A, $G124, NewEmisData!$B:$B, $A124, NewEmisData!$C:$C, $H124, NewEmisData!$D:$D, AQ$6)</f>
        <v>0.42175676585306598</v>
      </c>
      <c r="AR124" s="1111">
        <f>SUMIFS(NewEmisData!F:F, NewEmisData!$A:$A, $G124, NewEmisData!$B:$B, $A124, NewEmisData!$C:$C, $H124, NewEmisData!$D:$D, AR$6)</f>
        <v>0.43517840504438499</v>
      </c>
      <c r="AS124" s="1111">
        <f>SUMIFS(NewEmisData!G:G, NewEmisData!$A:$A, $G124, NewEmisData!$B:$B, $A124, NewEmisData!$C:$C, $H124, NewEmisData!$D:$D, AS$6)</f>
        <v>0.50970790083352402</v>
      </c>
      <c r="AT124" s="1111">
        <f>SUMIFS(NewEmisData!H:H, NewEmisData!$A:$A, $G124, NewEmisData!$B:$B, $A124, NewEmisData!$C:$C, $H124, NewEmisData!$D:$D, AT$6)</f>
        <v>0.51352269848712295</v>
      </c>
      <c r="AU124" s="1111">
        <f>SUMIFS(NewEmisData!I:I, NewEmisData!$A:$A, $G124, NewEmisData!$B:$B, $A124, NewEmisData!$C:$C, $H124, NewEmisData!$D:$D, AU$6)</f>
        <v>0.51212256625965602</v>
      </c>
      <c r="AV124" s="1111">
        <f>SUMIFS(NewEmisData!J:J, NewEmisData!$A:$A, $G124, NewEmisData!$B:$B, $A124, NewEmisData!$C:$C, $H124, NewEmisData!$D:$D, AV$6)</f>
        <v>0.51212505147673304</v>
      </c>
      <c r="AW124" s="1111">
        <f>SUMIFS(NewEmisData!K:K, NewEmisData!$A:$A, $G124, NewEmisData!$B:$B, $A124, NewEmisData!$C:$C, $H124, NewEmisData!$D:$D, AW$6)</f>
        <v>0.51179734485630801</v>
      </c>
      <c r="AX124" s="1111">
        <f>SUMIFS(NewEmisData!L:L, NewEmisData!$A:$A, $G124, NewEmisData!$B:$B, $A124, NewEmisData!$C:$C, $H124, NewEmisData!$D:$D, AX$6)</f>
        <v>0.511736478760355</v>
      </c>
      <c r="AY124" s="1111">
        <f>SUMIFS(NewEmisData!M:M, NewEmisData!$A:$A, $G124, NewEmisData!$B:$B, $A124, NewEmisData!$C:$C, $H124, NewEmisData!$D:$D, AY$6)</f>
        <v>0.51192886078591404</v>
      </c>
      <c r="AZ124" s="1111">
        <f t="shared" si="208"/>
        <v>0.51192886078591404</v>
      </c>
      <c r="BA124" s="1111">
        <f t="shared" si="209"/>
        <v>5.3393543099946997E-2</v>
      </c>
      <c r="BB124" s="1111">
        <f>SUMIFS(NewEmisData!E:E, NewEmisData!$A:$A, $G124, NewEmisData!$B:$B, $A124, NewEmisData!$C:$C, $H124, NewEmisData!$D:$D, BB$6)</f>
        <v>5.3393543099946997E-2</v>
      </c>
      <c r="BC124" s="1111">
        <f>SUMIFS(NewEmisData!F:F, NewEmisData!$A:$A, $G124, NewEmisData!$B:$B, $A124, NewEmisData!$C:$C, $H124, NewEmisData!$D:$D, BC$6)</f>
        <v>5.5094294483151E-2</v>
      </c>
      <c r="BD124" s="1111">
        <f>SUMIFS(NewEmisData!G:G, NewEmisData!$A:$A, $G124, NewEmisData!$B:$B, $A124, NewEmisData!$C:$C, $H124, NewEmisData!$D:$D, BD$6)</f>
        <v>6.4469512004217897E-2</v>
      </c>
      <c r="BE124" s="1111">
        <f>SUMIFS(NewEmisData!H:H, NewEmisData!$A:$A, $G124, NewEmisData!$B:$B, $A124, NewEmisData!$C:$C, $H124, NewEmisData!$D:$D, BE$6)</f>
        <v>6.4953004497474306E-2</v>
      </c>
      <c r="BF124" s="1111">
        <f>SUMIFS(NewEmisData!I:I, NewEmisData!$A:$A, $G124, NewEmisData!$B:$B, $A124, NewEmisData!$C:$C, $H124, NewEmisData!$D:$D, BF$6)</f>
        <v>6.4775649878007102E-2</v>
      </c>
      <c r="BG124" s="1111">
        <f>SUMIFS(NewEmisData!J:J, NewEmisData!$A:$A, $G124, NewEmisData!$B:$B, $A124, NewEmisData!$C:$C, $H124, NewEmisData!$D:$D, BG$6)</f>
        <v>6.47760539269156E-2</v>
      </c>
      <c r="BH124" s="1111">
        <f>SUMIFS(NewEmisData!K:K, NewEmisData!$A:$A, $G124, NewEmisData!$B:$B, $A124, NewEmisData!$C:$C, $H124, NewEmisData!$D:$D, BH$6)</f>
        <v>6.4734528287637996E-2</v>
      </c>
      <c r="BI124" s="1111">
        <f>SUMIFS(NewEmisData!L:L, NewEmisData!$A:$A, $G124, NewEmisData!$B:$B, $A124, NewEmisData!$C:$C, $H124, NewEmisData!$D:$D, BI$6)</f>
        <v>6.4726820425011405E-2</v>
      </c>
      <c r="BJ124" s="1111">
        <f>SUMIFS(NewEmisData!M:M, NewEmisData!$A:$A, $G124, NewEmisData!$B:$B, $A124, NewEmisData!$C:$C, $H124, NewEmisData!$D:$D, BJ$6)</f>
        <v>6.4751218981503003E-2</v>
      </c>
      <c r="BK124" s="1111">
        <f t="shared" si="210"/>
        <v>6.4751218981503003E-2</v>
      </c>
      <c r="BL124" s="1111">
        <f t="shared" si="211"/>
        <v>0</v>
      </c>
      <c r="BM124" s="1111">
        <f>SUMIFS(NewEmisData!E:E, NewEmisData!$A:$A, $G124, NewEmisData!$B:$B, $A124, NewEmisData!$C:$C, $H124, NewEmisData!$D:$D, BM$6)</f>
        <v>0</v>
      </c>
      <c r="BN124" s="1111">
        <f>SUMIFS(NewEmisData!F:F, NewEmisData!$A:$A, $G124, NewEmisData!$B:$B, $A124, NewEmisData!$C:$C, $H124, NewEmisData!$D:$D, BN$6)</f>
        <v>0</v>
      </c>
      <c r="BO124" s="1111">
        <f>SUMIFS(NewEmisData!G:G, NewEmisData!$A:$A, $G124, NewEmisData!$B:$B, $A124, NewEmisData!$C:$C, $H124, NewEmisData!$D:$D, BO$6)</f>
        <v>0</v>
      </c>
      <c r="BP124" s="1111">
        <f>SUMIFS(NewEmisData!H:H, NewEmisData!$A:$A, $G124, NewEmisData!$B:$B, $A124, NewEmisData!$C:$C, $H124, NewEmisData!$D:$D, BP$6)</f>
        <v>0</v>
      </c>
      <c r="BQ124" s="1111">
        <f>SUMIFS(NewEmisData!I:I, NewEmisData!$A:$A, $G124, NewEmisData!$B:$B, $A124, NewEmisData!$C:$C, $H124, NewEmisData!$D:$D, BQ$6)</f>
        <v>0</v>
      </c>
      <c r="BR124" s="1111">
        <f>SUMIFS(NewEmisData!J:J, NewEmisData!$A:$A, $G124, NewEmisData!$B:$B, $A124, NewEmisData!$C:$C, $H124, NewEmisData!$D:$D, BR$6)</f>
        <v>0</v>
      </c>
      <c r="BS124" s="1111">
        <f>SUMIFS(NewEmisData!K:K, NewEmisData!$A:$A, $G124, NewEmisData!$B:$B, $A124, NewEmisData!$C:$C, $H124, NewEmisData!$D:$D, BS$6)</f>
        <v>0</v>
      </c>
      <c r="BT124" s="1111">
        <f>SUMIFS(NewEmisData!L:L, NewEmisData!$A:$A, $G124, NewEmisData!$B:$B, $A124, NewEmisData!$C:$C, $H124, NewEmisData!$D:$D, BT$6)</f>
        <v>0</v>
      </c>
      <c r="BU124" s="1111">
        <f>SUMIFS(NewEmisData!M:M, NewEmisData!$A:$A, $G124, NewEmisData!$B:$B, $A124, NewEmisData!$C:$C, $H124, NewEmisData!$D:$D, BU$6)</f>
        <v>0</v>
      </c>
      <c r="BV124" s="1111">
        <f t="shared" si="212"/>
        <v>0</v>
      </c>
      <c r="BW124" s="1111">
        <f t="shared" si="213"/>
        <v>0</v>
      </c>
      <c r="BX124" s="1111">
        <f>SUMIFS(NewEmisData!E:E, NewEmisData!$A:$A, $G124, NewEmisData!$B:$B, $A124, NewEmisData!$C:$C, $H124, NewEmisData!$D:$D, BX$6)</f>
        <v>0</v>
      </c>
      <c r="BY124" s="1111">
        <f>SUMIFS(NewEmisData!F:F, NewEmisData!$A:$A, $G124, NewEmisData!$B:$B, $A124, NewEmisData!$C:$C, $H124, NewEmisData!$D:$D, BY$6)</f>
        <v>0</v>
      </c>
      <c r="BZ124" s="1111">
        <f>SUMIFS(NewEmisData!G:G, NewEmisData!$A:$A, $G124, NewEmisData!$B:$B, $A124, NewEmisData!$C:$C, $H124, NewEmisData!$D:$D, BZ$6)</f>
        <v>0</v>
      </c>
      <c r="CA124" s="1111">
        <f>SUMIFS(NewEmisData!H:H, NewEmisData!$A:$A, $G124, NewEmisData!$B:$B, $A124, NewEmisData!$C:$C, $H124, NewEmisData!$D:$D, CA$6)</f>
        <v>0</v>
      </c>
      <c r="CB124" s="1111">
        <f>SUMIFS(NewEmisData!I:I, NewEmisData!$A:$A, $G124, NewEmisData!$B:$B, $A124, NewEmisData!$C:$C, $H124, NewEmisData!$D:$D, CB$6)</f>
        <v>0</v>
      </c>
      <c r="CC124" s="1111">
        <f>SUMIFS(NewEmisData!J:J, NewEmisData!$A:$A, $G124, NewEmisData!$B:$B, $A124, NewEmisData!$C:$C, $H124, NewEmisData!$D:$D, CC$6)</f>
        <v>0</v>
      </c>
      <c r="CD124" s="1111">
        <f>SUMIFS(NewEmisData!K:K, NewEmisData!$A:$A, $G124, NewEmisData!$B:$B, $A124, NewEmisData!$C:$C, $H124, NewEmisData!$D:$D, CD$6)</f>
        <v>0</v>
      </c>
      <c r="CE124" s="1111">
        <f>SUMIFS(NewEmisData!L:L, NewEmisData!$A:$A, $G124, NewEmisData!$B:$B, $A124, NewEmisData!$C:$C, $H124, NewEmisData!$D:$D, CE$6)</f>
        <v>0</v>
      </c>
      <c r="CF124" s="1111">
        <f>SUMIFS(NewEmisData!M:M, NewEmisData!$A:$A, $G124, NewEmisData!$B:$B, $A124, NewEmisData!$C:$C, $H124, NewEmisData!$D:$D, CF$6)</f>
        <v>0</v>
      </c>
      <c r="CG124" s="1111">
        <f t="shared" si="214"/>
        <v>0</v>
      </c>
      <c r="CH124" s="1111">
        <f t="shared" si="215"/>
        <v>0</v>
      </c>
      <c r="CI124" s="1111">
        <f>SUMIFS(NewEmisData!E:E, NewEmisData!$A:$A, $G124, NewEmisData!$B:$B, $A124, NewEmisData!$C:$C, $H124, NewEmisData!$D:$D, CI$6)</f>
        <v>0</v>
      </c>
      <c r="CJ124" s="1111">
        <f>SUMIFS(NewEmisData!F:F, NewEmisData!$A:$A, $G124, NewEmisData!$B:$B, $A124, NewEmisData!$C:$C, $H124, NewEmisData!$D:$D, CJ$6)</f>
        <v>0</v>
      </c>
      <c r="CK124" s="1111">
        <f>SUMIFS(NewEmisData!G:G, NewEmisData!$A:$A, $G124, NewEmisData!$B:$B, $A124, NewEmisData!$C:$C, $H124, NewEmisData!$D:$D, CK$6)</f>
        <v>0</v>
      </c>
      <c r="CL124" s="1111">
        <f>SUMIFS(NewEmisData!H:H, NewEmisData!$A:$A, $G124, NewEmisData!$B:$B, $A124, NewEmisData!$C:$C, $H124, NewEmisData!$D:$D, CL$6)</f>
        <v>0</v>
      </c>
      <c r="CM124" s="1111">
        <f>SUMIFS(NewEmisData!I:I, NewEmisData!$A:$A, $G124, NewEmisData!$B:$B, $A124, NewEmisData!$C:$C, $H124, NewEmisData!$D:$D, CM$6)</f>
        <v>0</v>
      </c>
      <c r="CN124" s="1111">
        <f>SUMIFS(NewEmisData!J:J, NewEmisData!$A:$A, $G124, NewEmisData!$B:$B, $A124, NewEmisData!$C:$C, $H124, NewEmisData!$D:$D, CN$6)</f>
        <v>0</v>
      </c>
      <c r="CO124" s="1111">
        <f>SUMIFS(NewEmisData!K:K, NewEmisData!$A:$A, $G124, NewEmisData!$B:$B, $A124, NewEmisData!$C:$C, $H124, NewEmisData!$D:$D, CO$6)</f>
        <v>0</v>
      </c>
      <c r="CP124" s="1111">
        <f>SUMIFS(NewEmisData!L:L, NewEmisData!$A:$A, $G124, NewEmisData!$B:$B, $A124, NewEmisData!$C:$C, $H124, NewEmisData!$D:$D, CP$6)</f>
        <v>0</v>
      </c>
      <c r="CQ124" s="1111">
        <f>SUMIFS(NewEmisData!M:M, NewEmisData!$A:$A, $G124, NewEmisData!$B:$B, $A124, NewEmisData!$C:$C, $H124, NewEmisData!$D:$D, CQ$6)</f>
        <v>0</v>
      </c>
      <c r="CR124" s="1111">
        <f t="shared" si="216"/>
        <v>0</v>
      </c>
      <c r="CS124" s="1111">
        <f t="shared" si="217"/>
        <v>0</v>
      </c>
      <c r="CT124" s="1111">
        <f>SUMIFS(NewEmisData!E:E, NewEmisData!$A:$A, $G124, NewEmisData!$B:$B, $A124, NewEmisData!$C:$C, $H124, NewEmisData!$D:$D, CT$6)</f>
        <v>0</v>
      </c>
      <c r="CU124" s="1111">
        <f>SUMIFS(NewEmisData!F:F, NewEmisData!$A:$A, $G124, NewEmisData!$B:$B, $A124, NewEmisData!$C:$C, $H124, NewEmisData!$D:$D, CU$6)</f>
        <v>0</v>
      </c>
      <c r="CV124" s="1111">
        <f>SUMIFS(NewEmisData!G:G, NewEmisData!$A:$A, $G124, NewEmisData!$B:$B, $A124, NewEmisData!$C:$C, $H124, NewEmisData!$D:$D, CV$6)</f>
        <v>0</v>
      </c>
      <c r="CW124" s="1111">
        <f>SUMIFS(NewEmisData!H:H, NewEmisData!$A:$A, $G124, NewEmisData!$B:$B, $A124, NewEmisData!$C:$C, $H124, NewEmisData!$D:$D, CW$6)</f>
        <v>0</v>
      </c>
      <c r="CX124" s="1111">
        <f>SUMIFS(NewEmisData!I:I, NewEmisData!$A:$A, $G124, NewEmisData!$B:$B, $A124, NewEmisData!$C:$C, $H124, NewEmisData!$D:$D, CX$6)</f>
        <v>0</v>
      </c>
      <c r="CY124" s="1111">
        <f>SUMIFS(NewEmisData!J:J, NewEmisData!$A:$A, $G124, NewEmisData!$B:$B, $A124, NewEmisData!$C:$C, $H124, NewEmisData!$D:$D, CY$6)</f>
        <v>0</v>
      </c>
      <c r="CZ124" s="1111">
        <f>SUMIFS(NewEmisData!K:K, NewEmisData!$A:$A, $G124, NewEmisData!$B:$B, $A124, NewEmisData!$C:$C, $H124, NewEmisData!$D:$D, CZ$6)</f>
        <v>0</v>
      </c>
      <c r="DA124" s="1111">
        <f>SUMIFS(NewEmisData!L:L, NewEmisData!$A:$A, $G124, NewEmisData!$B:$B, $A124, NewEmisData!$C:$C, $H124, NewEmisData!$D:$D, DA$6)</f>
        <v>0</v>
      </c>
      <c r="DB124" s="1111">
        <f>SUMIFS(NewEmisData!M:M, NewEmisData!$A:$A, $G124, NewEmisData!$B:$B, $A124, NewEmisData!$C:$C, $H124, NewEmisData!$D:$D, DB$6)</f>
        <v>0</v>
      </c>
      <c r="DC124" s="1111">
        <f t="shared" si="188"/>
        <v>0</v>
      </c>
      <c r="DD124" s="1072"/>
      <c r="DE124" s="1072"/>
      <c r="DF124" s="1072"/>
      <c r="DG124" s="1072"/>
      <c r="DH124" s="1072"/>
      <c r="DI124" s="1072"/>
      <c r="DJ124" s="1072"/>
      <c r="DK124" s="1072"/>
      <c r="DL124" s="1072"/>
      <c r="DM124" s="1072"/>
      <c r="DN124" s="1072"/>
      <c r="DO124" s="1072"/>
      <c r="DP124" s="1072"/>
      <c r="DQ124" s="1072"/>
      <c r="DR124" s="1072"/>
      <c r="DS124" s="1072"/>
      <c r="DT124" s="1072"/>
      <c r="DU124" s="1072"/>
      <c r="DV124" s="1072"/>
      <c r="DW124" s="1072"/>
      <c r="DX124" s="1072"/>
      <c r="DY124" s="1072"/>
      <c r="DZ124" s="1111">
        <f t="shared" si="189"/>
        <v>0</v>
      </c>
      <c r="EA124" s="1111">
        <f>SUMIFS(NewEmisData!E:E, NewEmisData!$A:$A, $G124, NewEmisData!$B:$B, $A124, NewEmisData!$C:$C, $H124, NewEmisData!$D:$D, EA$6)</f>
        <v>0</v>
      </c>
      <c r="EB124" s="1111">
        <f>SUMIFS(NewEmisData!F:F, NewEmisData!$A:$A, $G124, NewEmisData!$B:$B, $A124, NewEmisData!$C:$C, $H124, NewEmisData!$D:$D, EB$6)</f>
        <v>0</v>
      </c>
      <c r="EC124" s="1111">
        <f>SUMIFS(NewEmisData!G:G, NewEmisData!$A:$A, $G124, NewEmisData!$B:$B, $A124, NewEmisData!$C:$C, $H124, NewEmisData!$D:$D, EC$6)</f>
        <v>0</v>
      </c>
      <c r="ED124" s="1111">
        <f>SUMIFS(NewEmisData!H:H, NewEmisData!$A:$A, $G124, NewEmisData!$B:$B, $A124, NewEmisData!$C:$C, $H124, NewEmisData!$D:$D, ED$6)</f>
        <v>0</v>
      </c>
      <c r="EE124" s="1111">
        <f>SUMIFS(NewEmisData!I:I, NewEmisData!$A:$A, $G124, NewEmisData!$B:$B, $A124, NewEmisData!$C:$C, $H124, NewEmisData!$D:$D, EE$6)</f>
        <v>0</v>
      </c>
      <c r="EF124" s="1111">
        <f>SUMIFS(NewEmisData!J:J, NewEmisData!$A:$A, $G124, NewEmisData!$B:$B, $A124, NewEmisData!$C:$C, $H124, NewEmisData!$D:$D, EF$6)</f>
        <v>0</v>
      </c>
      <c r="EG124" s="1111">
        <f>SUMIFS(NewEmisData!K:K, NewEmisData!$A:$A, $G124, NewEmisData!$B:$B, $A124, NewEmisData!$C:$C, $H124, NewEmisData!$D:$D, EG$6)</f>
        <v>0</v>
      </c>
      <c r="EH124" s="1111">
        <f>SUMIFS(NewEmisData!L:L, NewEmisData!$A:$A, $G124, NewEmisData!$B:$B, $A124, NewEmisData!$C:$C, $H124, NewEmisData!$D:$D, EH$6)</f>
        <v>0</v>
      </c>
      <c r="EI124" s="1111">
        <f>SUMIFS(NewEmisData!M:M, NewEmisData!$A:$A, $G124, NewEmisData!$B:$B, $A124, NewEmisData!$C:$C, $H124, NewEmisData!$D:$D, EI$6)</f>
        <v>0</v>
      </c>
      <c r="EJ124" s="1111">
        <f t="shared" si="218"/>
        <v>0</v>
      </c>
      <c r="EK124" s="1111">
        <f t="shared" si="219"/>
        <v>0</v>
      </c>
      <c r="EL124" s="1111">
        <f t="shared" si="154"/>
        <v>0</v>
      </c>
      <c r="EM124" s="1111">
        <f t="shared" si="155"/>
        <v>0</v>
      </c>
      <c r="EN124" s="1111">
        <f t="shared" si="156"/>
        <v>0</v>
      </c>
      <c r="EO124" s="1111">
        <f t="shared" si="157"/>
        <v>0</v>
      </c>
      <c r="EP124" s="1111">
        <f t="shared" si="158"/>
        <v>0</v>
      </c>
      <c r="EQ124" s="1111">
        <f t="shared" si="159"/>
        <v>0</v>
      </c>
      <c r="ER124" s="1111">
        <f t="shared" si="160"/>
        <v>0</v>
      </c>
      <c r="ES124" s="1111">
        <f t="shared" si="161"/>
        <v>0</v>
      </c>
      <c r="ET124" s="1111">
        <f t="shared" si="162"/>
        <v>0</v>
      </c>
      <c r="EU124" s="1111">
        <f t="shared" si="220"/>
        <v>0</v>
      </c>
      <c r="EV124" s="1111">
        <f t="shared" si="221"/>
        <v>0</v>
      </c>
      <c r="EW124" s="1111">
        <f t="shared" si="144"/>
        <v>0</v>
      </c>
      <c r="EX124" s="1111">
        <f t="shared" si="145"/>
        <v>0</v>
      </c>
      <c r="EY124" s="1111">
        <f t="shared" si="146"/>
        <v>0</v>
      </c>
      <c r="EZ124" s="1111">
        <f t="shared" si="147"/>
        <v>0</v>
      </c>
      <c r="FA124" s="1111">
        <f t="shared" si="148"/>
        <v>0</v>
      </c>
      <c r="FB124" s="1111">
        <f t="shared" si="149"/>
        <v>0</v>
      </c>
      <c r="FC124" s="1111">
        <f t="shared" si="150"/>
        <v>0</v>
      </c>
      <c r="FD124" s="1111">
        <f t="shared" si="151"/>
        <v>0</v>
      </c>
      <c r="FE124" s="1111">
        <f t="shared" si="152"/>
        <v>0</v>
      </c>
      <c r="FF124" s="1111">
        <f t="shared" si="222"/>
        <v>0</v>
      </c>
      <c r="FG124" s="1111">
        <f t="shared" si="223"/>
        <v>0</v>
      </c>
      <c r="FH124" s="1111">
        <f t="shared" si="194"/>
        <v>0</v>
      </c>
      <c r="FI124" s="1111">
        <f t="shared" si="195"/>
        <v>0</v>
      </c>
      <c r="FJ124" s="1111">
        <f t="shared" si="196"/>
        <v>0</v>
      </c>
      <c r="FK124" s="1111">
        <f t="shared" si="197"/>
        <v>0</v>
      </c>
      <c r="FL124" s="1111">
        <f t="shared" si="198"/>
        <v>0</v>
      </c>
      <c r="FM124" s="1111">
        <f t="shared" si="199"/>
        <v>0</v>
      </c>
      <c r="FN124" s="1111">
        <f t="shared" si="200"/>
        <v>0</v>
      </c>
      <c r="FO124" s="1111">
        <f t="shared" si="201"/>
        <v>0</v>
      </c>
      <c r="FP124" s="1111">
        <f t="shared" si="202"/>
        <v>0</v>
      </c>
      <c r="FQ124" s="1111">
        <f t="shared" si="224"/>
        <v>0</v>
      </c>
      <c r="FR124" s="1111">
        <f t="shared" si="225"/>
        <v>0.42175676585306598</v>
      </c>
      <c r="FS124" s="1111">
        <f t="shared" si="134"/>
        <v>0.42175676585306598</v>
      </c>
      <c r="FT124" s="1111">
        <f t="shared" si="135"/>
        <v>0.43517840504438499</v>
      </c>
      <c r="FU124" s="1111">
        <f t="shared" si="136"/>
        <v>0.50970790083352402</v>
      </c>
      <c r="FV124" s="1111">
        <f t="shared" si="137"/>
        <v>0.51352269848712295</v>
      </c>
      <c r="FW124" s="1111">
        <f t="shared" si="138"/>
        <v>0.51212256625965602</v>
      </c>
      <c r="FX124" s="1111">
        <f t="shared" si="139"/>
        <v>0.51212505147673304</v>
      </c>
      <c r="FY124" s="1111">
        <f t="shared" si="140"/>
        <v>0.51179734485630801</v>
      </c>
      <c r="FZ124" s="1111">
        <f t="shared" si="141"/>
        <v>0.511736478760355</v>
      </c>
      <c r="GA124" s="1111">
        <f t="shared" si="142"/>
        <v>0.51192886078591404</v>
      </c>
      <c r="GB124" s="1111">
        <f t="shared" si="226"/>
        <v>0.51192886078591404</v>
      </c>
      <c r="GC124" s="1111">
        <f t="shared" si="227"/>
        <v>5.3393543099946997E-2</v>
      </c>
      <c r="GD124" s="1111">
        <f t="shared" si="165"/>
        <v>5.3393543099946997E-2</v>
      </c>
      <c r="GE124" s="1111">
        <f t="shared" si="166"/>
        <v>5.5094294483151E-2</v>
      </c>
      <c r="GF124" s="1111">
        <f t="shared" si="167"/>
        <v>6.4469512004217897E-2</v>
      </c>
      <c r="GG124" s="1111">
        <f t="shared" si="168"/>
        <v>6.4953004497474306E-2</v>
      </c>
      <c r="GH124" s="1111">
        <f t="shared" si="169"/>
        <v>6.4775649878007102E-2</v>
      </c>
      <c r="GI124" s="1111">
        <f t="shared" si="170"/>
        <v>6.47760539269156E-2</v>
      </c>
      <c r="GJ124" s="1111">
        <f t="shared" si="171"/>
        <v>6.4734528287637996E-2</v>
      </c>
      <c r="GK124" s="1111">
        <f t="shared" si="172"/>
        <v>6.4726820425011405E-2</v>
      </c>
      <c r="GL124" s="1111">
        <f t="shared" si="173"/>
        <v>6.4751218981503003E-2</v>
      </c>
      <c r="GM124" s="1111">
        <f t="shared" si="174"/>
        <v>6.4751218981503003E-2</v>
      </c>
    </row>
    <row r="125" spans="1:195" s="265" customFormat="1" x14ac:dyDescent="0.2">
      <c r="A125" s="1071" t="s">
        <v>188</v>
      </c>
      <c r="B125" s="1071" t="s">
        <v>235</v>
      </c>
      <c r="C125" s="1071" t="s">
        <v>236</v>
      </c>
      <c r="D125" s="1071" t="str">
        <f>NewTech!D34</f>
        <v>bn-vmt, bn-vmt/a</v>
      </c>
      <c r="E125" s="1071" t="str">
        <f>NewTech!E34</f>
        <v>TRNELC</v>
      </c>
      <c r="F125" s="1071" t="str">
        <f>NewTech!F34</f>
        <v>TB</v>
      </c>
      <c r="G125" s="1115" t="s">
        <v>498</v>
      </c>
      <c r="H125" s="1113" t="s">
        <v>1961</v>
      </c>
      <c r="I125" s="1113">
        <v>1</v>
      </c>
      <c r="J125" s="1113" t="str">
        <f t="shared" si="228"/>
        <v>Bus-ELC</v>
      </c>
      <c r="K125" s="1111">
        <f>SUMIFS(NewEmisData!E:E, NewEmisData!$A:$A, $G125, NewEmisData!$B:$B, $A125, NewEmisData!$C:$C, $H125, NewEmisData!$D:$D, K$6)</f>
        <v>0</v>
      </c>
      <c r="L125" s="1111">
        <f>SUMIFS(NewEmisData!F:F, NewEmisData!$A:$A, $G125, NewEmisData!$B:$B, $A125, NewEmisData!$C:$C, $H125, NewEmisData!$D:$D, L$6)</f>
        <v>0</v>
      </c>
      <c r="M125" s="1111">
        <f>SUMIFS(NewEmisData!G:G, NewEmisData!$A:$A, $G125, NewEmisData!$B:$B, $A125, NewEmisData!$C:$C, $H125, NewEmisData!$D:$D, M$6)</f>
        <v>0</v>
      </c>
      <c r="N125" s="1111">
        <f>SUMIFS(NewEmisData!H:H, NewEmisData!$A:$A, $G125, NewEmisData!$B:$B, $A125, NewEmisData!$C:$C, $H125, NewEmisData!$D:$D, N$6)</f>
        <v>0</v>
      </c>
      <c r="O125" s="1111">
        <f>SUMIFS(NewEmisData!I:I, NewEmisData!$A:$A, $G125, NewEmisData!$B:$B, $A125, NewEmisData!$C:$C, $H125, NewEmisData!$D:$D, O$6)</f>
        <v>0</v>
      </c>
      <c r="P125" s="1111">
        <f>SUMIFS(NewEmisData!J:J, NewEmisData!$A:$A, $G125, NewEmisData!$B:$B, $A125, NewEmisData!$C:$C, $H125, NewEmisData!$D:$D, P$6)</f>
        <v>0</v>
      </c>
      <c r="Q125" s="1111">
        <f>SUMIFS(NewEmisData!K:K, NewEmisData!$A:$A, $G125, NewEmisData!$B:$B, $A125, NewEmisData!$C:$C, $H125, NewEmisData!$D:$D, Q$6)</f>
        <v>0</v>
      </c>
      <c r="R125" s="1111">
        <f>SUMIFS(NewEmisData!L:L, NewEmisData!$A:$A, $G125, NewEmisData!$B:$B, $A125, NewEmisData!$C:$C, $H125, NewEmisData!$D:$D, R$6)</f>
        <v>0</v>
      </c>
      <c r="S125" s="1111">
        <f>SUMIFS(NewEmisData!M:M, NewEmisData!$A:$A, $G125, NewEmisData!$B:$B, $A125, NewEmisData!$C:$C, $H125, NewEmisData!$D:$D, S$6)</f>
        <v>0</v>
      </c>
      <c r="T125" s="1111">
        <f t="shared" si="131"/>
        <v>0</v>
      </c>
      <c r="U125" s="1111">
        <f>SUMIFS(NewEmisData!E:E, NewEmisData!$A:$A, $G125, NewEmisData!$B:$B, $A125, NewEmisData!$C:$C, $H125, NewEmisData!$D:$D, U$6)</f>
        <v>0</v>
      </c>
      <c r="V125" s="1111">
        <f>SUMIFS(NewEmisData!F:F, NewEmisData!$A:$A, $G125, NewEmisData!$B:$B, $A125, NewEmisData!$C:$C, $H125, NewEmisData!$D:$D, V$6)</f>
        <v>0</v>
      </c>
      <c r="W125" s="1111">
        <f>SUMIFS(NewEmisData!G:G, NewEmisData!$A:$A, $G125, NewEmisData!$B:$B, $A125, NewEmisData!$C:$C, $H125, NewEmisData!$D:$D, W$6)</f>
        <v>0</v>
      </c>
      <c r="X125" s="1111">
        <f>SUMIFS(NewEmisData!H:H, NewEmisData!$A:$A, $G125, NewEmisData!$B:$B, $A125, NewEmisData!$C:$C, $H125, NewEmisData!$D:$D, X$6)</f>
        <v>0</v>
      </c>
      <c r="Y125" s="1111">
        <f>SUMIFS(NewEmisData!I:I, NewEmisData!$A:$A, $G125, NewEmisData!$B:$B, $A125, NewEmisData!$C:$C, $H125, NewEmisData!$D:$D, Y$6)</f>
        <v>0</v>
      </c>
      <c r="Z125" s="1111">
        <f>SUMIFS(NewEmisData!J:J, NewEmisData!$A:$A, $G125, NewEmisData!$B:$B, $A125, NewEmisData!$C:$C, $H125, NewEmisData!$D:$D, Z$6)</f>
        <v>0</v>
      </c>
      <c r="AA125" s="1111">
        <f>SUMIFS(NewEmisData!K:K, NewEmisData!$A:$A, $G125, NewEmisData!$B:$B, $A125, NewEmisData!$C:$C, $H125, NewEmisData!$D:$D, AA$6)</f>
        <v>0</v>
      </c>
      <c r="AB125" s="1111">
        <f>SUMIFS(NewEmisData!L:L, NewEmisData!$A:$A, $G125, NewEmisData!$B:$B, $A125, NewEmisData!$C:$C, $H125, NewEmisData!$D:$D, AB$6)</f>
        <v>0</v>
      </c>
      <c r="AC125" s="1111">
        <f>SUMIFS(NewEmisData!M:M, NewEmisData!$A:$A, $G125, NewEmisData!$B:$B, $A125, NewEmisData!$C:$C, $H125, NewEmisData!$D:$D, AC$6)</f>
        <v>0</v>
      </c>
      <c r="AD125" s="1111">
        <f t="shared" si="204"/>
        <v>0</v>
      </c>
      <c r="AE125" s="1111">
        <f t="shared" si="205"/>
        <v>0</v>
      </c>
      <c r="AF125" s="1111">
        <f>SUMIFS(NewEmisData!E:E, NewEmisData!$A:$A, $G125, NewEmisData!$B:$B, $A125, NewEmisData!$C:$C, $H125, NewEmisData!$D:$D, AF$6)</f>
        <v>0</v>
      </c>
      <c r="AG125" s="1111">
        <f>SUMIFS(NewEmisData!F:F, NewEmisData!$A:$A, $G125, NewEmisData!$B:$B, $A125, NewEmisData!$C:$C, $H125, NewEmisData!$D:$D, AG$6)</f>
        <v>0</v>
      </c>
      <c r="AH125" s="1111">
        <f>SUMIFS(NewEmisData!G:G, NewEmisData!$A:$A, $G125, NewEmisData!$B:$B, $A125, NewEmisData!$C:$C, $H125, NewEmisData!$D:$D, AH$6)</f>
        <v>0</v>
      </c>
      <c r="AI125" s="1111">
        <f>SUMIFS(NewEmisData!H:H, NewEmisData!$A:$A, $G125, NewEmisData!$B:$B, $A125, NewEmisData!$C:$C, $H125, NewEmisData!$D:$D, AI$6)</f>
        <v>0</v>
      </c>
      <c r="AJ125" s="1111">
        <f>SUMIFS(NewEmisData!I:I, NewEmisData!$A:$A, $G125, NewEmisData!$B:$B, $A125, NewEmisData!$C:$C, $H125, NewEmisData!$D:$D, AJ$6)</f>
        <v>0</v>
      </c>
      <c r="AK125" s="1111">
        <f>SUMIFS(NewEmisData!J:J, NewEmisData!$A:$A, $G125, NewEmisData!$B:$B, $A125, NewEmisData!$C:$C, $H125, NewEmisData!$D:$D, AK$6)</f>
        <v>0</v>
      </c>
      <c r="AL125" s="1111">
        <f>SUMIFS(NewEmisData!K:K, NewEmisData!$A:$A, $G125, NewEmisData!$B:$B, $A125, NewEmisData!$C:$C, $H125, NewEmisData!$D:$D, AL$6)</f>
        <v>0</v>
      </c>
      <c r="AM125" s="1111">
        <f>SUMIFS(NewEmisData!L:L, NewEmisData!$A:$A, $G125, NewEmisData!$B:$B, $A125, NewEmisData!$C:$C, $H125, NewEmisData!$D:$D, AM$6)</f>
        <v>0</v>
      </c>
      <c r="AN125" s="1111">
        <f>SUMIFS(NewEmisData!M:M, NewEmisData!$A:$A, $G125, NewEmisData!$B:$B, $A125, NewEmisData!$C:$C, $H125, NewEmisData!$D:$D, AN$6)</f>
        <v>0</v>
      </c>
      <c r="AO125" s="1111">
        <f t="shared" si="206"/>
        <v>0</v>
      </c>
      <c r="AP125" s="1111">
        <f t="shared" si="207"/>
        <v>0.26609837446963602</v>
      </c>
      <c r="AQ125" s="1111">
        <f>SUMIFS(NewEmisData!E:E, NewEmisData!$A:$A, $G125, NewEmisData!$B:$B, $A125, NewEmisData!$C:$C, $H125, NewEmisData!$D:$D, AQ$6)</f>
        <v>0.26609837446963602</v>
      </c>
      <c r="AR125" s="1111">
        <f>SUMIFS(NewEmisData!F:F, NewEmisData!$A:$A, $G125, NewEmisData!$B:$B, $A125, NewEmisData!$C:$C, $H125, NewEmisData!$D:$D, AR$6)</f>
        <v>0.29828742924158202</v>
      </c>
      <c r="AS125" s="1111">
        <f>SUMIFS(NewEmisData!G:G, NewEmisData!$A:$A, $G125, NewEmisData!$B:$B, $A125, NewEmisData!$C:$C, $H125, NewEmisData!$D:$D, AS$6)</f>
        <v>0.24180634195228201</v>
      </c>
      <c r="AT125" s="1111">
        <f>SUMIFS(NewEmisData!H:H, NewEmisData!$A:$A, $G125, NewEmisData!$B:$B, $A125, NewEmisData!$C:$C, $H125, NewEmisData!$D:$D, AT$6)</f>
        <v>0.24203383224433</v>
      </c>
      <c r="AU125" s="1111">
        <f>SUMIFS(NewEmisData!I:I, NewEmisData!$A:$A, $G125, NewEmisData!$B:$B, $A125, NewEmisData!$C:$C, $H125, NewEmisData!$D:$D, AU$6)</f>
        <v>0.23631101867526899</v>
      </c>
      <c r="AV125" s="1111">
        <f>SUMIFS(NewEmisData!J:J, NewEmisData!$A:$A, $G125, NewEmisData!$B:$B, $A125, NewEmisData!$C:$C, $H125, NewEmisData!$D:$D, AV$6)</f>
        <v>0.23305619261729901</v>
      </c>
      <c r="AW125" s="1111">
        <f>SUMIFS(NewEmisData!K:K, NewEmisData!$A:$A, $G125, NewEmisData!$B:$B, $A125, NewEmisData!$C:$C, $H125, NewEmisData!$D:$D, AW$6)</f>
        <v>0.23267534537673201</v>
      </c>
      <c r="AX125" s="1111">
        <f>SUMIFS(NewEmisData!L:L, NewEmisData!$A:$A, $G125, NewEmisData!$B:$B, $A125, NewEmisData!$C:$C, $H125, NewEmisData!$D:$D, AX$6)</f>
        <v>0.23258222150893701</v>
      </c>
      <c r="AY125" s="1111">
        <f>SUMIFS(NewEmisData!M:M, NewEmisData!$A:$A, $G125, NewEmisData!$B:$B, $A125, NewEmisData!$C:$C, $H125, NewEmisData!$D:$D, AY$6)</f>
        <v>0.23257562070655799</v>
      </c>
      <c r="AZ125" s="1111">
        <f t="shared" si="208"/>
        <v>0.23257562070655799</v>
      </c>
      <c r="BA125" s="1111">
        <f t="shared" si="209"/>
        <v>3.39041360720201E-2</v>
      </c>
      <c r="BB125" s="1111">
        <f>SUMIFS(NewEmisData!E:E, NewEmisData!$A:$A, $G125, NewEmisData!$B:$B, $A125, NewEmisData!$C:$C, $H125, NewEmisData!$D:$D, BB$6)</f>
        <v>3.39041360720201E-2</v>
      </c>
      <c r="BC125" s="1111">
        <f>SUMIFS(NewEmisData!F:F, NewEmisData!$A:$A, $G125, NewEmisData!$B:$B, $A125, NewEmisData!$C:$C, $H125, NewEmisData!$D:$D, BC$6)</f>
        <v>3.7988698940976597E-2</v>
      </c>
      <c r="BD125" s="1111">
        <f>SUMIFS(NewEmisData!G:G, NewEmisData!$A:$A, $G125, NewEmisData!$B:$B, $A125, NewEmisData!$C:$C, $H125, NewEmisData!$D:$D, BD$6)</f>
        <v>3.0842350094186399E-2</v>
      </c>
      <c r="BE125" s="1111">
        <f>SUMIFS(NewEmisData!H:H, NewEmisData!$A:$A, $G125, NewEmisData!$B:$B, $A125, NewEmisData!$C:$C, $H125, NewEmisData!$D:$D, BE$6)</f>
        <v>3.0871349930260399E-2</v>
      </c>
      <c r="BF125" s="1111">
        <f>SUMIFS(NewEmisData!I:I, NewEmisData!$A:$A, $G125, NewEmisData!$B:$B, $A125, NewEmisData!$C:$C, $H125, NewEmisData!$D:$D, BF$6)</f>
        <v>3.01430706580075E-2</v>
      </c>
      <c r="BG125" s="1111">
        <f>SUMIFS(NewEmisData!J:J, NewEmisData!$A:$A, $G125, NewEmisData!$B:$B, $A125, NewEmisData!$C:$C, $H125, NewEmisData!$D:$D, BG$6)</f>
        <v>2.9728868560829201E-2</v>
      </c>
      <c r="BH125" s="1111">
        <f>SUMIFS(NewEmisData!K:K, NewEmisData!$A:$A, $G125, NewEmisData!$B:$B, $A125, NewEmisData!$C:$C, $H125, NewEmisData!$D:$D, BH$6)</f>
        <v>2.9680394257018201E-2</v>
      </c>
      <c r="BI125" s="1111">
        <f>SUMIFS(NewEmisData!L:L, NewEmisData!$A:$A, $G125, NewEmisData!$B:$B, $A125, NewEmisData!$C:$C, $H125, NewEmisData!$D:$D, BI$6)</f>
        <v>2.96685557997696E-2</v>
      </c>
      <c r="BJ125" s="1111">
        <f>SUMIFS(NewEmisData!M:M, NewEmisData!$A:$A, $G125, NewEmisData!$B:$B, $A125, NewEmisData!$C:$C, $H125, NewEmisData!$D:$D, BJ$6)</f>
        <v>2.9667722064433098E-2</v>
      </c>
      <c r="BK125" s="1111">
        <f t="shared" si="210"/>
        <v>2.9667722064433098E-2</v>
      </c>
      <c r="BL125" s="1111">
        <f t="shared" si="211"/>
        <v>0</v>
      </c>
      <c r="BM125" s="1111">
        <f>SUMIFS(NewEmisData!E:E, NewEmisData!$A:$A, $G125, NewEmisData!$B:$B, $A125, NewEmisData!$C:$C, $H125, NewEmisData!$D:$D, BM$6)</f>
        <v>0</v>
      </c>
      <c r="BN125" s="1111">
        <f>SUMIFS(NewEmisData!F:F, NewEmisData!$A:$A, $G125, NewEmisData!$B:$B, $A125, NewEmisData!$C:$C, $H125, NewEmisData!$D:$D, BN$6)</f>
        <v>0</v>
      </c>
      <c r="BO125" s="1111">
        <f>SUMIFS(NewEmisData!G:G, NewEmisData!$A:$A, $G125, NewEmisData!$B:$B, $A125, NewEmisData!$C:$C, $H125, NewEmisData!$D:$D, BO$6)</f>
        <v>0</v>
      </c>
      <c r="BP125" s="1111">
        <f>SUMIFS(NewEmisData!H:H, NewEmisData!$A:$A, $G125, NewEmisData!$B:$B, $A125, NewEmisData!$C:$C, $H125, NewEmisData!$D:$D, BP$6)</f>
        <v>0</v>
      </c>
      <c r="BQ125" s="1111">
        <f>SUMIFS(NewEmisData!I:I, NewEmisData!$A:$A, $G125, NewEmisData!$B:$B, $A125, NewEmisData!$C:$C, $H125, NewEmisData!$D:$D, BQ$6)</f>
        <v>0</v>
      </c>
      <c r="BR125" s="1111">
        <f>SUMIFS(NewEmisData!J:J, NewEmisData!$A:$A, $G125, NewEmisData!$B:$B, $A125, NewEmisData!$C:$C, $H125, NewEmisData!$D:$D, BR$6)</f>
        <v>0</v>
      </c>
      <c r="BS125" s="1111">
        <f>SUMIFS(NewEmisData!K:K, NewEmisData!$A:$A, $G125, NewEmisData!$B:$B, $A125, NewEmisData!$C:$C, $H125, NewEmisData!$D:$D, BS$6)</f>
        <v>0</v>
      </c>
      <c r="BT125" s="1111">
        <f>SUMIFS(NewEmisData!L:L, NewEmisData!$A:$A, $G125, NewEmisData!$B:$B, $A125, NewEmisData!$C:$C, $H125, NewEmisData!$D:$D, BT$6)</f>
        <v>0</v>
      </c>
      <c r="BU125" s="1111">
        <f>SUMIFS(NewEmisData!M:M, NewEmisData!$A:$A, $G125, NewEmisData!$B:$B, $A125, NewEmisData!$C:$C, $H125, NewEmisData!$D:$D, BU$6)</f>
        <v>0</v>
      </c>
      <c r="BV125" s="1111">
        <f t="shared" si="212"/>
        <v>0</v>
      </c>
      <c r="BW125" s="1111">
        <f t="shared" si="213"/>
        <v>0</v>
      </c>
      <c r="BX125" s="1111">
        <f>SUMIFS(NewEmisData!E:E, NewEmisData!$A:$A, $G125, NewEmisData!$B:$B, $A125, NewEmisData!$C:$C, $H125, NewEmisData!$D:$D, BX$6)</f>
        <v>0</v>
      </c>
      <c r="BY125" s="1111">
        <f>SUMIFS(NewEmisData!F:F, NewEmisData!$A:$A, $G125, NewEmisData!$B:$B, $A125, NewEmisData!$C:$C, $H125, NewEmisData!$D:$D, BY$6)</f>
        <v>0</v>
      </c>
      <c r="BZ125" s="1111">
        <f>SUMIFS(NewEmisData!G:G, NewEmisData!$A:$A, $G125, NewEmisData!$B:$B, $A125, NewEmisData!$C:$C, $H125, NewEmisData!$D:$D, BZ$6)</f>
        <v>0</v>
      </c>
      <c r="CA125" s="1111">
        <f>SUMIFS(NewEmisData!H:H, NewEmisData!$A:$A, $G125, NewEmisData!$B:$B, $A125, NewEmisData!$C:$C, $H125, NewEmisData!$D:$D, CA$6)</f>
        <v>0</v>
      </c>
      <c r="CB125" s="1111">
        <f>SUMIFS(NewEmisData!I:I, NewEmisData!$A:$A, $G125, NewEmisData!$B:$B, $A125, NewEmisData!$C:$C, $H125, NewEmisData!$D:$D, CB$6)</f>
        <v>0</v>
      </c>
      <c r="CC125" s="1111">
        <f>SUMIFS(NewEmisData!J:J, NewEmisData!$A:$A, $G125, NewEmisData!$B:$B, $A125, NewEmisData!$C:$C, $H125, NewEmisData!$D:$D, CC$6)</f>
        <v>0</v>
      </c>
      <c r="CD125" s="1111">
        <f>SUMIFS(NewEmisData!K:K, NewEmisData!$A:$A, $G125, NewEmisData!$B:$B, $A125, NewEmisData!$C:$C, $H125, NewEmisData!$D:$D, CD$6)</f>
        <v>0</v>
      </c>
      <c r="CE125" s="1111">
        <f>SUMIFS(NewEmisData!L:L, NewEmisData!$A:$A, $G125, NewEmisData!$B:$B, $A125, NewEmisData!$C:$C, $H125, NewEmisData!$D:$D, CE$6)</f>
        <v>0</v>
      </c>
      <c r="CF125" s="1111">
        <f>SUMIFS(NewEmisData!M:M, NewEmisData!$A:$A, $G125, NewEmisData!$B:$B, $A125, NewEmisData!$C:$C, $H125, NewEmisData!$D:$D, CF$6)</f>
        <v>0</v>
      </c>
      <c r="CG125" s="1111">
        <f t="shared" si="214"/>
        <v>0</v>
      </c>
      <c r="CH125" s="1111">
        <f t="shared" si="215"/>
        <v>0</v>
      </c>
      <c r="CI125" s="1111">
        <f>SUMIFS(NewEmisData!E:E, NewEmisData!$A:$A, $G125, NewEmisData!$B:$B, $A125, NewEmisData!$C:$C, $H125, NewEmisData!$D:$D, CI$6)</f>
        <v>0</v>
      </c>
      <c r="CJ125" s="1111">
        <f>SUMIFS(NewEmisData!F:F, NewEmisData!$A:$A, $G125, NewEmisData!$B:$B, $A125, NewEmisData!$C:$C, $H125, NewEmisData!$D:$D, CJ$6)</f>
        <v>0</v>
      </c>
      <c r="CK125" s="1111">
        <f>SUMIFS(NewEmisData!G:G, NewEmisData!$A:$A, $G125, NewEmisData!$B:$B, $A125, NewEmisData!$C:$C, $H125, NewEmisData!$D:$D, CK$6)</f>
        <v>0</v>
      </c>
      <c r="CL125" s="1111">
        <f>SUMIFS(NewEmisData!H:H, NewEmisData!$A:$A, $G125, NewEmisData!$B:$B, $A125, NewEmisData!$C:$C, $H125, NewEmisData!$D:$D, CL$6)</f>
        <v>0</v>
      </c>
      <c r="CM125" s="1111">
        <f>SUMIFS(NewEmisData!I:I, NewEmisData!$A:$A, $G125, NewEmisData!$B:$B, $A125, NewEmisData!$C:$C, $H125, NewEmisData!$D:$D, CM$6)</f>
        <v>0</v>
      </c>
      <c r="CN125" s="1111">
        <f>SUMIFS(NewEmisData!J:J, NewEmisData!$A:$A, $G125, NewEmisData!$B:$B, $A125, NewEmisData!$C:$C, $H125, NewEmisData!$D:$D, CN$6)</f>
        <v>0</v>
      </c>
      <c r="CO125" s="1111">
        <f>SUMIFS(NewEmisData!K:K, NewEmisData!$A:$A, $G125, NewEmisData!$B:$B, $A125, NewEmisData!$C:$C, $H125, NewEmisData!$D:$D, CO$6)</f>
        <v>0</v>
      </c>
      <c r="CP125" s="1111">
        <f>SUMIFS(NewEmisData!L:L, NewEmisData!$A:$A, $G125, NewEmisData!$B:$B, $A125, NewEmisData!$C:$C, $H125, NewEmisData!$D:$D, CP$6)</f>
        <v>0</v>
      </c>
      <c r="CQ125" s="1111">
        <f>SUMIFS(NewEmisData!M:M, NewEmisData!$A:$A, $G125, NewEmisData!$B:$B, $A125, NewEmisData!$C:$C, $H125, NewEmisData!$D:$D, CQ$6)</f>
        <v>0</v>
      </c>
      <c r="CR125" s="1111">
        <f t="shared" si="216"/>
        <v>0</v>
      </c>
      <c r="CS125" s="1111">
        <f t="shared" si="217"/>
        <v>0</v>
      </c>
      <c r="CT125" s="1111">
        <f>SUMIFS(NewEmisData!E:E, NewEmisData!$A:$A, $G125, NewEmisData!$B:$B, $A125, NewEmisData!$C:$C, $H125, NewEmisData!$D:$D, CT$6)</f>
        <v>0</v>
      </c>
      <c r="CU125" s="1111">
        <f>SUMIFS(NewEmisData!F:F, NewEmisData!$A:$A, $G125, NewEmisData!$B:$B, $A125, NewEmisData!$C:$C, $H125, NewEmisData!$D:$D, CU$6)</f>
        <v>0</v>
      </c>
      <c r="CV125" s="1111">
        <f>SUMIFS(NewEmisData!G:G, NewEmisData!$A:$A, $G125, NewEmisData!$B:$B, $A125, NewEmisData!$C:$C, $H125, NewEmisData!$D:$D, CV$6)</f>
        <v>0</v>
      </c>
      <c r="CW125" s="1111">
        <f>SUMIFS(NewEmisData!H:H, NewEmisData!$A:$A, $G125, NewEmisData!$B:$B, $A125, NewEmisData!$C:$C, $H125, NewEmisData!$D:$D, CW$6)</f>
        <v>0</v>
      </c>
      <c r="CX125" s="1111">
        <f>SUMIFS(NewEmisData!I:I, NewEmisData!$A:$A, $G125, NewEmisData!$B:$B, $A125, NewEmisData!$C:$C, $H125, NewEmisData!$D:$D, CX$6)</f>
        <v>0</v>
      </c>
      <c r="CY125" s="1111">
        <f>SUMIFS(NewEmisData!J:J, NewEmisData!$A:$A, $G125, NewEmisData!$B:$B, $A125, NewEmisData!$C:$C, $H125, NewEmisData!$D:$D, CY$6)</f>
        <v>0</v>
      </c>
      <c r="CZ125" s="1111">
        <f>SUMIFS(NewEmisData!K:K, NewEmisData!$A:$A, $G125, NewEmisData!$B:$B, $A125, NewEmisData!$C:$C, $H125, NewEmisData!$D:$D, CZ$6)</f>
        <v>0</v>
      </c>
      <c r="DA125" s="1111">
        <f>SUMIFS(NewEmisData!L:L, NewEmisData!$A:$A, $G125, NewEmisData!$B:$B, $A125, NewEmisData!$C:$C, $H125, NewEmisData!$D:$D, DA$6)</f>
        <v>0</v>
      </c>
      <c r="DB125" s="1111">
        <f>SUMIFS(NewEmisData!M:M, NewEmisData!$A:$A, $G125, NewEmisData!$B:$B, $A125, NewEmisData!$C:$C, $H125, NewEmisData!$D:$D, DB$6)</f>
        <v>0</v>
      </c>
      <c r="DC125" s="1111">
        <f t="shared" si="188"/>
        <v>0</v>
      </c>
      <c r="DD125" s="1072"/>
      <c r="DE125" s="1072"/>
      <c r="DF125" s="1072"/>
      <c r="DG125" s="1072"/>
      <c r="DH125" s="1072"/>
      <c r="DI125" s="1072"/>
      <c r="DJ125" s="1072"/>
      <c r="DK125" s="1072"/>
      <c r="DL125" s="1072"/>
      <c r="DM125" s="1072"/>
      <c r="DN125" s="1072"/>
      <c r="DO125" s="1072"/>
      <c r="DP125" s="1072"/>
      <c r="DQ125" s="1072"/>
      <c r="DR125" s="1072"/>
      <c r="DS125" s="1072"/>
      <c r="DT125" s="1072"/>
      <c r="DU125" s="1072"/>
      <c r="DV125" s="1072"/>
      <c r="DW125" s="1072"/>
      <c r="DX125" s="1072"/>
      <c r="DY125" s="1072"/>
      <c r="DZ125" s="1111">
        <f t="shared" si="189"/>
        <v>0</v>
      </c>
      <c r="EA125" s="1111">
        <f>SUMIFS(NewEmisData!E:E, NewEmisData!$A:$A, $G125, NewEmisData!$B:$B, $A125, NewEmisData!$C:$C, $H125, NewEmisData!$D:$D, EA$6)</f>
        <v>0</v>
      </c>
      <c r="EB125" s="1111">
        <f>SUMIFS(NewEmisData!F:F, NewEmisData!$A:$A, $G125, NewEmisData!$B:$B, $A125, NewEmisData!$C:$C, $H125, NewEmisData!$D:$D, EB$6)</f>
        <v>0</v>
      </c>
      <c r="EC125" s="1111">
        <f>SUMIFS(NewEmisData!G:G, NewEmisData!$A:$A, $G125, NewEmisData!$B:$B, $A125, NewEmisData!$C:$C, $H125, NewEmisData!$D:$D, EC$6)</f>
        <v>0</v>
      </c>
      <c r="ED125" s="1111">
        <f>SUMIFS(NewEmisData!H:H, NewEmisData!$A:$A, $G125, NewEmisData!$B:$B, $A125, NewEmisData!$C:$C, $H125, NewEmisData!$D:$D, ED$6)</f>
        <v>0</v>
      </c>
      <c r="EE125" s="1111">
        <f>SUMIFS(NewEmisData!I:I, NewEmisData!$A:$A, $G125, NewEmisData!$B:$B, $A125, NewEmisData!$C:$C, $H125, NewEmisData!$D:$D, EE$6)</f>
        <v>0</v>
      </c>
      <c r="EF125" s="1111">
        <f>SUMIFS(NewEmisData!J:J, NewEmisData!$A:$A, $G125, NewEmisData!$B:$B, $A125, NewEmisData!$C:$C, $H125, NewEmisData!$D:$D, EF$6)</f>
        <v>0</v>
      </c>
      <c r="EG125" s="1111">
        <f>SUMIFS(NewEmisData!K:K, NewEmisData!$A:$A, $G125, NewEmisData!$B:$B, $A125, NewEmisData!$C:$C, $H125, NewEmisData!$D:$D, EG$6)</f>
        <v>0</v>
      </c>
      <c r="EH125" s="1111">
        <f>SUMIFS(NewEmisData!L:L, NewEmisData!$A:$A, $G125, NewEmisData!$B:$B, $A125, NewEmisData!$C:$C, $H125, NewEmisData!$D:$D, EH$6)</f>
        <v>0</v>
      </c>
      <c r="EI125" s="1111">
        <f>SUMIFS(NewEmisData!M:M, NewEmisData!$A:$A, $G125, NewEmisData!$B:$B, $A125, NewEmisData!$C:$C, $H125, NewEmisData!$D:$D, EI$6)</f>
        <v>0</v>
      </c>
      <c r="EJ125" s="1111">
        <f t="shared" si="218"/>
        <v>0</v>
      </c>
      <c r="EK125" s="1111">
        <f t="shared" si="219"/>
        <v>0</v>
      </c>
      <c r="EL125" s="1111">
        <f t="shared" si="154"/>
        <v>0</v>
      </c>
      <c r="EM125" s="1111">
        <f t="shared" si="155"/>
        <v>0</v>
      </c>
      <c r="EN125" s="1111">
        <f t="shared" si="156"/>
        <v>0</v>
      </c>
      <c r="EO125" s="1111">
        <f t="shared" si="157"/>
        <v>0</v>
      </c>
      <c r="EP125" s="1111">
        <f t="shared" si="158"/>
        <v>0</v>
      </c>
      <c r="EQ125" s="1111">
        <f t="shared" si="159"/>
        <v>0</v>
      </c>
      <c r="ER125" s="1111">
        <f t="shared" si="160"/>
        <v>0</v>
      </c>
      <c r="ES125" s="1111">
        <f t="shared" si="161"/>
        <v>0</v>
      </c>
      <c r="ET125" s="1111">
        <f t="shared" si="162"/>
        <v>0</v>
      </c>
      <c r="EU125" s="1111">
        <f t="shared" si="220"/>
        <v>0</v>
      </c>
      <c r="EV125" s="1111">
        <f t="shared" si="221"/>
        <v>0</v>
      </c>
      <c r="EW125" s="1111">
        <f t="shared" si="144"/>
        <v>0</v>
      </c>
      <c r="EX125" s="1111">
        <f t="shared" si="145"/>
        <v>0</v>
      </c>
      <c r="EY125" s="1111">
        <f t="shared" si="146"/>
        <v>0</v>
      </c>
      <c r="EZ125" s="1111">
        <f t="shared" si="147"/>
        <v>0</v>
      </c>
      <c r="FA125" s="1111">
        <f t="shared" si="148"/>
        <v>0</v>
      </c>
      <c r="FB125" s="1111">
        <f t="shared" si="149"/>
        <v>0</v>
      </c>
      <c r="FC125" s="1111">
        <f t="shared" si="150"/>
        <v>0</v>
      </c>
      <c r="FD125" s="1111">
        <f t="shared" si="151"/>
        <v>0</v>
      </c>
      <c r="FE125" s="1111">
        <f t="shared" si="152"/>
        <v>0</v>
      </c>
      <c r="FF125" s="1111">
        <f t="shared" si="222"/>
        <v>0</v>
      </c>
      <c r="FG125" s="1111">
        <f t="shared" si="223"/>
        <v>0</v>
      </c>
      <c r="FH125" s="1111">
        <f t="shared" si="194"/>
        <v>0</v>
      </c>
      <c r="FI125" s="1111">
        <f t="shared" si="195"/>
        <v>0</v>
      </c>
      <c r="FJ125" s="1111">
        <f t="shared" si="196"/>
        <v>0</v>
      </c>
      <c r="FK125" s="1111">
        <f t="shared" si="197"/>
        <v>0</v>
      </c>
      <c r="FL125" s="1111">
        <f t="shared" si="198"/>
        <v>0</v>
      </c>
      <c r="FM125" s="1111">
        <f t="shared" si="199"/>
        <v>0</v>
      </c>
      <c r="FN125" s="1111">
        <f t="shared" si="200"/>
        <v>0</v>
      </c>
      <c r="FO125" s="1111">
        <f t="shared" si="201"/>
        <v>0</v>
      </c>
      <c r="FP125" s="1111">
        <f t="shared" si="202"/>
        <v>0</v>
      </c>
      <c r="FQ125" s="1111">
        <f t="shared" si="224"/>
        <v>0</v>
      </c>
      <c r="FR125" s="1111">
        <f t="shared" si="225"/>
        <v>0.26609837446963602</v>
      </c>
      <c r="FS125" s="1111">
        <f t="shared" si="134"/>
        <v>0.26609837446963602</v>
      </c>
      <c r="FT125" s="1111">
        <f t="shared" si="135"/>
        <v>0.29828742924158202</v>
      </c>
      <c r="FU125" s="1111">
        <f t="shared" si="136"/>
        <v>0.24180634195228201</v>
      </c>
      <c r="FV125" s="1111">
        <f t="shared" si="137"/>
        <v>0.24203383224433</v>
      </c>
      <c r="FW125" s="1111">
        <f t="shared" si="138"/>
        <v>0.23631101867526899</v>
      </c>
      <c r="FX125" s="1111">
        <f t="shared" si="139"/>
        <v>0.23305619261729901</v>
      </c>
      <c r="FY125" s="1111">
        <f t="shared" si="140"/>
        <v>0.23267534537673201</v>
      </c>
      <c r="FZ125" s="1111">
        <f t="shared" si="141"/>
        <v>0.23258222150893701</v>
      </c>
      <c r="GA125" s="1111">
        <f t="shared" si="142"/>
        <v>0.23257562070655799</v>
      </c>
      <c r="GB125" s="1111">
        <f t="shared" si="226"/>
        <v>0.23257562070655799</v>
      </c>
      <c r="GC125" s="1111">
        <f t="shared" si="227"/>
        <v>3.39041360720201E-2</v>
      </c>
      <c r="GD125" s="1111">
        <f t="shared" si="165"/>
        <v>3.39041360720201E-2</v>
      </c>
      <c r="GE125" s="1111">
        <f t="shared" si="166"/>
        <v>3.7988698940976597E-2</v>
      </c>
      <c r="GF125" s="1111">
        <f t="shared" si="167"/>
        <v>3.0842350094186399E-2</v>
      </c>
      <c r="GG125" s="1111">
        <f t="shared" si="168"/>
        <v>3.0871349930260399E-2</v>
      </c>
      <c r="GH125" s="1111">
        <f t="shared" si="169"/>
        <v>3.01430706580075E-2</v>
      </c>
      <c r="GI125" s="1111">
        <f t="shared" si="170"/>
        <v>2.9728868560829201E-2</v>
      </c>
      <c r="GJ125" s="1111">
        <f t="shared" si="171"/>
        <v>2.9680394257018201E-2</v>
      </c>
      <c r="GK125" s="1111">
        <f t="shared" si="172"/>
        <v>2.96685557997696E-2</v>
      </c>
      <c r="GL125" s="1111">
        <f t="shared" si="173"/>
        <v>2.9667722064433098E-2</v>
      </c>
      <c r="GM125" s="1111">
        <f t="shared" si="174"/>
        <v>2.9667722064433098E-2</v>
      </c>
    </row>
    <row r="126" spans="1:195" s="265" customFormat="1" x14ac:dyDescent="0.2">
      <c r="A126" s="1071" t="s">
        <v>190</v>
      </c>
      <c r="B126" s="1071" t="s">
        <v>235</v>
      </c>
      <c r="C126" s="1071" t="s">
        <v>236</v>
      </c>
      <c r="D126" s="1071" t="str">
        <f>NewTech!D34</f>
        <v>bn-vmt, bn-vmt/a</v>
      </c>
      <c r="E126" s="1071" t="str">
        <f>NewTech!E34</f>
        <v>TRNELC</v>
      </c>
      <c r="F126" s="1071" t="str">
        <f>NewTech!F34</f>
        <v>TB</v>
      </c>
      <c r="G126" s="1115" t="s">
        <v>498</v>
      </c>
      <c r="H126" s="1113" t="s">
        <v>1961</v>
      </c>
      <c r="I126" s="1113">
        <v>1</v>
      </c>
      <c r="J126" s="1113" t="str">
        <f t="shared" si="228"/>
        <v>Bus-ELC</v>
      </c>
      <c r="K126" s="1111">
        <f>SUMIFS(NewEmisData!E:E, NewEmisData!$A:$A, $G126, NewEmisData!$B:$B, $A126, NewEmisData!$C:$C, $H126, NewEmisData!$D:$D, K$6)</f>
        <v>0</v>
      </c>
      <c r="L126" s="1111">
        <f>SUMIFS(NewEmisData!F:F, NewEmisData!$A:$A, $G126, NewEmisData!$B:$B, $A126, NewEmisData!$C:$C, $H126, NewEmisData!$D:$D, L$6)</f>
        <v>0</v>
      </c>
      <c r="M126" s="1111">
        <f>SUMIFS(NewEmisData!G:G, NewEmisData!$A:$A, $G126, NewEmisData!$B:$B, $A126, NewEmisData!$C:$C, $H126, NewEmisData!$D:$D, M$6)</f>
        <v>0</v>
      </c>
      <c r="N126" s="1111">
        <f>SUMIFS(NewEmisData!H:H, NewEmisData!$A:$A, $G126, NewEmisData!$B:$B, $A126, NewEmisData!$C:$C, $H126, NewEmisData!$D:$D, N$6)</f>
        <v>0</v>
      </c>
      <c r="O126" s="1111">
        <f>SUMIFS(NewEmisData!I:I, NewEmisData!$A:$A, $G126, NewEmisData!$B:$B, $A126, NewEmisData!$C:$C, $H126, NewEmisData!$D:$D, O$6)</f>
        <v>0</v>
      </c>
      <c r="P126" s="1111">
        <f>SUMIFS(NewEmisData!J:J, NewEmisData!$A:$A, $G126, NewEmisData!$B:$B, $A126, NewEmisData!$C:$C, $H126, NewEmisData!$D:$D, P$6)</f>
        <v>0</v>
      </c>
      <c r="Q126" s="1111">
        <f>SUMIFS(NewEmisData!K:K, NewEmisData!$A:$A, $G126, NewEmisData!$B:$B, $A126, NewEmisData!$C:$C, $H126, NewEmisData!$D:$D, Q$6)</f>
        <v>0</v>
      </c>
      <c r="R126" s="1111">
        <f>SUMIFS(NewEmisData!L:L, NewEmisData!$A:$A, $G126, NewEmisData!$B:$B, $A126, NewEmisData!$C:$C, $H126, NewEmisData!$D:$D, R$6)</f>
        <v>0</v>
      </c>
      <c r="S126" s="1111">
        <f>SUMIFS(NewEmisData!M:M, NewEmisData!$A:$A, $G126, NewEmisData!$B:$B, $A126, NewEmisData!$C:$C, $H126, NewEmisData!$D:$D, S$6)</f>
        <v>0</v>
      </c>
      <c r="T126" s="1111">
        <f t="shared" si="131"/>
        <v>0</v>
      </c>
      <c r="U126" s="1111">
        <f>SUMIFS(NewEmisData!E:E, NewEmisData!$A:$A, $G126, NewEmisData!$B:$B, $A126, NewEmisData!$C:$C, $H126, NewEmisData!$D:$D, U$6)</f>
        <v>0</v>
      </c>
      <c r="V126" s="1111">
        <f>SUMIFS(NewEmisData!F:F, NewEmisData!$A:$A, $G126, NewEmisData!$B:$B, $A126, NewEmisData!$C:$C, $H126, NewEmisData!$D:$D, V$6)</f>
        <v>0</v>
      </c>
      <c r="W126" s="1111">
        <f>SUMIFS(NewEmisData!G:G, NewEmisData!$A:$A, $G126, NewEmisData!$B:$B, $A126, NewEmisData!$C:$C, $H126, NewEmisData!$D:$D, W$6)</f>
        <v>0</v>
      </c>
      <c r="X126" s="1111">
        <f>SUMIFS(NewEmisData!H:H, NewEmisData!$A:$A, $G126, NewEmisData!$B:$B, $A126, NewEmisData!$C:$C, $H126, NewEmisData!$D:$D, X$6)</f>
        <v>0</v>
      </c>
      <c r="Y126" s="1111">
        <f>SUMIFS(NewEmisData!I:I, NewEmisData!$A:$A, $G126, NewEmisData!$B:$B, $A126, NewEmisData!$C:$C, $H126, NewEmisData!$D:$D, Y$6)</f>
        <v>0</v>
      </c>
      <c r="Z126" s="1111">
        <f>SUMIFS(NewEmisData!J:J, NewEmisData!$A:$A, $G126, NewEmisData!$B:$B, $A126, NewEmisData!$C:$C, $H126, NewEmisData!$D:$D, Z$6)</f>
        <v>0</v>
      </c>
      <c r="AA126" s="1111">
        <f>SUMIFS(NewEmisData!K:K, NewEmisData!$A:$A, $G126, NewEmisData!$B:$B, $A126, NewEmisData!$C:$C, $H126, NewEmisData!$D:$D, AA$6)</f>
        <v>0</v>
      </c>
      <c r="AB126" s="1111">
        <f>SUMIFS(NewEmisData!L:L, NewEmisData!$A:$A, $G126, NewEmisData!$B:$B, $A126, NewEmisData!$C:$C, $H126, NewEmisData!$D:$D, AB$6)</f>
        <v>0</v>
      </c>
      <c r="AC126" s="1111">
        <f>SUMIFS(NewEmisData!M:M, NewEmisData!$A:$A, $G126, NewEmisData!$B:$B, $A126, NewEmisData!$C:$C, $H126, NewEmisData!$D:$D, AC$6)</f>
        <v>0</v>
      </c>
      <c r="AD126" s="1111">
        <f t="shared" si="204"/>
        <v>0</v>
      </c>
      <c r="AE126" s="1111">
        <f t="shared" si="205"/>
        <v>0</v>
      </c>
      <c r="AF126" s="1111">
        <f>SUMIFS(NewEmisData!E:E, NewEmisData!$A:$A, $G126, NewEmisData!$B:$B, $A126, NewEmisData!$C:$C, $H126, NewEmisData!$D:$D, AF$6)</f>
        <v>0</v>
      </c>
      <c r="AG126" s="1111">
        <f>SUMIFS(NewEmisData!F:F, NewEmisData!$A:$A, $G126, NewEmisData!$B:$B, $A126, NewEmisData!$C:$C, $H126, NewEmisData!$D:$D, AG$6)</f>
        <v>0</v>
      </c>
      <c r="AH126" s="1111">
        <f>SUMIFS(NewEmisData!G:G, NewEmisData!$A:$A, $G126, NewEmisData!$B:$B, $A126, NewEmisData!$C:$C, $H126, NewEmisData!$D:$D, AH$6)</f>
        <v>0</v>
      </c>
      <c r="AI126" s="1111">
        <f>SUMIFS(NewEmisData!H:H, NewEmisData!$A:$A, $G126, NewEmisData!$B:$B, $A126, NewEmisData!$C:$C, $H126, NewEmisData!$D:$D, AI$6)</f>
        <v>0</v>
      </c>
      <c r="AJ126" s="1111">
        <f>SUMIFS(NewEmisData!I:I, NewEmisData!$A:$A, $G126, NewEmisData!$B:$B, $A126, NewEmisData!$C:$C, $H126, NewEmisData!$D:$D, AJ$6)</f>
        <v>0</v>
      </c>
      <c r="AK126" s="1111">
        <f>SUMIFS(NewEmisData!J:J, NewEmisData!$A:$A, $G126, NewEmisData!$B:$B, $A126, NewEmisData!$C:$C, $H126, NewEmisData!$D:$D, AK$6)</f>
        <v>0</v>
      </c>
      <c r="AL126" s="1111">
        <f>SUMIFS(NewEmisData!K:K, NewEmisData!$A:$A, $G126, NewEmisData!$B:$B, $A126, NewEmisData!$C:$C, $H126, NewEmisData!$D:$D, AL$6)</f>
        <v>0</v>
      </c>
      <c r="AM126" s="1111">
        <f>SUMIFS(NewEmisData!L:L, NewEmisData!$A:$A, $G126, NewEmisData!$B:$B, $A126, NewEmisData!$C:$C, $H126, NewEmisData!$D:$D, AM$6)</f>
        <v>0</v>
      </c>
      <c r="AN126" s="1111">
        <f>SUMIFS(NewEmisData!M:M, NewEmisData!$A:$A, $G126, NewEmisData!$B:$B, $A126, NewEmisData!$C:$C, $H126, NewEmisData!$D:$D, AN$6)</f>
        <v>0</v>
      </c>
      <c r="AO126" s="1111">
        <f t="shared" si="206"/>
        <v>0</v>
      </c>
      <c r="AP126" s="1111">
        <f t="shared" si="207"/>
        <v>0.32025419056653998</v>
      </c>
      <c r="AQ126" s="1111">
        <f>SUMIFS(NewEmisData!E:E, NewEmisData!$A:$A, $G126, NewEmisData!$B:$B, $A126, NewEmisData!$C:$C, $H126, NewEmisData!$D:$D, AQ$6)</f>
        <v>0.32025419056653998</v>
      </c>
      <c r="AR126" s="1111">
        <f>SUMIFS(NewEmisData!F:F, NewEmisData!$A:$A, $G126, NewEmisData!$B:$B, $A126, NewEmisData!$C:$C, $H126, NewEmisData!$D:$D, AR$6)</f>
        <v>0.30735882190983999</v>
      </c>
      <c r="AS126" s="1111">
        <f>SUMIFS(NewEmisData!G:G, NewEmisData!$A:$A, $G126, NewEmisData!$B:$B, $A126, NewEmisData!$C:$C, $H126, NewEmisData!$D:$D, AS$6)</f>
        <v>0.39005101449211499</v>
      </c>
      <c r="AT126" s="1111">
        <f>SUMIFS(NewEmisData!H:H, NewEmisData!$A:$A, $G126, NewEmisData!$B:$B, $A126, NewEmisData!$C:$C, $H126, NewEmisData!$D:$D, AT$6)</f>
        <v>0.39066992241253701</v>
      </c>
      <c r="AU126" s="1111">
        <f>SUMIFS(NewEmisData!I:I, NewEmisData!$A:$A, $G126, NewEmisData!$B:$B, $A126, NewEmisData!$C:$C, $H126, NewEmisData!$D:$D, AU$6)</f>
        <v>0.38533543168497802</v>
      </c>
      <c r="AV126" s="1111">
        <f>SUMIFS(NewEmisData!J:J, NewEmisData!$A:$A, $G126, NewEmisData!$B:$B, $A126, NewEmisData!$C:$C, $H126, NewEmisData!$D:$D, AV$6)</f>
        <v>0.38210780865177602</v>
      </c>
      <c r="AW126" s="1111">
        <f>SUMIFS(NewEmisData!K:K, NewEmisData!$A:$A, $G126, NewEmisData!$B:$B, $A126, NewEmisData!$C:$C, $H126, NewEmisData!$D:$D, AW$6)</f>
        <v>0.38168461815948401</v>
      </c>
      <c r="AX126" s="1111">
        <f>SUMIFS(NewEmisData!L:L, NewEmisData!$A:$A, $G126, NewEmisData!$B:$B, $A126, NewEmisData!$C:$C, $H126, NewEmisData!$D:$D, AX$6)</f>
        <v>0.38158273300441498</v>
      </c>
      <c r="AY126" s="1111">
        <f>SUMIFS(NewEmisData!M:M, NewEmisData!$A:$A, $G126, NewEmisData!$B:$B, $A126, NewEmisData!$C:$C, $H126, NewEmisData!$D:$D, AY$6)</f>
        <v>0.38159401668729898</v>
      </c>
      <c r="AZ126" s="1111">
        <f t="shared" si="208"/>
        <v>0.38159401668729898</v>
      </c>
      <c r="BA126" s="1111">
        <f t="shared" si="209"/>
        <v>4.0776832803997499E-2</v>
      </c>
      <c r="BB126" s="1111">
        <f>SUMIFS(NewEmisData!E:E, NewEmisData!$A:$A, $G126, NewEmisData!$B:$B, $A126, NewEmisData!$C:$C, $H126, NewEmisData!$D:$D, BB$6)</f>
        <v>4.0776832803997499E-2</v>
      </c>
      <c r="BC126" s="1111">
        <f>SUMIFS(NewEmisData!F:F, NewEmisData!$A:$A, $G126, NewEmisData!$B:$B, $A126, NewEmisData!$C:$C, $H126, NewEmisData!$D:$D, BC$6)</f>
        <v>3.9141663319635298E-2</v>
      </c>
      <c r="BD126" s="1111">
        <f>SUMIFS(NewEmisData!G:G, NewEmisData!$A:$A, $G126, NewEmisData!$B:$B, $A126, NewEmisData!$C:$C, $H126, NewEmisData!$D:$D, BD$6)</f>
        <v>4.9523071403868003E-2</v>
      </c>
      <c r="BE126" s="1111">
        <f>SUMIFS(NewEmisData!H:H, NewEmisData!$A:$A, $G126, NewEmisData!$B:$B, $A126, NewEmisData!$C:$C, $H126, NewEmisData!$D:$D, BE$6)</f>
        <v>4.9601730365398403E-2</v>
      </c>
      <c r="BF126" s="1111">
        <f>SUMIFS(NewEmisData!I:I, NewEmisData!$A:$A, $G126, NewEmisData!$B:$B, $A126, NewEmisData!$C:$C, $H126, NewEmisData!$D:$D, BF$6)</f>
        <v>4.89258116983569E-2</v>
      </c>
      <c r="BG126" s="1111">
        <f>SUMIFS(NewEmisData!J:J, NewEmisData!$A:$A, $G126, NewEmisData!$B:$B, $A126, NewEmisData!$C:$C, $H126, NewEmisData!$D:$D, BG$6)</f>
        <v>4.8516952447921501E-2</v>
      </c>
      <c r="BH126" s="1111">
        <f>SUMIFS(NewEmisData!K:K, NewEmisData!$A:$A, $G126, NewEmisData!$B:$B, $A126, NewEmisData!$C:$C, $H126, NewEmisData!$D:$D, BH$6)</f>
        <v>4.8463277650522503E-2</v>
      </c>
      <c r="BI126" s="1111">
        <f>SUMIFS(NewEmisData!L:L, NewEmisData!$A:$A, $G126, NewEmisData!$B:$B, $A126, NewEmisData!$C:$C, $H126, NewEmisData!$D:$D, BI$6)</f>
        <v>4.8450357125536803E-2</v>
      </c>
      <c r="BJ126" s="1111">
        <f>SUMIFS(NewEmisData!M:M, NewEmisData!$A:$A, $G126, NewEmisData!$B:$B, $A126, NewEmisData!$C:$C, $H126, NewEmisData!$D:$D, BJ$6)</f>
        <v>4.8451814981298101E-2</v>
      </c>
      <c r="BK126" s="1111">
        <f t="shared" si="210"/>
        <v>4.8451814981298101E-2</v>
      </c>
      <c r="BL126" s="1111">
        <f t="shared" si="211"/>
        <v>0</v>
      </c>
      <c r="BM126" s="1111">
        <f>SUMIFS(NewEmisData!E:E, NewEmisData!$A:$A, $G126, NewEmisData!$B:$B, $A126, NewEmisData!$C:$C, $H126, NewEmisData!$D:$D, BM$6)</f>
        <v>0</v>
      </c>
      <c r="BN126" s="1111">
        <f>SUMIFS(NewEmisData!F:F, NewEmisData!$A:$A, $G126, NewEmisData!$B:$B, $A126, NewEmisData!$C:$C, $H126, NewEmisData!$D:$D, BN$6)</f>
        <v>0</v>
      </c>
      <c r="BO126" s="1111">
        <f>SUMIFS(NewEmisData!G:G, NewEmisData!$A:$A, $G126, NewEmisData!$B:$B, $A126, NewEmisData!$C:$C, $H126, NewEmisData!$D:$D, BO$6)</f>
        <v>0</v>
      </c>
      <c r="BP126" s="1111">
        <f>SUMIFS(NewEmisData!H:H, NewEmisData!$A:$A, $G126, NewEmisData!$B:$B, $A126, NewEmisData!$C:$C, $H126, NewEmisData!$D:$D, BP$6)</f>
        <v>0</v>
      </c>
      <c r="BQ126" s="1111">
        <f>SUMIFS(NewEmisData!I:I, NewEmisData!$A:$A, $G126, NewEmisData!$B:$B, $A126, NewEmisData!$C:$C, $H126, NewEmisData!$D:$D, BQ$6)</f>
        <v>0</v>
      </c>
      <c r="BR126" s="1111">
        <f>SUMIFS(NewEmisData!J:J, NewEmisData!$A:$A, $G126, NewEmisData!$B:$B, $A126, NewEmisData!$C:$C, $H126, NewEmisData!$D:$D, BR$6)</f>
        <v>0</v>
      </c>
      <c r="BS126" s="1111">
        <f>SUMIFS(NewEmisData!K:K, NewEmisData!$A:$A, $G126, NewEmisData!$B:$B, $A126, NewEmisData!$C:$C, $H126, NewEmisData!$D:$D, BS$6)</f>
        <v>0</v>
      </c>
      <c r="BT126" s="1111">
        <f>SUMIFS(NewEmisData!L:L, NewEmisData!$A:$A, $G126, NewEmisData!$B:$B, $A126, NewEmisData!$C:$C, $H126, NewEmisData!$D:$D, BT$6)</f>
        <v>0</v>
      </c>
      <c r="BU126" s="1111">
        <f>SUMIFS(NewEmisData!M:M, NewEmisData!$A:$A, $G126, NewEmisData!$B:$B, $A126, NewEmisData!$C:$C, $H126, NewEmisData!$D:$D, BU$6)</f>
        <v>0</v>
      </c>
      <c r="BV126" s="1111">
        <f t="shared" si="212"/>
        <v>0</v>
      </c>
      <c r="BW126" s="1111">
        <f t="shared" si="213"/>
        <v>0</v>
      </c>
      <c r="BX126" s="1111">
        <f>SUMIFS(NewEmisData!E:E, NewEmisData!$A:$A, $G126, NewEmisData!$B:$B, $A126, NewEmisData!$C:$C, $H126, NewEmisData!$D:$D, BX$6)</f>
        <v>0</v>
      </c>
      <c r="BY126" s="1111">
        <f>SUMIFS(NewEmisData!F:F, NewEmisData!$A:$A, $G126, NewEmisData!$B:$B, $A126, NewEmisData!$C:$C, $H126, NewEmisData!$D:$D, BY$6)</f>
        <v>0</v>
      </c>
      <c r="BZ126" s="1111">
        <f>SUMIFS(NewEmisData!G:G, NewEmisData!$A:$A, $G126, NewEmisData!$B:$B, $A126, NewEmisData!$C:$C, $H126, NewEmisData!$D:$D, BZ$6)</f>
        <v>0</v>
      </c>
      <c r="CA126" s="1111">
        <f>SUMIFS(NewEmisData!H:H, NewEmisData!$A:$A, $G126, NewEmisData!$B:$B, $A126, NewEmisData!$C:$C, $H126, NewEmisData!$D:$D, CA$6)</f>
        <v>0</v>
      </c>
      <c r="CB126" s="1111">
        <f>SUMIFS(NewEmisData!I:I, NewEmisData!$A:$A, $G126, NewEmisData!$B:$B, $A126, NewEmisData!$C:$C, $H126, NewEmisData!$D:$D, CB$6)</f>
        <v>0</v>
      </c>
      <c r="CC126" s="1111">
        <f>SUMIFS(NewEmisData!J:J, NewEmisData!$A:$A, $G126, NewEmisData!$B:$B, $A126, NewEmisData!$C:$C, $H126, NewEmisData!$D:$D, CC$6)</f>
        <v>0</v>
      </c>
      <c r="CD126" s="1111">
        <f>SUMIFS(NewEmisData!K:K, NewEmisData!$A:$A, $G126, NewEmisData!$B:$B, $A126, NewEmisData!$C:$C, $H126, NewEmisData!$D:$D, CD$6)</f>
        <v>0</v>
      </c>
      <c r="CE126" s="1111">
        <f>SUMIFS(NewEmisData!L:L, NewEmisData!$A:$A, $G126, NewEmisData!$B:$B, $A126, NewEmisData!$C:$C, $H126, NewEmisData!$D:$D, CE$6)</f>
        <v>0</v>
      </c>
      <c r="CF126" s="1111">
        <f>SUMIFS(NewEmisData!M:M, NewEmisData!$A:$A, $G126, NewEmisData!$B:$B, $A126, NewEmisData!$C:$C, $H126, NewEmisData!$D:$D, CF$6)</f>
        <v>0</v>
      </c>
      <c r="CG126" s="1111">
        <f t="shared" si="214"/>
        <v>0</v>
      </c>
      <c r="CH126" s="1111">
        <f t="shared" si="215"/>
        <v>0</v>
      </c>
      <c r="CI126" s="1111">
        <f>SUMIFS(NewEmisData!E:E, NewEmisData!$A:$A, $G126, NewEmisData!$B:$B, $A126, NewEmisData!$C:$C, $H126, NewEmisData!$D:$D, CI$6)</f>
        <v>0</v>
      </c>
      <c r="CJ126" s="1111">
        <f>SUMIFS(NewEmisData!F:F, NewEmisData!$A:$A, $G126, NewEmisData!$B:$B, $A126, NewEmisData!$C:$C, $H126, NewEmisData!$D:$D, CJ$6)</f>
        <v>0</v>
      </c>
      <c r="CK126" s="1111">
        <f>SUMIFS(NewEmisData!G:G, NewEmisData!$A:$A, $G126, NewEmisData!$B:$B, $A126, NewEmisData!$C:$C, $H126, NewEmisData!$D:$D, CK$6)</f>
        <v>0</v>
      </c>
      <c r="CL126" s="1111">
        <f>SUMIFS(NewEmisData!H:H, NewEmisData!$A:$A, $G126, NewEmisData!$B:$B, $A126, NewEmisData!$C:$C, $H126, NewEmisData!$D:$D, CL$6)</f>
        <v>0</v>
      </c>
      <c r="CM126" s="1111">
        <f>SUMIFS(NewEmisData!I:I, NewEmisData!$A:$A, $G126, NewEmisData!$B:$B, $A126, NewEmisData!$C:$C, $H126, NewEmisData!$D:$D, CM$6)</f>
        <v>0</v>
      </c>
      <c r="CN126" s="1111">
        <f>SUMIFS(NewEmisData!J:J, NewEmisData!$A:$A, $G126, NewEmisData!$B:$B, $A126, NewEmisData!$C:$C, $H126, NewEmisData!$D:$D, CN$6)</f>
        <v>0</v>
      </c>
      <c r="CO126" s="1111">
        <f>SUMIFS(NewEmisData!K:K, NewEmisData!$A:$A, $G126, NewEmisData!$B:$B, $A126, NewEmisData!$C:$C, $H126, NewEmisData!$D:$D, CO$6)</f>
        <v>0</v>
      </c>
      <c r="CP126" s="1111">
        <f>SUMIFS(NewEmisData!L:L, NewEmisData!$A:$A, $G126, NewEmisData!$B:$B, $A126, NewEmisData!$C:$C, $H126, NewEmisData!$D:$D, CP$6)</f>
        <v>0</v>
      </c>
      <c r="CQ126" s="1111">
        <f>SUMIFS(NewEmisData!M:M, NewEmisData!$A:$A, $G126, NewEmisData!$B:$B, $A126, NewEmisData!$C:$C, $H126, NewEmisData!$D:$D, CQ$6)</f>
        <v>0</v>
      </c>
      <c r="CR126" s="1111">
        <f t="shared" si="216"/>
        <v>0</v>
      </c>
      <c r="CS126" s="1111">
        <f t="shared" si="217"/>
        <v>0</v>
      </c>
      <c r="CT126" s="1111">
        <f>SUMIFS(NewEmisData!E:E, NewEmisData!$A:$A, $G126, NewEmisData!$B:$B, $A126, NewEmisData!$C:$C, $H126, NewEmisData!$D:$D, CT$6)</f>
        <v>0</v>
      </c>
      <c r="CU126" s="1111">
        <f>SUMIFS(NewEmisData!F:F, NewEmisData!$A:$A, $G126, NewEmisData!$B:$B, $A126, NewEmisData!$C:$C, $H126, NewEmisData!$D:$D, CU$6)</f>
        <v>0</v>
      </c>
      <c r="CV126" s="1111">
        <f>SUMIFS(NewEmisData!G:G, NewEmisData!$A:$A, $G126, NewEmisData!$B:$B, $A126, NewEmisData!$C:$C, $H126, NewEmisData!$D:$D, CV$6)</f>
        <v>0</v>
      </c>
      <c r="CW126" s="1111">
        <f>SUMIFS(NewEmisData!H:H, NewEmisData!$A:$A, $G126, NewEmisData!$B:$B, $A126, NewEmisData!$C:$C, $H126, NewEmisData!$D:$D, CW$6)</f>
        <v>0</v>
      </c>
      <c r="CX126" s="1111">
        <f>SUMIFS(NewEmisData!I:I, NewEmisData!$A:$A, $G126, NewEmisData!$B:$B, $A126, NewEmisData!$C:$C, $H126, NewEmisData!$D:$D, CX$6)</f>
        <v>0</v>
      </c>
      <c r="CY126" s="1111">
        <f>SUMIFS(NewEmisData!J:J, NewEmisData!$A:$A, $G126, NewEmisData!$B:$B, $A126, NewEmisData!$C:$C, $H126, NewEmisData!$D:$D, CY$6)</f>
        <v>0</v>
      </c>
      <c r="CZ126" s="1111">
        <f>SUMIFS(NewEmisData!K:K, NewEmisData!$A:$A, $G126, NewEmisData!$B:$B, $A126, NewEmisData!$C:$C, $H126, NewEmisData!$D:$D, CZ$6)</f>
        <v>0</v>
      </c>
      <c r="DA126" s="1111">
        <f>SUMIFS(NewEmisData!L:L, NewEmisData!$A:$A, $G126, NewEmisData!$B:$B, $A126, NewEmisData!$C:$C, $H126, NewEmisData!$D:$D, DA$6)</f>
        <v>0</v>
      </c>
      <c r="DB126" s="1111">
        <f>SUMIFS(NewEmisData!M:M, NewEmisData!$A:$A, $G126, NewEmisData!$B:$B, $A126, NewEmisData!$C:$C, $H126, NewEmisData!$D:$D, DB$6)</f>
        <v>0</v>
      </c>
      <c r="DC126" s="1111">
        <f t="shared" si="188"/>
        <v>0</v>
      </c>
      <c r="DD126" s="1072"/>
      <c r="DE126" s="1072"/>
      <c r="DF126" s="1072"/>
      <c r="DG126" s="1072"/>
      <c r="DH126" s="1072"/>
      <c r="DI126" s="1072"/>
      <c r="DJ126" s="1072"/>
      <c r="DK126" s="1072"/>
      <c r="DL126" s="1072"/>
      <c r="DM126" s="1072"/>
      <c r="DN126" s="1072"/>
      <c r="DO126" s="1072"/>
      <c r="DP126" s="1072"/>
      <c r="DQ126" s="1072"/>
      <c r="DR126" s="1072"/>
      <c r="DS126" s="1072"/>
      <c r="DT126" s="1072"/>
      <c r="DU126" s="1072"/>
      <c r="DV126" s="1072"/>
      <c r="DW126" s="1072"/>
      <c r="DX126" s="1072"/>
      <c r="DY126" s="1072"/>
      <c r="DZ126" s="1111">
        <f t="shared" si="189"/>
        <v>0</v>
      </c>
      <c r="EA126" s="1111">
        <f>SUMIFS(NewEmisData!E:E, NewEmisData!$A:$A, $G126, NewEmisData!$B:$B, $A126, NewEmisData!$C:$C, $H126, NewEmisData!$D:$D, EA$6)</f>
        <v>0</v>
      </c>
      <c r="EB126" s="1111">
        <f>SUMIFS(NewEmisData!F:F, NewEmisData!$A:$A, $G126, NewEmisData!$B:$B, $A126, NewEmisData!$C:$C, $H126, NewEmisData!$D:$D, EB$6)</f>
        <v>0</v>
      </c>
      <c r="EC126" s="1111">
        <f>SUMIFS(NewEmisData!G:G, NewEmisData!$A:$A, $G126, NewEmisData!$B:$B, $A126, NewEmisData!$C:$C, $H126, NewEmisData!$D:$D, EC$6)</f>
        <v>0</v>
      </c>
      <c r="ED126" s="1111">
        <f>SUMIFS(NewEmisData!H:H, NewEmisData!$A:$A, $G126, NewEmisData!$B:$B, $A126, NewEmisData!$C:$C, $H126, NewEmisData!$D:$D, ED$6)</f>
        <v>0</v>
      </c>
      <c r="EE126" s="1111">
        <f>SUMIFS(NewEmisData!I:I, NewEmisData!$A:$A, $G126, NewEmisData!$B:$B, $A126, NewEmisData!$C:$C, $H126, NewEmisData!$D:$D, EE$6)</f>
        <v>0</v>
      </c>
      <c r="EF126" s="1111">
        <f>SUMIFS(NewEmisData!J:J, NewEmisData!$A:$A, $G126, NewEmisData!$B:$B, $A126, NewEmisData!$C:$C, $H126, NewEmisData!$D:$D, EF$6)</f>
        <v>0</v>
      </c>
      <c r="EG126" s="1111">
        <f>SUMIFS(NewEmisData!K:K, NewEmisData!$A:$A, $G126, NewEmisData!$B:$B, $A126, NewEmisData!$C:$C, $H126, NewEmisData!$D:$D, EG$6)</f>
        <v>0</v>
      </c>
      <c r="EH126" s="1111">
        <f>SUMIFS(NewEmisData!L:L, NewEmisData!$A:$A, $G126, NewEmisData!$B:$B, $A126, NewEmisData!$C:$C, $H126, NewEmisData!$D:$D, EH$6)</f>
        <v>0</v>
      </c>
      <c r="EI126" s="1111">
        <f>SUMIFS(NewEmisData!M:M, NewEmisData!$A:$A, $G126, NewEmisData!$B:$B, $A126, NewEmisData!$C:$C, $H126, NewEmisData!$D:$D, EI$6)</f>
        <v>0</v>
      </c>
      <c r="EJ126" s="1111">
        <f t="shared" si="218"/>
        <v>0</v>
      </c>
      <c r="EK126" s="1111">
        <f t="shared" si="219"/>
        <v>0</v>
      </c>
      <c r="EL126" s="1111">
        <f t="shared" si="154"/>
        <v>0</v>
      </c>
      <c r="EM126" s="1111">
        <f t="shared" si="155"/>
        <v>0</v>
      </c>
      <c r="EN126" s="1111">
        <f t="shared" si="156"/>
        <v>0</v>
      </c>
      <c r="EO126" s="1111">
        <f t="shared" si="157"/>
        <v>0</v>
      </c>
      <c r="EP126" s="1111">
        <f t="shared" si="158"/>
        <v>0</v>
      </c>
      <c r="EQ126" s="1111">
        <f t="shared" si="159"/>
        <v>0</v>
      </c>
      <c r="ER126" s="1111">
        <f t="shared" si="160"/>
        <v>0</v>
      </c>
      <c r="ES126" s="1111">
        <f t="shared" si="161"/>
        <v>0</v>
      </c>
      <c r="ET126" s="1111">
        <f t="shared" si="162"/>
        <v>0</v>
      </c>
      <c r="EU126" s="1111">
        <f t="shared" si="220"/>
        <v>0</v>
      </c>
      <c r="EV126" s="1111">
        <f t="shared" si="221"/>
        <v>0</v>
      </c>
      <c r="EW126" s="1111">
        <f t="shared" si="144"/>
        <v>0</v>
      </c>
      <c r="EX126" s="1111">
        <f t="shared" si="145"/>
        <v>0</v>
      </c>
      <c r="EY126" s="1111">
        <f t="shared" si="146"/>
        <v>0</v>
      </c>
      <c r="EZ126" s="1111">
        <f t="shared" si="147"/>
        <v>0</v>
      </c>
      <c r="FA126" s="1111">
        <f t="shared" si="148"/>
        <v>0</v>
      </c>
      <c r="FB126" s="1111">
        <f t="shared" si="149"/>
        <v>0</v>
      </c>
      <c r="FC126" s="1111">
        <f t="shared" si="150"/>
        <v>0</v>
      </c>
      <c r="FD126" s="1111">
        <f t="shared" si="151"/>
        <v>0</v>
      </c>
      <c r="FE126" s="1111">
        <f t="shared" si="152"/>
        <v>0</v>
      </c>
      <c r="FF126" s="1111">
        <f t="shared" si="222"/>
        <v>0</v>
      </c>
      <c r="FG126" s="1111">
        <f t="shared" si="223"/>
        <v>0</v>
      </c>
      <c r="FH126" s="1111">
        <f t="shared" si="194"/>
        <v>0</v>
      </c>
      <c r="FI126" s="1111">
        <f t="shared" si="195"/>
        <v>0</v>
      </c>
      <c r="FJ126" s="1111">
        <f t="shared" si="196"/>
        <v>0</v>
      </c>
      <c r="FK126" s="1111">
        <f t="shared" si="197"/>
        <v>0</v>
      </c>
      <c r="FL126" s="1111">
        <f t="shared" si="198"/>
        <v>0</v>
      </c>
      <c r="FM126" s="1111">
        <f t="shared" si="199"/>
        <v>0</v>
      </c>
      <c r="FN126" s="1111">
        <f t="shared" si="200"/>
        <v>0</v>
      </c>
      <c r="FO126" s="1111">
        <f t="shared" si="201"/>
        <v>0</v>
      </c>
      <c r="FP126" s="1111">
        <f t="shared" si="202"/>
        <v>0</v>
      </c>
      <c r="FQ126" s="1111">
        <f t="shared" si="224"/>
        <v>0</v>
      </c>
      <c r="FR126" s="1111">
        <f t="shared" si="225"/>
        <v>0.32025419056653998</v>
      </c>
      <c r="FS126" s="1111">
        <f t="shared" si="134"/>
        <v>0.32025419056653998</v>
      </c>
      <c r="FT126" s="1111">
        <f t="shared" si="135"/>
        <v>0.30735882190983999</v>
      </c>
      <c r="FU126" s="1111">
        <f t="shared" si="136"/>
        <v>0.39005101449211499</v>
      </c>
      <c r="FV126" s="1111">
        <f t="shared" si="137"/>
        <v>0.39066992241253701</v>
      </c>
      <c r="FW126" s="1111">
        <f t="shared" si="138"/>
        <v>0.38533543168497802</v>
      </c>
      <c r="FX126" s="1111">
        <f t="shared" si="139"/>
        <v>0.38210780865177602</v>
      </c>
      <c r="FY126" s="1111">
        <f t="shared" si="140"/>
        <v>0.38168461815948401</v>
      </c>
      <c r="FZ126" s="1111">
        <f t="shared" si="141"/>
        <v>0.38158273300441498</v>
      </c>
      <c r="GA126" s="1111">
        <f t="shared" si="142"/>
        <v>0.38159401668729898</v>
      </c>
      <c r="GB126" s="1111">
        <f t="shared" si="226"/>
        <v>0.38159401668729898</v>
      </c>
      <c r="GC126" s="1111">
        <f t="shared" si="227"/>
        <v>4.0776832803997499E-2</v>
      </c>
      <c r="GD126" s="1111">
        <f t="shared" si="165"/>
        <v>4.0776832803997499E-2</v>
      </c>
      <c r="GE126" s="1111">
        <f t="shared" si="166"/>
        <v>3.9141663319635298E-2</v>
      </c>
      <c r="GF126" s="1111">
        <f t="shared" si="167"/>
        <v>4.9523071403868003E-2</v>
      </c>
      <c r="GG126" s="1111">
        <f t="shared" si="168"/>
        <v>4.9601730365398403E-2</v>
      </c>
      <c r="GH126" s="1111">
        <f t="shared" si="169"/>
        <v>4.89258116983569E-2</v>
      </c>
      <c r="GI126" s="1111">
        <f t="shared" si="170"/>
        <v>4.8516952447921501E-2</v>
      </c>
      <c r="GJ126" s="1111">
        <f t="shared" si="171"/>
        <v>4.8463277650522503E-2</v>
      </c>
      <c r="GK126" s="1111">
        <f t="shared" si="172"/>
        <v>4.8450357125536803E-2</v>
      </c>
      <c r="GL126" s="1111">
        <f t="shared" si="173"/>
        <v>4.8451814981298101E-2</v>
      </c>
      <c r="GM126" s="1111">
        <f t="shared" si="174"/>
        <v>4.8451814981298101E-2</v>
      </c>
    </row>
    <row r="127" spans="1:195" s="265" customFormat="1" x14ac:dyDescent="0.2">
      <c r="A127" s="1071" t="s">
        <v>182</v>
      </c>
      <c r="B127" s="1071" t="s">
        <v>237</v>
      </c>
      <c r="C127" s="1071" t="s">
        <v>238</v>
      </c>
      <c r="D127" s="1071" t="str">
        <f>NewTech!D35</f>
        <v>bn-vmt, bn-vmt/a</v>
      </c>
      <c r="E127" s="1071" t="str">
        <f>NewTech!E35</f>
        <v>TRNELC</v>
      </c>
      <c r="F127" s="1071" t="str">
        <f>NewTech!F35</f>
        <v>TB</v>
      </c>
      <c r="G127" s="1115" t="s">
        <v>498</v>
      </c>
      <c r="H127" s="1113" t="s">
        <v>1961</v>
      </c>
      <c r="I127" s="1113">
        <v>1</v>
      </c>
      <c r="J127" s="1113" t="str">
        <f t="shared" si="228"/>
        <v>Bus-ELC</v>
      </c>
      <c r="K127" s="1111">
        <f>SUMIFS(NewEmisData!E:E, NewEmisData!$A:$A, $G127, NewEmisData!$B:$B, $A127, NewEmisData!$C:$C, $H127, NewEmisData!$D:$D, K$6)</f>
        <v>0</v>
      </c>
      <c r="L127" s="1111">
        <f>SUMIFS(NewEmisData!F:F, NewEmisData!$A:$A, $G127, NewEmisData!$B:$B, $A127, NewEmisData!$C:$C, $H127, NewEmisData!$D:$D, L$6)</f>
        <v>0</v>
      </c>
      <c r="M127" s="1111">
        <f>SUMIFS(NewEmisData!G:G, NewEmisData!$A:$A, $G127, NewEmisData!$B:$B, $A127, NewEmisData!$C:$C, $H127, NewEmisData!$D:$D, M$6)</f>
        <v>0</v>
      </c>
      <c r="N127" s="1111">
        <f>SUMIFS(NewEmisData!H:H, NewEmisData!$A:$A, $G127, NewEmisData!$B:$B, $A127, NewEmisData!$C:$C, $H127, NewEmisData!$D:$D, N$6)</f>
        <v>0</v>
      </c>
      <c r="O127" s="1111">
        <f>SUMIFS(NewEmisData!I:I, NewEmisData!$A:$A, $G127, NewEmisData!$B:$B, $A127, NewEmisData!$C:$C, $H127, NewEmisData!$D:$D, O$6)</f>
        <v>0</v>
      </c>
      <c r="P127" s="1111">
        <f>SUMIFS(NewEmisData!J:J, NewEmisData!$A:$A, $G127, NewEmisData!$B:$B, $A127, NewEmisData!$C:$C, $H127, NewEmisData!$D:$D, P$6)</f>
        <v>0</v>
      </c>
      <c r="Q127" s="1111">
        <f>SUMIFS(NewEmisData!K:K, NewEmisData!$A:$A, $G127, NewEmisData!$B:$B, $A127, NewEmisData!$C:$C, $H127, NewEmisData!$D:$D, Q$6)</f>
        <v>0</v>
      </c>
      <c r="R127" s="1111">
        <f>SUMIFS(NewEmisData!L:L, NewEmisData!$A:$A, $G127, NewEmisData!$B:$B, $A127, NewEmisData!$C:$C, $H127, NewEmisData!$D:$D, R$6)</f>
        <v>0</v>
      </c>
      <c r="S127" s="1111">
        <f>SUMIFS(NewEmisData!M:M, NewEmisData!$A:$A, $G127, NewEmisData!$B:$B, $A127, NewEmisData!$C:$C, $H127, NewEmisData!$D:$D, S$6)</f>
        <v>0</v>
      </c>
      <c r="T127" s="1111">
        <f t="shared" si="131"/>
        <v>0</v>
      </c>
      <c r="U127" s="1111">
        <f>SUMIFS(NewEmisData!E:E, NewEmisData!$A:$A, $G127, NewEmisData!$B:$B, $A127, NewEmisData!$C:$C, $H127, NewEmisData!$D:$D, U$6)</f>
        <v>0</v>
      </c>
      <c r="V127" s="1111">
        <f>SUMIFS(NewEmisData!F:F, NewEmisData!$A:$A, $G127, NewEmisData!$B:$B, $A127, NewEmisData!$C:$C, $H127, NewEmisData!$D:$D, V$6)</f>
        <v>0</v>
      </c>
      <c r="W127" s="1111">
        <f>SUMIFS(NewEmisData!G:G, NewEmisData!$A:$A, $G127, NewEmisData!$B:$B, $A127, NewEmisData!$C:$C, $H127, NewEmisData!$D:$D, W$6)</f>
        <v>0</v>
      </c>
      <c r="X127" s="1111">
        <f>SUMIFS(NewEmisData!H:H, NewEmisData!$A:$A, $G127, NewEmisData!$B:$B, $A127, NewEmisData!$C:$C, $H127, NewEmisData!$D:$D, X$6)</f>
        <v>0</v>
      </c>
      <c r="Y127" s="1111">
        <f>SUMIFS(NewEmisData!I:I, NewEmisData!$A:$A, $G127, NewEmisData!$B:$B, $A127, NewEmisData!$C:$C, $H127, NewEmisData!$D:$D, Y$6)</f>
        <v>0</v>
      </c>
      <c r="Z127" s="1111">
        <f>SUMIFS(NewEmisData!J:J, NewEmisData!$A:$A, $G127, NewEmisData!$B:$B, $A127, NewEmisData!$C:$C, $H127, NewEmisData!$D:$D, Z$6)</f>
        <v>0</v>
      </c>
      <c r="AA127" s="1111">
        <f>SUMIFS(NewEmisData!K:K, NewEmisData!$A:$A, $G127, NewEmisData!$B:$B, $A127, NewEmisData!$C:$C, $H127, NewEmisData!$D:$D, AA$6)</f>
        <v>0</v>
      </c>
      <c r="AB127" s="1111">
        <f>SUMIFS(NewEmisData!L:L, NewEmisData!$A:$A, $G127, NewEmisData!$B:$B, $A127, NewEmisData!$C:$C, $H127, NewEmisData!$D:$D, AB$6)</f>
        <v>0</v>
      </c>
      <c r="AC127" s="1111">
        <f>SUMIFS(NewEmisData!M:M, NewEmisData!$A:$A, $G127, NewEmisData!$B:$B, $A127, NewEmisData!$C:$C, $H127, NewEmisData!$D:$D, AC$6)</f>
        <v>0</v>
      </c>
      <c r="AD127" s="1111">
        <f t="shared" si="204"/>
        <v>0</v>
      </c>
      <c r="AE127" s="1111">
        <f t="shared" si="205"/>
        <v>0</v>
      </c>
      <c r="AF127" s="1111">
        <f>SUMIFS(NewEmisData!E:E, NewEmisData!$A:$A, $G127, NewEmisData!$B:$B, $A127, NewEmisData!$C:$C, $H127, NewEmisData!$D:$D, AF$6)</f>
        <v>0</v>
      </c>
      <c r="AG127" s="1111">
        <f>SUMIFS(NewEmisData!F:F, NewEmisData!$A:$A, $G127, NewEmisData!$B:$B, $A127, NewEmisData!$C:$C, $H127, NewEmisData!$D:$D, AG$6)</f>
        <v>0</v>
      </c>
      <c r="AH127" s="1111">
        <f>SUMIFS(NewEmisData!G:G, NewEmisData!$A:$A, $G127, NewEmisData!$B:$B, $A127, NewEmisData!$C:$C, $H127, NewEmisData!$D:$D, AH$6)</f>
        <v>0</v>
      </c>
      <c r="AI127" s="1111">
        <f>SUMIFS(NewEmisData!H:H, NewEmisData!$A:$A, $G127, NewEmisData!$B:$B, $A127, NewEmisData!$C:$C, $H127, NewEmisData!$D:$D, AI$6)</f>
        <v>0</v>
      </c>
      <c r="AJ127" s="1111">
        <f>SUMIFS(NewEmisData!I:I, NewEmisData!$A:$A, $G127, NewEmisData!$B:$B, $A127, NewEmisData!$C:$C, $H127, NewEmisData!$D:$D, AJ$6)</f>
        <v>0</v>
      </c>
      <c r="AK127" s="1111">
        <f>SUMIFS(NewEmisData!J:J, NewEmisData!$A:$A, $G127, NewEmisData!$B:$B, $A127, NewEmisData!$C:$C, $H127, NewEmisData!$D:$D, AK$6)</f>
        <v>0</v>
      </c>
      <c r="AL127" s="1111">
        <f>SUMIFS(NewEmisData!K:K, NewEmisData!$A:$A, $G127, NewEmisData!$B:$B, $A127, NewEmisData!$C:$C, $H127, NewEmisData!$D:$D, AL$6)</f>
        <v>0</v>
      </c>
      <c r="AM127" s="1111">
        <f>SUMIFS(NewEmisData!L:L, NewEmisData!$A:$A, $G127, NewEmisData!$B:$B, $A127, NewEmisData!$C:$C, $H127, NewEmisData!$D:$D, AM$6)</f>
        <v>0</v>
      </c>
      <c r="AN127" s="1111">
        <f>SUMIFS(NewEmisData!M:M, NewEmisData!$A:$A, $G127, NewEmisData!$B:$B, $A127, NewEmisData!$C:$C, $H127, NewEmisData!$D:$D, AN$6)</f>
        <v>0</v>
      </c>
      <c r="AO127" s="1111">
        <f t="shared" si="206"/>
        <v>0</v>
      </c>
      <c r="AP127" s="1111">
        <f t="shared" si="207"/>
        <v>0.28277996035796599</v>
      </c>
      <c r="AQ127" s="1111">
        <f>SUMIFS(NewEmisData!E:E, NewEmisData!$A:$A, $G127, NewEmisData!$B:$B, $A127, NewEmisData!$C:$C, $H127, NewEmisData!$D:$D, AQ$6)</f>
        <v>0.28277996035796599</v>
      </c>
      <c r="AR127" s="1111">
        <f>SUMIFS(NewEmisData!F:F, NewEmisData!$A:$A, $G127, NewEmisData!$B:$B, $A127, NewEmisData!$C:$C, $H127, NewEmisData!$D:$D, AR$6)</f>
        <v>0.28403962324753601</v>
      </c>
      <c r="AS127" s="1111">
        <f>SUMIFS(NewEmisData!G:G, NewEmisData!$A:$A, $G127, NewEmisData!$B:$B, $A127, NewEmisData!$C:$C, $H127, NewEmisData!$D:$D, AS$6)</f>
        <v>0.439680372173264</v>
      </c>
      <c r="AT127" s="1111">
        <f>SUMIFS(NewEmisData!H:H, NewEmisData!$A:$A, $G127, NewEmisData!$B:$B, $A127, NewEmisData!$C:$C, $H127, NewEmisData!$D:$D, AT$6)</f>
        <v>0.44099658421857602</v>
      </c>
      <c r="AU127" s="1111">
        <f>SUMIFS(NewEmisData!I:I, NewEmisData!$A:$A, $G127, NewEmisData!$B:$B, $A127, NewEmisData!$C:$C, $H127, NewEmisData!$D:$D, AU$6)</f>
        <v>0.433560526315594</v>
      </c>
      <c r="AV127" s="1111">
        <f>SUMIFS(NewEmisData!J:J, NewEmisData!$A:$A, $G127, NewEmisData!$B:$B, $A127, NewEmisData!$C:$C, $H127, NewEmisData!$D:$D, AV$6)</f>
        <v>0.42933826204539599</v>
      </c>
      <c r="AW127" s="1111">
        <f>SUMIFS(NewEmisData!K:K, NewEmisData!$A:$A, $G127, NewEmisData!$B:$B, $A127, NewEmisData!$C:$C, $H127, NewEmisData!$D:$D, AW$6)</f>
        <v>0.42878154898758097</v>
      </c>
      <c r="AX127" s="1111">
        <f>SUMIFS(NewEmisData!L:L, NewEmisData!$A:$A, $G127, NewEmisData!$B:$B, $A127, NewEmisData!$C:$C, $H127, NewEmisData!$D:$D, AX$6)</f>
        <v>0.42864825840065801</v>
      </c>
      <c r="AY127" s="1111">
        <f>SUMIFS(NewEmisData!M:M, NewEmisData!$A:$A, $G127, NewEmisData!$B:$B, $A127, NewEmisData!$C:$C, $H127, NewEmisData!$D:$D, AY$6)</f>
        <v>0.42866959782549302</v>
      </c>
      <c r="AZ127" s="1111">
        <f t="shared" si="208"/>
        <v>0.42866959782549302</v>
      </c>
      <c r="BA127" s="1111">
        <f t="shared" si="209"/>
        <v>3.5985561302258398E-2</v>
      </c>
      <c r="BB127" s="1111">
        <f>SUMIFS(NewEmisData!E:E, NewEmisData!$A:$A, $G127, NewEmisData!$B:$B, $A127, NewEmisData!$C:$C, $H127, NewEmisData!$D:$D, BB$6)</f>
        <v>3.5985561302258398E-2</v>
      </c>
      <c r="BC127" s="1111">
        <f>SUMIFS(NewEmisData!F:F, NewEmisData!$A:$A, $G127, NewEmisData!$B:$B, $A127, NewEmisData!$C:$C, $H127, NewEmisData!$D:$D, BC$6)</f>
        <v>3.6151916846221502E-2</v>
      </c>
      <c r="BD127" s="1111">
        <f>SUMIFS(NewEmisData!G:G, NewEmisData!$A:$A, $G127, NewEmisData!$B:$B, $A127, NewEmisData!$C:$C, $H127, NewEmisData!$D:$D, BD$6)</f>
        <v>5.5660815141034201E-2</v>
      </c>
      <c r="BE127" s="1111">
        <f>SUMIFS(NewEmisData!H:H, NewEmisData!$A:$A, $G127, NewEmisData!$B:$B, $A127, NewEmisData!$C:$C, $H127, NewEmisData!$D:$D, BE$6)</f>
        <v>5.5828047810141897E-2</v>
      </c>
      <c r="BF127" s="1111">
        <f>SUMIFS(NewEmisData!I:I, NewEmisData!$A:$A, $G127, NewEmisData!$B:$B, $A127, NewEmisData!$C:$C, $H127, NewEmisData!$D:$D, BF$6)</f>
        <v>5.4890097193820798E-2</v>
      </c>
      <c r="BG127" s="1111">
        <f>SUMIFS(NewEmisData!J:J, NewEmisData!$A:$A, $G127, NewEmisData!$B:$B, $A127, NewEmisData!$C:$C, $H127, NewEmisData!$D:$D, BG$6)</f>
        <v>5.4357782630601099E-2</v>
      </c>
      <c r="BH127" s="1111">
        <f>SUMIFS(NewEmisData!K:K, NewEmisData!$A:$A, $G127, NewEmisData!$B:$B, $A127, NewEmisData!$C:$C, $H127, NewEmisData!$D:$D, BH$6)</f>
        <v>5.42874936769858E-2</v>
      </c>
      <c r="BI127" s="1111">
        <f>SUMIFS(NewEmisData!L:L, NewEmisData!$A:$A, $G127, NewEmisData!$B:$B, $A127, NewEmisData!$C:$C, $H127, NewEmisData!$D:$D, BI$6)</f>
        <v>5.4270677380055601E-2</v>
      </c>
      <c r="BJ127" s="1111">
        <f>SUMIFS(NewEmisData!M:M, NewEmisData!$A:$A, $G127, NewEmisData!$B:$B, $A127, NewEmisData!$C:$C, $H127, NewEmisData!$D:$D, BJ$6)</f>
        <v>5.42734513075935E-2</v>
      </c>
      <c r="BK127" s="1111">
        <f t="shared" si="210"/>
        <v>5.42734513075935E-2</v>
      </c>
      <c r="BL127" s="1111">
        <f t="shared" si="211"/>
        <v>0</v>
      </c>
      <c r="BM127" s="1111">
        <f>SUMIFS(NewEmisData!E:E, NewEmisData!$A:$A, $G127, NewEmisData!$B:$B, $A127, NewEmisData!$C:$C, $H127, NewEmisData!$D:$D, BM$6)</f>
        <v>0</v>
      </c>
      <c r="BN127" s="1111">
        <f>SUMIFS(NewEmisData!F:F, NewEmisData!$A:$A, $G127, NewEmisData!$B:$B, $A127, NewEmisData!$C:$C, $H127, NewEmisData!$D:$D, BN$6)</f>
        <v>0</v>
      </c>
      <c r="BO127" s="1111">
        <f>SUMIFS(NewEmisData!G:G, NewEmisData!$A:$A, $G127, NewEmisData!$B:$B, $A127, NewEmisData!$C:$C, $H127, NewEmisData!$D:$D, BO$6)</f>
        <v>0</v>
      </c>
      <c r="BP127" s="1111">
        <f>SUMIFS(NewEmisData!H:H, NewEmisData!$A:$A, $G127, NewEmisData!$B:$B, $A127, NewEmisData!$C:$C, $H127, NewEmisData!$D:$D, BP$6)</f>
        <v>0</v>
      </c>
      <c r="BQ127" s="1111">
        <f>SUMIFS(NewEmisData!I:I, NewEmisData!$A:$A, $G127, NewEmisData!$B:$B, $A127, NewEmisData!$C:$C, $H127, NewEmisData!$D:$D, BQ$6)</f>
        <v>0</v>
      </c>
      <c r="BR127" s="1111">
        <f>SUMIFS(NewEmisData!J:J, NewEmisData!$A:$A, $G127, NewEmisData!$B:$B, $A127, NewEmisData!$C:$C, $H127, NewEmisData!$D:$D, BR$6)</f>
        <v>0</v>
      </c>
      <c r="BS127" s="1111">
        <f>SUMIFS(NewEmisData!K:K, NewEmisData!$A:$A, $G127, NewEmisData!$B:$B, $A127, NewEmisData!$C:$C, $H127, NewEmisData!$D:$D, BS$6)</f>
        <v>0</v>
      </c>
      <c r="BT127" s="1111">
        <f>SUMIFS(NewEmisData!L:L, NewEmisData!$A:$A, $G127, NewEmisData!$B:$B, $A127, NewEmisData!$C:$C, $H127, NewEmisData!$D:$D, BT$6)</f>
        <v>0</v>
      </c>
      <c r="BU127" s="1111">
        <f>SUMIFS(NewEmisData!M:M, NewEmisData!$A:$A, $G127, NewEmisData!$B:$B, $A127, NewEmisData!$C:$C, $H127, NewEmisData!$D:$D, BU$6)</f>
        <v>0</v>
      </c>
      <c r="BV127" s="1111">
        <f t="shared" si="212"/>
        <v>0</v>
      </c>
      <c r="BW127" s="1111">
        <f t="shared" si="213"/>
        <v>0</v>
      </c>
      <c r="BX127" s="1111">
        <f>SUMIFS(NewEmisData!E:E, NewEmisData!$A:$A, $G127, NewEmisData!$B:$B, $A127, NewEmisData!$C:$C, $H127, NewEmisData!$D:$D, BX$6)</f>
        <v>0</v>
      </c>
      <c r="BY127" s="1111">
        <f>SUMIFS(NewEmisData!F:F, NewEmisData!$A:$A, $G127, NewEmisData!$B:$B, $A127, NewEmisData!$C:$C, $H127, NewEmisData!$D:$D, BY$6)</f>
        <v>0</v>
      </c>
      <c r="BZ127" s="1111">
        <f>SUMIFS(NewEmisData!G:G, NewEmisData!$A:$A, $G127, NewEmisData!$B:$B, $A127, NewEmisData!$C:$C, $H127, NewEmisData!$D:$D, BZ$6)</f>
        <v>0</v>
      </c>
      <c r="CA127" s="1111">
        <f>SUMIFS(NewEmisData!H:H, NewEmisData!$A:$A, $G127, NewEmisData!$B:$B, $A127, NewEmisData!$C:$C, $H127, NewEmisData!$D:$D, CA$6)</f>
        <v>0</v>
      </c>
      <c r="CB127" s="1111">
        <f>SUMIFS(NewEmisData!I:I, NewEmisData!$A:$A, $G127, NewEmisData!$B:$B, $A127, NewEmisData!$C:$C, $H127, NewEmisData!$D:$D, CB$6)</f>
        <v>0</v>
      </c>
      <c r="CC127" s="1111">
        <f>SUMIFS(NewEmisData!J:J, NewEmisData!$A:$A, $G127, NewEmisData!$B:$B, $A127, NewEmisData!$C:$C, $H127, NewEmisData!$D:$D, CC$6)</f>
        <v>0</v>
      </c>
      <c r="CD127" s="1111">
        <f>SUMIFS(NewEmisData!K:K, NewEmisData!$A:$A, $G127, NewEmisData!$B:$B, $A127, NewEmisData!$C:$C, $H127, NewEmisData!$D:$D, CD$6)</f>
        <v>0</v>
      </c>
      <c r="CE127" s="1111">
        <f>SUMIFS(NewEmisData!L:L, NewEmisData!$A:$A, $G127, NewEmisData!$B:$B, $A127, NewEmisData!$C:$C, $H127, NewEmisData!$D:$D, CE$6)</f>
        <v>0</v>
      </c>
      <c r="CF127" s="1111">
        <f>SUMIFS(NewEmisData!M:M, NewEmisData!$A:$A, $G127, NewEmisData!$B:$B, $A127, NewEmisData!$C:$C, $H127, NewEmisData!$D:$D, CF$6)</f>
        <v>0</v>
      </c>
      <c r="CG127" s="1111">
        <f t="shared" si="214"/>
        <v>0</v>
      </c>
      <c r="CH127" s="1111">
        <f t="shared" si="215"/>
        <v>0</v>
      </c>
      <c r="CI127" s="1111">
        <f>SUMIFS(NewEmisData!E:E, NewEmisData!$A:$A, $G127, NewEmisData!$B:$B, $A127, NewEmisData!$C:$C, $H127, NewEmisData!$D:$D, CI$6)</f>
        <v>0</v>
      </c>
      <c r="CJ127" s="1111">
        <f>SUMIFS(NewEmisData!F:F, NewEmisData!$A:$A, $G127, NewEmisData!$B:$B, $A127, NewEmisData!$C:$C, $H127, NewEmisData!$D:$D, CJ$6)</f>
        <v>0</v>
      </c>
      <c r="CK127" s="1111">
        <f>SUMIFS(NewEmisData!G:G, NewEmisData!$A:$A, $G127, NewEmisData!$B:$B, $A127, NewEmisData!$C:$C, $H127, NewEmisData!$D:$D, CK$6)</f>
        <v>0</v>
      </c>
      <c r="CL127" s="1111">
        <f>SUMIFS(NewEmisData!H:H, NewEmisData!$A:$A, $G127, NewEmisData!$B:$B, $A127, NewEmisData!$C:$C, $H127, NewEmisData!$D:$D, CL$6)</f>
        <v>0</v>
      </c>
      <c r="CM127" s="1111">
        <f>SUMIFS(NewEmisData!I:I, NewEmisData!$A:$A, $G127, NewEmisData!$B:$B, $A127, NewEmisData!$C:$C, $H127, NewEmisData!$D:$D, CM$6)</f>
        <v>0</v>
      </c>
      <c r="CN127" s="1111">
        <f>SUMIFS(NewEmisData!J:J, NewEmisData!$A:$A, $G127, NewEmisData!$B:$B, $A127, NewEmisData!$C:$C, $H127, NewEmisData!$D:$D, CN$6)</f>
        <v>0</v>
      </c>
      <c r="CO127" s="1111">
        <f>SUMIFS(NewEmisData!K:K, NewEmisData!$A:$A, $G127, NewEmisData!$B:$B, $A127, NewEmisData!$C:$C, $H127, NewEmisData!$D:$D, CO$6)</f>
        <v>0</v>
      </c>
      <c r="CP127" s="1111">
        <f>SUMIFS(NewEmisData!L:L, NewEmisData!$A:$A, $G127, NewEmisData!$B:$B, $A127, NewEmisData!$C:$C, $H127, NewEmisData!$D:$D, CP$6)</f>
        <v>0</v>
      </c>
      <c r="CQ127" s="1111">
        <f>SUMIFS(NewEmisData!M:M, NewEmisData!$A:$A, $G127, NewEmisData!$B:$B, $A127, NewEmisData!$C:$C, $H127, NewEmisData!$D:$D, CQ$6)</f>
        <v>0</v>
      </c>
      <c r="CR127" s="1111">
        <f t="shared" si="216"/>
        <v>0</v>
      </c>
      <c r="CS127" s="1111">
        <f t="shared" si="217"/>
        <v>0</v>
      </c>
      <c r="CT127" s="1111">
        <f>SUMIFS(NewEmisData!E:E, NewEmisData!$A:$A, $G127, NewEmisData!$B:$B, $A127, NewEmisData!$C:$C, $H127, NewEmisData!$D:$D, CT$6)</f>
        <v>0</v>
      </c>
      <c r="CU127" s="1111">
        <f>SUMIFS(NewEmisData!F:F, NewEmisData!$A:$A, $G127, NewEmisData!$B:$B, $A127, NewEmisData!$C:$C, $H127, NewEmisData!$D:$D, CU$6)</f>
        <v>0</v>
      </c>
      <c r="CV127" s="1111">
        <f>SUMIFS(NewEmisData!G:G, NewEmisData!$A:$A, $G127, NewEmisData!$B:$B, $A127, NewEmisData!$C:$C, $H127, NewEmisData!$D:$D, CV$6)</f>
        <v>0</v>
      </c>
      <c r="CW127" s="1111">
        <f>SUMIFS(NewEmisData!H:H, NewEmisData!$A:$A, $G127, NewEmisData!$B:$B, $A127, NewEmisData!$C:$C, $H127, NewEmisData!$D:$D, CW$6)</f>
        <v>0</v>
      </c>
      <c r="CX127" s="1111">
        <f>SUMIFS(NewEmisData!I:I, NewEmisData!$A:$A, $G127, NewEmisData!$B:$B, $A127, NewEmisData!$C:$C, $H127, NewEmisData!$D:$D, CX$6)</f>
        <v>0</v>
      </c>
      <c r="CY127" s="1111">
        <f>SUMIFS(NewEmisData!J:J, NewEmisData!$A:$A, $G127, NewEmisData!$B:$B, $A127, NewEmisData!$C:$C, $H127, NewEmisData!$D:$D, CY$6)</f>
        <v>0</v>
      </c>
      <c r="CZ127" s="1111">
        <f>SUMIFS(NewEmisData!K:K, NewEmisData!$A:$A, $G127, NewEmisData!$B:$B, $A127, NewEmisData!$C:$C, $H127, NewEmisData!$D:$D, CZ$6)</f>
        <v>0</v>
      </c>
      <c r="DA127" s="1111">
        <f>SUMIFS(NewEmisData!L:L, NewEmisData!$A:$A, $G127, NewEmisData!$B:$B, $A127, NewEmisData!$C:$C, $H127, NewEmisData!$D:$D, DA$6)</f>
        <v>0</v>
      </c>
      <c r="DB127" s="1111">
        <f>SUMIFS(NewEmisData!M:M, NewEmisData!$A:$A, $G127, NewEmisData!$B:$B, $A127, NewEmisData!$C:$C, $H127, NewEmisData!$D:$D, DB$6)</f>
        <v>0</v>
      </c>
      <c r="DC127" s="1111">
        <f t="shared" si="188"/>
        <v>0</v>
      </c>
      <c r="DD127" s="1072"/>
      <c r="DE127" s="1072"/>
      <c r="DF127" s="1072"/>
      <c r="DG127" s="1072"/>
      <c r="DH127" s="1072"/>
      <c r="DI127" s="1072"/>
      <c r="DJ127" s="1072"/>
      <c r="DK127" s="1072"/>
      <c r="DL127" s="1072"/>
      <c r="DM127" s="1072"/>
      <c r="DN127" s="1072"/>
      <c r="DO127" s="1072"/>
      <c r="DP127" s="1072"/>
      <c r="DQ127" s="1072"/>
      <c r="DR127" s="1072"/>
      <c r="DS127" s="1072"/>
      <c r="DT127" s="1072"/>
      <c r="DU127" s="1072"/>
      <c r="DV127" s="1072"/>
      <c r="DW127" s="1072"/>
      <c r="DX127" s="1072"/>
      <c r="DY127" s="1072"/>
      <c r="DZ127" s="1111">
        <f t="shared" si="189"/>
        <v>0</v>
      </c>
      <c r="EA127" s="1111">
        <f>SUMIFS(NewEmisData!E:E, NewEmisData!$A:$A, $G127, NewEmisData!$B:$B, $A127, NewEmisData!$C:$C, $H127, NewEmisData!$D:$D, EA$6)</f>
        <v>0</v>
      </c>
      <c r="EB127" s="1111">
        <f>SUMIFS(NewEmisData!F:F, NewEmisData!$A:$A, $G127, NewEmisData!$B:$B, $A127, NewEmisData!$C:$C, $H127, NewEmisData!$D:$D, EB$6)</f>
        <v>0</v>
      </c>
      <c r="EC127" s="1111">
        <f>SUMIFS(NewEmisData!G:G, NewEmisData!$A:$A, $G127, NewEmisData!$B:$B, $A127, NewEmisData!$C:$C, $H127, NewEmisData!$D:$D, EC$6)</f>
        <v>0</v>
      </c>
      <c r="ED127" s="1111">
        <f>SUMIFS(NewEmisData!H:H, NewEmisData!$A:$A, $G127, NewEmisData!$B:$B, $A127, NewEmisData!$C:$C, $H127, NewEmisData!$D:$D, ED$6)</f>
        <v>0</v>
      </c>
      <c r="EE127" s="1111">
        <f>SUMIFS(NewEmisData!I:I, NewEmisData!$A:$A, $G127, NewEmisData!$B:$B, $A127, NewEmisData!$C:$C, $H127, NewEmisData!$D:$D, EE$6)</f>
        <v>0</v>
      </c>
      <c r="EF127" s="1111">
        <f>SUMIFS(NewEmisData!J:J, NewEmisData!$A:$A, $G127, NewEmisData!$B:$B, $A127, NewEmisData!$C:$C, $H127, NewEmisData!$D:$D, EF$6)</f>
        <v>0</v>
      </c>
      <c r="EG127" s="1111">
        <f>SUMIFS(NewEmisData!K:K, NewEmisData!$A:$A, $G127, NewEmisData!$B:$B, $A127, NewEmisData!$C:$C, $H127, NewEmisData!$D:$D, EG$6)</f>
        <v>0</v>
      </c>
      <c r="EH127" s="1111">
        <f>SUMIFS(NewEmisData!L:L, NewEmisData!$A:$A, $G127, NewEmisData!$B:$B, $A127, NewEmisData!$C:$C, $H127, NewEmisData!$D:$D, EH$6)</f>
        <v>0</v>
      </c>
      <c r="EI127" s="1111">
        <f>SUMIFS(NewEmisData!M:M, NewEmisData!$A:$A, $G127, NewEmisData!$B:$B, $A127, NewEmisData!$C:$C, $H127, NewEmisData!$D:$D, EI$6)</f>
        <v>0</v>
      </c>
      <c r="EJ127" s="1111">
        <f t="shared" si="218"/>
        <v>0</v>
      </c>
      <c r="EK127" s="1111">
        <f t="shared" si="219"/>
        <v>0</v>
      </c>
      <c r="EL127" s="1111">
        <f t="shared" si="154"/>
        <v>0</v>
      </c>
      <c r="EM127" s="1111">
        <f t="shared" si="155"/>
        <v>0</v>
      </c>
      <c r="EN127" s="1111">
        <f t="shared" si="156"/>
        <v>0</v>
      </c>
      <c r="EO127" s="1111">
        <f t="shared" si="157"/>
        <v>0</v>
      </c>
      <c r="EP127" s="1111">
        <f t="shared" si="158"/>
        <v>0</v>
      </c>
      <c r="EQ127" s="1111">
        <f t="shared" si="159"/>
        <v>0</v>
      </c>
      <c r="ER127" s="1111">
        <f t="shared" si="160"/>
        <v>0</v>
      </c>
      <c r="ES127" s="1111">
        <f t="shared" si="161"/>
        <v>0</v>
      </c>
      <c r="ET127" s="1111">
        <f t="shared" si="162"/>
        <v>0</v>
      </c>
      <c r="EU127" s="1111">
        <f t="shared" si="220"/>
        <v>0</v>
      </c>
      <c r="EV127" s="1111">
        <f t="shared" si="221"/>
        <v>0</v>
      </c>
      <c r="EW127" s="1111">
        <f t="shared" si="144"/>
        <v>0</v>
      </c>
      <c r="EX127" s="1111">
        <f t="shared" si="145"/>
        <v>0</v>
      </c>
      <c r="EY127" s="1111">
        <f t="shared" si="146"/>
        <v>0</v>
      </c>
      <c r="EZ127" s="1111">
        <f t="shared" si="147"/>
        <v>0</v>
      </c>
      <c r="FA127" s="1111">
        <f t="shared" si="148"/>
        <v>0</v>
      </c>
      <c r="FB127" s="1111">
        <f t="shared" si="149"/>
        <v>0</v>
      </c>
      <c r="FC127" s="1111">
        <f t="shared" si="150"/>
        <v>0</v>
      </c>
      <c r="FD127" s="1111">
        <f t="shared" si="151"/>
        <v>0</v>
      </c>
      <c r="FE127" s="1111">
        <f t="shared" si="152"/>
        <v>0</v>
      </c>
      <c r="FF127" s="1111">
        <f t="shared" si="222"/>
        <v>0</v>
      </c>
      <c r="FG127" s="1111">
        <f t="shared" si="223"/>
        <v>0</v>
      </c>
      <c r="FH127" s="1111">
        <f t="shared" si="194"/>
        <v>0</v>
      </c>
      <c r="FI127" s="1111">
        <f t="shared" si="195"/>
        <v>0</v>
      </c>
      <c r="FJ127" s="1111">
        <f t="shared" si="196"/>
        <v>0</v>
      </c>
      <c r="FK127" s="1111">
        <f t="shared" si="197"/>
        <v>0</v>
      </c>
      <c r="FL127" s="1111">
        <f t="shared" si="198"/>
        <v>0</v>
      </c>
      <c r="FM127" s="1111">
        <f t="shared" si="199"/>
        <v>0</v>
      </c>
      <c r="FN127" s="1111">
        <f t="shared" si="200"/>
        <v>0</v>
      </c>
      <c r="FO127" s="1111">
        <f t="shared" si="201"/>
        <v>0</v>
      </c>
      <c r="FP127" s="1111">
        <f t="shared" si="202"/>
        <v>0</v>
      </c>
      <c r="FQ127" s="1111">
        <f t="shared" si="224"/>
        <v>0</v>
      </c>
      <c r="FR127" s="1111">
        <f t="shared" si="225"/>
        <v>0.28277996035796599</v>
      </c>
      <c r="FS127" s="1111">
        <f t="shared" si="134"/>
        <v>0.28277996035796599</v>
      </c>
      <c r="FT127" s="1111">
        <f t="shared" si="135"/>
        <v>0.28403962324753601</v>
      </c>
      <c r="FU127" s="1111">
        <f t="shared" si="136"/>
        <v>0.439680372173264</v>
      </c>
      <c r="FV127" s="1111">
        <f t="shared" si="137"/>
        <v>0.44099658421857602</v>
      </c>
      <c r="FW127" s="1111">
        <f t="shared" si="138"/>
        <v>0.433560526315594</v>
      </c>
      <c r="FX127" s="1111">
        <f t="shared" si="139"/>
        <v>0.42933826204539599</v>
      </c>
      <c r="FY127" s="1111">
        <f t="shared" si="140"/>
        <v>0.42878154898758097</v>
      </c>
      <c r="FZ127" s="1111">
        <f t="shared" si="141"/>
        <v>0.42864825840065801</v>
      </c>
      <c r="GA127" s="1111">
        <f t="shared" si="142"/>
        <v>0.42866959782549302</v>
      </c>
      <c r="GB127" s="1111">
        <f t="shared" si="226"/>
        <v>0.42866959782549302</v>
      </c>
      <c r="GC127" s="1111">
        <f t="shared" si="227"/>
        <v>3.5985561302258398E-2</v>
      </c>
      <c r="GD127" s="1111">
        <f t="shared" si="165"/>
        <v>3.5985561302258398E-2</v>
      </c>
      <c r="GE127" s="1111">
        <f t="shared" si="166"/>
        <v>3.6151916846221502E-2</v>
      </c>
      <c r="GF127" s="1111">
        <f t="shared" si="167"/>
        <v>5.5660815141034201E-2</v>
      </c>
      <c r="GG127" s="1111">
        <f t="shared" si="168"/>
        <v>5.5828047810141897E-2</v>
      </c>
      <c r="GH127" s="1111">
        <f t="shared" si="169"/>
        <v>5.4890097193820798E-2</v>
      </c>
      <c r="GI127" s="1111">
        <f t="shared" si="170"/>
        <v>5.4357782630601099E-2</v>
      </c>
      <c r="GJ127" s="1111">
        <f t="shared" si="171"/>
        <v>5.42874936769858E-2</v>
      </c>
      <c r="GK127" s="1111">
        <f t="shared" si="172"/>
        <v>5.4270677380055601E-2</v>
      </c>
      <c r="GL127" s="1111">
        <f t="shared" si="173"/>
        <v>5.42734513075935E-2</v>
      </c>
      <c r="GM127" s="1111">
        <f t="shared" si="174"/>
        <v>5.42734513075935E-2</v>
      </c>
    </row>
    <row r="128" spans="1:195" s="265" customFormat="1" x14ac:dyDescent="0.2">
      <c r="A128" s="1071" t="s">
        <v>184</v>
      </c>
      <c r="B128" s="1071" t="s">
        <v>237</v>
      </c>
      <c r="C128" s="1071" t="s">
        <v>238</v>
      </c>
      <c r="D128" s="1071" t="str">
        <f>NewTech!D35</f>
        <v>bn-vmt, bn-vmt/a</v>
      </c>
      <c r="E128" s="1071" t="str">
        <f>NewTech!E35</f>
        <v>TRNELC</v>
      </c>
      <c r="F128" s="1071" t="str">
        <f>NewTech!F35</f>
        <v>TB</v>
      </c>
      <c r="G128" s="1115" t="s">
        <v>498</v>
      </c>
      <c r="H128" s="1113" t="s">
        <v>1961</v>
      </c>
      <c r="I128" s="1113">
        <v>1</v>
      </c>
      <c r="J128" s="1113" t="str">
        <f t="shared" si="228"/>
        <v>Bus-ELC</v>
      </c>
      <c r="K128" s="1111">
        <f>SUMIFS(NewEmisData!E:E, NewEmisData!$A:$A, $G128, NewEmisData!$B:$B, $A128, NewEmisData!$C:$C, $H128, NewEmisData!$D:$D, K$6)</f>
        <v>0</v>
      </c>
      <c r="L128" s="1111">
        <f>SUMIFS(NewEmisData!F:F, NewEmisData!$A:$A, $G128, NewEmisData!$B:$B, $A128, NewEmisData!$C:$C, $H128, NewEmisData!$D:$D, L$6)</f>
        <v>0</v>
      </c>
      <c r="M128" s="1111">
        <f>SUMIFS(NewEmisData!G:G, NewEmisData!$A:$A, $G128, NewEmisData!$B:$B, $A128, NewEmisData!$C:$C, $H128, NewEmisData!$D:$D, M$6)</f>
        <v>0</v>
      </c>
      <c r="N128" s="1111">
        <f>SUMIFS(NewEmisData!H:H, NewEmisData!$A:$A, $G128, NewEmisData!$B:$B, $A128, NewEmisData!$C:$C, $H128, NewEmisData!$D:$D, N$6)</f>
        <v>0</v>
      </c>
      <c r="O128" s="1111">
        <f>SUMIFS(NewEmisData!I:I, NewEmisData!$A:$A, $G128, NewEmisData!$B:$B, $A128, NewEmisData!$C:$C, $H128, NewEmisData!$D:$D, O$6)</f>
        <v>0</v>
      </c>
      <c r="P128" s="1111">
        <f>SUMIFS(NewEmisData!J:J, NewEmisData!$A:$A, $G128, NewEmisData!$B:$B, $A128, NewEmisData!$C:$C, $H128, NewEmisData!$D:$D, P$6)</f>
        <v>0</v>
      </c>
      <c r="Q128" s="1111">
        <f>SUMIFS(NewEmisData!K:K, NewEmisData!$A:$A, $G128, NewEmisData!$B:$B, $A128, NewEmisData!$C:$C, $H128, NewEmisData!$D:$D, Q$6)</f>
        <v>0</v>
      </c>
      <c r="R128" s="1111">
        <f>SUMIFS(NewEmisData!L:L, NewEmisData!$A:$A, $G128, NewEmisData!$B:$B, $A128, NewEmisData!$C:$C, $H128, NewEmisData!$D:$D, R$6)</f>
        <v>0</v>
      </c>
      <c r="S128" s="1111">
        <f>SUMIFS(NewEmisData!M:M, NewEmisData!$A:$A, $G128, NewEmisData!$B:$B, $A128, NewEmisData!$C:$C, $H128, NewEmisData!$D:$D, S$6)</f>
        <v>0</v>
      </c>
      <c r="T128" s="1111">
        <f t="shared" si="131"/>
        <v>0</v>
      </c>
      <c r="U128" s="1111">
        <f>SUMIFS(NewEmisData!E:E, NewEmisData!$A:$A, $G128, NewEmisData!$B:$B, $A128, NewEmisData!$C:$C, $H128, NewEmisData!$D:$D, U$6)</f>
        <v>0</v>
      </c>
      <c r="V128" s="1111">
        <f>SUMIFS(NewEmisData!F:F, NewEmisData!$A:$A, $G128, NewEmisData!$B:$B, $A128, NewEmisData!$C:$C, $H128, NewEmisData!$D:$D, V$6)</f>
        <v>0</v>
      </c>
      <c r="W128" s="1111">
        <f>SUMIFS(NewEmisData!G:G, NewEmisData!$A:$A, $G128, NewEmisData!$B:$B, $A128, NewEmisData!$C:$C, $H128, NewEmisData!$D:$D, W$6)</f>
        <v>0</v>
      </c>
      <c r="X128" s="1111">
        <f>SUMIFS(NewEmisData!H:H, NewEmisData!$A:$A, $G128, NewEmisData!$B:$B, $A128, NewEmisData!$C:$C, $H128, NewEmisData!$D:$D, X$6)</f>
        <v>0</v>
      </c>
      <c r="Y128" s="1111">
        <f>SUMIFS(NewEmisData!I:I, NewEmisData!$A:$A, $G128, NewEmisData!$B:$B, $A128, NewEmisData!$C:$C, $H128, NewEmisData!$D:$D, Y$6)</f>
        <v>0</v>
      </c>
      <c r="Z128" s="1111">
        <f>SUMIFS(NewEmisData!J:J, NewEmisData!$A:$A, $G128, NewEmisData!$B:$B, $A128, NewEmisData!$C:$C, $H128, NewEmisData!$D:$D, Z$6)</f>
        <v>0</v>
      </c>
      <c r="AA128" s="1111">
        <f>SUMIFS(NewEmisData!K:K, NewEmisData!$A:$A, $G128, NewEmisData!$B:$B, $A128, NewEmisData!$C:$C, $H128, NewEmisData!$D:$D, AA$6)</f>
        <v>0</v>
      </c>
      <c r="AB128" s="1111">
        <f>SUMIFS(NewEmisData!L:L, NewEmisData!$A:$A, $G128, NewEmisData!$B:$B, $A128, NewEmisData!$C:$C, $H128, NewEmisData!$D:$D, AB$6)</f>
        <v>0</v>
      </c>
      <c r="AC128" s="1111">
        <f>SUMIFS(NewEmisData!M:M, NewEmisData!$A:$A, $G128, NewEmisData!$B:$B, $A128, NewEmisData!$C:$C, $H128, NewEmisData!$D:$D, AC$6)</f>
        <v>0</v>
      </c>
      <c r="AD128" s="1111">
        <f t="shared" si="204"/>
        <v>0</v>
      </c>
      <c r="AE128" s="1111">
        <f t="shared" si="205"/>
        <v>0</v>
      </c>
      <c r="AF128" s="1111">
        <f>SUMIFS(NewEmisData!E:E, NewEmisData!$A:$A, $G128, NewEmisData!$B:$B, $A128, NewEmisData!$C:$C, $H128, NewEmisData!$D:$D, AF$6)</f>
        <v>0</v>
      </c>
      <c r="AG128" s="1111">
        <f>SUMIFS(NewEmisData!F:F, NewEmisData!$A:$A, $G128, NewEmisData!$B:$B, $A128, NewEmisData!$C:$C, $H128, NewEmisData!$D:$D, AG$6)</f>
        <v>0</v>
      </c>
      <c r="AH128" s="1111">
        <f>SUMIFS(NewEmisData!G:G, NewEmisData!$A:$A, $G128, NewEmisData!$B:$B, $A128, NewEmisData!$C:$C, $H128, NewEmisData!$D:$D, AH$6)</f>
        <v>0</v>
      </c>
      <c r="AI128" s="1111">
        <f>SUMIFS(NewEmisData!H:H, NewEmisData!$A:$A, $G128, NewEmisData!$B:$B, $A128, NewEmisData!$C:$C, $H128, NewEmisData!$D:$D, AI$6)</f>
        <v>0</v>
      </c>
      <c r="AJ128" s="1111">
        <f>SUMIFS(NewEmisData!I:I, NewEmisData!$A:$A, $G128, NewEmisData!$B:$B, $A128, NewEmisData!$C:$C, $H128, NewEmisData!$D:$D, AJ$6)</f>
        <v>0</v>
      </c>
      <c r="AK128" s="1111">
        <f>SUMIFS(NewEmisData!J:J, NewEmisData!$A:$A, $G128, NewEmisData!$B:$B, $A128, NewEmisData!$C:$C, $H128, NewEmisData!$D:$D, AK$6)</f>
        <v>0</v>
      </c>
      <c r="AL128" s="1111">
        <f>SUMIFS(NewEmisData!K:K, NewEmisData!$A:$A, $G128, NewEmisData!$B:$B, $A128, NewEmisData!$C:$C, $H128, NewEmisData!$D:$D, AL$6)</f>
        <v>0</v>
      </c>
      <c r="AM128" s="1111">
        <f>SUMIFS(NewEmisData!L:L, NewEmisData!$A:$A, $G128, NewEmisData!$B:$B, $A128, NewEmisData!$C:$C, $H128, NewEmisData!$D:$D, AM$6)</f>
        <v>0</v>
      </c>
      <c r="AN128" s="1111">
        <f>SUMIFS(NewEmisData!M:M, NewEmisData!$A:$A, $G128, NewEmisData!$B:$B, $A128, NewEmisData!$C:$C, $H128, NewEmisData!$D:$D, AN$6)</f>
        <v>0</v>
      </c>
      <c r="AO128" s="1111">
        <f t="shared" si="206"/>
        <v>0</v>
      </c>
      <c r="AP128" s="1111">
        <f t="shared" si="207"/>
        <v>0.21898051461328999</v>
      </c>
      <c r="AQ128" s="1111">
        <f>SUMIFS(NewEmisData!E:E, NewEmisData!$A:$A, $G128, NewEmisData!$B:$B, $A128, NewEmisData!$C:$C, $H128, NewEmisData!$D:$D, AQ$6)</f>
        <v>0.21898051461328999</v>
      </c>
      <c r="AR128" s="1111">
        <f>SUMIFS(NewEmisData!F:F, NewEmisData!$A:$A, $G128, NewEmisData!$B:$B, $A128, NewEmisData!$C:$C, $H128, NewEmisData!$D:$D, AR$6)</f>
        <v>0.205451953092012</v>
      </c>
      <c r="AS128" s="1111">
        <f>SUMIFS(NewEmisData!G:G, NewEmisData!$A:$A, $G128, NewEmisData!$B:$B, $A128, NewEmisData!$C:$C, $H128, NewEmisData!$D:$D, AS$6)</f>
        <v>0.32169849087721403</v>
      </c>
      <c r="AT128" s="1111">
        <f>SUMIFS(NewEmisData!H:H, NewEmisData!$A:$A, $G128, NewEmisData!$B:$B, $A128, NewEmisData!$C:$C, $H128, NewEmisData!$D:$D, AT$6)</f>
        <v>0.32274359018111498</v>
      </c>
      <c r="AU128" s="1111">
        <f>SUMIFS(NewEmisData!I:I, NewEmisData!$A:$A, $G128, NewEmisData!$B:$B, $A128, NewEmisData!$C:$C, $H128, NewEmisData!$D:$D, AU$6)</f>
        <v>0.322111761670834</v>
      </c>
      <c r="AV128" s="1111">
        <f>SUMIFS(NewEmisData!J:J, NewEmisData!$A:$A, $G128, NewEmisData!$B:$B, $A128, NewEmisData!$C:$C, $H128, NewEmisData!$D:$D, AV$6)</f>
        <v>0.32195178668498098</v>
      </c>
      <c r="AW128" s="1111">
        <f>SUMIFS(NewEmisData!K:K, NewEmisData!$A:$A, $G128, NewEmisData!$B:$B, $A128, NewEmisData!$C:$C, $H128, NewEmisData!$D:$D, AW$6)</f>
        <v>0.32184525817804299</v>
      </c>
      <c r="AX128" s="1111">
        <f>SUMIFS(NewEmisData!L:L, NewEmisData!$A:$A, $G128, NewEmisData!$B:$B, $A128, NewEmisData!$C:$C, $H128, NewEmisData!$D:$D, AX$6)</f>
        <v>0.32182427800119601</v>
      </c>
      <c r="AY128" s="1111">
        <f>SUMIFS(NewEmisData!M:M, NewEmisData!$A:$A, $G128, NewEmisData!$B:$B, $A128, NewEmisData!$C:$C, $H128, NewEmisData!$D:$D, AY$6)</f>
        <v>0.32187468881790698</v>
      </c>
      <c r="AZ128" s="1111">
        <f t="shared" si="208"/>
        <v>0.32187468881790698</v>
      </c>
      <c r="BA128" s="1111">
        <f t="shared" si="209"/>
        <v>2.7942001485860998E-2</v>
      </c>
      <c r="BB128" s="1111">
        <f>SUMIFS(NewEmisData!E:E, NewEmisData!$A:$A, $G128, NewEmisData!$B:$B, $A128, NewEmisData!$C:$C, $H128, NewEmisData!$D:$D, BB$6)</f>
        <v>2.7942001485860998E-2</v>
      </c>
      <c r="BC128" s="1111">
        <f>SUMIFS(NewEmisData!F:F, NewEmisData!$A:$A, $G128, NewEmisData!$B:$B, $A128, NewEmisData!$C:$C, $H128, NewEmisData!$D:$D, BC$6)</f>
        <v>2.6214510012818999E-2</v>
      </c>
      <c r="BD128" s="1111">
        <f>SUMIFS(NewEmisData!G:G, NewEmisData!$A:$A, $G128, NewEmisData!$B:$B, $A128, NewEmisData!$C:$C, $H128, NewEmisData!$D:$D, BD$6)</f>
        <v>4.0800964066513998E-2</v>
      </c>
      <c r="BE128" s="1111">
        <f>SUMIFS(NewEmisData!H:H, NewEmisData!$A:$A, $G128, NewEmisData!$B:$B, $A128, NewEmisData!$C:$C, $H128, NewEmisData!$D:$D, BE$6)</f>
        <v>4.0933745412523002E-2</v>
      </c>
      <c r="BF128" s="1111">
        <f>SUMIFS(NewEmisData!I:I, NewEmisData!$A:$A, $G128, NewEmisData!$B:$B, $A128, NewEmisData!$C:$C, $H128, NewEmisData!$D:$D, BF$6)</f>
        <v>4.0853777901298099E-2</v>
      </c>
      <c r="BG128" s="1111">
        <f>SUMIFS(NewEmisData!J:J, NewEmisData!$A:$A, $G128, NewEmisData!$B:$B, $A128, NewEmisData!$C:$C, $H128, NewEmisData!$D:$D, BG$6)</f>
        <v>4.0833631402063898E-2</v>
      </c>
      <c r="BH128" s="1111">
        <f>SUMIFS(NewEmisData!K:K, NewEmisData!$A:$A, $G128, NewEmisData!$B:$B, $A128, NewEmisData!$C:$C, $H128, NewEmisData!$D:$D, BH$6)</f>
        <v>4.08201189921851E-2</v>
      </c>
      <c r="BI128" s="1111">
        <f>SUMIFS(NewEmisData!L:L, NewEmisData!$A:$A, $G128, NewEmisData!$B:$B, $A128, NewEmisData!$C:$C, $H128, NewEmisData!$D:$D, BI$6)</f>
        <v>4.0817481810898899E-2</v>
      </c>
      <c r="BJ128" s="1111">
        <f>SUMIFS(NewEmisData!M:M, NewEmisData!$A:$A, $G128, NewEmisData!$B:$B, $A128, NewEmisData!$C:$C, $H128, NewEmisData!$D:$D, BJ$6)</f>
        <v>4.0823863408724299E-2</v>
      </c>
      <c r="BK128" s="1111">
        <f t="shared" si="210"/>
        <v>4.0823863408724299E-2</v>
      </c>
      <c r="BL128" s="1111">
        <f t="shared" si="211"/>
        <v>0</v>
      </c>
      <c r="BM128" s="1111">
        <f>SUMIFS(NewEmisData!E:E, NewEmisData!$A:$A, $G128, NewEmisData!$B:$B, $A128, NewEmisData!$C:$C, $H128, NewEmisData!$D:$D, BM$6)</f>
        <v>0</v>
      </c>
      <c r="BN128" s="1111">
        <f>SUMIFS(NewEmisData!F:F, NewEmisData!$A:$A, $G128, NewEmisData!$B:$B, $A128, NewEmisData!$C:$C, $H128, NewEmisData!$D:$D, BN$6)</f>
        <v>0</v>
      </c>
      <c r="BO128" s="1111">
        <f>SUMIFS(NewEmisData!G:G, NewEmisData!$A:$A, $G128, NewEmisData!$B:$B, $A128, NewEmisData!$C:$C, $H128, NewEmisData!$D:$D, BO$6)</f>
        <v>0</v>
      </c>
      <c r="BP128" s="1111">
        <f>SUMIFS(NewEmisData!H:H, NewEmisData!$A:$A, $G128, NewEmisData!$B:$B, $A128, NewEmisData!$C:$C, $H128, NewEmisData!$D:$D, BP$6)</f>
        <v>0</v>
      </c>
      <c r="BQ128" s="1111">
        <f>SUMIFS(NewEmisData!I:I, NewEmisData!$A:$A, $G128, NewEmisData!$B:$B, $A128, NewEmisData!$C:$C, $H128, NewEmisData!$D:$D, BQ$6)</f>
        <v>0</v>
      </c>
      <c r="BR128" s="1111">
        <f>SUMIFS(NewEmisData!J:J, NewEmisData!$A:$A, $G128, NewEmisData!$B:$B, $A128, NewEmisData!$C:$C, $H128, NewEmisData!$D:$D, BR$6)</f>
        <v>0</v>
      </c>
      <c r="BS128" s="1111">
        <f>SUMIFS(NewEmisData!K:K, NewEmisData!$A:$A, $G128, NewEmisData!$B:$B, $A128, NewEmisData!$C:$C, $H128, NewEmisData!$D:$D, BS$6)</f>
        <v>0</v>
      </c>
      <c r="BT128" s="1111">
        <f>SUMIFS(NewEmisData!L:L, NewEmisData!$A:$A, $G128, NewEmisData!$B:$B, $A128, NewEmisData!$C:$C, $H128, NewEmisData!$D:$D, BT$6)</f>
        <v>0</v>
      </c>
      <c r="BU128" s="1111">
        <f>SUMIFS(NewEmisData!M:M, NewEmisData!$A:$A, $G128, NewEmisData!$B:$B, $A128, NewEmisData!$C:$C, $H128, NewEmisData!$D:$D, BU$6)</f>
        <v>0</v>
      </c>
      <c r="BV128" s="1111">
        <f t="shared" si="212"/>
        <v>0</v>
      </c>
      <c r="BW128" s="1111">
        <f t="shared" si="213"/>
        <v>0</v>
      </c>
      <c r="BX128" s="1111">
        <f>SUMIFS(NewEmisData!E:E, NewEmisData!$A:$A, $G128, NewEmisData!$B:$B, $A128, NewEmisData!$C:$C, $H128, NewEmisData!$D:$D, BX$6)</f>
        <v>0</v>
      </c>
      <c r="BY128" s="1111">
        <f>SUMIFS(NewEmisData!F:F, NewEmisData!$A:$A, $G128, NewEmisData!$B:$B, $A128, NewEmisData!$C:$C, $H128, NewEmisData!$D:$D, BY$6)</f>
        <v>0</v>
      </c>
      <c r="BZ128" s="1111">
        <f>SUMIFS(NewEmisData!G:G, NewEmisData!$A:$A, $G128, NewEmisData!$B:$B, $A128, NewEmisData!$C:$C, $H128, NewEmisData!$D:$D, BZ$6)</f>
        <v>0</v>
      </c>
      <c r="CA128" s="1111">
        <f>SUMIFS(NewEmisData!H:H, NewEmisData!$A:$A, $G128, NewEmisData!$B:$B, $A128, NewEmisData!$C:$C, $H128, NewEmisData!$D:$D, CA$6)</f>
        <v>0</v>
      </c>
      <c r="CB128" s="1111">
        <f>SUMIFS(NewEmisData!I:I, NewEmisData!$A:$A, $G128, NewEmisData!$B:$B, $A128, NewEmisData!$C:$C, $H128, NewEmisData!$D:$D, CB$6)</f>
        <v>0</v>
      </c>
      <c r="CC128" s="1111">
        <f>SUMIFS(NewEmisData!J:J, NewEmisData!$A:$A, $G128, NewEmisData!$B:$B, $A128, NewEmisData!$C:$C, $H128, NewEmisData!$D:$D, CC$6)</f>
        <v>0</v>
      </c>
      <c r="CD128" s="1111">
        <f>SUMIFS(NewEmisData!K:K, NewEmisData!$A:$A, $G128, NewEmisData!$B:$B, $A128, NewEmisData!$C:$C, $H128, NewEmisData!$D:$D, CD$6)</f>
        <v>0</v>
      </c>
      <c r="CE128" s="1111">
        <f>SUMIFS(NewEmisData!L:L, NewEmisData!$A:$A, $G128, NewEmisData!$B:$B, $A128, NewEmisData!$C:$C, $H128, NewEmisData!$D:$D, CE$6)</f>
        <v>0</v>
      </c>
      <c r="CF128" s="1111">
        <f>SUMIFS(NewEmisData!M:M, NewEmisData!$A:$A, $G128, NewEmisData!$B:$B, $A128, NewEmisData!$C:$C, $H128, NewEmisData!$D:$D, CF$6)</f>
        <v>0</v>
      </c>
      <c r="CG128" s="1111">
        <f t="shared" si="214"/>
        <v>0</v>
      </c>
      <c r="CH128" s="1111">
        <f t="shared" si="215"/>
        <v>0</v>
      </c>
      <c r="CI128" s="1111">
        <f>SUMIFS(NewEmisData!E:E, NewEmisData!$A:$A, $G128, NewEmisData!$B:$B, $A128, NewEmisData!$C:$C, $H128, NewEmisData!$D:$D, CI$6)</f>
        <v>0</v>
      </c>
      <c r="CJ128" s="1111">
        <f>SUMIFS(NewEmisData!F:F, NewEmisData!$A:$A, $G128, NewEmisData!$B:$B, $A128, NewEmisData!$C:$C, $H128, NewEmisData!$D:$D, CJ$6)</f>
        <v>0</v>
      </c>
      <c r="CK128" s="1111">
        <f>SUMIFS(NewEmisData!G:G, NewEmisData!$A:$A, $G128, NewEmisData!$B:$B, $A128, NewEmisData!$C:$C, $H128, NewEmisData!$D:$D, CK$6)</f>
        <v>0</v>
      </c>
      <c r="CL128" s="1111">
        <f>SUMIFS(NewEmisData!H:H, NewEmisData!$A:$A, $G128, NewEmisData!$B:$B, $A128, NewEmisData!$C:$C, $H128, NewEmisData!$D:$D, CL$6)</f>
        <v>0</v>
      </c>
      <c r="CM128" s="1111">
        <f>SUMIFS(NewEmisData!I:I, NewEmisData!$A:$A, $G128, NewEmisData!$B:$B, $A128, NewEmisData!$C:$C, $H128, NewEmisData!$D:$D, CM$6)</f>
        <v>0</v>
      </c>
      <c r="CN128" s="1111">
        <f>SUMIFS(NewEmisData!J:J, NewEmisData!$A:$A, $G128, NewEmisData!$B:$B, $A128, NewEmisData!$C:$C, $H128, NewEmisData!$D:$D, CN$6)</f>
        <v>0</v>
      </c>
      <c r="CO128" s="1111">
        <f>SUMIFS(NewEmisData!K:K, NewEmisData!$A:$A, $G128, NewEmisData!$B:$B, $A128, NewEmisData!$C:$C, $H128, NewEmisData!$D:$D, CO$6)</f>
        <v>0</v>
      </c>
      <c r="CP128" s="1111">
        <f>SUMIFS(NewEmisData!L:L, NewEmisData!$A:$A, $G128, NewEmisData!$B:$B, $A128, NewEmisData!$C:$C, $H128, NewEmisData!$D:$D, CP$6)</f>
        <v>0</v>
      </c>
      <c r="CQ128" s="1111">
        <f>SUMIFS(NewEmisData!M:M, NewEmisData!$A:$A, $G128, NewEmisData!$B:$B, $A128, NewEmisData!$C:$C, $H128, NewEmisData!$D:$D, CQ$6)</f>
        <v>0</v>
      </c>
      <c r="CR128" s="1111">
        <f t="shared" si="216"/>
        <v>0</v>
      </c>
      <c r="CS128" s="1111">
        <f t="shared" si="217"/>
        <v>0</v>
      </c>
      <c r="CT128" s="1111">
        <f>SUMIFS(NewEmisData!E:E, NewEmisData!$A:$A, $G128, NewEmisData!$B:$B, $A128, NewEmisData!$C:$C, $H128, NewEmisData!$D:$D, CT$6)</f>
        <v>0</v>
      </c>
      <c r="CU128" s="1111">
        <f>SUMIFS(NewEmisData!F:F, NewEmisData!$A:$A, $G128, NewEmisData!$B:$B, $A128, NewEmisData!$C:$C, $H128, NewEmisData!$D:$D, CU$6)</f>
        <v>0</v>
      </c>
      <c r="CV128" s="1111">
        <f>SUMIFS(NewEmisData!G:G, NewEmisData!$A:$A, $G128, NewEmisData!$B:$B, $A128, NewEmisData!$C:$C, $H128, NewEmisData!$D:$D, CV$6)</f>
        <v>0</v>
      </c>
      <c r="CW128" s="1111">
        <f>SUMIFS(NewEmisData!H:H, NewEmisData!$A:$A, $G128, NewEmisData!$B:$B, $A128, NewEmisData!$C:$C, $H128, NewEmisData!$D:$D, CW$6)</f>
        <v>0</v>
      </c>
      <c r="CX128" s="1111">
        <f>SUMIFS(NewEmisData!I:I, NewEmisData!$A:$A, $G128, NewEmisData!$B:$B, $A128, NewEmisData!$C:$C, $H128, NewEmisData!$D:$D, CX$6)</f>
        <v>0</v>
      </c>
      <c r="CY128" s="1111">
        <f>SUMIFS(NewEmisData!J:J, NewEmisData!$A:$A, $G128, NewEmisData!$B:$B, $A128, NewEmisData!$C:$C, $H128, NewEmisData!$D:$D, CY$6)</f>
        <v>0</v>
      </c>
      <c r="CZ128" s="1111">
        <f>SUMIFS(NewEmisData!K:K, NewEmisData!$A:$A, $G128, NewEmisData!$B:$B, $A128, NewEmisData!$C:$C, $H128, NewEmisData!$D:$D, CZ$6)</f>
        <v>0</v>
      </c>
      <c r="DA128" s="1111">
        <f>SUMIFS(NewEmisData!L:L, NewEmisData!$A:$A, $G128, NewEmisData!$B:$B, $A128, NewEmisData!$C:$C, $H128, NewEmisData!$D:$D, DA$6)</f>
        <v>0</v>
      </c>
      <c r="DB128" s="1111">
        <f>SUMIFS(NewEmisData!M:M, NewEmisData!$A:$A, $G128, NewEmisData!$B:$B, $A128, NewEmisData!$C:$C, $H128, NewEmisData!$D:$D, DB$6)</f>
        <v>0</v>
      </c>
      <c r="DC128" s="1111">
        <f t="shared" si="188"/>
        <v>0</v>
      </c>
      <c r="DD128" s="1072"/>
      <c r="DE128" s="1072"/>
      <c r="DF128" s="1072"/>
      <c r="DG128" s="1072"/>
      <c r="DH128" s="1072"/>
      <c r="DI128" s="1072"/>
      <c r="DJ128" s="1072"/>
      <c r="DK128" s="1072"/>
      <c r="DL128" s="1072"/>
      <c r="DM128" s="1072"/>
      <c r="DN128" s="1072"/>
      <c r="DO128" s="1072"/>
      <c r="DP128" s="1072"/>
      <c r="DQ128" s="1072"/>
      <c r="DR128" s="1072"/>
      <c r="DS128" s="1072"/>
      <c r="DT128" s="1072"/>
      <c r="DU128" s="1072"/>
      <c r="DV128" s="1072"/>
      <c r="DW128" s="1072"/>
      <c r="DX128" s="1072"/>
      <c r="DY128" s="1072"/>
      <c r="DZ128" s="1111">
        <f t="shared" si="189"/>
        <v>0</v>
      </c>
      <c r="EA128" s="1111">
        <f>SUMIFS(NewEmisData!E:E, NewEmisData!$A:$A, $G128, NewEmisData!$B:$B, $A128, NewEmisData!$C:$C, $H128, NewEmisData!$D:$D, EA$6)</f>
        <v>0</v>
      </c>
      <c r="EB128" s="1111">
        <f>SUMIFS(NewEmisData!F:F, NewEmisData!$A:$A, $G128, NewEmisData!$B:$B, $A128, NewEmisData!$C:$C, $H128, NewEmisData!$D:$D, EB$6)</f>
        <v>0</v>
      </c>
      <c r="EC128" s="1111">
        <f>SUMIFS(NewEmisData!G:G, NewEmisData!$A:$A, $G128, NewEmisData!$B:$B, $A128, NewEmisData!$C:$C, $H128, NewEmisData!$D:$D, EC$6)</f>
        <v>0</v>
      </c>
      <c r="ED128" s="1111">
        <f>SUMIFS(NewEmisData!H:H, NewEmisData!$A:$A, $G128, NewEmisData!$B:$B, $A128, NewEmisData!$C:$C, $H128, NewEmisData!$D:$D, ED$6)</f>
        <v>0</v>
      </c>
      <c r="EE128" s="1111">
        <f>SUMIFS(NewEmisData!I:I, NewEmisData!$A:$A, $G128, NewEmisData!$B:$B, $A128, NewEmisData!$C:$C, $H128, NewEmisData!$D:$D, EE$6)</f>
        <v>0</v>
      </c>
      <c r="EF128" s="1111">
        <f>SUMIFS(NewEmisData!J:J, NewEmisData!$A:$A, $G128, NewEmisData!$B:$B, $A128, NewEmisData!$C:$C, $H128, NewEmisData!$D:$D, EF$6)</f>
        <v>0</v>
      </c>
      <c r="EG128" s="1111">
        <f>SUMIFS(NewEmisData!K:K, NewEmisData!$A:$A, $G128, NewEmisData!$B:$B, $A128, NewEmisData!$C:$C, $H128, NewEmisData!$D:$D, EG$6)</f>
        <v>0</v>
      </c>
      <c r="EH128" s="1111">
        <f>SUMIFS(NewEmisData!L:L, NewEmisData!$A:$A, $G128, NewEmisData!$B:$B, $A128, NewEmisData!$C:$C, $H128, NewEmisData!$D:$D, EH$6)</f>
        <v>0</v>
      </c>
      <c r="EI128" s="1111">
        <f>SUMIFS(NewEmisData!M:M, NewEmisData!$A:$A, $G128, NewEmisData!$B:$B, $A128, NewEmisData!$C:$C, $H128, NewEmisData!$D:$D, EI$6)</f>
        <v>0</v>
      </c>
      <c r="EJ128" s="1111">
        <f t="shared" si="218"/>
        <v>0</v>
      </c>
      <c r="EK128" s="1111">
        <f t="shared" si="219"/>
        <v>0</v>
      </c>
      <c r="EL128" s="1111">
        <f t="shared" si="154"/>
        <v>0</v>
      </c>
      <c r="EM128" s="1111">
        <f t="shared" si="155"/>
        <v>0</v>
      </c>
      <c r="EN128" s="1111">
        <f t="shared" si="156"/>
        <v>0</v>
      </c>
      <c r="EO128" s="1111">
        <f t="shared" si="157"/>
        <v>0</v>
      </c>
      <c r="EP128" s="1111">
        <f t="shared" si="158"/>
        <v>0</v>
      </c>
      <c r="EQ128" s="1111">
        <f t="shared" si="159"/>
        <v>0</v>
      </c>
      <c r="ER128" s="1111">
        <f t="shared" si="160"/>
        <v>0</v>
      </c>
      <c r="ES128" s="1111">
        <f t="shared" si="161"/>
        <v>0</v>
      </c>
      <c r="ET128" s="1111">
        <f t="shared" si="162"/>
        <v>0</v>
      </c>
      <c r="EU128" s="1111">
        <f t="shared" si="220"/>
        <v>0</v>
      </c>
      <c r="EV128" s="1111">
        <f t="shared" si="221"/>
        <v>0</v>
      </c>
      <c r="EW128" s="1111">
        <f t="shared" si="144"/>
        <v>0</v>
      </c>
      <c r="EX128" s="1111">
        <f t="shared" si="145"/>
        <v>0</v>
      </c>
      <c r="EY128" s="1111">
        <f t="shared" si="146"/>
        <v>0</v>
      </c>
      <c r="EZ128" s="1111">
        <f t="shared" si="147"/>
        <v>0</v>
      </c>
      <c r="FA128" s="1111">
        <f t="shared" si="148"/>
        <v>0</v>
      </c>
      <c r="FB128" s="1111">
        <f t="shared" si="149"/>
        <v>0</v>
      </c>
      <c r="FC128" s="1111">
        <f t="shared" si="150"/>
        <v>0</v>
      </c>
      <c r="FD128" s="1111">
        <f t="shared" si="151"/>
        <v>0</v>
      </c>
      <c r="FE128" s="1111">
        <f t="shared" si="152"/>
        <v>0</v>
      </c>
      <c r="FF128" s="1111">
        <f t="shared" si="222"/>
        <v>0</v>
      </c>
      <c r="FG128" s="1111">
        <f t="shared" si="223"/>
        <v>0</v>
      </c>
      <c r="FH128" s="1111">
        <f t="shared" si="194"/>
        <v>0</v>
      </c>
      <c r="FI128" s="1111">
        <f t="shared" si="195"/>
        <v>0</v>
      </c>
      <c r="FJ128" s="1111">
        <f t="shared" si="196"/>
        <v>0</v>
      </c>
      <c r="FK128" s="1111">
        <f t="shared" si="197"/>
        <v>0</v>
      </c>
      <c r="FL128" s="1111">
        <f t="shared" si="198"/>
        <v>0</v>
      </c>
      <c r="FM128" s="1111">
        <f t="shared" si="199"/>
        <v>0</v>
      </c>
      <c r="FN128" s="1111">
        <f t="shared" si="200"/>
        <v>0</v>
      </c>
      <c r="FO128" s="1111">
        <f t="shared" si="201"/>
        <v>0</v>
      </c>
      <c r="FP128" s="1111">
        <f t="shared" si="202"/>
        <v>0</v>
      </c>
      <c r="FQ128" s="1111">
        <f t="shared" si="224"/>
        <v>0</v>
      </c>
      <c r="FR128" s="1111">
        <f t="shared" si="225"/>
        <v>0.21898051461328999</v>
      </c>
      <c r="FS128" s="1111">
        <f t="shared" si="134"/>
        <v>0.21898051461328999</v>
      </c>
      <c r="FT128" s="1111">
        <f t="shared" si="135"/>
        <v>0.205451953092012</v>
      </c>
      <c r="FU128" s="1111">
        <f t="shared" si="136"/>
        <v>0.32169849087721403</v>
      </c>
      <c r="FV128" s="1111">
        <f t="shared" si="137"/>
        <v>0.32274359018111498</v>
      </c>
      <c r="FW128" s="1111">
        <f t="shared" si="138"/>
        <v>0.322111761670834</v>
      </c>
      <c r="FX128" s="1111">
        <f t="shared" si="139"/>
        <v>0.32195178668498098</v>
      </c>
      <c r="FY128" s="1111">
        <f t="shared" si="140"/>
        <v>0.32184525817804299</v>
      </c>
      <c r="FZ128" s="1111">
        <f t="shared" si="141"/>
        <v>0.32182427800119601</v>
      </c>
      <c r="GA128" s="1111">
        <f t="shared" si="142"/>
        <v>0.32187468881790698</v>
      </c>
      <c r="GB128" s="1111">
        <f t="shared" si="226"/>
        <v>0.32187468881790698</v>
      </c>
      <c r="GC128" s="1111">
        <f t="shared" si="227"/>
        <v>2.7942001485860998E-2</v>
      </c>
      <c r="GD128" s="1111">
        <f t="shared" si="165"/>
        <v>2.7942001485860998E-2</v>
      </c>
      <c r="GE128" s="1111">
        <f t="shared" si="166"/>
        <v>2.6214510012818999E-2</v>
      </c>
      <c r="GF128" s="1111">
        <f t="shared" si="167"/>
        <v>4.0800964066513998E-2</v>
      </c>
      <c r="GG128" s="1111">
        <f t="shared" si="168"/>
        <v>4.0933745412523002E-2</v>
      </c>
      <c r="GH128" s="1111">
        <f t="shared" si="169"/>
        <v>4.0853777901298099E-2</v>
      </c>
      <c r="GI128" s="1111">
        <f t="shared" si="170"/>
        <v>4.0833631402063898E-2</v>
      </c>
      <c r="GJ128" s="1111">
        <f t="shared" si="171"/>
        <v>4.08201189921851E-2</v>
      </c>
      <c r="GK128" s="1111">
        <f t="shared" si="172"/>
        <v>4.0817481810898899E-2</v>
      </c>
      <c r="GL128" s="1111">
        <f t="shared" si="173"/>
        <v>4.0823863408724299E-2</v>
      </c>
      <c r="GM128" s="1111">
        <f t="shared" si="174"/>
        <v>4.0823863408724299E-2</v>
      </c>
    </row>
    <row r="129" spans="1:195" s="265" customFormat="1" x14ac:dyDescent="0.2">
      <c r="A129" s="1071" t="s">
        <v>186</v>
      </c>
      <c r="B129" s="1071" t="s">
        <v>237</v>
      </c>
      <c r="C129" s="1071" t="s">
        <v>238</v>
      </c>
      <c r="D129" s="1071" t="str">
        <f>NewTech!D35</f>
        <v>bn-vmt, bn-vmt/a</v>
      </c>
      <c r="E129" s="1071" t="str">
        <f>NewTech!E35</f>
        <v>TRNELC</v>
      </c>
      <c r="F129" s="1071" t="str">
        <f>NewTech!F35</f>
        <v>TB</v>
      </c>
      <c r="G129" s="1115" t="s">
        <v>498</v>
      </c>
      <c r="H129" s="1113" t="s">
        <v>1961</v>
      </c>
      <c r="I129" s="1113">
        <v>1</v>
      </c>
      <c r="J129" s="1113" t="str">
        <f t="shared" si="228"/>
        <v>Bus-ELC</v>
      </c>
      <c r="K129" s="1111">
        <f>SUMIFS(NewEmisData!E:E, NewEmisData!$A:$A, $G129, NewEmisData!$B:$B, $A129, NewEmisData!$C:$C, $H129, NewEmisData!$D:$D, K$6)</f>
        <v>0</v>
      </c>
      <c r="L129" s="1111">
        <f>SUMIFS(NewEmisData!F:F, NewEmisData!$A:$A, $G129, NewEmisData!$B:$B, $A129, NewEmisData!$C:$C, $H129, NewEmisData!$D:$D, L$6)</f>
        <v>0</v>
      </c>
      <c r="M129" s="1111">
        <f>SUMIFS(NewEmisData!G:G, NewEmisData!$A:$A, $G129, NewEmisData!$B:$B, $A129, NewEmisData!$C:$C, $H129, NewEmisData!$D:$D, M$6)</f>
        <v>0</v>
      </c>
      <c r="N129" s="1111">
        <f>SUMIFS(NewEmisData!H:H, NewEmisData!$A:$A, $G129, NewEmisData!$B:$B, $A129, NewEmisData!$C:$C, $H129, NewEmisData!$D:$D, N$6)</f>
        <v>0</v>
      </c>
      <c r="O129" s="1111">
        <f>SUMIFS(NewEmisData!I:I, NewEmisData!$A:$A, $G129, NewEmisData!$B:$B, $A129, NewEmisData!$C:$C, $H129, NewEmisData!$D:$D, O$6)</f>
        <v>0</v>
      </c>
      <c r="P129" s="1111">
        <f>SUMIFS(NewEmisData!J:J, NewEmisData!$A:$A, $G129, NewEmisData!$B:$B, $A129, NewEmisData!$C:$C, $H129, NewEmisData!$D:$D, P$6)</f>
        <v>0</v>
      </c>
      <c r="Q129" s="1111">
        <f>SUMIFS(NewEmisData!K:K, NewEmisData!$A:$A, $G129, NewEmisData!$B:$B, $A129, NewEmisData!$C:$C, $H129, NewEmisData!$D:$D, Q$6)</f>
        <v>0</v>
      </c>
      <c r="R129" s="1111">
        <f>SUMIFS(NewEmisData!L:L, NewEmisData!$A:$A, $G129, NewEmisData!$B:$B, $A129, NewEmisData!$C:$C, $H129, NewEmisData!$D:$D, R$6)</f>
        <v>0</v>
      </c>
      <c r="S129" s="1111">
        <f>SUMIFS(NewEmisData!M:M, NewEmisData!$A:$A, $G129, NewEmisData!$B:$B, $A129, NewEmisData!$C:$C, $H129, NewEmisData!$D:$D, S$6)</f>
        <v>0</v>
      </c>
      <c r="T129" s="1111">
        <f t="shared" si="131"/>
        <v>0</v>
      </c>
      <c r="U129" s="1111">
        <f>SUMIFS(NewEmisData!E:E, NewEmisData!$A:$A, $G129, NewEmisData!$B:$B, $A129, NewEmisData!$C:$C, $H129, NewEmisData!$D:$D, U$6)</f>
        <v>0</v>
      </c>
      <c r="V129" s="1111">
        <f>SUMIFS(NewEmisData!F:F, NewEmisData!$A:$A, $G129, NewEmisData!$B:$B, $A129, NewEmisData!$C:$C, $H129, NewEmisData!$D:$D, V$6)</f>
        <v>0</v>
      </c>
      <c r="W129" s="1111">
        <f>SUMIFS(NewEmisData!G:G, NewEmisData!$A:$A, $G129, NewEmisData!$B:$B, $A129, NewEmisData!$C:$C, $H129, NewEmisData!$D:$D, W$6)</f>
        <v>0</v>
      </c>
      <c r="X129" s="1111">
        <f>SUMIFS(NewEmisData!H:H, NewEmisData!$A:$A, $G129, NewEmisData!$B:$B, $A129, NewEmisData!$C:$C, $H129, NewEmisData!$D:$D, X$6)</f>
        <v>0</v>
      </c>
      <c r="Y129" s="1111">
        <f>SUMIFS(NewEmisData!I:I, NewEmisData!$A:$A, $G129, NewEmisData!$B:$B, $A129, NewEmisData!$C:$C, $H129, NewEmisData!$D:$D, Y$6)</f>
        <v>0</v>
      </c>
      <c r="Z129" s="1111">
        <f>SUMIFS(NewEmisData!J:J, NewEmisData!$A:$A, $G129, NewEmisData!$B:$B, $A129, NewEmisData!$C:$C, $H129, NewEmisData!$D:$D, Z$6)</f>
        <v>0</v>
      </c>
      <c r="AA129" s="1111">
        <f>SUMIFS(NewEmisData!K:K, NewEmisData!$A:$A, $G129, NewEmisData!$B:$B, $A129, NewEmisData!$C:$C, $H129, NewEmisData!$D:$D, AA$6)</f>
        <v>0</v>
      </c>
      <c r="AB129" s="1111">
        <f>SUMIFS(NewEmisData!L:L, NewEmisData!$A:$A, $G129, NewEmisData!$B:$B, $A129, NewEmisData!$C:$C, $H129, NewEmisData!$D:$D, AB$6)</f>
        <v>0</v>
      </c>
      <c r="AC129" s="1111">
        <f>SUMIFS(NewEmisData!M:M, NewEmisData!$A:$A, $G129, NewEmisData!$B:$B, $A129, NewEmisData!$C:$C, $H129, NewEmisData!$D:$D, AC$6)</f>
        <v>0</v>
      </c>
      <c r="AD129" s="1111">
        <f t="shared" si="204"/>
        <v>0</v>
      </c>
      <c r="AE129" s="1111">
        <f t="shared" si="205"/>
        <v>0</v>
      </c>
      <c r="AF129" s="1111">
        <f>SUMIFS(NewEmisData!E:E, NewEmisData!$A:$A, $G129, NewEmisData!$B:$B, $A129, NewEmisData!$C:$C, $H129, NewEmisData!$D:$D, AF$6)</f>
        <v>0</v>
      </c>
      <c r="AG129" s="1111">
        <f>SUMIFS(NewEmisData!F:F, NewEmisData!$A:$A, $G129, NewEmisData!$B:$B, $A129, NewEmisData!$C:$C, $H129, NewEmisData!$D:$D, AG$6)</f>
        <v>0</v>
      </c>
      <c r="AH129" s="1111">
        <f>SUMIFS(NewEmisData!G:G, NewEmisData!$A:$A, $G129, NewEmisData!$B:$B, $A129, NewEmisData!$C:$C, $H129, NewEmisData!$D:$D, AH$6)</f>
        <v>0</v>
      </c>
      <c r="AI129" s="1111">
        <f>SUMIFS(NewEmisData!H:H, NewEmisData!$A:$A, $G129, NewEmisData!$B:$B, $A129, NewEmisData!$C:$C, $H129, NewEmisData!$D:$D, AI$6)</f>
        <v>0</v>
      </c>
      <c r="AJ129" s="1111">
        <f>SUMIFS(NewEmisData!I:I, NewEmisData!$A:$A, $G129, NewEmisData!$B:$B, $A129, NewEmisData!$C:$C, $H129, NewEmisData!$D:$D, AJ$6)</f>
        <v>0</v>
      </c>
      <c r="AK129" s="1111">
        <f>SUMIFS(NewEmisData!J:J, NewEmisData!$A:$A, $G129, NewEmisData!$B:$B, $A129, NewEmisData!$C:$C, $H129, NewEmisData!$D:$D, AK$6)</f>
        <v>0</v>
      </c>
      <c r="AL129" s="1111">
        <f>SUMIFS(NewEmisData!K:K, NewEmisData!$A:$A, $G129, NewEmisData!$B:$B, $A129, NewEmisData!$C:$C, $H129, NewEmisData!$D:$D, AL$6)</f>
        <v>0</v>
      </c>
      <c r="AM129" s="1111">
        <f>SUMIFS(NewEmisData!L:L, NewEmisData!$A:$A, $G129, NewEmisData!$B:$B, $A129, NewEmisData!$C:$C, $H129, NewEmisData!$D:$D, AM$6)</f>
        <v>0</v>
      </c>
      <c r="AN129" s="1111">
        <f>SUMIFS(NewEmisData!M:M, NewEmisData!$A:$A, $G129, NewEmisData!$B:$B, $A129, NewEmisData!$C:$C, $H129, NewEmisData!$D:$D, AN$6)</f>
        <v>0</v>
      </c>
      <c r="AO129" s="1111">
        <f t="shared" si="206"/>
        <v>0</v>
      </c>
      <c r="AP129" s="1111">
        <f t="shared" si="207"/>
        <v>0.42175676585306598</v>
      </c>
      <c r="AQ129" s="1111">
        <f>SUMIFS(NewEmisData!E:E, NewEmisData!$A:$A, $G129, NewEmisData!$B:$B, $A129, NewEmisData!$C:$C, $H129, NewEmisData!$D:$D, AQ$6)</f>
        <v>0.42175676585306598</v>
      </c>
      <c r="AR129" s="1111">
        <f>SUMIFS(NewEmisData!F:F, NewEmisData!$A:$A, $G129, NewEmisData!$B:$B, $A129, NewEmisData!$C:$C, $H129, NewEmisData!$D:$D, AR$6)</f>
        <v>0.43517840504438499</v>
      </c>
      <c r="AS129" s="1111">
        <f>SUMIFS(NewEmisData!G:G, NewEmisData!$A:$A, $G129, NewEmisData!$B:$B, $A129, NewEmisData!$C:$C, $H129, NewEmisData!$D:$D, AS$6)</f>
        <v>0.50970790083352402</v>
      </c>
      <c r="AT129" s="1111">
        <f>SUMIFS(NewEmisData!H:H, NewEmisData!$A:$A, $G129, NewEmisData!$B:$B, $A129, NewEmisData!$C:$C, $H129, NewEmisData!$D:$D, AT$6)</f>
        <v>0.51352269848712295</v>
      </c>
      <c r="AU129" s="1111">
        <f>SUMIFS(NewEmisData!I:I, NewEmisData!$A:$A, $G129, NewEmisData!$B:$B, $A129, NewEmisData!$C:$C, $H129, NewEmisData!$D:$D, AU$6)</f>
        <v>0.51212256625965602</v>
      </c>
      <c r="AV129" s="1111">
        <f>SUMIFS(NewEmisData!J:J, NewEmisData!$A:$A, $G129, NewEmisData!$B:$B, $A129, NewEmisData!$C:$C, $H129, NewEmisData!$D:$D, AV$6)</f>
        <v>0.51212505147673304</v>
      </c>
      <c r="AW129" s="1111">
        <f>SUMIFS(NewEmisData!K:K, NewEmisData!$A:$A, $G129, NewEmisData!$B:$B, $A129, NewEmisData!$C:$C, $H129, NewEmisData!$D:$D, AW$6)</f>
        <v>0.51179734485630801</v>
      </c>
      <c r="AX129" s="1111">
        <f>SUMIFS(NewEmisData!L:L, NewEmisData!$A:$A, $G129, NewEmisData!$B:$B, $A129, NewEmisData!$C:$C, $H129, NewEmisData!$D:$D, AX$6)</f>
        <v>0.511736478760355</v>
      </c>
      <c r="AY129" s="1111">
        <f>SUMIFS(NewEmisData!M:M, NewEmisData!$A:$A, $G129, NewEmisData!$B:$B, $A129, NewEmisData!$C:$C, $H129, NewEmisData!$D:$D, AY$6)</f>
        <v>0.51192886078591404</v>
      </c>
      <c r="AZ129" s="1111">
        <f t="shared" si="208"/>
        <v>0.51192886078591404</v>
      </c>
      <c r="BA129" s="1111">
        <f t="shared" si="209"/>
        <v>5.3393543099946997E-2</v>
      </c>
      <c r="BB129" s="1111">
        <f>SUMIFS(NewEmisData!E:E, NewEmisData!$A:$A, $G129, NewEmisData!$B:$B, $A129, NewEmisData!$C:$C, $H129, NewEmisData!$D:$D, BB$6)</f>
        <v>5.3393543099946997E-2</v>
      </c>
      <c r="BC129" s="1111">
        <f>SUMIFS(NewEmisData!F:F, NewEmisData!$A:$A, $G129, NewEmisData!$B:$B, $A129, NewEmisData!$C:$C, $H129, NewEmisData!$D:$D, BC$6)</f>
        <v>5.5094294483151E-2</v>
      </c>
      <c r="BD129" s="1111">
        <f>SUMIFS(NewEmisData!G:G, NewEmisData!$A:$A, $G129, NewEmisData!$B:$B, $A129, NewEmisData!$C:$C, $H129, NewEmisData!$D:$D, BD$6)</f>
        <v>6.4469512004217897E-2</v>
      </c>
      <c r="BE129" s="1111">
        <f>SUMIFS(NewEmisData!H:H, NewEmisData!$A:$A, $G129, NewEmisData!$B:$B, $A129, NewEmisData!$C:$C, $H129, NewEmisData!$D:$D, BE$6)</f>
        <v>6.4953004497474306E-2</v>
      </c>
      <c r="BF129" s="1111">
        <f>SUMIFS(NewEmisData!I:I, NewEmisData!$A:$A, $G129, NewEmisData!$B:$B, $A129, NewEmisData!$C:$C, $H129, NewEmisData!$D:$D, BF$6)</f>
        <v>6.4775649878007102E-2</v>
      </c>
      <c r="BG129" s="1111">
        <f>SUMIFS(NewEmisData!J:J, NewEmisData!$A:$A, $G129, NewEmisData!$B:$B, $A129, NewEmisData!$C:$C, $H129, NewEmisData!$D:$D, BG$6)</f>
        <v>6.47760539269156E-2</v>
      </c>
      <c r="BH129" s="1111">
        <f>SUMIFS(NewEmisData!K:K, NewEmisData!$A:$A, $G129, NewEmisData!$B:$B, $A129, NewEmisData!$C:$C, $H129, NewEmisData!$D:$D, BH$6)</f>
        <v>6.4734528287637996E-2</v>
      </c>
      <c r="BI129" s="1111">
        <f>SUMIFS(NewEmisData!L:L, NewEmisData!$A:$A, $G129, NewEmisData!$B:$B, $A129, NewEmisData!$C:$C, $H129, NewEmisData!$D:$D, BI$6)</f>
        <v>6.4726820425011405E-2</v>
      </c>
      <c r="BJ129" s="1111">
        <f>SUMIFS(NewEmisData!M:M, NewEmisData!$A:$A, $G129, NewEmisData!$B:$B, $A129, NewEmisData!$C:$C, $H129, NewEmisData!$D:$D, BJ$6)</f>
        <v>6.4751218981503003E-2</v>
      </c>
      <c r="BK129" s="1111">
        <f t="shared" si="210"/>
        <v>6.4751218981503003E-2</v>
      </c>
      <c r="BL129" s="1111">
        <f t="shared" si="211"/>
        <v>0</v>
      </c>
      <c r="BM129" s="1111">
        <f>SUMIFS(NewEmisData!E:E, NewEmisData!$A:$A, $G129, NewEmisData!$B:$B, $A129, NewEmisData!$C:$C, $H129, NewEmisData!$D:$D, BM$6)</f>
        <v>0</v>
      </c>
      <c r="BN129" s="1111">
        <f>SUMIFS(NewEmisData!F:F, NewEmisData!$A:$A, $G129, NewEmisData!$B:$B, $A129, NewEmisData!$C:$C, $H129, NewEmisData!$D:$D, BN$6)</f>
        <v>0</v>
      </c>
      <c r="BO129" s="1111">
        <f>SUMIFS(NewEmisData!G:G, NewEmisData!$A:$A, $G129, NewEmisData!$B:$B, $A129, NewEmisData!$C:$C, $H129, NewEmisData!$D:$D, BO$6)</f>
        <v>0</v>
      </c>
      <c r="BP129" s="1111">
        <f>SUMIFS(NewEmisData!H:H, NewEmisData!$A:$A, $G129, NewEmisData!$B:$B, $A129, NewEmisData!$C:$C, $H129, NewEmisData!$D:$D, BP$6)</f>
        <v>0</v>
      </c>
      <c r="BQ129" s="1111">
        <f>SUMIFS(NewEmisData!I:I, NewEmisData!$A:$A, $G129, NewEmisData!$B:$B, $A129, NewEmisData!$C:$C, $H129, NewEmisData!$D:$D, BQ$6)</f>
        <v>0</v>
      </c>
      <c r="BR129" s="1111">
        <f>SUMIFS(NewEmisData!J:J, NewEmisData!$A:$A, $G129, NewEmisData!$B:$B, $A129, NewEmisData!$C:$C, $H129, NewEmisData!$D:$D, BR$6)</f>
        <v>0</v>
      </c>
      <c r="BS129" s="1111">
        <f>SUMIFS(NewEmisData!K:K, NewEmisData!$A:$A, $G129, NewEmisData!$B:$B, $A129, NewEmisData!$C:$C, $H129, NewEmisData!$D:$D, BS$6)</f>
        <v>0</v>
      </c>
      <c r="BT129" s="1111">
        <f>SUMIFS(NewEmisData!L:L, NewEmisData!$A:$A, $G129, NewEmisData!$B:$B, $A129, NewEmisData!$C:$C, $H129, NewEmisData!$D:$D, BT$6)</f>
        <v>0</v>
      </c>
      <c r="BU129" s="1111">
        <f>SUMIFS(NewEmisData!M:M, NewEmisData!$A:$A, $G129, NewEmisData!$B:$B, $A129, NewEmisData!$C:$C, $H129, NewEmisData!$D:$D, BU$6)</f>
        <v>0</v>
      </c>
      <c r="BV129" s="1111">
        <f t="shared" si="212"/>
        <v>0</v>
      </c>
      <c r="BW129" s="1111">
        <f t="shared" si="213"/>
        <v>0</v>
      </c>
      <c r="BX129" s="1111">
        <f>SUMIFS(NewEmisData!E:E, NewEmisData!$A:$A, $G129, NewEmisData!$B:$B, $A129, NewEmisData!$C:$C, $H129, NewEmisData!$D:$D, BX$6)</f>
        <v>0</v>
      </c>
      <c r="BY129" s="1111">
        <f>SUMIFS(NewEmisData!F:F, NewEmisData!$A:$A, $G129, NewEmisData!$B:$B, $A129, NewEmisData!$C:$C, $H129, NewEmisData!$D:$D, BY$6)</f>
        <v>0</v>
      </c>
      <c r="BZ129" s="1111">
        <f>SUMIFS(NewEmisData!G:G, NewEmisData!$A:$A, $G129, NewEmisData!$B:$B, $A129, NewEmisData!$C:$C, $H129, NewEmisData!$D:$D, BZ$6)</f>
        <v>0</v>
      </c>
      <c r="CA129" s="1111">
        <f>SUMIFS(NewEmisData!H:H, NewEmisData!$A:$A, $G129, NewEmisData!$B:$B, $A129, NewEmisData!$C:$C, $H129, NewEmisData!$D:$D, CA$6)</f>
        <v>0</v>
      </c>
      <c r="CB129" s="1111">
        <f>SUMIFS(NewEmisData!I:I, NewEmisData!$A:$A, $G129, NewEmisData!$B:$B, $A129, NewEmisData!$C:$C, $H129, NewEmisData!$D:$D, CB$6)</f>
        <v>0</v>
      </c>
      <c r="CC129" s="1111">
        <f>SUMIFS(NewEmisData!J:J, NewEmisData!$A:$A, $G129, NewEmisData!$B:$B, $A129, NewEmisData!$C:$C, $H129, NewEmisData!$D:$D, CC$6)</f>
        <v>0</v>
      </c>
      <c r="CD129" s="1111">
        <f>SUMIFS(NewEmisData!K:K, NewEmisData!$A:$A, $G129, NewEmisData!$B:$B, $A129, NewEmisData!$C:$C, $H129, NewEmisData!$D:$D, CD$6)</f>
        <v>0</v>
      </c>
      <c r="CE129" s="1111">
        <f>SUMIFS(NewEmisData!L:L, NewEmisData!$A:$A, $G129, NewEmisData!$B:$B, $A129, NewEmisData!$C:$C, $H129, NewEmisData!$D:$D, CE$6)</f>
        <v>0</v>
      </c>
      <c r="CF129" s="1111">
        <f>SUMIFS(NewEmisData!M:M, NewEmisData!$A:$A, $G129, NewEmisData!$B:$B, $A129, NewEmisData!$C:$C, $H129, NewEmisData!$D:$D, CF$6)</f>
        <v>0</v>
      </c>
      <c r="CG129" s="1111">
        <f t="shared" si="214"/>
        <v>0</v>
      </c>
      <c r="CH129" s="1111">
        <f t="shared" si="215"/>
        <v>0</v>
      </c>
      <c r="CI129" s="1111">
        <f>SUMIFS(NewEmisData!E:E, NewEmisData!$A:$A, $G129, NewEmisData!$B:$B, $A129, NewEmisData!$C:$C, $H129, NewEmisData!$D:$D, CI$6)</f>
        <v>0</v>
      </c>
      <c r="CJ129" s="1111">
        <f>SUMIFS(NewEmisData!F:F, NewEmisData!$A:$A, $G129, NewEmisData!$B:$B, $A129, NewEmisData!$C:$C, $H129, NewEmisData!$D:$D, CJ$6)</f>
        <v>0</v>
      </c>
      <c r="CK129" s="1111">
        <f>SUMIFS(NewEmisData!G:G, NewEmisData!$A:$A, $G129, NewEmisData!$B:$B, $A129, NewEmisData!$C:$C, $H129, NewEmisData!$D:$D, CK$6)</f>
        <v>0</v>
      </c>
      <c r="CL129" s="1111">
        <f>SUMIFS(NewEmisData!H:H, NewEmisData!$A:$A, $G129, NewEmisData!$B:$B, $A129, NewEmisData!$C:$C, $H129, NewEmisData!$D:$D, CL$6)</f>
        <v>0</v>
      </c>
      <c r="CM129" s="1111">
        <f>SUMIFS(NewEmisData!I:I, NewEmisData!$A:$A, $G129, NewEmisData!$B:$B, $A129, NewEmisData!$C:$C, $H129, NewEmisData!$D:$D, CM$6)</f>
        <v>0</v>
      </c>
      <c r="CN129" s="1111">
        <f>SUMIFS(NewEmisData!J:J, NewEmisData!$A:$A, $G129, NewEmisData!$B:$B, $A129, NewEmisData!$C:$C, $H129, NewEmisData!$D:$D, CN$6)</f>
        <v>0</v>
      </c>
      <c r="CO129" s="1111">
        <f>SUMIFS(NewEmisData!K:K, NewEmisData!$A:$A, $G129, NewEmisData!$B:$B, $A129, NewEmisData!$C:$C, $H129, NewEmisData!$D:$D, CO$6)</f>
        <v>0</v>
      </c>
      <c r="CP129" s="1111">
        <f>SUMIFS(NewEmisData!L:L, NewEmisData!$A:$A, $G129, NewEmisData!$B:$B, $A129, NewEmisData!$C:$C, $H129, NewEmisData!$D:$D, CP$6)</f>
        <v>0</v>
      </c>
      <c r="CQ129" s="1111">
        <f>SUMIFS(NewEmisData!M:M, NewEmisData!$A:$A, $G129, NewEmisData!$B:$B, $A129, NewEmisData!$C:$C, $H129, NewEmisData!$D:$D, CQ$6)</f>
        <v>0</v>
      </c>
      <c r="CR129" s="1111">
        <f t="shared" si="216"/>
        <v>0</v>
      </c>
      <c r="CS129" s="1111">
        <f t="shared" si="217"/>
        <v>0</v>
      </c>
      <c r="CT129" s="1111">
        <f>SUMIFS(NewEmisData!E:E, NewEmisData!$A:$A, $G129, NewEmisData!$B:$B, $A129, NewEmisData!$C:$C, $H129, NewEmisData!$D:$D, CT$6)</f>
        <v>0</v>
      </c>
      <c r="CU129" s="1111">
        <f>SUMIFS(NewEmisData!F:F, NewEmisData!$A:$A, $G129, NewEmisData!$B:$B, $A129, NewEmisData!$C:$C, $H129, NewEmisData!$D:$D, CU$6)</f>
        <v>0</v>
      </c>
      <c r="CV129" s="1111">
        <f>SUMIFS(NewEmisData!G:G, NewEmisData!$A:$A, $G129, NewEmisData!$B:$B, $A129, NewEmisData!$C:$C, $H129, NewEmisData!$D:$D, CV$6)</f>
        <v>0</v>
      </c>
      <c r="CW129" s="1111">
        <f>SUMIFS(NewEmisData!H:H, NewEmisData!$A:$A, $G129, NewEmisData!$B:$B, $A129, NewEmisData!$C:$C, $H129, NewEmisData!$D:$D, CW$6)</f>
        <v>0</v>
      </c>
      <c r="CX129" s="1111">
        <f>SUMIFS(NewEmisData!I:I, NewEmisData!$A:$A, $G129, NewEmisData!$B:$B, $A129, NewEmisData!$C:$C, $H129, NewEmisData!$D:$D, CX$6)</f>
        <v>0</v>
      </c>
      <c r="CY129" s="1111">
        <f>SUMIFS(NewEmisData!J:J, NewEmisData!$A:$A, $G129, NewEmisData!$B:$B, $A129, NewEmisData!$C:$C, $H129, NewEmisData!$D:$D, CY$6)</f>
        <v>0</v>
      </c>
      <c r="CZ129" s="1111">
        <f>SUMIFS(NewEmisData!K:K, NewEmisData!$A:$A, $G129, NewEmisData!$B:$B, $A129, NewEmisData!$C:$C, $H129, NewEmisData!$D:$D, CZ$6)</f>
        <v>0</v>
      </c>
      <c r="DA129" s="1111">
        <f>SUMIFS(NewEmisData!L:L, NewEmisData!$A:$A, $G129, NewEmisData!$B:$B, $A129, NewEmisData!$C:$C, $H129, NewEmisData!$D:$D, DA$6)</f>
        <v>0</v>
      </c>
      <c r="DB129" s="1111">
        <f>SUMIFS(NewEmisData!M:M, NewEmisData!$A:$A, $G129, NewEmisData!$B:$B, $A129, NewEmisData!$C:$C, $H129, NewEmisData!$D:$D, DB$6)</f>
        <v>0</v>
      </c>
      <c r="DC129" s="1111">
        <f t="shared" si="188"/>
        <v>0</v>
      </c>
      <c r="DD129" s="1072"/>
      <c r="DE129" s="1072"/>
      <c r="DF129" s="1072"/>
      <c r="DG129" s="1072"/>
      <c r="DH129" s="1072"/>
      <c r="DI129" s="1072"/>
      <c r="DJ129" s="1072"/>
      <c r="DK129" s="1072"/>
      <c r="DL129" s="1072"/>
      <c r="DM129" s="1072"/>
      <c r="DN129" s="1072"/>
      <c r="DO129" s="1072"/>
      <c r="DP129" s="1072"/>
      <c r="DQ129" s="1072"/>
      <c r="DR129" s="1072"/>
      <c r="DS129" s="1072"/>
      <c r="DT129" s="1072"/>
      <c r="DU129" s="1072"/>
      <c r="DV129" s="1072"/>
      <c r="DW129" s="1072"/>
      <c r="DX129" s="1072"/>
      <c r="DY129" s="1072"/>
      <c r="DZ129" s="1111">
        <f t="shared" si="189"/>
        <v>0</v>
      </c>
      <c r="EA129" s="1111">
        <f>SUMIFS(NewEmisData!E:E, NewEmisData!$A:$A, $G129, NewEmisData!$B:$B, $A129, NewEmisData!$C:$C, $H129, NewEmisData!$D:$D, EA$6)</f>
        <v>0</v>
      </c>
      <c r="EB129" s="1111">
        <f>SUMIFS(NewEmisData!F:F, NewEmisData!$A:$A, $G129, NewEmisData!$B:$B, $A129, NewEmisData!$C:$C, $H129, NewEmisData!$D:$D, EB$6)</f>
        <v>0</v>
      </c>
      <c r="EC129" s="1111">
        <f>SUMIFS(NewEmisData!G:G, NewEmisData!$A:$A, $G129, NewEmisData!$B:$B, $A129, NewEmisData!$C:$C, $H129, NewEmisData!$D:$D, EC$6)</f>
        <v>0</v>
      </c>
      <c r="ED129" s="1111">
        <f>SUMIFS(NewEmisData!H:H, NewEmisData!$A:$A, $G129, NewEmisData!$B:$B, $A129, NewEmisData!$C:$C, $H129, NewEmisData!$D:$D, ED$6)</f>
        <v>0</v>
      </c>
      <c r="EE129" s="1111">
        <f>SUMIFS(NewEmisData!I:I, NewEmisData!$A:$A, $G129, NewEmisData!$B:$B, $A129, NewEmisData!$C:$C, $H129, NewEmisData!$D:$D, EE$6)</f>
        <v>0</v>
      </c>
      <c r="EF129" s="1111">
        <f>SUMIFS(NewEmisData!J:J, NewEmisData!$A:$A, $G129, NewEmisData!$B:$B, $A129, NewEmisData!$C:$C, $H129, NewEmisData!$D:$D, EF$6)</f>
        <v>0</v>
      </c>
      <c r="EG129" s="1111">
        <f>SUMIFS(NewEmisData!K:K, NewEmisData!$A:$A, $G129, NewEmisData!$B:$B, $A129, NewEmisData!$C:$C, $H129, NewEmisData!$D:$D, EG$6)</f>
        <v>0</v>
      </c>
      <c r="EH129" s="1111">
        <f>SUMIFS(NewEmisData!L:L, NewEmisData!$A:$A, $G129, NewEmisData!$B:$B, $A129, NewEmisData!$C:$C, $H129, NewEmisData!$D:$D, EH$6)</f>
        <v>0</v>
      </c>
      <c r="EI129" s="1111">
        <f>SUMIFS(NewEmisData!M:M, NewEmisData!$A:$A, $G129, NewEmisData!$B:$B, $A129, NewEmisData!$C:$C, $H129, NewEmisData!$D:$D, EI$6)</f>
        <v>0</v>
      </c>
      <c r="EJ129" s="1111">
        <f t="shared" si="218"/>
        <v>0</v>
      </c>
      <c r="EK129" s="1111">
        <f t="shared" si="219"/>
        <v>0</v>
      </c>
      <c r="EL129" s="1111">
        <f t="shared" si="154"/>
        <v>0</v>
      </c>
      <c r="EM129" s="1111">
        <f t="shared" si="155"/>
        <v>0</v>
      </c>
      <c r="EN129" s="1111">
        <f t="shared" si="156"/>
        <v>0</v>
      </c>
      <c r="EO129" s="1111">
        <f t="shared" si="157"/>
        <v>0</v>
      </c>
      <c r="EP129" s="1111">
        <f t="shared" si="158"/>
        <v>0</v>
      </c>
      <c r="EQ129" s="1111">
        <f t="shared" si="159"/>
        <v>0</v>
      </c>
      <c r="ER129" s="1111">
        <f t="shared" si="160"/>
        <v>0</v>
      </c>
      <c r="ES129" s="1111">
        <f t="shared" si="161"/>
        <v>0</v>
      </c>
      <c r="ET129" s="1111">
        <f t="shared" si="162"/>
        <v>0</v>
      </c>
      <c r="EU129" s="1111">
        <f t="shared" si="220"/>
        <v>0</v>
      </c>
      <c r="EV129" s="1111">
        <f t="shared" si="221"/>
        <v>0</v>
      </c>
      <c r="EW129" s="1111">
        <f t="shared" si="144"/>
        <v>0</v>
      </c>
      <c r="EX129" s="1111">
        <f t="shared" si="145"/>
        <v>0</v>
      </c>
      <c r="EY129" s="1111">
        <f t="shared" si="146"/>
        <v>0</v>
      </c>
      <c r="EZ129" s="1111">
        <f t="shared" si="147"/>
        <v>0</v>
      </c>
      <c r="FA129" s="1111">
        <f t="shared" si="148"/>
        <v>0</v>
      </c>
      <c r="FB129" s="1111">
        <f t="shared" si="149"/>
        <v>0</v>
      </c>
      <c r="FC129" s="1111">
        <f t="shared" si="150"/>
        <v>0</v>
      </c>
      <c r="FD129" s="1111">
        <f t="shared" si="151"/>
        <v>0</v>
      </c>
      <c r="FE129" s="1111">
        <f t="shared" si="152"/>
        <v>0</v>
      </c>
      <c r="FF129" s="1111">
        <f t="shared" si="222"/>
        <v>0</v>
      </c>
      <c r="FG129" s="1111">
        <f t="shared" si="223"/>
        <v>0</v>
      </c>
      <c r="FH129" s="1111">
        <f t="shared" si="194"/>
        <v>0</v>
      </c>
      <c r="FI129" s="1111">
        <f t="shared" si="195"/>
        <v>0</v>
      </c>
      <c r="FJ129" s="1111">
        <f t="shared" si="196"/>
        <v>0</v>
      </c>
      <c r="FK129" s="1111">
        <f t="shared" si="197"/>
        <v>0</v>
      </c>
      <c r="FL129" s="1111">
        <f t="shared" si="198"/>
        <v>0</v>
      </c>
      <c r="FM129" s="1111">
        <f t="shared" si="199"/>
        <v>0</v>
      </c>
      <c r="FN129" s="1111">
        <f t="shared" si="200"/>
        <v>0</v>
      </c>
      <c r="FO129" s="1111">
        <f t="shared" si="201"/>
        <v>0</v>
      </c>
      <c r="FP129" s="1111">
        <f t="shared" si="202"/>
        <v>0</v>
      </c>
      <c r="FQ129" s="1111">
        <f t="shared" si="224"/>
        <v>0</v>
      </c>
      <c r="FR129" s="1111">
        <f t="shared" si="225"/>
        <v>0.42175676585306598</v>
      </c>
      <c r="FS129" s="1111">
        <f t="shared" si="134"/>
        <v>0.42175676585306598</v>
      </c>
      <c r="FT129" s="1111">
        <f t="shared" si="135"/>
        <v>0.43517840504438499</v>
      </c>
      <c r="FU129" s="1111">
        <f t="shared" si="136"/>
        <v>0.50970790083352402</v>
      </c>
      <c r="FV129" s="1111">
        <f t="shared" si="137"/>
        <v>0.51352269848712295</v>
      </c>
      <c r="FW129" s="1111">
        <f t="shared" si="138"/>
        <v>0.51212256625965602</v>
      </c>
      <c r="FX129" s="1111">
        <f t="shared" si="139"/>
        <v>0.51212505147673304</v>
      </c>
      <c r="FY129" s="1111">
        <f t="shared" si="140"/>
        <v>0.51179734485630801</v>
      </c>
      <c r="FZ129" s="1111">
        <f t="shared" si="141"/>
        <v>0.511736478760355</v>
      </c>
      <c r="GA129" s="1111">
        <f t="shared" si="142"/>
        <v>0.51192886078591404</v>
      </c>
      <c r="GB129" s="1111">
        <f t="shared" si="226"/>
        <v>0.51192886078591404</v>
      </c>
      <c r="GC129" s="1111">
        <f t="shared" si="227"/>
        <v>5.3393543099946997E-2</v>
      </c>
      <c r="GD129" s="1111">
        <f t="shared" si="165"/>
        <v>5.3393543099946997E-2</v>
      </c>
      <c r="GE129" s="1111">
        <f t="shared" si="166"/>
        <v>5.5094294483151E-2</v>
      </c>
      <c r="GF129" s="1111">
        <f t="shared" si="167"/>
        <v>6.4469512004217897E-2</v>
      </c>
      <c r="GG129" s="1111">
        <f t="shared" si="168"/>
        <v>6.4953004497474306E-2</v>
      </c>
      <c r="GH129" s="1111">
        <f t="shared" si="169"/>
        <v>6.4775649878007102E-2</v>
      </c>
      <c r="GI129" s="1111">
        <f t="shared" si="170"/>
        <v>6.47760539269156E-2</v>
      </c>
      <c r="GJ129" s="1111">
        <f t="shared" si="171"/>
        <v>6.4734528287637996E-2</v>
      </c>
      <c r="GK129" s="1111">
        <f t="shared" si="172"/>
        <v>6.4726820425011405E-2</v>
      </c>
      <c r="GL129" s="1111">
        <f t="shared" si="173"/>
        <v>6.4751218981503003E-2</v>
      </c>
      <c r="GM129" s="1111">
        <f t="shared" si="174"/>
        <v>6.4751218981503003E-2</v>
      </c>
    </row>
    <row r="130" spans="1:195" s="265" customFormat="1" x14ac:dyDescent="0.2">
      <c r="A130" s="1071" t="s">
        <v>188</v>
      </c>
      <c r="B130" s="1071" t="s">
        <v>237</v>
      </c>
      <c r="C130" s="1071" t="s">
        <v>238</v>
      </c>
      <c r="D130" s="1071" t="str">
        <f>NewTech!D35</f>
        <v>bn-vmt, bn-vmt/a</v>
      </c>
      <c r="E130" s="1071" t="str">
        <f>NewTech!E35</f>
        <v>TRNELC</v>
      </c>
      <c r="F130" s="1071" t="str">
        <f>NewTech!F35</f>
        <v>TB</v>
      </c>
      <c r="G130" s="1115" t="s">
        <v>498</v>
      </c>
      <c r="H130" s="1113" t="s">
        <v>1961</v>
      </c>
      <c r="I130" s="1113">
        <v>1</v>
      </c>
      <c r="J130" s="1113" t="str">
        <f t="shared" si="228"/>
        <v>Bus-ELC</v>
      </c>
      <c r="K130" s="1111">
        <f>SUMIFS(NewEmisData!E:E, NewEmisData!$A:$A, $G130, NewEmisData!$B:$B, $A130, NewEmisData!$C:$C, $H130, NewEmisData!$D:$D, K$6)</f>
        <v>0</v>
      </c>
      <c r="L130" s="1111">
        <f>SUMIFS(NewEmisData!F:F, NewEmisData!$A:$A, $G130, NewEmisData!$B:$B, $A130, NewEmisData!$C:$C, $H130, NewEmisData!$D:$D, L$6)</f>
        <v>0</v>
      </c>
      <c r="M130" s="1111">
        <f>SUMIFS(NewEmisData!G:G, NewEmisData!$A:$A, $G130, NewEmisData!$B:$B, $A130, NewEmisData!$C:$C, $H130, NewEmisData!$D:$D, M$6)</f>
        <v>0</v>
      </c>
      <c r="N130" s="1111">
        <f>SUMIFS(NewEmisData!H:H, NewEmisData!$A:$A, $G130, NewEmisData!$B:$B, $A130, NewEmisData!$C:$C, $H130, NewEmisData!$D:$D, N$6)</f>
        <v>0</v>
      </c>
      <c r="O130" s="1111">
        <f>SUMIFS(NewEmisData!I:I, NewEmisData!$A:$A, $G130, NewEmisData!$B:$B, $A130, NewEmisData!$C:$C, $H130, NewEmisData!$D:$D, O$6)</f>
        <v>0</v>
      </c>
      <c r="P130" s="1111">
        <f>SUMIFS(NewEmisData!J:J, NewEmisData!$A:$A, $G130, NewEmisData!$B:$B, $A130, NewEmisData!$C:$C, $H130, NewEmisData!$D:$D, P$6)</f>
        <v>0</v>
      </c>
      <c r="Q130" s="1111">
        <f>SUMIFS(NewEmisData!K:K, NewEmisData!$A:$A, $G130, NewEmisData!$B:$B, $A130, NewEmisData!$C:$C, $H130, NewEmisData!$D:$D, Q$6)</f>
        <v>0</v>
      </c>
      <c r="R130" s="1111">
        <f>SUMIFS(NewEmisData!L:L, NewEmisData!$A:$A, $G130, NewEmisData!$B:$B, $A130, NewEmisData!$C:$C, $H130, NewEmisData!$D:$D, R$6)</f>
        <v>0</v>
      </c>
      <c r="S130" s="1111">
        <f>SUMIFS(NewEmisData!M:M, NewEmisData!$A:$A, $G130, NewEmisData!$B:$B, $A130, NewEmisData!$C:$C, $H130, NewEmisData!$D:$D, S$6)</f>
        <v>0</v>
      </c>
      <c r="T130" s="1111">
        <f t="shared" si="131"/>
        <v>0</v>
      </c>
      <c r="U130" s="1111">
        <f>SUMIFS(NewEmisData!E:E, NewEmisData!$A:$A, $G130, NewEmisData!$B:$B, $A130, NewEmisData!$C:$C, $H130, NewEmisData!$D:$D, U$6)</f>
        <v>0</v>
      </c>
      <c r="V130" s="1111">
        <f>SUMIFS(NewEmisData!F:F, NewEmisData!$A:$A, $G130, NewEmisData!$B:$B, $A130, NewEmisData!$C:$C, $H130, NewEmisData!$D:$D, V$6)</f>
        <v>0</v>
      </c>
      <c r="W130" s="1111">
        <f>SUMIFS(NewEmisData!G:G, NewEmisData!$A:$A, $G130, NewEmisData!$B:$B, $A130, NewEmisData!$C:$C, $H130, NewEmisData!$D:$D, W$6)</f>
        <v>0</v>
      </c>
      <c r="X130" s="1111">
        <f>SUMIFS(NewEmisData!H:H, NewEmisData!$A:$A, $G130, NewEmisData!$B:$B, $A130, NewEmisData!$C:$C, $H130, NewEmisData!$D:$D, X$6)</f>
        <v>0</v>
      </c>
      <c r="Y130" s="1111">
        <f>SUMIFS(NewEmisData!I:I, NewEmisData!$A:$A, $G130, NewEmisData!$B:$B, $A130, NewEmisData!$C:$C, $H130, NewEmisData!$D:$D, Y$6)</f>
        <v>0</v>
      </c>
      <c r="Z130" s="1111">
        <f>SUMIFS(NewEmisData!J:J, NewEmisData!$A:$A, $G130, NewEmisData!$B:$B, $A130, NewEmisData!$C:$C, $H130, NewEmisData!$D:$D, Z$6)</f>
        <v>0</v>
      </c>
      <c r="AA130" s="1111">
        <f>SUMIFS(NewEmisData!K:K, NewEmisData!$A:$A, $G130, NewEmisData!$B:$B, $A130, NewEmisData!$C:$C, $H130, NewEmisData!$D:$D, AA$6)</f>
        <v>0</v>
      </c>
      <c r="AB130" s="1111">
        <f>SUMIFS(NewEmisData!L:L, NewEmisData!$A:$A, $G130, NewEmisData!$B:$B, $A130, NewEmisData!$C:$C, $H130, NewEmisData!$D:$D, AB$6)</f>
        <v>0</v>
      </c>
      <c r="AC130" s="1111">
        <f>SUMIFS(NewEmisData!M:M, NewEmisData!$A:$A, $G130, NewEmisData!$B:$B, $A130, NewEmisData!$C:$C, $H130, NewEmisData!$D:$D, AC$6)</f>
        <v>0</v>
      </c>
      <c r="AD130" s="1111">
        <f t="shared" si="204"/>
        <v>0</v>
      </c>
      <c r="AE130" s="1111">
        <f t="shared" si="205"/>
        <v>0</v>
      </c>
      <c r="AF130" s="1111">
        <f>SUMIFS(NewEmisData!E:E, NewEmisData!$A:$A, $G130, NewEmisData!$B:$B, $A130, NewEmisData!$C:$C, $H130, NewEmisData!$D:$D, AF$6)</f>
        <v>0</v>
      </c>
      <c r="AG130" s="1111">
        <f>SUMIFS(NewEmisData!F:F, NewEmisData!$A:$A, $G130, NewEmisData!$B:$B, $A130, NewEmisData!$C:$C, $H130, NewEmisData!$D:$D, AG$6)</f>
        <v>0</v>
      </c>
      <c r="AH130" s="1111">
        <f>SUMIFS(NewEmisData!G:G, NewEmisData!$A:$A, $G130, NewEmisData!$B:$B, $A130, NewEmisData!$C:$C, $H130, NewEmisData!$D:$D, AH$6)</f>
        <v>0</v>
      </c>
      <c r="AI130" s="1111">
        <f>SUMIFS(NewEmisData!H:H, NewEmisData!$A:$A, $G130, NewEmisData!$B:$B, $A130, NewEmisData!$C:$C, $H130, NewEmisData!$D:$D, AI$6)</f>
        <v>0</v>
      </c>
      <c r="AJ130" s="1111">
        <f>SUMIFS(NewEmisData!I:I, NewEmisData!$A:$A, $G130, NewEmisData!$B:$B, $A130, NewEmisData!$C:$C, $H130, NewEmisData!$D:$D, AJ$6)</f>
        <v>0</v>
      </c>
      <c r="AK130" s="1111">
        <f>SUMIFS(NewEmisData!J:J, NewEmisData!$A:$A, $G130, NewEmisData!$B:$B, $A130, NewEmisData!$C:$C, $H130, NewEmisData!$D:$D, AK$6)</f>
        <v>0</v>
      </c>
      <c r="AL130" s="1111">
        <f>SUMIFS(NewEmisData!K:K, NewEmisData!$A:$A, $G130, NewEmisData!$B:$B, $A130, NewEmisData!$C:$C, $H130, NewEmisData!$D:$D, AL$6)</f>
        <v>0</v>
      </c>
      <c r="AM130" s="1111">
        <f>SUMIFS(NewEmisData!L:L, NewEmisData!$A:$A, $G130, NewEmisData!$B:$B, $A130, NewEmisData!$C:$C, $H130, NewEmisData!$D:$D, AM$6)</f>
        <v>0</v>
      </c>
      <c r="AN130" s="1111">
        <f>SUMIFS(NewEmisData!M:M, NewEmisData!$A:$A, $G130, NewEmisData!$B:$B, $A130, NewEmisData!$C:$C, $H130, NewEmisData!$D:$D, AN$6)</f>
        <v>0</v>
      </c>
      <c r="AO130" s="1111">
        <f t="shared" si="206"/>
        <v>0</v>
      </c>
      <c r="AP130" s="1111">
        <f t="shared" si="207"/>
        <v>0.26609837446963602</v>
      </c>
      <c r="AQ130" s="1111">
        <f>SUMIFS(NewEmisData!E:E, NewEmisData!$A:$A, $G130, NewEmisData!$B:$B, $A130, NewEmisData!$C:$C, $H130, NewEmisData!$D:$D, AQ$6)</f>
        <v>0.26609837446963602</v>
      </c>
      <c r="AR130" s="1111">
        <f>SUMIFS(NewEmisData!F:F, NewEmisData!$A:$A, $G130, NewEmisData!$B:$B, $A130, NewEmisData!$C:$C, $H130, NewEmisData!$D:$D, AR$6)</f>
        <v>0.29828742924158202</v>
      </c>
      <c r="AS130" s="1111">
        <f>SUMIFS(NewEmisData!G:G, NewEmisData!$A:$A, $G130, NewEmisData!$B:$B, $A130, NewEmisData!$C:$C, $H130, NewEmisData!$D:$D, AS$6)</f>
        <v>0.24180634195228201</v>
      </c>
      <c r="AT130" s="1111">
        <f>SUMIFS(NewEmisData!H:H, NewEmisData!$A:$A, $G130, NewEmisData!$B:$B, $A130, NewEmisData!$C:$C, $H130, NewEmisData!$D:$D, AT$6)</f>
        <v>0.24203383224433</v>
      </c>
      <c r="AU130" s="1111">
        <f>SUMIFS(NewEmisData!I:I, NewEmisData!$A:$A, $G130, NewEmisData!$B:$B, $A130, NewEmisData!$C:$C, $H130, NewEmisData!$D:$D, AU$6)</f>
        <v>0.23631101867526899</v>
      </c>
      <c r="AV130" s="1111">
        <f>SUMIFS(NewEmisData!J:J, NewEmisData!$A:$A, $G130, NewEmisData!$B:$B, $A130, NewEmisData!$C:$C, $H130, NewEmisData!$D:$D, AV$6)</f>
        <v>0.23305619261729901</v>
      </c>
      <c r="AW130" s="1111">
        <f>SUMIFS(NewEmisData!K:K, NewEmisData!$A:$A, $G130, NewEmisData!$B:$B, $A130, NewEmisData!$C:$C, $H130, NewEmisData!$D:$D, AW$6)</f>
        <v>0.23267534537673201</v>
      </c>
      <c r="AX130" s="1111">
        <f>SUMIFS(NewEmisData!L:L, NewEmisData!$A:$A, $G130, NewEmisData!$B:$B, $A130, NewEmisData!$C:$C, $H130, NewEmisData!$D:$D, AX$6)</f>
        <v>0.23258222150893701</v>
      </c>
      <c r="AY130" s="1111">
        <f>SUMIFS(NewEmisData!M:M, NewEmisData!$A:$A, $G130, NewEmisData!$B:$B, $A130, NewEmisData!$C:$C, $H130, NewEmisData!$D:$D, AY$6)</f>
        <v>0.23257562070655799</v>
      </c>
      <c r="AZ130" s="1111">
        <f t="shared" si="208"/>
        <v>0.23257562070655799</v>
      </c>
      <c r="BA130" s="1111">
        <f t="shared" si="209"/>
        <v>3.39041360720201E-2</v>
      </c>
      <c r="BB130" s="1111">
        <f>SUMIFS(NewEmisData!E:E, NewEmisData!$A:$A, $G130, NewEmisData!$B:$B, $A130, NewEmisData!$C:$C, $H130, NewEmisData!$D:$D, BB$6)</f>
        <v>3.39041360720201E-2</v>
      </c>
      <c r="BC130" s="1111">
        <f>SUMIFS(NewEmisData!F:F, NewEmisData!$A:$A, $G130, NewEmisData!$B:$B, $A130, NewEmisData!$C:$C, $H130, NewEmisData!$D:$D, BC$6)</f>
        <v>3.7988698940976597E-2</v>
      </c>
      <c r="BD130" s="1111">
        <f>SUMIFS(NewEmisData!G:G, NewEmisData!$A:$A, $G130, NewEmisData!$B:$B, $A130, NewEmisData!$C:$C, $H130, NewEmisData!$D:$D, BD$6)</f>
        <v>3.0842350094186399E-2</v>
      </c>
      <c r="BE130" s="1111">
        <f>SUMIFS(NewEmisData!H:H, NewEmisData!$A:$A, $G130, NewEmisData!$B:$B, $A130, NewEmisData!$C:$C, $H130, NewEmisData!$D:$D, BE$6)</f>
        <v>3.0871349930260399E-2</v>
      </c>
      <c r="BF130" s="1111">
        <f>SUMIFS(NewEmisData!I:I, NewEmisData!$A:$A, $G130, NewEmisData!$B:$B, $A130, NewEmisData!$C:$C, $H130, NewEmisData!$D:$D, BF$6)</f>
        <v>3.01430706580075E-2</v>
      </c>
      <c r="BG130" s="1111">
        <f>SUMIFS(NewEmisData!J:J, NewEmisData!$A:$A, $G130, NewEmisData!$B:$B, $A130, NewEmisData!$C:$C, $H130, NewEmisData!$D:$D, BG$6)</f>
        <v>2.9728868560829201E-2</v>
      </c>
      <c r="BH130" s="1111">
        <f>SUMIFS(NewEmisData!K:K, NewEmisData!$A:$A, $G130, NewEmisData!$B:$B, $A130, NewEmisData!$C:$C, $H130, NewEmisData!$D:$D, BH$6)</f>
        <v>2.9680394257018201E-2</v>
      </c>
      <c r="BI130" s="1111">
        <f>SUMIFS(NewEmisData!L:L, NewEmisData!$A:$A, $G130, NewEmisData!$B:$B, $A130, NewEmisData!$C:$C, $H130, NewEmisData!$D:$D, BI$6)</f>
        <v>2.96685557997696E-2</v>
      </c>
      <c r="BJ130" s="1111">
        <f>SUMIFS(NewEmisData!M:M, NewEmisData!$A:$A, $G130, NewEmisData!$B:$B, $A130, NewEmisData!$C:$C, $H130, NewEmisData!$D:$D, BJ$6)</f>
        <v>2.9667722064433098E-2</v>
      </c>
      <c r="BK130" s="1111">
        <f t="shared" si="210"/>
        <v>2.9667722064433098E-2</v>
      </c>
      <c r="BL130" s="1111">
        <f t="shared" si="211"/>
        <v>0</v>
      </c>
      <c r="BM130" s="1111">
        <f>SUMIFS(NewEmisData!E:E, NewEmisData!$A:$A, $G130, NewEmisData!$B:$B, $A130, NewEmisData!$C:$C, $H130, NewEmisData!$D:$D, BM$6)</f>
        <v>0</v>
      </c>
      <c r="BN130" s="1111">
        <f>SUMIFS(NewEmisData!F:F, NewEmisData!$A:$A, $G130, NewEmisData!$B:$B, $A130, NewEmisData!$C:$C, $H130, NewEmisData!$D:$D, BN$6)</f>
        <v>0</v>
      </c>
      <c r="BO130" s="1111">
        <f>SUMIFS(NewEmisData!G:G, NewEmisData!$A:$A, $G130, NewEmisData!$B:$B, $A130, NewEmisData!$C:$C, $H130, NewEmisData!$D:$D, BO$6)</f>
        <v>0</v>
      </c>
      <c r="BP130" s="1111">
        <f>SUMIFS(NewEmisData!H:H, NewEmisData!$A:$A, $G130, NewEmisData!$B:$B, $A130, NewEmisData!$C:$C, $H130, NewEmisData!$D:$D, BP$6)</f>
        <v>0</v>
      </c>
      <c r="BQ130" s="1111">
        <f>SUMIFS(NewEmisData!I:I, NewEmisData!$A:$A, $G130, NewEmisData!$B:$B, $A130, NewEmisData!$C:$C, $H130, NewEmisData!$D:$D, BQ$6)</f>
        <v>0</v>
      </c>
      <c r="BR130" s="1111">
        <f>SUMIFS(NewEmisData!J:J, NewEmisData!$A:$A, $G130, NewEmisData!$B:$B, $A130, NewEmisData!$C:$C, $H130, NewEmisData!$D:$D, BR$6)</f>
        <v>0</v>
      </c>
      <c r="BS130" s="1111">
        <f>SUMIFS(NewEmisData!K:K, NewEmisData!$A:$A, $G130, NewEmisData!$B:$B, $A130, NewEmisData!$C:$C, $H130, NewEmisData!$D:$D, BS$6)</f>
        <v>0</v>
      </c>
      <c r="BT130" s="1111">
        <f>SUMIFS(NewEmisData!L:L, NewEmisData!$A:$A, $G130, NewEmisData!$B:$B, $A130, NewEmisData!$C:$C, $H130, NewEmisData!$D:$D, BT$6)</f>
        <v>0</v>
      </c>
      <c r="BU130" s="1111">
        <f>SUMIFS(NewEmisData!M:M, NewEmisData!$A:$A, $G130, NewEmisData!$B:$B, $A130, NewEmisData!$C:$C, $H130, NewEmisData!$D:$D, BU$6)</f>
        <v>0</v>
      </c>
      <c r="BV130" s="1111">
        <f t="shared" si="212"/>
        <v>0</v>
      </c>
      <c r="BW130" s="1111">
        <f t="shared" si="213"/>
        <v>0</v>
      </c>
      <c r="BX130" s="1111">
        <f>SUMIFS(NewEmisData!E:E, NewEmisData!$A:$A, $G130, NewEmisData!$B:$B, $A130, NewEmisData!$C:$C, $H130, NewEmisData!$D:$D, BX$6)</f>
        <v>0</v>
      </c>
      <c r="BY130" s="1111">
        <f>SUMIFS(NewEmisData!F:F, NewEmisData!$A:$A, $G130, NewEmisData!$B:$B, $A130, NewEmisData!$C:$C, $H130, NewEmisData!$D:$D, BY$6)</f>
        <v>0</v>
      </c>
      <c r="BZ130" s="1111">
        <f>SUMIFS(NewEmisData!G:G, NewEmisData!$A:$A, $G130, NewEmisData!$B:$B, $A130, NewEmisData!$C:$C, $H130, NewEmisData!$D:$D, BZ$6)</f>
        <v>0</v>
      </c>
      <c r="CA130" s="1111">
        <f>SUMIFS(NewEmisData!H:H, NewEmisData!$A:$A, $G130, NewEmisData!$B:$B, $A130, NewEmisData!$C:$C, $H130, NewEmisData!$D:$D, CA$6)</f>
        <v>0</v>
      </c>
      <c r="CB130" s="1111">
        <f>SUMIFS(NewEmisData!I:I, NewEmisData!$A:$A, $G130, NewEmisData!$B:$B, $A130, NewEmisData!$C:$C, $H130, NewEmisData!$D:$D, CB$6)</f>
        <v>0</v>
      </c>
      <c r="CC130" s="1111">
        <f>SUMIFS(NewEmisData!J:J, NewEmisData!$A:$A, $G130, NewEmisData!$B:$B, $A130, NewEmisData!$C:$C, $H130, NewEmisData!$D:$D, CC$6)</f>
        <v>0</v>
      </c>
      <c r="CD130" s="1111">
        <f>SUMIFS(NewEmisData!K:K, NewEmisData!$A:$A, $G130, NewEmisData!$B:$B, $A130, NewEmisData!$C:$C, $H130, NewEmisData!$D:$D, CD$6)</f>
        <v>0</v>
      </c>
      <c r="CE130" s="1111">
        <f>SUMIFS(NewEmisData!L:L, NewEmisData!$A:$A, $G130, NewEmisData!$B:$B, $A130, NewEmisData!$C:$C, $H130, NewEmisData!$D:$D, CE$6)</f>
        <v>0</v>
      </c>
      <c r="CF130" s="1111">
        <f>SUMIFS(NewEmisData!M:M, NewEmisData!$A:$A, $G130, NewEmisData!$B:$B, $A130, NewEmisData!$C:$C, $H130, NewEmisData!$D:$D, CF$6)</f>
        <v>0</v>
      </c>
      <c r="CG130" s="1111">
        <f t="shared" si="214"/>
        <v>0</v>
      </c>
      <c r="CH130" s="1111">
        <f t="shared" si="215"/>
        <v>0</v>
      </c>
      <c r="CI130" s="1111">
        <f>SUMIFS(NewEmisData!E:E, NewEmisData!$A:$A, $G130, NewEmisData!$B:$B, $A130, NewEmisData!$C:$C, $H130, NewEmisData!$D:$D, CI$6)</f>
        <v>0</v>
      </c>
      <c r="CJ130" s="1111">
        <f>SUMIFS(NewEmisData!F:F, NewEmisData!$A:$A, $G130, NewEmisData!$B:$B, $A130, NewEmisData!$C:$C, $H130, NewEmisData!$D:$D, CJ$6)</f>
        <v>0</v>
      </c>
      <c r="CK130" s="1111">
        <f>SUMIFS(NewEmisData!G:G, NewEmisData!$A:$A, $G130, NewEmisData!$B:$B, $A130, NewEmisData!$C:$C, $H130, NewEmisData!$D:$D, CK$6)</f>
        <v>0</v>
      </c>
      <c r="CL130" s="1111">
        <f>SUMIFS(NewEmisData!H:H, NewEmisData!$A:$A, $G130, NewEmisData!$B:$B, $A130, NewEmisData!$C:$C, $H130, NewEmisData!$D:$D, CL$6)</f>
        <v>0</v>
      </c>
      <c r="CM130" s="1111">
        <f>SUMIFS(NewEmisData!I:I, NewEmisData!$A:$A, $G130, NewEmisData!$B:$B, $A130, NewEmisData!$C:$C, $H130, NewEmisData!$D:$D, CM$6)</f>
        <v>0</v>
      </c>
      <c r="CN130" s="1111">
        <f>SUMIFS(NewEmisData!J:J, NewEmisData!$A:$A, $G130, NewEmisData!$B:$B, $A130, NewEmisData!$C:$C, $H130, NewEmisData!$D:$D, CN$6)</f>
        <v>0</v>
      </c>
      <c r="CO130" s="1111">
        <f>SUMIFS(NewEmisData!K:K, NewEmisData!$A:$A, $G130, NewEmisData!$B:$B, $A130, NewEmisData!$C:$C, $H130, NewEmisData!$D:$D, CO$6)</f>
        <v>0</v>
      </c>
      <c r="CP130" s="1111">
        <f>SUMIFS(NewEmisData!L:L, NewEmisData!$A:$A, $G130, NewEmisData!$B:$B, $A130, NewEmisData!$C:$C, $H130, NewEmisData!$D:$D, CP$6)</f>
        <v>0</v>
      </c>
      <c r="CQ130" s="1111">
        <f>SUMIFS(NewEmisData!M:M, NewEmisData!$A:$A, $G130, NewEmisData!$B:$B, $A130, NewEmisData!$C:$C, $H130, NewEmisData!$D:$D, CQ$6)</f>
        <v>0</v>
      </c>
      <c r="CR130" s="1111">
        <f t="shared" si="216"/>
        <v>0</v>
      </c>
      <c r="CS130" s="1111">
        <f t="shared" si="217"/>
        <v>0</v>
      </c>
      <c r="CT130" s="1111">
        <f>SUMIFS(NewEmisData!E:E, NewEmisData!$A:$A, $G130, NewEmisData!$B:$B, $A130, NewEmisData!$C:$C, $H130, NewEmisData!$D:$D, CT$6)</f>
        <v>0</v>
      </c>
      <c r="CU130" s="1111">
        <f>SUMIFS(NewEmisData!F:F, NewEmisData!$A:$A, $G130, NewEmisData!$B:$B, $A130, NewEmisData!$C:$C, $H130, NewEmisData!$D:$D, CU$6)</f>
        <v>0</v>
      </c>
      <c r="CV130" s="1111">
        <f>SUMIFS(NewEmisData!G:G, NewEmisData!$A:$A, $G130, NewEmisData!$B:$B, $A130, NewEmisData!$C:$C, $H130, NewEmisData!$D:$D, CV$6)</f>
        <v>0</v>
      </c>
      <c r="CW130" s="1111">
        <f>SUMIFS(NewEmisData!H:H, NewEmisData!$A:$A, $G130, NewEmisData!$B:$B, $A130, NewEmisData!$C:$C, $H130, NewEmisData!$D:$D, CW$6)</f>
        <v>0</v>
      </c>
      <c r="CX130" s="1111">
        <f>SUMIFS(NewEmisData!I:I, NewEmisData!$A:$A, $G130, NewEmisData!$B:$B, $A130, NewEmisData!$C:$C, $H130, NewEmisData!$D:$D, CX$6)</f>
        <v>0</v>
      </c>
      <c r="CY130" s="1111">
        <f>SUMIFS(NewEmisData!J:J, NewEmisData!$A:$A, $G130, NewEmisData!$B:$B, $A130, NewEmisData!$C:$C, $H130, NewEmisData!$D:$D, CY$6)</f>
        <v>0</v>
      </c>
      <c r="CZ130" s="1111">
        <f>SUMIFS(NewEmisData!K:K, NewEmisData!$A:$A, $G130, NewEmisData!$B:$B, $A130, NewEmisData!$C:$C, $H130, NewEmisData!$D:$D, CZ$6)</f>
        <v>0</v>
      </c>
      <c r="DA130" s="1111">
        <f>SUMIFS(NewEmisData!L:L, NewEmisData!$A:$A, $G130, NewEmisData!$B:$B, $A130, NewEmisData!$C:$C, $H130, NewEmisData!$D:$D, DA$6)</f>
        <v>0</v>
      </c>
      <c r="DB130" s="1111">
        <f>SUMIFS(NewEmisData!M:M, NewEmisData!$A:$A, $G130, NewEmisData!$B:$B, $A130, NewEmisData!$C:$C, $H130, NewEmisData!$D:$D, DB$6)</f>
        <v>0</v>
      </c>
      <c r="DC130" s="1111">
        <f t="shared" si="188"/>
        <v>0</v>
      </c>
      <c r="DD130" s="1072"/>
      <c r="DE130" s="1072"/>
      <c r="DF130" s="1072"/>
      <c r="DG130" s="1072"/>
      <c r="DH130" s="1072"/>
      <c r="DI130" s="1072"/>
      <c r="DJ130" s="1072"/>
      <c r="DK130" s="1072"/>
      <c r="DL130" s="1072"/>
      <c r="DM130" s="1072"/>
      <c r="DN130" s="1072"/>
      <c r="DO130" s="1072"/>
      <c r="DP130" s="1072"/>
      <c r="DQ130" s="1072"/>
      <c r="DR130" s="1072"/>
      <c r="DS130" s="1072"/>
      <c r="DT130" s="1072"/>
      <c r="DU130" s="1072"/>
      <c r="DV130" s="1072"/>
      <c r="DW130" s="1072"/>
      <c r="DX130" s="1072"/>
      <c r="DY130" s="1072"/>
      <c r="DZ130" s="1111">
        <f t="shared" si="189"/>
        <v>0</v>
      </c>
      <c r="EA130" s="1111">
        <f>SUMIFS(NewEmisData!E:E, NewEmisData!$A:$A, $G130, NewEmisData!$B:$B, $A130, NewEmisData!$C:$C, $H130, NewEmisData!$D:$D, EA$6)</f>
        <v>0</v>
      </c>
      <c r="EB130" s="1111">
        <f>SUMIFS(NewEmisData!F:F, NewEmisData!$A:$A, $G130, NewEmisData!$B:$B, $A130, NewEmisData!$C:$C, $H130, NewEmisData!$D:$D, EB$6)</f>
        <v>0</v>
      </c>
      <c r="EC130" s="1111">
        <f>SUMIFS(NewEmisData!G:G, NewEmisData!$A:$A, $G130, NewEmisData!$B:$B, $A130, NewEmisData!$C:$C, $H130, NewEmisData!$D:$D, EC$6)</f>
        <v>0</v>
      </c>
      <c r="ED130" s="1111">
        <f>SUMIFS(NewEmisData!H:H, NewEmisData!$A:$A, $G130, NewEmisData!$B:$B, $A130, NewEmisData!$C:$C, $H130, NewEmisData!$D:$D, ED$6)</f>
        <v>0</v>
      </c>
      <c r="EE130" s="1111">
        <f>SUMIFS(NewEmisData!I:I, NewEmisData!$A:$A, $G130, NewEmisData!$B:$B, $A130, NewEmisData!$C:$C, $H130, NewEmisData!$D:$D, EE$6)</f>
        <v>0</v>
      </c>
      <c r="EF130" s="1111">
        <f>SUMIFS(NewEmisData!J:J, NewEmisData!$A:$A, $G130, NewEmisData!$B:$B, $A130, NewEmisData!$C:$C, $H130, NewEmisData!$D:$D, EF$6)</f>
        <v>0</v>
      </c>
      <c r="EG130" s="1111">
        <f>SUMIFS(NewEmisData!K:K, NewEmisData!$A:$A, $G130, NewEmisData!$B:$B, $A130, NewEmisData!$C:$C, $H130, NewEmisData!$D:$D, EG$6)</f>
        <v>0</v>
      </c>
      <c r="EH130" s="1111">
        <f>SUMIFS(NewEmisData!L:L, NewEmisData!$A:$A, $G130, NewEmisData!$B:$B, $A130, NewEmisData!$C:$C, $H130, NewEmisData!$D:$D, EH$6)</f>
        <v>0</v>
      </c>
      <c r="EI130" s="1111">
        <f>SUMIFS(NewEmisData!M:M, NewEmisData!$A:$A, $G130, NewEmisData!$B:$B, $A130, NewEmisData!$C:$C, $H130, NewEmisData!$D:$D, EI$6)</f>
        <v>0</v>
      </c>
      <c r="EJ130" s="1111">
        <f t="shared" si="218"/>
        <v>0</v>
      </c>
      <c r="EK130" s="1111">
        <f t="shared" si="219"/>
        <v>0</v>
      </c>
      <c r="EL130" s="1111">
        <f t="shared" si="154"/>
        <v>0</v>
      </c>
      <c r="EM130" s="1111">
        <f t="shared" si="155"/>
        <v>0</v>
      </c>
      <c r="EN130" s="1111">
        <f t="shared" si="156"/>
        <v>0</v>
      </c>
      <c r="EO130" s="1111">
        <f t="shared" si="157"/>
        <v>0</v>
      </c>
      <c r="EP130" s="1111">
        <f t="shared" si="158"/>
        <v>0</v>
      </c>
      <c r="EQ130" s="1111">
        <f t="shared" si="159"/>
        <v>0</v>
      </c>
      <c r="ER130" s="1111">
        <f t="shared" si="160"/>
        <v>0</v>
      </c>
      <c r="ES130" s="1111">
        <f t="shared" si="161"/>
        <v>0</v>
      </c>
      <c r="ET130" s="1111">
        <f t="shared" si="162"/>
        <v>0</v>
      </c>
      <c r="EU130" s="1111">
        <f t="shared" si="220"/>
        <v>0</v>
      </c>
      <c r="EV130" s="1111">
        <f t="shared" si="221"/>
        <v>0</v>
      </c>
      <c r="EW130" s="1111">
        <f t="shared" si="144"/>
        <v>0</v>
      </c>
      <c r="EX130" s="1111">
        <f t="shared" si="145"/>
        <v>0</v>
      </c>
      <c r="EY130" s="1111">
        <f t="shared" si="146"/>
        <v>0</v>
      </c>
      <c r="EZ130" s="1111">
        <f t="shared" si="147"/>
        <v>0</v>
      </c>
      <c r="FA130" s="1111">
        <f t="shared" si="148"/>
        <v>0</v>
      </c>
      <c r="FB130" s="1111">
        <f t="shared" si="149"/>
        <v>0</v>
      </c>
      <c r="FC130" s="1111">
        <f t="shared" si="150"/>
        <v>0</v>
      </c>
      <c r="FD130" s="1111">
        <f t="shared" si="151"/>
        <v>0</v>
      </c>
      <c r="FE130" s="1111">
        <f t="shared" si="152"/>
        <v>0</v>
      </c>
      <c r="FF130" s="1111">
        <f t="shared" si="222"/>
        <v>0</v>
      </c>
      <c r="FG130" s="1111">
        <f t="shared" si="223"/>
        <v>0</v>
      </c>
      <c r="FH130" s="1111">
        <f t="shared" si="194"/>
        <v>0</v>
      </c>
      <c r="FI130" s="1111">
        <f t="shared" si="195"/>
        <v>0</v>
      </c>
      <c r="FJ130" s="1111">
        <f t="shared" si="196"/>
        <v>0</v>
      </c>
      <c r="FK130" s="1111">
        <f t="shared" si="197"/>
        <v>0</v>
      </c>
      <c r="FL130" s="1111">
        <f t="shared" si="198"/>
        <v>0</v>
      </c>
      <c r="FM130" s="1111">
        <f t="shared" si="199"/>
        <v>0</v>
      </c>
      <c r="FN130" s="1111">
        <f t="shared" si="200"/>
        <v>0</v>
      </c>
      <c r="FO130" s="1111">
        <f t="shared" si="201"/>
        <v>0</v>
      </c>
      <c r="FP130" s="1111">
        <f t="shared" si="202"/>
        <v>0</v>
      </c>
      <c r="FQ130" s="1111">
        <f t="shared" si="224"/>
        <v>0</v>
      </c>
      <c r="FR130" s="1111">
        <f t="shared" si="225"/>
        <v>0.26609837446963602</v>
      </c>
      <c r="FS130" s="1111">
        <f t="shared" si="134"/>
        <v>0.26609837446963602</v>
      </c>
      <c r="FT130" s="1111">
        <f t="shared" si="135"/>
        <v>0.29828742924158202</v>
      </c>
      <c r="FU130" s="1111">
        <f t="shared" si="136"/>
        <v>0.24180634195228201</v>
      </c>
      <c r="FV130" s="1111">
        <f t="shared" si="137"/>
        <v>0.24203383224433</v>
      </c>
      <c r="FW130" s="1111">
        <f t="shared" si="138"/>
        <v>0.23631101867526899</v>
      </c>
      <c r="FX130" s="1111">
        <f t="shared" si="139"/>
        <v>0.23305619261729901</v>
      </c>
      <c r="FY130" s="1111">
        <f t="shared" si="140"/>
        <v>0.23267534537673201</v>
      </c>
      <c r="FZ130" s="1111">
        <f t="shared" si="141"/>
        <v>0.23258222150893701</v>
      </c>
      <c r="GA130" s="1111">
        <f t="shared" si="142"/>
        <v>0.23257562070655799</v>
      </c>
      <c r="GB130" s="1111">
        <f t="shared" si="226"/>
        <v>0.23257562070655799</v>
      </c>
      <c r="GC130" s="1111">
        <f t="shared" si="227"/>
        <v>3.39041360720201E-2</v>
      </c>
      <c r="GD130" s="1111">
        <f t="shared" si="165"/>
        <v>3.39041360720201E-2</v>
      </c>
      <c r="GE130" s="1111">
        <f t="shared" si="166"/>
        <v>3.7988698940976597E-2</v>
      </c>
      <c r="GF130" s="1111">
        <f t="shared" si="167"/>
        <v>3.0842350094186399E-2</v>
      </c>
      <c r="GG130" s="1111">
        <f t="shared" si="168"/>
        <v>3.0871349930260399E-2</v>
      </c>
      <c r="GH130" s="1111">
        <f t="shared" si="169"/>
        <v>3.01430706580075E-2</v>
      </c>
      <c r="GI130" s="1111">
        <f t="shared" si="170"/>
        <v>2.9728868560829201E-2</v>
      </c>
      <c r="GJ130" s="1111">
        <f t="shared" si="171"/>
        <v>2.9680394257018201E-2</v>
      </c>
      <c r="GK130" s="1111">
        <f t="shared" si="172"/>
        <v>2.96685557997696E-2</v>
      </c>
      <c r="GL130" s="1111">
        <f t="shared" si="173"/>
        <v>2.9667722064433098E-2</v>
      </c>
      <c r="GM130" s="1111">
        <f t="shared" si="174"/>
        <v>2.9667722064433098E-2</v>
      </c>
    </row>
    <row r="131" spans="1:195" s="265" customFormat="1" x14ac:dyDescent="0.2">
      <c r="A131" s="1071" t="s">
        <v>190</v>
      </c>
      <c r="B131" s="1071" t="s">
        <v>237</v>
      </c>
      <c r="C131" s="1071" t="s">
        <v>238</v>
      </c>
      <c r="D131" s="1071" t="str">
        <f>NewTech!D35</f>
        <v>bn-vmt, bn-vmt/a</v>
      </c>
      <c r="E131" s="1071" t="str">
        <f>NewTech!E35</f>
        <v>TRNELC</v>
      </c>
      <c r="F131" s="1071" t="str">
        <f>NewTech!F35</f>
        <v>TB</v>
      </c>
      <c r="G131" s="1115" t="s">
        <v>498</v>
      </c>
      <c r="H131" s="1113" t="s">
        <v>1961</v>
      </c>
      <c r="I131" s="1113">
        <v>1</v>
      </c>
      <c r="J131" s="1113" t="str">
        <f t="shared" si="228"/>
        <v>Bus-ELC</v>
      </c>
      <c r="K131" s="1111">
        <f>SUMIFS(NewEmisData!E:E, NewEmisData!$A:$A, $G131, NewEmisData!$B:$B, $A131, NewEmisData!$C:$C, $H131, NewEmisData!$D:$D, K$6)</f>
        <v>0</v>
      </c>
      <c r="L131" s="1111">
        <f>SUMIFS(NewEmisData!F:F, NewEmisData!$A:$A, $G131, NewEmisData!$B:$B, $A131, NewEmisData!$C:$C, $H131, NewEmisData!$D:$D, L$6)</f>
        <v>0</v>
      </c>
      <c r="M131" s="1111">
        <f>SUMIFS(NewEmisData!G:G, NewEmisData!$A:$A, $G131, NewEmisData!$B:$B, $A131, NewEmisData!$C:$C, $H131, NewEmisData!$D:$D, M$6)</f>
        <v>0</v>
      </c>
      <c r="N131" s="1111">
        <f>SUMIFS(NewEmisData!H:H, NewEmisData!$A:$A, $G131, NewEmisData!$B:$B, $A131, NewEmisData!$C:$C, $H131, NewEmisData!$D:$D, N$6)</f>
        <v>0</v>
      </c>
      <c r="O131" s="1111">
        <f>SUMIFS(NewEmisData!I:I, NewEmisData!$A:$A, $G131, NewEmisData!$B:$B, $A131, NewEmisData!$C:$C, $H131, NewEmisData!$D:$D, O$6)</f>
        <v>0</v>
      </c>
      <c r="P131" s="1111">
        <f>SUMIFS(NewEmisData!J:J, NewEmisData!$A:$A, $G131, NewEmisData!$B:$B, $A131, NewEmisData!$C:$C, $H131, NewEmisData!$D:$D, P$6)</f>
        <v>0</v>
      </c>
      <c r="Q131" s="1111">
        <f>SUMIFS(NewEmisData!K:K, NewEmisData!$A:$A, $G131, NewEmisData!$B:$B, $A131, NewEmisData!$C:$C, $H131, NewEmisData!$D:$D, Q$6)</f>
        <v>0</v>
      </c>
      <c r="R131" s="1111">
        <f>SUMIFS(NewEmisData!L:L, NewEmisData!$A:$A, $G131, NewEmisData!$B:$B, $A131, NewEmisData!$C:$C, $H131, NewEmisData!$D:$D, R$6)</f>
        <v>0</v>
      </c>
      <c r="S131" s="1111">
        <f>SUMIFS(NewEmisData!M:M, NewEmisData!$A:$A, $G131, NewEmisData!$B:$B, $A131, NewEmisData!$C:$C, $H131, NewEmisData!$D:$D, S$6)</f>
        <v>0</v>
      </c>
      <c r="T131" s="1111">
        <f t="shared" si="131"/>
        <v>0</v>
      </c>
      <c r="U131" s="1111">
        <f>SUMIFS(NewEmisData!E:E, NewEmisData!$A:$A, $G131, NewEmisData!$B:$B, $A131, NewEmisData!$C:$C, $H131, NewEmisData!$D:$D, U$6)</f>
        <v>0</v>
      </c>
      <c r="V131" s="1111">
        <f>SUMIFS(NewEmisData!F:F, NewEmisData!$A:$A, $G131, NewEmisData!$B:$B, $A131, NewEmisData!$C:$C, $H131, NewEmisData!$D:$D, V$6)</f>
        <v>0</v>
      </c>
      <c r="W131" s="1111">
        <f>SUMIFS(NewEmisData!G:G, NewEmisData!$A:$A, $G131, NewEmisData!$B:$B, $A131, NewEmisData!$C:$C, $H131, NewEmisData!$D:$D, W$6)</f>
        <v>0</v>
      </c>
      <c r="X131" s="1111">
        <f>SUMIFS(NewEmisData!H:H, NewEmisData!$A:$A, $G131, NewEmisData!$B:$B, $A131, NewEmisData!$C:$C, $H131, NewEmisData!$D:$D, X$6)</f>
        <v>0</v>
      </c>
      <c r="Y131" s="1111">
        <f>SUMIFS(NewEmisData!I:I, NewEmisData!$A:$A, $G131, NewEmisData!$B:$B, $A131, NewEmisData!$C:$C, $H131, NewEmisData!$D:$D, Y$6)</f>
        <v>0</v>
      </c>
      <c r="Z131" s="1111">
        <f>SUMIFS(NewEmisData!J:J, NewEmisData!$A:$A, $G131, NewEmisData!$B:$B, $A131, NewEmisData!$C:$C, $H131, NewEmisData!$D:$D, Z$6)</f>
        <v>0</v>
      </c>
      <c r="AA131" s="1111">
        <f>SUMIFS(NewEmisData!K:K, NewEmisData!$A:$A, $G131, NewEmisData!$B:$B, $A131, NewEmisData!$C:$C, $H131, NewEmisData!$D:$D, AA$6)</f>
        <v>0</v>
      </c>
      <c r="AB131" s="1111">
        <f>SUMIFS(NewEmisData!L:L, NewEmisData!$A:$A, $G131, NewEmisData!$B:$B, $A131, NewEmisData!$C:$C, $H131, NewEmisData!$D:$D, AB$6)</f>
        <v>0</v>
      </c>
      <c r="AC131" s="1111">
        <f>SUMIFS(NewEmisData!M:M, NewEmisData!$A:$A, $G131, NewEmisData!$B:$B, $A131, NewEmisData!$C:$C, $H131, NewEmisData!$D:$D, AC$6)</f>
        <v>0</v>
      </c>
      <c r="AD131" s="1111">
        <f t="shared" si="204"/>
        <v>0</v>
      </c>
      <c r="AE131" s="1111">
        <f t="shared" si="205"/>
        <v>0</v>
      </c>
      <c r="AF131" s="1111">
        <f>SUMIFS(NewEmisData!E:E, NewEmisData!$A:$A, $G131, NewEmisData!$B:$B, $A131, NewEmisData!$C:$C, $H131, NewEmisData!$D:$D, AF$6)</f>
        <v>0</v>
      </c>
      <c r="AG131" s="1111">
        <f>SUMIFS(NewEmisData!F:F, NewEmisData!$A:$A, $G131, NewEmisData!$B:$B, $A131, NewEmisData!$C:$C, $H131, NewEmisData!$D:$D, AG$6)</f>
        <v>0</v>
      </c>
      <c r="AH131" s="1111">
        <f>SUMIFS(NewEmisData!G:G, NewEmisData!$A:$A, $G131, NewEmisData!$B:$B, $A131, NewEmisData!$C:$C, $H131, NewEmisData!$D:$D, AH$6)</f>
        <v>0</v>
      </c>
      <c r="AI131" s="1111">
        <f>SUMIFS(NewEmisData!H:H, NewEmisData!$A:$A, $G131, NewEmisData!$B:$B, $A131, NewEmisData!$C:$C, $H131, NewEmisData!$D:$D, AI$6)</f>
        <v>0</v>
      </c>
      <c r="AJ131" s="1111">
        <f>SUMIFS(NewEmisData!I:I, NewEmisData!$A:$A, $G131, NewEmisData!$B:$B, $A131, NewEmisData!$C:$C, $H131, NewEmisData!$D:$D, AJ$6)</f>
        <v>0</v>
      </c>
      <c r="AK131" s="1111">
        <f>SUMIFS(NewEmisData!J:J, NewEmisData!$A:$A, $G131, NewEmisData!$B:$B, $A131, NewEmisData!$C:$C, $H131, NewEmisData!$D:$D, AK$6)</f>
        <v>0</v>
      </c>
      <c r="AL131" s="1111">
        <f>SUMIFS(NewEmisData!K:K, NewEmisData!$A:$A, $G131, NewEmisData!$B:$B, $A131, NewEmisData!$C:$C, $H131, NewEmisData!$D:$D, AL$6)</f>
        <v>0</v>
      </c>
      <c r="AM131" s="1111">
        <f>SUMIFS(NewEmisData!L:L, NewEmisData!$A:$A, $G131, NewEmisData!$B:$B, $A131, NewEmisData!$C:$C, $H131, NewEmisData!$D:$D, AM$6)</f>
        <v>0</v>
      </c>
      <c r="AN131" s="1111">
        <f>SUMIFS(NewEmisData!M:M, NewEmisData!$A:$A, $G131, NewEmisData!$B:$B, $A131, NewEmisData!$C:$C, $H131, NewEmisData!$D:$D, AN$6)</f>
        <v>0</v>
      </c>
      <c r="AO131" s="1111">
        <f t="shared" si="206"/>
        <v>0</v>
      </c>
      <c r="AP131" s="1111">
        <f t="shared" si="207"/>
        <v>0.32025419056653998</v>
      </c>
      <c r="AQ131" s="1111">
        <f>SUMIFS(NewEmisData!E:E, NewEmisData!$A:$A, $G131, NewEmisData!$B:$B, $A131, NewEmisData!$C:$C, $H131, NewEmisData!$D:$D, AQ$6)</f>
        <v>0.32025419056653998</v>
      </c>
      <c r="AR131" s="1111">
        <f>SUMIFS(NewEmisData!F:F, NewEmisData!$A:$A, $G131, NewEmisData!$B:$B, $A131, NewEmisData!$C:$C, $H131, NewEmisData!$D:$D, AR$6)</f>
        <v>0.30735882190983999</v>
      </c>
      <c r="AS131" s="1111">
        <f>SUMIFS(NewEmisData!G:G, NewEmisData!$A:$A, $G131, NewEmisData!$B:$B, $A131, NewEmisData!$C:$C, $H131, NewEmisData!$D:$D, AS$6)</f>
        <v>0.39005101449211499</v>
      </c>
      <c r="AT131" s="1111">
        <f>SUMIFS(NewEmisData!H:H, NewEmisData!$A:$A, $G131, NewEmisData!$B:$B, $A131, NewEmisData!$C:$C, $H131, NewEmisData!$D:$D, AT$6)</f>
        <v>0.39066992241253701</v>
      </c>
      <c r="AU131" s="1111">
        <f>SUMIFS(NewEmisData!I:I, NewEmisData!$A:$A, $G131, NewEmisData!$B:$B, $A131, NewEmisData!$C:$C, $H131, NewEmisData!$D:$D, AU$6)</f>
        <v>0.38533543168497802</v>
      </c>
      <c r="AV131" s="1111">
        <f>SUMIFS(NewEmisData!J:J, NewEmisData!$A:$A, $G131, NewEmisData!$B:$B, $A131, NewEmisData!$C:$C, $H131, NewEmisData!$D:$D, AV$6)</f>
        <v>0.38210780865177602</v>
      </c>
      <c r="AW131" s="1111">
        <f>SUMIFS(NewEmisData!K:K, NewEmisData!$A:$A, $G131, NewEmisData!$B:$B, $A131, NewEmisData!$C:$C, $H131, NewEmisData!$D:$D, AW$6)</f>
        <v>0.38168461815948401</v>
      </c>
      <c r="AX131" s="1111">
        <f>SUMIFS(NewEmisData!L:L, NewEmisData!$A:$A, $G131, NewEmisData!$B:$B, $A131, NewEmisData!$C:$C, $H131, NewEmisData!$D:$D, AX$6)</f>
        <v>0.38158273300441498</v>
      </c>
      <c r="AY131" s="1111">
        <f>SUMIFS(NewEmisData!M:M, NewEmisData!$A:$A, $G131, NewEmisData!$B:$B, $A131, NewEmisData!$C:$C, $H131, NewEmisData!$D:$D, AY$6)</f>
        <v>0.38159401668729898</v>
      </c>
      <c r="AZ131" s="1111">
        <f t="shared" si="208"/>
        <v>0.38159401668729898</v>
      </c>
      <c r="BA131" s="1111">
        <f t="shared" si="209"/>
        <v>4.0776832803997499E-2</v>
      </c>
      <c r="BB131" s="1111">
        <f>SUMIFS(NewEmisData!E:E, NewEmisData!$A:$A, $G131, NewEmisData!$B:$B, $A131, NewEmisData!$C:$C, $H131, NewEmisData!$D:$D, BB$6)</f>
        <v>4.0776832803997499E-2</v>
      </c>
      <c r="BC131" s="1111">
        <f>SUMIFS(NewEmisData!F:F, NewEmisData!$A:$A, $G131, NewEmisData!$B:$B, $A131, NewEmisData!$C:$C, $H131, NewEmisData!$D:$D, BC$6)</f>
        <v>3.9141663319635298E-2</v>
      </c>
      <c r="BD131" s="1111">
        <f>SUMIFS(NewEmisData!G:G, NewEmisData!$A:$A, $G131, NewEmisData!$B:$B, $A131, NewEmisData!$C:$C, $H131, NewEmisData!$D:$D, BD$6)</f>
        <v>4.9523071403868003E-2</v>
      </c>
      <c r="BE131" s="1111">
        <f>SUMIFS(NewEmisData!H:H, NewEmisData!$A:$A, $G131, NewEmisData!$B:$B, $A131, NewEmisData!$C:$C, $H131, NewEmisData!$D:$D, BE$6)</f>
        <v>4.9601730365398403E-2</v>
      </c>
      <c r="BF131" s="1111">
        <f>SUMIFS(NewEmisData!I:I, NewEmisData!$A:$A, $G131, NewEmisData!$B:$B, $A131, NewEmisData!$C:$C, $H131, NewEmisData!$D:$D, BF$6)</f>
        <v>4.89258116983569E-2</v>
      </c>
      <c r="BG131" s="1111">
        <f>SUMIFS(NewEmisData!J:J, NewEmisData!$A:$A, $G131, NewEmisData!$B:$B, $A131, NewEmisData!$C:$C, $H131, NewEmisData!$D:$D, BG$6)</f>
        <v>4.8516952447921501E-2</v>
      </c>
      <c r="BH131" s="1111">
        <f>SUMIFS(NewEmisData!K:K, NewEmisData!$A:$A, $G131, NewEmisData!$B:$B, $A131, NewEmisData!$C:$C, $H131, NewEmisData!$D:$D, BH$6)</f>
        <v>4.8463277650522503E-2</v>
      </c>
      <c r="BI131" s="1111">
        <f>SUMIFS(NewEmisData!L:L, NewEmisData!$A:$A, $G131, NewEmisData!$B:$B, $A131, NewEmisData!$C:$C, $H131, NewEmisData!$D:$D, BI$6)</f>
        <v>4.8450357125536803E-2</v>
      </c>
      <c r="BJ131" s="1111">
        <f>SUMIFS(NewEmisData!M:M, NewEmisData!$A:$A, $G131, NewEmisData!$B:$B, $A131, NewEmisData!$C:$C, $H131, NewEmisData!$D:$D, BJ$6)</f>
        <v>4.8451814981298101E-2</v>
      </c>
      <c r="BK131" s="1111">
        <f t="shared" si="210"/>
        <v>4.8451814981298101E-2</v>
      </c>
      <c r="BL131" s="1111">
        <f t="shared" si="211"/>
        <v>0</v>
      </c>
      <c r="BM131" s="1111">
        <f>SUMIFS(NewEmisData!E:E, NewEmisData!$A:$A, $G131, NewEmisData!$B:$B, $A131, NewEmisData!$C:$C, $H131, NewEmisData!$D:$D, BM$6)</f>
        <v>0</v>
      </c>
      <c r="BN131" s="1111">
        <f>SUMIFS(NewEmisData!F:F, NewEmisData!$A:$A, $G131, NewEmisData!$B:$B, $A131, NewEmisData!$C:$C, $H131, NewEmisData!$D:$D, BN$6)</f>
        <v>0</v>
      </c>
      <c r="BO131" s="1111">
        <f>SUMIFS(NewEmisData!G:G, NewEmisData!$A:$A, $G131, NewEmisData!$B:$B, $A131, NewEmisData!$C:$C, $H131, NewEmisData!$D:$D, BO$6)</f>
        <v>0</v>
      </c>
      <c r="BP131" s="1111">
        <f>SUMIFS(NewEmisData!H:H, NewEmisData!$A:$A, $G131, NewEmisData!$B:$B, $A131, NewEmisData!$C:$C, $H131, NewEmisData!$D:$D, BP$6)</f>
        <v>0</v>
      </c>
      <c r="BQ131" s="1111">
        <f>SUMIFS(NewEmisData!I:I, NewEmisData!$A:$A, $G131, NewEmisData!$B:$B, $A131, NewEmisData!$C:$C, $H131, NewEmisData!$D:$D, BQ$6)</f>
        <v>0</v>
      </c>
      <c r="BR131" s="1111">
        <f>SUMIFS(NewEmisData!J:J, NewEmisData!$A:$A, $G131, NewEmisData!$B:$B, $A131, NewEmisData!$C:$C, $H131, NewEmisData!$D:$D, BR$6)</f>
        <v>0</v>
      </c>
      <c r="BS131" s="1111">
        <f>SUMIFS(NewEmisData!K:K, NewEmisData!$A:$A, $G131, NewEmisData!$B:$B, $A131, NewEmisData!$C:$C, $H131, NewEmisData!$D:$D, BS$6)</f>
        <v>0</v>
      </c>
      <c r="BT131" s="1111">
        <f>SUMIFS(NewEmisData!L:L, NewEmisData!$A:$A, $G131, NewEmisData!$B:$B, $A131, NewEmisData!$C:$C, $H131, NewEmisData!$D:$D, BT$6)</f>
        <v>0</v>
      </c>
      <c r="BU131" s="1111">
        <f>SUMIFS(NewEmisData!M:M, NewEmisData!$A:$A, $G131, NewEmisData!$B:$B, $A131, NewEmisData!$C:$C, $H131, NewEmisData!$D:$D, BU$6)</f>
        <v>0</v>
      </c>
      <c r="BV131" s="1111">
        <f t="shared" si="212"/>
        <v>0</v>
      </c>
      <c r="BW131" s="1111">
        <f t="shared" si="213"/>
        <v>0</v>
      </c>
      <c r="BX131" s="1111">
        <f>SUMIFS(NewEmisData!E:E, NewEmisData!$A:$A, $G131, NewEmisData!$B:$B, $A131, NewEmisData!$C:$C, $H131, NewEmisData!$D:$D, BX$6)</f>
        <v>0</v>
      </c>
      <c r="BY131" s="1111">
        <f>SUMIFS(NewEmisData!F:F, NewEmisData!$A:$A, $G131, NewEmisData!$B:$B, $A131, NewEmisData!$C:$C, $H131, NewEmisData!$D:$D, BY$6)</f>
        <v>0</v>
      </c>
      <c r="BZ131" s="1111">
        <f>SUMIFS(NewEmisData!G:G, NewEmisData!$A:$A, $G131, NewEmisData!$B:$B, $A131, NewEmisData!$C:$C, $H131, NewEmisData!$D:$D, BZ$6)</f>
        <v>0</v>
      </c>
      <c r="CA131" s="1111">
        <f>SUMIFS(NewEmisData!H:H, NewEmisData!$A:$A, $G131, NewEmisData!$B:$B, $A131, NewEmisData!$C:$C, $H131, NewEmisData!$D:$D, CA$6)</f>
        <v>0</v>
      </c>
      <c r="CB131" s="1111">
        <f>SUMIFS(NewEmisData!I:I, NewEmisData!$A:$A, $G131, NewEmisData!$B:$B, $A131, NewEmisData!$C:$C, $H131, NewEmisData!$D:$D, CB$6)</f>
        <v>0</v>
      </c>
      <c r="CC131" s="1111">
        <f>SUMIFS(NewEmisData!J:J, NewEmisData!$A:$A, $G131, NewEmisData!$B:$B, $A131, NewEmisData!$C:$C, $H131, NewEmisData!$D:$D, CC$6)</f>
        <v>0</v>
      </c>
      <c r="CD131" s="1111">
        <f>SUMIFS(NewEmisData!K:K, NewEmisData!$A:$A, $G131, NewEmisData!$B:$B, $A131, NewEmisData!$C:$C, $H131, NewEmisData!$D:$D, CD$6)</f>
        <v>0</v>
      </c>
      <c r="CE131" s="1111">
        <f>SUMIFS(NewEmisData!L:L, NewEmisData!$A:$A, $G131, NewEmisData!$B:$B, $A131, NewEmisData!$C:$C, $H131, NewEmisData!$D:$D, CE$6)</f>
        <v>0</v>
      </c>
      <c r="CF131" s="1111">
        <f>SUMIFS(NewEmisData!M:M, NewEmisData!$A:$A, $G131, NewEmisData!$B:$B, $A131, NewEmisData!$C:$C, $H131, NewEmisData!$D:$D, CF$6)</f>
        <v>0</v>
      </c>
      <c r="CG131" s="1111">
        <f t="shared" si="214"/>
        <v>0</v>
      </c>
      <c r="CH131" s="1111">
        <f t="shared" si="215"/>
        <v>0</v>
      </c>
      <c r="CI131" s="1111">
        <f>SUMIFS(NewEmisData!E:E, NewEmisData!$A:$A, $G131, NewEmisData!$B:$B, $A131, NewEmisData!$C:$C, $H131, NewEmisData!$D:$D, CI$6)</f>
        <v>0</v>
      </c>
      <c r="CJ131" s="1111">
        <f>SUMIFS(NewEmisData!F:F, NewEmisData!$A:$A, $G131, NewEmisData!$B:$B, $A131, NewEmisData!$C:$C, $H131, NewEmisData!$D:$D, CJ$6)</f>
        <v>0</v>
      </c>
      <c r="CK131" s="1111">
        <f>SUMIFS(NewEmisData!G:G, NewEmisData!$A:$A, $G131, NewEmisData!$B:$B, $A131, NewEmisData!$C:$C, $H131, NewEmisData!$D:$D, CK$6)</f>
        <v>0</v>
      </c>
      <c r="CL131" s="1111">
        <f>SUMIFS(NewEmisData!H:H, NewEmisData!$A:$A, $G131, NewEmisData!$B:$B, $A131, NewEmisData!$C:$C, $H131, NewEmisData!$D:$D, CL$6)</f>
        <v>0</v>
      </c>
      <c r="CM131" s="1111">
        <f>SUMIFS(NewEmisData!I:I, NewEmisData!$A:$A, $G131, NewEmisData!$B:$B, $A131, NewEmisData!$C:$C, $H131, NewEmisData!$D:$D, CM$6)</f>
        <v>0</v>
      </c>
      <c r="CN131" s="1111">
        <f>SUMIFS(NewEmisData!J:J, NewEmisData!$A:$A, $G131, NewEmisData!$B:$B, $A131, NewEmisData!$C:$C, $H131, NewEmisData!$D:$D, CN$6)</f>
        <v>0</v>
      </c>
      <c r="CO131" s="1111">
        <f>SUMIFS(NewEmisData!K:K, NewEmisData!$A:$A, $G131, NewEmisData!$B:$B, $A131, NewEmisData!$C:$C, $H131, NewEmisData!$D:$D, CO$6)</f>
        <v>0</v>
      </c>
      <c r="CP131" s="1111">
        <f>SUMIFS(NewEmisData!L:L, NewEmisData!$A:$A, $G131, NewEmisData!$B:$B, $A131, NewEmisData!$C:$C, $H131, NewEmisData!$D:$D, CP$6)</f>
        <v>0</v>
      </c>
      <c r="CQ131" s="1111">
        <f>SUMIFS(NewEmisData!M:M, NewEmisData!$A:$A, $G131, NewEmisData!$B:$B, $A131, NewEmisData!$C:$C, $H131, NewEmisData!$D:$D, CQ$6)</f>
        <v>0</v>
      </c>
      <c r="CR131" s="1111">
        <f t="shared" si="216"/>
        <v>0</v>
      </c>
      <c r="CS131" s="1111">
        <f t="shared" si="217"/>
        <v>0</v>
      </c>
      <c r="CT131" s="1111">
        <f>SUMIFS(NewEmisData!E:E, NewEmisData!$A:$A, $G131, NewEmisData!$B:$B, $A131, NewEmisData!$C:$C, $H131, NewEmisData!$D:$D, CT$6)</f>
        <v>0</v>
      </c>
      <c r="CU131" s="1111">
        <f>SUMIFS(NewEmisData!F:F, NewEmisData!$A:$A, $G131, NewEmisData!$B:$B, $A131, NewEmisData!$C:$C, $H131, NewEmisData!$D:$D, CU$6)</f>
        <v>0</v>
      </c>
      <c r="CV131" s="1111">
        <f>SUMIFS(NewEmisData!G:G, NewEmisData!$A:$A, $G131, NewEmisData!$B:$B, $A131, NewEmisData!$C:$C, $H131, NewEmisData!$D:$D, CV$6)</f>
        <v>0</v>
      </c>
      <c r="CW131" s="1111">
        <f>SUMIFS(NewEmisData!H:H, NewEmisData!$A:$A, $G131, NewEmisData!$B:$B, $A131, NewEmisData!$C:$C, $H131, NewEmisData!$D:$D, CW$6)</f>
        <v>0</v>
      </c>
      <c r="CX131" s="1111">
        <f>SUMIFS(NewEmisData!I:I, NewEmisData!$A:$A, $G131, NewEmisData!$B:$B, $A131, NewEmisData!$C:$C, $H131, NewEmisData!$D:$D, CX$6)</f>
        <v>0</v>
      </c>
      <c r="CY131" s="1111">
        <f>SUMIFS(NewEmisData!J:J, NewEmisData!$A:$A, $G131, NewEmisData!$B:$B, $A131, NewEmisData!$C:$C, $H131, NewEmisData!$D:$D, CY$6)</f>
        <v>0</v>
      </c>
      <c r="CZ131" s="1111">
        <f>SUMIFS(NewEmisData!K:K, NewEmisData!$A:$A, $G131, NewEmisData!$B:$B, $A131, NewEmisData!$C:$C, $H131, NewEmisData!$D:$D, CZ$6)</f>
        <v>0</v>
      </c>
      <c r="DA131" s="1111">
        <f>SUMIFS(NewEmisData!L:L, NewEmisData!$A:$A, $G131, NewEmisData!$B:$B, $A131, NewEmisData!$C:$C, $H131, NewEmisData!$D:$D, DA$6)</f>
        <v>0</v>
      </c>
      <c r="DB131" s="1111">
        <f>SUMIFS(NewEmisData!M:M, NewEmisData!$A:$A, $G131, NewEmisData!$B:$B, $A131, NewEmisData!$C:$C, $H131, NewEmisData!$D:$D, DB$6)</f>
        <v>0</v>
      </c>
      <c r="DC131" s="1111">
        <f t="shared" si="188"/>
        <v>0</v>
      </c>
      <c r="DD131" s="1072"/>
      <c r="DE131" s="1072"/>
      <c r="DF131" s="1072"/>
      <c r="DG131" s="1072"/>
      <c r="DH131" s="1072"/>
      <c r="DI131" s="1072"/>
      <c r="DJ131" s="1072"/>
      <c r="DK131" s="1072"/>
      <c r="DL131" s="1072"/>
      <c r="DM131" s="1072"/>
      <c r="DN131" s="1072"/>
      <c r="DO131" s="1072"/>
      <c r="DP131" s="1072"/>
      <c r="DQ131" s="1072"/>
      <c r="DR131" s="1072"/>
      <c r="DS131" s="1072"/>
      <c r="DT131" s="1072"/>
      <c r="DU131" s="1072"/>
      <c r="DV131" s="1072"/>
      <c r="DW131" s="1072"/>
      <c r="DX131" s="1072"/>
      <c r="DY131" s="1072"/>
      <c r="DZ131" s="1111">
        <f t="shared" si="189"/>
        <v>0</v>
      </c>
      <c r="EA131" s="1111">
        <f>SUMIFS(NewEmisData!E:E, NewEmisData!$A:$A, $G131, NewEmisData!$B:$B, $A131, NewEmisData!$C:$C, $H131, NewEmisData!$D:$D, EA$6)</f>
        <v>0</v>
      </c>
      <c r="EB131" s="1111">
        <f>SUMIFS(NewEmisData!F:F, NewEmisData!$A:$A, $G131, NewEmisData!$B:$B, $A131, NewEmisData!$C:$C, $H131, NewEmisData!$D:$D, EB$6)</f>
        <v>0</v>
      </c>
      <c r="EC131" s="1111">
        <f>SUMIFS(NewEmisData!G:G, NewEmisData!$A:$A, $G131, NewEmisData!$B:$B, $A131, NewEmisData!$C:$C, $H131, NewEmisData!$D:$D, EC$6)</f>
        <v>0</v>
      </c>
      <c r="ED131" s="1111">
        <f>SUMIFS(NewEmisData!H:H, NewEmisData!$A:$A, $G131, NewEmisData!$B:$B, $A131, NewEmisData!$C:$C, $H131, NewEmisData!$D:$D, ED$6)</f>
        <v>0</v>
      </c>
      <c r="EE131" s="1111">
        <f>SUMIFS(NewEmisData!I:I, NewEmisData!$A:$A, $G131, NewEmisData!$B:$B, $A131, NewEmisData!$C:$C, $H131, NewEmisData!$D:$D, EE$6)</f>
        <v>0</v>
      </c>
      <c r="EF131" s="1111">
        <f>SUMIFS(NewEmisData!J:J, NewEmisData!$A:$A, $G131, NewEmisData!$B:$B, $A131, NewEmisData!$C:$C, $H131, NewEmisData!$D:$D, EF$6)</f>
        <v>0</v>
      </c>
      <c r="EG131" s="1111">
        <f>SUMIFS(NewEmisData!K:K, NewEmisData!$A:$A, $G131, NewEmisData!$B:$B, $A131, NewEmisData!$C:$C, $H131, NewEmisData!$D:$D, EG$6)</f>
        <v>0</v>
      </c>
      <c r="EH131" s="1111">
        <f>SUMIFS(NewEmisData!L:L, NewEmisData!$A:$A, $G131, NewEmisData!$B:$B, $A131, NewEmisData!$C:$C, $H131, NewEmisData!$D:$D, EH$6)</f>
        <v>0</v>
      </c>
      <c r="EI131" s="1111">
        <f>SUMIFS(NewEmisData!M:M, NewEmisData!$A:$A, $G131, NewEmisData!$B:$B, $A131, NewEmisData!$C:$C, $H131, NewEmisData!$D:$D, EI$6)</f>
        <v>0</v>
      </c>
      <c r="EJ131" s="1111">
        <f t="shared" si="218"/>
        <v>0</v>
      </c>
      <c r="EK131" s="1111">
        <f t="shared" si="219"/>
        <v>0</v>
      </c>
      <c r="EL131" s="1111">
        <f t="shared" si="154"/>
        <v>0</v>
      </c>
      <c r="EM131" s="1111">
        <f t="shared" si="155"/>
        <v>0</v>
      </c>
      <c r="EN131" s="1111">
        <f t="shared" si="156"/>
        <v>0</v>
      </c>
      <c r="EO131" s="1111">
        <f t="shared" si="157"/>
        <v>0</v>
      </c>
      <c r="EP131" s="1111">
        <f t="shared" si="158"/>
        <v>0</v>
      </c>
      <c r="EQ131" s="1111">
        <f t="shared" si="159"/>
        <v>0</v>
      </c>
      <c r="ER131" s="1111">
        <f t="shared" si="160"/>
        <v>0</v>
      </c>
      <c r="ES131" s="1111">
        <f t="shared" si="161"/>
        <v>0</v>
      </c>
      <c r="ET131" s="1111">
        <f t="shared" si="162"/>
        <v>0</v>
      </c>
      <c r="EU131" s="1111">
        <f t="shared" si="220"/>
        <v>0</v>
      </c>
      <c r="EV131" s="1111">
        <f t="shared" si="221"/>
        <v>0</v>
      </c>
      <c r="EW131" s="1111">
        <f t="shared" si="144"/>
        <v>0</v>
      </c>
      <c r="EX131" s="1111">
        <f t="shared" si="145"/>
        <v>0</v>
      </c>
      <c r="EY131" s="1111">
        <f t="shared" si="146"/>
        <v>0</v>
      </c>
      <c r="EZ131" s="1111">
        <f t="shared" si="147"/>
        <v>0</v>
      </c>
      <c r="FA131" s="1111">
        <f t="shared" si="148"/>
        <v>0</v>
      </c>
      <c r="FB131" s="1111">
        <f t="shared" si="149"/>
        <v>0</v>
      </c>
      <c r="FC131" s="1111">
        <f t="shared" si="150"/>
        <v>0</v>
      </c>
      <c r="FD131" s="1111">
        <f t="shared" si="151"/>
        <v>0</v>
      </c>
      <c r="FE131" s="1111">
        <f t="shared" si="152"/>
        <v>0</v>
      </c>
      <c r="FF131" s="1111">
        <f t="shared" si="222"/>
        <v>0</v>
      </c>
      <c r="FG131" s="1111">
        <f t="shared" si="223"/>
        <v>0</v>
      </c>
      <c r="FH131" s="1111">
        <f t="shared" si="194"/>
        <v>0</v>
      </c>
      <c r="FI131" s="1111">
        <f t="shared" si="195"/>
        <v>0</v>
      </c>
      <c r="FJ131" s="1111">
        <f t="shared" si="196"/>
        <v>0</v>
      </c>
      <c r="FK131" s="1111">
        <f t="shared" si="197"/>
        <v>0</v>
      </c>
      <c r="FL131" s="1111">
        <f t="shared" si="198"/>
        <v>0</v>
      </c>
      <c r="FM131" s="1111">
        <f t="shared" si="199"/>
        <v>0</v>
      </c>
      <c r="FN131" s="1111">
        <f t="shared" si="200"/>
        <v>0</v>
      </c>
      <c r="FO131" s="1111">
        <f t="shared" si="201"/>
        <v>0</v>
      </c>
      <c r="FP131" s="1111">
        <f t="shared" si="202"/>
        <v>0</v>
      </c>
      <c r="FQ131" s="1111">
        <f t="shared" si="224"/>
        <v>0</v>
      </c>
      <c r="FR131" s="1111">
        <f t="shared" si="225"/>
        <v>0.32025419056653998</v>
      </c>
      <c r="FS131" s="1111">
        <f t="shared" si="134"/>
        <v>0.32025419056653998</v>
      </c>
      <c r="FT131" s="1111">
        <f t="shared" si="135"/>
        <v>0.30735882190983999</v>
      </c>
      <c r="FU131" s="1111">
        <f t="shared" si="136"/>
        <v>0.39005101449211499</v>
      </c>
      <c r="FV131" s="1111">
        <f t="shared" si="137"/>
        <v>0.39066992241253701</v>
      </c>
      <c r="FW131" s="1111">
        <f t="shared" si="138"/>
        <v>0.38533543168497802</v>
      </c>
      <c r="FX131" s="1111">
        <f t="shared" si="139"/>
        <v>0.38210780865177602</v>
      </c>
      <c r="FY131" s="1111">
        <f t="shared" si="140"/>
        <v>0.38168461815948401</v>
      </c>
      <c r="FZ131" s="1111">
        <f t="shared" si="141"/>
        <v>0.38158273300441498</v>
      </c>
      <c r="GA131" s="1111">
        <f t="shared" si="142"/>
        <v>0.38159401668729898</v>
      </c>
      <c r="GB131" s="1111">
        <f t="shared" si="226"/>
        <v>0.38159401668729898</v>
      </c>
      <c r="GC131" s="1111">
        <f t="shared" si="227"/>
        <v>4.0776832803997499E-2</v>
      </c>
      <c r="GD131" s="1111">
        <f t="shared" si="165"/>
        <v>4.0776832803997499E-2</v>
      </c>
      <c r="GE131" s="1111">
        <f t="shared" si="166"/>
        <v>3.9141663319635298E-2</v>
      </c>
      <c r="GF131" s="1111">
        <f t="shared" si="167"/>
        <v>4.9523071403868003E-2</v>
      </c>
      <c r="GG131" s="1111">
        <f t="shared" si="168"/>
        <v>4.9601730365398403E-2</v>
      </c>
      <c r="GH131" s="1111">
        <f t="shared" si="169"/>
        <v>4.89258116983569E-2</v>
      </c>
      <c r="GI131" s="1111">
        <f t="shared" si="170"/>
        <v>4.8516952447921501E-2</v>
      </c>
      <c r="GJ131" s="1111">
        <f t="shared" si="171"/>
        <v>4.8463277650522503E-2</v>
      </c>
      <c r="GK131" s="1111">
        <f t="shared" si="172"/>
        <v>4.8450357125536803E-2</v>
      </c>
      <c r="GL131" s="1111">
        <f t="shared" si="173"/>
        <v>4.8451814981298101E-2</v>
      </c>
      <c r="GM131" s="1111">
        <f t="shared" si="174"/>
        <v>4.8451814981298101E-2</v>
      </c>
    </row>
    <row r="132" spans="1:195" x14ac:dyDescent="0.2">
      <c r="A132" s="1071" t="str">
        <f>Technologies!B75</f>
        <v>R2,R3,R4,R5,R6</v>
      </c>
      <c r="B132" s="1071" t="str">
        <f>NewTech!B32</f>
        <v>TBH2FC</v>
      </c>
      <c r="C132" s="1071" t="str">
        <f>NewTech!C32</f>
        <v>Bus, Hydrogen Fuel Cell</v>
      </c>
      <c r="D132" s="1071" t="str">
        <f>NewTech!D32</f>
        <v>bn-vmt, bn-vmt/a</v>
      </c>
      <c r="E132" s="1071" t="str">
        <f>NewTech!E32</f>
        <v>TRNH2</v>
      </c>
      <c r="F132" s="1071" t="str">
        <f>NewTech!F32</f>
        <v>TB</v>
      </c>
      <c r="G132" s="1110" t="s">
        <v>498</v>
      </c>
      <c r="H132" s="1110" t="s">
        <v>508</v>
      </c>
      <c r="I132" s="1112">
        <v>1</v>
      </c>
      <c r="J132" s="1111" t="str">
        <f t="shared" si="37"/>
        <v>Bus-H2</v>
      </c>
      <c r="K132" s="1111"/>
      <c r="L132" s="1111"/>
      <c r="M132" s="1111"/>
      <c r="N132" s="1111"/>
      <c r="O132" s="1111"/>
      <c r="P132" s="1111"/>
      <c r="Q132" s="1111"/>
      <c r="R132" s="1111"/>
      <c r="S132" s="1111"/>
      <c r="T132" s="1111">
        <f t="shared" si="131"/>
        <v>0</v>
      </c>
      <c r="U132" s="1111"/>
      <c r="V132" s="1111"/>
      <c r="W132" s="1111"/>
      <c r="X132" s="1111"/>
      <c r="Y132" s="1111"/>
      <c r="Z132" s="1111"/>
      <c r="AA132" s="1111"/>
      <c r="AB132" s="1111"/>
      <c r="AC132" s="1111"/>
      <c r="AD132" s="1111">
        <f t="shared" si="132"/>
        <v>0</v>
      </c>
      <c r="AE132" s="1111"/>
      <c r="AF132" s="1111"/>
      <c r="AG132" s="1111"/>
      <c r="AH132" s="1111"/>
      <c r="AI132" s="1111"/>
      <c r="AJ132" s="1111"/>
      <c r="AK132" s="1111"/>
      <c r="AL132" s="1111"/>
      <c r="AM132" s="1111"/>
      <c r="AN132" s="1111"/>
      <c r="AO132" s="1111"/>
      <c r="AP132" s="1111"/>
      <c r="AQ132" s="1111"/>
      <c r="AR132" s="1111"/>
      <c r="AS132" s="1111"/>
      <c r="AT132" s="1111"/>
      <c r="AU132" s="1111"/>
      <c r="AV132" s="1111"/>
      <c r="AW132" s="1111"/>
      <c r="AX132" s="1111"/>
      <c r="AY132" s="1111"/>
      <c r="AZ132" s="1111"/>
      <c r="BA132" s="1111"/>
      <c r="BB132" s="1111"/>
      <c r="BC132" s="1111"/>
      <c r="BD132" s="1111"/>
      <c r="BE132" s="1111"/>
      <c r="BF132" s="1111"/>
      <c r="BG132" s="1111"/>
      <c r="BH132" s="1111"/>
      <c r="BI132" s="1111"/>
      <c r="BJ132" s="1111"/>
      <c r="BK132" s="1111"/>
      <c r="BL132" s="1111"/>
      <c r="BM132" s="1111"/>
      <c r="BN132" s="1111"/>
      <c r="BO132" s="1111"/>
      <c r="BP132" s="1111"/>
      <c r="BQ132" s="1111"/>
      <c r="BR132" s="1111"/>
      <c r="BS132" s="1111"/>
      <c r="BT132" s="1111"/>
      <c r="BU132" s="1111"/>
      <c r="BV132" s="1111"/>
      <c r="BW132" s="1111"/>
      <c r="BX132" s="1111"/>
      <c r="BY132" s="1111"/>
      <c r="BZ132" s="1111"/>
      <c r="CA132" s="1111"/>
      <c r="CB132" s="1111"/>
      <c r="CC132" s="1111"/>
      <c r="CD132" s="1111"/>
      <c r="CE132" s="1111"/>
      <c r="CF132" s="1111"/>
      <c r="CG132" s="1111"/>
      <c r="CH132" s="1111"/>
      <c r="CI132" s="1111"/>
      <c r="CJ132" s="1111"/>
      <c r="CK132" s="1111"/>
      <c r="CL132" s="1111"/>
      <c r="CM132" s="1111"/>
      <c r="CN132" s="1111"/>
      <c r="CO132" s="1111"/>
      <c r="CP132" s="1111"/>
      <c r="CQ132" s="1111"/>
      <c r="CR132" s="1111"/>
      <c r="CS132" s="1111"/>
      <c r="CT132" s="1111"/>
      <c r="CU132" s="1111"/>
      <c r="CV132" s="1111"/>
      <c r="CW132" s="1111"/>
      <c r="CX132" s="1111"/>
      <c r="CY132" s="1111"/>
      <c r="CZ132" s="1111"/>
      <c r="DA132" s="1111"/>
      <c r="DB132" s="1111"/>
      <c r="DC132" s="1111"/>
      <c r="DD132" s="1111"/>
      <c r="DE132" s="1111"/>
      <c r="DF132" s="1111"/>
      <c r="DG132" s="1111"/>
      <c r="DH132" s="1111"/>
      <c r="DI132" s="1111"/>
      <c r="DJ132" s="1111"/>
      <c r="DK132" s="1111"/>
      <c r="DL132" s="1111"/>
      <c r="DM132" s="1111"/>
      <c r="DN132" s="1111"/>
      <c r="DO132" s="1111"/>
      <c r="DP132" s="1111"/>
      <c r="DQ132" s="1111"/>
      <c r="DR132" s="1111"/>
      <c r="DS132" s="1111"/>
      <c r="DT132" s="1111"/>
      <c r="DU132" s="1111"/>
      <c r="DV132" s="1111"/>
      <c r="DW132" s="1111"/>
      <c r="DX132" s="1111"/>
      <c r="DY132" s="1111"/>
      <c r="DZ132" s="1111"/>
      <c r="EA132" s="1111"/>
      <c r="EB132" s="1111"/>
      <c r="EC132" s="1111"/>
      <c r="ED132" s="1111"/>
      <c r="EE132" s="1111"/>
      <c r="EF132" s="1111"/>
      <c r="EG132" s="1111"/>
      <c r="EH132" s="1111"/>
      <c r="EI132" s="1111"/>
      <c r="EJ132" s="1111"/>
      <c r="EK132" s="1111"/>
      <c r="EL132" s="1111">
        <f t="shared" si="154"/>
        <v>0</v>
      </c>
      <c r="EM132" s="1111">
        <f t="shared" si="155"/>
        <v>0</v>
      </c>
      <c r="EN132" s="1111">
        <f t="shared" si="156"/>
        <v>0</v>
      </c>
      <c r="EO132" s="1111">
        <f t="shared" si="157"/>
        <v>0</v>
      </c>
      <c r="EP132" s="1111">
        <f t="shared" si="158"/>
        <v>0</v>
      </c>
      <c r="EQ132" s="1111">
        <f t="shared" si="159"/>
        <v>0</v>
      </c>
      <c r="ER132" s="1111">
        <f t="shared" si="160"/>
        <v>0</v>
      </c>
      <c r="ES132" s="1111">
        <f t="shared" si="161"/>
        <v>0</v>
      </c>
      <c r="ET132" s="1111">
        <f t="shared" si="162"/>
        <v>0</v>
      </c>
      <c r="EU132" s="1111">
        <f t="shared" si="163"/>
        <v>0</v>
      </c>
      <c r="EV132" s="1111"/>
      <c r="EW132" s="1111">
        <f t="shared" si="144"/>
        <v>0</v>
      </c>
      <c r="EX132" s="1111">
        <f t="shared" si="145"/>
        <v>0</v>
      </c>
      <c r="EY132" s="1111">
        <f t="shared" si="146"/>
        <v>0</v>
      </c>
      <c r="EZ132" s="1111">
        <f t="shared" si="147"/>
        <v>0</v>
      </c>
      <c r="FA132" s="1111">
        <f t="shared" si="148"/>
        <v>0</v>
      </c>
      <c r="FB132" s="1111">
        <f t="shared" si="149"/>
        <v>0</v>
      </c>
      <c r="FC132" s="1111">
        <f t="shared" si="150"/>
        <v>0</v>
      </c>
      <c r="FD132" s="1111">
        <f t="shared" si="151"/>
        <v>0</v>
      </c>
      <c r="FE132" s="1111">
        <f t="shared" si="152"/>
        <v>0</v>
      </c>
      <c r="FF132" s="1111">
        <f t="shared" si="153"/>
        <v>0</v>
      </c>
      <c r="FG132" s="1111">
        <f t="shared" si="193"/>
        <v>0</v>
      </c>
      <c r="FH132" s="1111">
        <f t="shared" si="194"/>
        <v>0</v>
      </c>
      <c r="FI132" s="1111">
        <f t="shared" si="195"/>
        <v>0</v>
      </c>
      <c r="FJ132" s="1111">
        <f t="shared" si="196"/>
        <v>0</v>
      </c>
      <c r="FK132" s="1111">
        <f t="shared" si="197"/>
        <v>0</v>
      </c>
      <c r="FL132" s="1111">
        <f t="shared" si="198"/>
        <v>0</v>
      </c>
      <c r="FM132" s="1111">
        <f t="shared" si="199"/>
        <v>0</v>
      </c>
      <c r="FN132" s="1111">
        <f t="shared" si="200"/>
        <v>0</v>
      </c>
      <c r="FO132" s="1111">
        <f t="shared" si="201"/>
        <v>0</v>
      </c>
      <c r="FP132" s="1111">
        <f t="shared" si="202"/>
        <v>0</v>
      </c>
      <c r="FQ132" s="1111">
        <f t="shared" si="203"/>
        <v>0</v>
      </c>
      <c r="FR132" s="1111">
        <f t="shared" si="133"/>
        <v>0</v>
      </c>
      <c r="FS132" s="1111">
        <f t="shared" si="134"/>
        <v>0</v>
      </c>
      <c r="FT132" s="1111">
        <f t="shared" si="135"/>
        <v>0</v>
      </c>
      <c r="FU132" s="1111">
        <f t="shared" si="136"/>
        <v>0</v>
      </c>
      <c r="FV132" s="1111">
        <f t="shared" si="137"/>
        <v>0</v>
      </c>
      <c r="FW132" s="1111">
        <f t="shared" si="138"/>
        <v>0</v>
      </c>
      <c r="FX132" s="1111">
        <f t="shared" si="139"/>
        <v>0</v>
      </c>
      <c r="FY132" s="1111">
        <f t="shared" si="140"/>
        <v>0</v>
      </c>
      <c r="FZ132" s="1111">
        <f t="shared" si="141"/>
        <v>0</v>
      </c>
      <c r="GA132" s="1111">
        <f t="shared" si="142"/>
        <v>0</v>
      </c>
      <c r="GB132" s="1111">
        <f t="shared" si="143"/>
        <v>0</v>
      </c>
      <c r="GC132" s="1111">
        <f t="shared" si="164"/>
        <v>0</v>
      </c>
      <c r="GD132" s="1111">
        <f t="shared" si="165"/>
        <v>0</v>
      </c>
      <c r="GE132" s="1111">
        <f t="shared" si="166"/>
        <v>0</v>
      </c>
      <c r="GF132" s="1111">
        <f t="shared" si="167"/>
        <v>0</v>
      </c>
      <c r="GG132" s="1111">
        <f t="shared" si="168"/>
        <v>0</v>
      </c>
      <c r="GH132" s="1111">
        <f t="shared" si="169"/>
        <v>0</v>
      </c>
      <c r="GI132" s="1111">
        <f t="shared" si="170"/>
        <v>0</v>
      </c>
      <c r="GJ132" s="1111">
        <f t="shared" si="171"/>
        <v>0</v>
      </c>
      <c r="GK132" s="1111">
        <f t="shared" si="172"/>
        <v>0</v>
      </c>
      <c r="GL132" s="1111">
        <f t="shared" si="173"/>
        <v>0</v>
      </c>
      <c r="GM132" s="1111">
        <f t="shared" si="174"/>
        <v>0</v>
      </c>
    </row>
    <row r="133" spans="1:195" x14ac:dyDescent="0.2">
      <c r="A133" s="1071" t="str">
        <f>Technologies!B76</f>
        <v>R2,R3,R4,R5,R6</v>
      </c>
      <c r="B133" s="1071" t="str">
        <f>NewTech!B33</f>
        <v>TBH2HYB</v>
      </c>
      <c r="C133" s="1071" t="str">
        <f>NewTech!C33</f>
        <v>Bus, Hydrogen Fuel Cell Hybrid</v>
      </c>
      <c r="D133" s="1071" t="str">
        <f>NewTech!D33</f>
        <v>bn-vmt, bn-vmt/a</v>
      </c>
      <c r="E133" s="1071" t="str">
        <f>NewTech!E33</f>
        <v>TRNH2</v>
      </c>
      <c r="F133" s="1071" t="str">
        <f>NewTech!F33</f>
        <v>TB</v>
      </c>
      <c r="G133" s="1110" t="s">
        <v>498</v>
      </c>
      <c r="H133" s="1110" t="s">
        <v>508</v>
      </c>
      <c r="I133" s="1112">
        <v>1</v>
      </c>
      <c r="J133" s="1111" t="str">
        <f t="shared" si="37"/>
        <v>Bus-H2</v>
      </c>
      <c r="K133" s="1111"/>
      <c r="L133" s="1111"/>
      <c r="M133" s="1111"/>
      <c r="N133" s="1111"/>
      <c r="O133" s="1111"/>
      <c r="P133" s="1111"/>
      <c r="Q133" s="1111"/>
      <c r="R133" s="1111"/>
      <c r="S133" s="1111"/>
      <c r="T133" s="1111">
        <f t="shared" si="131"/>
        <v>0</v>
      </c>
      <c r="U133" s="1111"/>
      <c r="V133" s="1111"/>
      <c r="W133" s="1111"/>
      <c r="X133" s="1111"/>
      <c r="Y133" s="1111"/>
      <c r="Z133" s="1111"/>
      <c r="AA133" s="1111"/>
      <c r="AB133" s="1111"/>
      <c r="AC133" s="1111"/>
      <c r="AD133" s="1111">
        <f t="shared" si="132"/>
        <v>0</v>
      </c>
      <c r="AE133" s="1111"/>
      <c r="AF133" s="1111"/>
      <c r="AG133" s="1111"/>
      <c r="AH133" s="1111"/>
      <c r="AI133" s="1111"/>
      <c r="AJ133" s="1111"/>
      <c r="AK133" s="1111"/>
      <c r="AL133" s="1111"/>
      <c r="AM133" s="1111"/>
      <c r="AN133" s="1111"/>
      <c r="AO133" s="1111"/>
      <c r="AP133" s="1111"/>
      <c r="AQ133" s="1111"/>
      <c r="AR133" s="1111"/>
      <c r="AS133" s="1111"/>
      <c r="AT133" s="1111"/>
      <c r="AU133" s="1111"/>
      <c r="AV133" s="1111"/>
      <c r="AW133" s="1111"/>
      <c r="AX133" s="1111"/>
      <c r="AY133" s="1111"/>
      <c r="AZ133" s="1111"/>
      <c r="BA133" s="1111"/>
      <c r="BB133" s="1111"/>
      <c r="BC133" s="1111"/>
      <c r="BD133" s="1111"/>
      <c r="BE133" s="1111"/>
      <c r="BF133" s="1111"/>
      <c r="BG133" s="1111"/>
      <c r="BH133" s="1111"/>
      <c r="BI133" s="1111"/>
      <c r="BJ133" s="1111"/>
      <c r="BK133" s="1111"/>
      <c r="BL133" s="1111"/>
      <c r="BM133" s="1111"/>
      <c r="BN133" s="1111"/>
      <c r="BO133" s="1111"/>
      <c r="BP133" s="1111"/>
      <c r="BQ133" s="1111"/>
      <c r="BR133" s="1111"/>
      <c r="BS133" s="1111"/>
      <c r="BT133" s="1111"/>
      <c r="BU133" s="1111"/>
      <c r="BV133" s="1111"/>
      <c r="BW133" s="1111"/>
      <c r="BX133" s="1111"/>
      <c r="BY133" s="1111"/>
      <c r="BZ133" s="1111"/>
      <c r="CA133" s="1111"/>
      <c r="CB133" s="1111"/>
      <c r="CC133" s="1111"/>
      <c r="CD133" s="1111"/>
      <c r="CE133" s="1111"/>
      <c r="CF133" s="1111"/>
      <c r="CG133" s="1111"/>
      <c r="CH133" s="1111"/>
      <c r="CI133" s="1111"/>
      <c r="CJ133" s="1111"/>
      <c r="CK133" s="1111"/>
      <c r="CL133" s="1111"/>
      <c r="CM133" s="1111"/>
      <c r="CN133" s="1111"/>
      <c r="CO133" s="1111"/>
      <c r="CP133" s="1111"/>
      <c r="CQ133" s="1111"/>
      <c r="CR133" s="1111"/>
      <c r="CS133" s="1111"/>
      <c r="CT133" s="1111"/>
      <c r="CU133" s="1111"/>
      <c r="CV133" s="1111"/>
      <c r="CW133" s="1111"/>
      <c r="CX133" s="1111"/>
      <c r="CY133" s="1111"/>
      <c r="CZ133" s="1111"/>
      <c r="DA133" s="1111"/>
      <c r="DB133" s="1111"/>
      <c r="DC133" s="1111"/>
      <c r="DD133" s="1111"/>
      <c r="DE133" s="1111"/>
      <c r="DF133" s="1111"/>
      <c r="DG133" s="1111"/>
      <c r="DH133" s="1111"/>
      <c r="DI133" s="1111"/>
      <c r="DJ133" s="1111"/>
      <c r="DK133" s="1111"/>
      <c r="DL133" s="1111"/>
      <c r="DM133" s="1111"/>
      <c r="DN133" s="1111"/>
      <c r="DO133" s="1111"/>
      <c r="DP133" s="1111"/>
      <c r="DQ133" s="1111"/>
      <c r="DR133" s="1111"/>
      <c r="DS133" s="1111"/>
      <c r="DT133" s="1111"/>
      <c r="DU133" s="1111"/>
      <c r="DV133" s="1111"/>
      <c r="DW133" s="1111"/>
      <c r="DX133" s="1111"/>
      <c r="DY133" s="1111"/>
      <c r="DZ133" s="1111"/>
      <c r="EA133" s="1111"/>
      <c r="EB133" s="1111"/>
      <c r="EC133" s="1111"/>
      <c r="ED133" s="1111"/>
      <c r="EE133" s="1111"/>
      <c r="EF133" s="1111"/>
      <c r="EG133" s="1111"/>
      <c r="EH133" s="1111"/>
      <c r="EI133" s="1111"/>
      <c r="EJ133" s="1111"/>
      <c r="EK133" s="1111"/>
      <c r="EL133" s="1111">
        <f t="shared" si="154"/>
        <v>0</v>
      </c>
      <c r="EM133" s="1111">
        <f t="shared" si="155"/>
        <v>0</v>
      </c>
      <c r="EN133" s="1111">
        <f t="shared" si="156"/>
        <v>0</v>
      </c>
      <c r="EO133" s="1111">
        <f t="shared" si="157"/>
        <v>0</v>
      </c>
      <c r="EP133" s="1111">
        <f t="shared" si="158"/>
        <v>0</v>
      </c>
      <c r="EQ133" s="1111">
        <f t="shared" si="159"/>
        <v>0</v>
      </c>
      <c r="ER133" s="1111">
        <f t="shared" si="160"/>
        <v>0</v>
      </c>
      <c r="ES133" s="1111">
        <f t="shared" si="161"/>
        <v>0</v>
      </c>
      <c r="ET133" s="1111">
        <f t="shared" si="162"/>
        <v>0</v>
      </c>
      <c r="EU133" s="1111">
        <f t="shared" si="163"/>
        <v>0</v>
      </c>
      <c r="EV133" s="1111"/>
      <c r="EW133" s="1111">
        <f t="shared" si="144"/>
        <v>0</v>
      </c>
      <c r="EX133" s="1111">
        <f t="shared" si="145"/>
        <v>0</v>
      </c>
      <c r="EY133" s="1111">
        <f t="shared" si="146"/>
        <v>0</v>
      </c>
      <c r="EZ133" s="1111">
        <f t="shared" si="147"/>
        <v>0</v>
      </c>
      <c r="FA133" s="1111">
        <f t="shared" si="148"/>
        <v>0</v>
      </c>
      <c r="FB133" s="1111">
        <f t="shared" si="149"/>
        <v>0</v>
      </c>
      <c r="FC133" s="1111">
        <f t="shared" si="150"/>
        <v>0</v>
      </c>
      <c r="FD133" s="1111">
        <f t="shared" si="151"/>
        <v>0</v>
      </c>
      <c r="FE133" s="1111">
        <f t="shared" si="152"/>
        <v>0</v>
      </c>
      <c r="FF133" s="1111">
        <f t="shared" si="153"/>
        <v>0</v>
      </c>
      <c r="FG133" s="1111">
        <f t="shared" si="193"/>
        <v>0</v>
      </c>
      <c r="FH133" s="1111">
        <f t="shared" si="194"/>
        <v>0</v>
      </c>
      <c r="FI133" s="1111">
        <f t="shared" si="195"/>
        <v>0</v>
      </c>
      <c r="FJ133" s="1111">
        <f t="shared" si="196"/>
        <v>0</v>
      </c>
      <c r="FK133" s="1111">
        <f t="shared" si="197"/>
        <v>0</v>
      </c>
      <c r="FL133" s="1111">
        <f t="shared" si="198"/>
        <v>0</v>
      </c>
      <c r="FM133" s="1111">
        <f t="shared" si="199"/>
        <v>0</v>
      </c>
      <c r="FN133" s="1111">
        <f t="shared" si="200"/>
        <v>0</v>
      </c>
      <c r="FO133" s="1111">
        <f t="shared" si="201"/>
        <v>0</v>
      </c>
      <c r="FP133" s="1111">
        <f t="shared" si="202"/>
        <v>0</v>
      </c>
      <c r="FQ133" s="1111">
        <f t="shared" si="203"/>
        <v>0</v>
      </c>
      <c r="FR133" s="1111">
        <f t="shared" si="133"/>
        <v>0</v>
      </c>
      <c r="FS133" s="1111">
        <f t="shared" si="134"/>
        <v>0</v>
      </c>
      <c r="FT133" s="1111">
        <f t="shared" si="135"/>
        <v>0</v>
      </c>
      <c r="FU133" s="1111">
        <f t="shared" si="136"/>
        <v>0</v>
      </c>
      <c r="FV133" s="1111">
        <f t="shared" si="137"/>
        <v>0</v>
      </c>
      <c r="FW133" s="1111">
        <f t="shared" si="138"/>
        <v>0</v>
      </c>
      <c r="FX133" s="1111">
        <f t="shared" si="139"/>
        <v>0</v>
      </c>
      <c r="FY133" s="1111">
        <f t="shared" si="140"/>
        <v>0</v>
      </c>
      <c r="FZ133" s="1111">
        <f t="shared" si="141"/>
        <v>0</v>
      </c>
      <c r="GA133" s="1111">
        <f t="shared" si="142"/>
        <v>0</v>
      </c>
      <c r="GB133" s="1111">
        <f t="shared" si="143"/>
        <v>0</v>
      </c>
      <c r="GC133" s="1111">
        <f t="shared" si="164"/>
        <v>0</v>
      </c>
      <c r="GD133" s="1111">
        <f t="shared" si="165"/>
        <v>0</v>
      </c>
      <c r="GE133" s="1111">
        <f t="shared" si="166"/>
        <v>0</v>
      </c>
      <c r="GF133" s="1111">
        <f t="shared" si="167"/>
        <v>0</v>
      </c>
      <c r="GG133" s="1111">
        <f t="shared" si="168"/>
        <v>0</v>
      </c>
      <c r="GH133" s="1111">
        <f t="shared" si="169"/>
        <v>0</v>
      </c>
      <c r="GI133" s="1111">
        <f t="shared" si="170"/>
        <v>0</v>
      </c>
      <c r="GJ133" s="1111">
        <f t="shared" si="171"/>
        <v>0</v>
      </c>
      <c r="GK133" s="1111">
        <f t="shared" si="172"/>
        <v>0</v>
      </c>
      <c r="GL133" s="1111">
        <f t="shared" si="173"/>
        <v>0</v>
      </c>
      <c r="GM133" s="1111">
        <f t="shared" si="174"/>
        <v>0</v>
      </c>
    </row>
    <row r="134" spans="1:195" x14ac:dyDescent="0.2">
      <c r="A134" s="1071" t="str">
        <f>Technologies!B81</f>
        <v>*R2,R3,R4,R5,R6</v>
      </c>
      <c r="B134" s="1071" t="str">
        <f>Technologies!C81</f>
        <v>TCGSLC10</v>
      </c>
      <c r="C134" s="1071" t="str">
        <f>Technologies!D81</f>
        <v>Commercial Truck, Gasoline 2010</v>
      </c>
      <c r="D134" s="1071" t="str">
        <f>NewTech!D37</f>
        <v>bn-vmt, bn-vmt/a</v>
      </c>
      <c r="E134" s="1071" t="str">
        <f>NewTech!E37</f>
        <v>TCGSL</v>
      </c>
      <c r="F134" s="1071" t="str">
        <f>NewTech!F37</f>
        <v>TC</v>
      </c>
      <c r="G134" s="1110" t="s">
        <v>502</v>
      </c>
      <c r="H134" s="1110" t="s">
        <v>500</v>
      </c>
      <c r="I134" s="1112">
        <v>1</v>
      </c>
      <c r="J134" s="1111" t="str">
        <f t="shared" si="37"/>
        <v>Commercial Truck-GSL</v>
      </c>
      <c r="K134" s="1111">
        <v>675.7587082465601</v>
      </c>
      <c r="L134" s="1111">
        <v>677.82983375495814</v>
      </c>
      <c r="M134" s="1111">
        <v>676.68894152470091</v>
      </c>
      <c r="N134" s="1111">
        <v>667.43672196505167</v>
      </c>
      <c r="O134" s="1111">
        <v>656.55522929934136</v>
      </c>
      <c r="P134" s="1111">
        <v>655.85666014860146</v>
      </c>
      <c r="Q134" s="1111">
        <v>656.96776144118667</v>
      </c>
      <c r="R134" s="1111">
        <v>657.30093393525215</v>
      </c>
      <c r="S134" s="1111">
        <v>657.39422616607737</v>
      </c>
      <c r="T134" s="1111">
        <f t="shared" si="131"/>
        <v>657.39422616607737</v>
      </c>
      <c r="U134" s="1111">
        <v>3.0146799475978656</v>
      </c>
      <c r="V134" s="1111">
        <v>2.0259159468403549</v>
      </c>
      <c r="W134" s="1111">
        <v>0.66734524578597576</v>
      </c>
      <c r="X134" s="1111">
        <v>0.36217078539327052</v>
      </c>
      <c r="Y134" s="1111">
        <v>0.25114699781709454</v>
      </c>
      <c r="Z134" s="1111">
        <v>0.16536905533109436</v>
      </c>
      <c r="AA134" s="1111">
        <v>0.16189701041139437</v>
      </c>
      <c r="AB134" s="1111">
        <v>0.16189513115752818</v>
      </c>
      <c r="AC134" s="1111">
        <v>0.16200686143225332</v>
      </c>
      <c r="AD134" s="1111">
        <f t="shared" si="132"/>
        <v>0.16200686143225332</v>
      </c>
      <c r="AE134" s="1111">
        <v>3.8602417788471399E-2</v>
      </c>
      <c r="AF134" s="1111">
        <v>1.6293540189000952E-2</v>
      </c>
      <c r="AG134" s="1111">
        <v>1.2607766000449017E-2</v>
      </c>
      <c r="AH134" s="1111">
        <v>4.2995409537388198E-3</v>
      </c>
      <c r="AI134" s="1111">
        <v>4.2407543577426049E-3</v>
      </c>
      <c r="AJ134" s="1111">
        <v>4.1716160773794028E-3</v>
      </c>
      <c r="AK134" s="1111">
        <v>4.1671772168818755E-3</v>
      </c>
      <c r="AL134" s="1111">
        <v>4.1742371332771141E-3</v>
      </c>
      <c r="AM134" s="1111">
        <v>4.1763537358555716E-3</v>
      </c>
      <c r="AN134" s="1111">
        <v>4.1769466648616457E-3</v>
      </c>
      <c r="AO134" s="1111">
        <v>4.1769466648616457E-3</v>
      </c>
      <c r="AP134" s="1111">
        <v>8.727492913685049E-2</v>
      </c>
      <c r="AQ134" s="1111">
        <v>7.015073145379426E-2</v>
      </c>
      <c r="AR134" s="1111">
        <v>5.877132747913956E-2</v>
      </c>
      <c r="AS134" s="1111">
        <v>5.6522642539992611E-2</v>
      </c>
      <c r="AT134" s="1111">
        <v>5.6362718994972472E-2</v>
      </c>
      <c r="AU134" s="1111">
        <v>5.6376663115799121E-2</v>
      </c>
      <c r="AV134" s="1111">
        <v>5.6378624711601363E-2</v>
      </c>
      <c r="AW134" s="1111">
        <v>5.6340954300596761E-2</v>
      </c>
      <c r="AX134" s="1111">
        <v>5.6378129355050093E-2</v>
      </c>
      <c r="AY134" s="1111">
        <v>5.6415925595989402E-2</v>
      </c>
      <c r="AZ134" s="1111">
        <v>5.6415925595989402E-2</v>
      </c>
      <c r="BA134" s="1111">
        <v>4.4681436880471256E-2</v>
      </c>
      <c r="BB134" s="1111">
        <v>2.9644053644229885E-2</v>
      </c>
      <c r="BC134" s="1111">
        <v>1.9594132544732738E-2</v>
      </c>
      <c r="BD134" s="1111">
        <v>1.7509991601039152E-2</v>
      </c>
      <c r="BE134" s="1111">
        <v>1.7310524600574615E-2</v>
      </c>
      <c r="BF134" s="1111">
        <v>1.730789111118081E-2</v>
      </c>
      <c r="BG134" s="1111">
        <v>1.7304225903278164E-2</v>
      </c>
      <c r="BH134" s="1111">
        <v>1.7264845151229263E-2</v>
      </c>
      <c r="BI134" s="1111">
        <v>1.7295887539286715E-2</v>
      </c>
      <c r="BJ134" s="1111">
        <v>1.7328851499837167E-2</v>
      </c>
      <c r="BK134" s="1111">
        <v>1.7328851499837167E-2</v>
      </c>
      <c r="BL134" s="1111">
        <v>35.860741327218626</v>
      </c>
      <c r="BM134" s="1111">
        <v>24.844804072005953</v>
      </c>
      <c r="BN134" s="1111">
        <v>18.593181066520113</v>
      </c>
      <c r="BO134" s="1111">
        <v>11.393031232037009</v>
      </c>
      <c r="BP134" s="1111">
        <v>6.6125965074099637</v>
      </c>
      <c r="BQ134" s="1111">
        <v>4.0821013526340781</v>
      </c>
      <c r="BR134" s="1111">
        <v>2.7736950914505889</v>
      </c>
      <c r="BS134" s="1111">
        <v>2.7302522968900904</v>
      </c>
      <c r="BT134" s="1111">
        <v>2.7268197183978109</v>
      </c>
      <c r="BU134" s="1111">
        <v>2.7248567550504017</v>
      </c>
      <c r="BV134" s="1111">
        <v>2.7248567550504017</v>
      </c>
      <c r="BW134" s="1111">
        <v>1.7098618747055716</v>
      </c>
      <c r="BX134" s="1111">
        <v>1.0620496125987395</v>
      </c>
      <c r="BY134" s="1111">
        <v>0.64803383961976424</v>
      </c>
      <c r="BZ134" s="1111">
        <v>0.32949891749870192</v>
      </c>
      <c r="CA134" s="1111">
        <v>0.2604317132865766</v>
      </c>
      <c r="CB134" s="1111">
        <v>0.23207204924695546</v>
      </c>
      <c r="CC134" s="1111">
        <v>0.21284810732173418</v>
      </c>
      <c r="CD134" s="1111">
        <v>0.21161706051523629</v>
      </c>
      <c r="CE134" s="1111">
        <v>0.21215029904156887</v>
      </c>
      <c r="CF134" s="1111">
        <v>0.21276144651818038</v>
      </c>
      <c r="CG134" s="1111">
        <v>0.21276144651818038</v>
      </c>
      <c r="CH134" s="1111">
        <v>4.7302164924460807E-2</v>
      </c>
      <c r="CI134" s="1111">
        <v>4.7832496091056095E-2</v>
      </c>
      <c r="CJ134" s="1111">
        <v>4.7904483628421181E-2</v>
      </c>
      <c r="CK134" s="1111">
        <v>4.7451411751592183E-2</v>
      </c>
      <c r="CL134" s="1111">
        <v>4.7174477093298743E-2</v>
      </c>
      <c r="CM134" s="1111">
        <v>4.7102731250251599E-2</v>
      </c>
      <c r="CN134" s="1111">
        <v>4.7076661142115006E-2</v>
      </c>
      <c r="CO134" s="1111">
        <v>4.7047405355450787E-2</v>
      </c>
      <c r="CP134" s="1111">
        <v>4.7038486893523253E-2</v>
      </c>
      <c r="CQ134" s="1111">
        <v>4.7036236063411889E-2</v>
      </c>
      <c r="CR134" s="1111">
        <v>4.7036236063411889E-2</v>
      </c>
      <c r="CS134" s="1111">
        <v>3.8087852047407287</v>
      </c>
      <c r="CT134" s="1111">
        <v>3.0146799475978656</v>
      </c>
      <c r="CU134" s="1111">
        <v>2.0259159468403549</v>
      </c>
      <c r="CV134" s="1111">
        <v>0.66734524578597576</v>
      </c>
      <c r="CW134" s="1111">
        <v>0.36217078539327052</v>
      </c>
      <c r="CX134" s="1111">
        <v>0.25114699781709454</v>
      </c>
      <c r="CY134" s="1111">
        <v>0.16536905533109436</v>
      </c>
      <c r="CZ134" s="1111">
        <v>0.16189701041139437</v>
      </c>
      <c r="DA134" s="1111">
        <v>0.16189513115752818</v>
      </c>
      <c r="DB134" s="1111">
        <v>0.16200686143225332</v>
      </c>
      <c r="DC134" s="1111">
        <v>0.16200686143225332</v>
      </c>
      <c r="DD134" s="1111">
        <v>7.984361772561635E-3</v>
      </c>
      <c r="DE134" s="1111">
        <v>5.0212006967350854E-3</v>
      </c>
      <c r="DF134" s="1111">
        <v>3.1208300442598759E-3</v>
      </c>
      <c r="DG134" s="1111">
        <v>2.7536971677900967E-3</v>
      </c>
      <c r="DH134" s="1111">
        <v>2.6062101252931269E-3</v>
      </c>
      <c r="DI134" s="1111">
        <v>2.5990089403284144E-3</v>
      </c>
      <c r="DJ134" s="1111">
        <v>2.5947876308756715E-3</v>
      </c>
      <c r="DK134" s="1111">
        <v>2.5793453985640011E-3</v>
      </c>
      <c r="DL134" s="1111">
        <v>2.5878215177950322E-3</v>
      </c>
      <c r="DM134" s="1111">
        <v>2.5981229820993463E-3</v>
      </c>
      <c r="DN134" s="1111">
        <v>2.5981229820993463E-3</v>
      </c>
      <c r="DO134" s="1111">
        <v>2.1123708176915917E-2</v>
      </c>
      <c r="DP134" s="1111">
        <v>1.311579808868692E-2</v>
      </c>
      <c r="DQ134" s="1111">
        <v>7.5227582987361808E-3</v>
      </c>
      <c r="DR134" s="1111">
        <v>6.3747699705046451E-3</v>
      </c>
      <c r="DS134" s="1111">
        <v>6.3139325183540294E-3</v>
      </c>
      <c r="DT134" s="1111">
        <v>6.3142587832010445E-3</v>
      </c>
      <c r="DU134" s="1111">
        <v>6.3133765031966049E-3</v>
      </c>
      <c r="DV134" s="1111">
        <v>6.2942626243971218E-3</v>
      </c>
      <c r="DW134" s="1111">
        <v>6.3103898501668367E-3</v>
      </c>
      <c r="DX134" s="1111">
        <v>6.3270201095389448E-3</v>
      </c>
      <c r="DY134" s="1111">
        <v>6.3270201095389448E-3</v>
      </c>
      <c r="DZ134" s="1111">
        <v>8.1857365138361657E-2</v>
      </c>
      <c r="EA134" s="1111">
        <v>5.6196969894271621E-2</v>
      </c>
      <c r="EB134" s="1111">
        <v>4.1986170719416738E-2</v>
      </c>
      <c r="EC134" s="1111">
        <v>2.1449467573886532E-2</v>
      </c>
      <c r="ED134" s="1111">
        <v>1.5984380973041973E-2</v>
      </c>
      <c r="EE134" s="1111">
        <v>1.418603159638844E-2</v>
      </c>
      <c r="EF134" s="1111">
        <v>1.2904237852387181E-2</v>
      </c>
      <c r="EG134" s="1111">
        <v>1.292780974994698E-2</v>
      </c>
      <c r="EH134" s="1111">
        <v>1.2933542239182286E-2</v>
      </c>
      <c r="EI134" s="1111">
        <v>1.2942194004542353E-2</v>
      </c>
      <c r="EJ134" s="1111">
        <v>1.2942194004542353E-2</v>
      </c>
      <c r="EK134" s="1111">
        <v>682.37093556210789</v>
      </c>
      <c r="EL134" s="1111">
        <f t="shared" si="154"/>
        <v>675.7587082465601</v>
      </c>
      <c r="EM134" s="1111">
        <f t="shared" si="155"/>
        <v>677.82983375495814</v>
      </c>
      <c r="EN134" s="1111">
        <f t="shared" si="156"/>
        <v>676.68894152470091</v>
      </c>
      <c r="EO134" s="1111">
        <f t="shared" si="157"/>
        <v>667.43672196505167</v>
      </c>
      <c r="EP134" s="1111">
        <f t="shared" si="158"/>
        <v>656.55522929934136</v>
      </c>
      <c r="EQ134" s="1111">
        <f t="shared" si="159"/>
        <v>655.85666014860146</v>
      </c>
      <c r="ER134" s="1111">
        <f t="shared" si="160"/>
        <v>656.96776144118667</v>
      </c>
      <c r="ES134" s="1111">
        <f t="shared" si="161"/>
        <v>657.30093393525215</v>
      </c>
      <c r="ET134" s="1111">
        <f t="shared" si="162"/>
        <v>657.39422616607737</v>
      </c>
      <c r="EU134" s="1111">
        <f t="shared" si="163"/>
        <v>657.39422616607737</v>
      </c>
      <c r="EV134" s="1111">
        <v>3.8087852047407287</v>
      </c>
      <c r="EW134" s="1111">
        <f t="shared" si="144"/>
        <v>3.0146799475978656</v>
      </c>
      <c r="EX134" s="1111">
        <f t="shared" si="145"/>
        <v>2.0259159468403549</v>
      </c>
      <c r="EY134" s="1111">
        <f t="shared" si="146"/>
        <v>0.66734524578597576</v>
      </c>
      <c r="EZ134" s="1111">
        <f t="shared" si="147"/>
        <v>0.36217078539327052</v>
      </c>
      <c r="FA134" s="1111">
        <f t="shared" si="148"/>
        <v>0.25114699781709454</v>
      </c>
      <c r="FB134" s="1111">
        <f t="shared" si="149"/>
        <v>0.16536905533109436</v>
      </c>
      <c r="FC134" s="1111">
        <f t="shared" si="150"/>
        <v>0.16189701041139437</v>
      </c>
      <c r="FD134" s="1111">
        <f t="shared" si="151"/>
        <v>0.16189513115752818</v>
      </c>
      <c r="FE134" s="1111">
        <f t="shared" si="152"/>
        <v>0.16200686143225332</v>
      </c>
      <c r="FF134" s="1111">
        <f t="shared" si="153"/>
        <v>0.16200686143225332</v>
      </c>
      <c r="FG134" s="1111">
        <f t="shared" si="193"/>
        <v>3.8602417788471399E-2</v>
      </c>
      <c r="FH134" s="1111">
        <f t="shared" si="194"/>
        <v>1.6293540189000952E-2</v>
      </c>
      <c r="FI134" s="1111">
        <f t="shared" si="195"/>
        <v>1.2607766000449017E-2</v>
      </c>
      <c r="FJ134" s="1111">
        <f t="shared" si="196"/>
        <v>4.2995409537388198E-3</v>
      </c>
      <c r="FK134" s="1111">
        <f t="shared" si="197"/>
        <v>4.2407543577426049E-3</v>
      </c>
      <c r="FL134" s="1111">
        <f t="shared" si="198"/>
        <v>4.1716160773794028E-3</v>
      </c>
      <c r="FM134" s="1111">
        <f t="shared" si="199"/>
        <v>4.1671772168818755E-3</v>
      </c>
      <c r="FN134" s="1111">
        <f t="shared" si="200"/>
        <v>4.1742371332771141E-3</v>
      </c>
      <c r="FO134" s="1111">
        <f t="shared" si="201"/>
        <v>4.1763537358555716E-3</v>
      </c>
      <c r="FP134" s="1111">
        <f t="shared" si="202"/>
        <v>4.1769466648616457E-3</v>
      </c>
      <c r="FQ134" s="1111">
        <f t="shared" si="203"/>
        <v>4.1769466648616457E-3</v>
      </c>
      <c r="FR134" s="1111">
        <f t="shared" si="133"/>
        <v>8.727492913685049E-2</v>
      </c>
      <c r="FS134" s="1111">
        <f t="shared" si="134"/>
        <v>7.015073145379426E-2</v>
      </c>
      <c r="FT134" s="1111">
        <f t="shared" si="135"/>
        <v>5.877132747913956E-2</v>
      </c>
      <c r="FU134" s="1111">
        <f t="shared" si="136"/>
        <v>5.6522642539992611E-2</v>
      </c>
      <c r="FV134" s="1111">
        <f t="shared" si="137"/>
        <v>5.6362718994972472E-2</v>
      </c>
      <c r="FW134" s="1111">
        <f t="shared" si="138"/>
        <v>5.6376663115799121E-2</v>
      </c>
      <c r="FX134" s="1111">
        <f t="shared" si="139"/>
        <v>5.6378624711601363E-2</v>
      </c>
      <c r="FY134" s="1111">
        <f t="shared" si="140"/>
        <v>5.6340954300596761E-2</v>
      </c>
      <c r="FZ134" s="1111">
        <f t="shared" si="141"/>
        <v>5.6378129355050093E-2</v>
      </c>
      <c r="GA134" s="1111">
        <f t="shared" si="142"/>
        <v>5.6415925595989402E-2</v>
      </c>
      <c r="GB134" s="1111">
        <f t="shared" si="143"/>
        <v>5.6415925595989402E-2</v>
      </c>
      <c r="GC134" s="1111">
        <f t="shared" si="164"/>
        <v>4.4681436880471256E-2</v>
      </c>
      <c r="GD134" s="1111">
        <f t="shared" si="165"/>
        <v>2.9644053644229885E-2</v>
      </c>
      <c r="GE134" s="1111">
        <f t="shared" si="166"/>
        <v>1.9594132544732738E-2</v>
      </c>
      <c r="GF134" s="1111">
        <f t="shared" si="167"/>
        <v>1.7509991601039152E-2</v>
      </c>
      <c r="GG134" s="1111">
        <f t="shared" si="168"/>
        <v>1.7310524600574615E-2</v>
      </c>
      <c r="GH134" s="1111">
        <f t="shared" si="169"/>
        <v>1.730789111118081E-2</v>
      </c>
      <c r="GI134" s="1111">
        <f t="shared" si="170"/>
        <v>1.7304225903278164E-2</v>
      </c>
      <c r="GJ134" s="1111">
        <f t="shared" si="171"/>
        <v>1.7264845151229263E-2</v>
      </c>
      <c r="GK134" s="1111">
        <f t="shared" si="172"/>
        <v>1.7295887539286715E-2</v>
      </c>
      <c r="GL134" s="1111">
        <f t="shared" si="173"/>
        <v>1.7328851499837167E-2</v>
      </c>
      <c r="GM134" s="1111">
        <f t="shared" si="174"/>
        <v>1.7328851499837167E-2</v>
      </c>
    </row>
    <row r="135" spans="1:195" x14ac:dyDescent="0.2">
      <c r="A135" s="1071" t="str">
        <f>Technologies!B82</f>
        <v>*R2,R3,R4,R5,R6</v>
      </c>
      <c r="B135" s="1071" t="str">
        <f>Technologies!C82</f>
        <v>TCGSLC</v>
      </c>
      <c r="C135" s="1071" t="str">
        <f>Technologies!D82</f>
        <v>Commercial Truck, Conventional Gasoline</v>
      </c>
      <c r="D135" s="1071" t="str">
        <f>NewTech!D38</f>
        <v>bn-vmt, bn-vmt/a</v>
      </c>
      <c r="E135" s="1071" t="str">
        <f>NewTech!E38</f>
        <v>TCGSL</v>
      </c>
      <c r="F135" s="1071" t="str">
        <f>NewTech!F38</f>
        <v>TC</v>
      </c>
      <c r="G135" s="1110" t="s">
        <v>502</v>
      </c>
      <c r="H135" s="1110" t="s">
        <v>500</v>
      </c>
      <c r="I135" s="1112">
        <v>1</v>
      </c>
      <c r="J135" s="1111" t="str">
        <f t="shared" si="37"/>
        <v>Commercial Truck-GSL</v>
      </c>
      <c r="K135" s="1111">
        <v>675.7587082465601</v>
      </c>
      <c r="L135" s="1111">
        <v>677.82983375495814</v>
      </c>
      <c r="M135" s="1111">
        <v>676.68894152470091</v>
      </c>
      <c r="N135" s="1111">
        <v>667.43672196505167</v>
      </c>
      <c r="O135" s="1111">
        <v>656.55522929934136</v>
      </c>
      <c r="P135" s="1111">
        <v>655.85666014860146</v>
      </c>
      <c r="Q135" s="1111">
        <v>656.96776144118667</v>
      </c>
      <c r="R135" s="1111">
        <v>657.30093393525215</v>
      </c>
      <c r="S135" s="1111">
        <v>657.39422616607737</v>
      </c>
      <c r="T135" s="1111">
        <f t="shared" si="131"/>
        <v>657.39422616607737</v>
      </c>
      <c r="U135" s="1111">
        <v>3.0146799475978656</v>
      </c>
      <c r="V135" s="1111">
        <v>2.0259159468403549</v>
      </c>
      <c r="W135" s="1111">
        <v>0.66734524578597576</v>
      </c>
      <c r="X135" s="1111">
        <v>0.36217078539327052</v>
      </c>
      <c r="Y135" s="1111">
        <v>0.25114699781709454</v>
      </c>
      <c r="Z135" s="1111">
        <v>0.16536905533109436</v>
      </c>
      <c r="AA135" s="1111">
        <v>0.16189701041139437</v>
      </c>
      <c r="AB135" s="1111">
        <v>0.16189513115752818</v>
      </c>
      <c r="AC135" s="1111">
        <v>0.16200686143225332</v>
      </c>
      <c r="AD135" s="1111">
        <f t="shared" si="132"/>
        <v>0.16200686143225332</v>
      </c>
      <c r="AE135" s="1111">
        <v>3.8602417788471399E-2</v>
      </c>
      <c r="AF135" s="1111">
        <v>1.6293540189000952E-2</v>
      </c>
      <c r="AG135" s="1111">
        <v>1.2607766000449017E-2</v>
      </c>
      <c r="AH135" s="1111">
        <v>4.2995409537388198E-3</v>
      </c>
      <c r="AI135" s="1111">
        <v>4.2407543577426049E-3</v>
      </c>
      <c r="AJ135" s="1111">
        <v>4.1716160773794028E-3</v>
      </c>
      <c r="AK135" s="1111">
        <v>4.1671772168818755E-3</v>
      </c>
      <c r="AL135" s="1111">
        <v>4.1742371332771141E-3</v>
      </c>
      <c r="AM135" s="1111">
        <v>4.1763537358555716E-3</v>
      </c>
      <c r="AN135" s="1111">
        <v>4.1769466648616457E-3</v>
      </c>
      <c r="AO135" s="1111">
        <v>4.1769466648616457E-3</v>
      </c>
      <c r="AP135" s="1111">
        <v>8.727492913685049E-2</v>
      </c>
      <c r="AQ135" s="1111">
        <v>7.015073145379426E-2</v>
      </c>
      <c r="AR135" s="1111">
        <v>5.877132747913956E-2</v>
      </c>
      <c r="AS135" s="1111">
        <v>5.6522642539992611E-2</v>
      </c>
      <c r="AT135" s="1111">
        <v>5.6362718994972472E-2</v>
      </c>
      <c r="AU135" s="1111">
        <v>5.6376663115799121E-2</v>
      </c>
      <c r="AV135" s="1111">
        <v>5.6378624711601363E-2</v>
      </c>
      <c r="AW135" s="1111">
        <v>5.6340954300596761E-2</v>
      </c>
      <c r="AX135" s="1111">
        <v>5.6378129355050093E-2</v>
      </c>
      <c r="AY135" s="1111">
        <v>5.6415925595989402E-2</v>
      </c>
      <c r="AZ135" s="1111">
        <v>5.6415925595989402E-2</v>
      </c>
      <c r="BA135" s="1111">
        <v>4.4681436880471256E-2</v>
      </c>
      <c r="BB135" s="1111">
        <v>2.9644053644229885E-2</v>
      </c>
      <c r="BC135" s="1111">
        <v>1.9594132544732738E-2</v>
      </c>
      <c r="BD135" s="1111">
        <v>1.7509991601039152E-2</v>
      </c>
      <c r="BE135" s="1111">
        <v>1.7310524600574615E-2</v>
      </c>
      <c r="BF135" s="1111">
        <v>1.730789111118081E-2</v>
      </c>
      <c r="BG135" s="1111">
        <v>1.7304225903278164E-2</v>
      </c>
      <c r="BH135" s="1111">
        <v>1.7264845151229263E-2</v>
      </c>
      <c r="BI135" s="1111">
        <v>1.7295887539286715E-2</v>
      </c>
      <c r="BJ135" s="1111">
        <v>1.7328851499837167E-2</v>
      </c>
      <c r="BK135" s="1111">
        <v>1.7328851499837167E-2</v>
      </c>
      <c r="BL135" s="1111">
        <v>35.860741327218626</v>
      </c>
      <c r="BM135" s="1111">
        <v>24.844804072005953</v>
      </c>
      <c r="BN135" s="1111">
        <v>18.593181066520113</v>
      </c>
      <c r="BO135" s="1111">
        <v>11.393031232037009</v>
      </c>
      <c r="BP135" s="1111">
        <v>6.6125965074099637</v>
      </c>
      <c r="BQ135" s="1111">
        <v>4.0821013526340781</v>
      </c>
      <c r="BR135" s="1111">
        <v>2.7736950914505889</v>
      </c>
      <c r="BS135" s="1111">
        <v>2.7302522968900904</v>
      </c>
      <c r="BT135" s="1111">
        <v>2.7268197183978109</v>
      </c>
      <c r="BU135" s="1111">
        <v>2.7248567550504017</v>
      </c>
      <c r="BV135" s="1111">
        <v>2.7248567550504017</v>
      </c>
      <c r="BW135" s="1111">
        <v>1.7098618747055716</v>
      </c>
      <c r="BX135" s="1111">
        <v>1.0620496125987395</v>
      </c>
      <c r="BY135" s="1111">
        <v>0.64803383961976424</v>
      </c>
      <c r="BZ135" s="1111">
        <v>0.32949891749870192</v>
      </c>
      <c r="CA135" s="1111">
        <v>0.2604317132865766</v>
      </c>
      <c r="CB135" s="1111">
        <v>0.23207204924695546</v>
      </c>
      <c r="CC135" s="1111">
        <v>0.21284810732173418</v>
      </c>
      <c r="CD135" s="1111">
        <v>0.21161706051523629</v>
      </c>
      <c r="CE135" s="1111">
        <v>0.21215029904156887</v>
      </c>
      <c r="CF135" s="1111">
        <v>0.21276144651818038</v>
      </c>
      <c r="CG135" s="1111">
        <v>0.21276144651818038</v>
      </c>
      <c r="CH135" s="1111">
        <v>4.7302164924460807E-2</v>
      </c>
      <c r="CI135" s="1111">
        <v>4.7832496091056095E-2</v>
      </c>
      <c r="CJ135" s="1111">
        <v>4.7904483628421181E-2</v>
      </c>
      <c r="CK135" s="1111">
        <v>4.7451411751592183E-2</v>
      </c>
      <c r="CL135" s="1111">
        <v>4.7174477093298743E-2</v>
      </c>
      <c r="CM135" s="1111">
        <v>4.7102731250251599E-2</v>
      </c>
      <c r="CN135" s="1111">
        <v>4.7076661142115006E-2</v>
      </c>
      <c r="CO135" s="1111">
        <v>4.7047405355450787E-2</v>
      </c>
      <c r="CP135" s="1111">
        <v>4.7038486893523253E-2</v>
      </c>
      <c r="CQ135" s="1111">
        <v>4.7036236063411889E-2</v>
      </c>
      <c r="CR135" s="1111">
        <v>4.7036236063411889E-2</v>
      </c>
      <c r="CS135" s="1111">
        <v>3.8087852047407287</v>
      </c>
      <c r="CT135" s="1111">
        <v>3.0146799475978656</v>
      </c>
      <c r="CU135" s="1111">
        <v>2.0259159468403549</v>
      </c>
      <c r="CV135" s="1111">
        <v>0.66734524578597576</v>
      </c>
      <c r="CW135" s="1111">
        <v>0.36217078539327052</v>
      </c>
      <c r="CX135" s="1111">
        <v>0.25114699781709454</v>
      </c>
      <c r="CY135" s="1111">
        <v>0.16536905533109436</v>
      </c>
      <c r="CZ135" s="1111">
        <v>0.16189701041139437</v>
      </c>
      <c r="DA135" s="1111">
        <v>0.16189513115752818</v>
      </c>
      <c r="DB135" s="1111">
        <v>0.16200686143225332</v>
      </c>
      <c r="DC135" s="1111">
        <v>0.16200686143225332</v>
      </c>
      <c r="DD135" s="1111">
        <v>7.984361772561635E-3</v>
      </c>
      <c r="DE135" s="1111">
        <v>5.0212006967350854E-3</v>
      </c>
      <c r="DF135" s="1111">
        <v>3.1208300442598759E-3</v>
      </c>
      <c r="DG135" s="1111">
        <v>2.7536971677900967E-3</v>
      </c>
      <c r="DH135" s="1111">
        <v>2.6062101252931269E-3</v>
      </c>
      <c r="DI135" s="1111">
        <v>2.5990089403284144E-3</v>
      </c>
      <c r="DJ135" s="1111">
        <v>2.5947876308756715E-3</v>
      </c>
      <c r="DK135" s="1111">
        <v>2.5793453985640011E-3</v>
      </c>
      <c r="DL135" s="1111">
        <v>2.5878215177950322E-3</v>
      </c>
      <c r="DM135" s="1111">
        <v>2.5981229820993463E-3</v>
      </c>
      <c r="DN135" s="1111">
        <v>2.5981229820993463E-3</v>
      </c>
      <c r="DO135" s="1111">
        <v>2.1123708176915917E-2</v>
      </c>
      <c r="DP135" s="1111">
        <v>1.311579808868692E-2</v>
      </c>
      <c r="DQ135" s="1111">
        <v>7.5227582987361808E-3</v>
      </c>
      <c r="DR135" s="1111">
        <v>6.3747699705046451E-3</v>
      </c>
      <c r="DS135" s="1111">
        <v>6.3139325183540294E-3</v>
      </c>
      <c r="DT135" s="1111">
        <v>6.3142587832010445E-3</v>
      </c>
      <c r="DU135" s="1111">
        <v>6.3133765031966049E-3</v>
      </c>
      <c r="DV135" s="1111">
        <v>6.2942626243971218E-3</v>
      </c>
      <c r="DW135" s="1111">
        <v>6.3103898501668367E-3</v>
      </c>
      <c r="DX135" s="1111">
        <v>6.3270201095389448E-3</v>
      </c>
      <c r="DY135" s="1111">
        <v>6.3270201095389448E-3</v>
      </c>
      <c r="DZ135" s="1111">
        <v>8.1857365138361657E-2</v>
      </c>
      <c r="EA135" s="1111">
        <v>5.6196969894271621E-2</v>
      </c>
      <c r="EB135" s="1111">
        <v>4.1986170719416738E-2</v>
      </c>
      <c r="EC135" s="1111">
        <v>2.1449467573886532E-2</v>
      </c>
      <c r="ED135" s="1111">
        <v>1.5984380973041973E-2</v>
      </c>
      <c r="EE135" s="1111">
        <v>1.418603159638844E-2</v>
      </c>
      <c r="EF135" s="1111">
        <v>1.2904237852387181E-2</v>
      </c>
      <c r="EG135" s="1111">
        <v>1.292780974994698E-2</v>
      </c>
      <c r="EH135" s="1111">
        <v>1.2933542239182286E-2</v>
      </c>
      <c r="EI135" s="1111">
        <v>1.2942194004542353E-2</v>
      </c>
      <c r="EJ135" s="1111">
        <v>1.2942194004542353E-2</v>
      </c>
      <c r="EK135" s="1111">
        <v>682.37093556210789</v>
      </c>
      <c r="EL135" s="1111">
        <f t="shared" si="154"/>
        <v>675.7587082465601</v>
      </c>
      <c r="EM135" s="1111">
        <f t="shared" si="155"/>
        <v>677.82983375495814</v>
      </c>
      <c r="EN135" s="1111">
        <f t="shared" si="156"/>
        <v>676.68894152470091</v>
      </c>
      <c r="EO135" s="1111">
        <f t="shared" si="157"/>
        <v>667.43672196505167</v>
      </c>
      <c r="EP135" s="1111">
        <f t="shared" si="158"/>
        <v>656.55522929934136</v>
      </c>
      <c r="EQ135" s="1111">
        <f t="shared" si="159"/>
        <v>655.85666014860146</v>
      </c>
      <c r="ER135" s="1111">
        <f t="shared" si="160"/>
        <v>656.96776144118667</v>
      </c>
      <c r="ES135" s="1111">
        <f t="shared" si="161"/>
        <v>657.30093393525215</v>
      </c>
      <c r="ET135" s="1111">
        <f t="shared" si="162"/>
        <v>657.39422616607737</v>
      </c>
      <c r="EU135" s="1111">
        <f t="shared" si="163"/>
        <v>657.39422616607737</v>
      </c>
      <c r="EV135" s="1111">
        <v>3.8087852047407287</v>
      </c>
      <c r="EW135" s="1111">
        <f t="shared" si="144"/>
        <v>3.0146799475978656</v>
      </c>
      <c r="EX135" s="1111">
        <f t="shared" si="145"/>
        <v>2.0259159468403549</v>
      </c>
      <c r="EY135" s="1111">
        <f t="shared" si="146"/>
        <v>0.66734524578597576</v>
      </c>
      <c r="EZ135" s="1111">
        <f t="shared" si="147"/>
        <v>0.36217078539327052</v>
      </c>
      <c r="FA135" s="1111">
        <f t="shared" si="148"/>
        <v>0.25114699781709454</v>
      </c>
      <c r="FB135" s="1111">
        <f t="shared" si="149"/>
        <v>0.16536905533109436</v>
      </c>
      <c r="FC135" s="1111">
        <f t="shared" si="150"/>
        <v>0.16189701041139437</v>
      </c>
      <c r="FD135" s="1111">
        <f t="shared" si="151"/>
        <v>0.16189513115752818</v>
      </c>
      <c r="FE135" s="1111">
        <f t="shared" si="152"/>
        <v>0.16200686143225332</v>
      </c>
      <c r="FF135" s="1111">
        <f t="shared" si="153"/>
        <v>0.16200686143225332</v>
      </c>
      <c r="FG135" s="1111">
        <f t="shared" si="193"/>
        <v>3.8602417788471399E-2</v>
      </c>
      <c r="FH135" s="1111">
        <f t="shared" si="194"/>
        <v>1.6293540189000952E-2</v>
      </c>
      <c r="FI135" s="1111">
        <f t="shared" si="195"/>
        <v>1.2607766000449017E-2</v>
      </c>
      <c r="FJ135" s="1111">
        <f t="shared" si="196"/>
        <v>4.2995409537388198E-3</v>
      </c>
      <c r="FK135" s="1111">
        <f t="shared" si="197"/>
        <v>4.2407543577426049E-3</v>
      </c>
      <c r="FL135" s="1111">
        <f t="shared" si="198"/>
        <v>4.1716160773794028E-3</v>
      </c>
      <c r="FM135" s="1111">
        <f t="shared" si="199"/>
        <v>4.1671772168818755E-3</v>
      </c>
      <c r="FN135" s="1111">
        <f t="shared" si="200"/>
        <v>4.1742371332771141E-3</v>
      </c>
      <c r="FO135" s="1111">
        <f t="shared" si="201"/>
        <v>4.1763537358555716E-3</v>
      </c>
      <c r="FP135" s="1111">
        <f t="shared" si="202"/>
        <v>4.1769466648616457E-3</v>
      </c>
      <c r="FQ135" s="1111">
        <f t="shared" si="203"/>
        <v>4.1769466648616457E-3</v>
      </c>
      <c r="FR135" s="1111">
        <f t="shared" si="133"/>
        <v>8.727492913685049E-2</v>
      </c>
      <c r="FS135" s="1111">
        <f t="shared" si="134"/>
        <v>7.015073145379426E-2</v>
      </c>
      <c r="FT135" s="1111">
        <f t="shared" si="135"/>
        <v>5.877132747913956E-2</v>
      </c>
      <c r="FU135" s="1111">
        <f t="shared" si="136"/>
        <v>5.6522642539992611E-2</v>
      </c>
      <c r="FV135" s="1111">
        <f t="shared" si="137"/>
        <v>5.6362718994972472E-2</v>
      </c>
      <c r="FW135" s="1111">
        <f t="shared" si="138"/>
        <v>5.6376663115799121E-2</v>
      </c>
      <c r="FX135" s="1111">
        <f t="shared" si="139"/>
        <v>5.6378624711601363E-2</v>
      </c>
      <c r="FY135" s="1111">
        <f t="shared" si="140"/>
        <v>5.6340954300596761E-2</v>
      </c>
      <c r="FZ135" s="1111">
        <f t="shared" si="141"/>
        <v>5.6378129355050093E-2</v>
      </c>
      <c r="GA135" s="1111">
        <f t="shared" si="142"/>
        <v>5.6415925595989402E-2</v>
      </c>
      <c r="GB135" s="1111">
        <f t="shared" si="143"/>
        <v>5.6415925595989402E-2</v>
      </c>
      <c r="GC135" s="1111">
        <f t="shared" si="164"/>
        <v>4.4681436880471256E-2</v>
      </c>
      <c r="GD135" s="1111">
        <f t="shared" si="165"/>
        <v>2.9644053644229885E-2</v>
      </c>
      <c r="GE135" s="1111">
        <f t="shared" si="166"/>
        <v>1.9594132544732738E-2</v>
      </c>
      <c r="GF135" s="1111">
        <f t="shared" si="167"/>
        <v>1.7509991601039152E-2</v>
      </c>
      <c r="GG135" s="1111">
        <f t="shared" si="168"/>
        <v>1.7310524600574615E-2</v>
      </c>
      <c r="GH135" s="1111">
        <f t="shared" si="169"/>
        <v>1.730789111118081E-2</v>
      </c>
      <c r="GI135" s="1111">
        <f t="shared" si="170"/>
        <v>1.7304225903278164E-2</v>
      </c>
      <c r="GJ135" s="1111">
        <f t="shared" si="171"/>
        <v>1.7264845151229263E-2</v>
      </c>
      <c r="GK135" s="1111">
        <f t="shared" si="172"/>
        <v>1.7295887539286715E-2</v>
      </c>
      <c r="GL135" s="1111">
        <f t="shared" si="173"/>
        <v>1.7328851499837167E-2</v>
      </c>
      <c r="GM135" s="1111">
        <f t="shared" si="174"/>
        <v>1.7328851499837167E-2</v>
      </c>
    </row>
    <row r="136" spans="1:195" x14ac:dyDescent="0.2">
      <c r="A136" s="1071" t="str">
        <f>Technologies!B83</f>
        <v>*R2,R3,R4,R5,R6</v>
      </c>
      <c r="B136" s="1071" t="str">
        <f>Technologies!C83</f>
        <v>TCGSLIM</v>
      </c>
      <c r="C136" s="1071" t="str">
        <f>Technologies!D83</f>
        <v>Commercial Truck, Improved Gasoline</v>
      </c>
      <c r="D136" s="1071" t="str">
        <f>NewTech!D39</f>
        <v>bn-vmt, bn-vmt/a</v>
      </c>
      <c r="E136" s="1071" t="str">
        <f>NewTech!E39</f>
        <v>TCGSL</v>
      </c>
      <c r="F136" s="1071" t="str">
        <f>NewTech!F39</f>
        <v>TC</v>
      </c>
      <c r="G136" s="1110" t="s">
        <v>502</v>
      </c>
      <c r="H136" s="1110" t="s">
        <v>500</v>
      </c>
      <c r="I136" s="1112">
        <v>1</v>
      </c>
      <c r="J136" s="1111" t="str">
        <f t="shared" si="37"/>
        <v>Commercial Truck-GSL</v>
      </c>
      <c r="K136" s="1111">
        <v>675.7587082465601</v>
      </c>
      <c r="L136" s="1111">
        <v>677.82983375495814</v>
      </c>
      <c r="M136" s="1111">
        <v>676.68894152470091</v>
      </c>
      <c r="N136" s="1111">
        <v>667.43672196505167</v>
      </c>
      <c r="O136" s="1111">
        <v>656.55522929934136</v>
      </c>
      <c r="P136" s="1111">
        <v>655.85666014860146</v>
      </c>
      <c r="Q136" s="1111">
        <v>656.96776144118667</v>
      </c>
      <c r="R136" s="1111">
        <v>657.30093393525215</v>
      </c>
      <c r="S136" s="1111">
        <v>657.39422616607737</v>
      </c>
      <c r="T136" s="1111">
        <f t="shared" si="131"/>
        <v>657.39422616607737</v>
      </c>
      <c r="U136" s="1111">
        <v>3.0146799475978656</v>
      </c>
      <c r="V136" s="1111">
        <v>2.0259159468403549</v>
      </c>
      <c r="W136" s="1111">
        <v>0.66734524578597576</v>
      </c>
      <c r="X136" s="1111">
        <v>0.36217078539327052</v>
      </c>
      <c r="Y136" s="1111">
        <v>0.25114699781709454</v>
      </c>
      <c r="Z136" s="1111">
        <v>0.16536905533109436</v>
      </c>
      <c r="AA136" s="1111">
        <v>0.16189701041139437</v>
      </c>
      <c r="AB136" s="1111">
        <v>0.16189513115752818</v>
      </c>
      <c r="AC136" s="1111">
        <v>0.16200686143225332</v>
      </c>
      <c r="AD136" s="1111">
        <f t="shared" si="132"/>
        <v>0.16200686143225332</v>
      </c>
      <c r="AE136" s="1111">
        <v>3.8602417788471399E-2</v>
      </c>
      <c r="AF136" s="1111">
        <v>1.6293540189000952E-2</v>
      </c>
      <c r="AG136" s="1111">
        <v>1.2607766000449017E-2</v>
      </c>
      <c r="AH136" s="1111">
        <v>4.2995409537388198E-3</v>
      </c>
      <c r="AI136" s="1111">
        <v>4.2407543577426049E-3</v>
      </c>
      <c r="AJ136" s="1111">
        <v>4.1716160773794028E-3</v>
      </c>
      <c r="AK136" s="1111">
        <v>4.1671772168818755E-3</v>
      </c>
      <c r="AL136" s="1111">
        <v>4.1742371332771141E-3</v>
      </c>
      <c r="AM136" s="1111">
        <v>4.1763537358555716E-3</v>
      </c>
      <c r="AN136" s="1111">
        <v>4.1769466648616457E-3</v>
      </c>
      <c r="AO136" s="1111">
        <v>4.1769466648616457E-3</v>
      </c>
      <c r="AP136" s="1111">
        <v>8.727492913685049E-2</v>
      </c>
      <c r="AQ136" s="1111">
        <v>7.015073145379426E-2</v>
      </c>
      <c r="AR136" s="1111">
        <v>5.877132747913956E-2</v>
      </c>
      <c r="AS136" s="1111">
        <v>5.6522642539992611E-2</v>
      </c>
      <c r="AT136" s="1111">
        <v>5.6362718994972472E-2</v>
      </c>
      <c r="AU136" s="1111">
        <v>5.6376663115799121E-2</v>
      </c>
      <c r="AV136" s="1111">
        <v>5.6378624711601363E-2</v>
      </c>
      <c r="AW136" s="1111">
        <v>5.6340954300596761E-2</v>
      </c>
      <c r="AX136" s="1111">
        <v>5.6378129355050093E-2</v>
      </c>
      <c r="AY136" s="1111">
        <v>5.6415925595989402E-2</v>
      </c>
      <c r="AZ136" s="1111">
        <v>5.6415925595989402E-2</v>
      </c>
      <c r="BA136" s="1111">
        <v>4.4681436880471256E-2</v>
      </c>
      <c r="BB136" s="1111">
        <v>2.9644053644229885E-2</v>
      </c>
      <c r="BC136" s="1111">
        <v>1.9594132544732738E-2</v>
      </c>
      <c r="BD136" s="1111">
        <v>1.7509991601039152E-2</v>
      </c>
      <c r="BE136" s="1111">
        <v>1.7310524600574615E-2</v>
      </c>
      <c r="BF136" s="1111">
        <v>1.730789111118081E-2</v>
      </c>
      <c r="BG136" s="1111">
        <v>1.7304225903278164E-2</v>
      </c>
      <c r="BH136" s="1111">
        <v>1.7264845151229263E-2</v>
      </c>
      <c r="BI136" s="1111">
        <v>1.7295887539286715E-2</v>
      </c>
      <c r="BJ136" s="1111">
        <v>1.7328851499837167E-2</v>
      </c>
      <c r="BK136" s="1111">
        <v>1.7328851499837167E-2</v>
      </c>
      <c r="BL136" s="1111">
        <v>35.860741327218626</v>
      </c>
      <c r="BM136" s="1111">
        <v>24.844804072005953</v>
      </c>
      <c r="BN136" s="1111">
        <v>18.593181066520113</v>
      </c>
      <c r="BO136" s="1111">
        <v>11.393031232037009</v>
      </c>
      <c r="BP136" s="1111">
        <v>6.6125965074099637</v>
      </c>
      <c r="BQ136" s="1111">
        <v>4.0821013526340781</v>
      </c>
      <c r="BR136" s="1111">
        <v>2.7736950914505889</v>
      </c>
      <c r="BS136" s="1111">
        <v>2.7302522968900904</v>
      </c>
      <c r="BT136" s="1111">
        <v>2.7268197183978109</v>
      </c>
      <c r="BU136" s="1111">
        <v>2.7248567550504017</v>
      </c>
      <c r="BV136" s="1111">
        <v>2.7248567550504017</v>
      </c>
      <c r="BW136" s="1111">
        <v>1.7098618747055716</v>
      </c>
      <c r="BX136" s="1111">
        <v>1.0620496125987395</v>
      </c>
      <c r="BY136" s="1111">
        <v>0.64803383961976424</v>
      </c>
      <c r="BZ136" s="1111">
        <v>0.32949891749870192</v>
      </c>
      <c r="CA136" s="1111">
        <v>0.2604317132865766</v>
      </c>
      <c r="CB136" s="1111">
        <v>0.23207204924695546</v>
      </c>
      <c r="CC136" s="1111">
        <v>0.21284810732173418</v>
      </c>
      <c r="CD136" s="1111">
        <v>0.21161706051523629</v>
      </c>
      <c r="CE136" s="1111">
        <v>0.21215029904156887</v>
      </c>
      <c r="CF136" s="1111">
        <v>0.21276144651818038</v>
      </c>
      <c r="CG136" s="1111">
        <v>0.21276144651818038</v>
      </c>
      <c r="CH136" s="1111">
        <v>4.7302164924460807E-2</v>
      </c>
      <c r="CI136" s="1111">
        <v>4.7832496091056095E-2</v>
      </c>
      <c r="CJ136" s="1111">
        <v>4.7904483628421181E-2</v>
      </c>
      <c r="CK136" s="1111">
        <v>4.7451411751592183E-2</v>
      </c>
      <c r="CL136" s="1111">
        <v>4.7174477093298743E-2</v>
      </c>
      <c r="CM136" s="1111">
        <v>4.7102731250251599E-2</v>
      </c>
      <c r="CN136" s="1111">
        <v>4.7076661142115006E-2</v>
      </c>
      <c r="CO136" s="1111">
        <v>4.7047405355450787E-2</v>
      </c>
      <c r="CP136" s="1111">
        <v>4.7038486893523253E-2</v>
      </c>
      <c r="CQ136" s="1111">
        <v>4.7036236063411889E-2</v>
      </c>
      <c r="CR136" s="1111">
        <v>4.7036236063411889E-2</v>
      </c>
      <c r="CS136" s="1111">
        <v>3.8087852047407287</v>
      </c>
      <c r="CT136" s="1111">
        <v>3.0146799475978656</v>
      </c>
      <c r="CU136" s="1111">
        <v>2.0259159468403549</v>
      </c>
      <c r="CV136" s="1111">
        <v>0.66734524578597576</v>
      </c>
      <c r="CW136" s="1111">
        <v>0.36217078539327052</v>
      </c>
      <c r="CX136" s="1111">
        <v>0.25114699781709454</v>
      </c>
      <c r="CY136" s="1111">
        <v>0.16536905533109436</v>
      </c>
      <c r="CZ136" s="1111">
        <v>0.16189701041139437</v>
      </c>
      <c r="DA136" s="1111">
        <v>0.16189513115752818</v>
      </c>
      <c r="DB136" s="1111">
        <v>0.16200686143225332</v>
      </c>
      <c r="DC136" s="1111">
        <v>0.16200686143225332</v>
      </c>
      <c r="DD136" s="1111">
        <v>7.984361772561635E-3</v>
      </c>
      <c r="DE136" s="1111">
        <v>5.0212006967350854E-3</v>
      </c>
      <c r="DF136" s="1111">
        <v>3.1208300442598759E-3</v>
      </c>
      <c r="DG136" s="1111">
        <v>2.7536971677900967E-3</v>
      </c>
      <c r="DH136" s="1111">
        <v>2.6062101252931269E-3</v>
      </c>
      <c r="DI136" s="1111">
        <v>2.5990089403284144E-3</v>
      </c>
      <c r="DJ136" s="1111">
        <v>2.5947876308756715E-3</v>
      </c>
      <c r="DK136" s="1111">
        <v>2.5793453985640011E-3</v>
      </c>
      <c r="DL136" s="1111">
        <v>2.5878215177950322E-3</v>
      </c>
      <c r="DM136" s="1111">
        <v>2.5981229820993463E-3</v>
      </c>
      <c r="DN136" s="1111">
        <v>2.5981229820993463E-3</v>
      </c>
      <c r="DO136" s="1111">
        <v>2.1123708176915917E-2</v>
      </c>
      <c r="DP136" s="1111">
        <v>1.311579808868692E-2</v>
      </c>
      <c r="DQ136" s="1111">
        <v>7.5227582987361808E-3</v>
      </c>
      <c r="DR136" s="1111">
        <v>6.3747699705046451E-3</v>
      </c>
      <c r="DS136" s="1111">
        <v>6.3139325183540294E-3</v>
      </c>
      <c r="DT136" s="1111">
        <v>6.3142587832010445E-3</v>
      </c>
      <c r="DU136" s="1111">
        <v>6.3133765031966049E-3</v>
      </c>
      <c r="DV136" s="1111">
        <v>6.2942626243971218E-3</v>
      </c>
      <c r="DW136" s="1111">
        <v>6.3103898501668367E-3</v>
      </c>
      <c r="DX136" s="1111">
        <v>6.3270201095389448E-3</v>
      </c>
      <c r="DY136" s="1111">
        <v>6.3270201095389448E-3</v>
      </c>
      <c r="DZ136" s="1111">
        <v>8.1857365138361657E-2</v>
      </c>
      <c r="EA136" s="1111">
        <v>5.6196969894271621E-2</v>
      </c>
      <c r="EB136" s="1111">
        <v>4.1986170719416738E-2</v>
      </c>
      <c r="EC136" s="1111">
        <v>2.1449467573886532E-2</v>
      </c>
      <c r="ED136" s="1111">
        <v>1.5984380973041973E-2</v>
      </c>
      <c r="EE136" s="1111">
        <v>1.418603159638844E-2</v>
      </c>
      <c r="EF136" s="1111">
        <v>1.2904237852387181E-2</v>
      </c>
      <c r="EG136" s="1111">
        <v>1.292780974994698E-2</v>
      </c>
      <c r="EH136" s="1111">
        <v>1.2933542239182286E-2</v>
      </c>
      <c r="EI136" s="1111">
        <v>1.2942194004542353E-2</v>
      </c>
      <c r="EJ136" s="1111">
        <v>1.2942194004542353E-2</v>
      </c>
      <c r="EK136" s="1111">
        <v>682.37093556210789</v>
      </c>
      <c r="EL136" s="1111">
        <f t="shared" si="154"/>
        <v>675.7587082465601</v>
      </c>
      <c r="EM136" s="1111">
        <f t="shared" si="155"/>
        <v>677.82983375495814</v>
      </c>
      <c r="EN136" s="1111">
        <f t="shared" si="156"/>
        <v>676.68894152470091</v>
      </c>
      <c r="EO136" s="1111">
        <f t="shared" si="157"/>
        <v>667.43672196505167</v>
      </c>
      <c r="EP136" s="1111">
        <f t="shared" si="158"/>
        <v>656.55522929934136</v>
      </c>
      <c r="EQ136" s="1111">
        <f t="shared" si="159"/>
        <v>655.85666014860146</v>
      </c>
      <c r="ER136" s="1111">
        <f t="shared" si="160"/>
        <v>656.96776144118667</v>
      </c>
      <c r="ES136" s="1111">
        <f t="shared" si="161"/>
        <v>657.30093393525215</v>
      </c>
      <c r="ET136" s="1111">
        <f t="shared" si="162"/>
        <v>657.39422616607737</v>
      </c>
      <c r="EU136" s="1111">
        <f t="shared" si="163"/>
        <v>657.39422616607737</v>
      </c>
      <c r="EV136" s="1111">
        <v>3.8087852047407287</v>
      </c>
      <c r="EW136" s="1111">
        <f t="shared" si="144"/>
        <v>3.0146799475978656</v>
      </c>
      <c r="EX136" s="1111">
        <f t="shared" si="145"/>
        <v>2.0259159468403549</v>
      </c>
      <c r="EY136" s="1111">
        <f t="shared" si="146"/>
        <v>0.66734524578597576</v>
      </c>
      <c r="EZ136" s="1111">
        <f t="shared" si="147"/>
        <v>0.36217078539327052</v>
      </c>
      <c r="FA136" s="1111">
        <f t="shared" si="148"/>
        <v>0.25114699781709454</v>
      </c>
      <c r="FB136" s="1111">
        <f t="shared" si="149"/>
        <v>0.16536905533109436</v>
      </c>
      <c r="FC136" s="1111">
        <f t="shared" si="150"/>
        <v>0.16189701041139437</v>
      </c>
      <c r="FD136" s="1111">
        <f t="shared" si="151"/>
        <v>0.16189513115752818</v>
      </c>
      <c r="FE136" s="1111">
        <f t="shared" si="152"/>
        <v>0.16200686143225332</v>
      </c>
      <c r="FF136" s="1111">
        <f t="shared" si="153"/>
        <v>0.16200686143225332</v>
      </c>
      <c r="FG136" s="1111">
        <f t="shared" si="193"/>
        <v>3.8602417788471399E-2</v>
      </c>
      <c r="FH136" s="1111">
        <f t="shared" si="194"/>
        <v>1.6293540189000952E-2</v>
      </c>
      <c r="FI136" s="1111">
        <f t="shared" si="195"/>
        <v>1.2607766000449017E-2</v>
      </c>
      <c r="FJ136" s="1111">
        <f t="shared" si="196"/>
        <v>4.2995409537388198E-3</v>
      </c>
      <c r="FK136" s="1111">
        <f t="shared" si="197"/>
        <v>4.2407543577426049E-3</v>
      </c>
      <c r="FL136" s="1111">
        <f t="shared" si="198"/>
        <v>4.1716160773794028E-3</v>
      </c>
      <c r="FM136" s="1111">
        <f t="shared" si="199"/>
        <v>4.1671772168818755E-3</v>
      </c>
      <c r="FN136" s="1111">
        <f t="shared" si="200"/>
        <v>4.1742371332771141E-3</v>
      </c>
      <c r="FO136" s="1111">
        <f t="shared" si="201"/>
        <v>4.1763537358555716E-3</v>
      </c>
      <c r="FP136" s="1111">
        <f t="shared" si="202"/>
        <v>4.1769466648616457E-3</v>
      </c>
      <c r="FQ136" s="1111">
        <f t="shared" si="203"/>
        <v>4.1769466648616457E-3</v>
      </c>
      <c r="FR136" s="1111">
        <f t="shared" si="133"/>
        <v>8.727492913685049E-2</v>
      </c>
      <c r="FS136" s="1111">
        <f t="shared" si="134"/>
        <v>7.015073145379426E-2</v>
      </c>
      <c r="FT136" s="1111">
        <f t="shared" si="135"/>
        <v>5.877132747913956E-2</v>
      </c>
      <c r="FU136" s="1111">
        <f t="shared" si="136"/>
        <v>5.6522642539992611E-2</v>
      </c>
      <c r="FV136" s="1111">
        <f t="shared" si="137"/>
        <v>5.6362718994972472E-2</v>
      </c>
      <c r="FW136" s="1111">
        <f t="shared" si="138"/>
        <v>5.6376663115799121E-2</v>
      </c>
      <c r="FX136" s="1111">
        <f t="shared" si="139"/>
        <v>5.6378624711601363E-2</v>
      </c>
      <c r="FY136" s="1111">
        <f t="shared" si="140"/>
        <v>5.6340954300596761E-2</v>
      </c>
      <c r="FZ136" s="1111">
        <f t="shared" si="141"/>
        <v>5.6378129355050093E-2</v>
      </c>
      <c r="GA136" s="1111">
        <f t="shared" si="142"/>
        <v>5.6415925595989402E-2</v>
      </c>
      <c r="GB136" s="1111">
        <f t="shared" si="143"/>
        <v>5.6415925595989402E-2</v>
      </c>
      <c r="GC136" s="1111">
        <f t="shared" si="164"/>
        <v>4.4681436880471256E-2</v>
      </c>
      <c r="GD136" s="1111">
        <f t="shared" si="165"/>
        <v>2.9644053644229885E-2</v>
      </c>
      <c r="GE136" s="1111">
        <f t="shared" si="166"/>
        <v>1.9594132544732738E-2</v>
      </c>
      <c r="GF136" s="1111">
        <f t="shared" si="167"/>
        <v>1.7509991601039152E-2</v>
      </c>
      <c r="GG136" s="1111">
        <f t="shared" si="168"/>
        <v>1.7310524600574615E-2</v>
      </c>
      <c r="GH136" s="1111">
        <f t="shared" si="169"/>
        <v>1.730789111118081E-2</v>
      </c>
      <c r="GI136" s="1111">
        <f t="shared" si="170"/>
        <v>1.7304225903278164E-2</v>
      </c>
      <c r="GJ136" s="1111">
        <f t="shared" si="171"/>
        <v>1.7264845151229263E-2</v>
      </c>
      <c r="GK136" s="1111">
        <f t="shared" si="172"/>
        <v>1.7295887539286715E-2</v>
      </c>
      <c r="GL136" s="1111">
        <f t="shared" si="173"/>
        <v>1.7328851499837167E-2</v>
      </c>
      <c r="GM136" s="1111">
        <f t="shared" si="174"/>
        <v>1.7328851499837167E-2</v>
      </c>
    </row>
    <row r="137" spans="1:195" x14ac:dyDescent="0.2">
      <c r="A137" s="1071" t="str">
        <f>Technologies!B84</f>
        <v>*R2,R3,R4,R5,R6</v>
      </c>
      <c r="B137" s="1071" t="str">
        <f>Technologies!C84</f>
        <v>TCGSLADV</v>
      </c>
      <c r="C137" s="1071" t="str">
        <f>Technologies!D84</f>
        <v>Commercial Truck, Advanced Tech Gasoline</v>
      </c>
      <c r="D137" s="1071" t="str">
        <f>NewTech!D40</f>
        <v>bn-vmt, bn-vmt/a</v>
      </c>
      <c r="E137" s="1071" t="str">
        <f>NewTech!E40</f>
        <v>TCGSL</v>
      </c>
      <c r="F137" s="1071" t="str">
        <f>NewTech!F40</f>
        <v>TC</v>
      </c>
      <c r="G137" s="1110" t="s">
        <v>502</v>
      </c>
      <c r="H137" s="1110" t="s">
        <v>500</v>
      </c>
      <c r="I137" s="1112">
        <v>1</v>
      </c>
      <c r="J137" s="1111" t="str">
        <f t="shared" si="37"/>
        <v>Commercial Truck-GSL</v>
      </c>
      <c r="K137" s="1111">
        <v>675.7587082465601</v>
      </c>
      <c r="L137" s="1111">
        <v>677.82983375495814</v>
      </c>
      <c r="M137" s="1111">
        <v>676.68894152470091</v>
      </c>
      <c r="N137" s="1111">
        <v>667.43672196505167</v>
      </c>
      <c r="O137" s="1111">
        <v>656.55522929934136</v>
      </c>
      <c r="P137" s="1111">
        <v>655.85666014860146</v>
      </c>
      <c r="Q137" s="1111">
        <v>656.96776144118667</v>
      </c>
      <c r="R137" s="1111">
        <v>657.30093393525215</v>
      </c>
      <c r="S137" s="1111">
        <v>657.39422616607737</v>
      </c>
      <c r="T137" s="1111">
        <f t="shared" si="131"/>
        <v>657.39422616607737</v>
      </c>
      <c r="U137" s="1111">
        <v>3.0146799475978656</v>
      </c>
      <c r="V137" s="1111">
        <v>2.0259159468403549</v>
      </c>
      <c r="W137" s="1111">
        <v>0.66734524578597576</v>
      </c>
      <c r="X137" s="1111">
        <v>0.36217078539327052</v>
      </c>
      <c r="Y137" s="1111">
        <v>0.25114699781709454</v>
      </c>
      <c r="Z137" s="1111">
        <v>0.16536905533109436</v>
      </c>
      <c r="AA137" s="1111">
        <v>0.16189701041139437</v>
      </c>
      <c r="AB137" s="1111">
        <v>0.16189513115752818</v>
      </c>
      <c r="AC137" s="1111">
        <v>0.16200686143225332</v>
      </c>
      <c r="AD137" s="1111">
        <f t="shared" si="132"/>
        <v>0.16200686143225332</v>
      </c>
      <c r="AE137" s="1111">
        <v>3.8602417788471399E-2</v>
      </c>
      <c r="AF137" s="1111">
        <v>1.6293540189000952E-2</v>
      </c>
      <c r="AG137" s="1111">
        <v>1.2607766000449017E-2</v>
      </c>
      <c r="AH137" s="1111">
        <v>4.2995409537388198E-3</v>
      </c>
      <c r="AI137" s="1111">
        <v>4.2407543577426049E-3</v>
      </c>
      <c r="AJ137" s="1111">
        <v>4.1716160773794028E-3</v>
      </c>
      <c r="AK137" s="1111">
        <v>4.1671772168818755E-3</v>
      </c>
      <c r="AL137" s="1111">
        <v>4.1742371332771141E-3</v>
      </c>
      <c r="AM137" s="1111">
        <v>4.1763537358555716E-3</v>
      </c>
      <c r="AN137" s="1111">
        <v>4.1769466648616457E-3</v>
      </c>
      <c r="AO137" s="1111">
        <v>4.1769466648616457E-3</v>
      </c>
      <c r="AP137" s="1111">
        <v>8.727492913685049E-2</v>
      </c>
      <c r="AQ137" s="1111">
        <v>7.015073145379426E-2</v>
      </c>
      <c r="AR137" s="1111">
        <v>5.877132747913956E-2</v>
      </c>
      <c r="AS137" s="1111">
        <v>5.6522642539992611E-2</v>
      </c>
      <c r="AT137" s="1111">
        <v>5.6362718994972472E-2</v>
      </c>
      <c r="AU137" s="1111">
        <v>5.6376663115799121E-2</v>
      </c>
      <c r="AV137" s="1111">
        <v>5.6378624711601363E-2</v>
      </c>
      <c r="AW137" s="1111">
        <v>5.6340954300596761E-2</v>
      </c>
      <c r="AX137" s="1111">
        <v>5.6378129355050093E-2</v>
      </c>
      <c r="AY137" s="1111">
        <v>5.6415925595989402E-2</v>
      </c>
      <c r="AZ137" s="1111">
        <v>5.6415925595989402E-2</v>
      </c>
      <c r="BA137" s="1111">
        <v>4.4681436880471256E-2</v>
      </c>
      <c r="BB137" s="1111">
        <v>2.9644053644229885E-2</v>
      </c>
      <c r="BC137" s="1111">
        <v>1.9594132544732738E-2</v>
      </c>
      <c r="BD137" s="1111">
        <v>1.7509991601039152E-2</v>
      </c>
      <c r="BE137" s="1111">
        <v>1.7310524600574615E-2</v>
      </c>
      <c r="BF137" s="1111">
        <v>1.730789111118081E-2</v>
      </c>
      <c r="BG137" s="1111">
        <v>1.7304225903278164E-2</v>
      </c>
      <c r="BH137" s="1111">
        <v>1.7264845151229263E-2</v>
      </c>
      <c r="BI137" s="1111">
        <v>1.7295887539286715E-2</v>
      </c>
      <c r="BJ137" s="1111">
        <v>1.7328851499837167E-2</v>
      </c>
      <c r="BK137" s="1111">
        <v>1.7328851499837167E-2</v>
      </c>
      <c r="BL137" s="1111">
        <v>35.860741327218626</v>
      </c>
      <c r="BM137" s="1111">
        <v>24.844804072005953</v>
      </c>
      <c r="BN137" s="1111">
        <v>18.593181066520113</v>
      </c>
      <c r="BO137" s="1111">
        <v>11.393031232037009</v>
      </c>
      <c r="BP137" s="1111">
        <v>6.6125965074099637</v>
      </c>
      <c r="BQ137" s="1111">
        <v>4.0821013526340781</v>
      </c>
      <c r="BR137" s="1111">
        <v>2.7736950914505889</v>
      </c>
      <c r="BS137" s="1111">
        <v>2.7302522968900904</v>
      </c>
      <c r="BT137" s="1111">
        <v>2.7268197183978109</v>
      </c>
      <c r="BU137" s="1111">
        <v>2.7248567550504017</v>
      </c>
      <c r="BV137" s="1111">
        <v>2.7248567550504017</v>
      </c>
      <c r="BW137" s="1111">
        <v>1.7098618747055716</v>
      </c>
      <c r="BX137" s="1111">
        <v>1.0620496125987395</v>
      </c>
      <c r="BY137" s="1111">
        <v>0.64803383961976424</v>
      </c>
      <c r="BZ137" s="1111">
        <v>0.32949891749870192</v>
      </c>
      <c r="CA137" s="1111">
        <v>0.2604317132865766</v>
      </c>
      <c r="CB137" s="1111">
        <v>0.23207204924695546</v>
      </c>
      <c r="CC137" s="1111">
        <v>0.21284810732173418</v>
      </c>
      <c r="CD137" s="1111">
        <v>0.21161706051523629</v>
      </c>
      <c r="CE137" s="1111">
        <v>0.21215029904156887</v>
      </c>
      <c r="CF137" s="1111">
        <v>0.21276144651818038</v>
      </c>
      <c r="CG137" s="1111">
        <v>0.21276144651818038</v>
      </c>
      <c r="CH137" s="1111">
        <v>4.7302164924460807E-2</v>
      </c>
      <c r="CI137" s="1111">
        <v>4.7832496091056095E-2</v>
      </c>
      <c r="CJ137" s="1111">
        <v>4.7904483628421181E-2</v>
      </c>
      <c r="CK137" s="1111">
        <v>4.7451411751592183E-2</v>
      </c>
      <c r="CL137" s="1111">
        <v>4.7174477093298743E-2</v>
      </c>
      <c r="CM137" s="1111">
        <v>4.7102731250251599E-2</v>
      </c>
      <c r="CN137" s="1111">
        <v>4.7076661142115006E-2</v>
      </c>
      <c r="CO137" s="1111">
        <v>4.7047405355450787E-2</v>
      </c>
      <c r="CP137" s="1111">
        <v>4.7038486893523253E-2</v>
      </c>
      <c r="CQ137" s="1111">
        <v>4.7036236063411889E-2</v>
      </c>
      <c r="CR137" s="1111">
        <v>4.7036236063411889E-2</v>
      </c>
      <c r="CS137" s="1111">
        <v>3.8087852047407287</v>
      </c>
      <c r="CT137" s="1111">
        <v>3.0146799475978656</v>
      </c>
      <c r="CU137" s="1111">
        <v>2.0259159468403549</v>
      </c>
      <c r="CV137" s="1111">
        <v>0.66734524578597576</v>
      </c>
      <c r="CW137" s="1111">
        <v>0.36217078539327052</v>
      </c>
      <c r="CX137" s="1111">
        <v>0.25114699781709454</v>
      </c>
      <c r="CY137" s="1111">
        <v>0.16536905533109436</v>
      </c>
      <c r="CZ137" s="1111">
        <v>0.16189701041139437</v>
      </c>
      <c r="DA137" s="1111">
        <v>0.16189513115752818</v>
      </c>
      <c r="DB137" s="1111">
        <v>0.16200686143225332</v>
      </c>
      <c r="DC137" s="1111">
        <v>0.16200686143225332</v>
      </c>
      <c r="DD137" s="1111">
        <v>7.984361772561635E-3</v>
      </c>
      <c r="DE137" s="1111">
        <v>5.0212006967350854E-3</v>
      </c>
      <c r="DF137" s="1111">
        <v>3.1208300442598759E-3</v>
      </c>
      <c r="DG137" s="1111">
        <v>2.7536971677900967E-3</v>
      </c>
      <c r="DH137" s="1111">
        <v>2.6062101252931269E-3</v>
      </c>
      <c r="DI137" s="1111">
        <v>2.5990089403284144E-3</v>
      </c>
      <c r="DJ137" s="1111">
        <v>2.5947876308756715E-3</v>
      </c>
      <c r="DK137" s="1111">
        <v>2.5793453985640011E-3</v>
      </c>
      <c r="DL137" s="1111">
        <v>2.5878215177950322E-3</v>
      </c>
      <c r="DM137" s="1111">
        <v>2.5981229820993463E-3</v>
      </c>
      <c r="DN137" s="1111">
        <v>2.5981229820993463E-3</v>
      </c>
      <c r="DO137" s="1111">
        <v>2.1123708176915917E-2</v>
      </c>
      <c r="DP137" s="1111">
        <v>1.311579808868692E-2</v>
      </c>
      <c r="DQ137" s="1111">
        <v>7.5227582987361808E-3</v>
      </c>
      <c r="DR137" s="1111">
        <v>6.3747699705046451E-3</v>
      </c>
      <c r="DS137" s="1111">
        <v>6.3139325183540294E-3</v>
      </c>
      <c r="DT137" s="1111">
        <v>6.3142587832010445E-3</v>
      </c>
      <c r="DU137" s="1111">
        <v>6.3133765031966049E-3</v>
      </c>
      <c r="DV137" s="1111">
        <v>6.2942626243971218E-3</v>
      </c>
      <c r="DW137" s="1111">
        <v>6.3103898501668367E-3</v>
      </c>
      <c r="DX137" s="1111">
        <v>6.3270201095389448E-3</v>
      </c>
      <c r="DY137" s="1111">
        <v>6.3270201095389448E-3</v>
      </c>
      <c r="DZ137" s="1111">
        <v>8.1857365138361657E-2</v>
      </c>
      <c r="EA137" s="1111">
        <v>5.6196969894271621E-2</v>
      </c>
      <c r="EB137" s="1111">
        <v>4.1986170719416738E-2</v>
      </c>
      <c r="EC137" s="1111">
        <v>2.1449467573886532E-2</v>
      </c>
      <c r="ED137" s="1111">
        <v>1.5984380973041973E-2</v>
      </c>
      <c r="EE137" s="1111">
        <v>1.418603159638844E-2</v>
      </c>
      <c r="EF137" s="1111">
        <v>1.2904237852387181E-2</v>
      </c>
      <c r="EG137" s="1111">
        <v>1.292780974994698E-2</v>
      </c>
      <c r="EH137" s="1111">
        <v>1.2933542239182286E-2</v>
      </c>
      <c r="EI137" s="1111">
        <v>1.2942194004542353E-2</v>
      </c>
      <c r="EJ137" s="1111">
        <v>1.2942194004542353E-2</v>
      </c>
      <c r="EK137" s="1111">
        <v>682.37093556210789</v>
      </c>
      <c r="EL137" s="1111">
        <f t="shared" si="154"/>
        <v>675.7587082465601</v>
      </c>
      <c r="EM137" s="1111">
        <f t="shared" si="155"/>
        <v>677.82983375495814</v>
      </c>
      <c r="EN137" s="1111">
        <f t="shared" si="156"/>
        <v>676.68894152470091</v>
      </c>
      <c r="EO137" s="1111">
        <f t="shared" si="157"/>
        <v>667.43672196505167</v>
      </c>
      <c r="EP137" s="1111">
        <f t="shared" si="158"/>
        <v>656.55522929934136</v>
      </c>
      <c r="EQ137" s="1111">
        <f t="shared" si="159"/>
        <v>655.85666014860146</v>
      </c>
      <c r="ER137" s="1111">
        <f t="shared" si="160"/>
        <v>656.96776144118667</v>
      </c>
      <c r="ES137" s="1111">
        <f t="shared" si="161"/>
        <v>657.30093393525215</v>
      </c>
      <c r="ET137" s="1111">
        <f t="shared" si="162"/>
        <v>657.39422616607737</v>
      </c>
      <c r="EU137" s="1111">
        <f t="shared" si="163"/>
        <v>657.39422616607737</v>
      </c>
      <c r="EV137" s="1111">
        <v>3.8087852047407287</v>
      </c>
      <c r="EW137" s="1111">
        <f t="shared" si="144"/>
        <v>3.0146799475978656</v>
      </c>
      <c r="EX137" s="1111">
        <f t="shared" si="145"/>
        <v>2.0259159468403549</v>
      </c>
      <c r="EY137" s="1111">
        <f t="shared" si="146"/>
        <v>0.66734524578597576</v>
      </c>
      <c r="EZ137" s="1111">
        <f t="shared" si="147"/>
        <v>0.36217078539327052</v>
      </c>
      <c r="FA137" s="1111">
        <f t="shared" si="148"/>
        <v>0.25114699781709454</v>
      </c>
      <c r="FB137" s="1111">
        <f t="shared" si="149"/>
        <v>0.16536905533109436</v>
      </c>
      <c r="FC137" s="1111">
        <f t="shared" si="150"/>
        <v>0.16189701041139437</v>
      </c>
      <c r="FD137" s="1111">
        <f t="shared" si="151"/>
        <v>0.16189513115752818</v>
      </c>
      <c r="FE137" s="1111">
        <f t="shared" si="152"/>
        <v>0.16200686143225332</v>
      </c>
      <c r="FF137" s="1111">
        <f t="shared" si="153"/>
        <v>0.16200686143225332</v>
      </c>
      <c r="FG137" s="1111">
        <f t="shared" si="193"/>
        <v>3.8602417788471399E-2</v>
      </c>
      <c r="FH137" s="1111">
        <f t="shared" si="194"/>
        <v>1.6293540189000952E-2</v>
      </c>
      <c r="FI137" s="1111">
        <f t="shared" si="195"/>
        <v>1.2607766000449017E-2</v>
      </c>
      <c r="FJ137" s="1111">
        <f t="shared" si="196"/>
        <v>4.2995409537388198E-3</v>
      </c>
      <c r="FK137" s="1111">
        <f t="shared" si="197"/>
        <v>4.2407543577426049E-3</v>
      </c>
      <c r="FL137" s="1111">
        <f t="shared" si="198"/>
        <v>4.1716160773794028E-3</v>
      </c>
      <c r="FM137" s="1111">
        <f t="shared" si="199"/>
        <v>4.1671772168818755E-3</v>
      </c>
      <c r="FN137" s="1111">
        <f t="shared" si="200"/>
        <v>4.1742371332771141E-3</v>
      </c>
      <c r="FO137" s="1111">
        <f t="shared" si="201"/>
        <v>4.1763537358555716E-3</v>
      </c>
      <c r="FP137" s="1111">
        <f t="shared" si="202"/>
        <v>4.1769466648616457E-3</v>
      </c>
      <c r="FQ137" s="1111">
        <f t="shared" si="203"/>
        <v>4.1769466648616457E-3</v>
      </c>
      <c r="FR137" s="1111">
        <f t="shared" si="133"/>
        <v>8.727492913685049E-2</v>
      </c>
      <c r="FS137" s="1111">
        <f t="shared" si="134"/>
        <v>7.015073145379426E-2</v>
      </c>
      <c r="FT137" s="1111">
        <f t="shared" si="135"/>
        <v>5.877132747913956E-2</v>
      </c>
      <c r="FU137" s="1111">
        <f t="shared" si="136"/>
        <v>5.6522642539992611E-2</v>
      </c>
      <c r="FV137" s="1111">
        <f t="shared" si="137"/>
        <v>5.6362718994972472E-2</v>
      </c>
      <c r="FW137" s="1111">
        <f t="shared" si="138"/>
        <v>5.6376663115799121E-2</v>
      </c>
      <c r="FX137" s="1111">
        <f t="shared" si="139"/>
        <v>5.6378624711601363E-2</v>
      </c>
      <c r="FY137" s="1111">
        <f t="shared" si="140"/>
        <v>5.6340954300596761E-2</v>
      </c>
      <c r="FZ137" s="1111">
        <f t="shared" si="141"/>
        <v>5.6378129355050093E-2</v>
      </c>
      <c r="GA137" s="1111">
        <f t="shared" si="142"/>
        <v>5.6415925595989402E-2</v>
      </c>
      <c r="GB137" s="1111">
        <f t="shared" si="143"/>
        <v>5.6415925595989402E-2</v>
      </c>
      <c r="GC137" s="1111">
        <f t="shared" si="164"/>
        <v>4.4681436880471256E-2</v>
      </c>
      <c r="GD137" s="1111">
        <f t="shared" si="165"/>
        <v>2.9644053644229885E-2</v>
      </c>
      <c r="GE137" s="1111">
        <f t="shared" si="166"/>
        <v>1.9594132544732738E-2</v>
      </c>
      <c r="GF137" s="1111">
        <f t="shared" si="167"/>
        <v>1.7509991601039152E-2</v>
      </c>
      <c r="GG137" s="1111">
        <f t="shared" si="168"/>
        <v>1.7310524600574615E-2</v>
      </c>
      <c r="GH137" s="1111">
        <f t="shared" si="169"/>
        <v>1.730789111118081E-2</v>
      </c>
      <c r="GI137" s="1111">
        <f t="shared" si="170"/>
        <v>1.7304225903278164E-2</v>
      </c>
      <c r="GJ137" s="1111">
        <f t="shared" si="171"/>
        <v>1.7264845151229263E-2</v>
      </c>
      <c r="GK137" s="1111">
        <f t="shared" si="172"/>
        <v>1.7295887539286715E-2</v>
      </c>
      <c r="GL137" s="1111">
        <f t="shared" si="173"/>
        <v>1.7328851499837167E-2</v>
      </c>
      <c r="GM137" s="1111">
        <f t="shared" si="174"/>
        <v>1.7328851499837167E-2</v>
      </c>
    </row>
    <row r="138" spans="1:195" x14ac:dyDescent="0.2">
      <c r="A138" s="1071" t="str">
        <f>Technologies!B85</f>
        <v>*R2,R3,R4,R5,R6</v>
      </c>
      <c r="B138" s="1071" t="str">
        <f>Technologies!C85</f>
        <v>TCGSLAH</v>
      </c>
      <c r="C138" s="1071" t="str">
        <f>Technologies!D85</f>
        <v>Commercial Truck, Advanced Hybrid Tech Gasoline</v>
      </c>
      <c r="D138" s="1071" t="str">
        <f>NewTech!D41</f>
        <v>bn-vmt, bn-vmt/a</v>
      </c>
      <c r="E138" s="1071" t="str">
        <f>NewTech!E41</f>
        <v>TCGSL</v>
      </c>
      <c r="F138" s="1071" t="str">
        <f>NewTech!F41</f>
        <v>TC</v>
      </c>
      <c r="G138" s="1110" t="s">
        <v>502</v>
      </c>
      <c r="H138" s="1110" t="s">
        <v>500</v>
      </c>
      <c r="I138" s="1112">
        <v>1</v>
      </c>
      <c r="J138" s="1111" t="str">
        <f t="shared" si="37"/>
        <v>Commercial Truck-GSL</v>
      </c>
      <c r="K138" s="1111">
        <v>675.7587082465601</v>
      </c>
      <c r="L138" s="1111">
        <v>677.82983375495814</v>
      </c>
      <c r="M138" s="1111">
        <v>676.68894152470091</v>
      </c>
      <c r="N138" s="1111">
        <v>667.43672196505167</v>
      </c>
      <c r="O138" s="1111">
        <v>656.55522929934136</v>
      </c>
      <c r="P138" s="1111">
        <v>655.85666014860146</v>
      </c>
      <c r="Q138" s="1111">
        <v>656.96776144118667</v>
      </c>
      <c r="R138" s="1111">
        <v>657.30093393525215</v>
      </c>
      <c r="S138" s="1111">
        <v>657.39422616607737</v>
      </c>
      <c r="T138" s="1111">
        <f t="shared" si="131"/>
        <v>657.39422616607737</v>
      </c>
      <c r="U138" s="1111">
        <v>3.0146799475978656</v>
      </c>
      <c r="V138" s="1111">
        <v>2.0259159468403549</v>
      </c>
      <c r="W138" s="1111">
        <v>0.66734524578597576</v>
      </c>
      <c r="X138" s="1111">
        <v>0.36217078539327052</v>
      </c>
      <c r="Y138" s="1111">
        <v>0.25114699781709454</v>
      </c>
      <c r="Z138" s="1111">
        <v>0.16536905533109436</v>
      </c>
      <c r="AA138" s="1111">
        <v>0.16189701041139437</v>
      </c>
      <c r="AB138" s="1111">
        <v>0.16189513115752818</v>
      </c>
      <c r="AC138" s="1111">
        <v>0.16200686143225332</v>
      </c>
      <c r="AD138" s="1111">
        <f t="shared" si="132"/>
        <v>0.16200686143225332</v>
      </c>
      <c r="AE138" s="1111">
        <v>3.8602417788471399E-2</v>
      </c>
      <c r="AF138" s="1111">
        <v>1.6293540189000952E-2</v>
      </c>
      <c r="AG138" s="1111">
        <v>1.2607766000449017E-2</v>
      </c>
      <c r="AH138" s="1111">
        <v>4.2995409537388198E-3</v>
      </c>
      <c r="AI138" s="1111">
        <v>4.2407543577426049E-3</v>
      </c>
      <c r="AJ138" s="1111">
        <v>4.1716160773794028E-3</v>
      </c>
      <c r="AK138" s="1111">
        <v>4.1671772168818755E-3</v>
      </c>
      <c r="AL138" s="1111">
        <v>4.1742371332771141E-3</v>
      </c>
      <c r="AM138" s="1111">
        <v>4.1763537358555716E-3</v>
      </c>
      <c r="AN138" s="1111">
        <v>4.1769466648616457E-3</v>
      </c>
      <c r="AO138" s="1111">
        <v>4.1769466648616457E-3</v>
      </c>
      <c r="AP138" s="1111">
        <v>8.727492913685049E-2</v>
      </c>
      <c r="AQ138" s="1111">
        <v>7.015073145379426E-2</v>
      </c>
      <c r="AR138" s="1111">
        <v>5.877132747913956E-2</v>
      </c>
      <c r="AS138" s="1111">
        <v>5.6522642539992611E-2</v>
      </c>
      <c r="AT138" s="1111">
        <v>5.6362718994972472E-2</v>
      </c>
      <c r="AU138" s="1111">
        <v>5.6376663115799121E-2</v>
      </c>
      <c r="AV138" s="1111">
        <v>5.6378624711601363E-2</v>
      </c>
      <c r="AW138" s="1111">
        <v>5.6340954300596761E-2</v>
      </c>
      <c r="AX138" s="1111">
        <v>5.6378129355050093E-2</v>
      </c>
      <c r="AY138" s="1111">
        <v>5.6415925595989402E-2</v>
      </c>
      <c r="AZ138" s="1111">
        <v>5.6415925595989402E-2</v>
      </c>
      <c r="BA138" s="1111">
        <v>4.4681436880471256E-2</v>
      </c>
      <c r="BB138" s="1111">
        <v>2.9644053644229885E-2</v>
      </c>
      <c r="BC138" s="1111">
        <v>1.9594132544732738E-2</v>
      </c>
      <c r="BD138" s="1111">
        <v>1.7509991601039152E-2</v>
      </c>
      <c r="BE138" s="1111">
        <v>1.7310524600574615E-2</v>
      </c>
      <c r="BF138" s="1111">
        <v>1.730789111118081E-2</v>
      </c>
      <c r="BG138" s="1111">
        <v>1.7304225903278164E-2</v>
      </c>
      <c r="BH138" s="1111">
        <v>1.7264845151229263E-2</v>
      </c>
      <c r="BI138" s="1111">
        <v>1.7295887539286715E-2</v>
      </c>
      <c r="BJ138" s="1111">
        <v>1.7328851499837167E-2</v>
      </c>
      <c r="BK138" s="1111">
        <v>1.7328851499837167E-2</v>
      </c>
      <c r="BL138" s="1111">
        <v>35.860741327218626</v>
      </c>
      <c r="BM138" s="1111">
        <v>24.844804072005953</v>
      </c>
      <c r="BN138" s="1111">
        <v>18.593181066520113</v>
      </c>
      <c r="BO138" s="1111">
        <v>11.393031232037009</v>
      </c>
      <c r="BP138" s="1111">
        <v>6.6125965074099637</v>
      </c>
      <c r="BQ138" s="1111">
        <v>4.0821013526340781</v>
      </c>
      <c r="BR138" s="1111">
        <v>2.7736950914505889</v>
      </c>
      <c r="BS138" s="1111">
        <v>2.7302522968900904</v>
      </c>
      <c r="BT138" s="1111">
        <v>2.7268197183978109</v>
      </c>
      <c r="BU138" s="1111">
        <v>2.7248567550504017</v>
      </c>
      <c r="BV138" s="1111">
        <v>2.7248567550504017</v>
      </c>
      <c r="BW138" s="1111">
        <v>1.7098618747055716</v>
      </c>
      <c r="BX138" s="1111">
        <v>1.0620496125987395</v>
      </c>
      <c r="BY138" s="1111">
        <v>0.64803383961976424</v>
      </c>
      <c r="BZ138" s="1111">
        <v>0.32949891749870192</v>
      </c>
      <c r="CA138" s="1111">
        <v>0.2604317132865766</v>
      </c>
      <c r="CB138" s="1111">
        <v>0.23207204924695546</v>
      </c>
      <c r="CC138" s="1111">
        <v>0.21284810732173418</v>
      </c>
      <c r="CD138" s="1111">
        <v>0.21161706051523629</v>
      </c>
      <c r="CE138" s="1111">
        <v>0.21215029904156887</v>
      </c>
      <c r="CF138" s="1111">
        <v>0.21276144651818038</v>
      </c>
      <c r="CG138" s="1111">
        <v>0.21276144651818038</v>
      </c>
      <c r="CH138" s="1111">
        <v>4.7302164924460807E-2</v>
      </c>
      <c r="CI138" s="1111">
        <v>4.7832496091056095E-2</v>
      </c>
      <c r="CJ138" s="1111">
        <v>4.7904483628421181E-2</v>
      </c>
      <c r="CK138" s="1111">
        <v>4.7451411751592183E-2</v>
      </c>
      <c r="CL138" s="1111">
        <v>4.7174477093298743E-2</v>
      </c>
      <c r="CM138" s="1111">
        <v>4.7102731250251599E-2</v>
      </c>
      <c r="CN138" s="1111">
        <v>4.7076661142115006E-2</v>
      </c>
      <c r="CO138" s="1111">
        <v>4.7047405355450787E-2</v>
      </c>
      <c r="CP138" s="1111">
        <v>4.7038486893523253E-2</v>
      </c>
      <c r="CQ138" s="1111">
        <v>4.7036236063411889E-2</v>
      </c>
      <c r="CR138" s="1111">
        <v>4.7036236063411889E-2</v>
      </c>
      <c r="CS138" s="1111">
        <v>3.8087852047407287</v>
      </c>
      <c r="CT138" s="1111">
        <v>3.0146799475978656</v>
      </c>
      <c r="CU138" s="1111">
        <v>2.0259159468403549</v>
      </c>
      <c r="CV138" s="1111">
        <v>0.66734524578597576</v>
      </c>
      <c r="CW138" s="1111">
        <v>0.36217078539327052</v>
      </c>
      <c r="CX138" s="1111">
        <v>0.25114699781709454</v>
      </c>
      <c r="CY138" s="1111">
        <v>0.16536905533109436</v>
      </c>
      <c r="CZ138" s="1111">
        <v>0.16189701041139437</v>
      </c>
      <c r="DA138" s="1111">
        <v>0.16189513115752818</v>
      </c>
      <c r="DB138" s="1111">
        <v>0.16200686143225332</v>
      </c>
      <c r="DC138" s="1111">
        <v>0.16200686143225332</v>
      </c>
      <c r="DD138" s="1111">
        <v>7.984361772561635E-3</v>
      </c>
      <c r="DE138" s="1111">
        <v>5.0212006967350854E-3</v>
      </c>
      <c r="DF138" s="1111">
        <v>3.1208300442598759E-3</v>
      </c>
      <c r="DG138" s="1111">
        <v>2.7536971677900967E-3</v>
      </c>
      <c r="DH138" s="1111">
        <v>2.6062101252931269E-3</v>
      </c>
      <c r="DI138" s="1111">
        <v>2.5990089403284144E-3</v>
      </c>
      <c r="DJ138" s="1111">
        <v>2.5947876308756715E-3</v>
      </c>
      <c r="DK138" s="1111">
        <v>2.5793453985640011E-3</v>
      </c>
      <c r="DL138" s="1111">
        <v>2.5878215177950322E-3</v>
      </c>
      <c r="DM138" s="1111">
        <v>2.5981229820993463E-3</v>
      </c>
      <c r="DN138" s="1111">
        <v>2.5981229820993463E-3</v>
      </c>
      <c r="DO138" s="1111">
        <v>2.1123708176915917E-2</v>
      </c>
      <c r="DP138" s="1111">
        <v>1.311579808868692E-2</v>
      </c>
      <c r="DQ138" s="1111">
        <v>7.5227582987361808E-3</v>
      </c>
      <c r="DR138" s="1111">
        <v>6.3747699705046451E-3</v>
      </c>
      <c r="DS138" s="1111">
        <v>6.3139325183540294E-3</v>
      </c>
      <c r="DT138" s="1111">
        <v>6.3142587832010445E-3</v>
      </c>
      <c r="DU138" s="1111">
        <v>6.3133765031966049E-3</v>
      </c>
      <c r="DV138" s="1111">
        <v>6.2942626243971218E-3</v>
      </c>
      <c r="DW138" s="1111">
        <v>6.3103898501668367E-3</v>
      </c>
      <c r="DX138" s="1111">
        <v>6.3270201095389448E-3</v>
      </c>
      <c r="DY138" s="1111">
        <v>6.3270201095389448E-3</v>
      </c>
      <c r="DZ138" s="1111">
        <v>8.1857365138361657E-2</v>
      </c>
      <c r="EA138" s="1111">
        <v>5.6196969894271621E-2</v>
      </c>
      <c r="EB138" s="1111">
        <v>4.1986170719416738E-2</v>
      </c>
      <c r="EC138" s="1111">
        <v>2.1449467573886532E-2</v>
      </c>
      <c r="ED138" s="1111">
        <v>1.5984380973041973E-2</v>
      </c>
      <c r="EE138" s="1111">
        <v>1.418603159638844E-2</v>
      </c>
      <c r="EF138" s="1111">
        <v>1.2904237852387181E-2</v>
      </c>
      <c r="EG138" s="1111">
        <v>1.292780974994698E-2</v>
      </c>
      <c r="EH138" s="1111">
        <v>1.2933542239182286E-2</v>
      </c>
      <c r="EI138" s="1111">
        <v>1.2942194004542353E-2</v>
      </c>
      <c r="EJ138" s="1111">
        <v>1.2942194004542353E-2</v>
      </c>
      <c r="EK138" s="1111">
        <v>682.37093556210789</v>
      </c>
      <c r="EL138" s="1111">
        <f t="shared" si="154"/>
        <v>675.7587082465601</v>
      </c>
      <c r="EM138" s="1111">
        <f t="shared" si="155"/>
        <v>677.82983375495814</v>
      </c>
      <c r="EN138" s="1111">
        <f t="shared" si="156"/>
        <v>676.68894152470091</v>
      </c>
      <c r="EO138" s="1111">
        <f t="shared" si="157"/>
        <v>667.43672196505167</v>
      </c>
      <c r="EP138" s="1111">
        <f t="shared" si="158"/>
        <v>656.55522929934136</v>
      </c>
      <c r="EQ138" s="1111">
        <f t="shared" si="159"/>
        <v>655.85666014860146</v>
      </c>
      <c r="ER138" s="1111">
        <f t="shared" si="160"/>
        <v>656.96776144118667</v>
      </c>
      <c r="ES138" s="1111">
        <f t="shared" si="161"/>
        <v>657.30093393525215</v>
      </c>
      <c r="ET138" s="1111">
        <f t="shared" si="162"/>
        <v>657.39422616607737</v>
      </c>
      <c r="EU138" s="1111">
        <f t="shared" si="163"/>
        <v>657.39422616607737</v>
      </c>
      <c r="EV138" s="1111">
        <v>3.8087852047407287</v>
      </c>
      <c r="EW138" s="1111">
        <f t="shared" si="144"/>
        <v>3.0146799475978656</v>
      </c>
      <c r="EX138" s="1111">
        <f t="shared" si="145"/>
        <v>2.0259159468403549</v>
      </c>
      <c r="EY138" s="1111">
        <f t="shared" si="146"/>
        <v>0.66734524578597576</v>
      </c>
      <c r="EZ138" s="1111">
        <f t="shared" si="147"/>
        <v>0.36217078539327052</v>
      </c>
      <c r="FA138" s="1111">
        <f t="shared" si="148"/>
        <v>0.25114699781709454</v>
      </c>
      <c r="FB138" s="1111">
        <f t="shared" si="149"/>
        <v>0.16536905533109436</v>
      </c>
      <c r="FC138" s="1111">
        <f t="shared" si="150"/>
        <v>0.16189701041139437</v>
      </c>
      <c r="FD138" s="1111">
        <f t="shared" si="151"/>
        <v>0.16189513115752818</v>
      </c>
      <c r="FE138" s="1111">
        <f t="shared" si="152"/>
        <v>0.16200686143225332</v>
      </c>
      <c r="FF138" s="1111">
        <f t="shared" si="153"/>
        <v>0.16200686143225332</v>
      </c>
      <c r="FG138" s="1111">
        <f t="shared" si="193"/>
        <v>3.8602417788471399E-2</v>
      </c>
      <c r="FH138" s="1111">
        <f t="shared" si="194"/>
        <v>1.6293540189000952E-2</v>
      </c>
      <c r="FI138" s="1111">
        <f t="shared" si="195"/>
        <v>1.2607766000449017E-2</v>
      </c>
      <c r="FJ138" s="1111">
        <f t="shared" si="196"/>
        <v>4.2995409537388198E-3</v>
      </c>
      <c r="FK138" s="1111">
        <f t="shared" si="197"/>
        <v>4.2407543577426049E-3</v>
      </c>
      <c r="FL138" s="1111">
        <f t="shared" si="198"/>
        <v>4.1716160773794028E-3</v>
      </c>
      <c r="FM138" s="1111">
        <f t="shared" si="199"/>
        <v>4.1671772168818755E-3</v>
      </c>
      <c r="FN138" s="1111">
        <f t="shared" si="200"/>
        <v>4.1742371332771141E-3</v>
      </c>
      <c r="FO138" s="1111">
        <f t="shared" si="201"/>
        <v>4.1763537358555716E-3</v>
      </c>
      <c r="FP138" s="1111">
        <f t="shared" si="202"/>
        <v>4.1769466648616457E-3</v>
      </c>
      <c r="FQ138" s="1111">
        <f t="shared" si="203"/>
        <v>4.1769466648616457E-3</v>
      </c>
      <c r="FR138" s="1111">
        <f t="shared" si="133"/>
        <v>8.727492913685049E-2</v>
      </c>
      <c r="FS138" s="1111">
        <f t="shared" si="134"/>
        <v>7.015073145379426E-2</v>
      </c>
      <c r="FT138" s="1111">
        <f t="shared" si="135"/>
        <v>5.877132747913956E-2</v>
      </c>
      <c r="FU138" s="1111">
        <f t="shared" si="136"/>
        <v>5.6522642539992611E-2</v>
      </c>
      <c r="FV138" s="1111">
        <f t="shared" si="137"/>
        <v>5.6362718994972472E-2</v>
      </c>
      <c r="FW138" s="1111">
        <f t="shared" si="138"/>
        <v>5.6376663115799121E-2</v>
      </c>
      <c r="FX138" s="1111">
        <f t="shared" si="139"/>
        <v>5.6378624711601363E-2</v>
      </c>
      <c r="FY138" s="1111">
        <f t="shared" si="140"/>
        <v>5.6340954300596761E-2</v>
      </c>
      <c r="FZ138" s="1111">
        <f t="shared" si="141"/>
        <v>5.6378129355050093E-2</v>
      </c>
      <c r="GA138" s="1111">
        <f t="shared" si="142"/>
        <v>5.6415925595989402E-2</v>
      </c>
      <c r="GB138" s="1111">
        <f t="shared" si="143"/>
        <v>5.6415925595989402E-2</v>
      </c>
      <c r="GC138" s="1111">
        <f t="shared" si="164"/>
        <v>4.4681436880471256E-2</v>
      </c>
      <c r="GD138" s="1111">
        <f t="shared" si="165"/>
        <v>2.9644053644229885E-2</v>
      </c>
      <c r="GE138" s="1111">
        <f t="shared" si="166"/>
        <v>1.9594132544732738E-2</v>
      </c>
      <c r="GF138" s="1111">
        <f t="shared" si="167"/>
        <v>1.7509991601039152E-2</v>
      </c>
      <c r="GG138" s="1111">
        <f t="shared" si="168"/>
        <v>1.7310524600574615E-2</v>
      </c>
      <c r="GH138" s="1111">
        <f t="shared" si="169"/>
        <v>1.730789111118081E-2</v>
      </c>
      <c r="GI138" s="1111">
        <f t="shared" si="170"/>
        <v>1.7304225903278164E-2</v>
      </c>
      <c r="GJ138" s="1111">
        <f t="shared" si="171"/>
        <v>1.7264845151229263E-2</v>
      </c>
      <c r="GK138" s="1111">
        <f t="shared" si="172"/>
        <v>1.7295887539286715E-2</v>
      </c>
      <c r="GL138" s="1111">
        <f t="shared" si="173"/>
        <v>1.7328851499837167E-2</v>
      </c>
      <c r="GM138" s="1111">
        <f t="shared" si="174"/>
        <v>1.7328851499837167E-2</v>
      </c>
    </row>
    <row r="139" spans="1:195" x14ac:dyDescent="0.2">
      <c r="A139" s="1071" t="str">
        <f>Technologies!B86</f>
        <v>*R2,R3,R4,R5,R6</v>
      </c>
      <c r="B139" s="1071" t="str">
        <f>Technologies!C86</f>
        <v>TCDSLC10</v>
      </c>
      <c r="C139" s="1071" t="str">
        <f>Technologies!D86</f>
        <v>Commercial Truck, Diesel 2010</v>
      </c>
      <c r="D139" s="1071" t="str">
        <f>NewTech!D42</f>
        <v>bn-vmt, bn-vmt/a</v>
      </c>
      <c r="E139" s="1071" t="str">
        <f>NewTech!E42</f>
        <v>TCDSL</v>
      </c>
      <c r="F139" s="1071" t="str">
        <f>NewTech!F42</f>
        <v>TC</v>
      </c>
      <c r="G139" s="1110" t="s">
        <v>502</v>
      </c>
      <c r="H139" s="1110" t="s">
        <v>499</v>
      </c>
      <c r="I139" s="1112">
        <v>1</v>
      </c>
      <c r="J139" s="1111" t="str">
        <f t="shared" si="37"/>
        <v>Commercial Truck-DSL</v>
      </c>
      <c r="K139" s="1111">
        <v>908.69783207209889</v>
      </c>
      <c r="L139" s="1111">
        <v>906.61489941339516</v>
      </c>
      <c r="M139" s="1111">
        <v>881.78957745737841</v>
      </c>
      <c r="N139" s="1111">
        <v>850.63725884797645</v>
      </c>
      <c r="O139" s="1111">
        <v>829.68121667825164</v>
      </c>
      <c r="P139" s="1111">
        <v>827.50086722650212</v>
      </c>
      <c r="Q139" s="1111">
        <v>828.50634553485077</v>
      </c>
      <c r="R139" s="1111">
        <v>828.87353106298963</v>
      </c>
      <c r="S139" s="1111">
        <v>829.07871983516236</v>
      </c>
      <c r="T139" s="1111">
        <f t="shared" si="131"/>
        <v>829.07871983516236</v>
      </c>
      <c r="U139" s="1111">
        <v>5.2139962727482114</v>
      </c>
      <c r="V139" s="1111">
        <v>2.7512017664812314</v>
      </c>
      <c r="W139" s="1111">
        <v>1.4168974870982729</v>
      </c>
      <c r="X139" s="1111">
        <v>0.70145312651502723</v>
      </c>
      <c r="Y139" s="1111">
        <v>0.50742778351018847</v>
      </c>
      <c r="Z139" s="1111">
        <v>0.41920635912374266</v>
      </c>
      <c r="AA139" s="1111">
        <v>0.416693455291543</v>
      </c>
      <c r="AB139" s="1111">
        <v>0.41681223009438972</v>
      </c>
      <c r="AC139" s="1111">
        <v>0.4169289722702062</v>
      </c>
      <c r="AD139" s="1111">
        <f t="shared" si="132"/>
        <v>0.4169289722702062</v>
      </c>
      <c r="AE139" s="1111">
        <v>6.8463897949922359E-2</v>
      </c>
      <c r="AF139" s="1111">
        <v>7.8371168577352004E-3</v>
      </c>
      <c r="AG139" s="1111">
        <v>7.6094356696856033E-3</v>
      </c>
      <c r="AH139" s="1111">
        <v>7.2454271019833146E-3</v>
      </c>
      <c r="AI139" s="1111">
        <v>6.9505048924161398E-3</v>
      </c>
      <c r="AJ139" s="1111">
        <v>6.7792745734326625E-3</v>
      </c>
      <c r="AK139" s="1111">
        <v>6.7614590436947796E-3</v>
      </c>
      <c r="AL139" s="1111">
        <v>6.7696746586270798E-3</v>
      </c>
      <c r="AM139" s="1111">
        <v>6.7726755635878367E-3</v>
      </c>
      <c r="AN139" s="1111">
        <v>6.7743517253202531E-3</v>
      </c>
      <c r="AO139" s="1111">
        <v>6.7743517253202531E-3</v>
      </c>
      <c r="AP139" s="1111">
        <v>0.61148267871181328</v>
      </c>
      <c r="AQ139" s="1111">
        <v>0.39117194880015232</v>
      </c>
      <c r="AR139" s="1111">
        <v>0.18975457969516704</v>
      </c>
      <c r="AS139" s="1111">
        <v>8.2885317171187856E-2</v>
      </c>
      <c r="AT139" s="1111">
        <v>5.7116966662940423E-2</v>
      </c>
      <c r="AU139" s="1111">
        <v>5.7153117613824606E-2</v>
      </c>
      <c r="AV139" s="1111">
        <v>5.7169598600272334E-2</v>
      </c>
      <c r="AW139" s="1111">
        <v>5.7183803872516599E-2</v>
      </c>
      <c r="AX139" s="1111">
        <v>5.7191439771356024E-2</v>
      </c>
      <c r="AY139" s="1111">
        <v>5.7193759057646294E-2</v>
      </c>
      <c r="AZ139" s="1111">
        <v>5.7193759057646294E-2</v>
      </c>
      <c r="BA139" s="1111">
        <v>0.52790357673411381</v>
      </c>
      <c r="BB139" s="1111">
        <v>0.32533157112020911</v>
      </c>
      <c r="BC139" s="1111">
        <v>0.14004218938055349</v>
      </c>
      <c r="BD139" s="1111">
        <v>4.1625850525441974E-2</v>
      </c>
      <c r="BE139" s="1111">
        <v>1.7845431213806467E-2</v>
      </c>
      <c r="BF139" s="1111">
        <v>1.786151134365236E-2</v>
      </c>
      <c r="BG139" s="1111">
        <v>1.7871496037663956E-2</v>
      </c>
      <c r="BH139" s="1111">
        <v>1.787787615460654E-2</v>
      </c>
      <c r="BI139" s="1111">
        <v>1.7882855546681935E-2</v>
      </c>
      <c r="BJ139" s="1111">
        <v>1.7884358785924939E-2</v>
      </c>
      <c r="BK139" s="1111">
        <v>1.7884358785924939E-2</v>
      </c>
      <c r="BL139" s="1111">
        <v>3.5974830741457904</v>
      </c>
      <c r="BM139" s="1111">
        <v>3.0750268451008234</v>
      </c>
      <c r="BN139" s="1111">
        <v>1.6146303554729917</v>
      </c>
      <c r="BO139" s="1111">
        <v>0.63426523602103568</v>
      </c>
      <c r="BP139" s="1111">
        <v>0.38711728873960771</v>
      </c>
      <c r="BQ139" s="1111">
        <v>0.38785544647202291</v>
      </c>
      <c r="BR139" s="1111">
        <v>0.38792567793249733</v>
      </c>
      <c r="BS139" s="1111">
        <v>0.38800892401614789</v>
      </c>
      <c r="BT139" s="1111">
        <v>0.38802100372153886</v>
      </c>
      <c r="BU139" s="1111">
        <v>0.38807032300021443</v>
      </c>
      <c r="BV139" s="1111">
        <v>0.38807032300021443</v>
      </c>
      <c r="BW139" s="1111">
        <v>1.2190046544990303</v>
      </c>
      <c r="BX139" s="1111">
        <v>0.93631185078121426</v>
      </c>
      <c r="BY139" s="1111">
        <v>0.44062981776208715</v>
      </c>
      <c r="BZ139" s="1111">
        <v>0.15783288647989238</v>
      </c>
      <c r="CA139" s="1111">
        <v>9.2631328054864404E-2</v>
      </c>
      <c r="CB139" s="1111">
        <v>9.291285787801859E-2</v>
      </c>
      <c r="CC139" s="1111">
        <v>9.2995513611799391E-2</v>
      </c>
      <c r="CD139" s="1111">
        <v>9.3160535241501252E-2</v>
      </c>
      <c r="CE139" s="1111">
        <v>9.3202964162877613E-2</v>
      </c>
      <c r="CF139" s="1111">
        <v>9.325018215317854E-2</v>
      </c>
      <c r="CG139" s="1111">
        <v>9.325018215317854E-2</v>
      </c>
      <c r="CH139" s="1111">
        <v>2.661098514978626E-2</v>
      </c>
      <c r="CI139" s="1111">
        <v>2.6939622846400731E-2</v>
      </c>
      <c r="CJ139" s="1111">
        <v>2.702747651183203E-2</v>
      </c>
      <c r="CK139" s="1111">
        <v>2.6765223957059211E-2</v>
      </c>
      <c r="CL139" s="1111">
        <v>2.6571897307438173E-2</v>
      </c>
      <c r="CM139" s="1111">
        <v>2.6521903997847492E-2</v>
      </c>
      <c r="CN139" s="1111">
        <v>2.6505066621953566E-2</v>
      </c>
      <c r="CO139" s="1111">
        <v>2.6484451280636884E-2</v>
      </c>
      <c r="CP139" s="1111">
        <v>2.6477614550331839E-2</v>
      </c>
      <c r="CQ139" s="1111">
        <v>2.6474843409717168E-2</v>
      </c>
      <c r="CR139" s="1111">
        <v>2.6474843409717168E-2</v>
      </c>
      <c r="CS139" s="1111">
        <v>7.9929049386421758</v>
      </c>
      <c r="CT139" s="1111">
        <v>5.2139962727482114</v>
      </c>
      <c r="CU139" s="1111">
        <v>2.7512017664812314</v>
      </c>
      <c r="CV139" s="1111">
        <v>1.4168974870982729</v>
      </c>
      <c r="CW139" s="1111">
        <v>0.70145312651502723</v>
      </c>
      <c r="CX139" s="1111">
        <v>0.50742778351018847</v>
      </c>
      <c r="CY139" s="1111">
        <v>0.41920635912374266</v>
      </c>
      <c r="CZ139" s="1111">
        <v>0.416693455291543</v>
      </c>
      <c r="DA139" s="1111">
        <v>0.41681223009438972</v>
      </c>
      <c r="DB139" s="1111">
        <v>0.4169289722702062</v>
      </c>
      <c r="DC139" s="1111">
        <v>0.4169289722702062</v>
      </c>
      <c r="DD139" s="1111">
        <v>0.25873294909838251</v>
      </c>
      <c r="DE139" s="1111">
        <v>0.16634522711189528</v>
      </c>
      <c r="DF139" s="1111">
        <v>6.8973280441623402E-2</v>
      </c>
      <c r="DG139" s="1111">
        <v>1.4120711914901326E-2</v>
      </c>
      <c r="DH139" s="1111">
        <v>1.0786154126645024E-3</v>
      </c>
      <c r="DI139" s="1111">
        <v>1.0798206480206708E-3</v>
      </c>
      <c r="DJ139" s="1111">
        <v>1.0806436140692415E-3</v>
      </c>
      <c r="DK139" s="1111">
        <v>1.0811237394477437E-3</v>
      </c>
      <c r="DL139" s="1111">
        <v>1.0815414578773603E-3</v>
      </c>
      <c r="DM139" s="1111">
        <v>1.0816675000683419E-3</v>
      </c>
      <c r="DN139" s="1111">
        <v>1.0816675000683419E-3</v>
      </c>
      <c r="DO139" s="1111">
        <v>0.18317933376405696</v>
      </c>
      <c r="DP139" s="1111">
        <v>0.10817226425131846</v>
      </c>
      <c r="DQ139" s="1111">
        <v>4.2897509083896078E-2</v>
      </c>
      <c r="DR139" s="1111">
        <v>9.8427764521391691E-3</v>
      </c>
      <c r="DS139" s="1111">
        <v>1.8753217886179215E-3</v>
      </c>
      <c r="DT139" s="1111">
        <v>1.8774174016461178E-3</v>
      </c>
      <c r="DU139" s="1111">
        <v>1.8788482002027062E-3</v>
      </c>
      <c r="DV139" s="1111">
        <v>1.8796829497760693E-3</v>
      </c>
      <c r="DW139" s="1111">
        <v>1.8804092326395766E-3</v>
      </c>
      <c r="DX139" s="1111">
        <v>1.8806282411271804E-3</v>
      </c>
      <c r="DY139" s="1111">
        <v>1.8806282411271804E-3</v>
      </c>
      <c r="DZ139" s="1111">
        <v>2.990484748962271E-3</v>
      </c>
      <c r="EA139" s="1111">
        <v>2.0041319027002614E-2</v>
      </c>
      <c r="EB139" s="1111">
        <v>5.5154555326277478E-2</v>
      </c>
      <c r="EC139" s="1111">
        <v>7.9842035131440711E-2</v>
      </c>
      <c r="ED139" s="1111">
        <v>8.207820883427723E-2</v>
      </c>
      <c r="EE139" s="1111">
        <v>8.2736327421338809E-2</v>
      </c>
      <c r="EF139" s="1111">
        <v>8.284453674681673E-2</v>
      </c>
      <c r="EG139" s="1111">
        <v>8.2980744666497547E-2</v>
      </c>
      <c r="EH139" s="1111">
        <v>8.3010694108555369E-2</v>
      </c>
      <c r="EI139" s="1111">
        <v>8.3052501766220296E-2</v>
      </c>
      <c r="EJ139" s="1111">
        <v>8.3052501766220296E-2</v>
      </c>
      <c r="EK139" s="1111">
        <v>898.33328538410353</v>
      </c>
      <c r="EL139" s="1111">
        <f t="shared" si="154"/>
        <v>908.69783207209889</v>
      </c>
      <c r="EM139" s="1111">
        <f t="shared" si="155"/>
        <v>906.61489941339516</v>
      </c>
      <c r="EN139" s="1111">
        <f t="shared" si="156"/>
        <v>881.78957745737841</v>
      </c>
      <c r="EO139" s="1111">
        <f t="shared" si="157"/>
        <v>850.63725884797645</v>
      </c>
      <c r="EP139" s="1111">
        <f t="shared" si="158"/>
        <v>829.68121667825164</v>
      </c>
      <c r="EQ139" s="1111">
        <f t="shared" si="159"/>
        <v>827.50086722650212</v>
      </c>
      <c r="ER139" s="1111">
        <f t="shared" si="160"/>
        <v>828.50634553485077</v>
      </c>
      <c r="ES139" s="1111">
        <f t="shared" si="161"/>
        <v>828.87353106298963</v>
      </c>
      <c r="ET139" s="1111">
        <f t="shared" si="162"/>
        <v>829.07871983516236</v>
      </c>
      <c r="EU139" s="1111">
        <f t="shared" si="163"/>
        <v>829.07871983516236</v>
      </c>
      <c r="EV139" s="1111">
        <v>7.9929049386421758</v>
      </c>
      <c r="EW139" s="1111">
        <f t="shared" si="144"/>
        <v>5.2139962727482114</v>
      </c>
      <c r="EX139" s="1111">
        <f t="shared" si="145"/>
        <v>2.7512017664812314</v>
      </c>
      <c r="EY139" s="1111">
        <f t="shared" si="146"/>
        <v>1.4168974870982729</v>
      </c>
      <c r="EZ139" s="1111">
        <f t="shared" si="147"/>
        <v>0.70145312651502723</v>
      </c>
      <c r="FA139" s="1111">
        <f t="shared" si="148"/>
        <v>0.50742778351018847</v>
      </c>
      <c r="FB139" s="1111">
        <f t="shared" si="149"/>
        <v>0.41920635912374266</v>
      </c>
      <c r="FC139" s="1111">
        <f t="shared" si="150"/>
        <v>0.416693455291543</v>
      </c>
      <c r="FD139" s="1111">
        <f t="shared" si="151"/>
        <v>0.41681223009438972</v>
      </c>
      <c r="FE139" s="1111">
        <f t="shared" si="152"/>
        <v>0.4169289722702062</v>
      </c>
      <c r="FF139" s="1111">
        <f t="shared" si="153"/>
        <v>0.4169289722702062</v>
      </c>
      <c r="FG139" s="1111">
        <f t="shared" si="193"/>
        <v>6.8463897949922359E-2</v>
      </c>
      <c r="FH139" s="1111">
        <f t="shared" si="194"/>
        <v>7.8371168577352004E-3</v>
      </c>
      <c r="FI139" s="1111">
        <f t="shared" si="195"/>
        <v>7.6094356696856033E-3</v>
      </c>
      <c r="FJ139" s="1111">
        <f t="shared" si="196"/>
        <v>7.2454271019833146E-3</v>
      </c>
      <c r="FK139" s="1111">
        <f t="shared" si="197"/>
        <v>6.9505048924161398E-3</v>
      </c>
      <c r="FL139" s="1111">
        <f t="shared" si="198"/>
        <v>6.7792745734326625E-3</v>
      </c>
      <c r="FM139" s="1111">
        <f t="shared" si="199"/>
        <v>6.7614590436947796E-3</v>
      </c>
      <c r="FN139" s="1111">
        <f t="shared" si="200"/>
        <v>6.7696746586270798E-3</v>
      </c>
      <c r="FO139" s="1111">
        <f t="shared" si="201"/>
        <v>6.7726755635878367E-3</v>
      </c>
      <c r="FP139" s="1111">
        <f t="shared" si="202"/>
        <v>6.7743517253202531E-3</v>
      </c>
      <c r="FQ139" s="1111">
        <f t="shared" si="203"/>
        <v>6.7743517253202531E-3</v>
      </c>
      <c r="FR139" s="1111">
        <f t="shared" si="133"/>
        <v>0.61148267871181328</v>
      </c>
      <c r="FS139" s="1111">
        <f t="shared" si="134"/>
        <v>0.39117194880015232</v>
      </c>
      <c r="FT139" s="1111">
        <f t="shared" si="135"/>
        <v>0.18975457969516704</v>
      </c>
      <c r="FU139" s="1111">
        <f t="shared" si="136"/>
        <v>8.2885317171187856E-2</v>
      </c>
      <c r="FV139" s="1111">
        <f t="shared" si="137"/>
        <v>5.7116966662940423E-2</v>
      </c>
      <c r="FW139" s="1111">
        <f t="shared" si="138"/>
        <v>5.7153117613824606E-2</v>
      </c>
      <c r="FX139" s="1111">
        <f t="shared" si="139"/>
        <v>5.7169598600272334E-2</v>
      </c>
      <c r="FY139" s="1111">
        <f t="shared" si="140"/>
        <v>5.7183803872516599E-2</v>
      </c>
      <c r="FZ139" s="1111">
        <f t="shared" si="141"/>
        <v>5.7191439771356024E-2</v>
      </c>
      <c r="GA139" s="1111">
        <f t="shared" si="142"/>
        <v>5.7193759057646294E-2</v>
      </c>
      <c r="GB139" s="1111">
        <f t="shared" si="143"/>
        <v>5.7193759057646294E-2</v>
      </c>
      <c r="GC139" s="1111">
        <f t="shared" si="164"/>
        <v>0.52790357673411381</v>
      </c>
      <c r="GD139" s="1111">
        <f t="shared" si="165"/>
        <v>0.32533157112020911</v>
      </c>
      <c r="GE139" s="1111">
        <f t="shared" si="166"/>
        <v>0.14004218938055349</v>
      </c>
      <c r="GF139" s="1111">
        <f t="shared" si="167"/>
        <v>4.1625850525441974E-2</v>
      </c>
      <c r="GG139" s="1111">
        <f t="shared" si="168"/>
        <v>1.7845431213806467E-2</v>
      </c>
      <c r="GH139" s="1111">
        <f t="shared" si="169"/>
        <v>1.786151134365236E-2</v>
      </c>
      <c r="GI139" s="1111">
        <f t="shared" si="170"/>
        <v>1.7871496037663956E-2</v>
      </c>
      <c r="GJ139" s="1111">
        <f t="shared" si="171"/>
        <v>1.787787615460654E-2</v>
      </c>
      <c r="GK139" s="1111">
        <f t="shared" si="172"/>
        <v>1.7882855546681935E-2</v>
      </c>
      <c r="GL139" s="1111">
        <f t="shared" si="173"/>
        <v>1.7884358785924939E-2</v>
      </c>
      <c r="GM139" s="1111">
        <f t="shared" si="174"/>
        <v>1.7884358785924939E-2</v>
      </c>
    </row>
    <row r="140" spans="1:195" x14ac:dyDescent="0.2">
      <c r="A140" s="1071" t="str">
        <f>Technologies!B87</f>
        <v>*R2,R3,R4,R5,R6</v>
      </c>
      <c r="B140" s="1071" t="str">
        <f>Technologies!C87</f>
        <v>TCDSLC</v>
      </c>
      <c r="C140" s="1071" t="str">
        <f>Technologies!D87</f>
        <v>Commercial Truck, Conventional Diesel</v>
      </c>
      <c r="D140" s="1071" t="str">
        <f>NewTech!D43</f>
        <v>bn-vmt, bn-vmt/a</v>
      </c>
      <c r="E140" s="1071" t="str">
        <f>NewTech!E43</f>
        <v>TCDSL</v>
      </c>
      <c r="F140" s="1071" t="str">
        <f>NewTech!F43</f>
        <v>TC</v>
      </c>
      <c r="G140" s="1110" t="s">
        <v>502</v>
      </c>
      <c r="H140" s="1110" t="s">
        <v>499</v>
      </c>
      <c r="I140" s="1112">
        <v>1</v>
      </c>
      <c r="J140" s="1111" t="str">
        <f t="shared" si="37"/>
        <v>Commercial Truck-DSL</v>
      </c>
      <c r="K140" s="1111">
        <v>908.69783207209889</v>
      </c>
      <c r="L140" s="1111">
        <v>906.61489941339516</v>
      </c>
      <c r="M140" s="1111">
        <v>881.78957745737841</v>
      </c>
      <c r="N140" s="1111">
        <v>850.63725884797645</v>
      </c>
      <c r="O140" s="1111">
        <v>829.68121667825164</v>
      </c>
      <c r="P140" s="1111">
        <v>827.50086722650212</v>
      </c>
      <c r="Q140" s="1111">
        <v>828.50634553485077</v>
      </c>
      <c r="R140" s="1111">
        <v>828.87353106298963</v>
      </c>
      <c r="S140" s="1111">
        <v>829.07871983516236</v>
      </c>
      <c r="T140" s="1111">
        <f t="shared" si="131"/>
        <v>829.07871983516236</v>
      </c>
      <c r="U140" s="1111">
        <v>5.2139962727482114</v>
      </c>
      <c r="V140" s="1111">
        <v>2.7512017664812314</v>
      </c>
      <c r="W140" s="1111">
        <v>1.4168974870982729</v>
      </c>
      <c r="X140" s="1111">
        <v>0.70145312651502723</v>
      </c>
      <c r="Y140" s="1111">
        <v>0.50742778351018847</v>
      </c>
      <c r="Z140" s="1111">
        <v>0.41920635912374266</v>
      </c>
      <c r="AA140" s="1111">
        <v>0.416693455291543</v>
      </c>
      <c r="AB140" s="1111">
        <v>0.41681223009438972</v>
      </c>
      <c r="AC140" s="1111">
        <v>0.4169289722702062</v>
      </c>
      <c r="AD140" s="1111">
        <f t="shared" si="132"/>
        <v>0.4169289722702062</v>
      </c>
      <c r="AE140" s="1111">
        <v>6.8463897949922359E-2</v>
      </c>
      <c r="AF140" s="1111">
        <v>7.8371168577352004E-3</v>
      </c>
      <c r="AG140" s="1111">
        <v>7.6094356696856033E-3</v>
      </c>
      <c r="AH140" s="1111">
        <v>7.2454271019833146E-3</v>
      </c>
      <c r="AI140" s="1111">
        <v>6.9505048924161398E-3</v>
      </c>
      <c r="AJ140" s="1111">
        <v>6.7792745734326625E-3</v>
      </c>
      <c r="AK140" s="1111">
        <v>6.7614590436947796E-3</v>
      </c>
      <c r="AL140" s="1111">
        <v>6.7696746586270798E-3</v>
      </c>
      <c r="AM140" s="1111">
        <v>6.7726755635878367E-3</v>
      </c>
      <c r="AN140" s="1111">
        <v>6.7743517253202531E-3</v>
      </c>
      <c r="AO140" s="1111">
        <v>6.7743517253202531E-3</v>
      </c>
      <c r="AP140" s="1111">
        <v>0.61148267871181328</v>
      </c>
      <c r="AQ140" s="1111">
        <v>0.39117194880015232</v>
      </c>
      <c r="AR140" s="1111">
        <v>0.18975457969516704</v>
      </c>
      <c r="AS140" s="1111">
        <v>8.2885317171187856E-2</v>
      </c>
      <c r="AT140" s="1111">
        <v>5.7116966662940423E-2</v>
      </c>
      <c r="AU140" s="1111">
        <v>5.7153117613824606E-2</v>
      </c>
      <c r="AV140" s="1111">
        <v>5.7169598600272334E-2</v>
      </c>
      <c r="AW140" s="1111">
        <v>5.7183803872516599E-2</v>
      </c>
      <c r="AX140" s="1111">
        <v>5.7191439771356024E-2</v>
      </c>
      <c r="AY140" s="1111">
        <v>5.7193759057646294E-2</v>
      </c>
      <c r="AZ140" s="1111">
        <v>5.7193759057646294E-2</v>
      </c>
      <c r="BA140" s="1111">
        <v>0.52790357673411381</v>
      </c>
      <c r="BB140" s="1111">
        <v>0.32533157112020911</v>
      </c>
      <c r="BC140" s="1111">
        <v>0.14004218938055349</v>
      </c>
      <c r="BD140" s="1111">
        <v>4.1625850525441974E-2</v>
      </c>
      <c r="BE140" s="1111">
        <v>1.7845431213806467E-2</v>
      </c>
      <c r="BF140" s="1111">
        <v>1.786151134365236E-2</v>
      </c>
      <c r="BG140" s="1111">
        <v>1.7871496037663956E-2</v>
      </c>
      <c r="BH140" s="1111">
        <v>1.787787615460654E-2</v>
      </c>
      <c r="BI140" s="1111">
        <v>1.7882855546681935E-2</v>
      </c>
      <c r="BJ140" s="1111">
        <v>1.7884358785924939E-2</v>
      </c>
      <c r="BK140" s="1111">
        <v>1.7884358785924939E-2</v>
      </c>
      <c r="BL140" s="1111">
        <v>3.5974830741457904</v>
      </c>
      <c r="BM140" s="1111">
        <v>3.0750268451008234</v>
      </c>
      <c r="BN140" s="1111">
        <v>1.6146303554729917</v>
      </c>
      <c r="BO140" s="1111">
        <v>0.63426523602103568</v>
      </c>
      <c r="BP140" s="1111">
        <v>0.38711728873960771</v>
      </c>
      <c r="BQ140" s="1111">
        <v>0.38785544647202291</v>
      </c>
      <c r="BR140" s="1111">
        <v>0.38792567793249733</v>
      </c>
      <c r="BS140" s="1111">
        <v>0.38800892401614789</v>
      </c>
      <c r="BT140" s="1111">
        <v>0.38802100372153886</v>
      </c>
      <c r="BU140" s="1111">
        <v>0.38807032300021443</v>
      </c>
      <c r="BV140" s="1111">
        <v>0.38807032300021443</v>
      </c>
      <c r="BW140" s="1111">
        <v>1.2190046544990303</v>
      </c>
      <c r="BX140" s="1111">
        <v>0.93631185078121426</v>
      </c>
      <c r="BY140" s="1111">
        <v>0.44062981776208715</v>
      </c>
      <c r="BZ140" s="1111">
        <v>0.15783288647989238</v>
      </c>
      <c r="CA140" s="1111">
        <v>9.2631328054864404E-2</v>
      </c>
      <c r="CB140" s="1111">
        <v>9.291285787801859E-2</v>
      </c>
      <c r="CC140" s="1111">
        <v>9.2995513611799391E-2</v>
      </c>
      <c r="CD140" s="1111">
        <v>9.3160535241501252E-2</v>
      </c>
      <c r="CE140" s="1111">
        <v>9.3202964162877613E-2</v>
      </c>
      <c r="CF140" s="1111">
        <v>9.325018215317854E-2</v>
      </c>
      <c r="CG140" s="1111">
        <v>9.325018215317854E-2</v>
      </c>
      <c r="CH140" s="1111">
        <v>2.661098514978626E-2</v>
      </c>
      <c r="CI140" s="1111">
        <v>2.6939622846400731E-2</v>
      </c>
      <c r="CJ140" s="1111">
        <v>2.702747651183203E-2</v>
      </c>
      <c r="CK140" s="1111">
        <v>2.6765223957059211E-2</v>
      </c>
      <c r="CL140" s="1111">
        <v>2.6571897307438173E-2</v>
      </c>
      <c r="CM140" s="1111">
        <v>2.6521903997847492E-2</v>
      </c>
      <c r="CN140" s="1111">
        <v>2.6505066621953566E-2</v>
      </c>
      <c r="CO140" s="1111">
        <v>2.6484451280636884E-2</v>
      </c>
      <c r="CP140" s="1111">
        <v>2.6477614550331839E-2</v>
      </c>
      <c r="CQ140" s="1111">
        <v>2.6474843409717168E-2</v>
      </c>
      <c r="CR140" s="1111">
        <v>2.6474843409717168E-2</v>
      </c>
      <c r="CS140" s="1111">
        <v>7.9929049386421758</v>
      </c>
      <c r="CT140" s="1111">
        <v>5.2139962727482114</v>
      </c>
      <c r="CU140" s="1111">
        <v>2.7512017664812314</v>
      </c>
      <c r="CV140" s="1111">
        <v>1.4168974870982729</v>
      </c>
      <c r="CW140" s="1111">
        <v>0.70145312651502723</v>
      </c>
      <c r="CX140" s="1111">
        <v>0.50742778351018847</v>
      </c>
      <c r="CY140" s="1111">
        <v>0.41920635912374266</v>
      </c>
      <c r="CZ140" s="1111">
        <v>0.416693455291543</v>
      </c>
      <c r="DA140" s="1111">
        <v>0.41681223009438972</v>
      </c>
      <c r="DB140" s="1111">
        <v>0.4169289722702062</v>
      </c>
      <c r="DC140" s="1111">
        <v>0.4169289722702062</v>
      </c>
      <c r="DD140" s="1111">
        <v>0.25873294909838251</v>
      </c>
      <c r="DE140" s="1111">
        <v>0.16634522711189528</v>
      </c>
      <c r="DF140" s="1111">
        <v>6.8973280441623402E-2</v>
      </c>
      <c r="DG140" s="1111">
        <v>1.4120711914901326E-2</v>
      </c>
      <c r="DH140" s="1111">
        <v>1.0786154126645024E-3</v>
      </c>
      <c r="DI140" s="1111">
        <v>1.0798206480206708E-3</v>
      </c>
      <c r="DJ140" s="1111">
        <v>1.0806436140692415E-3</v>
      </c>
      <c r="DK140" s="1111">
        <v>1.0811237394477437E-3</v>
      </c>
      <c r="DL140" s="1111">
        <v>1.0815414578773603E-3</v>
      </c>
      <c r="DM140" s="1111">
        <v>1.0816675000683419E-3</v>
      </c>
      <c r="DN140" s="1111">
        <v>1.0816675000683419E-3</v>
      </c>
      <c r="DO140" s="1111">
        <v>0.18317933376405696</v>
      </c>
      <c r="DP140" s="1111">
        <v>0.10817226425131846</v>
      </c>
      <c r="DQ140" s="1111">
        <v>4.2897509083896078E-2</v>
      </c>
      <c r="DR140" s="1111">
        <v>9.8427764521391691E-3</v>
      </c>
      <c r="DS140" s="1111">
        <v>1.8753217886179215E-3</v>
      </c>
      <c r="DT140" s="1111">
        <v>1.8774174016461178E-3</v>
      </c>
      <c r="DU140" s="1111">
        <v>1.8788482002027062E-3</v>
      </c>
      <c r="DV140" s="1111">
        <v>1.8796829497760693E-3</v>
      </c>
      <c r="DW140" s="1111">
        <v>1.8804092326395766E-3</v>
      </c>
      <c r="DX140" s="1111">
        <v>1.8806282411271804E-3</v>
      </c>
      <c r="DY140" s="1111">
        <v>1.8806282411271804E-3</v>
      </c>
      <c r="DZ140" s="1111">
        <v>2.990484748962271E-3</v>
      </c>
      <c r="EA140" s="1111">
        <v>2.0041319027002614E-2</v>
      </c>
      <c r="EB140" s="1111">
        <v>5.5154555326277478E-2</v>
      </c>
      <c r="EC140" s="1111">
        <v>7.9842035131440711E-2</v>
      </c>
      <c r="ED140" s="1111">
        <v>8.207820883427723E-2</v>
      </c>
      <c r="EE140" s="1111">
        <v>8.2736327421338809E-2</v>
      </c>
      <c r="EF140" s="1111">
        <v>8.284453674681673E-2</v>
      </c>
      <c r="EG140" s="1111">
        <v>8.2980744666497547E-2</v>
      </c>
      <c r="EH140" s="1111">
        <v>8.3010694108555369E-2</v>
      </c>
      <c r="EI140" s="1111">
        <v>8.3052501766220296E-2</v>
      </c>
      <c r="EJ140" s="1111">
        <v>8.3052501766220296E-2</v>
      </c>
      <c r="EK140" s="1111">
        <v>898.33328538410353</v>
      </c>
      <c r="EL140" s="1111">
        <f t="shared" si="154"/>
        <v>908.69783207209889</v>
      </c>
      <c r="EM140" s="1111">
        <f t="shared" si="155"/>
        <v>906.61489941339516</v>
      </c>
      <c r="EN140" s="1111">
        <f t="shared" si="156"/>
        <v>881.78957745737841</v>
      </c>
      <c r="EO140" s="1111">
        <f t="shared" si="157"/>
        <v>850.63725884797645</v>
      </c>
      <c r="EP140" s="1111">
        <f t="shared" si="158"/>
        <v>829.68121667825164</v>
      </c>
      <c r="EQ140" s="1111">
        <f t="shared" si="159"/>
        <v>827.50086722650212</v>
      </c>
      <c r="ER140" s="1111">
        <f t="shared" si="160"/>
        <v>828.50634553485077</v>
      </c>
      <c r="ES140" s="1111">
        <f t="shared" si="161"/>
        <v>828.87353106298963</v>
      </c>
      <c r="ET140" s="1111">
        <f t="shared" si="162"/>
        <v>829.07871983516236</v>
      </c>
      <c r="EU140" s="1111">
        <f t="shared" si="163"/>
        <v>829.07871983516236</v>
      </c>
      <c r="EV140" s="1111">
        <v>7.9929049386421758</v>
      </c>
      <c r="EW140" s="1111">
        <f t="shared" si="144"/>
        <v>5.2139962727482114</v>
      </c>
      <c r="EX140" s="1111">
        <f t="shared" si="145"/>
        <v>2.7512017664812314</v>
      </c>
      <c r="EY140" s="1111">
        <f t="shared" si="146"/>
        <v>1.4168974870982729</v>
      </c>
      <c r="EZ140" s="1111">
        <f t="shared" si="147"/>
        <v>0.70145312651502723</v>
      </c>
      <c r="FA140" s="1111">
        <f t="shared" si="148"/>
        <v>0.50742778351018847</v>
      </c>
      <c r="FB140" s="1111">
        <f t="shared" si="149"/>
        <v>0.41920635912374266</v>
      </c>
      <c r="FC140" s="1111">
        <f t="shared" si="150"/>
        <v>0.416693455291543</v>
      </c>
      <c r="FD140" s="1111">
        <f t="shared" si="151"/>
        <v>0.41681223009438972</v>
      </c>
      <c r="FE140" s="1111">
        <f t="shared" si="152"/>
        <v>0.4169289722702062</v>
      </c>
      <c r="FF140" s="1111">
        <f t="shared" si="153"/>
        <v>0.4169289722702062</v>
      </c>
      <c r="FG140" s="1111">
        <f t="shared" si="193"/>
        <v>6.8463897949922359E-2</v>
      </c>
      <c r="FH140" s="1111">
        <f t="shared" si="194"/>
        <v>7.8371168577352004E-3</v>
      </c>
      <c r="FI140" s="1111">
        <f t="shared" si="195"/>
        <v>7.6094356696856033E-3</v>
      </c>
      <c r="FJ140" s="1111">
        <f t="shared" si="196"/>
        <v>7.2454271019833146E-3</v>
      </c>
      <c r="FK140" s="1111">
        <f t="shared" si="197"/>
        <v>6.9505048924161398E-3</v>
      </c>
      <c r="FL140" s="1111">
        <f t="shared" si="198"/>
        <v>6.7792745734326625E-3</v>
      </c>
      <c r="FM140" s="1111">
        <f t="shared" si="199"/>
        <v>6.7614590436947796E-3</v>
      </c>
      <c r="FN140" s="1111">
        <f t="shared" si="200"/>
        <v>6.7696746586270798E-3</v>
      </c>
      <c r="FO140" s="1111">
        <f t="shared" si="201"/>
        <v>6.7726755635878367E-3</v>
      </c>
      <c r="FP140" s="1111">
        <f t="shared" si="202"/>
        <v>6.7743517253202531E-3</v>
      </c>
      <c r="FQ140" s="1111">
        <f t="shared" si="203"/>
        <v>6.7743517253202531E-3</v>
      </c>
      <c r="FR140" s="1111">
        <f t="shared" si="133"/>
        <v>0.61148267871181328</v>
      </c>
      <c r="FS140" s="1111">
        <f t="shared" si="134"/>
        <v>0.39117194880015232</v>
      </c>
      <c r="FT140" s="1111">
        <f t="shared" si="135"/>
        <v>0.18975457969516704</v>
      </c>
      <c r="FU140" s="1111">
        <f t="shared" si="136"/>
        <v>8.2885317171187856E-2</v>
      </c>
      <c r="FV140" s="1111">
        <f t="shared" si="137"/>
        <v>5.7116966662940423E-2</v>
      </c>
      <c r="FW140" s="1111">
        <f t="shared" si="138"/>
        <v>5.7153117613824606E-2</v>
      </c>
      <c r="FX140" s="1111">
        <f t="shared" si="139"/>
        <v>5.7169598600272334E-2</v>
      </c>
      <c r="FY140" s="1111">
        <f t="shared" si="140"/>
        <v>5.7183803872516599E-2</v>
      </c>
      <c r="FZ140" s="1111">
        <f t="shared" si="141"/>
        <v>5.7191439771356024E-2</v>
      </c>
      <c r="GA140" s="1111">
        <f t="shared" si="142"/>
        <v>5.7193759057646294E-2</v>
      </c>
      <c r="GB140" s="1111">
        <f t="shared" si="143"/>
        <v>5.7193759057646294E-2</v>
      </c>
      <c r="GC140" s="1111">
        <f t="shared" si="164"/>
        <v>0.52790357673411381</v>
      </c>
      <c r="GD140" s="1111">
        <f t="shared" si="165"/>
        <v>0.32533157112020911</v>
      </c>
      <c r="GE140" s="1111">
        <f t="shared" si="166"/>
        <v>0.14004218938055349</v>
      </c>
      <c r="GF140" s="1111">
        <f t="shared" si="167"/>
        <v>4.1625850525441974E-2</v>
      </c>
      <c r="GG140" s="1111">
        <f t="shared" si="168"/>
        <v>1.7845431213806467E-2</v>
      </c>
      <c r="GH140" s="1111">
        <f t="shared" si="169"/>
        <v>1.786151134365236E-2</v>
      </c>
      <c r="GI140" s="1111">
        <f t="shared" si="170"/>
        <v>1.7871496037663956E-2</v>
      </c>
      <c r="GJ140" s="1111">
        <f t="shared" si="171"/>
        <v>1.787787615460654E-2</v>
      </c>
      <c r="GK140" s="1111">
        <f t="shared" si="172"/>
        <v>1.7882855546681935E-2</v>
      </c>
      <c r="GL140" s="1111">
        <f t="shared" si="173"/>
        <v>1.7884358785924939E-2</v>
      </c>
      <c r="GM140" s="1111">
        <f t="shared" si="174"/>
        <v>1.7884358785924939E-2</v>
      </c>
    </row>
    <row r="141" spans="1:195" x14ac:dyDescent="0.2">
      <c r="A141" s="1071" t="str">
        <f>Technologies!B88</f>
        <v>*R2,R3,R4,R5,R6</v>
      </c>
      <c r="B141" s="1071" t="str">
        <f>Technologies!C88</f>
        <v>TCDSLIM</v>
      </c>
      <c r="C141" s="1071" t="str">
        <f>Technologies!D88</f>
        <v>Commercial Truck, Improved Diesel</v>
      </c>
      <c r="D141" s="1071" t="str">
        <f>NewTech!D44</f>
        <v>bn-vmt, bn-vmt/a</v>
      </c>
      <c r="E141" s="1071" t="str">
        <f>NewTech!E44</f>
        <v>TCDSL</v>
      </c>
      <c r="F141" s="1071" t="str">
        <f>NewTech!F44</f>
        <v>TC</v>
      </c>
      <c r="G141" s="1110" t="s">
        <v>502</v>
      </c>
      <c r="H141" s="1110" t="s">
        <v>499</v>
      </c>
      <c r="I141" s="1112">
        <v>1</v>
      </c>
      <c r="J141" s="1111" t="str">
        <f t="shared" si="37"/>
        <v>Commercial Truck-DSL</v>
      </c>
      <c r="K141" s="1111">
        <v>908.69783207209889</v>
      </c>
      <c r="L141" s="1111">
        <v>906.61489941339516</v>
      </c>
      <c r="M141" s="1111">
        <v>881.78957745737841</v>
      </c>
      <c r="N141" s="1111">
        <v>850.63725884797645</v>
      </c>
      <c r="O141" s="1111">
        <v>829.68121667825164</v>
      </c>
      <c r="P141" s="1111">
        <v>827.50086722650212</v>
      </c>
      <c r="Q141" s="1111">
        <v>828.50634553485077</v>
      </c>
      <c r="R141" s="1111">
        <v>828.87353106298963</v>
      </c>
      <c r="S141" s="1111">
        <v>829.07871983516236</v>
      </c>
      <c r="T141" s="1111">
        <f t="shared" si="131"/>
        <v>829.07871983516236</v>
      </c>
      <c r="U141" s="1111">
        <v>5.2139962727482114</v>
      </c>
      <c r="V141" s="1111">
        <v>2.7512017664812314</v>
      </c>
      <c r="W141" s="1111">
        <v>1.4168974870982729</v>
      </c>
      <c r="X141" s="1111">
        <v>0.70145312651502723</v>
      </c>
      <c r="Y141" s="1111">
        <v>0.50742778351018847</v>
      </c>
      <c r="Z141" s="1111">
        <v>0.41920635912374266</v>
      </c>
      <c r="AA141" s="1111">
        <v>0.416693455291543</v>
      </c>
      <c r="AB141" s="1111">
        <v>0.41681223009438972</v>
      </c>
      <c r="AC141" s="1111">
        <v>0.4169289722702062</v>
      </c>
      <c r="AD141" s="1111">
        <f t="shared" si="132"/>
        <v>0.4169289722702062</v>
      </c>
      <c r="AE141" s="1111">
        <v>6.8463897949922359E-2</v>
      </c>
      <c r="AF141" s="1111">
        <v>7.8371168577352004E-3</v>
      </c>
      <c r="AG141" s="1111">
        <v>7.6094356696856033E-3</v>
      </c>
      <c r="AH141" s="1111">
        <v>7.2454271019833146E-3</v>
      </c>
      <c r="AI141" s="1111">
        <v>6.9505048924161398E-3</v>
      </c>
      <c r="AJ141" s="1111">
        <v>6.7792745734326625E-3</v>
      </c>
      <c r="AK141" s="1111">
        <v>6.7614590436947796E-3</v>
      </c>
      <c r="AL141" s="1111">
        <v>6.7696746586270798E-3</v>
      </c>
      <c r="AM141" s="1111">
        <v>6.7726755635878367E-3</v>
      </c>
      <c r="AN141" s="1111">
        <v>6.7743517253202531E-3</v>
      </c>
      <c r="AO141" s="1111">
        <v>6.7743517253202531E-3</v>
      </c>
      <c r="AP141" s="1111">
        <v>0.61148267871181328</v>
      </c>
      <c r="AQ141" s="1111">
        <v>0.39117194880015232</v>
      </c>
      <c r="AR141" s="1111">
        <v>0.18975457969516704</v>
      </c>
      <c r="AS141" s="1111">
        <v>8.2885317171187856E-2</v>
      </c>
      <c r="AT141" s="1111">
        <v>5.7116966662940423E-2</v>
      </c>
      <c r="AU141" s="1111">
        <v>5.7153117613824606E-2</v>
      </c>
      <c r="AV141" s="1111">
        <v>5.7169598600272334E-2</v>
      </c>
      <c r="AW141" s="1111">
        <v>5.7183803872516599E-2</v>
      </c>
      <c r="AX141" s="1111">
        <v>5.7191439771356024E-2</v>
      </c>
      <c r="AY141" s="1111">
        <v>5.7193759057646294E-2</v>
      </c>
      <c r="AZ141" s="1111">
        <v>5.7193759057646294E-2</v>
      </c>
      <c r="BA141" s="1111">
        <v>0.52790357673411381</v>
      </c>
      <c r="BB141" s="1111">
        <v>0.32533157112020911</v>
      </c>
      <c r="BC141" s="1111">
        <v>0.14004218938055349</v>
      </c>
      <c r="BD141" s="1111">
        <v>4.1625850525441974E-2</v>
      </c>
      <c r="BE141" s="1111">
        <v>1.7845431213806467E-2</v>
      </c>
      <c r="BF141" s="1111">
        <v>1.786151134365236E-2</v>
      </c>
      <c r="BG141" s="1111">
        <v>1.7871496037663956E-2</v>
      </c>
      <c r="BH141" s="1111">
        <v>1.787787615460654E-2</v>
      </c>
      <c r="BI141" s="1111">
        <v>1.7882855546681935E-2</v>
      </c>
      <c r="BJ141" s="1111">
        <v>1.7884358785924939E-2</v>
      </c>
      <c r="BK141" s="1111">
        <v>1.7884358785924939E-2</v>
      </c>
      <c r="BL141" s="1111">
        <v>3.5974830741457904</v>
      </c>
      <c r="BM141" s="1111">
        <v>3.0750268451008234</v>
      </c>
      <c r="BN141" s="1111">
        <v>1.6146303554729917</v>
      </c>
      <c r="BO141" s="1111">
        <v>0.63426523602103568</v>
      </c>
      <c r="BP141" s="1111">
        <v>0.38711728873960771</v>
      </c>
      <c r="BQ141" s="1111">
        <v>0.38785544647202291</v>
      </c>
      <c r="BR141" s="1111">
        <v>0.38792567793249733</v>
      </c>
      <c r="BS141" s="1111">
        <v>0.38800892401614789</v>
      </c>
      <c r="BT141" s="1111">
        <v>0.38802100372153886</v>
      </c>
      <c r="BU141" s="1111">
        <v>0.38807032300021443</v>
      </c>
      <c r="BV141" s="1111">
        <v>0.38807032300021443</v>
      </c>
      <c r="BW141" s="1111">
        <v>1.2190046544990303</v>
      </c>
      <c r="BX141" s="1111">
        <v>0.93631185078121426</v>
      </c>
      <c r="BY141" s="1111">
        <v>0.44062981776208715</v>
      </c>
      <c r="BZ141" s="1111">
        <v>0.15783288647989238</v>
      </c>
      <c r="CA141" s="1111">
        <v>9.2631328054864404E-2</v>
      </c>
      <c r="CB141" s="1111">
        <v>9.291285787801859E-2</v>
      </c>
      <c r="CC141" s="1111">
        <v>9.2995513611799391E-2</v>
      </c>
      <c r="CD141" s="1111">
        <v>9.3160535241501252E-2</v>
      </c>
      <c r="CE141" s="1111">
        <v>9.3202964162877613E-2</v>
      </c>
      <c r="CF141" s="1111">
        <v>9.325018215317854E-2</v>
      </c>
      <c r="CG141" s="1111">
        <v>9.325018215317854E-2</v>
      </c>
      <c r="CH141" s="1111">
        <v>2.661098514978626E-2</v>
      </c>
      <c r="CI141" s="1111">
        <v>2.6939622846400731E-2</v>
      </c>
      <c r="CJ141" s="1111">
        <v>2.702747651183203E-2</v>
      </c>
      <c r="CK141" s="1111">
        <v>2.6765223957059211E-2</v>
      </c>
      <c r="CL141" s="1111">
        <v>2.6571897307438173E-2</v>
      </c>
      <c r="CM141" s="1111">
        <v>2.6521903997847492E-2</v>
      </c>
      <c r="CN141" s="1111">
        <v>2.6505066621953566E-2</v>
      </c>
      <c r="CO141" s="1111">
        <v>2.6484451280636884E-2</v>
      </c>
      <c r="CP141" s="1111">
        <v>2.6477614550331839E-2</v>
      </c>
      <c r="CQ141" s="1111">
        <v>2.6474843409717168E-2</v>
      </c>
      <c r="CR141" s="1111">
        <v>2.6474843409717168E-2</v>
      </c>
      <c r="CS141" s="1111">
        <v>7.9929049386421758</v>
      </c>
      <c r="CT141" s="1111">
        <v>5.2139962727482114</v>
      </c>
      <c r="CU141" s="1111">
        <v>2.7512017664812314</v>
      </c>
      <c r="CV141" s="1111">
        <v>1.4168974870982729</v>
      </c>
      <c r="CW141" s="1111">
        <v>0.70145312651502723</v>
      </c>
      <c r="CX141" s="1111">
        <v>0.50742778351018847</v>
      </c>
      <c r="CY141" s="1111">
        <v>0.41920635912374266</v>
      </c>
      <c r="CZ141" s="1111">
        <v>0.416693455291543</v>
      </c>
      <c r="DA141" s="1111">
        <v>0.41681223009438972</v>
      </c>
      <c r="DB141" s="1111">
        <v>0.4169289722702062</v>
      </c>
      <c r="DC141" s="1111">
        <v>0.4169289722702062</v>
      </c>
      <c r="DD141" s="1111">
        <v>0.25873294909838251</v>
      </c>
      <c r="DE141" s="1111">
        <v>0.16634522711189528</v>
      </c>
      <c r="DF141" s="1111">
        <v>6.8973280441623402E-2</v>
      </c>
      <c r="DG141" s="1111">
        <v>1.4120711914901326E-2</v>
      </c>
      <c r="DH141" s="1111">
        <v>1.0786154126645024E-3</v>
      </c>
      <c r="DI141" s="1111">
        <v>1.0798206480206708E-3</v>
      </c>
      <c r="DJ141" s="1111">
        <v>1.0806436140692415E-3</v>
      </c>
      <c r="DK141" s="1111">
        <v>1.0811237394477437E-3</v>
      </c>
      <c r="DL141" s="1111">
        <v>1.0815414578773603E-3</v>
      </c>
      <c r="DM141" s="1111">
        <v>1.0816675000683419E-3</v>
      </c>
      <c r="DN141" s="1111">
        <v>1.0816675000683419E-3</v>
      </c>
      <c r="DO141" s="1111">
        <v>0.18317933376405696</v>
      </c>
      <c r="DP141" s="1111">
        <v>0.10817226425131846</v>
      </c>
      <c r="DQ141" s="1111">
        <v>4.2897509083896078E-2</v>
      </c>
      <c r="DR141" s="1111">
        <v>9.8427764521391691E-3</v>
      </c>
      <c r="DS141" s="1111">
        <v>1.8753217886179215E-3</v>
      </c>
      <c r="DT141" s="1111">
        <v>1.8774174016461178E-3</v>
      </c>
      <c r="DU141" s="1111">
        <v>1.8788482002027062E-3</v>
      </c>
      <c r="DV141" s="1111">
        <v>1.8796829497760693E-3</v>
      </c>
      <c r="DW141" s="1111">
        <v>1.8804092326395766E-3</v>
      </c>
      <c r="DX141" s="1111">
        <v>1.8806282411271804E-3</v>
      </c>
      <c r="DY141" s="1111">
        <v>1.8806282411271804E-3</v>
      </c>
      <c r="DZ141" s="1111">
        <v>2.990484748962271E-3</v>
      </c>
      <c r="EA141" s="1111">
        <v>2.0041319027002614E-2</v>
      </c>
      <c r="EB141" s="1111">
        <v>5.5154555326277478E-2</v>
      </c>
      <c r="EC141" s="1111">
        <v>7.9842035131440711E-2</v>
      </c>
      <c r="ED141" s="1111">
        <v>8.207820883427723E-2</v>
      </c>
      <c r="EE141" s="1111">
        <v>8.2736327421338809E-2</v>
      </c>
      <c r="EF141" s="1111">
        <v>8.284453674681673E-2</v>
      </c>
      <c r="EG141" s="1111">
        <v>8.2980744666497547E-2</v>
      </c>
      <c r="EH141" s="1111">
        <v>8.3010694108555369E-2</v>
      </c>
      <c r="EI141" s="1111">
        <v>8.3052501766220296E-2</v>
      </c>
      <c r="EJ141" s="1111">
        <v>8.3052501766220296E-2</v>
      </c>
      <c r="EK141" s="1111">
        <v>898.33328538410353</v>
      </c>
      <c r="EL141" s="1111">
        <f t="shared" si="154"/>
        <v>908.69783207209889</v>
      </c>
      <c r="EM141" s="1111">
        <f t="shared" si="155"/>
        <v>906.61489941339516</v>
      </c>
      <c r="EN141" s="1111">
        <f t="shared" si="156"/>
        <v>881.78957745737841</v>
      </c>
      <c r="EO141" s="1111">
        <f t="shared" si="157"/>
        <v>850.63725884797645</v>
      </c>
      <c r="EP141" s="1111">
        <f t="shared" si="158"/>
        <v>829.68121667825164</v>
      </c>
      <c r="EQ141" s="1111">
        <f t="shared" si="159"/>
        <v>827.50086722650212</v>
      </c>
      <c r="ER141" s="1111">
        <f t="shared" si="160"/>
        <v>828.50634553485077</v>
      </c>
      <c r="ES141" s="1111">
        <f t="shared" si="161"/>
        <v>828.87353106298963</v>
      </c>
      <c r="ET141" s="1111">
        <f t="shared" si="162"/>
        <v>829.07871983516236</v>
      </c>
      <c r="EU141" s="1111">
        <f t="shared" si="163"/>
        <v>829.07871983516236</v>
      </c>
      <c r="EV141" s="1111">
        <v>7.9929049386421758</v>
      </c>
      <c r="EW141" s="1111">
        <f t="shared" si="144"/>
        <v>5.2139962727482114</v>
      </c>
      <c r="EX141" s="1111">
        <f t="shared" si="145"/>
        <v>2.7512017664812314</v>
      </c>
      <c r="EY141" s="1111">
        <f t="shared" si="146"/>
        <v>1.4168974870982729</v>
      </c>
      <c r="EZ141" s="1111">
        <f t="shared" si="147"/>
        <v>0.70145312651502723</v>
      </c>
      <c r="FA141" s="1111">
        <f t="shared" si="148"/>
        <v>0.50742778351018847</v>
      </c>
      <c r="FB141" s="1111">
        <f t="shared" si="149"/>
        <v>0.41920635912374266</v>
      </c>
      <c r="FC141" s="1111">
        <f t="shared" si="150"/>
        <v>0.416693455291543</v>
      </c>
      <c r="FD141" s="1111">
        <f t="shared" si="151"/>
        <v>0.41681223009438972</v>
      </c>
      <c r="FE141" s="1111">
        <f t="shared" si="152"/>
        <v>0.4169289722702062</v>
      </c>
      <c r="FF141" s="1111">
        <f t="shared" si="153"/>
        <v>0.4169289722702062</v>
      </c>
      <c r="FG141" s="1111">
        <f t="shared" si="193"/>
        <v>6.8463897949922359E-2</v>
      </c>
      <c r="FH141" s="1111">
        <f t="shared" si="194"/>
        <v>7.8371168577352004E-3</v>
      </c>
      <c r="FI141" s="1111">
        <f t="shared" si="195"/>
        <v>7.6094356696856033E-3</v>
      </c>
      <c r="FJ141" s="1111">
        <f t="shared" si="196"/>
        <v>7.2454271019833146E-3</v>
      </c>
      <c r="FK141" s="1111">
        <f t="shared" si="197"/>
        <v>6.9505048924161398E-3</v>
      </c>
      <c r="FL141" s="1111">
        <f t="shared" si="198"/>
        <v>6.7792745734326625E-3</v>
      </c>
      <c r="FM141" s="1111">
        <f t="shared" si="199"/>
        <v>6.7614590436947796E-3</v>
      </c>
      <c r="FN141" s="1111">
        <f t="shared" si="200"/>
        <v>6.7696746586270798E-3</v>
      </c>
      <c r="FO141" s="1111">
        <f t="shared" si="201"/>
        <v>6.7726755635878367E-3</v>
      </c>
      <c r="FP141" s="1111">
        <f t="shared" si="202"/>
        <v>6.7743517253202531E-3</v>
      </c>
      <c r="FQ141" s="1111">
        <f t="shared" si="203"/>
        <v>6.7743517253202531E-3</v>
      </c>
      <c r="FR141" s="1111">
        <f t="shared" si="133"/>
        <v>0.61148267871181328</v>
      </c>
      <c r="FS141" s="1111">
        <f t="shared" si="134"/>
        <v>0.39117194880015232</v>
      </c>
      <c r="FT141" s="1111">
        <f t="shared" si="135"/>
        <v>0.18975457969516704</v>
      </c>
      <c r="FU141" s="1111">
        <f t="shared" si="136"/>
        <v>8.2885317171187856E-2</v>
      </c>
      <c r="FV141" s="1111">
        <f t="shared" si="137"/>
        <v>5.7116966662940423E-2</v>
      </c>
      <c r="FW141" s="1111">
        <f t="shared" si="138"/>
        <v>5.7153117613824606E-2</v>
      </c>
      <c r="FX141" s="1111">
        <f t="shared" si="139"/>
        <v>5.7169598600272334E-2</v>
      </c>
      <c r="FY141" s="1111">
        <f t="shared" si="140"/>
        <v>5.7183803872516599E-2</v>
      </c>
      <c r="FZ141" s="1111">
        <f t="shared" si="141"/>
        <v>5.7191439771356024E-2</v>
      </c>
      <c r="GA141" s="1111">
        <f t="shared" si="142"/>
        <v>5.7193759057646294E-2</v>
      </c>
      <c r="GB141" s="1111">
        <f t="shared" si="143"/>
        <v>5.7193759057646294E-2</v>
      </c>
      <c r="GC141" s="1111">
        <f t="shared" si="164"/>
        <v>0.52790357673411381</v>
      </c>
      <c r="GD141" s="1111">
        <f t="shared" si="165"/>
        <v>0.32533157112020911</v>
      </c>
      <c r="GE141" s="1111">
        <f t="shared" si="166"/>
        <v>0.14004218938055349</v>
      </c>
      <c r="GF141" s="1111">
        <f t="shared" si="167"/>
        <v>4.1625850525441974E-2</v>
      </c>
      <c r="GG141" s="1111">
        <f t="shared" si="168"/>
        <v>1.7845431213806467E-2</v>
      </c>
      <c r="GH141" s="1111">
        <f t="shared" si="169"/>
        <v>1.786151134365236E-2</v>
      </c>
      <c r="GI141" s="1111">
        <f t="shared" si="170"/>
        <v>1.7871496037663956E-2</v>
      </c>
      <c r="GJ141" s="1111">
        <f t="shared" si="171"/>
        <v>1.787787615460654E-2</v>
      </c>
      <c r="GK141" s="1111">
        <f t="shared" si="172"/>
        <v>1.7882855546681935E-2</v>
      </c>
      <c r="GL141" s="1111">
        <f t="shared" si="173"/>
        <v>1.7884358785924939E-2</v>
      </c>
      <c r="GM141" s="1111">
        <f t="shared" si="174"/>
        <v>1.7884358785924939E-2</v>
      </c>
    </row>
    <row r="142" spans="1:195" x14ac:dyDescent="0.2">
      <c r="A142" s="1071" t="str">
        <f>Technologies!B89</f>
        <v>*R2,R3,R4,R5,R6</v>
      </c>
      <c r="B142" s="1071" t="str">
        <f>Technologies!C89</f>
        <v>TCDSLAH</v>
      </c>
      <c r="C142" s="1071" t="str">
        <f>Technologies!D89</f>
        <v>Commercial Truck, Advanced Hybrid Diesel</v>
      </c>
      <c r="D142" s="1071" t="str">
        <f>NewTech!D45</f>
        <v>bn-vmt, bn-vmt/a</v>
      </c>
      <c r="E142" s="1071" t="str">
        <f>NewTech!E45</f>
        <v>TCDSL</v>
      </c>
      <c r="F142" s="1071" t="str">
        <f>NewTech!F45</f>
        <v>TC</v>
      </c>
      <c r="G142" s="1110" t="s">
        <v>502</v>
      </c>
      <c r="H142" s="1110" t="s">
        <v>499</v>
      </c>
      <c r="I142" s="1112">
        <v>1</v>
      </c>
      <c r="J142" s="1111" t="str">
        <f t="shared" si="37"/>
        <v>Commercial Truck-DSL</v>
      </c>
      <c r="K142" s="1111">
        <v>908.69783207209889</v>
      </c>
      <c r="L142" s="1111">
        <v>906.61489941339516</v>
      </c>
      <c r="M142" s="1111">
        <v>881.78957745737841</v>
      </c>
      <c r="N142" s="1111">
        <v>850.63725884797645</v>
      </c>
      <c r="O142" s="1111">
        <v>829.68121667825164</v>
      </c>
      <c r="P142" s="1111">
        <v>827.50086722650212</v>
      </c>
      <c r="Q142" s="1111">
        <v>828.50634553485077</v>
      </c>
      <c r="R142" s="1111">
        <v>828.87353106298963</v>
      </c>
      <c r="S142" s="1111">
        <v>829.07871983516236</v>
      </c>
      <c r="T142" s="1111">
        <f t="shared" si="131"/>
        <v>829.07871983516236</v>
      </c>
      <c r="U142" s="1111">
        <v>5.2139962727482114</v>
      </c>
      <c r="V142" s="1111">
        <v>2.7512017664812314</v>
      </c>
      <c r="W142" s="1111">
        <v>1.4168974870982729</v>
      </c>
      <c r="X142" s="1111">
        <v>0.70145312651502723</v>
      </c>
      <c r="Y142" s="1111">
        <v>0.50742778351018847</v>
      </c>
      <c r="Z142" s="1111">
        <v>0.41920635912374266</v>
      </c>
      <c r="AA142" s="1111">
        <v>0.416693455291543</v>
      </c>
      <c r="AB142" s="1111">
        <v>0.41681223009438972</v>
      </c>
      <c r="AC142" s="1111">
        <v>0.4169289722702062</v>
      </c>
      <c r="AD142" s="1111">
        <f t="shared" si="132"/>
        <v>0.4169289722702062</v>
      </c>
      <c r="AE142" s="1111">
        <v>6.8463897949922359E-2</v>
      </c>
      <c r="AF142" s="1111">
        <v>7.8371168577352004E-3</v>
      </c>
      <c r="AG142" s="1111">
        <v>7.6094356696856033E-3</v>
      </c>
      <c r="AH142" s="1111">
        <v>7.2454271019833146E-3</v>
      </c>
      <c r="AI142" s="1111">
        <v>6.9505048924161398E-3</v>
      </c>
      <c r="AJ142" s="1111">
        <v>6.7792745734326625E-3</v>
      </c>
      <c r="AK142" s="1111">
        <v>6.7614590436947796E-3</v>
      </c>
      <c r="AL142" s="1111">
        <v>6.7696746586270798E-3</v>
      </c>
      <c r="AM142" s="1111">
        <v>6.7726755635878367E-3</v>
      </c>
      <c r="AN142" s="1111">
        <v>6.7743517253202531E-3</v>
      </c>
      <c r="AO142" s="1111">
        <v>6.7743517253202531E-3</v>
      </c>
      <c r="AP142" s="1111">
        <v>0.61148267871181328</v>
      </c>
      <c r="AQ142" s="1111">
        <v>0.39117194880015232</v>
      </c>
      <c r="AR142" s="1111">
        <v>0.18975457969516704</v>
      </c>
      <c r="AS142" s="1111">
        <v>8.2885317171187856E-2</v>
      </c>
      <c r="AT142" s="1111">
        <v>5.7116966662940423E-2</v>
      </c>
      <c r="AU142" s="1111">
        <v>5.7153117613824606E-2</v>
      </c>
      <c r="AV142" s="1111">
        <v>5.7169598600272334E-2</v>
      </c>
      <c r="AW142" s="1111">
        <v>5.7183803872516599E-2</v>
      </c>
      <c r="AX142" s="1111">
        <v>5.7191439771356024E-2</v>
      </c>
      <c r="AY142" s="1111">
        <v>5.7193759057646294E-2</v>
      </c>
      <c r="AZ142" s="1111">
        <v>5.7193759057646294E-2</v>
      </c>
      <c r="BA142" s="1111">
        <v>0.52790357673411381</v>
      </c>
      <c r="BB142" s="1111">
        <v>0.32533157112020911</v>
      </c>
      <c r="BC142" s="1111">
        <v>0.14004218938055349</v>
      </c>
      <c r="BD142" s="1111">
        <v>4.1625850525441974E-2</v>
      </c>
      <c r="BE142" s="1111">
        <v>1.7845431213806467E-2</v>
      </c>
      <c r="BF142" s="1111">
        <v>1.786151134365236E-2</v>
      </c>
      <c r="BG142" s="1111">
        <v>1.7871496037663956E-2</v>
      </c>
      <c r="BH142" s="1111">
        <v>1.787787615460654E-2</v>
      </c>
      <c r="BI142" s="1111">
        <v>1.7882855546681935E-2</v>
      </c>
      <c r="BJ142" s="1111">
        <v>1.7884358785924939E-2</v>
      </c>
      <c r="BK142" s="1111">
        <v>1.7884358785924939E-2</v>
      </c>
      <c r="BL142" s="1111">
        <v>3.5974830741457904</v>
      </c>
      <c r="BM142" s="1111">
        <v>3.0750268451008234</v>
      </c>
      <c r="BN142" s="1111">
        <v>1.6146303554729917</v>
      </c>
      <c r="BO142" s="1111">
        <v>0.63426523602103568</v>
      </c>
      <c r="BP142" s="1111">
        <v>0.38711728873960771</v>
      </c>
      <c r="BQ142" s="1111">
        <v>0.38785544647202291</v>
      </c>
      <c r="BR142" s="1111">
        <v>0.38792567793249733</v>
      </c>
      <c r="BS142" s="1111">
        <v>0.38800892401614789</v>
      </c>
      <c r="BT142" s="1111">
        <v>0.38802100372153886</v>
      </c>
      <c r="BU142" s="1111">
        <v>0.38807032300021443</v>
      </c>
      <c r="BV142" s="1111">
        <v>0.38807032300021443</v>
      </c>
      <c r="BW142" s="1111">
        <v>1.2190046544990303</v>
      </c>
      <c r="BX142" s="1111">
        <v>0.93631185078121426</v>
      </c>
      <c r="BY142" s="1111">
        <v>0.44062981776208715</v>
      </c>
      <c r="BZ142" s="1111">
        <v>0.15783288647989238</v>
      </c>
      <c r="CA142" s="1111">
        <v>9.2631328054864404E-2</v>
      </c>
      <c r="CB142" s="1111">
        <v>9.291285787801859E-2</v>
      </c>
      <c r="CC142" s="1111">
        <v>9.2995513611799391E-2</v>
      </c>
      <c r="CD142" s="1111">
        <v>9.3160535241501252E-2</v>
      </c>
      <c r="CE142" s="1111">
        <v>9.3202964162877613E-2</v>
      </c>
      <c r="CF142" s="1111">
        <v>9.325018215317854E-2</v>
      </c>
      <c r="CG142" s="1111">
        <v>9.325018215317854E-2</v>
      </c>
      <c r="CH142" s="1111">
        <v>2.661098514978626E-2</v>
      </c>
      <c r="CI142" s="1111">
        <v>2.6939622846400731E-2</v>
      </c>
      <c r="CJ142" s="1111">
        <v>2.702747651183203E-2</v>
      </c>
      <c r="CK142" s="1111">
        <v>2.6765223957059211E-2</v>
      </c>
      <c r="CL142" s="1111">
        <v>2.6571897307438173E-2</v>
      </c>
      <c r="CM142" s="1111">
        <v>2.6521903997847492E-2</v>
      </c>
      <c r="CN142" s="1111">
        <v>2.6505066621953566E-2</v>
      </c>
      <c r="CO142" s="1111">
        <v>2.6484451280636884E-2</v>
      </c>
      <c r="CP142" s="1111">
        <v>2.6477614550331839E-2</v>
      </c>
      <c r="CQ142" s="1111">
        <v>2.6474843409717168E-2</v>
      </c>
      <c r="CR142" s="1111">
        <v>2.6474843409717168E-2</v>
      </c>
      <c r="CS142" s="1111">
        <v>7.9929049386421758</v>
      </c>
      <c r="CT142" s="1111">
        <v>5.2139962727482114</v>
      </c>
      <c r="CU142" s="1111">
        <v>2.7512017664812314</v>
      </c>
      <c r="CV142" s="1111">
        <v>1.4168974870982729</v>
      </c>
      <c r="CW142" s="1111">
        <v>0.70145312651502723</v>
      </c>
      <c r="CX142" s="1111">
        <v>0.50742778351018847</v>
      </c>
      <c r="CY142" s="1111">
        <v>0.41920635912374266</v>
      </c>
      <c r="CZ142" s="1111">
        <v>0.416693455291543</v>
      </c>
      <c r="DA142" s="1111">
        <v>0.41681223009438972</v>
      </c>
      <c r="DB142" s="1111">
        <v>0.4169289722702062</v>
      </c>
      <c r="DC142" s="1111">
        <v>0.4169289722702062</v>
      </c>
      <c r="DD142" s="1111">
        <v>0.25873294909838251</v>
      </c>
      <c r="DE142" s="1111">
        <v>0.16634522711189528</v>
      </c>
      <c r="DF142" s="1111">
        <v>6.8973280441623402E-2</v>
      </c>
      <c r="DG142" s="1111">
        <v>1.4120711914901326E-2</v>
      </c>
      <c r="DH142" s="1111">
        <v>1.0786154126645024E-3</v>
      </c>
      <c r="DI142" s="1111">
        <v>1.0798206480206708E-3</v>
      </c>
      <c r="DJ142" s="1111">
        <v>1.0806436140692415E-3</v>
      </c>
      <c r="DK142" s="1111">
        <v>1.0811237394477437E-3</v>
      </c>
      <c r="DL142" s="1111">
        <v>1.0815414578773603E-3</v>
      </c>
      <c r="DM142" s="1111">
        <v>1.0816675000683419E-3</v>
      </c>
      <c r="DN142" s="1111">
        <v>1.0816675000683419E-3</v>
      </c>
      <c r="DO142" s="1111">
        <v>0.18317933376405696</v>
      </c>
      <c r="DP142" s="1111">
        <v>0.10817226425131846</v>
      </c>
      <c r="DQ142" s="1111">
        <v>4.2897509083896078E-2</v>
      </c>
      <c r="DR142" s="1111">
        <v>9.8427764521391691E-3</v>
      </c>
      <c r="DS142" s="1111">
        <v>1.8753217886179215E-3</v>
      </c>
      <c r="DT142" s="1111">
        <v>1.8774174016461178E-3</v>
      </c>
      <c r="DU142" s="1111">
        <v>1.8788482002027062E-3</v>
      </c>
      <c r="DV142" s="1111">
        <v>1.8796829497760693E-3</v>
      </c>
      <c r="DW142" s="1111">
        <v>1.8804092326395766E-3</v>
      </c>
      <c r="DX142" s="1111">
        <v>1.8806282411271804E-3</v>
      </c>
      <c r="DY142" s="1111">
        <v>1.8806282411271804E-3</v>
      </c>
      <c r="DZ142" s="1111">
        <v>2.990484748962271E-3</v>
      </c>
      <c r="EA142" s="1111">
        <v>2.0041319027002614E-2</v>
      </c>
      <c r="EB142" s="1111">
        <v>5.5154555326277478E-2</v>
      </c>
      <c r="EC142" s="1111">
        <v>7.9842035131440711E-2</v>
      </c>
      <c r="ED142" s="1111">
        <v>8.207820883427723E-2</v>
      </c>
      <c r="EE142" s="1111">
        <v>8.2736327421338809E-2</v>
      </c>
      <c r="EF142" s="1111">
        <v>8.284453674681673E-2</v>
      </c>
      <c r="EG142" s="1111">
        <v>8.2980744666497547E-2</v>
      </c>
      <c r="EH142" s="1111">
        <v>8.3010694108555369E-2</v>
      </c>
      <c r="EI142" s="1111">
        <v>8.3052501766220296E-2</v>
      </c>
      <c r="EJ142" s="1111">
        <v>8.3052501766220296E-2</v>
      </c>
      <c r="EK142" s="1111">
        <v>898.33328538410353</v>
      </c>
      <c r="EL142" s="1111">
        <f t="shared" si="154"/>
        <v>908.69783207209889</v>
      </c>
      <c r="EM142" s="1111">
        <f t="shared" si="155"/>
        <v>906.61489941339516</v>
      </c>
      <c r="EN142" s="1111">
        <f t="shared" si="156"/>
        <v>881.78957745737841</v>
      </c>
      <c r="EO142" s="1111">
        <f t="shared" si="157"/>
        <v>850.63725884797645</v>
      </c>
      <c r="EP142" s="1111">
        <f t="shared" si="158"/>
        <v>829.68121667825164</v>
      </c>
      <c r="EQ142" s="1111">
        <f t="shared" si="159"/>
        <v>827.50086722650212</v>
      </c>
      <c r="ER142" s="1111">
        <f t="shared" si="160"/>
        <v>828.50634553485077</v>
      </c>
      <c r="ES142" s="1111">
        <f t="shared" si="161"/>
        <v>828.87353106298963</v>
      </c>
      <c r="ET142" s="1111">
        <f t="shared" si="162"/>
        <v>829.07871983516236</v>
      </c>
      <c r="EU142" s="1111">
        <f t="shared" si="163"/>
        <v>829.07871983516236</v>
      </c>
      <c r="EV142" s="1111">
        <v>7.9929049386421758</v>
      </c>
      <c r="EW142" s="1111">
        <f t="shared" si="144"/>
        <v>5.2139962727482114</v>
      </c>
      <c r="EX142" s="1111">
        <f t="shared" si="145"/>
        <v>2.7512017664812314</v>
      </c>
      <c r="EY142" s="1111">
        <f t="shared" si="146"/>
        <v>1.4168974870982729</v>
      </c>
      <c r="EZ142" s="1111">
        <f t="shared" si="147"/>
        <v>0.70145312651502723</v>
      </c>
      <c r="FA142" s="1111">
        <f t="shared" si="148"/>
        <v>0.50742778351018847</v>
      </c>
      <c r="FB142" s="1111">
        <f t="shared" si="149"/>
        <v>0.41920635912374266</v>
      </c>
      <c r="FC142" s="1111">
        <f t="shared" si="150"/>
        <v>0.416693455291543</v>
      </c>
      <c r="FD142" s="1111">
        <f t="shared" si="151"/>
        <v>0.41681223009438972</v>
      </c>
      <c r="FE142" s="1111">
        <f t="shared" si="152"/>
        <v>0.4169289722702062</v>
      </c>
      <c r="FF142" s="1111">
        <f t="shared" si="153"/>
        <v>0.4169289722702062</v>
      </c>
      <c r="FG142" s="1111">
        <f t="shared" si="193"/>
        <v>6.8463897949922359E-2</v>
      </c>
      <c r="FH142" s="1111">
        <f t="shared" si="194"/>
        <v>7.8371168577352004E-3</v>
      </c>
      <c r="FI142" s="1111">
        <f t="shared" si="195"/>
        <v>7.6094356696856033E-3</v>
      </c>
      <c r="FJ142" s="1111">
        <f t="shared" si="196"/>
        <v>7.2454271019833146E-3</v>
      </c>
      <c r="FK142" s="1111">
        <f t="shared" si="197"/>
        <v>6.9505048924161398E-3</v>
      </c>
      <c r="FL142" s="1111">
        <f t="shared" si="198"/>
        <v>6.7792745734326625E-3</v>
      </c>
      <c r="FM142" s="1111">
        <f t="shared" si="199"/>
        <v>6.7614590436947796E-3</v>
      </c>
      <c r="FN142" s="1111">
        <f t="shared" si="200"/>
        <v>6.7696746586270798E-3</v>
      </c>
      <c r="FO142" s="1111">
        <f t="shared" si="201"/>
        <v>6.7726755635878367E-3</v>
      </c>
      <c r="FP142" s="1111">
        <f t="shared" si="202"/>
        <v>6.7743517253202531E-3</v>
      </c>
      <c r="FQ142" s="1111">
        <f t="shared" si="203"/>
        <v>6.7743517253202531E-3</v>
      </c>
      <c r="FR142" s="1111">
        <f t="shared" si="133"/>
        <v>0.61148267871181328</v>
      </c>
      <c r="FS142" s="1111">
        <f t="shared" si="134"/>
        <v>0.39117194880015232</v>
      </c>
      <c r="FT142" s="1111">
        <f t="shared" si="135"/>
        <v>0.18975457969516704</v>
      </c>
      <c r="FU142" s="1111">
        <f t="shared" si="136"/>
        <v>8.2885317171187856E-2</v>
      </c>
      <c r="FV142" s="1111">
        <f t="shared" si="137"/>
        <v>5.7116966662940423E-2</v>
      </c>
      <c r="FW142" s="1111">
        <f t="shared" si="138"/>
        <v>5.7153117613824606E-2</v>
      </c>
      <c r="FX142" s="1111">
        <f t="shared" si="139"/>
        <v>5.7169598600272334E-2</v>
      </c>
      <c r="FY142" s="1111">
        <f t="shared" si="140"/>
        <v>5.7183803872516599E-2</v>
      </c>
      <c r="FZ142" s="1111">
        <f t="shared" si="141"/>
        <v>5.7191439771356024E-2</v>
      </c>
      <c r="GA142" s="1111">
        <f t="shared" si="142"/>
        <v>5.7193759057646294E-2</v>
      </c>
      <c r="GB142" s="1111">
        <f t="shared" si="143"/>
        <v>5.7193759057646294E-2</v>
      </c>
      <c r="GC142" s="1111">
        <f t="shared" si="164"/>
        <v>0.52790357673411381</v>
      </c>
      <c r="GD142" s="1111">
        <f t="shared" si="165"/>
        <v>0.32533157112020911</v>
      </c>
      <c r="GE142" s="1111">
        <f t="shared" si="166"/>
        <v>0.14004218938055349</v>
      </c>
      <c r="GF142" s="1111">
        <f t="shared" si="167"/>
        <v>4.1625850525441974E-2</v>
      </c>
      <c r="GG142" s="1111">
        <f t="shared" si="168"/>
        <v>1.7845431213806467E-2</v>
      </c>
      <c r="GH142" s="1111">
        <f t="shared" si="169"/>
        <v>1.786151134365236E-2</v>
      </c>
      <c r="GI142" s="1111">
        <f t="shared" si="170"/>
        <v>1.7871496037663956E-2</v>
      </c>
      <c r="GJ142" s="1111">
        <f t="shared" si="171"/>
        <v>1.787787615460654E-2</v>
      </c>
      <c r="GK142" s="1111">
        <f t="shared" si="172"/>
        <v>1.7882855546681935E-2</v>
      </c>
      <c r="GL142" s="1111">
        <f t="shared" si="173"/>
        <v>1.7884358785924939E-2</v>
      </c>
      <c r="GM142" s="1111">
        <f t="shared" si="174"/>
        <v>1.7884358785924939E-2</v>
      </c>
    </row>
    <row r="143" spans="1:195" x14ac:dyDescent="0.2">
      <c r="A143" s="1071" t="str">
        <f>Technologies!B90</f>
        <v>*R2,R3,R4,R5,R6</v>
      </c>
      <c r="B143" s="1071" t="str">
        <f>Technologies!C90</f>
        <v>TCB20C10</v>
      </c>
      <c r="C143" s="1071" t="str">
        <f>Technologies!D90</f>
        <v>Commercial Truck, B20 2010</v>
      </c>
      <c r="D143" s="1071" t="str">
        <f>NewTech!D46</f>
        <v>bn-vmt, bn-vmt/a</v>
      </c>
      <c r="E143" s="1071" t="str">
        <f>NewTech!E46</f>
        <v>TCB20X</v>
      </c>
      <c r="F143" s="1071" t="str">
        <f>NewTech!F46</f>
        <v>TC</v>
      </c>
      <c r="G143" s="1110" t="s">
        <v>502</v>
      </c>
      <c r="H143" s="1110" t="s">
        <v>507</v>
      </c>
      <c r="I143" s="1112">
        <v>1</v>
      </c>
      <c r="J143" s="1111" t="str">
        <f t="shared" si="37"/>
        <v>Commercial Truck-B20</v>
      </c>
      <c r="K143" s="1111">
        <v>904.15211202890885</v>
      </c>
      <c r="L143" s="1111">
        <v>902.07970134273387</v>
      </c>
      <c r="M143" s="1111">
        <v>877.37850702077742</v>
      </c>
      <c r="N143" s="1111">
        <v>846.38208742378254</v>
      </c>
      <c r="O143" s="1111">
        <v>825.53082910607066</v>
      </c>
      <c r="P143" s="1111">
        <v>823.36144623107839</v>
      </c>
      <c r="Q143" s="1111">
        <v>824.36179729522166</v>
      </c>
      <c r="R143" s="1111">
        <v>824.7271828737006</v>
      </c>
      <c r="S143" s="1111">
        <v>824.93141367868941</v>
      </c>
      <c r="T143" s="1111">
        <f t="shared" si="131"/>
        <v>824.93141367868941</v>
      </c>
      <c r="U143" s="1111">
        <v>5.3147097345693233</v>
      </c>
      <c r="V143" s="1111">
        <v>2.7921553078441477</v>
      </c>
      <c r="W143" s="1111">
        <v>1.4245413064957047</v>
      </c>
      <c r="X143" s="1111">
        <v>0.70145312651502723</v>
      </c>
      <c r="Y143" s="1111">
        <v>0.50742778351018847</v>
      </c>
      <c r="Z143" s="1111">
        <v>0.41920635912374266</v>
      </c>
      <c r="AA143" s="1111">
        <v>0.416693455291543</v>
      </c>
      <c r="AB143" s="1111">
        <v>0.41681223009438972</v>
      </c>
      <c r="AC143" s="1111">
        <v>0.4169289722702062</v>
      </c>
      <c r="AD143" s="1111">
        <f t="shared" si="132"/>
        <v>0.4169289722702062</v>
      </c>
      <c r="AE143" s="1111">
        <v>7.1710100543807317E-2</v>
      </c>
      <c r="AF143" s="1111">
        <v>8.2087119393619672E-3</v>
      </c>
      <c r="AG143" s="1111">
        <v>7.9702357601474389E-3</v>
      </c>
      <c r="AH143" s="1111">
        <v>7.5889677775865813E-3</v>
      </c>
      <c r="AI143" s="1111">
        <v>7.2800620985492819E-3</v>
      </c>
      <c r="AJ143" s="1111">
        <v>7.1007126189560326E-3</v>
      </c>
      <c r="AK143" s="1111">
        <v>7.0820527928422026E-3</v>
      </c>
      <c r="AL143" s="1111">
        <v>7.0906571180729345E-3</v>
      </c>
      <c r="AM143" s="1111">
        <v>7.0938003815583812E-3</v>
      </c>
      <c r="AN143" s="1111">
        <v>7.0955562841129539E-3</v>
      </c>
      <c r="AO143" s="1111">
        <v>7.0955562841129539E-3</v>
      </c>
      <c r="AP143" s="1111">
        <v>0.52481319338510679</v>
      </c>
      <c r="AQ143" s="1111">
        <v>0.33780611541416833</v>
      </c>
      <c r="AR143" s="1111">
        <v>0.16841881012932855</v>
      </c>
      <c r="AS143" s="1111">
        <v>7.8780476854833692E-2</v>
      </c>
      <c r="AT143" s="1111">
        <v>5.7116966662940423E-2</v>
      </c>
      <c r="AU143" s="1111">
        <v>5.7153117613824606E-2</v>
      </c>
      <c r="AV143" s="1111">
        <v>5.7169598600272334E-2</v>
      </c>
      <c r="AW143" s="1111">
        <v>5.7183803872516599E-2</v>
      </c>
      <c r="AX143" s="1111">
        <v>5.7191439771356024E-2</v>
      </c>
      <c r="AY143" s="1111">
        <v>5.7193759057646294E-2</v>
      </c>
      <c r="AZ143" s="1111">
        <v>5.7193759057646294E-2</v>
      </c>
      <c r="BA143" s="1111">
        <v>0.44816786231686073</v>
      </c>
      <c r="BB143" s="1111">
        <v>0.27623517131439307</v>
      </c>
      <c r="BC143" s="1111">
        <v>0.1204133428736722</v>
      </c>
      <c r="BD143" s="1111">
        <v>3.7849405993387868E-2</v>
      </c>
      <c r="BE143" s="1111">
        <v>1.7845431213806467E-2</v>
      </c>
      <c r="BF143" s="1111">
        <v>1.786151134365236E-2</v>
      </c>
      <c r="BG143" s="1111">
        <v>1.7871496037663956E-2</v>
      </c>
      <c r="BH143" s="1111">
        <v>1.787787615460654E-2</v>
      </c>
      <c r="BI143" s="1111">
        <v>1.7882855546681935E-2</v>
      </c>
      <c r="BJ143" s="1111">
        <v>1.7884358785924939E-2</v>
      </c>
      <c r="BK143" s="1111">
        <v>1.7884358785924939E-2</v>
      </c>
      <c r="BL143" s="1111">
        <v>3.101030285517373</v>
      </c>
      <c r="BM143" s="1111">
        <v>2.6629158444178538</v>
      </c>
      <c r="BN143" s="1111">
        <v>1.4311186013242099</v>
      </c>
      <c r="BO143" s="1111">
        <v>0.60112372719342755</v>
      </c>
      <c r="BP143" s="1111">
        <v>0.38711728873960771</v>
      </c>
      <c r="BQ143" s="1111">
        <v>0.38785544647202291</v>
      </c>
      <c r="BR143" s="1111">
        <v>0.38792567793249733</v>
      </c>
      <c r="BS143" s="1111">
        <v>0.38800892401614789</v>
      </c>
      <c r="BT143" s="1111">
        <v>0.38802100372153886</v>
      </c>
      <c r="BU143" s="1111">
        <v>0.38807032300021443</v>
      </c>
      <c r="BV143" s="1111">
        <v>0.38807032300021443</v>
      </c>
      <c r="BW143" s="1111">
        <v>1.0509842156551279</v>
      </c>
      <c r="BX143" s="1111">
        <v>0.81004015020910114</v>
      </c>
      <c r="BY143" s="1111">
        <v>0.38884835805448303</v>
      </c>
      <c r="BZ143" s="1111">
        <v>0.1491860598916217</v>
      </c>
      <c r="CA143" s="1111">
        <v>9.3412434935629826E-2</v>
      </c>
      <c r="CB143" s="1111">
        <v>9.3678359691283811E-2</v>
      </c>
      <c r="CC143" s="1111">
        <v>9.3760175050730032E-2</v>
      </c>
      <c r="CD143" s="1111">
        <v>9.3927028766089479E-2</v>
      </c>
      <c r="CE143" s="1111">
        <v>9.3970151434713559E-2</v>
      </c>
      <c r="CF143" s="1111">
        <v>9.4017768926574333E-2</v>
      </c>
      <c r="CG143" s="1111">
        <v>9.4017768926574333E-2</v>
      </c>
      <c r="CH143" s="1111">
        <v>2.661098514978626E-2</v>
      </c>
      <c r="CI143" s="1111">
        <v>2.6939622846400731E-2</v>
      </c>
      <c r="CJ143" s="1111">
        <v>2.702747651183203E-2</v>
      </c>
      <c r="CK143" s="1111">
        <v>2.6765223957059211E-2</v>
      </c>
      <c r="CL143" s="1111">
        <v>2.6571897307438173E-2</v>
      </c>
      <c r="CM143" s="1111">
        <v>2.6521903997847492E-2</v>
      </c>
      <c r="CN143" s="1111">
        <v>2.6505066621953566E-2</v>
      </c>
      <c r="CO143" s="1111">
        <v>2.6484451280636884E-2</v>
      </c>
      <c r="CP143" s="1111">
        <v>2.6477614550331839E-2</v>
      </c>
      <c r="CQ143" s="1111">
        <v>2.6474843409717168E-2</v>
      </c>
      <c r="CR143" s="1111">
        <v>2.6474843409717168E-2</v>
      </c>
      <c r="CS143" s="1111">
        <v>8.1687487829942445</v>
      </c>
      <c r="CT143" s="1111">
        <v>5.3147097345693233</v>
      </c>
      <c r="CU143" s="1111">
        <v>2.7921553078441477</v>
      </c>
      <c r="CV143" s="1111">
        <v>1.4245413064957047</v>
      </c>
      <c r="CW143" s="1111">
        <v>0.70145312651502723</v>
      </c>
      <c r="CX143" s="1111">
        <v>0.50742778351018847</v>
      </c>
      <c r="CY143" s="1111">
        <v>0.41920635912374266</v>
      </c>
      <c r="CZ143" s="1111">
        <v>0.416693455291543</v>
      </c>
      <c r="DA143" s="1111">
        <v>0.41681223009438972</v>
      </c>
      <c r="DB143" s="1111">
        <v>0.4169289722702062</v>
      </c>
      <c r="DC143" s="1111">
        <v>0.4169289722702062</v>
      </c>
      <c r="DD143" s="1111">
        <v>0.21837061920318013</v>
      </c>
      <c r="DE143" s="1111">
        <v>0.14042626190778301</v>
      </c>
      <c r="DF143" s="1111">
        <v>5.8317141622253502E-2</v>
      </c>
      <c r="DG143" s="1111">
        <v>1.2077561637204866E-2</v>
      </c>
      <c r="DH143" s="1111">
        <v>1.0786154126645024E-3</v>
      </c>
      <c r="DI143" s="1111">
        <v>1.0798206480206708E-3</v>
      </c>
      <c r="DJ143" s="1111">
        <v>1.0806436140692415E-3</v>
      </c>
      <c r="DK143" s="1111">
        <v>1.0811237394477437E-3</v>
      </c>
      <c r="DL143" s="1111">
        <v>1.0815414578773603E-3</v>
      </c>
      <c r="DM143" s="1111">
        <v>1.0816675000683419E-3</v>
      </c>
      <c r="DN143" s="1111">
        <v>1.0816675000683419E-3</v>
      </c>
      <c r="DO143" s="1111">
        <v>0.15460335485307658</v>
      </c>
      <c r="DP143" s="1111">
        <v>9.1351101221954514E-2</v>
      </c>
      <c r="DQ143" s="1111">
        <v>3.6385783023508755E-2</v>
      </c>
      <c r="DR143" s="1111">
        <v>8.5849307959040538E-3</v>
      </c>
      <c r="DS143" s="1111">
        <v>1.8753217886179215E-3</v>
      </c>
      <c r="DT143" s="1111">
        <v>1.8774174016461178E-3</v>
      </c>
      <c r="DU143" s="1111">
        <v>1.8788482002027062E-3</v>
      </c>
      <c r="DV143" s="1111">
        <v>1.8796829497760693E-3</v>
      </c>
      <c r="DW143" s="1111">
        <v>1.8804092326395766E-3</v>
      </c>
      <c r="DX143" s="1111">
        <v>1.8806282411271804E-3</v>
      </c>
      <c r="DY143" s="1111">
        <v>1.8806282411271804E-3</v>
      </c>
      <c r="DZ143" s="1111">
        <v>2.568826503389016E-3</v>
      </c>
      <c r="EA143" s="1111">
        <v>1.9755684080228399E-2</v>
      </c>
      <c r="EB143" s="1111">
        <v>5.5022001924365987E-2</v>
      </c>
      <c r="EC143" s="1111">
        <v>7.9815471305839658E-2</v>
      </c>
      <c r="ED143" s="1111">
        <v>8.207820883427723E-2</v>
      </c>
      <c r="EE143" s="1111">
        <v>8.2736327421338809E-2</v>
      </c>
      <c r="EF143" s="1111">
        <v>8.284453674681673E-2</v>
      </c>
      <c r="EG143" s="1111">
        <v>8.2980744666497547E-2</v>
      </c>
      <c r="EH143" s="1111">
        <v>8.3010694108555369E-2</v>
      </c>
      <c r="EI143" s="1111">
        <v>8.3052501766220296E-2</v>
      </c>
      <c r="EJ143" s="1111">
        <v>8.3052501766220296E-2</v>
      </c>
      <c r="EK143" s="1111">
        <v>893.83947423062045</v>
      </c>
      <c r="EL143" s="1111">
        <f t="shared" si="154"/>
        <v>904.15211202890885</v>
      </c>
      <c r="EM143" s="1111">
        <f t="shared" si="155"/>
        <v>902.07970134273387</v>
      </c>
      <c r="EN143" s="1111">
        <f t="shared" si="156"/>
        <v>877.37850702077742</v>
      </c>
      <c r="EO143" s="1111">
        <f t="shared" si="157"/>
        <v>846.38208742378254</v>
      </c>
      <c r="EP143" s="1111">
        <f t="shared" si="158"/>
        <v>825.53082910607066</v>
      </c>
      <c r="EQ143" s="1111">
        <f t="shared" si="159"/>
        <v>823.36144623107839</v>
      </c>
      <c r="ER143" s="1111">
        <f t="shared" si="160"/>
        <v>824.36179729522166</v>
      </c>
      <c r="ES143" s="1111">
        <f t="shared" si="161"/>
        <v>824.7271828737006</v>
      </c>
      <c r="ET143" s="1111">
        <f t="shared" si="162"/>
        <v>824.93141367868941</v>
      </c>
      <c r="EU143" s="1111">
        <f t="shared" si="163"/>
        <v>824.93141367868941</v>
      </c>
      <c r="EV143" s="1111">
        <v>8.1687487829942445</v>
      </c>
      <c r="EW143" s="1111">
        <f t="shared" si="144"/>
        <v>5.3147097345693233</v>
      </c>
      <c r="EX143" s="1111">
        <f t="shared" si="145"/>
        <v>2.7921553078441477</v>
      </c>
      <c r="EY143" s="1111">
        <f t="shared" si="146"/>
        <v>1.4245413064957047</v>
      </c>
      <c r="EZ143" s="1111">
        <f t="shared" si="147"/>
        <v>0.70145312651502723</v>
      </c>
      <c r="FA143" s="1111">
        <f t="shared" si="148"/>
        <v>0.50742778351018847</v>
      </c>
      <c r="FB143" s="1111">
        <f t="shared" si="149"/>
        <v>0.41920635912374266</v>
      </c>
      <c r="FC143" s="1111">
        <f t="shared" si="150"/>
        <v>0.416693455291543</v>
      </c>
      <c r="FD143" s="1111">
        <f t="shared" si="151"/>
        <v>0.41681223009438972</v>
      </c>
      <c r="FE143" s="1111">
        <f t="shared" si="152"/>
        <v>0.4169289722702062</v>
      </c>
      <c r="FF143" s="1111">
        <f t="shared" si="153"/>
        <v>0.4169289722702062</v>
      </c>
      <c r="FG143" s="1111">
        <f t="shared" si="193"/>
        <v>7.1710100543807317E-2</v>
      </c>
      <c r="FH143" s="1111">
        <f t="shared" si="194"/>
        <v>8.2087119393619672E-3</v>
      </c>
      <c r="FI143" s="1111">
        <f t="shared" si="195"/>
        <v>7.9702357601474389E-3</v>
      </c>
      <c r="FJ143" s="1111">
        <f t="shared" si="196"/>
        <v>7.5889677775865813E-3</v>
      </c>
      <c r="FK143" s="1111">
        <f t="shared" si="197"/>
        <v>7.2800620985492819E-3</v>
      </c>
      <c r="FL143" s="1111">
        <f t="shared" si="198"/>
        <v>7.1007126189560326E-3</v>
      </c>
      <c r="FM143" s="1111">
        <f t="shared" si="199"/>
        <v>7.0820527928422026E-3</v>
      </c>
      <c r="FN143" s="1111">
        <f t="shared" si="200"/>
        <v>7.0906571180729345E-3</v>
      </c>
      <c r="FO143" s="1111">
        <f t="shared" si="201"/>
        <v>7.0938003815583812E-3</v>
      </c>
      <c r="FP143" s="1111">
        <f t="shared" si="202"/>
        <v>7.0955562841129539E-3</v>
      </c>
      <c r="FQ143" s="1111">
        <f t="shared" si="203"/>
        <v>7.0955562841129539E-3</v>
      </c>
      <c r="FR143" s="1111">
        <f t="shared" si="133"/>
        <v>0.52481319338510679</v>
      </c>
      <c r="FS143" s="1111">
        <f t="shared" si="134"/>
        <v>0.33780611541416833</v>
      </c>
      <c r="FT143" s="1111">
        <f t="shared" si="135"/>
        <v>0.16841881012932855</v>
      </c>
      <c r="FU143" s="1111">
        <f t="shared" si="136"/>
        <v>7.8780476854833692E-2</v>
      </c>
      <c r="FV143" s="1111">
        <f t="shared" si="137"/>
        <v>5.7116966662940423E-2</v>
      </c>
      <c r="FW143" s="1111">
        <f t="shared" si="138"/>
        <v>5.7153117613824606E-2</v>
      </c>
      <c r="FX143" s="1111">
        <f t="shared" si="139"/>
        <v>5.7169598600272334E-2</v>
      </c>
      <c r="FY143" s="1111">
        <f t="shared" si="140"/>
        <v>5.7183803872516599E-2</v>
      </c>
      <c r="FZ143" s="1111">
        <f t="shared" si="141"/>
        <v>5.7191439771356024E-2</v>
      </c>
      <c r="GA143" s="1111">
        <f t="shared" si="142"/>
        <v>5.7193759057646294E-2</v>
      </c>
      <c r="GB143" s="1111">
        <f t="shared" si="143"/>
        <v>5.7193759057646294E-2</v>
      </c>
      <c r="GC143" s="1111">
        <f t="shared" si="164"/>
        <v>0.44816786231686073</v>
      </c>
      <c r="GD143" s="1111">
        <f t="shared" si="165"/>
        <v>0.27623517131439307</v>
      </c>
      <c r="GE143" s="1111">
        <f t="shared" si="166"/>
        <v>0.1204133428736722</v>
      </c>
      <c r="GF143" s="1111">
        <f t="shared" si="167"/>
        <v>3.7849405993387868E-2</v>
      </c>
      <c r="GG143" s="1111">
        <f t="shared" si="168"/>
        <v>1.7845431213806467E-2</v>
      </c>
      <c r="GH143" s="1111">
        <f t="shared" si="169"/>
        <v>1.786151134365236E-2</v>
      </c>
      <c r="GI143" s="1111">
        <f t="shared" si="170"/>
        <v>1.7871496037663956E-2</v>
      </c>
      <c r="GJ143" s="1111">
        <f t="shared" si="171"/>
        <v>1.787787615460654E-2</v>
      </c>
      <c r="GK143" s="1111">
        <f t="shared" si="172"/>
        <v>1.7882855546681935E-2</v>
      </c>
      <c r="GL143" s="1111">
        <f t="shared" si="173"/>
        <v>1.7884358785924939E-2</v>
      </c>
      <c r="GM143" s="1111">
        <f t="shared" si="174"/>
        <v>1.7884358785924939E-2</v>
      </c>
    </row>
    <row r="144" spans="1:195" x14ac:dyDescent="0.2">
      <c r="A144" s="1071" t="str">
        <f>Technologies!B91</f>
        <v>*R2,R3,R4,R5,R6</v>
      </c>
      <c r="B144" s="1071" t="str">
        <f>Technologies!C91</f>
        <v>TCB20C</v>
      </c>
      <c r="C144" s="1071" t="str">
        <f>Technologies!D91</f>
        <v>Commercial Truck, Conventional B20</v>
      </c>
      <c r="D144" s="1071" t="str">
        <f>NewTech!D47</f>
        <v>bn-vmt, bn-vmt/a</v>
      </c>
      <c r="E144" s="1071" t="str">
        <f>NewTech!E47</f>
        <v>TCB20X</v>
      </c>
      <c r="F144" s="1071" t="str">
        <f>NewTech!F47</f>
        <v>TC</v>
      </c>
      <c r="G144" s="1110" t="s">
        <v>502</v>
      </c>
      <c r="H144" s="1110" t="s">
        <v>507</v>
      </c>
      <c r="I144" s="1112">
        <v>1</v>
      </c>
      <c r="J144" s="1111" t="str">
        <f t="shared" si="37"/>
        <v>Commercial Truck-B20</v>
      </c>
      <c r="K144" s="1111">
        <v>904.15211202890885</v>
      </c>
      <c r="L144" s="1111">
        <v>902.07970134273387</v>
      </c>
      <c r="M144" s="1111">
        <v>877.37850702077742</v>
      </c>
      <c r="N144" s="1111">
        <v>846.38208742378254</v>
      </c>
      <c r="O144" s="1111">
        <v>825.53082910607066</v>
      </c>
      <c r="P144" s="1111">
        <v>823.36144623107839</v>
      </c>
      <c r="Q144" s="1111">
        <v>824.36179729522166</v>
      </c>
      <c r="R144" s="1111">
        <v>824.7271828737006</v>
      </c>
      <c r="S144" s="1111">
        <v>824.93141367868941</v>
      </c>
      <c r="T144" s="1111">
        <f t="shared" si="131"/>
        <v>824.93141367868941</v>
      </c>
      <c r="U144" s="1111">
        <v>5.3147097345693233</v>
      </c>
      <c r="V144" s="1111">
        <v>2.7921553078441477</v>
      </c>
      <c r="W144" s="1111">
        <v>1.4245413064957047</v>
      </c>
      <c r="X144" s="1111">
        <v>0.70145312651502723</v>
      </c>
      <c r="Y144" s="1111">
        <v>0.50742778351018847</v>
      </c>
      <c r="Z144" s="1111">
        <v>0.41920635912374266</v>
      </c>
      <c r="AA144" s="1111">
        <v>0.416693455291543</v>
      </c>
      <c r="AB144" s="1111">
        <v>0.41681223009438972</v>
      </c>
      <c r="AC144" s="1111">
        <v>0.4169289722702062</v>
      </c>
      <c r="AD144" s="1111">
        <f t="shared" si="132"/>
        <v>0.4169289722702062</v>
      </c>
      <c r="AE144" s="1111">
        <v>7.1710100543807317E-2</v>
      </c>
      <c r="AF144" s="1111">
        <v>8.2087119393619672E-3</v>
      </c>
      <c r="AG144" s="1111">
        <v>7.9702357601474389E-3</v>
      </c>
      <c r="AH144" s="1111">
        <v>7.5889677775865813E-3</v>
      </c>
      <c r="AI144" s="1111">
        <v>7.2800620985492819E-3</v>
      </c>
      <c r="AJ144" s="1111">
        <v>7.1007126189560326E-3</v>
      </c>
      <c r="AK144" s="1111">
        <v>7.0820527928422026E-3</v>
      </c>
      <c r="AL144" s="1111">
        <v>7.0906571180729345E-3</v>
      </c>
      <c r="AM144" s="1111">
        <v>7.0938003815583812E-3</v>
      </c>
      <c r="AN144" s="1111">
        <v>7.0955562841129539E-3</v>
      </c>
      <c r="AO144" s="1111">
        <v>7.0955562841129539E-3</v>
      </c>
      <c r="AP144" s="1111">
        <v>0.52481319338510679</v>
      </c>
      <c r="AQ144" s="1111">
        <v>0.33780611541416833</v>
      </c>
      <c r="AR144" s="1111">
        <v>0.16841881012932855</v>
      </c>
      <c r="AS144" s="1111">
        <v>7.8780476854833692E-2</v>
      </c>
      <c r="AT144" s="1111">
        <v>5.7116966662940423E-2</v>
      </c>
      <c r="AU144" s="1111">
        <v>5.7153117613824606E-2</v>
      </c>
      <c r="AV144" s="1111">
        <v>5.7169598600272334E-2</v>
      </c>
      <c r="AW144" s="1111">
        <v>5.7183803872516599E-2</v>
      </c>
      <c r="AX144" s="1111">
        <v>5.7191439771356024E-2</v>
      </c>
      <c r="AY144" s="1111">
        <v>5.7193759057646294E-2</v>
      </c>
      <c r="AZ144" s="1111">
        <v>5.7193759057646294E-2</v>
      </c>
      <c r="BA144" s="1111">
        <v>0.44816786231686073</v>
      </c>
      <c r="BB144" s="1111">
        <v>0.27623517131439307</v>
      </c>
      <c r="BC144" s="1111">
        <v>0.1204133428736722</v>
      </c>
      <c r="BD144" s="1111">
        <v>3.7849405993387868E-2</v>
      </c>
      <c r="BE144" s="1111">
        <v>1.7845431213806467E-2</v>
      </c>
      <c r="BF144" s="1111">
        <v>1.786151134365236E-2</v>
      </c>
      <c r="BG144" s="1111">
        <v>1.7871496037663956E-2</v>
      </c>
      <c r="BH144" s="1111">
        <v>1.787787615460654E-2</v>
      </c>
      <c r="BI144" s="1111">
        <v>1.7882855546681935E-2</v>
      </c>
      <c r="BJ144" s="1111">
        <v>1.7884358785924939E-2</v>
      </c>
      <c r="BK144" s="1111">
        <v>1.7884358785924939E-2</v>
      </c>
      <c r="BL144" s="1111">
        <v>3.101030285517373</v>
      </c>
      <c r="BM144" s="1111">
        <v>2.6629158444178538</v>
      </c>
      <c r="BN144" s="1111">
        <v>1.4311186013242099</v>
      </c>
      <c r="BO144" s="1111">
        <v>0.60112372719342755</v>
      </c>
      <c r="BP144" s="1111">
        <v>0.38711728873960771</v>
      </c>
      <c r="BQ144" s="1111">
        <v>0.38785544647202291</v>
      </c>
      <c r="BR144" s="1111">
        <v>0.38792567793249733</v>
      </c>
      <c r="BS144" s="1111">
        <v>0.38800892401614789</v>
      </c>
      <c r="BT144" s="1111">
        <v>0.38802100372153886</v>
      </c>
      <c r="BU144" s="1111">
        <v>0.38807032300021443</v>
      </c>
      <c r="BV144" s="1111">
        <v>0.38807032300021443</v>
      </c>
      <c r="BW144" s="1111">
        <v>1.0509842156551279</v>
      </c>
      <c r="BX144" s="1111">
        <v>0.81004015020910114</v>
      </c>
      <c r="BY144" s="1111">
        <v>0.38884835805448303</v>
      </c>
      <c r="BZ144" s="1111">
        <v>0.1491860598916217</v>
      </c>
      <c r="CA144" s="1111">
        <v>9.3412434935629826E-2</v>
      </c>
      <c r="CB144" s="1111">
        <v>9.3678359691283811E-2</v>
      </c>
      <c r="CC144" s="1111">
        <v>9.3760175050730032E-2</v>
      </c>
      <c r="CD144" s="1111">
        <v>9.3927028766089479E-2</v>
      </c>
      <c r="CE144" s="1111">
        <v>9.3970151434713559E-2</v>
      </c>
      <c r="CF144" s="1111">
        <v>9.4017768926574333E-2</v>
      </c>
      <c r="CG144" s="1111">
        <v>9.4017768926574333E-2</v>
      </c>
      <c r="CH144" s="1111">
        <v>2.661098514978626E-2</v>
      </c>
      <c r="CI144" s="1111">
        <v>2.6939622846400731E-2</v>
      </c>
      <c r="CJ144" s="1111">
        <v>2.702747651183203E-2</v>
      </c>
      <c r="CK144" s="1111">
        <v>2.6765223957059211E-2</v>
      </c>
      <c r="CL144" s="1111">
        <v>2.6571897307438173E-2</v>
      </c>
      <c r="CM144" s="1111">
        <v>2.6521903997847492E-2</v>
      </c>
      <c r="CN144" s="1111">
        <v>2.6505066621953566E-2</v>
      </c>
      <c r="CO144" s="1111">
        <v>2.6484451280636884E-2</v>
      </c>
      <c r="CP144" s="1111">
        <v>2.6477614550331839E-2</v>
      </c>
      <c r="CQ144" s="1111">
        <v>2.6474843409717168E-2</v>
      </c>
      <c r="CR144" s="1111">
        <v>2.6474843409717168E-2</v>
      </c>
      <c r="CS144" s="1111">
        <v>8.1687487829942445</v>
      </c>
      <c r="CT144" s="1111">
        <v>5.3147097345693233</v>
      </c>
      <c r="CU144" s="1111">
        <v>2.7921553078441477</v>
      </c>
      <c r="CV144" s="1111">
        <v>1.4245413064957047</v>
      </c>
      <c r="CW144" s="1111">
        <v>0.70145312651502723</v>
      </c>
      <c r="CX144" s="1111">
        <v>0.50742778351018847</v>
      </c>
      <c r="CY144" s="1111">
        <v>0.41920635912374266</v>
      </c>
      <c r="CZ144" s="1111">
        <v>0.416693455291543</v>
      </c>
      <c r="DA144" s="1111">
        <v>0.41681223009438972</v>
      </c>
      <c r="DB144" s="1111">
        <v>0.4169289722702062</v>
      </c>
      <c r="DC144" s="1111">
        <v>0.4169289722702062</v>
      </c>
      <c r="DD144" s="1111">
        <v>0.21837061920318013</v>
      </c>
      <c r="DE144" s="1111">
        <v>0.14042626190778301</v>
      </c>
      <c r="DF144" s="1111">
        <v>5.8317141622253502E-2</v>
      </c>
      <c r="DG144" s="1111">
        <v>1.2077561637204866E-2</v>
      </c>
      <c r="DH144" s="1111">
        <v>1.0786154126645024E-3</v>
      </c>
      <c r="DI144" s="1111">
        <v>1.0798206480206708E-3</v>
      </c>
      <c r="DJ144" s="1111">
        <v>1.0806436140692415E-3</v>
      </c>
      <c r="DK144" s="1111">
        <v>1.0811237394477437E-3</v>
      </c>
      <c r="DL144" s="1111">
        <v>1.0815414578773603E-3</v>
      </c>
      <c r="DM144" s="1111">
        <v>1.0816675000683419E-3</v>
      </c>
      <c r="DN144" s="1111">
        <v>1.0816675000683419E-3</v>
      </c>
      <c r="DO144" s="1111">
        <v>0.15460335485307658</v>
      </c>
      <c r="DP144" s="1111">
        <v>9.1351101221954514E-2</v>
      </c>
      <c r="DQ144" s="1111">
        <v>3.6385783023508755E-2</v>
      </c>
      <c r="DR144" s="1111">
        <v>8.5849307959040538E-3</v>
      </c>
      <c r="DS144" s="1111">
        <v>1.8753217886179215E-3</v>
      </c>
      <c r="DT144" s="1111">
        <v>1.8774174016461178E-3</v>
      </c>
      <c r="DU144" s="1111">
        <v>1.8788482002027062E-3</v>
      </c>
      <c r="DV144" s="1111">
        <v>1.8796829497760693E-3</v>
      </c>
      <c r="DW144" s="1111">
        <v>1.8804092326395766E-3</v>
      </c>
      <c r="DX144" s="1111">
        <v>1.8806282411271804E-3</v>
      </c>
      <c r="DY144" s="1111">
        <v>1.8806282411271804E-3</v>
      </c>
      <c r="DZ144" s="1111">
        <v>2.568826503389016E-3</v>
      </c>
      <c r="EA144" s="1111">
        <v>1.9755684080228399E-2</v>
      </c>
      <c r="EB144" s="1111">
        <v>5.5022001924365987E-2</v>
      </c>
      <c r="EC144" s="1111">
        <v>7.9815471305839658E-2</v>
      </c>
      <c r="ED144" s="1111">
        <v>8.207820883427723E-2</v>
      </c>
      <c r="EE144" s="1111">
        <v>8.2736327421338809E-2</v>
      </c>
      <c r="EF144" s="1111">
        <v>8.284453674681673E-2</v>
      </c>
      <c r="EG144" s="1111">
        <v>8.2980744666497547E-2</v>
      </c>
      <c r="EH144" s="1111">
        <v>8.3010694108555369E-2</v>
      </c>
      <c r="EI144" s="1111">
        <v>8.3052501766220296E-2</v>
      </c>
      <c r="EJ144" s="1111">
        <v>8.3052501766220296E-2</v>
      </c>
      <c r="EK144" s="1111">
        <v>893.83947423062045</v>
      </c>
      <c r="EL144" s="1111">
        <f t="shared" si="154"/>
        <v>904.15211202890885</v>
      </c>
      <c r="EM144" s="1111">
        <f t="shared" si="155"/>
        <v>902.07970134273387</v>
      </c>
      <c r="EN144" s="1111">
        <f t="shared" si="156"/>
        <v>877.37850702077742</v>
      </c>
      <c r="EO144" s="1111">
        <f t="shared" si="157"/>
        <v>846.38208742378254</v>
      </c>
      <c r="EP144" s="1111">
        <f t="shared" si="158"/>
        <v>825.53082910607066</v>
      </c>
      <c r="EQ144" s="1111">
        <f t="shared" si="159"/>
        <v>823.36144623107839</v>
      </c>
      <c r="ER144" s="1111">
        <f t="shared" si="160"/>
        <v>824.36179729522166</v>
      </c>
      <c r="ES144" s="1111">
        <f t="shared" si="161"/>
        <v>824.7271828737006</v>
      </c>
      <c r="ET144" s="1111">
        <f t="shared" si="162"/>
        <v>824.93141367868941</v>
      </c>
      <c r="EU144" s="1111">
        <f t="shared" si="163"/>
        <v>824.93141367868941</v>
      </c>
      <c r="EV144" s="1111">
        <v>8.1687487829942445</v>
      </c>
      <c r="EW144" s="1111">
        <f t="shared" si="144"/>
        <v>5.3147097345693233</v>
      </c>
      <c r="EX144" s="1111">
        <f t="shared" si="145"/>
        <v>2.7921553078441477</v>
      </c>
      <c r="EY144" s="1111">
        <f t="shared" si="146"/>
        <v>1.4245413064957047</v>
      </c>
      <c r="EZ144" s="1111">
        <f t="shared" si="147"/>
        <v>0.70145312651502723</v>
      </c>
      <c r="FA144" s="1111">
        <f t="shared" si="148"/>
        <v>0.50742778351018847</v>
      </c>
      <c r="FB144" s="1111">
        <f t="shared" si="149"/>
        <v>0.41920635912374266</v>
      </c>
      <c r="FC144" s="1111">
        <f t="shared" si="150"/>
        <v>0.416693455291543</v>
      </c>
      <c r="FD144" s="1111">
        <f t="shared" si="151"/>
        <v>0.41681223009438972</v>
      </c>
      <c r="FE144" s="1111">
        <f t="shared" si="152"/>
        <v>0.4169289722702062</v>
      </c>
      <c r="FF144" s="1111">
        <f t="shared" si="153"/>
        <v>0.4169289722702062</v>
      </c>
      <c r="FG144" s="1111">
        <f t="shared" si="193"/>
        <v>7.1710100543807317E-2</v>
      </c>
      <c r="FH144" s="1111">
        <f t="shared" si="194"/>
        <v>8.2087119393619672E-3</v>
      </c>
      <c r="FI144" s="1111">
        <f t="shared" si="195"/>
        <v>7.9702357601474389E-3</v>
      </c>
      <c r="FJ144" s="1111">
        <f t="shared" si="196"/>
        <v>7.5889677775865813E-3</v>
      </c>
      <c r="FK144" s="1111">
        <f t="shared" si="197"/>
        <v>7.2800620985492819E-3</v>
      </c>
      <c r="FL144" s="1111">
        <f t="shared" si="198"/>
        <v>7.1007126189560326E-3</v>
      </c>
      <c r="FM144" s="1111">
        <f t="shared" si="199"/>
        <v>7.0820527928422026E-3</v>
      </c>
      <c r="FN144" s="1111">
        <f t="shared" si="200"/>
        <v>7.0906571180729345E-3</v>
      </c>
      <c r="FO144" s="1111">
        <f t="shared" si="201"/>
        <v>7.0938003815583812E-3</v>
      </c>
      <c r="FP144" s="1111">
        <f t="shared" si="202"/>
        <v>7.0955562841129539E-3</v>
      </c>
      <c r="FQ144" s="1111">
        <f t="shared" si="203"/>
        <v>7.0955562841129539E-3</v>
      </c>
      <c r="FR144" s="1111">
        <f t="shared" si="133"/>
        <v>0.52481319338510679</v>
      </c>
      <c r="FS144" s="1111">
        <f t="shared" si="134"/>
        <v>0.33780611541416833</v>
      </c>
      <c r="FT144" s="1111">
        <f t="shared" si="135"/>
        <v>0.16841881012932855</v>
      </c>
      <c r="FU144" s="1111">
        <f t="shared" si="136"/>
        <v>7.8780476854833692E-2</v>
      </c>
      <c r="FV144" s="1111">
        <f t="shared" si="137"/>
        <v>5.7116966662940423E-2</v>
      </c>
      <c r="FW144" s="1111">
        <f t="shared" si="138"/>
        <v>5.7153117613824606E-2</v>
      </c>
      <c r="FX144" s="1111">
        <f t="shared" si="139"/>
        <v>5.7169598600272334E-2</v>
      </c>
      <c r="FY144" s="1111">
        <f t="shared" si="140"/>
        <v>5.7183803872516599E-2</v>
      </c>
      <c r="FZ144" s="1111">
        <f t="shared" si="141"/>
        <v>5.7191439771356024E-2</v>
      </c>
      <c r="GA144" s="1111">
        <f t="shared" si="142"/>
        <v>5.7193759057646294E-2</v>
      </c>
      <c r="GB144" s="1111">
        <f t="shared" si="143"/>
        <v>5.7193759057646294E-2</v>
      </c>
      <c r="GC144" s="1111">
        <f t="shared" si="164"/>
        <v>0.44816786231686073</v>
      </c>
      <c r="GD144" s="1111">
        <f t="shared" si="165"/>
        <v>0.27623517131439307</v>
      </c>
      <c r="GE144" s="1111">
        <f t="shared" si="166"/>
        <v>0.1204133428736722</v>
      </c>
      <c r="GF144" s="1111">
        <f t="shared" si="167"/>
        <v>3.7849405993387868E-2</v>
      </c>
      <c r="GG144" s="1111">
        <f t="shared" si="168"/>
        <v>1.7845431213806467E-2</v>
      </c>
      <c r="GH144" s="1111">
        <f t="shared" si="169"/>
        <v>1.786151134365236E-2</v>
      </c>
      <c r="GI144" s="1111">
        <f t="shared" si="170"/>
        <v>1.7871496037663956E-2</v>
      </c>
      <c r="GJ144" s="1111">
        <f t="shared" si="171"/>
        <v>1.787787615460654E-2</v>
      </c>
      <c r="GK144" s="1111">
        <f t="shared" si="172"/>
        <v>1.7882855546681935E-2</v>
      </c>
      <c r="GL144" s="1111">
        <f t="shared" si="173"/>
        <v>1.7884358785924939E-2</v>
      </c>
      <c r="GM144" s="1111">
        <f t="shared" si="174"/>
        <v>1.7884358785924939E-2</v>
      </c>
    </row>
    <row r="145" spans="1:195" x14ac:dyDescent="0.2">
      <c r="A145" s="1071" t="str">
        <f>Technologies!B92</f>
        <v>*R2,R3,R4,R5,R6</v>
      </c>
      <c r="B145" s="1071" t="str">
        <f>Technologies!C92</f>
        <v>TCB20IM</v>
      </c>
      <c r="C145" s="1071" t="str">
        <f>Technologies!D92</f>
        <v>Commercial Truck, Improved B20</v>
      </c>
      <c r="D145" s="1071" t="str">
        <f>NewTech!D48</f>
        <v>bn-vmt, bn-vmt/a</v>
      </c>
      <c r="E145" s="1071" t="str">
        <f>NewTech!E48</f>
        <v>TCB20X</v>
      </c>
      <c r="F145" s="1071" t="str">
        <f>NewTech!F48</f>
        <v>TC</v>
      </c>
      <c r="G145" s="1110" t="s">
        <v>502</v>
      </c>
      <c r="H145" s="1110" t="s">
        <v>507</v>
      </c>
      <c r="I145" s="1112">
        <v>1</v>
      </c>
      <c r="J145" s="1111" t="str">
        <f t="shared" si="37"/>
        <v>Commercial Truck-B20</v>
      </c>
      <c r="K145" s="1111">
        <v>904.15211202890885</v>
      </c>
      <c r="L145" s="1111">
        <v>902.07970134273387</v>
      </c>
      <c r="M145" s="1111">
        <v>877.37850702077742</v>
      </c>
      <c r="N145" s="1111">
        <v>846.38208742378254</v>
      </c>
      <c r="O145" s="1111">
        <v>825.53082910607066</v>
      </c>
      <c r="P145" s="1111">
        <v>823.36144623107839</v>
      </c>
      <c r="Q145" s="1111">
        <v>824.36179729522166</v>
      </c>
      <c r="R145" s="1111">
        <v>824.7271828737006</v>
      </c>
      <c r="S145" s="1111">
        <v>824.93141367868941</v>
      </c>
      <c r="T145" s="1111">
        <f t="shared" si="131"/>
        <v>824.93141367868941</v>
      </c>
      <c r="U145" s="1111">
        <v>5.3147097345693233</v>
      </c>
      <c r="V145" s="1111">
        <v>2.7921553078441477</v>
      </c>
      <c r="W145" s="1111">
        <v>1.4245413064957047</v>
      </c>
      <c r="X145" s="1111">
        <v>0.70145312651502723</v>
      </c>
      <c r="Y145" s="1111">
        <v>0.50742778351018847</v>
      </c>
      <c r="Z145" s="1111">
        <v>0.41920635912374266</v>
      </c>
      <c r="AA145" s="1111">
        <v>0.416693455291543</v>
      </c>
      <c r="AB145" s="1111">
        <v>0.41681223009438972</v>
      </c>
      <c r="AC145" s="1111">
        <v>0.4169289722702062</v>
      </c>
      <c r="AD145" s="1111">
        <f t="shared" si="132"/>
        <v>0.4169289722702062</v>
      </c>
      <c r="AE145" s="1111">
        <v>7.1710100543807317E-2</v>
      </c>
      <c r="AF145" s="1111">
        <v>8.2087119393619672E-3</v>
      </c>
      <c r="AG145" s="1111">
        <v>7.9702357601474389E-3</v>
      </c>
      <c r="AH145" s="1111">
        <v>7.5889677775865813E-3</v>
      </c>
      <c r="AI145" s="1111">
        <v>7.2800620985492819E-3</v>
      </c>
      <c r="AJ145" s="1111">
        <v>7.1007126189560326E-3</v>
      </c>
      <c r="AK145" s="1111">
        <v>7.0820527928422026E-3</v>
      </c>
      <c r="AL145" s="1111">
        <v>7.0906571180729345E-3</v>
      </c>
      <c r="AM145" s="1111">
        <v>7.0938003815583812E-3</v>
      </c>
      <c r="AN145" s="1111">
        <v>7.0955562841129539E-3</v>
      </c>
      <c r="AO145" s="1111">
        <v>7.0955562841129539E-3</v>
      </c>
      <c r="AP145" s="1111">
        <v>0.52481319338510679</v>
      </c>
      <c r="AQ145" s="1111">
        <v>0.33780611541416833</v>
      </c>
      <c r="AR145" s="1111">
        <v>0.16841881012932855</v>
      </c>
      <c r="AS145" s="1111">
        <v>7.8780476854833692E-2</v>
      </c>
      <c r="AT145" s="1111">
        <v>5.7116966662940423E-2</v>
      </c>
      <c r="AU145" s="1111">
        <v>5.7153117613824606E-2</v>
      </c>
      <c r="AV145" s="1111">
        <v>5.7169598600272334E-2</v>
      </c>
      <c r="AW145" s="1111">
        <v>5.7183803872516599E-2</v>
      </c>
      <c r="AX145" s="1111">
        <v>5.7191439771356024E-2</v>
      </c>
      <c r="AY145" s="1111">
        <v>5.7193759057646294E-2</v>
      </c>
      <c r="AZ145" s="1111">
        <v>5.7193759057646294E-2</v>
      </c>
      <c r="BA145" s="1111">
        <v>0.44816786231686073</v>
      </c>
      <c r="BB145" s="1111">
        <v>0.27623517131439307</v>
      </c>
      <c r="BC145" s="1111">
        <v>0.1204133428736722</v>
      </c>
      <c r="BD145" s="1111">
        <v>3.7849405993387868E-2</v>
      </c>
      <c r="BE145" s="1111">
        <v>1.7845431213806467E-2</v>
      </c>
      <c r="BF145" s="1111">
        <v>1.786151134365236E-2</v>
      </c>
      <c r="BG145" s="1111">
        <v>1.7871496037663956E-2</v>
      </c>
      <c r="BH145" s="1111">
        <v>1.787787615460654E-2</v>
      </c>
      <c r="BI145" s="1111">
        <v>1.7882855546681935E-2</v>
      </c>
      <c r="BJ145" s="1111">
        <v>1.7884358785924939E-2</v>
      </c>
      <c r="BK145" s="1111">
        <v>1.7884358785924939E-2</v>
      </c>
      <c r="BL145" s="1111">
        <v>3.101030285517373</v>
      </c>
      <c r="BM145" s="1111">
        <v>2.6629158444178538</v>
      </c>
      <c r="BN145" s="1111">
        <v>1.4311186013242099</v>
      </c>
      <c r="BO145" s="1111">
        <v>0.60112372719342755</v>
      </c>
      <c r="BP145" s="1111">
        <v>0.38711728873960771</v>
      </c>
      <c r="BQ145" s="1111">
        <v>0.38785544647202291</v>
      </c>
      <c r="BR145" s="1111">
        <v>0.38792567793249733</v>
      </c>
      <c r="BS145" s="1111">
        <v>0.38800892401614789</v>
      </c>
      <c r="BT145" s="1111">
        <v>0.38802100372153886</v>
      </c>
      <c r="BU145" s="1111">
        <v>0.38807032300021443</v>
      </c>
      <c r="BV145" s="1111">
        <v>0.38807032300021443</v>
      </c>
      <c r="BW145" s="1111">
        <v>1.0509842156551279</v>
      </c>
      <c r="BX145" s="1111">
        <v>0.81004015020910114</v>
      </c>
      <c r="BY145" s="1111">
        <v>0.38884835805448303</v>
      </c>
      <c r="BZ145" s="1111">
        <v>0.1491860598916217</v>
      </c>
      <c r="CA145" s="1111">
        <v>9.3412434935629826E-2</v>
      </c>
      <c r="CB145" s="1111">
        <v>9.3678359691283811E-2</v>
      </c>
      <c r="CC145" s="1111">
        <v>9.3760175050730032E-2</v>
      </c>
      <c r="CD145" s="1111">
        <v>9.3927028766089479E-2</v>
      </c>
      <c r="CE145" s="1111">
        <v>9.3970151434713559E-2</v>
      </c>
      <c r="CF145" s="1111">
        <v>9.4017768926574333E-2</v>
      </c>
      <c r="CG145" s="1111">
        <v>9.4017768926574333E-2</v>
      </c>
      <c r="CH145" s="1111">
        <v>2.661098514978626E-2</v>
      </c>
      <c r="CI145" s="1111">
        <v>2.6939622846400731E-2</v>
      </c>
      <c r="CJ145" s="1111">
        <v>2.702747651183203E-2</v>
      </c>
      <c r="CK145" s="1111">
        <v>2.6765223957059211E-2</v>
      </c>
      <c r="CL145" s="1111">
        <v>2.6571897307438173E-2</v>
      </c>
      <c r="CM145" s="1111">
        <v>2.6521903997847492E-2</v>
      </c>
      <c r="CN145" s="1111">
        <v>2.6505066621953566E-2</v>
      </c>
      <c r="CO145" s="1111">
        <v>2.6484451280636884E-2</v>
      </c>
      <c r="CP145" s="1111">
        <v>2.6477614550331839E-2</v>
      </c>
      <c r="CQ145" s="1111">
        <v>2.6474843409717168E-2</v>
      </c>
      <c r="CR145" s="1111">
        <v>2.6474843409717168E-2</v>
      </c>
      <c r="CS145" s="1111">
        <v>8.1687487829942445</v>
      </c>
      <c r="CT145" s="1111">
        <v>5.3147097345693233</v>
      </c>
      <c r="CU145" s="1111">
        <v>2.7921553078441477</v>
      </c>
      <c r="CV145" s="1111">
        <v>1.4245413064957047</v>
      </c>
      <c r="CW145" s="1111">
        <v>0.70145312651502723</v>
      </c>
      <c r="CX145" s="1111">
        <v>0.50742778351018847</v>
      </c>
      <c r="CY145" s="1111">
        <v>0.41920635912374266</v>
      </c>
      <c r="CZ145" s="1111">
        <v>0.416693455291543</v>
      </c>
      <c r="DA145" s="1111">
        <v>0.41681223009438972</v>
      </c>
      <c r="DB145" s="1111">
        <v>0.4169289722702062</v>
      </c>
      <c r="DC145" s="1111">
        <v>0.4169289722702062</v>
      </c>
      <c r="DD145" s="1111">
        <v>0.21837061920318013</v>
      </c>
      <c r="DE145" s="1111">
        <v>0.14042626190778301</v>
      </c>
      <c r="DF145" s="1111">
        <v>5.8317141622253502E-2</v>
      </c>
      <c r="DG145" s="1111">
        <v>1.2077561637204866E-2</v>
      </c>
      <c r="DH145" s="1111">
        <v>1.0786154126645024E-3</v>
      </c>
      <c r="DI145" s="1111">
        <v>1.0798206480206708E-3</v>
      </c>
      <c r="DJ145" s="1111">
        <v>1.0806436140692415E-3</v>
      </c>
      <c r="DK145" s="1111">
        <v>1.0811237394477437E-3</v>
      </c>
      <c r="DL145" s="1111">
        <v>1.0815414578773603E-3</v>
      </c>
      <c r="DM145" s="1111">
        <v>1.0816675000683419E-3</v>
      </c>
      <c r="DN145" s="1111">
        <v>1.0816675000683419E-3</v>
      </c>
      <c r="DO145" s="1111">
        <v>0.15460335485307658</v>
      </c>
      <c r="DP145" s="1111">
        <v>9.1351101221954514E-2</v>
      </c>
      <c r="DQ145" s="1111">
        <v>3.6385783023508755E-2</v>
      </c>
      <c r="DR145" s="1111">
        <v>8.5849307959040538E-3</v>
      </c>
      <c r="DS145" s="1111">
        <v>1.8753217886179215E-3</v>
      </c>
      <c r="DT145" s="1111">
        <v>1.8774174016461178E-3</v>
      </c>
      <c r="DU145" s="1111">
        <v>1.8788482002027062E-3</v>
      </c>
      <c r="DV145" s="1111">
        <v>1.8796829497760693E-3</v>
      </c>
      <c r="DW145" s="1111">
        <v>1.8804092326395766E-3</v>
      </c>
      <c r="DX145" s="1111">
        <v>1.8806282411271804E-3</v>
      </c>
      <c r="DY145" s="1111">
        <v>1.8806282411271804E-3</v>
      </c>
      <c r="DZ145" s="1111">
        <v>2.568826503389016E-3</v>
      </c>
      <c r="EA145" s="1111">
        <v>1.9755684080228399E-2</v>
      </c>
      <c r="EB145" s="1111">
        <v>5.5022001924365987E-2</v>
      </c>
      <c r="EC145" s="1111">
        <v>7.9815471305839658E-2</v>
      </c>
      <c r="ED145" s="1111">
        <v>8.207820883427723E-2</v>
      </c>
      <c r="EE145" s="1111">
        <v>8.2736327421338809E-2</v>
      </c>
      <c r="EF145" s="1111">
        <v>8.284453674681673E-2</v>
      </c>
      <c r="EG145" s="1111">
        <v>8.2980744666497547E-2</v>
      </c>
      <c r="EH145" s="1111">
        <v>8.3010694108555369E-2</v>
      </c>
      <c r="EI145" s="1111">
        <v>8.3052501766220296E-2</v>
      </c>
      <c r="EJ145" s="1111">
        <v>8.3052501766220296E-2</v>
      </c>
      <c r="EK145" s="1111">
        <v>893.83947423062045</v>
      </c>
      <c r="EL145" s="1111">
        <f t="shared" si="154"/>
        <v>904.15211202890885</v>
      </c>
      <c r="EM145" s="1111">
        <f t="shared" si="155"/>
        <v>902.07970134273387</v>
      </c>
      <c r="EN145" s="1111">
        <f t="shared" si="156"/>
        <v>877.37850702077742</v>
      </c>
      <c r="EO145" s="1111">
        <f t="shared" si="157"/>
        <v>846.38208742378254</v>
      </c>
      <c r="EP145" s="1111">
        <f t="shared" si="158"/>
        <v>825.53082910607066</v>
      </c>
      <c r="EQ145" s="1111">
        <f t="shared" si="159"/>
        <v>823.36144623107839</v>
      </c>
      <c r="ER145" s="1111">
        <f t="shared" si="160"/>
        <v>824.36179729522166</v>
      </c>
      <c r="ES145" s="1111">
        <f t="shared" si="161"/>
        <v>824.7271828737006</v>
      </c>
      <c r="ET145" s="1111">
        <f t="shared" si="162"/>
        <v>824.93141367868941</v>
      </c>
      <c r="EU145" s="1111">
        <f t="shared" si="163"/>
        <v>824.93141367868941</v>
      </c>
      <c r="EV145" s="1111">
        <v>8.1687487829942445</v>
      </c>
      <c r="EW145" s="1111">
        <f t="shared" si="144"/>
        <v>5.3147097345693233</v>
      </c>
      <c r="EX145" s="1111">
        <f t="shared" si="145"/>
        <v>2.7921553078441477</v>
      </c>
      <c r="EY145" s="1111">
        <f t="shared" si="146"/>
        <v>1.4245413064957047</v>
      </c>
      <c r="EZ145" s="1111">
        <f t="shared" si="147"/>
        <v>0.70145312651502723</v>
      </c>
      <c r="FA145" s="1111">
        <f t="shared" si="148"/>
        <v>0.50742778351018847</v>
      </c>
      <c r="FB145" s="1111">
        <f t="shared" si="149"/>
        <v>0.41920635912374266</v>
      </c>
      <c r="FC145" s="1111">
        <f t="shared" si="150"/>
        <v>0.416693455291543</v>
      </c>
      <c r="FD145" s="1111">
        <f t="shared" si="151"/>
        <v>0.41681223009438972</v>
      </c>
      <c r="FE145" s="1111">
        <f t="shared" si="152"/>
        <v>0.4169289722702062</v>
      </c>
      <c r="FF145" s="1111">
        <f t="shared" si="153"/>
        <v>0.4169289722702062</v>
      </c>
      <c r="FG145" s="1111">
        <f t="shared" si="193"/>
        <v>7.1710100543807317E-2</v>
      </c>
      <c r="FH145" s="1111">
        <f t="shared" si="194"/>
        <v>8.2087119393619672E-3</v>
      </c>
      <c r="FI145" s="1111">
        <f t="shared" si="195"/>
        <v>7.9702357601474389E-3</v>
      </c>
      <c r="FJ145" s="1111">
        <f t="shared" si="196"/>
        <v>7.5889677775865813E-3</v>
      </c>
      <c r="FK145" s="1111">
        <f t="shared" si="197"/>
        <v>7.2800620985492819E-3</v>
      </c>
      <c r="FL145" s="1111">
        <f t="shared" si="198"/>
        <v>7.1007126189560326E-3</v>
      </c>
      <c r="FM145" s="1111">
        <f t="shared" si="199"/>
        <v>7.0820527928422026E-3</v>
      </c>
      <c r="FN145" s="1111">
        <f t="shared" si="200"/>
        <v>7.0906571180729345E-3</v>
      </c>
      <c r="FO145" s="1111">
        <f t="shared" si="201"/>
        <v>7.0938003815583812E-3</v>
      </c>
      <c r="FP145" s="1111">
        <f t="shared" si="202"/>
        <v>7.0955562841129539E-3</v>
      </c>
      <c r="FQ145" s="1111">
        <f t="shared" si="203"/>
        <v>7.0955562841129539E-3</v>
      </c>
      <c r="FR145" s="1111">
        <f t="shared" si="133"/>
        <v>0.52481319338510679</v>
      </c>
      <c r="FS145" s="1111">
        <f t="shared" si="134"/>
        <v>0.33780611541416833</v>
      </c>
      <c r="FT145" s="1111">
        <f t="shared" si="135"/>
        <v>0.16841881012932855</v>
      </c>
      <c r="FU145" s="1111">
        <f t="shared" si="136"/>
        <v>7.8780476854833692E-2</v>
      </c>
      <c r="FV145" s="1111">
        <f t="shared" si="137"/>
        <v>5.7116966662940423E-2</v>
      </c>
      <c r="FW145" s="1111">
        <f t="shared" si="138"/>
        <v>5.7153117613824606E-2</v>
      </c>
      <c r="FX145" s="1111">
        <f t="shared" si="139"/>
        <v>5.7169598600272334E-2</v>
      </c>
      <c r="FY145" s="1111">
        <f t="shared" si="140"/>
        <v>5.7183803872516599E-2</v>
      </c>
      <c r="FZ145" s="1111">
        <f t="shared" si="141"/>
        <v>5.7191439771356024E-2</v>
      </c>
      <c r="GA145" s="1111">
        <f t="shared" si="142"/>
        <v>5.7193759057646294E-2</v>
      </c>
      <c r="GB145" s="1111">
        <f t="shared" si="143"/>
        <v>5.7193759057646294E-2</v>
      </c>
      <c r="GC145" s="1111">
        <f t="shared" si="164"/>
        <v>0.44816786231686073</v>
      </c>
      <c r="GD145" s="1111">
        <f t="shared" si="165"/>
        <v>0.27623517131439307</v>
      </c>
      <c r="GE145" s="1111">
        <f t="shared" si="166"/>
        <v>0.1204133428736722</v>
      </c>
      <c r="GF145" s="1111">
        <f t="shared" si="167"/>
        <v>3.7849405993387868E-2</v>
      </c>
      <c r="GG145" s="1111">
        <f t="shared" si="168"/>
        <v>1.7845431213806467E-2</v>
      </c>
      <c r="GH145" s="1111">
        <f t="shared" si="169"/>
        <v>1.786151134365236E-2</v>
      </c>
      <c r="GI145" s="1111">
        <f t="shared" si="170"/>
        <v>1.7871496037663956E-2</v>
      </c>
      <c r="GJ145" s="1111">
        <f t="shared" si="171"/>
        <v>1.787787615460654E-2</v>
      </c>
      <c r="GK145" s="1111">
        <f t="shared" si="172"/>
        <v>1.7882855546681935E-2</v>
      </c>
      <c r="GL145" s="1111">
        <f t="shared" si="173"/>
        <v>1.7884358785924939E-2</v>
      </c>
      <c r="GM145" s="1111">
        <f t="shared" si="174"/>
        <v>1.7884358785924939E-2</v>
      </c>
    </row>
    <row r="146" spans="1:195" x14ac:dyDescent="0.2">
      <c r="A146" s="1071" t="str">
        <f>Technologies!B93</f>
        <v>*R2,R3,R4,R5,R6</v>
      </c>
      <c r="B146" s="1071" t="str">
        <f>Technologies!C93</f>
        <v>TCB20AH</v>
      </c>
      <c r="C146" s="1071" t="str">
        <f>Technologies!D93</f>
        <v>Commerical Truck, Advanced Hybrid B20</v>
      </c>
      <c r="D146" s="1071" t="str">
        <f>NewTech!D49</f>
        <v>bn-vmt, bn-vmt/a</v>
      </c>
      <c r="E146" s="1071" t="str">
        <f>NewTech!E49</f>
        <v>TCB20X</v>
      </c>
      <c r="F146" s="1071" t="str">
        <f>NewTech!F49</f>
        <v>TC</v>
      </c>
      <c r="G146" s="1110" t="s">
        <v>502</v>
      </c>
      <c r="H146" s="1110" t="s">
        <v>507</v>
      </c>
      <c r="I146" s="1112">
        <v>1</v>
      </c>
      <c r="J146" s="1111" t="str">
        <f t="shared" si="37"/>
        <v>Commercial Truck-B20</v>
      </c>
      <c r="K146" s="1111">
        <v>904.15211202890885</v>
      </c>
      <c r="L146" s="1111">
        <v>902.07970134273387</v>
      </c>
      <c r="M146" s="1111">
        <v>877.37850702077742</v>
      </c>
      <c r="N146" s="1111">
        <v>846.38208742378254</v>
      </c>
      <c r="O146" s="1111">
        <v>825.53082910607066</v>
      </c>
      <c r="P146" s="1111">
        <v>823.36144623107839</v>
      </c>
      <c r="Q146" s="1111">
        <v>824.36179729522166</v>
      </c>
      <c r="R146" s="1111">
        <v>824.7271828737006</v>
      </c>
      <c r="S146" s="1111">
        <v>824.93141367868941</v>
      </c>
      <c r="T146" s="1111">
        <f t="shared" si="131"/>
        <v>824.93141367868941</v>
      </c>
      <c r="U146" s="1111">
        <v>5.3147097345693233</v>
      </c>
      <c r="V146" s="1111">
        <v>2.7921553078441477</v>
      </c>
      <c r="W146" s="1111">
        <v>1.4245413064957047</v>
      </c>
      <c r="X146" s="1111">
        <v>0.70145312651502723</v>
      </c>
      <c r="Y146" s="1111">
        <v>0.50742778351018847</v>
      </c>
      <c r="Z146" s="1111">
        <v>0.41920635912374266</v>
      </c>
      <c r="AA146" s="1111">
        <v>0.416693455291543</v>
      </c>
      <c r="AB146" s="1111">
        <v>0.41681223009438972</v>
      </c>
      <c r="AC146" s="1111">
        <v>0.4169289722702062</v>
      </c>
      <c r="AD146" s="1111">
        <f t="shared" si="132"/>
        <v>0.4169289722702062</v>
      </c>
      <c r="AE146" s="1111">
        <v>7.1710100543807317E-2</v>
      </c>
      <c r="AF146" s="1111">
        <v>8.2087119393619672E-3</v>
      </c>
      <c r="AG146" s="1111">
        <v>7.9702357601474389E-3</v>
      </c>
      <c r="AH146" s="1111">
        <v>7.5889677775865813E-3</v>
      </c>
      <c r="AI146" s="1111">
        <v>7.2800620985492819E-3</v>
      </c>
      <c r="AJ146" s="1111">
        <v>7.1007126189560326E-3</v>
      </c>
      <c r="AK146" s="1111">
        <v>7.0820527928422026E-3</v>
      </c>
      <c r="AL146" s="1111">
        <v>7.0906571180729345E-3</v>
      </c>
      <c r="AM146" s="1111">
        <v>7.0938003815583812E-3</v>
      </c>
      <c r="AN146" s="1111">
        <v>7.0955562841129539E-3</v>
      </c>
      <c r="AO146" s="1111">
        <v>7.0955562841129539E-3</v>
      </c>
      <c r="AP146" s="1111">
        <v>0.52481319338510679</v>
      </c>
      <c r="AQ146" s="1111">
        <v>0.33780611541416833</v>
      </c>
      <c r="AR146" s="1111">
        <v>0.16841881012932855</v>
      </c>
      <c r="AS146" s="1111">
        <v>7.8780476854833692E-2</v>
      </c>
      <c r="AT146" s="1111">
        <v>5.7116966662940423E-2</v>
      </c>
      <c r="AU146" s="1111">
        <v>5.7153117613824606E-2</v>
      </c>
      <c r="AV146" s="1111">
        <v>5.7169598600272334E-2</v>
      </c>
      <c r="AW146" s="1111">
        <v>5.7183803872516599E-2</v>
      </c>
      <c r="AX146" s="1111">
        <v>5.7191439771356024E-2</v>
      </c>
      <c r="AY146" s="1111">
        <v>5.7193759057646294E-2</v>
      </c>
      <c r="AZ146" s="1111">
        <v>5.7193759057646294E-2</v>
      </c>
      <c r="BA146" s="1111">
        <v>0.44816786231686073</v>
      </c>
      <c r="BB146" s="1111">
        <v>0.27623517131439307</v>
      </c>
      <c r="BC146" s="1111">
        <v>0.1204133428736722</v>
      </c>
      <c r="BD146" s="1111">
        <v>3.7849405993387868E-2</v>
      </c>
      <c r="BE146" s="1111">
        <v>1.7845431213806467E-2</v>
      </c>
      <c r="BF146" s="1111">
        <v>1.786151134365236E-2</v>
      </c>
      <c r="BG146" s="1111">
        <v>1.7871496037663956E-2</v>
      </c>
      <c r="BH146" s="1111">
        <v>1.787787615460654E-2</v>
      </c>
      <c r="BI146" s="1111">
        <v>1.7882855546681935E-2</v>
      </c>
      <c r="BJ146" s="1111">
        <v>1.7884358785924939E-2</v>
      </c>
      <c r="BK146" s="1111">
        <v>1.7884358785924939E-2</v>
      </c>
      <c r="BL146" s="1111">
        <v>3.101030285517373</v>
      </c>
      <c r="BM146" s="1111">
        <v>2.6629158444178538</v>
      </c>
      <c r="BN146" s="1111">
        <v>1.4311186013242099</v>
      </c>
      <c r="BO146" s="1111">
        <v>0.60112372719342755</v>
      </c>
      <c r="BP146" s="1111">
        <v>0.38711728873960771</v>
      </c>
      <c r="BQ146" s="1111">
        <v>0.38785544647202291</v>
      </c>
      <c r="BR146" s="1111">
        <v>0.38792567793249733</v>
      </c>
      <c r="BS146" s="1111">
        <v>0.38800892401614789</v>
      </c>
      <c r="BT146" s="1111">
        <v>0.38802100372153886</v>
      </c>
      <c r="BU146" s="1111">
        <v>0.38807032300021443</v>
      </c>
      <c r="BV146" s="1111">
        <v>0.38807032300021443</v>
      </c>
      <c r="BW146" s="1111">
        <v>1.0509842156551279</v>
      </c>
      <c r="BX146" s="1111">
        <v>0.81004015020910114</v>
      </c>
      <c r="BY146" s="1111">
        <v>0.38884835805448303</v>
      </c>
      <c r="BZ146" s="1111">
        <v>0.1491860598916217</v>
      </c>
      <c r="CA146" s="1111">
        <v>9.3412434935629826E-2</v>
      </c>
      <c r="CB146" s="1111">
        <v>9.3678359691283811E-2</v>
      </c>
      <c r="CC146" s="1111">
        <v>9.3760175050730032E-2</v>
      </c>
      <c r="CD146" s="1111">
        <v>9.3927028766089479E-2</v>
      </c>
      <c r="CE146" s="1111">
        <v>9.3970151434713559E-2</v>
      </c>
      <c r="CF146" s="1111">
        <v>9.4017768926574333E-2</v>
      </c>
      <c r="CG146" s="1111">
        <v>9.4017768926574333E-2</v>
      </c>
      <c r="CH146" s="1111">
        <v>2.661098514978626E-2</v>
      </c>
      <c r="CI146" s="1111">
        <v>2.6939622846400731E-2</v>
      </c>
      <c r="CJ146" s="1111">
        <v>2.702747651183203E-2</v>
      </c>
      <c r="CK146" s="1111">
        <v>2.6765223957059211E-2</v>
      </c>
      <c r="CL146" s="1111">
        <v>2.6571897307438173E-2</v>
      </c>
      <c r="CM146" s="1111">
        <v>2.6521903997847492E-2</v>
      </c>
      <c r="CN146" s="1111">
        <v>2.6505066621953566E-2</v>
      </c>
      <c r="CO146" s="1111">
        <v>2.6484451280636884E-2</v>
      </c>
      <c r="CP146" s="1111">
        <v>2.6477614550331839E-2</v>
      </c>
      <c r="CQ146" s="1111">
        <v>2.6474843409717168E-2</v>
      </c>
      <c r="CR146" s="1111">
        <v>2.6474843409717168E-2</v>
      </c>
      <c r="CS146" s="1111">
        <v>8.1687487829942445</v>
      </c>
      <c r="CT146" s="1111">
        <v>5.3147097345693233</v>
      </c>
      <c r="CU146" s="1111">
        <v>2.7921553078441477</v>
      </c>
      <c r="CV146" s="1111">
        <v>1.4245413064957047</v>
      </c>
      <c r="CW146" s="1111">
        <v>0.70145312651502723</v>
      </c>
      <c r="CX146" s="1111">
        <v>0.50742778351018847</v>
      </c>
      <c r="CY146" s="1111">
        <v>0.41920635912374266</v>
      </c>
      <c r="CZ146" s="1111">
        <v>0.416693455291543</v>
      </c>
      <c r="DA146" s="1111">
        <v>0.41681223009438972</v>
      </c>
      <c r="DB146" s="1111">
        <v>0.4169289722702062</v>
      </c>
      <c r="DC146" s="1111">
        <v>0.4169289722702062</v>
      </c>
      <c r="DD146" s="1111">
        <v>0.21837061920318013</v>
      </c>
      <c r="DE146" s="1111">
        <v>0.14042626190778301</v>
      </c>
      <c r="DF146" s="1111">
        <v>5.8317141622253502E-2</v>
      </c>
      <c r="DG146" s="1111">
        <v>1.2077561637204866E-2</v>
      </c>
      <c r="DH146" s="1111">
        <v>1.0786154126645024E-3</v>
      </c>
      <c r="DI146" s="1111">
        <v>1.0798206480206708E-3</v>
      </c>
      <c r="DJ146" s="1111">
        <v>1.0806436140692415E-3</v>
      </c>
      <c r="DK146" s="1111">
        <v>1.0811237394477437E-3</v>
      </c>
      <c r="DL146" s="1111">
        <v>1.0815414578773603E-3</v>
      </c>
      <c r="DM146" s="1111">
        <v>1.0816675000683419E-3</v>
      </c>
      <c r="DN146" s="1111">
        <v>1.0816675000683419E-3</v>
      </c>
      <c r="DO146" s="1111">
        <v>0.15460335485307658</v>
      </c>
      <c r="DP146" s="1111">
        <v>9.1351101221954514E-2</v>
      </c>
      <c r="DQ146" s="1111">
        <v>3.6385783023508755E-2</v>
      </c>
      <c r="DR146" s="1111">
        <v>8.5849307959040538E-3</v>
      </c>
      <c r="DS146" s="1111">
        <v>1.8753217886179215E-3</v>
      </c>
      <c r="DT146" s="1111">
        <v>1.8774174016461178E-3</v>
      </c>
      <c r="DU146" s="1111">
        <v>1.8788482002027062E-3</v>
      </c>
      <c r="DV146" s="1111">
        <v>1.8796829497760693E-3</v>
      </c>
      <c r="DW146" s="1111">
        <v>1.8804092326395766E-3</v>
      </c>
      <c r="DX146" s="1111">
        <v>1.8806282411271804E-3</v>
      </c>
      <c r="DY146" s="1111">
        <v>1.8806282411271804E-3</v>
      </c>
      <c r="DZ146" s="1111">
        <v>2.568826503389016E-3</v>
      </c>
      <c r="EA146" s="1111">
        <v>1.9755684080228399E-2</v>
      </c>
      <c r="EB146" s="1111">
        <v>5.5022001924365987E-2</v>
      </c>
      <c r="EC146" s="1111">
        <v>7.9815471305839658E-2</v>
      </c>
      <c r="ED146" s="1111">
        <v>8.207820883427723E-2</v>
      </c>
      <c r="EE146" s="1111">
        <v>8.2736327421338809E-2</v>
      </c>
      <c r="EF146" s="1111">
        <v>8.284453674681673E-2</v>
      </c>
      <c r="EG146" s="1111">
        <v>8.2980744666497547E-2</v>
      </c>
      <c r="EH146" s="1111">
        <v>8.3010694108555369E-2</v>
      </c>
      <c r="EI146" s="1111">
        <v>8.3052501766220296E-2</v>
      </c>
      <c r="EJ146" s="1111">
        <v>8.3052501766220296E-2</v>
      </c>
      <c r="EK146" s="1111">
        <v>893.83947423062045</v>
      </c>
      <c r="EL146" s="1111">
        <f t="shared" si="154"/>
        <v>904.15211202890885</v>
      </c>
      <c r="EM146" s="1111">
        <f t="shared" si="155"/>
        <v>902.07970134273387</v>
      </c>
      <c r="EN146" s="1111">
        <f t="shared" si="156"/>
        <v>877.37850702077742</v>
      </c>
      <c r="EO146" s="1111">
        <f t="shared" si="157"/>
        <v>846.38208742378254</v>
      </c>
      <c r="EP146" s="1111">
        <f t="shared" si="158"/>
        <v>825.53082910607066</v>
      </c>
      <c r="EQ146" s="1111">
        <f t="shared" si="159"/>
        <v>823.36144623107839</v>
      </c>
      <c r="ER146" s="1111">
        <f t="shared" si="160"/>
        <v>824.36179729522166</v>
      </c>
      <c r="ES146" s="1111">
        <f t="shared" si="161"/>
        <v>824.7271828737006</v>
      </c>
      <c r="ET146" s="1111">
        <f t="shared" si="162"/>
        <v>824.93141367868941</v>
      </c>
      <c r="EU146" s="1111">
        <f t="shared" si="163"/>
        <v>824.93141367868941</v>
      </c>
      <c r="EV146" s="1111">
        <v>8.1687487829942445</v>
      </c>
      <c r="EW146" s="1111">
        <f t="shared" si="144"/>
        <v>5.3147097345693233</v>
      </c>
      <c r="EX146" s="1111">
        <f t="shared" si="145"/>
        <v>2.7921553078441477</v>
      </c>
      <c r="EY146" s="1111">
        <f t="shared" si="146"/>
        <v>1.4245413064957047</v>
      </c>
      <c r="EZ146" s="1111">
        <f t="shared" si="147"/>
        <v>0.70145312651502723</v>
      </c>
      <c r="FA146" s="1111">
        <f t="shared" si="148"/>
        <v>0.50742778351018847</v>
      </c>
      <c r="FB146" s="1111">
        <f t="shared" si="149"/>
        <v>0.41920635912374266</v>
      </c>
      <c r="FC146" s="1111">
        <f t="shared" si="150"/>
        <v>0.416693455291543</v>
      </c>
      <c r="FD146" s="1111">
        <f t="shared" si="151"/>
        <v>0.41681223009438972</v>
      </c>
      <c r="FE146" s="1111">
        <f t="shared" si="152"/>
        <v>0.4169289722702062</v>
      </c>
      <c r="FF146" s="1111">
        <f t="shared" si="153"/>
        <v>0.4169289722702062</v>
      </c>
      <c r="FG146" s="1111">
        <f t="shared" si="193"/>
        <v>7.1710100543807317E-2</v>
      </c>
      <c r="FH146" s="1111">
        <f t="shared" si="194"/>
        <v>8.2087119393619672E-3</v>
      </c>
      <c r="FI146" s="1111">
        <f t="shared" si="195"/>
        <v>7.9702357601474389E-3</v>
      </c>
      <c r="FJ146" s="1111">
        <f t="shared" si="196"/>
        <v>7.5889677775865813E-3</v>
      </c>
      <c r="FK146" s="1111">
        <f t="shared" si="197"/>
        <v>7.2800620985492819E-3</v>
      </c>
      <c r="FL146" s="1111">
        <f t="shared" si="198"/>
        <v>7.1007126189560326E-3</v>
      </c>
      <c r="FM146" s="1111">
        <f t="shared" si="199"/>
        <v>7.0820527928422026E-3</v>
      </c>
      <c r="FN146" s="1111">
        <f t="shared" si="200"/>
        <v>7.0906571180729345E-3</v>
      </c>
      <c r="FO146" s="1111">
        <f t="shared" si="201"/>
        <v>7.0938003815583812E-3</v>
      </c>
      <c r="FP146" s="1111">
        <f t="shared" si="202"/>
        <v>7.0955562841129539E-3</v>
      </c>
      <c r="FQ146" s="1111">
        <f t="shared" si="203"/>
        <v>7.0955562841129539E-3</v>
      </c>
      <c r="FR146" s="1111">
        <f t="shared" si="133"/>
        <v>0.52481319338510679</v>
      </c>
      <c r="FS146" s="1111">
        <f t="shared" si="134"/>
        <v>0.33780611541416833</v>
      </c>
      <c r="FT146" s="1111">
        <f t="shared" si="135"/>
        <v>0.16841881012932855</v>
      </c>
      <c r="FU146" s="1111">
        <f t="shared" si="136"/>
        <v>7.8780476854833692E-2</v>
      </c>
      <c r="FV146" s="1111">
        <f t="shared" si="137"/>
        <v>5.7116966662940423E-2</v>
      </c>
      <c r="FW146" s="1111">
        <f t="shared" si="138"/>
        <v>5.7153117613824606E-2</v>
      </c>
      <c r="FX146" s="1111">
        <f t="shared" si="139"/>
        <v>5.7169598600272334E-2</v>
      </c>
      <c r="FY146" s="1111">
        <f t="shared" si="140"/>
        <v>5.7183803872516599E-2</v>
      </c>
      <c r="FZ146" s="1111">
        <f t="shared" si="141"/>
        <v>5.7191439771356024E-2</v>
      </c>
      <c r="GA146" s="1111">
        <f t="shared" si="142"/>
        <v>5.7193759057646294E-2</v>
      </c>
      <c r="GB146" s="1111">
        <f t="shared" si="143"/>
        <v>5.7193759057646294E-2</v>
      </c>
      <c r="GC146" s="1111">
        <f t="shared" si="164"/>
        <v>0.44816786231686073</v>
      </c>
      <c r="GD146" s="1111">
        <f t="shared" si="165"/>
        <v>0.27623517131439307</v>
      </c>
      <c r="GE146" s="1111">
        <f t="shared" si="166"/>
        <v>0.1204133428736722</v>
      </c>
      <c r="GF146" s="1111">
        <f t="shared" si="167"/>
        <v>3.7849405993387868E-2</v>
      </c>
      <c r="GG146" s="1111">
        <f t="shared" si="168"/>
        <v>1.7845431213806467E-2</v>
      </c>
      <c r="GH146" s="1111">
        <f t="shared" si="169"/>
        <v>1.786151134365236E-2</v>
      </c>
      <c r="GI146" s="1111">
        <f t="shared" si="170"/>
        <v>1.7871496037663956E-2</v>
      </c>
      <c r="GJ146" s="1111">
        <f t="shared" si="171"/>
        <v>1.787787615460654E-2</v>
      </c>
      <c r="GK146" s="1111">
        <f t="shared" si="172"/>
        <v>1.7882855546681935E-2</v>
      </c>
      <c r="GL146" s="1111">
        <f t="shared" si="173"/>
        <v>1.7884358785924939E-2</v>
      </c>
      <c r="GM146" s="1111">
        <f t="shared" si="174"/>
        <v>1.7884358785924939E-2</v>
      </c>
    </row>
    <row r="147" spans="1:195" x14ac:dyDescent="0.2">
      <c r="A147" s="1071" t="str">
        <f>Technologies!B95</f>
        <v>*R2,R3,R4,R5,R6</v>
      </c>
      <c r="B147" s="1071" t="str">
        <f>Technologies!C95</f>
        <v>TCCNGC</v>
      </c>
      <c r="C147" s="1071" t="str">
        <f>Technologies!D95</f>
        <v>Commercial Truck, Conventional CNG</v>
      </c>
      <c r="D147" s="1071" t="str">
        <f>NewTech!D51</f>
        <v>bn-vmt, bn-vmt/a</v>
      </c>
      <c r="E147" s="1071" t="str">
        <f>NewTech!E51</f>
        <v>TCCNG</v>
      </c>
      <c r="F147" s="1071" t="str">
        <f>NewTech!F51</f>
        <v>TC</v>
      </c>
      <c r="G147" s="1110" t="s">
        <v>502</v>
      </c>
      <c r="H147" s="1110" t="s">
        <v>501</v>
      </c>
      <c r="I147" s="1112">
        <v>1</v>
      </c>
      <c r="J147" s="1111" t="str">
        <f t="shared" si="37"/>
        <v>Commercial Truck-CNG</v>
      </c>
      <c r="K147" s="1111">
        <v>675.7587082465601</v>
      </c>
      <c r="L147" s="1111">
        <v>677.82983375495814</v>
      </c>
      <c r="M147" s="1111">
        <v>676.68894152470091</v>
      </c>
      <c r="N147" s="1111">
        <v>667.43672196505167</v>
      </c>
      <c r="O147" s="1111">
        <v>656.55522929934136</v>
      </c>
      <c r="P147" s="1111">
        <v>655.85666014860146</v>
      </c>
      <c r="Q147" s="1111">
        <v>656.96776144118667</v>
      </c>
      <c r="R147" s="1111">
        <v>657.30093393525215</v>
      </c>
      <c r="S147" s="1111">
        <v>657.39422616607737</v>
      </c>
      <c r="T147" s="1111">
        <f t="shared" si="131"/>
        <v>657.39422616607737</v>
      </c>
      <c r="U147" s="1111">
        <v>3.0146799475978656</v>
      </c>
      <c r="V147" s="1111">
        <v>2.0259159468403549</v>
      </c>
      <c r="W147" s="1111">
        <v>0.66734524578597576</v>
      </c>
      <c r="X147" s="1111">
        <v>0.36217078539327052</v>
      </c>
      <c r="Y147" s="1111">
        <v>0.25114699781709454</v>
      </c>
      <c r="Z147" s="1111">
        <v>0.16536905533109436</v>
      </c>
      <c r="AA147" s="1111">
        <v>0.16189701041139437</v>
      </c>
      <c r="AB147" s="1111">
        <v>0.16189513115752818</v>
      </c>
      <c r="AC147" s="1111">
        <v>0.16200686143225332</v>
      </c>
      <c r="AD147" s="1111">
        <f t="shared" si="132"/>
        <v>0.16200686143225332</v>
      </c>
      <c r="AE147" s="1111">
        <v>3.8602417788471399E-2</v>
      </c>
      <c r="AF147" s="1111">
        <v>1.6293540189000952E-2</v>
      </c>
      <c r="AG147" s="1111">
        <v>1.2607766000449017E-2</v>
      </c>
      <c r="AH147" s="1111">
        <v>4.2995409537388198E-3</v>
      </c>
      <c r="AI147" s="1111">
        <v>4.2407543577426049E-3</v>
      </c>
      <c r="AJ147" s="1111">
        <v>4.1716160773794028E-3</v>
      </c>
      <c r="AK147" s="1111">
        <v>4.1671772168818755E-3</v>
      </c>
      <c r="AL147" s="1111">
        <v>4.1742371332771141E-3</v>
      </c>
      <c r="AM147" s="1111">
        <v>4.1763537358555716E-3</v>
      </c>
      <c r="AN147" s="1111">
        <v>4.1769466648616457E-3</v>
      </c>
      <c r="AO147" s="1111">
        <v>4.1769466648616457E-3</v>
      </c>
      <c r="AP147" s="1111">
        <v>8.727492913685049E-2</v>
      </c>
      <c r="AQ147" s="1111">
        <v>7.015073145379426E-2</v>
      </c>
      <c r="AR147" s="1111">
        <v>5.877132747913956E-2</v>
      </c>
      <c r="AS147" s="1111">
        <v>5.6522642539992611E-2</v>
      </c>
      <c r="AT147" s="1111">
        <v>5.6362718994972472E-2</v>
      </c>
      <c r="AU147" s="1111">
        <v>5.6376663115799121E-2</v>
      </c>
      <c r="AV147" s="1111">
        <v>5.6378624711601363E-2</v>
      </c>
      <c r="AW147" s="1111">
        <v>5.6340954300596761E-2</v>
      </c>
      <c r="AX147" s="1111">
        <v>5.6378129355050093E-2</v>
      </c>
      <c r="AY147" s="1111">
        <v>5.6415925595989402E-2</v>
      </c>
      <c r="AZ147" s="1111">
        <v>5.6415925595989402E-2</v>
      </c>
      <c r="BA147" s="1111">
        <v>4.4681436880471256E-2</v>
      </c>
      <c r="BB147" s="1111">
        <v>2.9644053644229885E-2</v>
      </c>
      <c r="BC147" s="1111">
        <v>1.9594132544732738E-2</v>
      </c>
      <c r="BD147" s="1111">
        <v>1.7509991601039152E-2</v>
      </c>
      <c r="BE147" s="1111">
        <v>1.7310524600574615E-2</v>
      </c>
      <c r="BF147" s="1111">
        <v>1.730789111118081E-2</v>
      </c>
      <c r="BG147" s="1111">
        <v>1.7304225903278164E-2</v>
      </c>
      <c r="BH147" s="1111">
        <v>1.7264845151229263E-2</v>
      </c>
      <c r="BI147" s="1111">
        <v>1.7295887539286715E-2</v>
      </c>
      <c r="BJ147" s="1111">
        <v>1.7328851499837167E-2</v>
      </c>
      <c r="BK147" s="1111">
        <v>1.7328851499837167E-2</v>
      </c>
      <c r="BL147" s="1111">
        <v>35.860741327218626</v>
      </c>
      <c r="BM147" s="1111">
        <v>24.844804072005953</v>
      </c>
      <c r="BN147" s="1111">
        <v>18.593181066520113</v>
      </c>
      <c r="BO147" s="1111">
        <v>11.393031232037009</v>
      </c>
      <c r="BP147" s="1111">
        <v>6.6125965074099637</v>
      </c>
      <c r="BQ147" s="1111">
        <v>4.0821013526340781</v>
      </c>
      <c r="BR147" s="1111">
        <v>2.7736950914505889</v>
      </c>
      <c r="BS147" s="1111">
        <v>2.7302522968900904</v>
      </c>
      <c r="BT147" s="1111">
        <v>2.7268197183978109</v>
      </c>
      <c r="BU147" s="1111">
        <v>2.7248567550504017</v>
      </c>
      <c r="BV147" s="1111">
        <v>2.7248567550504017</v>
      </c>
      <c r="BW147" s="1111">
        <v>1.7098618747055716</v>
      </c>
      <c r="BX147" s="1111">
        <v>1.0620496125987395</v>
      </c>
      <c r="BY147" s="1111">
        <v>0.64803383961976424</v>
      </c>
      <c r="BZ147" s="1111">
        <v>0.32949891749870192</v>
      </c>
      <c r="CA147" s="1111">
        <v>0.2604317132865766</v>
      </c>
      <c r="CB147" s="1111">
        <v>0.23207204924695546</v>
      </c>
      <c r="CC147" s="1111">
        <v>0.21284810732173418</v>
      </c>
      <c r="CD147" s="1111">
        <v>0.21161706051523629</v>
      </c>
      <c r="CE147" s="1111">
        <v>0.21215029904156887</v>
      </c>
      <c r="CF147" s="1111">
        <v>0.21276144651818038</v>
      </c>
      <c r="CG147" s="1111">
        <v>0.21276144651818038</v>
      </c>
      <c r="CH147" s="1111">
        <v>4.7302164924460807E-2</v>
      </c>
      <c r="CI147" s="1111">
        <v>4.7832496091056095E-2</v>
      </c>
      <c r="CJ147" s="1111">
        <v>4.7904483628421181E-2</v>
      </c>
      <c r="CK147" s="1111">
        <v>4.7451411751592183E-2</v>
      </c>
      <c r="CL147" s="1111">
        <v>4.7174477093298743E-2</v>
      </c>
      <c r="CM147" s="1111">
        <v>4.7102731250251599E-2</v>
      </c>
      <c r="CN147" s="1111">
        <v>4.7076661142115006E-2</v>
      </c>
      <c r="CO147" s="1111">
        <v>4.7047405355450787E-2</v>
      </c>
      <c r="CP147" s="1111">
        <v>4.7038486893523253E-2</v>
      </c>
      <c r="CQ147" s="1111">
        <v>4.7036236063411889E-2</v>
      </c>
      <c r="CR147" s="1111">
        <v>4.7036236063411889E-2</v>
      </c>
      <c r="CS147" s="1111">
        <v>3.8087852047407287</v>
      </c>
      <c r="CT147" s="1111">
        <v>3.0146799475978656</v>
      </c>
      <c r="CU147" s="1111">
        <v>2.0259159468403549</v>
      </c>
      <c r="CV147" s="1111">
        <v>0.66734524578597576</v>
      </c>
      <c r="CW147" s="1111">
        <v>0.36217078539327052</v>
      </c>
      <c r="CX147" s="1111">
        <v>0.25114699781709454</v>
      </c>
      <c r="CY147" s="1111">
        <v>0.16536905533109436</v>
      </c>
      <c r="CZ147" s="1111">
        <v>0.16189701041139437</v>
      </c>
      <c r="DA147" s="1111">
        <v>0.16189513115752818</v>
      </c>
      <c r="DB147" s="1111">
        <v>0.16200686143225332</v>
      </c>
      <c r="DC147" s="1111">
        <v>0.16200686143225332</v>
      </c>
      <c r="DD147" s="1111">
        <v>7.984361772561635E-3</v>
      </c>
      <c r="DE147" s="1111">
        <v>5.0212006967350854E-3</v>
      </c>
      <c r="DF147" s="1111">
        <v>3.1208300442598759E-3</v>
      </c>
      <c r="DG147" s="1111">
        <v>2.7536971677900967E-3</v>
      </c>
      <c r="DH147" s="1111">
        <v>2.6062101252931269E-3</v>
      </c>
      <c r="DI147" s="1111">
        <v>2.5990089403284144E-3</v>
      </c>
      <c r="DJ147" s="1111">
        <v>2.5947876308756715E-3</v>
      </c>
      <c r="DK147" s="1111">
        <v>2.5793453985640011E-3</v>
      </c>
      <c r="DL147" s="1111">
        <v>2.5878215177950322E-3</v>
      </c>
      <c r="DM147" s="1111">
        <v>2.5981229820993463E-3</v>
      </c>
      <c r="DN147" s="1111">
        <v>2.5981229820993463E-3</v>
      </c>
      <c r="DO147" s="1111">
        <v>2.1123708176915917E-2</v>
      </c>
      <c r="DP147" s="1111">
        <v>1.311579808868692E-2</v>
      </c>
      <c r="DQ147" s="1111">
        <v>7.5227582987361808E-3</v>
      </c>
      <c r="DR147" s="1111">
        <v>6.3747699705046451E-3</v>
      </c>
      <c r="DS147" s="1111">
        <v>6.3139325183540294E-3</v>
      </c>
      <c r="DT147" s="1111">
        <v>6.3142587832010445E-3</v>
      </c>
      <c r="DU147" s="1111">
        <v>6.3133765031966049E-3</v>
      </c>
      <c r="DV147" s="1111">
        <v>6.2942626243971218E-3</v>
      </c>
      <c r="DW147" s="1111">
        <v>6.3103898501668367E-3</v>
      </c>
      <c r="DX147" s="1111">
        <v>6.3270201095389448E-3</v>
      </c>
      <c r="DY147" s="1111">
        <v>6.3270201095389448E-3</v>
      </c>
      <c r="DZ147" s="1111">
        <v>8.1857365138361657E-2</v>
      </c>
      <c r="EA147" s="1111">
        <v>5.6196969894271621E-2</v>
      </c>
      <c r="EB147" s="1111">
        <v>4.1986170719416738E-2</v>
      </c>
      <c r="EC147" s="1111">
        <v>2.1449467573886532E-2</v>
      </c>
      <c r="ED147" s="1111">
        <v>1.5984380973041973E-2</v>
      </c>
      <c r="EE147" s="1111">
        <v>1.418603159638844E-2</v>
      </c>
      <c r="EF147" s="1111">
        <v>1.2904237852387181E-2</v>
      </c>
      <c r="EG147" s="1111">
        <v>1.292780974994698E-2</v>
      </c>
      <c r="EH147" s="1111">
        <v>1.2933542239182286E-2</v>
      </c>
      <c r="EI147" s="1111">
        <v>1.2942194004542353E-2</v>
      </c>
      <c r="EJ147" s="1111">
        <v>1.2942194004542353E-2</v>
      </c>
      <c r="EK147" s="1111">
        <v>682.37093556210789</v>
      </c>
      <c r="EL147" s="1111">
        <f t="shared" si="154"/>
        <v>675.7587082465601</v>
      </c>
      <c r="EM147" s="1111">
        <f t="shared" si="155"/>
        <v>677.82983375495814</v>
      </c>
      <c r="EN147" s="1111">
        <f t="shared" si="156"/>
        <v>676.68894152470091</v>
      </c>
      <c r="EO147" s="1111">
        <f t="shared" si="157"/>
        <v>667.43672196505167</v>
      </c>
      <c r="EP147" s="1111">
        <f t="shared" si="158"/>
        <v>656.55522929934136</v>
      </c>
      <c r="EQ147" s="1111">
        <f t="shared" si="159"/>
        <v>655.85666014860146</v>
      </c>
      <c r="ER147" s="1111">
        <f t="shared" si="160"/>
        <v>656.96776144118667</v>
      </c>
      <c r="ES147" s="1111">
        <f t="shared" si="161"/>
        <v>657.30093393525215</v>
      </c>
      <c r="ET147" s="1111">
        <f t="shared" si="162"/>
        <v>657.39422616607737</v>
      </c>
      <c r="EU147" s="1111">
        <f t="shared" si="163"/>
        <v>657.39422616607737</v>
      </c>
      <c r="EV147" s="1111">
        <v>3.8087852047407287</v>
      </c>
      <c r="EW147" s="1111">
        <f t="shared" si="144"/>
        <v>3.0146799475978656</v>
      </c>
      <c r="EX147" s="1111">
        <f t="shared" si="145"/>
        <v>2.0259159468403549</v>
      </c>
      <c r="EY147" s="1111">
        <f t="shared" si="146"/>
        <v>0.66734524578597576</v>
      </c>
      <c r="EZ147" s="1111">
        <f t="shared" si="147"/>
        <v>0.36217078539327052</v>
      </c>
      <c r="FA147" s="1111">
        <f t="shared" si="148"/>
        <v>0.25114699781709454</v>
      </c>
      <c r="FB147" s="1111">
        <f t="shared" si="149"/>
        <v>0.16536905533109436</v>
      </c>
      <c r="FC147" s="1111">
        <f t="shared" si="150"/>
        <v>0.16189701041139437</v>
      </c>
      <c r="FD147" s="1111">
        <f t="shared" si="151"/>
        <v>0.16189513115752818</v>
      </c>
      <c r="FE147" s="1111">
        <f t="shared" si="152"/>
        <v>0.16200686143225332</v>
      </c>
      <c r="FF147" s="1111">
        <f t="shared" si="153"/>
        <v>0.16200686143225332</v>
      </c>
      <c r="FG147" s="1111">
        <f t="shared" si="193"/>
        <v>3.8602417788471399E-2</v>
      </c>
      <c r="FH147" s="1111">
        <f t="shared" si="194"/>
        <v>1.6293540189000952E-2</v>
      </c>
      <c r="FI147" s="1111">
        <f t="shared" si="195"/>
        <v>1.2607766000449017E-2</v>
      </c>
      <c r="FJ147" s="1111">
        <f t="shared" si="196"/>
        <v>4.2995409537388198E-3</v>
      </c>
      <c r="FK147" s="1111">
        <f t="shared" si="197"/>
        <v>4.2407543577426049E-3</v>
      </c>
      <c r="FL147" s="1111">
        <f t="shared" si="198"/>
        <v>4.1716160773794028E-3</v>
      </c>
      <c r="FM147" s="1111">
        <f t="shared" si="199"/>
        <v>4.1671772168818755E-3</v>
      </c>
      <c r="FN147" s="1111">
        <f t="shared" si="200"/>
        <v>4.1742371332771141E-3</v>
      </c>
      <c r="FO147" s="1111">
        <f t="shared" si="201"/>
        <v>4.1763537358555716E-3</v>
      </c>
      <c r="FP147" s="1111">
        <f t="shared" si="202"/>
        <v>4.1769466648616457E-3</v>
      </c>
      <c r="FQ147" s="1111">
        <f t="shared" si="203"/>
        <v>4.1769466648616457E-3</v>
      </c>
      <c r="FR147" s="1111">
        <f t="shared" si="133"/>
        <v>8.727492913685049E-2</v>
      </c>
      <c r="FS147" s="1111">
        <f t="shared" si="134"/>
        <v>7.015073145379426E-2</v>
      </c>
      <c r="FT147" s="1111">
        <f t="shared" si="135"/>
        <v>5.877132747913956E-2</v>
      </c>
      <c r="FU147" s="1111">
        <f t="shared" si="136"/>
        <v>5.6522642539992611E-2</v>
      </c>
      <c r="FV147" s="1111">
        <f t="shared" si="137"/>
        <v>5.6362718994972472E-2</v>
      </c>
      <c r="FW147" s="1111">
        <f t="shared" si="138"/>
        <v>5.6376663115799121E-2</v>
      </c>
      <c r="FX147" s="1111">
        <f t="shared" si="139"/>
        <v>5.6378624711601363E-2</v>
      </c>
      <c r="FY147" s="1111">
        <f t="shared" si="140"/>
        <v>5.6340954300596761E-2</v>
      </c>
      <c r="FZ147" s="1111">
        <f t="shared" si="141"/>
        <v>5.6378129355050093E-2</v>
      </c>
      <c r="GA147" s="1111">
        <f t="shared" si="142"/>
        <v>5.6415925595989402E-2</v>
      </c>
      <c r="GB147" s="1111">
        <f t="shared" si="143"/>
        <v>5.6415925595989402E-2</v>
      </c>
      <c r="GC147" s="1111">
        <f t="shared" si="164"/>
        <v>4.4681436880471256E-2</v>
      </c>
      <c r="GD147" s="1111">
        <f t="shared" si="165"/>
        <v>2.9644053644229885E-2</v>
      </c>
      <c r="GE147" s="1111">
        <f t="shared" si="166"/>
        <v>1.9594132544732738E-2</v>
      </c>
      <c r="GF147" s="1111">
        <f t="shared" si="167"/>
        <v>1.7509991601039152E-2</v>
      </c>
      <c r="GG147" s="1111">
        <f t="shared" si="168"/>
        <v>1.7310524600574615E-2</v>
      </c>
      <c r="GH147" s="1111">
        <f t="shared" si="169"/>
        <v>1.730789111118081E-2</v>
      </c>
      <c r="GI147" s="1111">
        <f t="shared" si="170"/>
        <v>1.7304225903278164E-2</v>
      </c>
      <c r="GJ147" s="1111">
        <f t="shared" si="171"/>
        <v>1.7264845151229263E-2</v>
      </c>
      <c r="GK147" s="1111">
        <f t="shared" si="172"/>
        <v>1.7295887539286715E-2</v>
      </c>
      <c r="GL147" s="1111">
        <f t="shared" si="173"/>
        <v>1.7328851499837167E-2</v>
      </c>
      <c r="GM147" s="1111">
        <f t="shared" si="174"/>
        <v>1.7328851499837167E-2</v>
      </c>
    </row>
    <row r="148" spans="1:195" x14ac:dyDescent="0.2">
      <c r="A148" s="1071" t="str">
        <f>Technologies!B96</f>
        <v>*R2,R3,R4,R5,R6</v>
      </c>
      <c r="B148" s="1071" t="str">
        <f>Technologies!C96</f>
        <v>TCCNGIM</v>
      </c>
      <c r="C148" s="1071" t="str">
        <f>Technologies!D96</f>
        <v>Commercial Truck, Improved CNG</v>
      </c>
      <c r="D148" s="1071" t="str">
        <f>NewTech!D52</f>
        <v>bn-vmt, bn-vmt/a</v>
      </c>
      <c r="E148" s="1071" t="str">
        <f>NewTech!E52</f>
        <v>TCCNG</v>
      </c>
      <c r="F148" s="1071" t="str">
        <f>NewTech!F52</f>
        <v>TC</v>
      </c>
      <c r="G148" s="1110" t="s">
        <v>502</v>
      </c>
      <c r="H148" s="1110" t="s">
        <v>501</v>
      </c>
      <c r="I148" s="1112">
        <v>1</v>
      </c>
      <c r="J148" s="1111" t="str">
        <f t="shared" si="37"/>
        <v>Commercial Truck-CNG</v>
      </c>
      <c r="K148" s="1111">
        <v>675.7587082465601</v>
      </c>
      <c r="L148" s="1111">
        <v>677.82983375495814</v>
      </c>
      <c r="M148" s="1111">
        <v>676.68894152470091</v>
      </c>
      <c r="N148" s="1111">
        <v>667.43672196505167</v>
      </c>
      <c r="O148" s="1111">
        <v>656.55522929934136</v>
      </c>
      <c r="P148" s="1111">
        <v>655.85666014860146</v>
      </c>
      <c r="Q148" s="1111">
        <v>656.96776144118667</v>
      </c>
      <c r="R148" s="1111">
        <v>657.30093393525215</v>
      </c>
      <c r="S148" s="1111">
        <v>657.39422616607737</v>
      </c>
      <c r="T148" s="1111">
        <f t="shared" si="131"/>
        <v>657.39422616607737</v>
      </c>
      <c r="U148" s="1111">
        <v>3.0146799475978656</v>
      </c>
      <c r="V148" s="1111">
        <v>2.0259159468403549</v>
      </c>
      <c r="W148" s="1111">
        <v>0.66734524578597576</v>
      </c>
      <c r="X148" s="1111">
        <v>0.36217078539327052</v>
      </c>
      <c r="Y148" s="1111">
        <v>0.25114699781709454</v>
      </c>
      <c r="Z148" s="1111">
        <v>0.16536905533109436</v>
      </c>
      <c r="AA148" s="1111">
        <v>0.16189701041139437</v>
      </c>
      <c r="AB148" s="1111">
        <v>0.16189513115752818</v>
      </c>
      <c r="AC148" s="1111">
        <v>0.16200686143225332</v>
      </c>
      <c r="AD148" s="1111">
        <f t="shared" si="132"/>
        <v>0.16200686143225332</v>
      </c>
      <c r="AE148" s="1111">
        <v>3.8602417788471399E-2</v>
      </c>
      <c r="AF148" s="1111">
        <v>1.6293540189000952E-2</v>
      </c>
      <c r="AG148" s="1111">
        <v>1.2607766000449017E-2</v>
      </c>
      <c r="AH148" s="1111">
        <v>4.2995409537388198E-3</v>
      </c>
      <c r="AI148" s="1111">
        <v>4.2407543577426049E-3</v>
      </c>
      <c r="AJ148" s="1111">
        <v>4.1716160773794028E-3</v>
      </c>
      <c r="AK148" s="1111">
        <v>4.1671772168818755E-3</v>
      </c>
      <c r="AL148" s="1111">
        <v>4.1742371332771141E-3</v>
      </c>
      <c r="AM148" s="1111">
        <v>4.1763537358555716E-3</v>
      </c>
      <c r="AN148" s="1111">
        <v>4.1769466648616457E-3</v>
      </c>
      <c r="AO148" s="1111">
        <v>4.1769466648616457E-3</v>
      </c>
      <c r="AP148" s="1111">
        <v>8.727492913685049E-2</v>
      </c>
      <c r="AQ148" s="1111">
        <v>7.015073145379426E-2</v>
      </c>
      <c r="AR148" s="1111">
        <v>5.877132747913956E-2</v>
      </c>
      <c r="AS148" s="1111">
        <v>5.6522642539992611E-2</v>
      </c>
      <c r="AT148" s="1111">
        <v>5.6362718994972472E-2</v>
      </c>
      <c r="AU148" s="1111">
        <v>5.6376663115799121E-2</v>
      </c>
      <c r="AV148" s="1111">
        <v>5.6378624711601363E-2</v>
      </c>
      <c r="AW148" s="1111">
        <v>5.6340954300596761E-2</v>
      </c>
      <c r="AX148" s="1111">
        <v>5.6378129355050093E-2</v>
      </c>
      <c r="AY148" s="1111">
        <v>5.6415925595989402E-2</v>
      </c>
      <c r="AZ148" s="1111">
        <v>5.6415925595989402E-2</v>
      </c>
      <c r="BA148" s="1111">
        <v>4.4681436880471256E-2</v>
      </c>
      <c r="BB148" s="1111">
        <v>2.9644053644229885E-2</v>
      </c>
      <c r="BC148" s="1111">
        <v>1.9594132544732738E-2</v>
      </c>
      <c r="BD148" s="1111">
        <v>1.7509991601039152E-2</v>
      </c>
      <c r="BE148" s="1111">
        <v>1.7310524600574615E-2</v>
      </c>
      <c r="BF148" s="1111">
        <v>1.730789111118081E-2</v>
      </c>
      <c r="BG148" s="1111">
        <v>1.7304225903278164E-2</v>
      </c>
      <c r="BH148" s="1111">
        <v>1.7264845151229263E-2</v>
      </c>
      <c r="BI148" s="1111">
        <v>1.7295887539286715E-2</v>
      </c>
      <c r="BJ148" s="1111">
        <v>1.7328851499837167E-2</v>
      </c>
      <c r="BK148" s="1111">
        <v>1.7328851499837167E-2</v>
      </c>
      <c r="BL148" s="1111">
        <v>35.860741327218626</v>
      </c>
      <c r="BM148" s="1111">
        <v>24.844804072005953</v>
      </c>
      <c r="BN148" s="1111">
        <v>18.593181066520113</v>
      </c>
      <c r="BO148" s="1111">
        <v>11.393031232037009</v>
      </c>
      <c r="BP148" s="1111">
        <v>6.6125965074099637</v>
      </c>
      <c r="BQ148" s="1111">
        <v>4.0821013526340781</v>
      </c>
      <c r="BR148" s="1111">
        <v>2.7736950914505889</v>
      </c>
      <c r="BS148" s="1111">
        <v>2.7302522968900904</v>
      </c>
      <c r="BT148" s="1111">
        <v>2.7268197183978109</v>
      </c>
      <c r="BU148" s="1111">
        <v>2.7248567550504017</v>
      </c>
      <c r="BV148" s="1111">
        <v>2.7248567550504017</v>
      </c>
      <c r="BW148" s="1111">
        <v>1.7098618747055716</v>
      </c>
      <c r="BX148" s="1111">
        <v>1.0620496125987395</v>
      </c>
      <c r="BY148" s="1111">
        <v>0.64803383961976424</v>
      </c>
      <c r="BZ148" s="1111">
        <v>0.32949891749870192</v>
      </c>
      <c r="CA148" s="1111">
        <v>0.2604317132865766</v>
      </c>
      <c r="CB148" s="1111">
        <v>0.23207204924695546</v>
      </c>
      <c r="CC148" s="1111">
        <v>0.21284810732173418</v>
      </c>
      <c r="CD148" s="1111">
        <v>0.21161706051523629</v>
      </c>
      <c r="CE148" s="1111">
        <v>0.21215029904156887</v>
      </c>
      <c r="CF148" s="1111">
        <v>0.21276144651818038</v>
      </c>
      <c r="CG148" s="1111">
        <v>0.21276144651818038</v>
      </c>
      <c r="CH148" s="1111">
        <v>4.7302164924460807E-2</v>
      </c>
      <c r="CI148" s="1111">
        <v>4.7832496091056095E-2</v>
      </c>
      <c r="CJ148" s="1111">
        <v>4.7904483628421181E-2</v>
      </c>
      <c r="CK148" s="1111">
        <v>4.7451411751592183E-2</v>
      </c>
      <c r="CL148" s="1111">
        <v>4.7174477093298743E-2</v>
      </c>
      <c r="CM148" s="1111">
        <v>4.7102731250251599E-2</v>
      </c>
      <c r="CN148" s="1111">
        <v>4.7076661142115006E-2</v>
      </c>
      <c r="CO148" s="1111">
        <v>4.7047405355450787E-2</v>
      </c>
      <c r="CP148" s="1111">
        <v>4.7038486893523253E-2</v>
      </c>
      <c r="CQ148" s="1111">
        <v>4.7036236063411889E-2</v>
      </c>
      <c r="CR148" s="1111">
        <v>4.7036236063411889E-2</v>
      </c>
      <c r="CS148" s="1111">
        <v>3.8087852047407287</v>
      </c>
      <c r="CT148" s="1111">
        <v>3.0146799475978656</v>
      </c>
      <c r="CU148" s="1111">
        <v>2.0259159468403549</v>
      </c>
      <c r="CV148" s="1111">
        <v>0.66734524578597576</v>
      </c>
      <c r="CW148" s="1111">
        <v>0.36217078539327052</v>
      </c>
      <c r="CX148" s="1111">
        <v>0.25114699781709454</v>
      </c>
      <c r="CY148" s="1111">
        <v>0.16536905533109436</v>
      </c>
      <c r="CZ148" s="1111">
        <v>0.16189701041139437</v>
      </c>
      <c r="DA148" s="1111">
        <v>0.16189513115752818</v>
      </c>
      <c r="DB148" s="1111">
        <v>0.16200686143225332</v>
      </c>
      <c r="DC148" s="1111">
        <v>0.16200686143225332</v>
      </c>
      <c r="DD148" s="1111">
        <v>7.984361772561635E-3</v>
      </c>
      <c r="DE148" s="1111">
        <v>5.0212006967350854E-3</v>
      </c>
      <c r="DF148" s="1111">
        <v>3.1208300442598759E-3</v>
      </c>
      <c r="DG148" s="1111">
        <v>2.7536971677900967E-3</v>
      </c>
      <c r="DH148" s="1111">
        <v>2.6062101252931269E-3</v>
      </c>
      <c r="DI148" s="1111">
        <v>2.5990089403284144E-3</v>
      </c>
      <c r="DJ148" s="1111">
        <v>2.5947876308756715E-3</v>
      </c>
      <c r="DK148" s="1111">
        <v>2.5793453985640011E-3</v>
      </c>
      <c r="DL148" s="1111">
        <v>2.5878215177950322E-3</v>
      </c>
      <c r="DM148" s="1111">
        <v>2.5981229820993463E-3</v>
      </c>
      <c r="DN148" s="1111">
        <v>2.5981229820993463E-3</v>
      </c>
      <c r="DO148" s="1111">
        <v>2.1123708176915917E-2</v>
      </c>
      <c r="DP148" s="1111">
        <v>1.311579808868692E-2</v>
      </c>
      <c r="DQ148" s="1111">
        <v>7.5227582987361808E-3</v>
      </c>
      <c r="DR148" s="1111">
        <v>6.3747699705046451E-3</v>
      </c>
      <c r="DS148" s="1111">
        <v>6.3139325183540294E-3</v>
      </c>
      <c r="DT148" s="1111">
        <v>6.3142587832010445E-3</v>
      </c>
      <c r="DU148" s="1111">
        <v>6.3133765031966049E-3</v>
      </c>
      <c r="DV148" s="1111">
        <v>6.2942626243971218E-3</v>
      </c>
      <c r="DW148" s="1111">
        <v>6.3103898501668367E-3</v>
      </c>
      <c r="DX148" s="1111">
        <v>6.3270201095389448E-3</v>
      </c>
      <c r="DY148" s="1111">
        <v>6.3270201095389448E-3</v>
      </c>
      <c r="DZ148" s="1111">
        <v>8.1857365138361657E-2</v>
      </c>
      <c r="EA148" s="1111">
        <v>5.6196969894271621E-2</v>
      </c>
      <c r="EB148" s="1111">
        <v>4.1986170719416738E-2</v>
      </c>
      <c r="EC148" s="1111">
        <v>2.1449467573886532E-2</v>
      </c>
      <c r="ED148" s="1111">
        <v>1.5984380973041973E-2</v>
      </c>
      <c r="EE148" s="1111">
        <v>1.418603159638844E-2</v>
      </c>
      <c r="EF148" s="1111">
        <v>1.2904237852387181E-2</v>
      </c>
      <c r="EG148" s="1111">
        <v>1.292780974994698E-2</v>
      </c>
      <c r="EH148" s="1111">
        <v>1.2933542239182286E-2</v>
      </c>
      <c r="EI148" s="1111">
        <v>1.2942194004542353E-2</v>
      </c>
      <c r="EJ148" s="1111">
        <v>1.2942194004542353E-2</v>
      </c>
      <c r="EK148" s="1111">
        <v>682.37093556210789</v>
      </c>
      <c r="EL148" s="1111">
        <f t="shared" si="154"/>
        <v>675.7587082465601</v>
      </c>
      <c r="EM148" s="1111">
        <f t="shared" si="155"/>
        <v>677.82983375495814</v>
      </c>
      <c r="EN148" s="1111">
        <f t="shared" si="156"/>
        <v>676.68894152470091</v>
      </c>
      <c r="EO148" s="1111">
        <f t="shared" si="157"/>
        <v>667.43672196505167</v>
      </c>
      <c r="EP148" s="1111">
        <f t="shared" si="158"/>
        <v>656.55522929934136</v>
      </c>
      <c r="EQ148" s="1111">
        <f t="shared" si="159"/>
        <v>655.85666014860146</v>
      </c>
      <c r="ER148" s="1111">
        <f t="shared" si="160"/>
        <v>656.96776144118667</v>
      </c>
      <c r="ES148" s="1111">
        <f t="shared" si="161"/>
        <v>657.30093393525215</v>
      </c>
      <c r="ET148" s="1111">
        <f t="shared" si="162"/>
        <v>657.39422616607737</v>
      </c>
      <c r="EU148" s="1111">
        <f t="shared" si="163"/>
        <v>657.39422616607737</v>
      </c>
      <c r="EV148" s="1111">
        <v>3.8087852047407287</v>
      </c>
      <c r="EW148" s="1111">
        <f t="shared" si="144"/>
        <v>3.0146799475978656</v>
      </c>
      <c r="EX148" s="1111">
        <f t="shared" si="145"/>
        <v>2.0259159468403549</v>
      </c>
      <c r="EY148" s="1111">
        <f t="shared" si="146"/>
        <v>0.66734524578597576</v>
      </c>
      <c r="EZ148" s="1111">
        <f t="shared" si="147"/>
        <v>0.36217078539327052</v>
      </c>
      <c r="FA148" s="1111">
        <f t="shared" si="148"/>
        <v>0.25114699781709454</v>
      </c>
      <c r="FB148" s="1111">
        <f t="shared" si="149"/>
        <v>0.16536905533109436</v>
      </c>
      <c r="FC148" s="1111">
        <f t="shared" si="150"/>
        <v>0.16189701041139437</v>
      </c>
      <c r="FD148" s="1111">
        <f t="shared" si="151"/>
        <v>0.16189513115752818</v>
      </c>
      <c r="FE148" s="1111">
        <f t="shared" si="152"/>
        <v>0.16200686143225332</v>
      </c>
      <c r="FF148" s="1111">
        <f t="shared" si="153"/>
        <v>0.16200686143225332</v>
      </c>
      <c r="FG148" s="1111">
        <f t="shared" si="193"/>
        <v>3.8602417788471399E-2</v>
      </c>
      <c r="FH148" s="1111">
        <f t="shared" si="194"/>
        <v>1.6293540189000952E-2</v>
      </c>
      <c r="FI148" s="1111">
        <f t="shared" si="195"/>
        <v>1.2607766000449017E-2</v>
      </c>
      <c r="FJ148" s="1111">
        <f t="shared" si="196"/>
        <v>4.2995409537388198E-3</v>
      </c>
      <c r="FK148" s="1111">
        <f t="shared" si="197"/>
        <v>4.2407543577426049E-3</v>
      </c>
      <c r="FL148" s="1111">
        <f t="shared" si="198"/>
        <v>4.1716160773794028E-3</v>
      </c>
      <c r="FM148" s="1111">
        <f t="shared" si="199"/>
        <v>4.1671772168818755E-3</v>
      </c>
      <c r="FN148" s="1111">
        <f t="shared" si="200"/>
        <v>4.1742371332771141E-3</v>
      </c>
      <c r="FO148" s="1111">
        <f t="shared" si="201"/>
        <v>4.1763537358555716E-3</v>
      </c>
      <c r="FP148" s="1111">
        <f t="shared" si="202"/>
        <v>4.1769466648616457E-3</v>
      </c>
      <c r="FQ148" s="1111">
        <f t="shared" si="203"/>
        <v>4.1769466648616457E-3</v>
      </c>
      <c r="FR148" s="1111">
        <f t="shared" si="133"/>
        <v>8.727492913685049E-2</v>
      </c>
      <c r="FS148" s="1111">
        <f t="shared" si="134"/>
        <v>7.015073145379426E-2</v>
      </c>
      <c r="FT148" s="1111">
        <f t="shared" si="135"/>
        <v>5.877132747913956E-2</v>
      </c>
      <c r="FU148" s="1111">
        <f t="shared" si="136"/>
        <v>5.6522642539992611E-2</v>
      </c>
      <c r="FV148" s="1111">
        <f t="shared" si="137"/>
        <v>5.6362718994972472E-2</v>
      </c>
      <c r="FW148" s="1111">
        <f t="shared" si="138"/>
        <v>5.6376663115799121E-2</v>
      </c>
      <c r="FX148" s="1111">
        <f t="shared" si="139"/>
        <v>5.6378624711601363E-2</v>
      </c>
      <c r="FY148" s="1111">
        <f t="shared" si="140"/>
        <v>5.6340954300596761E-2</v>
      </c>
      <c r="FZ148" s="1111">
        <f t="shared" si="141"/>
        <v>5.6378129355050093E-2</v>
      </c>
      <c r="GA148" s="1111">
        <f t="shared" si="142"/>
        <v>5.6415925595989402E-2</v>
      </c>
      <c r="GB148" s="1111">
        <f t="shared" si="143"/>
        <v>5.6415925595989402E-2</v>
      </c>
      <c r="GC148" s="1111">
        <f t="shared" si="164"/>
        <v>4.4681436880471256E-2</v>
      </c>
      <c r="GD148" s="1111">
        <f t="shared" si="165"/>
        <v>2.9644053644229885E-2</v>
      </c>
      <c r="GE148" s="1111">
        <f t="shared" si="166"/>
        <v>1.9594132544732738E-2</v>
      </c>
      <c r="GF148" s="1111">
        <f t="shared" si="167"/>
        <v>1.7509991601039152E-2</v>
      </c>
      <c r="GG148" s="1111">
        <f t="shared" si="168"/>
        <v>1.7310524600574615E-2</v>
      </c>
      <c r="GH148" s="1111">
        <f t="shared" si="169"/>
        <v>1.730789111118081E-2</v>
      </c>
      <c r="GI148" s="1111">
        <f t="shared" si="170"/>
        <v>1.7304225903278164E-2</v>
      </c>
      <c r="GJ148" s="1111">
        <f t="shared" si="171"/>
        <v>1.7264845151229263E-2</v>
      </c>
      <c r="GK148" s="1111">
        <f t="shared" si="172"/>
        <v>1.7295887539286715E-2</v>
      </c>
      <c r="GL148" s="1111">
        <f t="shared" si="173"/>
        <v>1.7328851499837167E-2</v>
      </c>
      <c r="GM148" s="1111">
        <f t="shared" si="174"/>
        <v>1.7328851499837167E-2</v>
      </c>
    </row>
    <row r="149" spans="1:195" x14ac:dyDescent="0.2">
      <c r="A149" s="1071" t="str">
        <f>Technologies!B97</f>
        <v>*R2,R3,R4,R5,R6</v>
      </c>
      <c r="B149" s="1071" t="str">
        <f>Technologies!C97</f>
        <v>TCCNGADV</v>
      </c>
      <c r="C149" s="1071" t="str">
        <f>Technologies!D97</f>
        <v>Commerical Truck, Advanced CNG</v>
      </c>
      <c r="D149" s="1071" t="str">
        <f>NewTech!D53</f>
        <v>bn-vmt, bn-vmt/a</v>
      </c>
      <c r="E149" s="1071" t="str">
        <f>NewTech!E53</f>
        <v>TCCNG</v>
      </c>
      <c r="F149" s="1071" t="str">
        <f>NewTech!F53</f>
        <v>TC</v>
      </c>
      <c r="G149" s="1110" t="s">
        <v>502</v>
      </c>
      <c r="H149" s="1110" t="s">
        <v>501</v>
      </c>
      <c r="I149" s="1112">
        <v>1</v>
      </c>
      <c r="J149" s="1111" t="str">
        <f t="shared" si="37"/>
        <v>Commercial Truck-CNG</v>
      </c>
      <c r="K149" s="1111">
        <v>675.7587082465601</v>
      </c>
      <c r="L149" s="1111">
        <v>677.82983375495814</v>
      </c>
      <c r="M149" s="1111">
        <v>676.68894152470091</v>
      </c>
      <c r="N149" s="1111">
        <v>667.43672196505167</v>
      </c>
      <c r="O149" s="1111">
        <v>656.55522929934136</v>
      </c>
      <c r="P149" s="1111">
        <v>655.85666014860146</v>
      </c>
      <c r="Q149" s="1111">
        <v>656.96776144118667</v>
      </c>
      <c r="R149" s="1111">
        <v>657.30093393525215</v>
      </c>
      <c r="S149" s="1111">
        <v>657.39422616607737</v>
      </c>
      <c r="T149" s="1111">
        <f t="shared" si="131"/>
        <v>657.39422616607737</v>
      </c>
      <c r="U149" s="1111">
        <v>3.0146799475978656</v>
      </c>
      <c r="V149" s="1111">
        <v>2.0259159468403549</v>
      </c>
      <c r="W149" s="1111">
        <v>0.66734524578597576</v>
      </c>
      <c r="X149" s="1111">
        <v>0.36217078539327052</v>
      </c>
      <c r="Y149" s="1111">
        <v>0.25114699781709454</v>
      </c>
      <c r="Z149" s="1111">
        <v>0.16536905533109436</v>
      </c>
      <c r="AA149" s="1111">
        <v>0.16189701041139437</v>
      </c>
      <c r="AB149" s="1111">
        <v>0.16189513115752818</v>
      </c>
      <c r="AC149" s="1111">
        <v>0.16200686143225332</v>
      </c>
      <c r="AD149" s="1111">
        <f t="shared" si="132"/>
        <v>0.16200686143225332</v>
      </c>
      <c r="AE149" s="1111">
        <v>3.8602417788471399E-2</v>
      </c>
      <c r="AF149" s="1111">
        <v>1.6293540189000952E-2</v>
      </c>
      <c r="AG149" s="1111">
        <v>1.2607766000449017E-2</v>
      </c>
      <c r="AH149" s="1111">
        <v>4.2995409537388198E-3</v>
      </c>
      <c r="AI149" s="1111">
        <v>4.2407543577426049E-3</v>
      </c>
      <c r="AJ149" s="1111">
        <v>4.1716160773794028E-3</v>
      </c>
      <c r="AK149" s="1111">
        <v>4.1671772168818755E-3</v>
      </c>
      <c r="AL149" s="1111">
        <v>4.1742371332771141E-3</v>
      </c>
      <c r="AM149" s="1111">
        <v>4.1763537358555716E-3</v>
      </c>
      <c r="AN149" s="1111">
        <v>4.1769466648616457E-3</v>
      </c>
      <c r="AO149" s="1111">
        <v>4.1769466648616457E-3</v>
      </c>
      <c r="AP149" s="1111">
        <v>8.727492913685049E-2</v>
      </c>
      <c r="AQ149" s="1111">
        <v>7.015073145379426E-2</v>
      </c>
      <c r="AR149" s="1111">
        <v>5.877132747913956E-2</v>
      </c>
      <c r="AS149" s="1111">
        <v>5.6522642539992611E-2</v>
      </c>
      <c r="AT149" s="1111">
        <v>5.6362718994972472E-2</v>
      </c>
      <c r="AU149" s="1111">
        <v>5.6376663115799121E-2</v>
      </c>
      <c r="AV149" s="1111">
        <v>5.6378624711601363E-2</v>
      </c>
      <c r="AW149" s="1111">
        <v>5.6340954300596761E-2</v>
      </c>
      <c r="AX149" s="1111">
        <v>5.6378129355050093E-2</v>
      </c>
      <c r="AY149" s="1111">
        <v>5.6415925595989402E-2</v>
      </c>
      <c r="AZ149" s="1111">
        <v>5.6415925595989402E-2</v>
      </c>
      <c r="BA149" s="1111">
        <v>4.4681436880471256E-2</v>
      </c>
      <c r="BB149" s="1111">
        <v>2.9644053644229885E-2</v>
      </c>
      <c r="BC149" s="1111">
        <v>1.9594132544732738E-2</v>
      </c>
      <c r="BD149" s="1111">
        <v>1.7509991601039152E-2</v>
      </c>
      <c r="BE149" s="1111">
        <v>1.7310524600574615E-2</v>
      </c>
      <c r="BF149" s="1111">
        <v>1.730789111118081E-2</v>
      </c>
      <c r="BG149" s="1111">
        <v>1.7304225903278164E-2</v>
      </c>
      <c r="BH149" s="1111">
        <v>1.7264845151229263E-2</v>
      </c>
      <c r="BI149" s="1111">
        <v>1.7295887539286715E-2</v>
      </c>
      <c r="BJ149" s="1111">
        <v>1.7328851499837167E-2</v>
      </c>
      <c r="BK149" s="1111">
        <v>1.7328851499837167E-2</v>
      </c>
      <c r="BL149" s="1111">
        <v>35.860741327218626</v>
      </c>
      <c r="BM149" s="1111">
        <v>24.844804072005953</v>
      </c>
      <c r="BN149" s="1111">
        <v>18.593181066520113</v>
      </c>
      <c r="BO149" s="1111">
        <v>11.393031232037009</v>
      </c>
      <c r="BP149" s="1111">
        <v>6.6125965074099637</v>
      </c>
      <c r="BQ149" s="1111">
        <v>4.0821013526340781</v>
      </c>
      <c r="BR149" s="1111">
        <v>2.7736950914505889</v>
      </c>
      <c r="BS149" s="1111">
        <v>2.7302522968900904</v>
      </c>
      <c r="BT149" s="1111">
        <v>2.7268197183978109</v>
      </c>
      <c r="BU149" s="1111">
        <v>2.7248567550504017</v>
      </c>
      <c r="BV149" s="1111">
        <v>2.7248567550504017</v>
      </c>
      <c r="BW149" s="1111">
        <v>1.7098618747055716</v>
      </c>
      <c r="BX149" s="1111">
        <v>1.0620496125987395</v>
      </c>
      <c r="BY149" s="1111">
        <v>0.64803383961976424</v>
      </c>
      <c r="BZ149" s="1111">
        <v>0.32949891749870192</v>
      </c>
      <c r="CA149" s="1111">
        <v>0.2604317132865766</v>
      </c>
      <c r="CB149" s="1111">
        <v>0.23207204924695546</v>
      </c>
      <c r="CC149" s="1111">
        <v>0.21284810732173418</v>
      </c>
      <c r="CD149" s="1111">
        <v>0.21161706051523629</v>
      </c>
      <c r="CE149" s="1111">
        <v>0.21215029904156887</v>
      </c>
      <c r="CF149" s="1111">
        <v>0.21276144651818038</v>
      </c>
      <c r="CG149" s="1111">
        <v>0.21276144651818038</v>
      </c>
      <c r="CH149" s="1111">
        <v>4.7302164924460807E-2</v>
      </c>
      <c r="CI149" s="1111">
        <v>4.7832496091056095E-2</v>
      </c>
      <c r="CJ149" s="1111">
        <v>4.7904483628421181E-2</v>
      </c>
      <c r="CK149" s="1111">
        <v>4.7451411751592183E-2</v>
      </c>
      <c r="CL149" s="1111">
        <v>4.7174477093298743E-2</v>
      </c>
      <c r="CM149" s="1111">
        <v>4.7102731250251599E-2</v>
      </c>
      <c r="CN149" s="1111">
        <v>4.7076661142115006E-2</v>
      </c>
      <c r="CO149" s="1111">
        <v>4.7047405355450787E-2</v>
      </c>
      <c r="CP149" s="1111">
        <v>4.7038486893523253E-2</v>
      </c>
      <c r="CQ149" s="1111">
        <v>4.7036236063411889E-2</v>
      </c>
      <c r="CR149" s="1111">
        <v>4.7036236063411889E-2</v>
      </c>
      <c r="CS149" s="1111">
        <v>3.8087852047407287</v>
      </c>
      <c r="CT149" s="1111">
        <v>3.0146799475978656</v>
      </c>
      <c r="CU149" s="1111">
        <v>2.0259159468403549</v>
      </c>
      <c r="CV149" s="1111">
        <v>0.66734524578597576</v>
      </c>
      <c r="CW149" s="1111">
        <v>0.36217078539327052</v>
      </c>
      <c r="CX149" s="1111">
        <v>0.25114699781709454</v>
      </c>
      <c r="CY149" s="1111">
        <v>0.16536905533109436</v>
      </c>
      <c r="CZ149" s="1111">
        <v>0.16189701041139437</v>
      </c>
      <c r="DA149" s="1111">
        <v>0.16189513115752818</v>
      </c>
      <c r="DB149" s="1111">
        <v>0.16200686143225332</v>
      </c>
      <c r="DC149" s="1111">
        <v>0.16200686143225332</v>
      </c>
      <c r="DD149" s="1111">
        <v>7.984361772561635E-3</v>
      </c>
      <c r="DE149" s="1111">
        <v>5.0212006967350854E-3</v>
      </c>
      <c r="DF149" s="1111">
        <v>3.1208300442598759E-3</v>
      </c>
      <c r="DG149" s="1111">
        <v>2.7536971677900967E-3</v>
      </c>
      <c r="DH149" s="1111">
        <v>2.6062101252931269E-3</v>
      </c>
      <c r="DI149" s="1111">
        <v>2.5990089403284144E-3</v>
      </c>
      <c r="DJ149" s="1111">
        <v>2.5947876308756715E-3</v>
      </c>
      <c r="DK149" s="1111">
        <v>2.5793453985640011E-3</v>
      </c>
      <c r="DL149" s="1111">
        <v>2.5878215177950322E-3</v>
      </c>
      <c r="DM149" s="1111">
        <v>2.5981229820993463E-3</v>
      </c>
      <c r="DN149" s="1111">
        <v>2.5981229820993463E-3</v>
      </c>
      <c r="DO149" s="1111">
        <v>2.1123708176915917E-2</v>
      </c>
      <c r="DP149" s="1111">
        <v>1.311579808868692E-2</v>
      </c>
      <c r="DQ149" s="1111">
        <v>7.5227582987361808E-3</v>
      </c>
      <c r="DR149" s="1111">
        <v>6.3747699705046451E-3</v>
      </c>
      <c r="DS149" s="1111">
        <v>6.3139325183540294E-3</v>
      </c>
      <c r="DT149" s="1111">
        <v>6.3142587832010445E-3</v>
      </c>
      <c r="DU149" s="1111">
        <v>6.3133765031966049E-3</v>
      </c>
      <c r="DV149" s="1111">
        <v>6.2942626243971218E-3</v>
      </c>
      <c r="DW149" s="1111">
        <v>6.3103898501668367E-3</v>
      </c>
      <c r="DX149" s="1111">
        <v>6.3270201095389448E-3</v>
      </c>
      <c r="DY149" s="1111">
        <v>6.3270201095389448E-3</v>
      </c>
      <c r="DZ149" s="1111">
        <v>8.1857365138361657E-2</v>
      </c>
      <c r="EA149" s="1111">
        <v>5.6196969894271621E-2</v>
      </c>
      <c r="EB149" s="1111">
        <v>4.1986170719416738E-2</v>
      </c>
      <c r="EC149" s="1111">
        <v>2.1449467573886532E-2</v>
      </c>
      <c r="ED149" s="1111">
        <v>1.5984380973041973E-2</v>
      </c>
      <c r="EE149" s="1111">
        <v>1.418603159638844E-2</v>
      </c>
      <c r="EF149" s="1111">
        <v>1.2904237852387181E-2</v>
      </c>
      <c r="EG149" s="1111">
        <v>1.292780974994698E-2</v>
      </c>
      <c r="EH149" s="1111">
        <v>1.2933542239182286E-2</v>
      </c>
      <c r="EI149" s="1111">
        <v>1.2942194004542353E-2</v>
      </c>
      <c r="EJ149" s="1111">
        <v>1.2942194004542353E-2</v>
      </c>
      <c r="EK149" s="1111">
        <v>682.37093556210789</v>
      </c>
      <c r="EL149" s="1111">
        <f t="shared" si="154"/>
        <v>675.7587082465601</v>
      </c>
      <c r="EM149" s="1111">
        <f t="shared" si="155"/>
        <v>677.82983375495814</v>
      </c>
      <c r="EN149" s="1111">
        <f t="shared" si="156"/>
        <v>676.68894152470091</v>
      </c>
      <c r="EO149" s="1111">
        <f t="shared" si="157"/>
        <v>667.43672196505167</v>
      </c>
      <c r="EP149" s="1111">
        <f t="shared" si="158"/>
        <v>656.55522929934136</v>
      </c>
      <c r="EQ149" s="1111">
        <f t="shared" si="159"/>
        <v>655.85666014860146</v>
      </c>
      <c r="ER149" s="1111">
        <f t="shared" si="160"/>
        <v>656.96776144118667</v>
      </c>
      <c r="ES149" s="1111">
        <f t="shared" si="161"/>
        <v>657.30093393525215</v>
      </c>
      <c r="ET149" s="1111">
        <f t="shared" si="162"/>
        <v>657.39422616607737</v>
      </c>
      <c r="EU149" s="1111">
        <f t="shared" si="163"/>
        <v>657.39422616607737</v>
      </c>
      <c r="EV149" s="1111">
        <v>3.8087852047407287</v>
      </c>
      <c r="EW149" s="1111">
        <f t="shared" si="144"/>
        <v>3.0146799475978656</v>
      </c>
      <c r="EX149" s="1111">
        <f t="shared" si="145"/>
        <v>2.0259159468403549</v>
      </c>
      <c r="EY149" s="1111">
        <f t="shared" si="146"/>
        <v>0.66734524578597576</v>
      </c>
      <c r="EZ149" s="1111">
        <f t="shared" si="147"/>
        <v>0.36217078539327052</v>
      </c>
      <c r="FA149" s="1111">
        <f t="shared" si="148"/>
        <v>0.25114699781709454</v>
      </c>
      <c r="FB149" s="1111">
        <f t="shared" si="149"/>
        <v>0.16536905533109436</v>
      </c>
      <c r="FC149" s="1111">
        <f t="shared" si="150"/>
        <v>0.16189701041139437</v>
      </c>
      <c r="FD149" s="1111">
        <f t="shared" si="151"/>
        <v>0.16189513115752818</v>
      </c>
      <c r="FE149" s="1111">
        <f t="shared" si="152"/>
        <v>0.16200686143225332</v>
      </c>
      <c r="FF149" s="1111">
        <f t="shared" si="153"/>
        <v>0.16200686143225332</v>
      </c>
      <c r="FG149" s="1111">
        <f t="shared" si="193"/>
        <v>3.8602417788471399E-2</v>
      </c>
      <c r="FH149" s="1111">
        <f t="shared" si="194"/>
        <v>1.6293540189000952E-2</v>
      </c>
      <c r="FI149" s="1111">
        <f t="shared" si="195"/>
        <v>1.2607766000449017E-2</v>
      </c>
      <c r="FJ149" s="1111">
        <f t="shared" si="196"/>
        <v>4.2995409537388198E-3</v>
      </c>
      <c r="FK149" s="1111">
        <f t="shared" si="197"/>
        <v>4.2407543577426049E-3</v>
      </c>
      <c r="FL149" s="1111">
        <f t="shared" si="198"/>
        <v>4.1716160773794028E-3</v>
      </c>
      <c r="FM149" s="1111">
        <f t="shared" si="199"/>
        <v>4.1671772168818755E-3</v>
      </c>
      <c r="FN149" s="1111">
        <f t="shared" si="200"/>
        <v>4.1742371332771141E-3</v>
      </c>
      <c r="FO149" s="1111">
        <f t="shared" si="201"/>
        <v>4.1763537358555716E-3</v>
      </c>
      <c r="FP149" s="1111">
        <f t="shared" si="202"/>
        <v>4.1769466648616457E-3</v>
      </c>
      <c r="FQ149" s="1111">
        <f t="shared" si="203"/>
        <v>4.1769466648616457E-3</v>
      </c>
      <c r="FR149" s="1111">
        <f t="shared" si="133"/>
        <v>8.727492913685049E-2</v>
      </c>
      <c r="FS149" s="1111">
        <f t="shared" si="134"/>
        <v>7.015073145379426E-2</v>
      </c>
      <c r="FT149" s="1111">
        <f t="shared" si="135"/>
        <v>5.877132747913956E-2</v>
      </c>
      <c r="FU149" s="1111">
        <f t="shared" si="136"/>
        <v>5.6522642539992611E-2</v>
      </c>
      <c r="FV149" s="1111">
        <f t="shared" si="137"/>
        <v>5.6362718994972472E-2</v>
      </c>
      <c r="FW149" s="1111">
        <f t="shared" si="138"/>
        <v>5.6376663115799121E-2</v>
      </c>
      <c r="FX149" s="1111">
        <f t="shared" si="139"/>
        <v>5.6378624711601363E-2</v>
      </c>
      <c r="FY149" s="1111">
        <f t="shared" si="140"/>
        <v>5.6340954300596761E-2</v>
      </c>
      <c r="FZ149" s="1111">
        <f t="shared" si="141"/>
        <v>5.6378129355050093E-2</v>
      </c>
      <c r="GA149" s="1111">
        <f t="shared" si="142"/>
        <v>5.6415925595989402E-2</v>
      </c>
      <c r="GB149" s="1111">
        <f t="shared" si="143"/>
        <v>5.6415925595989402E-2</v>
      </c>
      <c r="GC149" s="1111">
        <f t="shared" si="164"/>
        <v>4.4681436880471256E-2</v>
      </c>
      <c r="GD149" s="1111">
        <f t="shared" si="165"/>
        <v>2.9644053644229885E-2</v>
      </c>
      <c r="GE149" s="1111">
        <f t="shared" si="166"/>
        <v>1.9594132544732738E-2</v>
      </c>
      <c r="GF149" s="1111">
        <f t="shared" si="167"/>
        <v>1.7509991601039152E-2</v>
      </c>
      <c r="GG149" s="1111">
        <f t="shared" si="168"/>
        <v>1.7310524600574615E-2</v>
      </c>
      <c r="GH149" s="1111">
        <f t="shared" si="169"/>
        <v>1.730789111118081E-2</v>
      </c>
      <c r="GI149" s="1111">
        <f t="shared" si="170"/>
        <v>1.7304225903278164E-2</v>
      </c>
      <c r="GJ149" s="1111">
        <f t="shared" si="171"/>
        <v>1.7264845151229263E-2</v>
      </c>
      <c r="GK149" s="1111">
        <f t="shared" si="172"/>
        <v>1.7295887539286715E-2</v>
      </c>
      <c r="GL149" s="1111">
        <f t="shared" si="173"/>
        <v>1.7328851499837167E-2</v>
      </c>
      <c r="GM149" s="1111">
        <f t="shared" si="174"/>
        <v>1.7328851499837167E-2</v>
      </c>
    </row>
    <row r="150" spans="1:195" x14ac:dyDescent="0.2">
      <c r="A150" s="1071" t="str">
        <f>Technologies!B100</f>
        <v>*R2,R3,R4,R5,R6</v>
      </c>
      <c r="B150" s="1071" t="str">
        <f>Technologies!C100</f>
        <v>TCE85C</v>
      </c>
      <c r="C150" s="1071" t="str">
        <f>Technologies!D100</f>
        <v>Commercial Truck, Conventional E85</v>
      </c>
      <c r="D150" s="1071" t="str">
        <f>NewTech!D56</f>
        <v>bn-vmt, bn-vmt/a</v>
      </c>
      <c r="E150" s="1071" t="str">
        <f>NewTech!E56</f>
        <v>TCE85X</v>
      </c>
      <c r="F150" s="1071" t="str">
        <f>NewTech!F56</f>
        <v>TC</v>
      </c>
      <c r="G150" s="1110" t="s">
        <v>502</v>
      </c>
      <c r="H150" s="1110" t="s">
        <v>509</v>
      </c>
      <c r="I150" s="1112">
        <v>1</v>
      </c>
      <c r="J150" s="1111" t="str">
        <f t="shared" si="37"/>
        <v>Commercial Truck-E85</v>
      </c>
      <c r="K150" s="1111">
        <v>675.7587082465601</v>
      </c>
      <c r="L150" s="1111">
        <v>677.82983375495814</v>
      </c>
      <c r="M150" s="1111">
        <v>676.68894152470091</v>
      </c>
      <c r="N150" s="1111">
        <v>667.43672196505167</v>
      </c>
      <c r="O150" s="1111">
        <v>656.55522929934136</v>
      </c>
      <c r="P150" s="1111">
        <v>655.85666014860146</v>
      </c>
      <c r="Q150" s="1111">
        <v>656.96776144118667</v>
      </c>
      <c r="R150" s="1111">
        <v>657.30093393525215</v>
      </c>
      <c r="S150" s="1111">
        <v>657.39422616607737</v>
      </c>
      <c r="T150" s="1111">
        <f t="shared" si="131"/>
        <v>657.39422616607737</v>
      </c>
      <c r="U150" s="1111">
        <v>3.0146799475978656</v>
      </c>
      <c r="V150" s="1111">
        <v>2.0259159468403549</v>
      </c>
      <c r="W150" s="1111">
        <v>0.66734524578597576</v>
      </c>
      <c r="X150" s="1111">
        <v>0.36217078539327052</v>
      </c>
      <c r="Y150" s="1111">
        <v>0.25114699781709454</v>
      </c>
      <c r="Z150" s="1111">
        <v>0.16536905533109436</v>
      </c>
      <c r="AA150" s="1111">
        <v>0.16189701041139437</v>
      </c>
      <c r="AB150" s="1111">
        <v>0.16189513115752818</v>
      </c>
      <c r="AC150" s="1111">
        <v>0.16200686143225332</v>
      </c>
      <c r="AD150" s="1111">
        <f t="shared" si="132"/>
        <v>0.16200686143225332</v>
      </c>
      <c r="AE150" s="1111">
        <v>3.8602417788471399E-2</v>
      </c>
      <c r="AF150" s="1111">
        <v>1.6293540189000952E-2</v>
      </c>
      <c r="AG150" s="1111">
        <v>1.2607766000449017E-2</v>
      </c>
      <c r="AH150" s="1111">
        <v>4.2995409537388198E-3</v>
      </c>
      <c r="AI150" s="1111">
        <v>4.2407543577426049E-3</v>
      </c>
      <c r="AJ150" s="1111">
        <v>4.1716160773794028E-3</v>
      </c>
      <c r="AK150" s="1111">
        <v>4.1671772168818755E-3</v>
      </c>
      <c r="AL150" s="1111">
        <v>4.1742371332771141E-3</v>
      </c>
      <c r="AM150" s="1111">
        <v>4.1763537358555716E-3</v>
      </c>
      <c r="AN150" s="1111">
        <v>4.1769466648616457E-3</v>
      </c>
      <c r="AO150" s="1111">
        <v>4.1769466648616457E-3</v>
      </c>
      <c r="AP150" s="1111">
        <v>8.727492913685049E-2</v>
      </c>
      <c r="AQ150" s="1111">
        <v>7.015073145379426E-2</v>
      </c>
      <c r="AR150" s="1111">
        <v>5.877132747913956E-2</v>
      </c>
      <c r="AS150" s="1111">
        <v>5.6522642539992611E-2</v>
      </c>
      <c r="AT150" s="1111">
        <v>5.6362718994972472E-2</v>
      </c>
      <c r="AU150" s="1111">
        <v>5.6376663115799121E-2</v>
      </c>
      <c r="AV150" s="1111">
        <v>5.6378624711601363E-2</v>
      </c>
      <c r="AW150" s="1111">
        <v>5.6340954300596761E-2</v>
      </c>
      <c r="AX150" s="1111">
        <v>5.6378129355050093E-2</v>
      </c>
      <c r="AY150" s="1111">
        <v>5.6415925595989402E-2</v>
      </c>
      <c r="AZ150" s="1111">
        <v>5.6415925595989402E-2</v>
      </c>
      <c r="BA150" s="1111">
        <v>4.4681436880471256E-2</v>
      </c>
      <c r="BB150" s="1111">
        <v>2.9644053644229885E-2</v>
      </c>
      <c r="BC150" s="1111">
        <v>1.9594132544732738E-2</v>
      </c>
      <c r="BD150" s="1111">
        <v>1.7509991601039152E-2</v>
      </c>
      <c r="BE150" s="1111">
        <v>1.7310524600574615E-2</v>
      </c>
      <c r="BF150" s="1111">
        <v>1.730789111118081E-2</v>
      </c>
      <c r="BG150" s="1111">
        <v>1.7304225903278164E-2</v>
      </c>
      <c r="BH150" s="1111">
        <v>1.7264845151229263E-2</v>
      </c>
      <c r="BI150" s="1111">
        <v>1.7295887539286715E-2</v>
      </c>
      <c r="BJ150" s="1111">
        <v>1.7328851499837167E-2</v>
      </c>
      <c r="BK150" s="1111">
        <v>1.7328851499837167E-2</v>
      </c>
      <c r="BL150" s="1111">
        <v>35.860741327218626</v>
      </c>
      <c r="BM150" s="1111">
        <v>24.844804072005953</v>
      </c>
      <c r="BN150" s="1111">
        <v>18.593181066520113</v>
      </c>
      <c r="BO150" s="1111">
        <v>11.393031232037009</v>
      </c>
      <c r="BP150" s="1111">
        <v>6.6125965074099637</v>
      </c>
      <c r="BQ150" s="1111">
        <v>4.0821013526340781</v>
      </c>
      <c r="BR150" s="1111">
        <v>2.7736950914505889</v>
      </c>
      <c r="BS150" s="1111">
        <v>2.7302522968900904</v>
      </c>
      <c r="BT150" s="1111">
        <v>2.7268197183978109</v>
      </c>
      <c r="BU150" s="1111">
        <v>2.7248567550504017</v>
      </c>
      <c r="BV150" s="1111">
        <v>2.7248567550504017</v>
      </c>
      <c r="BW150" s="1111">
        <v>1.7098618747055716</v>
      </c>
      <c r="BX150" s="1111">
        <v>1.0620496125987395</v>
      </c>
      <c r="BY150" s="1111">
        <v>0.64803383961976424</v>
      </c>
      <c r="BZ150" s="1111">
        <v>0.32949891749870192</v>
      </c>
      <c r="CA150" s="1111">
        <v>0.2604317132865766</v>
      </c>
      <c r="CB150" s="1111">
        <v>0.23207204924695546</v>
      </c>
      <c r="CC150" s="1111">
        <v>0.21284810732173418</v>
      </c>
      <c r="CD150" s="1111">
        <v>0.21161706051523629</v>
      </c>
      <c r="CE150" s="1111">
        <v>0.21215029904156887</v>
      </c>
      <c r="CF150" s="1111">
        <v>0.21276144651818038</v>
      </c>
      <c r="CG150" s="1111">
        <v>0.21276144651818038</v>
      </c>
      <c r="CH150" s="1111">
        <v>4.7302164924460807E-2</v>
      </c>
      <c r="CI150" s="1111">
        <v>4.7832496091056095E-2</v>
      </c>
      <c r="CJ150" s="1111">
        <v>4.7904483628421181E-2</v>
      </c>
      <c r="CK150" s="1111">
        <v>4.7451411751592183E-2</v>
      </c>
      <c r="CL150" s="1111">
        <v>4.7174477093298743E-2</v>
      </c>
      <c r="CM150" s="1111">
        <v>4.7102731250251599E-2</v>
      </c>
      <c r="CN150" s="1111">
        <v>4.7076661142115006E-2</v>
      </c>
      <c r="CO150" s="1111">
        <v>4.7047405355450787E-2</v>
      </c>
      <c r="CP150" s="1111">
        <v>4.7038486893523253E-2</v>
      </c>
      <c r="CQ150" s="1111">
        <v>4.7036236063411889E-2</v>
      </c>
      <c r="CR150" s="1111">
        <v>4.7036236063411889E-2</v>
      </c>
      <c r="CS150" s="1111">
        <v>3.8087852047407287</v>
      </c>
      <c r="CT150" s="1111">
        <v>3.0146799475978656</v>
      </c>
      <c r="CU150" s="1111">
        <v>2.0259159468403549</v>
      </c>
      <c r="CV150" s="1111">
        <v>0.66734524578597576</v>
      </c>
      <c r="CW150" s="1111">
        <v>0.36217078539327052</v>
      </c>
      <c r="CX150" s="1111">
        <v>0.25114699781709454</v>
      </c>
      <c r="CY150" s="1111">
        <v>0.16536905533109436</v>
      </c>
      <c r="CZ150" s="1111">
        <v>0.16189701041139437</v>
      </c>
      <c r="DA150" s="1111">
        <v>0.16189513115752818</v>
      </c>
      <c r="DB150" s="1111">
        <v>0.16200686143225332</v>
      </c>
      <c r="DC150" s="1111">
        <v>0.16200686143225332</v>
      </c>
      <c r="DD150" s="1111">
        <v>7.984361772561635E-3</v>
      </c>
      <c r="DE150" s="1111">
        <v>5.0212006967350854E-3</v>
      </c>
      <c r="DF150" s="1111">
        <v>3.1208300442598759E-3</v>
      </c>
      <c r="DG150" s="1111">
        <v>2.7536971677900967E-3</v>
      </c>
      <c r="DH150" s="1111">
        <v>2.6062101252931269E-3</v>
      </c>
      <c r="DI150" s="1111">
        <v>2.5990089403284144E-3</v>
      </c>
      <c r="DJ150" s="1111">
        <v>2.5947876308756715E-3</v>
      </c>
      <c r="DK150" s="1111">
        <v>2.5793453985640011E-3</v>
      </c>
      <c r="DL150" s="1111">
        <v>2.5878215177950322E-3</v>
      </c>
      <c r="DM150" s="1111">
        <v>2.5981229820993463E-3</v>
      </c>
      <c r="DN150" s="1111">
        <v>2.5981229820993463E-3</v>
      </c>
      <c r="DO150" s="1111">
        <v>2.1123708176915917E-2</v>
      </c>
      <c r="DP150" s="1111">
        <v>1.311579808868692E-2</v>
      </c>
      <c r="DQ150" s="1111">
        <v>7.5227582987361808E-3</v>
      </c>
      <c r="DR150" s="1111">
        <v>6.3747699705046451E-3</v>
      </c>
      <c r="DS150" s="1111">
        <v>6.3139325183540294E-3</v>
      </c>
      <c r="DT150" s="1111">
        <v>6.3142587832010445E-3</v>
      </c>
      <c r="DU150" s="1111">
        <v>6.3133765031966049E-3</v>
      </c>
      <c r="DV150" s="1111">
        <v>6.2942626243971218E-3</v>
      </c>
      <c r="DW150" s="1111">
        <v>6.3103898501668367E-3</v>
      </c>
      <c r="DX150" s="1111">
        <v>6.3270201095389448E-3</v>
      </c>
      <c r="DY150" s="1111">
        <v>6.3270201095389448E-3</v>
      </c>
      <c r="DZ150" s="1111">
        <v>8.1857365138361657E-2</v>
      </c>
      <c r="EA150" s="1111">
        <v>5.6196969894271621E-2</v>
      </c>
      <c r="EB150" s="1111">
        <v>4.1986170719416738E-2</v>
      </c>
      <c r="EC150" s="1111">
        <v>2.1449467573886532E-2</v>
      </c>
      <c r="ED150" s="1111">
        <v>1.5984380973041973E-2</v>
      </c>
      <c r="EE150" s="1111">
        <v>1.418603159638844E-2</v>
      </c>
      <c r="EF150" s="1111">
        <v>1.2904237852387181E-2</v>
      </c>
      <c r="EG150" s="1111">
        <v>1.292780974994698E-2</v>
      </c>
      <c r="EH150" s="1111">
        <v>1.2933542239182286E-2</v>
      </c>
      <c r="EI150" s="1111">
        <v>1.2942194004542353E-2</v>
      </c>
      <c r="EJ150" s="1111">
        <v>1.2942194004542353E-2</v>
      </c>
      <c r="EK150" s="1111">
        <v>682.37093556210789</v>
      </c>
      <c r="EL150" s="1111">
        <f t="shared" si="154"/>
        <v>675.7587082465601</v>
      </c>
      <c r="EM150" s="1111">
        <f t="shared" si="155"/>
        <v>677.82983375495814</v>
      </c>
      <c r="EN150" s="1111">
        <f t="shared" si="156"/>
        <v>676.68894152470091</v>
      </c>
      <c r="EO150" s="1111">
        <f t="shared" si="157"/>
        <v>667.43672196505167</v>
      </c>
      <c r="EP150" s="1111">
        <f t="shared" si="158"/>
        <v>656.55522929934136</v>
      </c>
      <c r="EQ150" s="1111">
        <f t="shared" si="159"/>
        <v>655.85666014860146</v>
      </c>
      <c r="ER150" s="1111">
        <f t="shared" si="160"/>
        <v>656.96776144118667</v>
      </c>
      <c r="ES150" s="1111">
        <f t="shared" si="161"/>
        <v>657.30093393525215</v>
      </c>
      <c r="ET150" s="1111">
        <f t="shared" si="162"/>
        <v>657.39422616607737</v>
      </c>
      <c r="EU150" s="1111">
        <f t="shared" si="163"/>
        <v>657.39422616607737</v>
      </c>
      <c r="EV150" s="1111">
        <v>3.8087852047407287</v>
      </c>
      <c r="EW150" s="1111">
        <f t="shared" si="144"/>
        <v>3.0146799475978656</v>
      </c>
      <c r="EX150" s="1111">
        <f t="shared" si="145"/>
        <v>2.0259159468403549</v>
      </c>
      <c r="EY150" s="1111">
        <f t="shared" si="146"/>
        <v>0.66734524578597576</v>
      </c>
      <c r="EZ150" s="1111">
        <f t="shared" si="147"/>
        <v>0.36217078539327052</v>
      </c>
      <c r="FA150" s="1111">
        <f t="shared" si="148"/>
        <v>0.25114699781709454</v>
      </c>
      <c r="FB150" s="1111">
        <f t="shared" si="149"/>
        <v>0.16536905533109436</v>
      </c>
      <c r="FC150" s="1111">
        <f t="shared" si="150"/>
        <v>0.16189701041139437</v>
      </c>
      <c r="FD150" s="1111">
        <f t="shared" si="151"/>
        <v>0.16189513115752818</v>
      </c>
      <c r="FE150" s="1111">
        <f t="shared" si="152"/>
        <v>0.16200686143225332</v>
      </c>
      <c r="FF150" s="1111">
        <f t="shared" si="153"/>
        <v>0.16200686143225332</v>
      </c>
      <c r="FG150" s="1111">
        <f t="shared" si="193"/>
        <v>3.8602417788471399E-2</v>
      </c>
      <c r="FH150" s="1111">
        <f t="shared" si="194"/>
        <v>1.6293540189000952E-2</v>
      </c>
      <c r="FI150" s="1111">
        <f t="shared" si="195"/>
        <v>1.2607766000449017E-2</v>
      </c>
      <c r="FJ150" s="1111">
        <f t="shared" si="196"/>
        <v>4.2995409537388198E-3</v>
      </c>
      <c r="FK150" s="1111">
        <f t="shared" si="197"/>
        <v>4.2407543577426049E-3</v>
      </c>
      <c r="FL150" s="1111">
        <f t="shared" si="198"/>
        <v>4.1716160773794028E-3</v>
      </c>
      <c r="FM150" s="1111">
        <f t="shared" si="199"/>
        <v>4.1671772168818755E-3</v>
      </c>
      <c r="FN150" s="1111">
        <f t="shared" si="200"/>
        <v>4.1742371332771141E-3</v>
      </c>
      <c r="FO150" s="1111">
        <f t="shared" si="201"/>
        <v>4.1763537358555716E-3</v>
      </c>
      <c r="FP150" s="1111">
        <f t="shared" si="202"/>
        <v>4.1769466648616457E-3</v>
      </c>
      <c r="FQ150" s="1111">
        <f t="shared" si="203"/>
        <v>4.1769466648616457E-3</v>
      </c>
      <c r="FR150" s="1111">
        <f t="shared" si="133"/>
        <v>8.727492913685049E-2</v>
      </c>
      <c r="FS150" s="1111">
        <f t="shared" si="134"/>
        <v>7.015073145379426E-2</v>
      </c>
      <c r="FT150" s="1111">
        <f t="shared" si="135"/>
        <v>5.877132747913956E-2</v>
      </c>
      <c r="FU150" s="1111">
        <f t="shared" si="136"/>
        <v>5.6522642539992611E-2</v>
      </c>
      <c r="FV150" s="1111">
        <f t="shared" si="137"/>
        <v>5.6362718994972472E-2</v>
      </c>
      <c r="FW150" s="1111">
        <f t="shared" si="138"/>
        <v>5.6376663115799121E-2</v>
      </c>
      <c r="FX150" s="1111">
        <f t="shared" si="139"/>
        <v>5.6378624711601363E-2</v>
      </c>
      <c r="FY150" s="1111">
        <f t="shared" si="140"/>
        <v>5.6340954300596761E-2</v>
      </c>
      <c r="FZ150" s="1111">
        <f t="shared" si="141"/>
        <v>5.6378129355050093E-2</v>
      </c>
      <c r="GA150" s="1111">
        <f t="shared" si="142"/>
        <v>5.6415925595989402E-2</v>
      </c>
      <c r="GB150" s="1111">
        <f t="shared" si="143"/>
        <v>5.6415925595989402E-2</v>
      </c>
      <c r="GC150" s="1111">
        <f t="shared" si="164"/>
        <v>4.4681436880471256E-2</v>
      </c>
      <c r="GD150" s="1111">
        <f t="shared" si="165"/>
        <v>2.9644053644229885E-2</v>
      </c>
      <c r="GE150" s="1111">
        <f t="shared" si="166"/>
        <v>1.9594132544732738E-2</v>
      </c>
      <c r="GF150" s="1111">
        <f t="shared" si="167"/>
        <v>1.7509991601039152E-2</v>
      </c>
      <c r="GG150" s="1111">
        <f t="shared" si="168"/>
        <v>1.7310524600574615E-2</v>
      </c>
      <c r="GH150" s="1111">
        <f t="shared" si="169"/>
        <v>1.730789111118081E-2</v>
      </c>
      <c r="GI150" s="1111">
        <f t="shared" si="170"/>
        <v>1.7304225903278164E-2</v>
      </c>
      <c r="GJ150" s="1111">
        <f t="shared" si="171"/>
        <v>1.7264845151229263E-2</v>
      </c>
      <c r="GK150" s="1111">
        <f t="shared" si="172"/>
        <v>1.7295887539286715E-2</v>
      </c>
      <c r="GL150" s="1111">
        <f t="shared" si="173"/>
        <v>1.7328851499837167E-2</v>
      </c>
      <c r="GM150" s="1111">
        <f t="shared" si="174"/>
        <v>1.7328851499837167E-2</v>
      </c>
    </row>
    <row r="151" spans="1:195" x14ac:dyDescent="0.2">
      <c r="A151" s="1071" t="str">
        <f>Technologies!B101</f>
        <v>*R2,R3,R4,R5,R6</v>
      </c>
      <c r="B151" s="1071" t="str">
        <f>Technologies!C101</f>
        <v>TCE85IM</v>
      </c>
      <c r="C151" s="1071" t="str">
        <f>Technologies!D101</f>
        <v>Commercial Truck, Improved E85</v>
      </c>
      <c r="D151" s="1071" t="str">
        <f>NewTech!D57</f>
        <v>bn-vmt, bn-vmt/a</v>
      </c>
      <c r="E151" s="1071" t="str">
        <f>NewTech!E57</f>
        <v>TCE85X</v>
      </c>
      <c r="F151" s="1071" t="str">
        <f>NewTech!F57</f>
        <v>TC</v>
      </c>
      <c r="G151" s="1110" t="s">
        <v>502</v>
      </c>
      <c r="H151" s="1110" t="s">
        <v>509</v>
      </c>
      <c r="I151" s="1112">
        <v>1</v>
      </c>
      <c r="J151" s="1111" t="str">
        <f t="shared" si="37"/>
        <v>Commercial Truck-E85</v>
      </c>
      <c r="K151" s="1111">
        <v>675.7587082465601</v>
      </c>
      <c r="L151" s="1111">
        <v>677.82983375495814</v>
      </c>
      <c r="M151" s="1111">
        <v>676.68894152470091</v>
      </c>
      <c r="N151" s="1111">
        <v>667.43672196505167</v>
      </c>
      <c r="O151" s="1111">
        <v>656.55522929934136</v>
      </c>
      <c r="P151" s="1111">
        <v>655.85666014860146</v>
      </c>
      <c r="Q151" s="1111">
        <v>656.96776144118667</v>
      </c>
      <c r="R151" s="1111">
        <v>657.30093393525215</v>
      </c>
      <c r="S151" s="1111">
        <v>657.39422616607737</v>
      </c>
      <c r="T151" s="1111">
        <f t="shared" si="131"/>
        <v>657.39422616607737</v>
      </c>
      <c r="U151" s="1111">
        <v>3.0146799475978656</v>
      </c>
      <c r="V151" s="1111">
        <v>2.0259159468403549</v>
      </c>
      <c r="W151" s="1111">
        <v>0.66734524578597576</v>
      </c>
      <c r="X151" s="1111">
        <v>0.36217078539327052</v>
      </c>
      <c r="Y151" s="1111">
        <v>0.25114699781709454</v>
      </c>
      <c r="Z151" s="1111">
        <v>0.16536905533109436</v>
      </c>
      <c r="AA151" s="1111">
        <v>0.16189701041139437</v>
      </c>
      <c r="AB151" s="1111">
        <v>0.16189513115752818</v>
      </c>
      <c r="AC151" s="1111">
        <v>0.16200686143225332</v>
      </c>
      <c r="AD151" s="1111">
        <f t="shared" si="132"/>
        <v>0.16200686143225332</v>
      </c>
      <c r="AE151" s="1111">
        <v>3.8602417788471399E-2</v>
      </c>
      <c r="AF151" s="1111">
        <v>1.6293540189000952E-2</v>
      </c>
      <c r="AG151" s="1111">
        <v>1.2607766000449017E-2</v>
      </c>
      <c r="AH151" s="1111">
        <v>4.2995409537388198E-3</v>
      </c>
      <c r="AI151" s="1111">
        <v>4.2407543577426049E-3</v>
      </c>
      <c r="AJ151" s="1111">
        <v>4.1716160773794028E-3</v>
      </c>
      <c r="AK151" s="1111">
        <v>4.1671772168818755E-3</v>
      </c>
      <c r="AL151" s="1111">
        <v>4.1742371332771141E-3</v>
      </c>
      <c r="AM151" s="1111">
        <v>4.1763537358555716E-3</v>
      </c>
      <c r="AN151" s="1111">
        <v>4.1769466648616457E-3</v>
      </c>
      <c r="AO151" s="1111">
        <v>4.1769466648616457E-3</v>
      </c>
      <c r="AP151" s="1111">
        <v>8.727492913685049E-2</v>
      </c>
      <c r="AQ151" s="1111">
        <v>7.015073145379426E-2</v>
      </c>
      <c r="AR151" s="1111">
        <v>5.877132747913956E-2</v>
      </c>
      <c r="AS151" s="1111">
        <v>5.6522642539992611E-2</v>
      </c>
      <c r="AT151" s="1111">
        <v>5.6362718994972472E-2</v>
      </c>
      <c r="AU151" s="1111">
        <v>5.6376663115799121E-2</v>
      </c>
      <c r="AV151" s="1111">
        <v>5.6378624711601363E-2</v>
      </c>
      <c r="AW151" s="1111">
        <v>5.6340954300596761E-2</v>
      </c>
      <c r="AX151" s="1111">
        <v>5.6378129355050093E-2</v>
      </c>
      <c r="AY151" s="1111">
        <v>5.6415925595989402E-2</v>
      </c>
      <c r="AZ151" s="1111">
        <v>5.6415925595989402E-2</v>
      </c>
      <c r="BA151" s="1111">
        <v>4.4681436880471256E-2</v>
      </c>
      <c r="BB151" s="1111">
        <v>2.9644053644229885E-2</v>
      </c>
      <c r="BC151" s="1111">
        <v>1.9594132544732738E-2</v>
      </c>
      <c r="BD151" s="1111">
        <v>1.7509991601039152E-2</v>
      </c>
      <c r="BE151" s="1111">
        <v>1.7310524600574615E-2</v>
      </c>
      <c r="BF151" s="1111">
        <v>1.730789111118081E-2</v>
      </c>
      <c r="BG151" s="1111">
        <v>1.7304225903278164E-2</v>
      </c>
      <c r="BH151" s="1111">
        <v>1.7264845151229263E-2</v>
      </c>
      <c r="BI151" s="1111">
        <v>1.7295887539286715E-2</v>
      </c>
      <c r="BJ151" s="1111">
        <v>1.7328851499837167E-2</v>
      </c>
      <c r="BK151" s="1111">
        <v>1.7328851499837167E-2</v>
      </c>
      <c r="BL151" s="1111">
        <v>35.860741327218626</v>
      </c>
      <c r="BM151" s="1111">
        <v>24.844804072005953</v>
      </c>
      <c r="BN151" s="1111">
        <v>18.593181066520113</v>
      </c>
      <c r="BO151" s="1111">
        <v>11.393031232037009</v>
      </c>
      <c r="BP151" s="1111">
        <v>6.6125965074099637</v>
      </c>
      <c r="BQ151" s="1111">
        <v>4.0821013526340781</v>
      </c>
      <c r="BR151" s="1111">
        <v>2.7736950914505889</v>
      </c>
      <c r="BS151" s="1111">
        <v>2.7302522968900904</v>
      </c>
      <c r="BT151" s="1111">
        <v>2.7268197183978109</v>
      </c>
      <c r="BU151" s="1111">
        <v>2.7248567550504017</v>
      </c>
      <c r="BV151" s="1111">
        <v>2.7248567550504017</v>
      </c>
      <c r="BW151" s="1111">
        <v>1.7098618747055716</v>
      </c>
      <c r="BX151" s="1111">
        <v>1.0620496125987395</v>
      </c>
      <c r="BY151" s="1111">
        <v>0.64803383961976424</v>
      </c>
      <c r="BZ151" s="1111">
        <v>0.32949891749870192</v>
      </c>
      <c r="CA151" s="1111">
        <v>0.2604317132865766</v>
      </c>
      <c r="CB151" s="1111">
        <v>0.23207204924695546</v>
      </c>
      <c r="CC151" s="1111">
        <v>0.21284810732173418</v>
      </c>
      <c r="CD151" s="1111">
        <v>0.21161706051523629</v>
      </c>
      <c r="CE151" s="1111">
        <v>0.21215029904156887</v>
      </c>
      <c r="CF151" s="1111">
        <v>0.21276144651818038</v>
      </c>
      <c r="CG151" s="1111">
        <v>0.21276144651818038</v>
      </c>
      <c r="CH151" s="1111">
        <v>4.7302164924460807E-2</v>
      </c>
      <c r="CI151" s="1111">
        <v>4.7832496091056095E-2</v>
      </c>
      <c r="CJ151" s="1111">
        <v>4.7904483628421181E-2</v>
      </c>
      <c r="CK151" s="1111">
        <v>4.7451411751592183E-2</v>
      </c>
      <c r="CL151" s="1111">
        <v>4.7174477093298743E-2</v>
      </c>
      <c r="CM151" s="1111">
        <v>4.7102731250251599E-2</v>
      </c>
      <c r="CN151" s="1111">
        <v>4.7076661142115006E-2</v>
      </c>
      <c r="CO151" s="1111">
        <v>4.7047405355450787E-2</v>
      </c>
      <c r="CP151" s="1111">
        <v>4.7038486893523253E-2</v>
      </c>
      <c r="CQ151" s="1111">
        <v>4.7036236063411889E-2</v>
      </c>
      <c r="CR151" s="1111">
        <v>4.7036236063411889E-2</v>
      </c>
      <c r="CS151" s="1111">
        <v>3.8087852047407287</v>
      </c>
      <c r="CT151" s="1111">
        <v>3.0146799475978656</v>
      </c>
      <c r="CU151" s="1111">
        <v>2.0259159468403549</v>
      </c>
      <c r="CV151" s="1111">
        <v>0.66734524578597576</v>
      </c>
      <c r="CW151" s="1111">
        <v>0.36217078539327052</v>
      </c>
      <c r="CX151" s="1111">
        <v>0.25114699781709454</v>
      </c>
      <c r="CY151" s="1111">
        <v>0.16536905533109436</v>
      </c>
      <c r="CZ151" s="1111">
        <v>0.16189701041139437</v>
      </c>
      <c r="DA151" s="1111">
        <v>0.16189513115752818</v>
      </c>
      <c r="DB151" s="1111">
        <v>0.16200686143225332</v>
      </c>
      <c r="DC151" s="1111">
        <v>0.16200686143225332</v>
      </c>
      <c r="DD151" s="1111">
        <v>7.984361772561635E-3</v>
      </c>
      <c r="DE151" s="1111">
        <v>5.0212006967350854E-3</v>
      </c>
      <c r="DF151" s="1111">
        <v>3.1208300442598759E-3</v>
      </c>
      <c r="DG151" s="1111">
        <v>2.7536971677900967E-3</v>
      </c>
      <c r="DH151" s="1111">
        <v>2.6062101252931269E-3</v>
      </c>
      <c r="DI151" s="1111">
        <v>2.5990089403284144E-3</v>
      </c>
      <c r="DJ151" s="1111">
        <v>2.5947876308756715E-3</v>
      </c>
      <c r="DK151" s="1111">
        <v>2.5793453985640011E-3</v>
      </c>
      <c r="DL151" s="1111">
        <v>2.5878215177950322E-3</v>
      </c>
      <c r="DM151" s="1111">
        <v>2.5981229820993463E-3</v>
      </c>
      <c r="DN151" s="1111">
        <v>2.5981229820993463E-3</v>
      </c>
      <c r="DO151" s="1111">
        <v>2.1123708176915917E-2</v>
      </c>
      <c r="DP151" s="1111">
        <v>1.311579808868692E-2</v>
      </c>
      <c r="DQ151" s="1111">
        <v>7.5227582987361808E-3</v>
      </c>
      <c r="DR151" s="1111">
        <v>6.3747699705046451E-3</v>
      </c>
      <c r="DS151" s="1111">
        <v>6.3139325183540294E-3</v>
      </c>
      <c r="DT151" s="1111">
        <v>6.3142587832010445E-3</v>
      </c>
      <c r="DU151" s="1111">
        <v>6.3133765031966049E-3</v>
      </c>
      <c r="DV151" s="1111">
        <v>6.2942626243971218E-3</v>
      </c>
      <c r="DW151" s="1111">
        <v>6.3103898501668367E-3</v>
      </c>
      <c r="DX151" s="1111">
        <v>6.3270201095389448E-3</v>
      </c>
      <c r="DY151" s="1111">
        <v>6.3270201095389448E-3</v>
      </c>
      <c r="DZ151" s="1111">
        <v>8.1857365138361657E-2</v>
      </c>
      <c r="EA151" s="1111">
        <v>5.6196969894271621E-2</v>
      </c>
      <c r="EB151" s="1111">
        <v>4.1986170719416738E-2</v>
      </c>
      <c r="EC151" s="1111">
        <v>2.1449467573886532E-2</v>
      </c>
      <c r="ED151" s="1111">
        <v>1.5984380973041973E-2</v>
      </c>
      <c r="EE151" s="1111">
        <v>1.418603159638844E-2</v>
      </c>
      <c r="EF151" s="1111">
        <v>1.2904237852387181E-2</v>
      </c>
      <c r="EG151" s="1111">
        <v>1.292780974994698E-2</v>
      </c>
      <c r="EH151" s="1111">
        <v>1.2933542239182286E-2</v>
      </c>
      <c r="EI151" s="1111">
        <v>1.2942194004542353E-2</v>
      </c>
      <c r="EJ151" s="1111">
        <v>1.2942194004542353E-2</v>
      </c>
      <c r="EK151" s="1111">
        <v>682.37093556210789</v>
      </c>
      <c r="EL151" s="1111">
        <f t="shared" si="154"/>
        <v>675.7587082465601</v>
      </c>
      <c r="EM151" s="1111">
        <f t="shared" si="155"/>
        <v>677.82983375495814</v>
      </c>
      <c r="EN151" s="1111">
        <f t="shared" si="156"/>
        <v>676.68894152470091</v>
      </c>
      <c r="EO151" s="1111">
        <f t="shared" si="157"/>
        <v>667.43672196505167</v>
      </c>
      <c r="EP151" s="1111">
        <f t="shared" si="158"/>
        <v>656.55522929934136</v>
      </c>
      <c r="EQ151" s="1111">
        <f t="shared" si="159"/>
        <v>655.85666014860146</v>
      </c>
      <c r="ER151" s="1111">
        <f t="shared" si="160"/>
        <v>656.96776144118667</v>
      </c>
      <c r="ES151" s="1111">
        <f t="shared" si="161"/>
        <v>657.30093393525215</v>
      </c>
      <c r="ET151" s="1111">
        <f t="shared" si="162"/>
        <v>657.39422616607737</v>
      </c>
      <c r="EU151" s="1111">
        <f t="shared" si="163"/>
        <v>657.39422616607737</v>
      </c>
      <c r="EV151" s="1111">
        <v>3.8087852047407287</v>
      </c>
      <c r="EW151" s="1111">
        <f t="shared" si="144"/>
        <v>3.0146799475978656</v>
      </c>
      <c r="EX151" s="1111">
        <f t="shared" si="145"/>
        <v>2.0259159468403549</v>
      </c>
      <c r="EY151" s="1111">
        <f t="shared" si="146"/>
        <v>0.66734524578597576</v>
      </c>
      <c r="EZ151" s="1111">
        <f t="shared" si="147"/>
        <v>0.36217078539327052</v>
      </c>
      <c r="FA151" s="1111">
        <f t="shared" si="148"/>
        <v>0.25114699781709454</v>
      </c>
      <c r="FB151" s="1111">
        <f t="shared" si="149"/>
        <v>0.16536905533109436</v>
      </c>
      <c r="FC151" s="1111">
        <f t="shared" si="150"/>
        <v>0.16189701041139437</v>
      </c>
      <c r="FD151" s="1111">
        <f t="shared" si="151"/>
        <v>0.16189513115752818</v>
      </c>
      <c r="FE151" s="1111">
        <f t="shared" si="152"/>
        <v>0.16200686143225332</v>
      </c>
      <c r="FF151" s="1111">
        <f t="shared" si="153"/>
        <v>0.16200686143225332</v>
      </c>
      <c r="FG151" s="1111">
        <f t="shared" si="193"/>
        <v>3.8602417788471399E-2</v>
      </c>
      <c r="FH151" s="1111">
        <f t="shared" si="194"/>
        <v>1.6293540189000952E-2</v>
      </c>
      <c r="FI151" s="1111">
        <f t="shared" si="195"/>
        <v>1.2607766000449017E-2</v>
      </c>
      <c r="FJ151" s="1111">
        <f t="shared" si="196"/>
        <v>4.2995409537388198E-3</v>
      </c>
      <c r="FK151" s="1111">
        <f t="shared" si="197"/>
        <v>4.2407543577426049E-3</v>
      </c>
      <c r="FL151" s="1111">
        <f t="shared" si="198"/>
        <v>4.1716160773794028E-3</v>
      </c>
      <c r="FM151" s="1111">
        <f t="shared" si="199"/>
        <v>4.1671772168818755E-3</v>
      </c>
      <c r="FN151" s="1111">
        <f t="shared" si="200"/>
        <v>4.1742371332771141E-3</v>
      </c>
      <c r="FO151" s="1111">
        <f t="shared" si="201"/>
        <v>4.1763537358555716E-3</v>
      </c>
      <c r="FP151" s="1111">
        <f t="shared" si="202"/>
        <v>4.1769466648616457E-3</v>
      </c>
      <c r="FQ151" s="1111">
        <f t="shared" si="203"/>
        <v>4.1769466648616457E-3</v>
      </c>
      <c r="FR151" s="1111">
        <f t="shared" si="133"/>
        <v>8.727492913685049E-2</v>
      </c>
      <c r="FS151" s="1111">
        <f t="shared" si="134"/>
        <v>7.015073145379426E-2</v>
      </c>
      <c r="FT151" s="1111">
        <f t="shared" si="135"/>
        <v>5.877132747913956E-2</v>
      </c>
      <c r="FU151" s="1111">
        <f t="shared" si="136"/>
        <v>5.6522642539992611E-2</v>
      </c>
      <c r="FV151" s="1111">
        <f t="shared" si="137"/>
        <v>5.6362718994972472E-2</v>
      </c>
      <c r="FW151" s="1111">
        <f t="shared" si="138"/>
        <v>5.6376663115799121E-2</v>
      </c>
      <c r="FX151" s="1111">
        <f t="shared" si="139"/>
        <v>5.6378624711601363E-2</v>
      </c>
      <c r="FY151" s="1111">
        <f t="shared" si="140"/>
        <v>5.6340954300596761E-2</v>
      </c>
      <c r="FZ151" s="1111">
        <f t="shared" si="141"/>
        <v>5.6378129355050093E-2</v>
      </c>
      <c r="GA151" s="1111">
        <f t="shared" si="142"/>
        <v>5.6415925595989402E-2</v>
      </c>
      <c r="GB151" s="1111">
        <f t="shared" si="143"/>
        <v>5.6415925595989402E-2</v>
      </c>
      <c r="GC151" s="1111">
        <f t="shared" si="164"/>
        <v>4.4681436880471256E-2</v>
      </c>
      <c r="GD151" s="1111">
        <f t="shared" si="165"/>
        <v>2.9644053644229885E-2</v>
      </c>
      <c r="GE151" s="1111">
        <f t="shared" si="166"/>
        <v>1.9594132544732738E-2</v>
      </c>
      <c r="GF151" s="1111">
        <f t="shared" si="167"/>
        <v>1.7509991601039152E-2</v>
      </c>
      <c r="GG151" s="1111">
        <f t="shared" si="168"/>
        <v>1.7310524600574615E-2</v>
      </c>
      <c r="GH151" s="1111">
        <f t="shared" si="169"/>
        <v>1.730789111118081E-2</v>
      </c>
      <c r="GI151" s="1111">
        <f t="shared" si="170"/>
        <v>1.7304225903278164E-2</v>
      </c>
      <c r="GJ151" s="1111">
        <f t="shared" si="171"/>
        <v>1.7264845151229263E-2</v>
      </c>
      <c r="GK151" s="1111">
        <f t="shared" si="172"/>
        <v>1.7295887539286715E-2</v>
      </c>
      <c r="GL151" s="1111">
        <f t="shared" si="173"/>
        <v>1.7328851499837167E-2</v>
      </c>
      <c r="GM151" s="1111">
        <f t="shared" si="174"/>
        <v>1.7328851499837167E-2</v>
      </c>
    </row>
    <row r="152" spans="1:195" x14ac:dyDescent="0.2">
      <c r="A152" s="1071" t="str">
        <f>Technologies!B102</f>
        <v>*R2,R3,R4,R5,R6</v>
      </c>
      <c r="B152" s="1071" t="str">
        <f>Technologies!C102</f>
        <v>TCE85ADV</v>
      </c>
      <c r="C152" s="1071" t="str">
        <f>Technologies!D102</f>
        <v>Commercial Truck, Advanced E85</v>
      </c>
      <c r="D152" s="1071" t="str">
        <f>NewTech!D58</f>
        <v>bn-vmt, bn-vmt/a</v>
      </c>
      <c r="E152" s="1071" t="str">
        <f>NewTech!E58</f>
        <v>TCE85X</v>
      </c>
      <c r="F152" s="1071" t="str">
        <f>NewTech!F58</f>
        <v>TC</v>
      </c>
      <c r="G152" s="1110" t="s">
        <v>502</v>
      </c>
      <c r="H152" s="1110" t="s">
        <v>509</v>
      </c>
      <c r="I152" s="1112">
        <v>1</v>
      </c>
      <c r="J152" s="1111" t="str">
        <f t="shared" si="37"/>
        <v>Commercial Truck-E85</v>
      </c>
      <c r="K152" s="1111">
        <v>675.7587082465601</v>
      </c>
      <c r="L152" s="1111">
        <v>677.82983375495814</v>
      </c>
      <c r="M152" s="1111">
        <v>676.68894152470091</v>
      </c>
      <c r="N152" s="1111">
        <v>667.43672196505167</v>
      </c>
      <c r="O152" s="1111">
        <v>656.55522929934136</v>
      </c>
      <c r="P152" s="1111">
        <v>655.85666014860146</v>
      </c>
      <c r="Q152" s="1111">
        <v>656.96776144118667</v>
      </c>
      <c r="R152" s="1111">
        <v>657.30093393525215</v>
      </c>
      <c r="S152" s="1111">
        <v>657.39422616607737</v>
      </c>
      <c r="T152" s="1111">
        <f t="shared" si="131"/>
        <v>657.39422616607737</v>
      </c>
      <c r="U152" s="1111">
        <v>3.0146799475978656</v>
      </c>
      <c r="V152" s="1111">
        <v>2.0259159468403549</v>
      </c>
      <c r="W152" s="1111">
        <v>0.66734524578597576</v>
      </c>
      <c r="X152" s="1111">
        <v>0.36217078539327052</v>
      </c>
      <c r="Y152" s="1111">
        <v>0.25114699781709454</v>
      </c>
      <c r="Z152" s="1111">
        <v>0.16536905533109436</v>
      </c>
      <c r="AA152" s="1111">
        <v>0.16189701041139437</v>
      </c>
      <c r="AB152" s="1111">
        <v>0.16189513115752818</v>
      </c>
      <c r="AC152" s="1111">
        <v>0.16200686143225332</v>
      </c>
      <c r="AD152" s="1111">
        <f t="shared" si="132"/>
        <v>0.16200686143225332</v>
      </c>
      <c r="AE152" s="1111">
        <v>3.8602417788471399E-2</v>
      </c>
      <c r="AF152" s="1111">
        <v>1.6293540189000952E-2</v>
      </c>
      <c r="AG152" s="1111">
        <v>1.2607766000449017E-2</v>
      </c>
      <c r="AH152" s="1111">
        <v>4.2995409537388198E-3</v>
      </c>
      <c r="AI152" s="1111">
        <v>4.2407543577426049E-3</v>
      </c>
      <c r="AJ152" s="1111">
        <v>4.1716160773794028E-3</v>
      </c>
      <c r="AK152" s="1111">
        <v>4.1671772168818755E-3</v>
      </c>
      <c r="AL152" s="1111">
        <v>4.1742371332771141E-3</v>
      </c>
      <c r="AM152" s="1111">
        <v>4.1763537358555716E-3</v>
      </c>
      <c r="AN152" s="1111">
        <v>4.1769466648616457E-3</v>
      </c>
      <c r="AO152" s="1111">
        <v>4.1769466648616457E-3</v>
      </c>
      <c r="AP152" s="1111">
        <v>8.727492913685049E-2</v>
      </c>
      <c r="AQ152" s="1111">
        <v>7.015073145379426E-2</v>
      </c>
      <c r="AR152" s="1111">
        <v>5.877132747913956E-2</v>
      </c>
      <c r="AS152" s="1111">
        <v>5.6522642539992611E-2</v>
      </c>
      <c r="AT152" s="1111">
        <v>5.6362718994972472E-2</v>
      </c>
      <c r="AU152" s="1111">
        <v>5.6376663115799121E-2</v>
      </c>
      <c r="AV152" s="1111">
        <v>5.6378624711601363E-2</v>
      </c>
      <c r="AW152" s="1111">
        <v>5.6340954300596761E-2</v>
      </c>
      <c r="AX152" s="1111">
        <v>5.6378129355050093E-2</v>
      </c>
      <c r="AY152" s="1111">
        <v>5.6415925595989402E-2</v>
      </c>
      <c r="AZ152" s="1111">
        <v>5.6415925595989402E-2</v>
      </c>
      <c r="BA152" s="1111">
        <v>4.4681436880471256E-2</v>
      </c>
      <c r="BB152" s="1111">
        <v>2.9644053644229885E-2</v>
      </c>
      <c r="BC152" s="1111">
        <v>1.9594132544732738E-2</v>
      </c>
      <c r="BD152" s="1111">
        <v>1.7509991601039152E-2</v>
      </c>
      <c r="BE152" s="1111">
        <v>1.7310524600574615E-2</v>
      </c>
      <c r="BF152" s="1111">
        <v>1.730789111118081E-2</v>
      </c>
      <c r="BG152" s="1111">
        <v>1.7304225903278164E-2</v>
      </c>
      <c r="BH152" s="1111">
        <v>1.7264845151229263E-2</v>
      </c>
      <c r="BI152" s="1111">
        <v>1.7295887539286715E-2</v>
      </c>
      <c r="BJ152" s="1111">
        <v>1.7328851499837167E-2</v>
      </c>
      <c r="BK152" s="1111">
        <v>1.7328851499837167E-2</v>
      </c>
      <c r="BL152" s="1111">
        <v>35.860741327218626</v>
      </c>
      <c r="BM152" s="1111">
        <v>24.844804072005953</v>
      </c>
      <c r="BN152" s="1111">
        <v>18.593181066520113</v>
      </c>
      <c r="BO152" s="1111">
        <v>11.393031232037009</v>
      </c>
      <c r="BP152" s="1111">
        <v>6.6125965074099637</v>
      </c>
      <c r="BQ152" s="1111">
        <v>4.0821013526340781</v>
      </c>
      <c r="BR152" s="1111">
        <v>2.7736950914505889</v>
      </c>
      <c r="BS152" s="1111">
        <v>2.7302522968900904</v>
      </c>
      <c r="BT152" s="1111">
        <v>2.7268197183978109</v>
      </c>
      <c r="BU152" s="1111">
        <v>2.7248567550504017</v>
      </c>
      <c r="BV152" s="1111">
        <v>2.7248567550504017</v>
      </c>
      <c r="BW152" s="1111">
        <v>1.7098618747055716</v>
      </c>
      <c r="BX152" s="1111">
        <v>1.0620496125987395</v>
      </c>
      <c r="BY152" s="1111">
        <v>0.64803383961976424</v>
      </c>
      <c r="BZ152" s="1111">
        <v>0.32949891749870192</v>
      </c>
      <c r="CA152" s="1111">
        <v>0.2604317132865766</v>
      </c>
      <c r="CB152" s="1111">
        <v>0.23207204924695546</v>
      </c>
      <c r="CC152" s="1111">
        <v>0.21284810732173418</v>
      </c>
      <c r="CD152" s="1111">
        <v>0.21161706051523629</v>
      </c>
      <c r="CE152" s="1111">
        <v>0.21215029904156887</v>
      </c>
      <c r="CF152" s="1111">
        <v>0.21276144651818038</v>
      </c>
      <c r="CG152" s="1111">
        <v>0.21276144651818038</v>
      </c>
      <c r="CH152" s="1111">
        <v>4.7302164924460807E-2</v>
      </c>
      <c r="CI152" s="1111">
        <v>4.7832496091056095E-2</v>
      </c>
      <c r="CJ152" s="1111">
        <v>4.7904483628421181E-2</v>
      </c>
      <c r="CK152" s="1111">
        <v>4.7451411751592183E-2</v>
      </c>
      <c r="CL152" s="1111">
        <v>4.7174477093298743E-2</v>
      </c>
      <c r="CM152" s="1111">
        <v>4.7102731250251599E-2</v>
      </c>
      <c r="CN152" s="1111">
        <v>4.7076661142115006E-2</v>
      </c>
      <c r="CO152" s="1111">
        <v>4.7047405355450787E-2</v>
      </c>
      <c r="CP152" s="1111">
        <v>4.7038486893523253E-2</v>
      </c>
      <c r="CQ152" s="1111">
        <v>4.7036236063411889E-2</v>
      </c>
      <c r="CR152" s="1111">
        <v>4.7036236063411889E-2</v>
      </c>
      <c r="CS152" s="1111">
        <v>3.8087852047407287</v>
      </c>
      <c r="CT152" s="1111">
        <v>3.0146799475978656</v>
      </c>
      <c r="CU152" s="1111">
        <v>2.0259159468403549</v>
      </c>
      <c r="CV152" s="1111">
        <v>0.66734524578597576</v>
      </c>
      <c r="CW152" s="1111">
        <v>0.36217078539327052</v>
      </c>
      <c r="CX152" s="1111">
        <v>0.25114699781709454</v>
      </c>
      <c r="CY152" s="1111">
        <v>0.16536905533109436</v>
      </c>
      <c r="CZ152" s="1111">
        <v>0.16189701041139437</v>
      </c>
      <c r="DA152" s="1111">
        <v>0.16189513115752818</v>
      </c>
      <c r="DB152" s="1111">
        <v>0.16200686143225332</v>
      </c>
      <c r="DC152" s="1111">
        <v>0.16200686143225332</v>
      </c>
      <c r="DD152" s="1111">
        <v>7.984361772561635E-3</v>
      </c>
      <c r="DE152" s="1111">
        <v>5.0212006967350854E-3</v>
      </c>
      <c r="DF152" s="1111">
        <v>3.1208300442598759E-3</v>
      </c>
      <c r="DG152" s="1111">
        <v>2.7536971677900967E-3</v>
      </c>
      <c r="DH152" s="1111">
        <v>2.6062101252931269E-3</v>
      </c>
      <c r="DI152" s="1111">
        <v>2.5990089403284144E-3</v>
      </c>
      <c r="DJ152" s="1111">
        <v>2.5947876308756715E-3</v>
      </c>
      <c r="DK152" s="1111">
        <v>2.5793453985640011E-3</v>
      </c>
      <c r="DL152" s="1111">
        <v>2.5878215177950322E-3</v>
      </c>
      <c r="DM152" s="1111">
        <v>2.5981229820993463E-3</v>
      </c>
      <c r="DN152" s="1111">
        <v>2.5981229820993463E-3</v>
      </c>
      <c r="DO152" s="1111">
        <v>2.1123708176915917E-2</v>
      </c>
      <c r="DP152" s="1111">
        <v>1.311579808868692E-2</v>
      </c>
      <c r="DQ152" s="1111">
        <v>7.5227582987361808E-3</v>
      </c>
      <c r="DR152" s="1111">
        <v>6.3747699705046451E-3</v>
      </c>
      <c r="DS152" s="1111">
        <v>6.3139325183540294E-3</v>
      </c>
      <c r="DT152" s="1111">
        <v>6.3142587832010445E-3</v>
      </c>
      <c r="DU152" s="1111">
        <v>6.3133765031966049E-3</v>
      </c>
      <c r="DV152" s="1111">
        <v>6.2942626243971218E-3</v>
      </c>
      <c r="DW152" s="1111">
        <v>6.3103898501668367E-3</v>
      </c>
      <c r="DX152" s="1111">
        <v>6.3270201095389448E-3</v>
      </c>
      <c r="DY152" s="1111">
        <v>6.3270201095389448E-3</v>
      </c>
      <c r="DZ152" s="1111">
        <v>8.1857365138361657E-2</v>
      </c>
      <c r="EA152" s="1111">
        <v>5.6196969894271621E-2</v>
      </c>
      <c r="EB152" s="1111">
        <v>4.1986170719416738E-2</v>
      </c>
      <c r="EC152" s="1111">
        <v>2.1449467573886532E-2</v>
      </c>
      <c r="ED152" s="1111">
        <v>1.5984380973041973E-2</v>
      </c>
      <c r="EE152" s="1111">
        <v>1.418603159638844E-2</v>
      </c>
      <c r="EF152" s="1111">
        <v>1.2904237852387181E-2</v>
      </c>
      <c r="EG152" s="1111">
        <v>1.292780974994698E-2</v>
      </c>
      <c r="EH152" s="1111">
        <v>1.2933542239182286E-2</v>
      </c>
      <c r="EI152" s="1111">
        <v>1.2942194004542353E-2</v>
      </c>
      <c r="EJ152" s="1111">
        <v>1.2942194004542353E-2</v>
      </c>
      <c r="EK152" s="1111">
        <v>682.37093556210789</v>
      </c>
      <c r="EL152" s="1111">
        <f t="shared" si="154"/>
        <v>675.7587082465601</v>
      </c>
      <c r="EM152" s="1111">
        <f t="shared" si="155"/>
        <v>677.82983375495814</v>
      </c>
      <c r="EN152" s="1111">
        <f t="shared" si="156"/>
        <v>676.68894152470091</v>
      </c>
      <c r="EO152" s="1111">
        <f t="shared" si="157"/>
        <v>667.43672196505167</v>
      </c>
      <c r="EP152" s="1111">
        <f t="shared" si="158"/>
        <v>656.55522929934136</v>
      </c>
      <c r="EQ152" s="1111">
        <f t="shared" si="159"/>
        <v>655.85666014860146</v>
      </c>
      <c r="ER152" s="1111">
        <f t="shared" si="160"/>
        <v>656.96776144118667</v>
      </c>
      <c r="ES152" s="1111">
        <f t="shared" si="161"/>
        <v>657.30093393525215</v>
      </c>
      <c r="ET152" s="1111">
        <f t="shared" si="162"/>
        <v>657.39422616607737</v>
      </c>
      <c r="EU152" s="1111">
        <f t="shared" si="163"/>
        <v>657.39422616607737</v>
      </c>
      <c r="EV152" s="1111">
        <v>3.8087852047407287</v>
      </c>
      <c r="EW152" s="1111">
        <f t="shared" si="144"/>
        <v>3.0146799475978656</v>
      </c>
      <c r="EX152" s="1111">
        <f t="shared" si="145"/>
        <v>2.0259159468403549</v>
      </c>
      <c r="EY152" s="1111">
        <f t="shared" si="146"/>
        <v>0.66734524578597576</v>
      </c>
      <c r="EZ152" s="1111">
        <f t="shared" si="147"/>
        <v>0.36217078539327052</v>
      </c>
      <c r="FA152" s="1111">
        <f t="shared" si="148"/>
        <v>0.25114699781709454</v>
      </c>
      <c r="FB152" s="1111">
        <f t="shared" si="149"/>
        <v>0.16536905533109436</v>
      </c>
      <c r="FC152" s="1111">
        <f t="shared" si="150"/>
        <v>0.16189701041139437</v>
      </c>
      <c r="FD152" s="1111">
        <f t="shared" si="151"/>
        <v>0.16189513115752818</v>
      </c>
      <c r="FE152" s="1111">
        <f t="shared" si="152"/>
        <v>0.16200686143225332</v>
      </c>
      <c r="FF152" s="1111">
        <f t="shared" si="153"/>
        <v>0.16200686143225332</v>
      </c>
      <c r="FG152" s="1111">
        <f t="shared" si="193"/>
        <v>3.8602417788471399E-2</v>
      </c>
      <c r="FH152" s="1111">
        <f t="shared" si="194"/>
        <v>1.6293540189000952E-2</v>
      </c>
      <c r="FI152" s="1111">
        <f t="shared" si="195"/>
        <v>1.2607766000449017E-2</v>
      </c>
      <c r="FJ152" s="1111">
        <f t="shared" si="196"/>
        <v>4.2995409537388198E-3</v>
      </c>
      <c r="FK152" s="1111">
        <f t="shared" si="197"/>
        <v>4.2407543577426049E-3</v>
      </c>
      <c r="FL152" s="1111">
        <f t="shared" si="198"/>
        <v>4.1716160773794028E-3</v>
      </c>
      <c r="FM152" s="1111">
        <f t="shared" si="199"/>
        <v>4.1671772168818755E-3</v>
      </c>
      <c r="FN152" s="1111">
        <f t="shared" si="200"/>
        <v>4.1742371332771141E-3</v>
      </c>
      <c r="FO152" s="1111">
        <f t="shared" si="201"/>
        <v>4.1763537358555716E-3</v>
      </c>
      <c r="FP152" s="1111">
        <f t="shared" si="202"/>
        <v>4.1769466648616457E-3</v>
      </c>
      <c r="FQ152" s="1111">
        <f t="shared" si="203"/>
        <v>4.1769466648616457E-3</v>
      </c>
      <c r="FR152" s="1111">
        <f t="shared" si="133"/>
        <v>8.727492913685049E-2</v>
      </c>
      <c r="FS152" s="1111">
        <f t="shared" si="134"/>
        <v>7.015073145379426E-2</v>
      </c>
      <c r="FT152" s="1111">
        <f t="shared" si="135"/>
        <v>5.877132747913956E-2</v>
      </c>
      <c r="FU152" s="1111">
        <f t="shared" si="136"/>
        <v>5.6522642539992611E-2</v>
      </c>
      <c r="FV152" s="1111">
        <f t="shared" si="137"/>
        <v>5.6362718994972472E-2</v>
      </c>
      <c r="FW152" s="1111">
        <f t="shared" si="138"/>
        <v>5.6376663115799121E-2</v>
      </c>
      <c r="FX152" s="1111">
        <f t="shared" si="139"/>
        <v>5.6378624711601363E-2</v>
      </c>
      <c r="FY152" s="1111">
        <f t="shared" si="140"/>
        <v>5.6340954300596761E-2</v>
      </c>
      <c r="FZ152" s="1111">
        <f t="shared" si="141"/>
        <v>5.6378129355050093E-2</v>
      </c>
      <c r="GA152" s="1111">
        <f t="shared" si="142"/>
        <v>5.6415925595989402E-2</v>
      </c>
      <c r="GB152" s="1111">
        <f t="shared" si="143"/>
        <v>5.6415925595989402E-2</v>
      </c>
      <c r="GC152" s="1111">
        <f t="shared" si="164"/>
        <v>4.4681436880471256E-2</v>
      </c>
      <c r="GD152" s="1111">
        <f t="shared" si="165"/>
        <v>2.9644053644229885E-2</v>
      </c>
      <c r="GE152" s="1111">
        <f t="shared" si="166"/>
        <v>1.9594132544732738E-2</v>
      </c>
      <c r="GF152" s="1111">
        <f t="shared" si="167"/>
        <v>1.7509991601039152E-2</v>
      </c>
      <c r="GG152" s="1111">
        <f t="shared" si="168"/>
        <v>1.7310524600574615E-2</v>
      </c>
      <c r="GH152" s="1111">
        <f t="shared" si="169"/>
        <v>1.730789111118081E-2</v>
      </c>
      <c r="GI152" s="1111">
        <f t="shared" si="170"/>
        <v>1.7304225903278164E-2</v>
      </c>
      <c r="GJ152" s="1111">
        <f t="shared" si="171"/>
        <v>1.7264845151229263E-2</v>
      </c>
      <c r="GK152" s="1111">
        <f t="shared" si="172"/>
        <v>1.7295887539286715E-2</v>
      </c>
      <c r="GL152" s="1111">
        <f t="shared" si="173"/>
        <v>1.7328851499837167E-2</v>
      </c>
      <c r="GM152" s="1111">
        <f t="shared" si="174"/>
        <v>1.7328851499837167E-2</v>
      </c>
    </row>
    <row r="153" spans="1:195" x14ac:dyDescent="0.2">
      <c r="A153" s="1071" t="str">
        <f>Technologies!B105</f>
        <v>*R2,R3,R4,R5,R6</v>
      </c>
      <c r="B153" s="1071" t="str">
        <f>Technologies!C105</f>
        <v>TCLPGC</v>
      </c>
      <c r="C153" s="1071" t="str">
        <f>Technologies!D105</f>
        <v>Commercial Truck, Conventional LPG</v>
      </c>
      <c r="D153" s="1071" t="str">
        <f>NewTech!D61</f>
        <v>bn-vmt, bn-vmt/a</v>
      </c>
      <c r="E153" s="1071" t="str">
        <f>NewTech!E61</f>
        <v>TRNLPG1</v>
      </c>
      <c r="F153" s="1071" t="str">
        <f>NewTech!F61</f>
        <v>TC</v>
      </c>
      <c r="G153" s="1110" t="s">
        <v>502</v>
      </c>
      <c r="H153" s="1110" t="s">
        <v>504</v>
      </c>
      <c r="I153" s="1112">
        <v>1</v>
      </c>
      <c r="J153" s="1111" t="str">
        <f t="shared" si="37"/>
        <v>Commercial Truck-LPG</v>
      </c>
      <c r="K153" s="1111">
        <v>675.7587082465601</v>
      </c>
      <c r="L153" s="1111">
        <v>677.82983375495814</v>
      </c>
      <c r="M153" s="1111">
        <v>676.68894152470091</v>
      </c>
      <c r="N153" s="1111">
        <v>667.43672196505167</v>
      </c>
      <c r="O153" s="1111">
        <v>656.55522929934136</v>
      </c>
      <c r="P153" s="1111">
        <v>655.85666014860146</v>
      </c>
      <c r="Q153" s="1111">
        <v>656.96776144118667</v>
      </c>
      <c r="R153" s="1111">
        <v>657.30093393525215</v>
      </c>
      <c r="S153" s="1111">
        <v>657.39422616607737</v>
      </c>
      <c r="T153" s="1111">
        <f t="shared" si="131"/>
        <v>657.39422616607737</v>
      </c>
      <c r="U153" s="1111">
        <v>3.0146799475978656</v>
      </c>
      <c r="V153" s="1111">
        <v>2.0259159468403549</v>
      </c>
      <c r="W153" s="1111">
        <v>0.66734524578597576</v>
      </c>
      <c r="X153" s="1111">
        <v>0.36217078539327052</v>
      </c>
      <c r="Y153" s="1111">
        <v>0.25114699781709454</v>
      </c>
      <c r="Z153" s="1111">
        <v>0.16536905533109436</v>
      </c>
      <c r="AA153" s="1111">
        <v>0.16189701041139437</v>
      </c>
      <c r="AB153" s="1111">
        <v>0.16189513115752818</v>
      </c>
      <c r="AC153" s="1111">
        <v>0.16200686143225332</v>
      </c>
      <c r="AD153" s="1111">
        <f t="shared" si="132"/>
        <v>0.16200686143225332</v>
      </c>
      <c r="AE153" s="1111">
        <v>3.8602417788471399E-2</v>
      </c>
      <c r="AF153" s="1111">
        <v>1.6293540189000952E-2</v>
      </c>
      <c r="AG153" s="1111">
        <v>1.2607766000449017E-2</v>
      </c>
      <c r="AH153" s="1111">
        <v>4.2995409537388198E-3</v>
      </c>
      <c r="AI153" s="1111">
        <v>4.2407543577426049E-3</v>
      </c>
      <c r="AJ153" s="1111">
        <v>4.1716160773794028E-3</v>
      </c>
      <c r="AK153" s="1111">
        <v>4.1671772168818755E-3</v>
      </c>
      <c r="AL153" s="1111">
        <v>4.1742371332771141E-3</v>
      </c>
      <c r="AM153" s="1111">
        <v>4.1763537358555716E-3</v>
      </c>
      <c r="AN153" s="1111">
        <v>4.1769466648616457E-3</v>
      </c>
      <c r="AO153" s="1111">
        <v>4.1769466648616457E-3</v>
      </c>
      <c r="AP153" s="1111">
        <v>8.727492913685049E-2</v>
      </c>
      <c r="AQ153" s="1111">
        <v>7.015073145379426E-2</v>
      </c>
      <c r="AR153" s="1111">
        <v>5.877132747913956E-2</v>
      </c>
      <c r="AS153" s="1111">
        <v>5.6522642539992611E-2</v>
      </c>
      <c r="AT153" s="1111">
        <v>5.6362718994972472E-2</v>
      </c>
      <c r="AU153" s="1111">
        <v>5.6376663115799121E-2</v>
      </c>
      <c r="AV153" s="1111">
        <v>5.6378624711601363E-2</v>
      </c>
      <c r="AW153" s="1111">
        <v>5.6340954300596761E-2</v>
      </c>
      <c r="AX153" s="1111">
        <v>5.6378129355050093E-2</v>
      </c>
      <c r="AY153" s="1111">
        <v>5.6415925595989402E-2</v>
      </c>
      <c r="AZ153" s="1111">
        <v>5.6415925595989402E-2</v>
      </c>
      <c r="BA153" s="1111">
        <v>4.4681436880471256E-2</v>
      </c>
      <c r="BB153" s="1111">
        <v>2.9644053644229885E-2</v>
      </c>
      <c r="BC153" s="1111">
        <v>1.9594132544732738E-2</v>
      </c>
      <c r="BD153" s="1111">
        <v>1.7509991601039152E-2</v>
      </c>
      <c r="BE153" s="1111">
        <v>1.7310524600574615E-2</v>
      </c>
      <c r="BF153" s="1111">
        <v>1.730789111118081E-2</v>
      </c>
      <c r="BG153" s="1111">
        <v>1.7304225903278164E-2</v>
      </c>
      <c r="BH153" s="1111">
        <v>1.7264845151229263E-2</v>
      </c>
      <c r="BI153" s="1111">
        <v>1.7295887539286715E-2</v>
      </c>
      <c r="BJ153" s="1111">
        <v>1.7328851499837167E-2</v>
      </c>
      <c r="BK153" s="1111">
        <v>1.7328851499837167E-2</v>
      </c>
      <c r="BL153" s="1111">
        <v>35.860741327218626</v>
      </c>
      <c r="BM153" s="1111">
        <v>24.844804072005953</v>
      </c>
      <c r="BN153" s="1111">
        <v>18.593181066520113</v>
      </c>
      <c r="BO153" s="1111">
        <v>11.393031232037009</v>
      </c>
      <c r="BP153" s="1111">
        <v>6.6125965074099637</v>
      </c>
      <c r="BQ153" s="1111">
        <v>4.0821013526340781</v>
      </c>
      <c r="BR153" s="1111">
        <v>2.7736950914505889</v>
      </c>
      <c r="BS153" s="1111">
        <v>2.7302522968900904</v>
      </c>
      <c r="BT153" s="1111">
        <v>2.7268197183978109</v>
      </c>
      <c r="BU153" s="1111">
        <v>2.7248567550504017</v>
      </c>
      <c r="BV153" s="1111">
        <v>2.7248567550504017</v>
      </c>
      <c r="BW153" s="1111">
        <v>1.7098618747055716</v>
      </c>
      <c r="BX153" s="1111">
        <v>1.0620496125987395</v>
      </c>
      <c r="BY153" s="1111">
        <v>0.64803383961976424</v>
      </c>
      <c r="BZ153" s="1111">
        <v>0.32949891749870192</v>
      </c>
      <c r="CA153" s="1111">
        <v>0.2604317132865766</v>
      </c>
      <c r="CB153" s="1111">
        <v>0.23207204924695546</v>
      </c>
      <c r="CC153" s="1111">
        <v>0.21284810732173418</v>
      </c>
      <c r="CD153" s="1111">
        <v>0.21161706051523629</v>
      </c>
      <c r="CE153" s="1111">
        <v>0.21215029904156887</v>
      </c>
      <c r="CF153" s="1111">
        <v>0.21276144651818038</v>
      </c>
      <c r="CG153" s="1111">
        <v>0.21276144651818038</v>
      </c>
      <c r="CH153" s="1111">
        <v>4.7302164924460807E-2</v>
      </c>
      <c r="CI153" s="1111">
        <v>4.7832496091056095E-2</v>
      </c>
      <c r="CJ153" s="1111">
        <v>4.7904483628421181E-2</v>
      </c>
      <c r="CK153" s="1111">
        <v>4.7451411751592183E-2</v>
      </c>
      <c r="CL153" s="1111">
        <v>4.7174477093298743E-2</v>
      </c>
      <c r="CM153" s="1111">
        <v>4.7102731250251599E-2</v>
      </c>
      <c r="CN153" s="1111">
        <v>4.7076661142115006E-2</v>
      </c>
      <c r="CO153" s="1111">
        <v>4.7047405355450787E-2</v>
      </c>
      <c r="CP153" s="1111">
        <v>4.7038486893523253E-2</v>
      </c>
      <c r="CQ153" s="1111">
        <v>4.7036236063411889E-2</v>
      </c>
      <c r="CR153" s="1111">
        <v>4.7036236063411889E-2</v>
      </c>
      <c r="CS153" s="1111">
        <v>3.8087852047407287</v>
      </c>
      <c r="CT153" s="1111">
        <v>3.0146799475978656</v>
      </c>
      <c r="CU153" s="1111">
        <v>2.0259159468403549</v>
      </c>
      <c r="CV153" s="1111">
        <v>0.66734524578597576</v>
      </c>
      <c r="CW153" s="1111">
        <v>0.36217078539327052</v>
      </c>
      <c r="CX153" s="1111">
        <v>0.25114699781709454</v>
      </c>
      <c r="CY153" s="1111">
        <v>0.16536905533109436</v>
      </c>
      <c r="CZ153" s="1111">
        <v>0.16189701041139437</v>
      </c>
      <c r="DA153" s="1111">
        <v>0.16189513115752818</v>
      </c>
      <c r="DB153" s="1111">
        <v>0.16200686143225332</v>
      </c>
      <c r="DC153" s="1111">
        <v>0.16200686143225332</v>
      </c>
      <c r="DD153" s="1111">
        <v>7.984361772561635E-3</v>
      </c>
      <c r="DE153" s="1111">
        <v>5.0212006967350854E-3</v>
      </c>
      <c r="DF153" s="1111">
        <v>3.1208300442598759E-3</v>
      </c>
      <c r="DG153" s="1111">
        <v>2.7536971677900967E-3</v>
      </c>
      <c r="DH153" s="1111">
        <v>2.6062101252931269E-3</v>
      </c>
      <c r="DI153" s="1111">
        <v>2.5990089403284144E-3</v>
      </c>
      <c r="DJ153" s="1111">
        <v>2.5947876308756715E-3</v>
      </c>
      <c r="DK153" s="1111">
        <v>2.5793453985640011E-3</v>
      </c>
      <c r="DL153" s="1111">
        <v>2.5878215177950322E-3</v>
      </c>
      <c r="DM153" s="1111">
        <v>2.5981229820993463E-3</v>
      </c>
      <c r="DN153" s="1111">
        <v>2.5981229820993463E-3</v>
      </c>
      <c r="DO153" s="1111">
        <v>2.1123708176915917E-2</v>
      </c>
      <c r="DP153" s="1111">
        <v>1.311579808868692E-2</v>
      </c>
      <c r="DQ153" s="1111">
        <v>7.5227582987361808E-3</v>
      </c>
      <c r="DR153" s="1111">
        <v>6.3747699705046451E-3</v>
      </c>
      <c r="DS153" s="1111">
        <v>6.3139325183540294E-3</v>
      </c>
      <c r="DT153" s="1111">
        <v>6.3142587832010445E-3</v>
      </c>
      <c r="DU153" s="1111">
        <v>6.3133765031966049E-3</v>
      </c>
      <c r="DV153" s="1111">
        <v>6.2942626243971218E-3</v>
      </c>
      <c r="DW153" s="1111">
        <v>6.3103898501668367E-3</v>
      </c>
      <c r="DX153" s="1111">
        <v>6.3270201095389448E-3</v>
      </c>
      <c r="DY153" s="1111">
        <v>6.3270201095389448E-3</v>
      </c>
      <c r="DZ153" s="1111">
        <v>8.1857365138361657E-2</v>
      </c>
      <c r="EA153" s="1111">
        <v>5.6196969894271621E-2</v>
      </c>
      <c r="EB153" s="1111">
        <v>4.1986170719416738E-2</v>
      </c>
      <c r="EC153" s="1111">
        <v>2.1449467573886532E-2</v>
      </c>
      <c r="ED153" s="1111">
        <v>1.5984380973041973E-2</v>
      </c>
      <c r="EE153" s="1111">
        <v>1.418603159638844E-2</v>
      </c>
      <c r="EF153" s="1111">
        <v>1.2904237852387181E-2</v>
      </c>
      <c r="EG153" s="1111">
        <v>1.292780974994698E-2</v>
      </c>
      <c r="EH153" s="1111">
        <v>1.2933542239182286E-2</v>
      </c>
      <c r="EI153" s="1111">
        <v>1.2942194004542353E-2</v>
      </c>
      <c r="EJ153" s="1111">
        <v>1.2942194004542353E-2</v>
      </c>
      <c r="EK153" s="1111">
        <v>682.37093556210789</v>
      </c>
      <c r="EL153" s="1111">
        <f t="shared" si="154"/>
        <v>675.7587082465601</v>
      </c>
      <c r="EM153" s="1111">
        <f t="shared" si="155"/>
        <v>677.82983375495814</v>
      </c>
      <c r="EN153" s="1111">
        <f t="shared" si="156"/>
        <v>676.68894152470091</v>
      </c>
      <c r="EO153" s="1111">
        <f t="shared" si="157"/>
        <v>667.43672196505167</v>
      </c>
      <c r="EP153" s="1111">
        <f t="shared" si="158"/>
        <v>656.55522929934136</v>
      </c>
      <c r="EQ153" s="1111">
        <f t="shared" si="159"/>
        <v>655.85666014860146</v>
      </c>
      <c r="ER153" s="1111">
        <f t="shared" si="160"/>
        <v>656.96776144118667</v>
      </c>
      <c r="ES153" s="1111">
        <f t="shared" si="161"/>
        <v>657.30093393525215</v>
      </c>
      <c r="ET153" s="1111">
        <f t="shared" si="162"/>
        <v>657.39422616607737</v>
      </c>
      <c r="EU153" s="1111">
        <f t="shared" si="163"/>
        <v>657.39422616607737</v>
      </c>
      <c r="EV153" s="1111">
        <v>3.8087852047407287</v>
      </c>
      <c r="EW153" s="1111">
        <f t="shared" si="144"/>
        <v>3.0146799475978656</v>
      </c>
      <c r="EX153" s="1111">
        <f t="shared" si="145"/>
        <v>2.0259159468403549</v>
      </c>
      <c r="EY153" s="1111">
        <f t="shared" si="146"/>
        <v>0.66734524578597576</v>
      </c>
      <c r="EZ153" s="1111">
        <f t="shared" si="147"/>
        <v>0.36217078539327052</v>
      </c>
      <c r="FA153" s="1111">
        <f t="shared" si="148"/>
        <v>0.25114699781709454</v>
      </c>
      <c r="FB153" s="1111">
        <f t="shared" si="149"/>
        <v>0.16536905533109436</v>
      </c>
      <c r="FC153" s="1111">
        <f t="shared" si="150"/>
        <v>0.16189701041139437</v>
      </c>
      <c r="FD153" s="1111">
        <f t="shared" si="151"/>
        <v>0.16189513115752818</v>
      </c>
      <c r="FE153" s="1111">
        <f t="shared" si="152"/>
        <v>0.16200686143225332</v>
      </c>
      <c r="FF153" s="1111">
        <f t="shared" si="153"/>
        <v>0.16200686143225332</v>
      </c>
      <c r="FG153" s="1111">
        <f t="shared" si="193"/>
        <v>3.8602417788471399E-2</v>
      </c>
      <c r="FH153" s="1111">
        <f t="shared" si="194"/>
        <v>1.6293540189000952E-2</v>
      </c>
      <c r="FI153" s="1111">
        <f t="shared" si="195"/>
        <v>1.2607766000449017E-2</v>
      </c>
      <c r="FJ153" s="1111">
        <f t="shared" si="196"/>
        <v>4.2995409537388198E-3</v>
      </c>
      <c r="FK153" s="1111">
        <f t="shared" si="197"/>
        <v>4.2407543577426049E-3</v>
      </c>
      <c r="FL153" s="1111">
        <f t="shared" si="198"/>
        <v>4.1716160773794028E-3</v>
      </c>
      <c r="FM153" s="1111">
        <f t="shared" si="199"/>
        <v>4.1671772168818755E-3</v>
      </c>
      <c r="FN153" s="1111">
        <f t="shared" si="200"/>
        <v>4.1742371332771141E-3</v>
      </c>
      <c r="FO153" s="1111">
        <f t="shared" si="201"/>
        <v>4.1763537358555716E-3</v>
      </c>
      <c r="FP153" s="1111">
        <f t="shared" si="202"/>
        <v>4.1769466648616457E-3</v>
      </c>
      <c r="FQ153" s="1111">
        <f t="shared" si="203"/>
        <v>4.1769466648616457E-3</v>
      </c>
      <c r="FR153" s="1111">
        <f t="shared" si="133"/>
        <v>8.727492913685049E-2</v>
      </c>
      <c r="FS153" s="1111">
        <f t="shared" si="134"/>
        <v>7.015073145379426E-2</v>
      </c>
      <c r="FT153" s="1111">
        <f t="shared" si="135"/>
        <v>5.877132747913956E-2</v>
      </c>
      <c r="FU153" s="1111">
        <f t="shared" si="136"/>
        <v>5.6522642539992611E-2</v>
      </c>
      <c r="FV153" s="1111">
        <f t="shared" si="137"/>
        <v>5.6362718994972472E-2</v>
      </c>
      <c r="FW153" s="1111">
        <f t="shared" si="138"/>
        <v>5.6376663115799121E-2</v>
      </c>
      <c r="FX153" s="1111">
        <f t="shared" si="139"/>
        <v>5.6378624711601363E-2</v>
      </c>
      <c r="FY153" s="1111">
        <f t="shared" si="140"/>
        <v>5.6340954300596761E-2</v>
      </c>
      <c r="FZ153" s="1111">
        <f t="shared" si="141"/>
        <v>5.6378129355050093E-2</v>
      </c>
      <c r="GA153" s="1111">
        <f t="shared" si="142"/>
        <v>5.6415925595989402E-2</v>
      </c>
      <c r="GB153" s="1111">
        <f t="shared" si="143"/>
        <v>5.6415925595989402E-2</v>
      </c>
      <c r="GC153" s="1111">
        <f t="shared" si="164"/>
        <v>4.4681436880471256E-2</v>
      </c>
      <c r="GD153" s="1111">
        <f t="shared" si="165"/>
        <v>2.9644053644229885E-2</v>
      </c>
      <c r="GE153" s="1111">
        <f t="shared" si="166"/>
        <v>1.9594132544732738E-2</v>
      </c>
      <c r="GF153" s="1111">
        <f t="shared" si="167"/>
        <v>1.7509991601039152E-2</v>
      </c>
      <c r="GG153" s="1111">
        <f t="shared" si="168"/>
        <v>1.7310524600574615E-2</v>
      </c>
      <c r="GH153" s="1111">
        <f t="shared" si="169"/>
        <v>1.730789111118081E-2</v>
      </c>
      <c r="GI153" s="1111">
        <f t="shared" si="170"/>
        <v>1.7304225903278164E-2</v>
      </c>
      <c r="GJ153" s="1111">
        <f t="shared" si="171"/>
        <v>1.7264845151229263E-2</v>
      </c>
      <c r="GK153" s="1111">
        <f t="shared" si="172"/>
        <v>1.7295887539286715E-2</v>
      </c>
      <c r="GL153" s="1111">
        <f t="shared" si="173"/>
        <v>1.7328851499837167E-2</v>
      </c>
      <c r="GM153" s="1111">
        <f t="shared" si="174"/>
        <v>1.7328851499837167E-2</v>
      </c>
    </row>
    <row r="154" spans="1:195" x14ac:dyDescent="0.2">
      <c r="A154" s="1071" t="str">
        <f>Technologies!B106</f>
        <v>*R2,R3,R4,R5,R6</v>
      </c>
      <c r="B154" s="1071" t="str">
        <f>Technologies!C106</f>
        <v>TCLPGIM</v>
      </c>
      <c r="C154" s="1071" t="str">
        <f>Technologies!D106</f>
        <v>Commercial Truck, Improved LPG</v>
      </c>
      <c r="D154" s="1071" t="str">
        <f>NewTech!D62</f>
        <v>bn-vmt, bn-vmt/a</v>
      </c>
      <c r="E154" s="1071" t="str">
        <f>NewTech!E61</f>
        <v>TRNLPG1</v>
      </c>
      <c r="F154" s="1071" t="str">
        <f>NewTech!F62</f>
        <v>TC</v>
      </c>
      <c r="G154" s="1110" t="s">
        <v>502</v>
      </c>
      <c r="H154" s="1110" t="s">
        <v>504</v>
      </c>
      <c r="I154" s="1112">
        <v>1</v>
      </c>
      <c r="J154" s="1111" t="str">
        <f t="shared" si="37"/>
        <v>Commercial Truck-LPG</v>
      </c>
      <c r="K154" s="1111">
        <v>675.7587082465601</v>
      </c>
      <c r="L154" s="1111">
        <v>677.82983375495814</v>
      </c>
      <c r="M154" s="1111">
        <v>676.68894152470091</v>
      </c>
      <c r="N154" s="1111">
        <v>667.43672196505167</v>
      </c>
      <c r="O154" s="1111">
        <v>656.55522929934136</v>
      </c>
      <c r="P154" s="1111">
        <v>655.85666014860146</v>
      </c>
      <c r="Q154" s="1111">
        <v>656.96776144118667</v>
      </c>
      <c r="R154" s="1111">
        <v>657.30093393525215</v>
      </c>
      <c r="S154" s="1111">
        <v>657.39422616607737</v>
      </c>
      <c r="T154" s="1111">
        <f t="shared" si="131"/>
        <v>657.39422616607737</v>
      </c>
      <c r="U154" s="1111">
        <v>3.0146799475978656</v>
      </c>
      <c r="V154" s="1111">
        <v>2.0259159468403549</v>
      </c>
      <c r="W154" s="1111">
        <v>0.66734524578597576</v>
      </c>
      <c r="X154" s="1111">
        <v>0.36217078539327052</v>
      </c>
      <c r="Y154" s="1111">
        <v>0.25114699781709454</v>
      </c>
      <c r="Z154" s="1111">
        <v>0.16536905533109436</v>
      </c>
      <c r="AA154" s="1111">
        <v>0.16189701041139437</v>
      </c>
      <c r="AB154" s="1111">
        <v>0.16189513115752818</v>
      </c>
      <c r="AC154" s="1111">
        <v>0.16200686143225332</v>
      </c>
      <c r="AD154" s="1111">
        <f t="shared" si="132"/>
        <v>0.16200686143225332</v>
      </c>
      <c r="AE154" s="1111">
        <v>3.8602417788471399E-2</v>
      </c>
      <c r="AF154" s="1111">
        <v>1.6293540189000952E-2</v>
      </c>
      <c r="AG154" s="1111">
        <v>1.2607766000449017E-2</v>
      </c>
      <c r="AH154" s="1111">
        <v>4.2995409537388198E-3</v>
      </c>
      <c r="AI154" s="1111">
        <v>4.2407543577426049E-3</v>
      </c>
      <c r="AJ154" s="1111">
        <v>4.1716160773794028E-3</v>
      </c>
      <c r="AK154" s="1111">
        <v>4.1671772168818755E-3</v>
      </c>
      <c r="AL154" s="1111">
        <v>4.1742371332771141E-3</v>
      </c>
      <c r="AM154" s="1111">
        <v>4.1763537358555716E-3</v>
      </c>
      <c r="AN154" s="1111">
        <v>4.1769466648616457E-3</v>
      </c>
      <c r="AO154" s="1111">
        <v>4.1769466648616457E-3</v>
      </c>
      <c r="AP154" s="1111">
        <v>8.727492913685049E-2</v>
      </c>
      <c r="AQ154" s="1111">
        <v>7.015073145379426E-2</v>
      </c>
      <c r="AR154" s="1111">
        <v>5.877132747913956E-2</v>
      </c>
      <c r="AS154" s="1111">
        <v>5.6522642539992611E-2</v>
      </c>
      <c r="AT154" s="1111">
        <v>5.6362718994972472E-2</v>
      </c>
      <c r="AU154" s="1111">
        <v>5.6376663115799121E-2</v>
      </c>
      <c r="AV154" s="1111">
        <v>5.6378624711601363E-2</v>
      </c>
      <c r="AW154" s="1111">
        <v>5.6340954300596761E-2</v>
      </c>
      <c r="AX154" s="1111">
        <v>5.6378129355050093E-2</v>
      </c>
      <c r="AY154" s="1111">
        <v>5.6415925595989402E-2</v>
      </c>
      <c r="AZ154" s="1111">
        <v>5.6415925595989402E-2</v>
      </c>
      <c r="BA154" s="1111">
        <v>4.4681436880471256E-2</v>
      </c>
      <c r="BB154" s="1111">
        <v>2.9644053644229885E-2</v>
      </c>
      <c r="BC154" s="1111">
        <v>1.9594132544732738E-2</v>
      </c>
      <c r="BD154" s="1111">
        <v>1.7509991601039152E-2</v>
      </c>
      <c r="BE154" s="1111">
        <v>1.7310524600574615E-2</v>
      </c>
      <c r="BF154" s="1111">
        <v>1.730789111118081E-2</v>
      </c>
      <c r="BG154" s="1111">
        <v>1.7304225903278164E-2</v>
      </c>
      <c r="BH154" s="1111">
        <v>1.7264845151229263E-2</v>
      </c>
      <c r="BI154" s="1111">
        <v>1.7295887539286715E-2</v>
      </c>
      <c r="BJ154" s="1111">
        <v>1.7328851499837167E-2</v>
      </c>
      <c r="BK154" s="1111">
        <v>1.7328851499837167E-2</v>
      </c>
      <c r="BL154" s="1111">
        <v>35.860741327218626</v>
      </c>
      <c r="BM154" s="1111">
        <v>24.844804072005953</v>
      </c>
      <c r="BN154" s="1111">
        <v>18.593181066520113</v>
      </c>
      <c r="BO154" s="1111">
        <v>11.393031232037009</v>
      </c>
      <c r="BP154" s="1111">
        <v>6.6125965074099637</v>
      </c>
      <c r="BQ154" s="1111">
        <v>4.0821013526340781</v>
      </c>
      <c r="BR154" s="1111">
        <v>2.7736950914505889</v>
      </c>
      <c r="BS154" s="1111">
        <v>2.7302522968900904</v>
      </c>
      <c r="BT154" s="1111">
        <v>2.7268197183978109</v>
      </c>
      <c r="BU154" s="1111">
        <v>2.7248567550504017</v>
      </c>
      <c r="BV154" s="1111">
        <v>2.7248567550504017</v>
      </c>
      <c r="BW154" s="1111">
        <v>1.7098618747055716</v>
      </c>
      <c r="BX154" s="1111">
        <v>1.0620496125987395</v>
      </c>
      <c r="BY154" s="1111">
        <v>0.64803383961976424</v>
      </c>
      <c r="BZ154" s="1111">
        <v>0.32949891749870192</v>
      </c>
      <c r="CA154" s="1111">
        <v>0.2604317132865766</v>
      </c>
      <c r="CB154" s="1111">
        <v>0.23207204924695546</v>
      </c>
      <c r="CC154" s="1111">
        <v>0.21284810732173418</v>
      </c>
      <c r="CD154" s="1111">
        <v>0.21161706051523629</v>
      </c>
      <c r="CE154" s="1111">
        <v>0.21215029904156887</v>
      </c>
      <c r="CF154" s="1111">
        <v>0.21276144651818038</v>
      </c>
      <c r="CG154" s="1111">
        <v>0.21276144651818038</v>
      </c>
      <c r="CH154" s="1111">
        <v>4.7302164924460807E-2</v>
      </c>
      <c r="CI154" s="1111">
        <v>4.7832496091056095E-2</v>
      </c>
      <c r="CJ154" s="1111">
        <v>4.7904483628421181E-2</v>
      </c>
      <c r="CK154" s="1111">
        <v>4.7451411751592183E-2</v>
      </c>
      <c r="CL154" s="1111">
        <v>4.7174477093298743E-2</v>
      </c>
      <c r="CM154" s="1111">
        <v>4.7102731250251599E-2</v>
      </c>
      <c r="CN154" s="1111">
        <v>4.7076661142115006E-2</v>
      </c>
      <c r="CO154" s="1111">
        <v>4.7047405355450787E-2</v>
      </c>
      <c r="CP154" s="1111">
        <v>4.7038486893523253E-2</v>
      </c>
      <c r="CQ154" s="1111">
        <v>4.7036236063411889E-2</v>
      </c>
      <c r="CR154" s="1111">
        <v>4.7036236063411889E-2</v>
      </c>
      <c r="CS154" s="1111">
        <v>3.8087852047407287</v>
      </c>
      <c r="CT154" s="1111">
        <v>3.0146799475978656</v>
      </c>
      <c r="CU154" s="1111">
        <v>2.0259159468403549</v>
      </c>
      <c r="CV154" s="1111">
        <v>0.66734524578597576</v>
      </c>
      <c r="CW154" s="1111">
        <v>0.36217078539327052</v>
      </c>
      <c r="CX154" s="1111">
        <v>0.25114699781709454</v>
      </c>
      <c r="CY154" s="1111">
        <v>0.16536905533109436</v>
      </c>
      <c r="CZ154" s="1111">
        <v>0.16189701041139437</v>
      </c>
      <c r="DA154" s="1111">
        <v>0.16189513115752818</v>
      </c>
      <c r="DB154" s="1111">
        <v>0.16200686143225332</v>
      </c>
      <c r="DC154" s="1111">
        <v>0.16200686143225332</v>
      </c>
      <c r="DD154" s="1111">
        <v>7.984361772561635E-3</v>
      </c>
      <c r="DE154" s="1111">
        <v>5.0212006967350854E-3</v>
      </c>
      <c r="DF154" s="1111">
        <v>3.1208300442598759E-3</v>
      </c>
      <c r="DG154" s="1111">
        <v>2.7536971677900967E-3</v>
      </c>
      <c r="DH154" s="1111">
        <v>2.6062101252931269E-3</v>
      </c>
      <c r="DI154" s="1111">
        <v>2.5990089403284144E-3</v>
      </c>
      <c r="DJ154" s="1111">
        <v>2.5947876308756715E-3</v>
      </c>
      <c r="DK154" s="1111">
        <v>2.5793453985640011E-3</v>
      </c>
      <c r="DL154" s="1111">
        <v>2.5878215177950322E-3</v>
      </c>
      <c r="DM154" s="1111">
        <v>2.5981229820993463E-3</v>
      </c>
      <c r="DN154" s="1111">
        <v>2.5981229820993463E-3</v>
      </c>
      <c r="DO154" s="1111">
        <v>2.1123708176915917E-2</v>
      </c>
      <c r="DP154" s="1111">
        <v>1.311579808868692E-2</v>
      </c>
      <c r="DQ154" s="1111">
        <v>7.5227582987361808E-3</v>
      </c>
      <c r="DR154" s="1111">
        <v>6.3747699705046451E-3</v>
      </c>
      <c r="DS154" s="1111">
        <v>6.3139325183540294E-3</v>
      </c>
      <c r="DT154" s="1111">
        <v>6.3142587832010445E-3</v>
      </c>
      <c r="DU154" s="1111">
        <v>6.3133765031966049E-3</v>
      </c>
      <c r="DV154" s="1111">
        <v>6.2942626243971218E-3</v>
      </c>
      <c r="DW154" s="1111">
        <v>6.3103898501668367E-3</v>
      </c>
      <c r="DX154" s="1111">
        <v>6.3270201095389448E-3</v>
      </c>
      <c r="DY154" s="1111">
        <v>6.3270201095389448E-3</v>
      </c>
      <c r="DZ154" s="1111">
        <v>8.1857365138361657E-2</v>
      </c>
      <c r="EA154" s="1111">
        <v>5.6196969894271621E-2</v>
      </c>
      <c r="EB154" s="1111">
        <v>4.1986170719416738E-2</v>
      </c>
      <c r="EC154" s="1111">
        <v>2.1449467573886532E-2</v>
      </c>
      <c r="ED154" s="1111">
        <v>1.5984380973041973E-2</v>
      </c>
      <c r="EE154" s="1111">
        <v>1.418603159638844E-2</v>
      </c>
      <c r="EF154" s="1111">
        <v>1.2904237852387181E-2</v>
      </c>
      <c r="EG154" s="1111">
        <v>1.292780974994698E-2</v>
      </c>
      <c r="EH154" s="1111">
        <v>1.2933542239182286E-2</v>
      </c>
      <c r="EI154" s="1111">
        <v>1.2942194004542353E-2</v>
      </c>
      <c r="EJ154" s="1111">
        <v>1.2942194004542353E-2</v>
      </c>
      <c r="EK154" s="1111">
        <v>682.37093556210789</v>
      </c>
      <c r="EL154" s="1111">
        <f t="shared" si="154"/>
        <v>675.7587082465601</v>
      </c>
      <c r="EM154" s="1111">
        <f t="shared" si="155"/>
        <v>677.82983375495814</v>
      </c>
      <c r="EN154" s="1111">
        <f t="shared" si="156"/>
        <v>676.68894152470091</v>
      </c>
      <c r="EO154" s="1111">
        <f t="shared" si="157"/>
        <v>667.43672196505167</v>
      </c>
      <c r="EP154" s="1111">
        <f t="shared" si="158"/>
        <v>656.55522929934136</v>
      </c>
      <c r="EQ154" s="1111">
        <f t="shared" si="159"/>
        <v>655.85666014860146</v>
      </c>
      <c r="ER154" s="1111">
        <f t="shared" si="160"/>
        <v>656.96776144118667</v>
      </c>
      <c r="ES154" s="1111">
        <f t="shared" si="161"/>
        <v>657.30093393525215</v>
      </c>
      <c r="ET154" s="1111">
        <f t="shared" si="162"/>
        <v>657.39422616607737</v>
      </c>
      <c r="EU154" s="1111">
        <f t="shared" si="163"/>
        <v>657.39422616607737</v>
      </c>
      <c r="EV154" s="1111">
        <v>3.8087852047407287</v>
      </c>
      <c r="EW154" s="1111">
        <f t="shared" si="144"/>
        <v>3.0146799475978656</v>
      </c>
      <c r="EX154" s="1111">
        <f t="shared" si="145"/>
        <v>2.0259159468403549</v>
      </c>
      <c r="EY154" s="1111">
        <f t="shared" si="146"/>
        <v>0.66734524578597576</v>
      </c>
      <c r="EZ154" s="1111">
        <f t="shared" si="147"/>
        <v>0.36217078539327052</v>
      </c>
      <c r="FA154" s="1111">
        <f t="shared" si="148"/>
        <v>0.25114699781709454</v>
      </c>
      <c r="FB154" s="1111">
        <f t="shared" si="149"/>
        <v>0.16536905533109436</v>
      </c>
      <c r="FC154" s="1111">
        <f t="shared" si="150"/>
        <v>0.16189701041139437</v>
      </c>
      <c r="FD154" s="1111">
        <f t="shared" si="151"/>
        <v>0.16189513115752818</v>
      </c>
      <c r="FE154" s="1111">
        <f t="shared" si="152"/>
        <v>0.16200686143225332</v>
      </c>
      <c r="FF154" s="1111">
        <f t="shared" si="153"/>
        <v>0.16200686143225332</v>
      </c>
      <c r="FG154" s="1111">
        <f t="shared" si="193"/>
        <v>3.8602417788471399E-2</v>
      </c>
      <c r="FH154" s="1111">
        <f t="shared" si="194"/>
        <v>1.6293540189000952E-2</v>
      </c>
      <c r="FI154" s="1111">
        <f t="shared" si="195"/>
        <v>1.2607766000449017E-2</v>
      </c>
      <c r="FJ154" s="1111">
        <f t="shared" si="196"/>
        <v>4.2995409537388198E-3</v>
      </c>
      <c r="FK154" s="1111">
        <f t="shared" si="197"/>
        <v>4.2407543577426049E-3</v>
      </c>
      <c r="FL154" s="1111">
        <f t="shared" si="198"/>
        <v>4.1716160773794028E-3</v>
      </c>
      <c r="FM154" s="1111">
        <f t="shared" si="199"/>
        <v>4.1671772168818755E-3</v>
      </c>
      <c r="FN154" s="1111">
        <f t="shared" si="200"/>
        <v>4.1742371332771141E-3</v>
      </c>
      <c r="FO154" s="1111">
        <f t="shared" si="201"/>
        <v>4.1763537358555716E-3</v>
      </c>
      <c r="FP154" s="1111">
        <f t="shared" si="202"/>
        <v>4.1769466648616457E-3</v>
      </c>
      <c r="FQ154" s="1111">
        <f t="shared" si="203"/>
        <v>4.1769466648616457E-3</v>
      </c>
      <c r="FR154" s="1111">
        <f t="shared" si="133"/>
        <v>8.727492913685049E-2</v>
      </c>
      <c r="FS154" s="1111">
        <f t="shared" si="134"/>
        <v>7.015073145379426E-2</v>
      </c>
      <c r="FT154" s="1111">
        <f t="shared" si="135"/>
        <v>5.877132747913956E-2</v>
      </c>
      <c r="FU154" s="1111">
        <f t="shared" si="136"/>
        <v>5.6522642539992611E-2</v>
      </c>
      <c r="FV154" s="1111">
        <f t="shared" si="137"/>
        <v>5.6362718994972472E-2</v>
      </c>
      <c r="FW154" s="1111">
        <f t="shared" si="138"/>
        <v>5.6376663115799121E-2</v>
      </c>
      <c r="FX154" s="1111">
        <f t="shared" si="139"/>
        <v>5.6378624711601363E-2</v>
      </c>
      <c r="FY154" s="1111">
        <f t="shared" si="140"/>
        <v>5.6340954300596761E-2</v>
      </c>
      <c r="FZ154" s="1111">
        <f t="shared" si="141"/>
        <v>5.6378129355050093E-2</v>
      </c>
      <c r="GA154" s="1111">
        <f t="shared" si="142"/>
        <v>5.6415925595989402E-2</v>
      </c>
      <c r="GB154" s="1111">
        <f t="shared" si="143"/>
        <v>5.6415925595989402E-2</v>
      </c>
      <c r="GC154" s="1111">
        <f t="shared" si="164"/>
        <v>4.4681436880471256E-2</v>
      </c>
      <c r="GD154" s="1111">
        <f t="shared" si="165"/>
        <v>2.9644053644229885E-2</v>
      </c>
      <c r="GE154" s="1111">
        <f t="shared" si="166"/>
        <v>1.9594132544732738E-2</v>
      </c>
      <c r="GF154" s="1111">
        <f t="shared" si="167"/>
        <v>1.7509991601039152E-2</v>
      </c>
      <c r="GG154" s="1111">
        <f t="shared" si="168"/>
        <v>1.7310524600574615E-2</v>
      </c>
      <c r="GH154" s="1111">
        <f t="shared" si="169"/>
        <v>1.730789111118081E-2</v>
      </c>
      <c r="GI154" s="1111">
        <f t="shared" si="170"/>
        <v>1.7304225903278164E-2</v>
      </c>
      <c r="GJ154" s="1111">
        <f t="shared" si="171"/>
        <v>1.7264845151229263E-2</v>
      </c>
      <c r="GK154" s="1111">
        <f t="shared" si="172"/>
        <v>1.7295887539286715E-2</v>
      </c>
      <c r="GL154" s="1111">
        <f t="shared" si="173"/>
        <v>1.7328851499837167E-2</v>
      </c>
      <c r="GM154" s="1111">
        <f t="shared" si="174"/>
        <v>1.7328851499837167E-2</v>
      </c>
    </row>
    <row r="155" spans="1:195" x14ac:dyDescent="0.2">
      <c r="A155" s="1071" t="str">
        <f>Technologies!B109</f>
        <v>*R2,R3,R4,R5,R6</v>
      </c>
      <c r="B155" s="1071" t="str">
        <f>Technologies!C109</f>
        <v>TCH2FC</v>
      </c>
      <c r="C155" s="1071" t="str">
        <f>Technologies!D109</f>
        <v>Commercial Truck, Hydrogen Fuel Cell</v>
      </c>
      <c r="D155" s="1071" t="str">
        <f>NewTech!D65</f>
        <v>bn-vmt, bn-vmt/a</v>
      </c>
      <c r="E155" s="1071" t="str">
        <f>NewTech!E65</f>
        <v>TRNH2</v>
      </c>
      <c r="F155" s="1071" t="str">
        <f>NewTech!F65</f>
        <v>TC</v>
      </c>
      <c r="G155" s="1110" t="s">
        <v>502</v>
      </c>
      <c r="H155" s="1110" t="s">
        <v>508</v>
      </c>
      <c r="I155" s="1112">
        <v>1</v>
      </c>
      <c r="J155" s="1111" t="str">
        <f t="shared" si="37"/>
        <v>Commercial Truck-H2</v>
      </c>
      <c r="K155" s="1111"/>
      <c r="L155" s="1111"/>
      <c r="M155" s="1111"/>
      <c r="N155" s="1111"/>
      <c r="O155" s="1111"/>
      <c r="P155" s="1111"/>
      <c r="Q155" s="1111"/>
      <c r="R155" s="1111"/>
      <c r="S155" s="1111"/>
      <c r="T155" s="1111">
        <f t="shared" si="131"/>
        <v>0</v>
      </c>
      <c r="U155" s="1111"/>
      <c r="V155" s="1111"/>
      <c r="W155" s="1111"/>
      <c r="X155" s="1111"/>
      <c r="Y155" s="1111"/>
      <c r="Z155" s="1111"/>
      <c r="AA155" s="1111"/>
      <c r="AB155" s="1111"/>
      <c r="AC155" s="1111"/>
      <c r="AD155" s="1111">
        <f t="shared" ref="AD155:AD218" si="229">AC155</f>
        <v>0</v>
      </c>
      <c r="AE155" s="1111"/>
      <c r="AF155" s="1111"/>
      <c r="AG155" s="1111"/>
      <c r="AH155" s="1111"/>
      <c r="AI155" s="1111"/>
      <c r="AJ155" s="1111"/>
      <c r="AK155" s="1111"/>
      <c r="AL155" s="1111"/>
      <c r="AM155" s="1111"/>
      <c r="AN155" s="1111"/>
      <c r="AO155" s="1111"/>
      <c r="AP155" s="1111"/>
      <c r="AQ155" s="1111"/>
      <c r="AR155" s="1111"/>
      <c r="AS155" s="1111"/>
      <c r="AT155" s="1111"/>
      <c r="AU155" s="1111"/>
      <c r="AV155" s="1111"/>
      <c r="AW155" s="1111"/>
      <c r="AX155" s="1111"/>
      <c r="AY155" s="1111"/>
      <c r="AZ155" s="1111"/>
      <c r="BA155" s="1111"/>
      <c r="BB155" s="1111"/>
      <c r="BC155" s="1111"/>
      <c r="BD155" s="1111"/>
      <c r="BE155" s="1111"/>
      <c r="BF155" s="1111"/>
      <c r="BG155" s="1111"/>
      <c r="BH155" s="1111"/>
      <c r="BI155" s="1111"/>
      <c r="BJ155" s="1111"/>
      <c r="BK155" s="1111"/>
      <c r="BL155" s="1111"/>
      <c r="BM155" s="1111"/>
      <c r="BN155" s="1111"/>
      <c r="BO155" s="1111"/>
      <c r="BP155" s="1111"/>
      <c r="BQ155" s="1111"/>
      <c r="BR155" s="1111"/>
      <c r="BS155" s="1111"/>
      <c r="BT155" s="1111"/>
      <c r="BU155" s="1111"/>
      <c r="BV155" s="1111"/>
      <c r="BW155" s="1111"/>
      <c r="BX155" s="1111"/>
      <c r="BY155" s="1111"/>
      <c r="BZ155" s="1111"/>
      <c r="CA155" s="1111"/>
      <c r="CB155" s="1111"/>
      <c r="CC155" s="1111"/>
      <c r="CD155" s="1111"/>
      <c r="CE155" s="1111"/>
      <c r="CF155" s="1111"/>
      <c r="CG155" s="1111"/>
      <c r="CH155" s="1111"/>
      <c r="CI155" s="1111"/>
      <c r="CJ155" s="1111"/>
      <c r="CK155" s="1111"/>
      <c r="CL155" s="1111"/>
      <c r="CM155" s="1111"/>
      <c r="CN155" s="1111"/>
      <c r="CO155" s="1111"/>
      <c r="CP155" s="1111"/>
      <c r="CQ155" s="1111"/>
      <c r="CR155" s="1111"/>
      <c r="CS155" s="1111"/>
      <c r="CT155" s="1111"/>
      <c r="CU155" s="1111"/>
      <c r="CV155" s="1111"/>
      <c r="CW155" s="1111"/>
      <c r="CX155" s="1111"/>
      <c r="CY155" s="1111"/>
      <c r="CZ155" s="1111"/>
      <c r="DA155" s="1111"/>
      <c r="DB155" s="1111"/>
      <c r="DC155" s="1111"/>
      <c r="DD155" s="1111"/>
      <c r="DE155" s="1111"/>
      <c r="DF155" s="1111"/>
      <c r="DG155" s="1111"/>
      <c r="DH155" s="1111"/>
      <c r="DI155" s="1111"/>
      <c r="DJ155" s="1111"/>
      <c r="DK155" s="1111"/>
      <c r="DL155" s="1111"/>
      <c r="DM155" s="1111"/>
      <c r="DN155" s="1111"/>
      <c r="DO155" s="1111"/>
      <c r="DP155" s="1111"/>
      <c r="DQ155" s="1111"/>
      <c r="DR155" s="1111"/>
      <c r="DS155" s="1111"/>
      <c r="DT155" s="1111"/>
      <c r="DU155" s="1111"/>
      <c r="DV155" s="1111"/>
      <c r="DW155" s="1111"/>
      <c r="DX155" s="1111"/>
      <c r="DY155" s="1111"/>
      <c r="DZ155" s="1111"/>
      <c r="EA155" s="1111"/>
      <c r="EB155" s="1111"/>
      <c r="EC155" s="1111"/>
      <c r="ED155" s="1111"/>
      <c r="EE155" s="1111"/>
      <c r="EF155" s="1111"/>
      <c r="EG155" s="1111"/>
      <c r="EH155" s="1111"/>
      <c r="EI155" s="1111"/>
      <c r="EJ155" s="1111"/>
      <c r="EK155" s="1111"/>
      <c r="EL155" s="1111">
        <f t="shared" si="154"/>
        <v>0</v>
      </c>
      <c r="EM155" s="1111">
        <f t="shared" si="155"/>
        <v>0</v>
      </c>
      <c r="EN155" s="1111">
        <f t="shared" si="156"/>
        <v>0</v>
      </c>
      <c r="EO155" s="1111">
        <f t="shared" si="157"/>
        <v>0</v>
      </c>
      <c r="EP155" s="1111">
        <f t="shared" si="158"/>
        <v>0</v>
      </c>
      <c r="EQ155" s="1111">
        <f t="shared" si="159"/>
        <v>0</v>
      </c>
      <c r="ER155" s="1111">
        <f t="shared" si="160"/>
        <v>0</v>
      </c>
      <c r="ES155" s="1111">
        <f t="shared" si="161"/>
        <v>0</v>
      </c>
      <c r="ET155" s="1111">
        <f t="shared" si="162"/>
        <v>0</v>
      </c>
      <c r="EU155" s="1111">
        <f t="shared" si="163"/>
        <v>0</v>
      </c>
      <c r="EV155" s="1111"/>
      <c r="EW155" s="1111">
        <f t="shared" si="144"/>
        <v>0</v>
      </c>
      <c r="EX155" s="1111">
        <f t="shared" si="145"/>
        <v>0</v>
      </c>
      <c r="EY155" s="1111">
        <f t="shared" si="146"/>
        <v>0</v>
      </c>
      <c r="EZ155" s="1111">
        <f t="shared" si="147"/>
        <v>0</v>
      </c>
      <c r="FA155" s="1111">
        <f t="shared" si="148"/>
        <v>0</v>
      </c>
      <c r="FB155" s="1111">
        <f t="shared" si="149"/>
        <v>0</v>
      </c>
      <c r="FC155" s="1111">
        <f t="shared" si="150"/>
        <v>0</v>
      </c>
      <c r="FD155" s="1111">
        <f t="shared" si="151"/>
        <v>0</v>
      </c>
      <c r="FE155" s="1111">
        <f t="shared" si="152"/>
        <v>0</v>
      </c>
      <c r="FF155" s="1111">
        <f t="shared" si="153"/>
        <v>0</v>
      </c>
      <c r="FG155" s="1111">
        <f t="shared" si="193"/>
        <v>0</v>
      </c>
      <c r="FH155" s="1111">
        <f t="shared" si="194"/>
        <v>0</v>
      </c>
      <c r="FI155" s="1111">
        <f t="shared" si="195"/>
        <v>0</v>
      </c>
      <c r="FJ155" s="1111">
        <f t="shared" si="196"/>
        <v>0</v>
      </c>
      <c r="FK155" s="1111">
        <f t="shared" si="197"/>
        <v>0</v>
      </c>
      <c r="FL155" s="1111">
        <f t="shared" si="198"/>
        <v>0</v>
      </c>
      <c r="FM155" s="1111">
        <f t="shared" si="199"/>
        <v>0</v>
      </c>
      <c r="FN155" s="1111">
        <f t="shared" si="200"/>
        <v>0</v>
      </c>
      <c r="FO155" s="1111">
        <f t="shared" si="201"/>
        <v>0</v>
      </c>
      <c r="FP155" s="1111">
        <f t="shared" si="202"/>
        <v>0</v>
      </c>
      <c r="FQ155" s="1111">
        <f t="shared" si="203"/>
        <v>0</v>
      </c>
      <c r="FR155" s="1111">
        <f t="shared" ref="FR155:FR218" si="230">AP155</f>
        <v>0</v>
      </c>
      <c r="FS155" s="1111">
        <f t="shared" ref="FS155:FS218" si="231">AQ155</f>
        <v>0</v>
      </c>
      <c r="FT155" s="1111">
        <f t="shared" ref="FT155:FT218" si="232">AR155</f>
        <v>0</v>
      </c>
      <c r="FU155" s="1111">
        <f t="shared" ref="FU155:FU218" si="233">AS155</f>
        <v>0</v>
      </c>
      <c r="FV155" s="1111">
        <f t="shared" ref="FV155:FV218" si="234">AT155</f>
        <v>0</v>
      </c>
      <c r="FW155" s="1111">
        <f t="shared" ref="FW155:FW218" si="235">AU155</f>
        <v>0</v>
      </c>
      <c r="FX155" s="1111">
        <f t="shared" ref="FX155:FX218" si="236">AV155</f>
        <v>0</v>
      </c>
      <c r="FY155" s="1111">
        <f t="shared" ref="FY155:FY218" si="237">AW155</f>
        <v>0</v>
      </c>
      <c r="FZ155" s="1111">
        <f t="shared" ref="FZ155:FZ218" si="238">AX155</f>
        <v>0</v>
      </c>
      <c r="GA155" s="1111">
        <f t="shared" ref="GA155:GA218" si="239">AY155</f>
        <v>0</v>
      </c>
      <c r="GB155" s="1111">
        <f t="shared" ref="GB155:GB218" si="240">AZ155</f>
        <v>0</v>
      </c>
      <c r="GC155" s="1111">
        <f t="shared" si="164"/>
        <v>0</v>
      </c>
      <c r="GD155" s="1111">
        <f t="shared" si="165"/>
        <v>0</v>
      </c>
      <c r="GE155" s="1111">
        <f t="shared" si="166"/>
        <v>0</v>
      </c>
      <c r="GF155" s="1111">
        <f t="shared" si="167"/>
        <v>0</v>
      </c>
      <c r="GG155" s="1111">
        <f t="shared" si="168"/>
        <v>0</v>
      </c>
      <c r="GH155" s="1111">
        <f t="shared" si="169"/>
        <v>0</v>
      </c>
      <c r="GI155" s="1111">
        <f t="shared" si="170"/>
        <v>0</v>
      </c>
      <c r="GJ155" s="1111">
        <f t="shared" si="171"/>
        <v>0</v>
      </c>
      <c r="GK155" s="1111">
        <f t="shared" si="172"/>
        <v>0</v>
      </c>
      <c r="GL155" s="1111">
        <f t="shared" si="173"/>
        <v>0</v>
      </c>
      <c r="GM155" s="1111">
        <f t="shared" si="174"/>
        <v>0</v>
      </c>
    </row>
    <row r="156" spans="1:195" x14ac:dyDescent="0.2">
      <c r="A156" s="1071" t="s">
        <v>182</v>
      </c>
      <c r="B156" s="1071" t="str">
        <f>Technologies!C114</f>
        <v>TMGSLC10</v>
      </c>
      <c r="C156" s="1071" t="str">
        <f>Technologies!D114</f>
        <v>Medium Duty Truck, Gasoline, 2010</v>
      </c>
      <c r="D156" s="1071" t="str">
        <f>TechData!D21</f>
        <v>bn-vmt, bn-vmt/a</v>
      </c>
      <c r="E156" s="1071" t="str">
        <f>NewTech!E67</f>
        <v>TMGSL</v>
      </c>
      <c r="F156" s="1071" t="str">
        <f>NewTech!F67</f>
        <v>TM</v>
      </c>
      <c r="G156" s="1110" t="s">
        <v>503</v>
      </c>
      <c r="H156" s="1110" t="s">
        <v>500</v>
      </c>
      <c r="I156" s="1112">
        <v>1</v>
      </c>
      <c r="J156" s="1111" t="str">
        <f t="shared" si="37"/>
        <v>Medium duty-GSL</v>
      </c>
      <c r="K156" s="1111">
        <f>SUMIFS(NewEmisData!E:E, NewEmisData!$A:$A, $G156, NewEmisData!$B:$B, $A156, NewEmisData!$C:$C, $H156, NewEmisData!$D:$D, K$6)</f>
        <v>1241.60800343195</v>
      </c>
      <c r="L156" s="1111">
        <f>SUMIFS(NewEmisData!F:F, NewEmisData!$A:$A, $G156, NewEmisData!$B:$B, $A156, NewEmisData!$C:$C, $H156, NewEmisData!$D:$D, L$6)</f>
        <v>1243.08928499321</v>
      </c>
      <c r="M156" s="1111">
        <f>SUMIFS(NewEmisData!G:G, NewEmisData!$A:$A, $G156, NewEmisData!$B:$B, $A156, NewEmisData!$C:$C, $H156, NewEmisData!$D:$D, M$6)</f>
        <v>1559.7377784626201</v>
      </c>
      <c r="N156" s="1111">
        <f>SUMIFS(NewEmisData!H:H, NewEmisData!$A:$A, $G156, NewEmisData!$B:$B, $A156, NewEmisData!$C:$C, $H156, NewEmisData!$D:$D, N$6)</f>
        <v>1531.1148438857699</v>
      </c>
      <c r="O156" s="1111">
        <f>SUMIFS(NewEmisData!I:I, NewEmisData!$A:$A, $G156, NewEmisData!$B:$B, $A156, NewEmisData!$C:$C, $H156, NewEmisData!$D:$D, O$6)</f>
        <v>1508.7877657548299</v>
      </c>
      <c r="P156" s="1111">
        <f>SUMIFS(NewEmisData!J:J, NewEmisData!$A:$A, $G156, NewEmisData!$B:$B, $A156, NewEmisData!$C:$C, $H156, NewEmisData!$D:$D, P$6)</f>
        <v>1502.9671636844901</v>
      </c>
      <c r="Q156" s="1111">
        <f>SUMIFS(NewEmisData!K:K, NewEmisData!$A:$A, $G156, NewEmisData!$B:$B, $A156, NewEmisData!$C:$C, $H156, NewEmisData!$D:$D, Q$6)</f>
        <v>1501.4395842993699</v>
      </c>
      <c r="R156" s="1111">
        <f>SUMIFS(NewEmisData!L:L, NewEmisData!$A:$A, $G156, NewEmisData!$B:$B, $A156, NewEmisData!$C:$C, $H156, NewEmisData!$D:$D, R$6)</f>
        <v>1501.15044041939</v>
      </c>
      <c r="S156" s="1111">
        <f>SUMIFS(NewEmisData!M:M, NewEmisData!$A:$A, $G156, NewEmisData!$B:$B, $A156, NewEmisData!$C:$C, $H156, NewEmisData!$D:$D, S$6)</f>
        <v>1501.0860905019599</v>
      </c>
      <c r="T156" s="1111">
        <f t="shared" si="131"/>
        <v>1501.0860905019599</v>
      </c>
      <c r="U156" s="1111">
        <f>SUMIFS(NewEmisData!E:E, NewEmisData!$A:$A, $G156, NewEmisData!$B:$B, $A156, NewEmisData!$C:$C, $H156, NewEmisData!$D:$D, U$6)</f>
        <v>4.1625657526614797</v>
      </c>
      <c r="V156" s="1111">
        <f>SUMIFS(NewEmisData!F:F, NewEmisData!$A:$A, $G156, NewEmisData!$B:$B, $A156, NewEmisData!$C:$C, $H156, NewEmisData!$D:$D, V$6)</f>
        <v>2.1578815518962502</v>
      </c>
      <c r="W156" s="1111">
        <f>SUMIFS(NewEmisData!G:G, NewEmisData!$A:$A, $G156, NewEmisData!$B:$B, $A156, NewEmisData!$C:$C, $H156, NewEmisData!$D:$D, W$6)</f>
        <v>1.30274636086792</v>
      </c>
      <c r="X156" s="1111">
        <f>SUMIFS(NewEmisData!H:H, NewEmisData!$A:$A, $G156, NewEmisData!$B:$B, $A156, NewEmisData!$C:$C, $H156, NewEmisData!$D:$D, X$6)</f>
        <v>0.94297953696777803</v>
      </c>
      <c r="Y156" s="1111">
        <f>SUMIFS(NewEmisData!I:I, NewEmisData!$A:$A, $G156, NewEmisData!$B:$B, $A156, NewEmisData!$C:$C, $H156, NewEmisData!$D:$D, Y$6)</f>
        <v>0.78815258031283297</v>
      </c>
      <c r="Z156" s="1111">
        <f>SUMIFS(NewEmisData!J:J, NewEmisData!$A:$A, $G156, NewEmisData!$B:$B, $A156, NewEmisData!$C:$C, $H156, NewEmisData!$D:$D, Z$6)</f>
        <v>0.71799894873057002</v>
      </c>
      <c r="AA156" s="1111">
        <f>SUMIFS(NewEmisData!K:K, NewEmisData!$A:$A, $G156, NewEmisData!$B:$B, $A156, NewEmisData!$C:$C, $H156, NewEmisData!$D:$D, AA$6)</f>
        <v>0.69737659475245495</v>
      </c>
      <c r="AB156" s="1111">
        <f>SUMIFS(NewEmisData!L:L, NewEmisData!$A:$A, $G156, NewEmisData!$B:$B, $A156, NewEmisData!$C:$C, $H156, NewEmisData!$D:$D, AB$6)</f>
        <v>0.69289982108465797</v>
      </c>
      <c r="AC156" s="1111">
        <f>SUMIFS(NewEmisData!M:M, NewEmisData!$A:$A, $G156, NewEmisData!$B:$B, $A156, NewEmisData!$C:$C, $H156, NewEmisData!$D:$D, AC$6)</f>
        <v>0.69155412460857602</v>
      </c>
      <c r="AD156" s="1111">
        <f t="shared" si="229"/>
        <v>0.69155412460857602</v>
      </c>
      <c r="AE156" s="1111">
        <f t="shared" ref="AE156:AE200" si="241">AF156</f>
        <v>2.1484176158971701E-2</v>
      </c>
      <c r="AF156" s="1111">
        <f>SUMIFS(NewEmisData!E:E, NewEmisData!$A:$A, $G156, NewEmisData!$B:$B, $A156, NewEmisData!$C:$C, $H156, NewEmisData!$D:$D, AF$6)</f>
        <v>2.1484176158971701E-2</v>
      </c>
      <c r="AG156" s="1111">
        <f>SUMIFS(NewEmisData!F:F, NewEmisData!$A:$A, $G156, NewEmisData!$B:$B, $A156, NewEmisData!$C:$C, $H156, NewEmisData!$D:$D, AG$6)</f>
        <v>2.1509817808633099E-2</v>
      </c>
      <c r="AH156" s="1111">
        <f>SUMIFS(NewEmisData!G:G, NewEmisData!$A:$A, $G156, NewEmisData!$B:$B, $A156, NewEmisData!$C:$C, $H156, NewEmisData!$D:$D, AH$6)</f>
        <v>2.2375249866597498E-2</v>
      </c>
      <c r="AI156" s="1111">
        <f>SUMIFS(NewEmisData!H:H, NewEmisData!$A:$A, $G156, NewEmisData!$B:$B, $A156, NewEmisData!$C:$C, $H156, NewEmisData!$D:$D, AI$6)</f>
        <v>2.1964641718838499E-2</v>
      </c>
      <c r="AJ156" s="1111">
        <f>SUMIFS(NewEmisData!I:I, NewEmisData!$A:$A, $G156, NewEmisData!$B:$B, $A156, NewEmisData!$C:$C, $H156, NewEmisData!$D:$D, AJ$6)</f>
        <v>2.1644351533378101E-2</v>
      </c>
      <c r="AK156" s="1111">
        <f>SUMIFS(NewEmisData!J:J, NewEmisData!$A:$A, $G156, NewEmisData!$B:$B, $A156, NewEmisData!$C:$C, $H156, NewEmisData!$D:$D, AK$6)</f>
        <v>2.1560851881015301E-2</v>
      </c>
      <c r="AL156" s="1111">
        <f>SUMIFS(NewEmisData!K:K, NewEmisData!$A:$A, $G156, NewEmisData!$B:$B, $A156, NewEmisData!$C:$C, $H156, NewEmisData!$D:$D, AL$6)</f>
        <v>2.1538927343366401E-2</v>
      </c>
      <c r="AM156" s="1111">
        <f>SUMIFS(NewEmisData!L:L, NewEmisData!$A:$A, $G156, NewEmisData!$B:$B, $A156, NewEmisData!$C:$C, $H156, NewEmisData!$D:$D, AM$6)</f>
        <v>2.1534775827773901E-2</v>
      </c>
      <c r="AN156" s="1111">
        <f>SUMIFS(NewEmisData!M:M, NewEmisData!$A:$A, $G156, NewEmisData!$B:$B, $A156, NewEmisData!$C:$C, $H156, NewEmisData!$D:$D, AN$6)</f>
        <v>2.15338577914834E-2</v>
      </c>
      <c r="AO156" s="1111">
        <f t="shared" ref="AO156:AO200" si="242">AN156</f>
        <v>2.15338577914834E-2</v>
      </c>
      <c r="AP156" s="1111">
        <f t="shared" ref="AP156:AP200" si="243">AQ156</f>
        <v>0.205584171442245</v>
      </c>
      <c r="AQ156" s="1111">
        <f>SUMIFS(NewEmisData!E:E, NewEmisData!$A:$A, $G156, NewEmisData!$B:$B, $A156, NewEmisData!$C:$C, $H156, NewEmisData!$D:$D, AQ$6)</f>
        <v>0.205584171442245</v>
      </c>
      <c r="AR156" s="1111">
        <f>SUMIFS(NewEmisData!F:F, NewEmisData!$A:$A, $G156, NewEmisData!$B:$B, $A156, NewEmisData!$C:$C, $H156, NewEmisData!$D:$D, AR$6)</f>
        <v>0.200703686535146</v>
      </c>
      <c r="AS156" s="1111">
        <f>SUMIFS(NewEmisData!G:G, NewEmisData!$A:$A, $G156, NewEmisData!$B:$B, $A156, NewEmisData!$C:$C, $H156, NewEmisData!$D:$D, AS$6)</f>
        <v>0.298432150084874</v>
      </c>
      <c r="AT156" s="1111">
        <f>SUMIFS(NewEmisData!H:H, NewEmisData!$A:$A, $G156, NewEmisData!$B:$B, $A156, NewEmisData!$C:$C, $H156, NewEmisData!$D:$D, AT$6)</f>
        <v>0.29892439751761801</v>
      </c>
      <c r="AU156" s="1111">
        <f>SUMIFS(NewEmisData!I:I, NewEmisData!$A:$A, $G156, NewEmisData!$B:$B, $A156, NewEmisData!$C:$C, $H156, NewEmisData!$D:$D, AU$6)</f>
        <v>0.29942291421429901</v>
      </c>
      <c r="AV156" s="1111">
        <f>SUMIFS(NewEmisData!J:J, NewEmisData!$A:$A, $G156, NewEmisData!$B:$B, $A156, NewEmisData!$C:$C, $H156, NewEmisData!$D:$D, AV$6)</f>
        <v>0.29972619462258399</v>
      </c>
      <c r="AW156" s="1111">
        <f>SUMIFS(NewEmisData!K:K, NewEmisData!$A:$A, $G156, NewEmisData!$B:$B, $A156, NewEmisData!$C:$C, $H156, NewEmisData!$D:$D, AW$6)</f>
        <v>0.29988559432946199</v>
      </c>
      <c r="AX156" s="1111">
        <f>SUMIFS(NewEmisData!L:L, NewEmisData!$A:$A, $G156, NewEmisData!$B:$B, $A156, NewEmisData!$C:$C, $H156, NewEmisData!$D:$D, AX$6)</f>
        <v>0.29993582308119998</v>
      </c>
      <c r="AY156" s="1111">
        <f>SUMIFS(NewEmisData!M:M, NewEmisData!$A:$A, $G156, NewEmisData!$B:$B, $A156, NewEmisData!$C:$C, $H156, NewEmisData!$D:$D, AY$6)</f>
        <v>0.299955436334361</v>
      </c>
      <c r="AZ156" s="1111">
        <f t="shared" ref="AZ156:AZ200" si="244">AY156</f>
        <v>0.299955436334361</v>
      </c>
      <c r="BA156" s="1111">
        <f t="shared" ref="BA156:BA200" si="245">BB156</f>
        <v>3.9334690996451198E-2</v>
      </c>
      <c r="BB156" s="1111">
        <f>SUMIFS(NewEmisData!E:E, NewEmisData!$A:$A, $G156, NewEmisData!$B:$B, $A156, NewEmisData!$C:$C, $H156, NewEmisData!$D:$D, BB$6)</f>
        <v>3.9334690996451198E-2</v>
      </c>
      <c r="BC156" s="1111">
        <f>SUMIFS(NewEmisData!F:F, NewEmisData!$A:$A, $G156, NewEmisData!$B:$B, $A156, NewEmisData!$C:$C, $H156, NewEmisData!$D:$D, BC$6)</f>
        <v>3.4631534960308699E-2</v>
      </c>
      <c r="BD156" s="1111">
        <f>SUMIFS(NewEmisData!G:G, NewEmisData!$A:$A, $G156, NewEmisData!$B:$B, $A156, NewEmisData!$C:$C, $H156, NewEmisData!$D:$D, BD$6)</f>
        <v>4.5448906099466301E-2</v>
      </c>
      <c r="BE156" s="1111">
        <f>SUMIFS(NewEmisData!H:H, NewEmisData!$A:$A, $G156, NewEmisData!$B:$B, $A156, NewEmisData!$C:$C, $H156, NewEmisData!$D:$D, BE$6)</f>
        <v>4.5413592229635001E-2</v>
      </c>
      <c r="BF156" s="1111">
        <f>SUMIFS(NewEmisData!I:I, NewEmisData!$A:$A, $G156, NewEmisData!$B:$B, $A156, NewEmisData!$C:$C, $H156, NewEmisData!$D:$D, BF$6)</f>
        <v>4.5762266359602698E-2</v>
      </c>
      <c r="BG156" s="1111">
        <f>SUMIFS(NewEmisData!J:J, NewEmisData!$A:$A, $G156, NewEmisData!$B:$B, $A156, NewEmisData!$C:$C, $H156, NewEmisData!$D:$D, BG$6)</f>
        <v>4.6004282113656897E-2</v>
      </c>
      <c r="BH156" s="1111">
        <f>SUMIFS(NewEmisData!K:K, NewEmisData!$A:$A, $G156, NewEmisData!$B:$B, $A156, NewEmisData!$C:$C, $H156, NewEmisData!$D:$D, BH$6)</f>
        <v>4.6139436899626303E-2</v>
      </c>
      <c r="BI156" s="1111">
        <f>SUMIFS(NewEmisData!L:L, NewEmisData!$A:$A, $G156, NewEmisData!$B:$B, $A156, NewEmisData!$C:$C, $H156, NewEmisData!$D:$D, BI$6)</f>
        <v>4.6182051454262997E-2</v>
      </c>
      <c r="BJ156" s="1111">
        <f>SUMIFS(NewEmisData!M:M, NewEmisData!$A:$A, $G156, NewEmisData!$B:$B, $A156, NewEmisData!$C:$C, $H156, NewEmisData!$D:$D, BJ$6)</f>
        <v>4.6199279391049702E-2</v>
      </c>
      <c r="BK156" s="1111">
        <f t="shared" ref="BK156:BK200" si="246">BJ156</f>
        <v>4.6199279391049702E-2</v>
      </c>
      <c r="BL156" s="1111">
        <f t="shared" ref="BL156:BL200" si="247">BM156</f>
        <v>35.379082211376598</v>
      </c>
      <c r="BM156" s="1111">
        <f>SUMIFS(NewEmisData!E:E, NewEmisData!$A:$A, $G156, NewEmisData!$B:$B, $A156, NewEmisData!$C:$C, $H156, NewEmisData!$D:$D, BM$6)</f>
        <v>35.379082211376598</v>
      </c>
      <c r="BN156" s="1111">
        <f>SUMIFS(NewEmisData!F:F, NewEmisData!$A:$A, $G156, NewEmisData!$B:$B, $A156, NewEmisData!$C:$C, $H156, NewEmisData!$D:$D, BN$6)</f>
        <v>20.9802918509032</v>
      </c>
      <c r="BO156" s="1111">
        <f>SUMIFS(NewEmisData!G:G, NewEmisData!$A:$A, $G156, NewEmisData!$B:$B, $A156, NewEmisData!$C:$C, $H156, NewEmisData!$D:$D, BO$6)</f>
        <v>14.8071744303823</v>
      </c>
      <c r="BP156" s="1111">
        <f>SUMIFS(NewEmisData!H:H, NewEmisData!$A:$A, $G156, NewEmisData!$B:$B, $A156, NewEmisData!$C:$C, $H156, NewEmisData!$D:$D, BP$6)</f>
        <v>12.7817736031308</v>
      </c>
      <c r="BQ156" s="1111">
        <f>SUMIFS(NewEmisData!I:I, NewEmisData!$A:$A, $G156, NewEmisData!$B:$B, $A156, NewEmisData!$C:$C, $H156, NewEmisData!$D:$D, BQ$6)</f>
        <v>12.249879427369301</v>
      </c>
      <c r="BR156" s="1111">
        <f>SUMIFS(NewEmisData!J:J, NewEmisData!$A:$A, $G156, NewEmisData!$B:$B, $A156, NewEmisData!$C:$C, $H156, NewEmisData!$D:$D, BR$6)</f>
        <v>12.1493449959291</v>
      </c>
      <c r="BS156" s="1111">
        <f>SUMIFS(NewEmisData!K:K, NewEmisData!$A:$A, $G156, NewEmisData!$B:$B, $A156, NewEmisData!$C:$C, $H156, NewEmisData!$D:$D, BS$6)</f>
        <v>12.229795867911401</v>
      </c>
      <c r="BT156" s="1111">
        <f>SUMIFS(NewEmisData!L:L, NewEmisData!$A:$A, $G156, NewEmisData!$B:$B, $A156, NewEmisData!$C:$C, $H156, NewEmisData!$D:$D, BT$6)</f>
        <v>12.2882488120452</v>
      </c>
      <c r="BU156" s="1111">
        <f>SUMIFS(NewEmisData!M:M, NewEmisData!$A:$A, $G156, NewEmisData!$B:$B, $A156, NewEmisData!$C:$C, $H156, NewEmisData!$D:$D, BU$6)</f>
        <v>12.321950956593</v>
      </c>
      <c r="BV156" s="1111">
        <f t="shared" ref="BV156:BV200" si="248">BU156</f>
        <v>12.321950956593</v>
      </c>
      <c r="BW156" s="1111">
        <f t="shared" ref="BW156:BW200" si="249">BX156</f>
        <v>1.87362575135703</v>
      </c>
      <c r="BX156" s="1111">
        <f>SUMIFS(NewEmisData!E:E, NewEmisData!$A:$A, $G156, NewEmisData!$B:$B, $A156, NewEmisData!$C:$C, $H156, NewEmisData!$D:$D, BX$6)</f>
        <v>1.87362575135703</v>
      </c>
      <c r="BY156" s="1111">
        <f>SUMIFS(NewEmisData!F:F, NewEmisData!$A:$A, $G156, NewEmisData!$B:$B, $A156, NewEmisData!$C:$C, $H156, NewEmisData!$D:$D, BY$6)</f>
        <v>1.0527291712428299</v>
      </c>
      <c r="BZ156" s="1111">
        <f>SUMIFS(NewEmisData!G:G, NewEmisData!$A:$A, $G156, NewEmisData!$B:$B, $A156, NewEmisData!$C:$C, $H156, NewEmisData!$D:$D, BZ$6)</f>
        <v>0.690616026658735</v>
      </c>
      <c r="CA156" s="1111">
        <f>SUMIFS(NewEmisData!H:H, NewEmisData!$A:$A, $G156, NewEmisData!$B:$B, $A156, NewEmisData!$C:$C, $H156, NewEmisData!$D:$D, CA$6)</f>
        <v>0.54311164322371697</v>
      </c>
      <c r="CB156" s="1111">
        <f>SUMIFS(NewEmisData!I:I, NewEmisData!$A:$A, $G156, NewEmisData!$B:$B, $A156, NewEmisData!$C:$C, $H156, NewEmisData!$D:$D, CB$6)</f>
        <v>0.48887057427966502</v>
      </c>
      <c r="CC156" s="1111">
        <f>SUMIFS(NewEmisData!J:J, NewEmisData!$A:$A, $G156, NewEmisData!$B:$B, $A156, NewEmisData!$C:$C, $H156, NewEmisData!$D:$D, CC$6)</f>
        <v>0.46684418132935501</v>
      </c>
      <c r="CD156" s="1111">
        <f>SUMIFS(NewEmisData!K:K, NewEmisData!$A:$A, $G156, NewEmisData!$B:$B, $A156, NewEmisData!$C:$C, $H156, NewEmisData!$D:$D, CD$6)</f>
        <v>0.46389956383150999</v>
      </c>
      <c r="CE156" s="1111">
        <f>SUMIFS(NewEmisData!L:L, NewEmisData!$A:$A, $G156, NewEmisData!$B:$B, $A156, NewEmisData!$C:$C, $H156, NewEmisData!$D:$D, CE$6)</f>
        <v>0.46392493269586499</v>
      </c>
      <c r="CF156" s="1111">
        <f>SUMIFS(NewEmisData!M:M, NewEmisData!$A:$A, $G156, NewEmisData!$B:$B, $A156, NewEmisData!$C:$C, $H156, NewEmisData!$D:$D, CF$6)</f>
        <v>0.46396365606422402</v>
      </c>
      <c r="CG156" s="1111">
        <f t="shared" ref="CG156:CG200" si="250">CF156</f>
        <v>0.46396365606422402</v>
      </c>
      <c r="CH156" s="1111">
        <f t="shared" ref="CH156:CH200" si="251">CI156</f>
        <v>4.5385046654151703E-2</v>
      </c>
      <c r="CI156" s="1111">
        <f>SUMIFS(NewEmisData!E:E, NewEmisData!$A:$A, $G156, NewEmisData!$B:$B, $A156, NewEmisData!$C:$C, $H156, NewEmisData!$D:$D, CI$6)</f>
        <v>4.5385046654151703E-2</v>
      </c>
      <c r="CJ156" s="1111">
        <f>SUMIFS(NewEmisData!F:F, NewEmisData!$A:$A, $G156, NewEmisData!$B:$B, $A156, NewEmisData!$C:$C, $H156, NewEmisData!$D:$D, CJ$6)</f>
        <v>4.5393164724417102E-2</v>
      </c>
      <c r="CK156" s="1111">
        <f>SUMIFS(NewEmisData!G:G, NewEmisData!$A:$A, $G156, NewEmisData!$B:$B, $A156, NewEmisData!$C:$C, $H156, NewEmisData!$D:$D, CK$6)</f>
        <v>6.2513239349190994E-2</v>
      </c>
      <c r="CL156" s="1111">
        <f>SUMIFS(NewEmisData!H:H, NewEmisData!$A:$A, $G156, NewEmisData!$B:$B, $A156, NewEmisData!$C:$C, $H156, NewEmisData!$D:$D, CL$6)</f>
        <v>6.2512411846424906E-2</v>
      </c>
      <c r="CM156" s="1111">
        <f>SUMIFS(NewEmisData!I:I, NewEmisData!$A:$A, $G156, NewEmisData!$B:$B, $A156, NewEmisData!$C:$C, $H156, NewEmisData!$D:$D, CM$6)</f>
        <v>6.2512421474567897E-2</v>
      </c>
      <c r="CN156" s="1111">
        <f>SUMIFS(NewEmisData!J:J, NewEmisData!$A:$A, $G156, NewEmisData!$B:$B, $A156, NewEmisData!$C:$C, $H156, NewEmisData!$D:$D, CN$6)</f>
        <v>6.2512452306065502E-2</v>
      </c>
      <c r="CO156" s="1111">
        <f>SUMIFS(NewEmisData!K:K, NewEmisData!$A:$A, $G156, NewEmisData!$B:$B, $A156, NewEmisData!$C:$C, $H156, NewEmisData!$D:$D, CO$6)</f>
        <v>6.2512380916104907E-2</v>
      </c>
      <c r="CP156" s="1111">
        <f>SUMIFS(NewEmisData!L:L, NewEmisData!$A:$A, $G156, NewEmisData!$B:$B, $A156, NewEmisData!$C:$C, $H156, NewEmisData!$D:$D, CP$6)</f>
        <v>6.2512436309679606E-2</v>
      </c>
      <c r="CQ156" s="1111">
        <f>SUMIFS(NewEmisData!M:M, NewEmisData!$A:$A, $G156, NewEmisData!$B:$B, $A156, NewEmisData!$C:$C, $H156, NewEmisData!$D:$D, CQ$6)</f>
        <v>6.2512445317614407E-2</v>
      </c>
      <c r="CR156" s="1111">
        <f t="shared" ref="CR156:CR200" si="252">CQ156</f>
        <v>6.2512445317614407E-2</v>
      </c>
      <c r="CS156" s="1111">
        <f t="shared" ref="CS156:CS200" si="253">CT156</f>
        <v>6.7564687236939897E-2</v>
      </c>
      <c r="CT156" s="1111">
        <f>SUMIFS(NewEmisData!E:E, NewEmisData!$A:$A, $G156, NewEmisData!$B:$B, $A156, NewEmisData!$C:$C, $H156, NewEmisData!$D:$D, CT$6)</f>
        <v>6.7564687236939897E-2</v>
      </c>
      <c r="CU156" s="1111">
        <f>SUMIFS(NewEmisData!F:F, NewEmisData!$A:$A, $G156, NewEmisData!$B:$B, $A156, NewEmisData!$C:$C, $H156, NewEmisData!$D:$D, CU$6)</f>
        <v>3.8153498607861998E-2</v>
      </c>
      <c r="CV156" s="1111">
        <f>SUMIFS(NewEmisData!G:G, NewEmisData!$A:$A, $G156, NewEmisData!$B:$B, $A156, NewEmisData!$C:$C, $H156, NewEmisData!$D:$D, CV$6)</f>
        <v>2.81821158126641E-2</v>
      </c>
      <c r="CW156" s="1111">
        <f>SUMIFS(NewEmisData!H:H, NewEmisData!$A:$A, $G156, NewEmisData!$B:$B, $A156, NewEmisData!$C:$C, $H156, NewEmisData!$D:$D, CW$6)</f>
        <v>1.9443003989977701E-2</v>
      </c>
      <c r="CX156" s="1111">
        <f>SUMIFS(NewEmisData!I:I, NewEmisData!$A:$A, $G156, NewEmisData!$B:$B, $A156, NewEmisData!$C:$C, $H156, NewEmisData!$D:$D, CX$6)</f>
        <v>1.7080157869544602E-2</v>
      </c>
      <c r="CY156" s="1111">
        <f>SUMIFS(NewEmisData!J:J, NewEmisData!$A:$A, $G156, NewEmisData!$B:$B, $A156, NewEmisData!$C:$C, $H156, NewEmisData!$D:$D, CY$6)</f>
        <v>1.6424318186297401E-2</v>
      </c>
      <c r="CZ156" s="1111">
        <f>SUMIFS(NewEmisData!K:K, NewEmisData!$A:$A, $G156, NewEmisData!$B:$B, $A156, NewEmisData!$C:$C, $H156, NewEmisData!$D:$D, CZ$6)</f>
        <v>1.63466414048998E-2</v>
      </c>
      <c r="DA156" s="1111">
        <f>SUMIFS(NewEmisData!L:L, NewEmisData!$A:$A, $G156, NewEmisData!$B:$B, $A156, NewEmisData!$C:$C, $H156, NewEmisData!$D:$D, DA$6)</f>
        <v>1.6299016097018101E-2</v>
      </c>
      <c r="DB156" s="1111">
        <f>SUMIFS(NewEmisData!M:M, NewEmisData!$A:$A, $G156, NewEmisData!$B:$B, $A156, NewEmisData!$C:$C, $H156, NewEmisData!$D:$D, DB$6)</f>
        <v>1.6325096857781201E-2</v>
      </c>
      <c r="DC156" s="1111">
        <f t="shared" ref="DC156:DC200" si="254">DB156</f>
        <v>1.6325096857781201E-2</v>
      </c>
      <c r="DD156" s="1111">
        <v>8.4892895966475739E-3</v>
      </c>
      <c r="DE156" s="1111">
        <v>5.6212986616763754E-3</v>
      </c>
      <c r="DF156" s="1111">
        <v>3.3463487561708246E-3</v>
      </c>
      <c r="DG156" s="1111">
        <v>2.7660430299124659E-3</v>
      </c>
      <c r="DH156" s="1111">
        <v>2.682529091392567E-3</v>
      </c>
      <c r="DI156" s="1111">
        <v>2.703528873173607E-3</v>
      </c>
      <c r="DJ156" s="1111">
        <v>2.7128611055472259E-3</v>
      </c>
      <c r="DK156" s="1111">
        <v>2.7072751179577333E-3</v>
      </c>
      <c r="DL156" s="1111">
        <v>2.7166296978826691E-3</v>
      </c>
      <c r="DM156" s="1111">
        <v>2.7267399324404202E-3</v>
      </c>
      <c r="DN156" s="1111">
        <v>2.7267399324404202E-3</v>
      </c>
      <c r="DO156" s="1111">
        <v>2.7529093789717789E-2</v>
      </c>
      <c r="DP156" s="1111">
        <v>1.8547410667972192E-2</v>
      </c>
      <c r="DQ156" s="1111">
        <v>1.0623092960258752E-2</v>
      </c>
      <c r="DR156" s="1111">
        <v>8.2487146441313514E-3</v>
      </c>
      <c r="DS156" s="1111">
        <v>8.1824854069421117E-3</v>
      </c>
      <c r="DT156" s="1111">
        <v>8.1902625366083396E-3</v>
      </c>
      <c r="DU156" s="1111">
        <v>8.1985958492518836E-3</v>
      </c>
      <c r="DV156" s="1111">
        <v>8.1775758900627226E-3</v>
      </c>
      <c r="DW156" s="1111">
        <v>8.1943266682995095E-3</v>
      </c>
      <c r="DX156" s="1111">
        <v>8.2124081867554939E-3</v>
      </c>
      <c r="DY156" s="1111">
        <v>8.2124081867554939E-3</v>
      </c>
      <c r="DZ156" s="1111">
        <f t="shared" ref="DZ156:DZ200" si="255">EA156</f>
        <v>5.0339270700679999E-2</v>
      </c>
      <c r="EA156" s="1111">
        <f>SUMIFS(NewEmisData!E:E, NewEmisData!$A:$A, $G156, NewEmisData!$B:$B, $A156, NewEmisData!$C:$C, $H156, NewEmisData!$D:$D, EA$6)</f>
        <v>5.0339270700679999E-2</v>
      </c>
      <c r="EB156" s="1111">
        <f>SUMIFS(NewEmisData!F:F, NewEmisData!$A:$A, $G156, NewEmisData!$B:$B, $A156, NewEmisData!$C:$C, $H156, NewEmisData!$D:$D, EB$6)</f>
        <v>2.98546172534019E-2</v>
      </c>
      <c r="EC156" s="1111">
        <f>SUMIFS(NewEmisData!G:G, NewEmisData!$A:$A, $G156, NewEmisData!$B:$B, $A156, NewEmisData!$C:$C, $H156, NewEmisData!$D:$D, EC$6)</f>
        <v>1.7913674894860999E-2</v>
      </c>
      <c r="ED156" s="1111">
        <f>SUMIFS(NewEmisData!H:H, NewEmisData!$A:$A, $G156, NewEmisData!$B:$B, $A156, NewEmisData!$C:$C, $H156, NewEmisData!$D:$D, ED$6)</f>
        <v>1.54314271118329E-2</v>
      </c>
      <c r="EE156" s="1111">
        <f>SUMIFS(NewEmisData!I:I, NewEmisData!$A:$A, $G156, NewEmisData!$B:$B, $A156, NewEmisData!$C:$C, $H156, NewEmisData!$D:$D, EE$6)</f>
        <v>1.4729599669098301E-2</v>
      </c>
      <c r="EF156" s="1111">
        <f>SUMIFS(NewEmisData!J:J, NewEmisData!$A:$A, $G156, NewEmisData!$B:$B, $A156, NewEmisData!$C:$C, $H156, NewEmisData!$D:$D, EF$6)</f>
        <v>1.46060589575112E-2</v>
      </c>
      <c r="EG156" s="1111">
        <f>SUMIFS(NewEmisData!K:K, NewEmisData!$A:$A, $G156, NewEmisData!$B:$B, $A156, NewEmisData!$C:$C, $H156, NewEmisData!$D:$D, EG$6)</f>
        <v>1.4662699121929501E-2</v>
      </c>
      <c r="EH156" s="1111">
        <f>SUMIFS(NewEmisData!L:L, NewEmisData!$A:$A, $G156, NewEmisData!$B:$B, $A156, NewEmisData!$C:$C, $H156, NewEmisData!$D:$D, EH$6)</f>
        <v>1.46806856975942E-2</v>
      </c>
      <c r="EI156" s="1111">
        <f>SUMIFS(NewEmisData!M:M, NewEmisData!$A:$A, $G156, NewEmisData!$B:$B, $A156, NewEmisData!$C:$C, $H156, NewEmisData!$D:$D, EI$6)</f>
        <v>1.4680172285676999E-2</v>
      </c>
      <c r="EJ156" s="1111">
        <f t="shared" ref="EJ156:EJ200" si="256">EI156</f>
        <v>1.4680172285676999E-2</v>
      </c>
      <c r="EK156" s="1111">
        <f t="shared" ref="EK156:EK200" si="257">EL156</f>
        <v>1241.60800343195</v>
      </c>
      <c r="EL156" s="1111">
        <f t="shared" si="154"/>
        <v>1241.60800343195</v>
      </c>
      <c r="EM156" s="1111">
        <f t="shared" si="155"/>
        <v>1243.08928499321</v>
      </c>
      <c r="EN156" s="1111">
        <f t="shared" si="156"/>
        <v>1559.7377784626201</v>
      </c>
      <c r="EO156" s="1111">
        <f t="shared" si="157"/>
        <v>1531.1148438857699</v>
      </c>
      <c r="EP156" s="1111">
        <f t="shared" si="158"/>
        <v>1508.7877657548299</v>
      </c>
      <c r="EQ156" s="1111">
        <f t="shared" si="159"/>
        <v>1502.9671636844901</v>
      </c>
      <c r="ER156" s="1111">
        <f t="shared" si="160"/>
        <v>1501.4395842993699</v>
      </c>
      <c r="ES156" s="1111">
        <f t="shared" si="161"/>
        <v>1501.15044041939</v>
      </c>
      <c r="ET156" s="1111">
        <f t="shared" si="162"/>
        <v>1501.0860905019599</v>
      </c>
      <c r="EU156" s="1111">
        <f t="shared" si="163"/>
        <v>1501.0860905019599</v>
      </c>
      <c r="EV156" s="1111">
        <f t="shared" ref="EV156:EV200" si="258">EW156</f>
        <v>4.1625657526614797</v>
      </c>
      <c r="EW156" s="1111">
        <f t="shared" si="144"/>
        <v>4.1625657526614797</v>
      </c>
      <c r="EX156" s="1111">
        <f t="shared" si="145"/>
        <v>2.1578815518962502</v>
      </c>
      <c r="EY156" s="1111">
        <f t="shared" si="146"/>
        <v>1.30274636086792</v>
      </c>
      <c r="EZ156" s="1111">
        <f t="shared" si="147"/>
        <v>0.94297953696777803</v>
      </c>
      <c r="FA156" s="1111">
        <f t="shared" si="148"/>
        <v>0.78815258031283297</v>
      </c>
      <c r="FB156" s="1111">
        <f t="shared" si="149"/>
        <v>0.71799894873057002</v>
      </c>
      <c r="FC156" s="1111">
        <f t="shared" si="150"/>
        <v>0.69737659475245495</v>
      </c>
      <c r="FD156" s="1111">
        <f t="shared" si="151"/>
        <v>0.69289982108465797</v>
      </c>
      <c r="FE156" s="1111">
        <f t="shared" si="152"/>
        <v>0.69155412460857602</v>
      </c>
      <c r="FF156" s="1111">
        <f t="shared" si="153"/>
        <v>0.69155412460857602</v>
      </c>
      <c r="FG156" s="1111">
        <f t="shared" si="193"/>
        <v>2.1484176158971701E-2</v>
      </c>
      <c r="FH156" s="1111">
        <f t="shared" si="194"/>
        <v>2.1484176158971701E-2</v>
      </c>
      <c r="FI156" s="1111">
        <f t="shared" si="195"/>
        <v>2.1509817808633099E-2</v>
      </c>
      <c r="FJ156" s="1111">
        <f t="shared" si="196"/>
        <v>2.2375249866597498E-2</v>
      </c>
      <c r="FK156" s="1111">
        <f t="shared" si="197"/>
        <v>2.1964641718838499E-2</v>
      </c>
      <c r="FL156" s="1111">
        <f t="shared" si="198"/>
        <v>2.1644351533378101E-2</v>
      </c>
      <c r="FM156" s="1111">
        <f t="shared" si="199"/>
        <v>2.1560851881015301E-2</v>
      </c>
      <c r="FN156" s="1111">
        <f t="shared" si="200"/>
        <v>2.1538927343366401E-2</v>
      </c>
      <c r="FO156" s="1111">
        <f t="shared" si="201"/>
        <v>2.1534775827773901E-2</v>
      </c>
      <c r="FP156" s="1111">
        <f t="shared" si="202"/>
        <v>2.15338577914834E-2</v>
      </c>
      <c r="FQ156" s="1111">
        <f t="shared" si="203"/>
        <v>2.15338577914834E-2</v>
      </c>
      <c r="FR156" s="1111">
        <f t="shared" si="230"/>
        <v>0.205584171442245</v>
      </c>
      <c r="FS156" s="1111">
        <f t="shared" si="231"/>
        <v>0.205584171442245</v>
      </c>
      <c r="FT156" s="1111">
        <f t="shared" si="232"/>
        <v>0.200703686535146</v>
      </c>
      <c r="FU156" s="1111">
        <f t="shared" si="233"/>
        <v>0.298432150084874</v>
      </c>
      <c r="FV156" s="1111">
        <f t="shared" si="234"/>
        <v>0.29892439751761801</v>
      </c>
      <c r="FW156" s="1111">
        <f t="shared" si="235"/>
        <v>0.29942291421429901</v>
      </c>
      <c r="FX156" s="1111">
        <f t="shared" si="236"/>
        <v>0.29972619462258399</v>
      </c>
      <c r="FY156" s="1111">
        <f t="shared" si="237"/>
        <v>0.29988559432946199</v>
      </c>
      <c r="FZ156" s="1111">
        <f t="shared" si="238"/>
        <v>0.29993582308119998</v>
      </c>
      <c r="GA156" s="1111">
        <f t="shared" si="239"/>
        <v>0.299955436334361</v>
      </c>
      <c r="GB156" s="1111">
        <f t="shared" si="240"/>
        <v>0.299955436334361</v>
      </c>
      <c r="GC156" s="1111">
        <f t="shared" si="164"/>
        <v>3.9334690996451198E-2</v>
      </c>
      <c r="GD156" s="1111">
        <f t="shared" si="165"/>
        <v>3.9334690996451198E-2</v>
      </c>
      <c r="GE156" s="1111">
        <f t="shared" si="166"/>
        <v>3.4631534960308699E-2</v>
      </c>
      <c r="GF156" s="1111">
        <f t="shared" si="167"/>
        <v>4.5448906099466301E-2</v>
      </c>
      <c r="GG156" s="1111">
        <f t="shared" si="168"/>
        <v>4.5413592229635001E-2</v>
      </c>
      <c r="GH156" s="1111">
        <f t="shared" si="169"/>
        <v>4.5762266359602698E-2</v>
      </c>
      <c r="GI156" s="1111">
        <f t="shared" si="170"/>
        <v>4.6004282113656897E-2</v>
      </c>
      <c r="GJ156" s="1111">
        <f t="shared" si="171"/>
        <v>4.6139436899626303E-2</v>
      </c>
      <c r="GK156" s="1111">
        <f t="shared" si="172"/>
        <v>4.6182051454262997E-2</v>
      </c>
      <c r="GL156" s="1111">
        <f t="shared" si="173"/>
        <v>4.6199279391049702E-2</v>
      </c>
      <c r="GM156" s="1111">
        <f t="shared" si="174"/>
        <v>4.6199279391049702E-2</v>
      </c>
    </row>
    <row r="157" spans="1:195" x14ac:dyDescent="0.2">
      <c r="A157" s="1071" t="s">
        <v>184</v>
      </c>
      <c r="B157" s="1071" t="str">
        <f>Technologies!C114</f>
        <v>TMGSLC10</v>
      </c>
      <c r="C157" s="1071" t="str">
        <f>Technologies!D114</f>
        <v>Medium Duty Truck, Gasoline, 2010</v>
      </c>
      <c r="D157" s="1071" t="str">
        <f>TechData!D21</f>
        <v>bn-vmt, bn-vmt/a</v>
      </c>
      <c r="E157" s="1071" t="str">
        <f>NewTech!E67</f>
        <v>TMGSL</v>
      </c>
      <c r="F157" s="1071" t="str">
        <f>NewTech!F67</f>
        <v>TM</v>
      </c>
      <c r="G157" s="1110" t="s">
        <v>503</v>
      </c>
      <c r="H157" s="1110" t="s">
        <v>500</v>
      </c>
      <c r="I157" s="1112">
        <v>1</v>
      </c>
      <c r="J157" s="1111" t="str">
        <f t="shared" si="37"/>
        <v>Medium duty-GSL</v>
      </c>
      <c r="K157" s="1111">
        <f>SUMIFS(NewEmisData!E:E, NewEmisData!$A:$A, $G157, NewEmisData!$B:$B, $A157, NewEmisData!$C:$C, $H157, NewEmisData!$D:$D, K$6)</f>
        <v>1125.6531994791601</v>
      </c>
      <c r="L157" s="1111">
        <f>SUMIFS(NewEmisData!F:F, NewEmisData!$A:$A, $G157, NewEmisData!$B:$B, $A157, NewEmisData!$C:$C, $H157, NewEmisData!$D:$D, L$6)</f>
        <v>1129.51230354672</v>
      </c>
      <c r="M157" s="1111">
        <f>SUMIFS(NewEmisData!G:G, NewEmisData!$A:$A, $G157, NewEmisData!$B:$B, $A157, NewEmisData!$C:$C, $H157, NewEmisData!$D:$D, M$6)</f>
        <v>1334.28865010909</v>
      </c>
      <c r="N157" s="1111">
        <f>SUMIFS(NewEmisData!H:H, NewEmisData!$A:$A, $G157, NewEmisData!$B:$B, $A157, NewEmisData!$C:$C, $H157, NewEmisData!$D:$D, N$6)</f>
        <v>1309.4477161980601</v>
      </c>
      <c r="O157" s="1111">
        <f>SUMIFS(NewEmisData!I:I, NewEmisData!$A:$A, $G157, NewEmisData!$B:$B, $A157, NewEmisData!$C:$C, $H157, NewEmisData!$D:$D, O$6)</f>
        <v>1290.2789800169201</v>
      </c>
      <c r="P157" s="1111">
        <f>SUMIFS(NewEmisData!J:J, NewEmisData!$A:$A, $G157, NewEmisData!$B:$B, $A157, NewEmisData!$C:$C, $H157, NewEmisData!$D:$D, P$6)</f>
        <v>1285.24459420581</v>
      </c>
      <c r="Q157" s="1111">
        <f>SUMIFS(NewEmisData!K:K, NewEmisData!$A:$A, $G157, NewEmisData!$B:$B, $A157, NewEmisData!$C:$C, $H157, NewEmisData!$D:$D, Q$6)</f>
        <v>1283.9086141387199</v>
      </c>
      <c r="R157" s="1111">
        <f>SUMIFS(NewEmisData!L:L, NewEmisData!$A:$A, $G157, NewEmisData!$B:$B, $A157, NewEmisData!$C:$C, $H157, NewEmisData!$D:$D, R$6)</f>
        <v>1283.64917953798</v>
      </c>
      <c r="S157" s="1111">
        <f>SUMIFS(NewEmisData!M:M, NewEmisData!$A:$A, $G157, NewEmisData!$B:$B, $A157, NewEmisData!$C:$C, $H157, NewEmisData!$D:$D, S$6)</f>
        <v>1283.5882413572699</v>
      </c>
      <c r="T157" s="1111">
        <f t="shared" si="131"/>
        <v>1283.5882413572699</v>
      </c>
      <c r="U157" s="1111">
        <f>SUMIFS(NewEmisData!E:E, NewEmisData!$A:$A, $G157, NewEmisData!$B:$B, $A157, NewEmisData!$C:$C, $H157, NewEmisData!$D:$D, U$6)</f>
        <v>3.9696963814368802</v>
      </c>
      <c r="V157" s="1111">
        <f>SUMIFS(NewEmisData!F:F, NewEmisData!$A:$A, $G157, NewEmisData!$B:$B, $A157, NewEmisData!$C:$C, $H157, NewEmisData!$D:$D, V$6)</f>
        <v>2.1292045893653802</v>
      </c>
      <c r="W157" s="1111">
        <f>SUMIFS(NewEmisData!G:G, NewEmisData!$A:$A, $G157, NewEmisData!$B:$B, $A157, NewEmisData!$C:$C, $H157, NewEmisData!$D:$D, W$6)</f>
        <v>1.1780347139767999</v>
      </c>
      <c r="X157" s="1111">
        <f>SUMIFS(NewEmisData!H:H, NewEmisData!$A:$A, $G157, NewEmisData!$B:$B, $A157, NewEmisData!$C:$C, $H157, NewEmisData!$D:$D, X$6)</f>
        <v>0.85616837461707895</v>
      </c>
      <c r="Y157" s="1111">
        <f>SUMIFS(NewEmisData!I:I, NewEmisData!$A:$A, $G157, NewEmisData!$B:$B, $A157, NewEmisData!$C:$C, $H157, NewEmisData!$D:$D, Y$6)</f>
        <v>0.71679914036882397</v>
      </c>
      <c r="Z157" s="1111">
        <f>SUMIFS(NewEmisData!J:J, NewEmisData!$A:$A, $G157, NewEmisData!$B:$B, $A157, NewEmisData!$C:$C, $H157, NewEmisData!$D:$D, Z$6)</f>
        <v>0.653734873709785</v>
      </c>
      <c r="AA157" s="1111">
        <f>SUMIFS(NewEmisData!K:K, NewEmisData!$A:$A, $G157, NewEmisData!$B:$B, $A157, NewEmisData!$C:$C, $H157, NewEmisData!$D:$D, AA$6)</f>
        <v>0.63529466077774999</v>
      </c>
      <c r="AB157" s="1111">
        <f>SUMIFS(NewEmisData!L:L, NewEmisData!$A:$A, $G157, NewEmisData!$B:$B, $A157, NewEmisData!$C:$C, $H157, NewEmisData!$D:$D, AB$6)</f>
        <v>0.63126465139316401</v>
      </c>
      <c r="AC157" s="1111">
        <f>SUMIFS(NewEmisData!M:M, NewEmisData!$A:$A, $G157, NewEmisData!$B:$B, $A157, NewEmisData!$C:$C, $H157, NewEmisData!$D:$D, AC$6)</f>
        <v>0.63008499106767202</v>
      </c>
      <c r="AD157" s="1111">
        <f t="shared" si="229"/>
        <v>0.63008499106767202</v>
      </c>
      <c r="AE157" s="1111">
        <f t="shared" si="241"/>
        <v>1.94777471026268E-2</v>
      </c>
      <c r="AF157" s="1111">
        <f>SUMIFS(NewEmisData!E:E, NewEmisData!$A:$A, $G157, NewEmisData!$B:$B, $A157, NewEmisData!$C:$C, $H157, NewEmisData!$D:$D, AF$6)</f>
        <v>1.94777471026268E-2</v>
      </c>
      <c r="AG157" s="1111">
        <f>SUMIFS(NewEmisData!F:F, NewEmisData!$A:$A, $G157, NewEmisData!$B:$B, $A157, NewEmisData!$C:$C, $H157, NewEmisData!$D:$D, AG$6)</f>
        <v>1.95445323749391E-2</v>
      </c>
      <c r="AH157" s="1111">
        <f>SUMIFS(NewEmisData!G:G, NewEmisData!$A:$A, $G157, NewEmisData!$B:$B, $A157, NewEmisData!$C:$C, $H157, NewEmisData!$D:$D, AH$6)</f>
        <v>1.9141058004132301E-2</v>
      </c>
      <c r="AI157" s="1111">
        <f>SUMIFS(NewEmisData!H:H, NewEmisData!$A:$A, $G157, NewEmisData!$B:$B, $A157, NewEmisData!$C:$C, $H157, NewEmisData!$D:$D, AI$6)</f>
        <v>1.8784705993390102E-2</v>
      </c>
      <c r="AJ157" s="1111">
        <f>SUMIFS(NewEmisData!I:I, NewEmisData!$A:$A, $G157, NewEmisData!$B:$B, $A157, NewEmisData!$C:$C, $H157, NewEmisData!$D:$D, AJ$6)</f>
        <v>1.85097249042331E-2</v>
      </c>
      <c r="AK157" s="1111">
        <f>SUMIFS(NewEmisData!J:J, NewEmisData!$A:$A, $G157, NewEmisData!$B:$B, $A157, NewEmisData!$C:$C, $H157, NewEmisData!$D:$D, AK$6)</f>
        <v>1.8437510106673601E-2</v>
      </c>
      <c r="AL157" s="1111">
        <f>SUMIFS(NewEmisData!K:K, NewEmisData!$A:$A, $G157, NewEmisData!$B:$B, $A157, NewEmisData!$C:$C, $H157, NewEmisData!$D:$D, AL$6)</f>
        <v>1.8418333813220399E-2</v>
      </c>
      <c r="AM157" s="1111">
        <f>SUMIFS(NewEmisData!L:L, NewEmisData!$A:$A, $G157, NewEmisData!$B:$B, $A157, NewEmisData!$C:$C, $H157, NewEmisData!$D:$D, AM$6)</f>
        <v>1.8414616467845198E-2</v>
      </c>
      <c r="AN157" s="1111">
        <f>SUMIFS(NewEmisData!M:M, NewEmisData!$A:$A, $G157, NewEmisData!$B:$B, $A157, NewEmisData!$C:$C, $H157, NewEmisData!$D:$D, AN$6)</f>
        <v>1.84137339980028E-2</v>
      </c>
      <c r="AO157" s="1111">
        <f t="shared" si="242"/>
        <v>1.84137339980028E-2</v>
      </c>
      <c r="AP157" s="1111">
        <f t="shared" si="243"/>
        <v>0.16277138632680399</v>
      </c>
      <c r="AQ157" s="1111">
        <f>SUMIFS(NewEmisData!E:E, NewEmisData!$A:$A, $G157, NewEmisData!$B:$B, $A157, NewEmisData!$C:$C, $H157, NewEmisData!$D:$D, AQ$6)</f>
        <v>0.16277138632680399</v>
      </c>
      <c r="AR157" s="1111">
        <f>SUMIFS(NewEmisData!F:F, NewEmisData!$A:$A, $G157, NewEmisData!$B:$B, $A157, NewEmisData!$C:$C, $H157, NewEmisData!$D:$D, AR$6)</f>
        <v>0.15749210557477999</v>
      </c>
      <c r="AS157" s="1111">
        <f>SUMIFS(NewEmisData!G:G, NewEmisData!$A:$A, $G157, NewEmisData!$B:$B, $A157, NewEmisData!$C:$C, $H157, NewEmisData!$D:$D, AS$6)</f>
        <v>0.22213105998277299</v>
      </c>
      <c r="AT157" s="1111">
        <f>SUMIFS(NewEmisData!H:H, NewEmisData!$A:$A, $G157, NewEmisData!$B:$B, $A157, NewEmisData!$C:$C, $H157, NewEmisData!$D:$D, AT$6)</f>
        <v>0.22256905483131201</v>
      </c>
      <c r="AU157" s="1111">
        <f>SUMIFS(NewEmisData!I:I, NewEmisData!$A:$A, $G157, NewEmisData!$B:$B, $A157, NewEmisData!$C:$C, $H157, NewEmisData!$D:$D, AU$6)</f>
        <v>0.223017594102533</v>
      </c>
      <c r="AV157" s="1111">
        <f>SUMIFS(NewEmisData!J:J, NewEmisData!$A:$A, $G157, NewEmisData!$B:$B, $A157, NewEmisData!$C:$C, $H157, NewEmisData!$D:$D, AV$6)</f>
        <v>0.22328437261219899</v>
      </c>
      <c r="AW157" s="1111">
        <f>SUMIFS(NewEmisData!K:K, NewEmisData!$A:$A, $G157, NewEmisData!$B:$B, $A157, NewEmisData!$C:$C, $H157, NewEmisData!$D:$D, AW$6)</f>
        <v>0.22342028408578701</v>
      </c>
      <c r="AX157" s="1111">
        <f>SUMIFS(NewEmisData!L:L, NewEmisData!$A:$A, $G157, NewEmisData!$B:$B, $A157, NewEmisData!$C:$C, $H157, NewEmisData!$D:$D, AX$6)</f>
        <v>0.22346164064811899</v>
      </c>
      <c r="AY157" s="1111">
        <f>SUMIFS(NewEmisData!M:M, NewEmisData!$A:$A, $G157, NewEmisData!$B:$B, $A157, NewEmisData!$C:$C, $H157, NewEmisData!$D:$D, AY$6)</f>
        <v>0.22347689751407299</v>
      </c>
      <c r="AZ157" s="1111">
        <f t="shared" si="244"/>
        <v>0.22347689751407299</v>
      </c>
      <c r="BA157" s="1111">
        <f t="shared" si="245"/>
        <v>3.3085277901506199E-2</v>
      </c>
      <c r="BB157" s="1111">
        <f>SUMIFS(NewEmisData!E:E, NewEmisData!$A:$A, $G157, NewEmisData!$B:$B, $A157, NewEmisData!$C:$C, $H157, NewEmisData!$D:$D, BB$6)</f>
        <v>3.3085277901506199E-2</v>
      </c>
      <c r="BC157" s="1111">
        <f>SUMIFS(NewEmisData!F:F, NewEmisData!$A:$A, $G157, NewEmisData!$B:$B, $A157, NewEmisData!$C:$C, $H157, NewEmisData!$D:$D, BC$6)</f>
        <v>2.8088278695018499E-2</v>
      </c>
      <c r="BD157" s="1111">
        <f>SUMIFS(NewEmisData!G:G, NewEmisData!$A:$A, $G157, NewEmisData!$B:$B, $A157, NewEmisData!$C:$C, $H157, NewEmisData!$D:$D, BD$6)</f>
        <v>3.5249470703337199E-2</v>
      </c>
      <c r="BE157" s="1111">
        <f>SUMIFS(NewEmisData!H:H, NewEmisData!$A:$A, $G157, NewEmisData!$B:$B, $A157, NewEmisData!$C:$C, $H157, NewEmisData!$D:$D, BE$6)</f>
        <v>3.5278230321982601E-2</v>
      </c>
      <c r="BF157" s="1111">
        <f>SUMIFS(NewEmisData!I:I, NewEmisData!$A:$A, $G157, NewEmisData!$B:$B, $A157, NewEmisData!$C:$C, $H157, NewEmisData!$D:$D, BF$6)</f>
        <v>3.5607078221125799E-2</v>
      </c>
      <c r="BG157" s="1111">
        <f>SUMIFS(NewEmisData!J:J, NewEmisData!$A:$A, $G157, NewEmisData!$B:$B, $A157, NewEmisData!$C:$C, $H157, NewEmisData!$D:$D, BG$6)</f>
        <v>3.5823183054303799E-2</v>
      </c>
      <c r="BH157" s="1111">
        <f>SUMIFS(NewEmisData!K:K, NewEmisData!$A:$A, $G157, NewEmisData!$B:$B, $A157, NewEmisData!$C:$C, $H157, NewEmisData!$D:$D, BH$6)</f>
        <v>3.5938864982074499E-2</v>
      </c>
      <c r="BI157" s="1111">
        <f>SUMIFS(NewEmisData!L:L, NewEmisData!$A:$A, $G157, NewEmisData!$B:$B, $A157, NewEmisData!$C:$C, $H157, NewEmisData!$D:$D, BI$6)</f>
        <v>3.5974176634088799E-2</v>
      </c>
      <c r="BJ157" s="1111">
        <f>SUMIFS(NewEmisData!M:M, NewEmisData!$A:$A, $G157, NewEmisData!$B:$B, $A157, NewEmisData!$C:$C, $H157, NewEmisData!$D:$D, BJ$6)</f>
        <v>3.59876115686096E-2</v>
      </c>
      <c r="BK157" s="1111">
        <f t="shared" si="246"/>
        <v>3.59876115686096E-2</v>
      </c>
      <c r="BL157" s="1111">
        <f t="shared" si="247"/>
        <v>30.519264024443402</v>
      </c>
      <c r="BM157" s="1111">
        <f>SUMIFS(NewEmisData!E:E, NewEmisData!$A:$A, $G157, NewEmisData!$B:$B, $A157, NewEmisData!$C:$C, $H157, NewEmisData!$D:$D, BM$6)</f>
        <v>30.519264024443402</v>
      </c>
      <c r="BN157" s="1111">
        <f>SUMIFS(NewEmisData!F:F, NewEmisData!$A:$A, $G157, NewEmisData!$B:$B, $A157, NewEmisData!$C:$C, $H157, NewEmisData!$D:$D, BN$6)</f>
        <v>17.7548638520019</v>
      </c>
      <c r="BO157" s="1111">
        <f>SUMIFS(NewEmisData!G:G, NewEmisData!$A:$A, $G157, NewEmisData!$B:$B, $A157, NewEmisData!$C:$C, $H157, NewEmisData!$D:$D, BO$6)</f>
        <v>11.769795592664099</v>
      </c>
      <c r="BP157" s="1111">
        <f>SUMIFS(NewEmisData!H:H, NewEmisData!$A:$A, $G157, NewEmisData!$B:$B, $A157, NewEmisData!$C:$C, $H157, NewEmisData!$D:$D, BP$6)</f>
        <v>10.027249561844799</v>
      </c>
      <c r="BQ157" s="1111">
        <f>SUMIFS(NewEmisData!I:I, NewEmisData!$A:$A, $G157, NewEmisData!$B:$B, $A157, NewEmisData!$C:$C, $H157, NewEmisData!$D:$D, BQ$6)</f>
        <v>9.5164175607240296</v>
      </c>
      <c r="BR157" s="1111">
        <f>SUMIFS(NewEmisData!J:J, NewEmisData!$A:$A, $G157, NewEmisData!$B:$B, $A157, NewEmisData!$C:$C, $H157, NewEmisData!$D:$D, BR$6)</f>
        <v>9.3871226242105301</v>
      </c>
      <c r="BS157" s="1111">
        <f>SUMIFS(NewEmisData!K:K, NewEmisData!$A:$A, $G157, NewEmisData!$B:$B, $A157, NewEmisData!$C:$C, $H157, NewEmisData!$D:$D, BS$6)</f>
        <v>9.4290563886524001</v>
      </c>
      <c r="BT157" s="1111">
        <f>SUMIFS(NewEmisData!L:L, NewEmisData!$A:$A, $G157, NewEmisData!$B:$B, $A157, NewEmisData!$C:$C, $H157, NewEmisData!$D:$D, BT$6)</f>
        <v>9.4677016030619807</v>
      </c>
      <c r="BU157" s="1111">
        <f>SUMIFS(NewEmisData!M:M, NewEmisData!$A:$A, $G157, NewEmisData!$B:$B, $A157, NewEmisData!$C:$C, $H157, NewEmisData!$D:$D, BU$6)</f>
        <v>9.4911287930921109</v>
      </c>
      <c r="BV157" s="1111">
        <f t="shared" si="248"/>
        <v>9.4911287930921109</v>
      </c>
      <c r="BW157" s="1111">
        <f t="shared" si="249"/>
        <v>1.4331518530549801</v>
      </c>
      <c r="BX157" s="1111">
        <f>SUMIFS(NewEmisData!E:E, NewEmisData!$A:$A, $G157, NewEmisData!$B:$B, $A157, NewEmisData!$C:$C, $H157, NewEmisData!$D:$D, BX$6)</f>
        <v>1.4331518530549801</v>
      </c>
      <c r="BY157" s="1111">
        <f>SUMIFS(NewEmisData!F:F, NewEmisData!$A:$A, $G157, NewEmisData!$B:$B, $A157, NewEmisData!$C:$C, $H157, NewEmisData!$D:$D, BY$6)</f>
        <v>0.82554141247932</v>
      </c>
      <c r="BZ157" s="1111">
        <f>SUMIFS(NewEmisData!G:G, NewEmisData!$A:$A, $G157, NewEmisData!$B:$B, $A157, NewEmisData!$C:$C, $H157, NewEmisData!$D:$D, BZ$6)</f>
        <v>0.52934059761176699</v>
      </c>
      <c r="CA157" s="1111">
        <f>SUMIFS(NewEmisData!H:H, NewEmisData!$A:$A, $G157, NewEmisData!$B:$B, $A157, NewEmisData!$C:$C, $H157, NewEmisData!$D:$D, CA$6)</f>
        <v>0.41820996508437402</v>
      </c>
      <c r="CB157" s="1111">
        <f>SUMIFS(NewEmisData!I:I, NewEmisData!$A:$A, $G157, NewEmisData!$B:$B, $A157, NewEmisData!$C:$C, $H157, NewEmisData!$D:$D, CB$6)</f>
        <v>0.37730109294103098</v>
      </c>
      <c r="CC157" s="1111">
        <f>SUMIFS(NewEmisData!J:J, NewEmisData!$A:$A, $G157, NewEmisData!$B:$B, $A157, NewEmisData!$C:$C, $H157, NewEmisData!$D:$D, CC$6)</f>
        <v>0.36080370260189998</v>
      </c>
      <c r="CD157" s="1111">
        <f>SUMIFS(NewEmisData!K:K, NewEmisData!$A:$A, $G157, NewEmisData!$B:$B, $A157, NewEmisData!$C:$C, $H157, NewEmisData!$D:$D, CD$6)</f>
        <v>0.35854771789443002</v>
      </c>
      <c r="CE157" s="1111">
        <f>SUMIFS(NewEmisData!L:L, NewEmisData!$A:$A, $G157, NewEmisData!$B:$B, $A157, NewEmisData!$C:$C, $H157, NewEmisData!$D:$D, CE$6)</f>
        <v>0.35854167304512202</v>
      </c>
      <c r="CF157" s="1111">
        <f>SUMIFS(NewEmisData!M:M, NewEmisData!$A:$A, $G157, NewEmisData!$B:$B, $A157, NewEmisData!$C:$C, $H157, NewEmisData!$D:$D, CF$6)</f>
        <v>0.35855864650360297</v>
      </c>
      <c r="CG157" s="1111">
        <f t="shared" si="250"/>
        <v>0.35855864650360297</v>
      </c>
      <c r="CH157" s="1111">
        <f t="shared" si="251"/>
        <v>4.3399426569524099E-2</v>
      </c>
      <c r="CI157" s="1111">
        <f>SUMIFS(NewEmisData!E:E, NewEmisData!$A:$A, $G157, NewEmisData!$B:$B, $A157, NewEmisData!$C:$C, $H157, NewEmisData!$D:$D, CI$6)</f>
        <v>4.3399426569524099E-2</v>
      </c>
      <c r="CJ157" s="1111">
        <f>SUMIFS(NewEmisData!F:F, NewEmisData!$A:$A, $G157, NewEmisData!$B:$B, $A157, NewEmisData!$C:$C, $H157, NewEmisData!$D:$D, CJ$6)</f>
        <v>4.3414607751202899E-2</v>
      </c>
      <c r="CK157" s="1111">
        <f>SUMIFS(NewEmisData!G:G, NewEmisData!$A:$A, $G157, NewEmisData!$B:$B, $A157, NewEmisData!$C:$C, $H157, NewEmisData!$D:$D, CK$6)</f>
        <v>5.4993981735290499E-2</v>
      </c>
      <c r="CL157" s="1111">
        <f>SUMIFS(NewEmisData!H:H, NewEmisData!$A:$A, $G157, NewEmisData!$B:$B, $A157, NewEmisData!$C:$C, $H157, NewEmisData!$D:$D, CL$6)</f>
        <v>5.4993786232210601E-2</v>
      </c>
      <c r="CM157" s="1111">
        <f>SUMIFS(NewEmisData!I:I, NewEmisData!$A:$A, $G157, NewEmisData!$B:$B, $A157, NewEmisData!$C:$C, $H157, NewEmisData!$D:$D, CM$6)</f>
        <v>5.49943755829881E-2</v>
      </c>
      <c r="CN157" s="1111">
        <f>SUMIFS(NewEmisData!J:J, NewEmisData!$A:$A, $G157, NewEmisData!$B:$B, $A157, NewEmisData!$C:$C, $H157, NewEmisData!$D:$D, CN$6)</f>
        <v>5.4994520767338101E-2</v>
      </c>
      <c r="CO157" s="1111">
        <f>SUMIFS(NewEmisData!K:K, NewEmisData!$A:$A, $G157, NewEmisData!$B:$B, $A157, NewEmisData!$C:$C, $H157, NewEmisData!$D:$D, CO$6)</f>
        <v>5.4994541597587002E-2</v>
      </c>
      <c r="CP157" s="1111">
        <f>SUMIFS(NewEmisData!L:L, NewEmisData!$A:$A, $G157, NewEmisData!$B:$B, $A157, NewEmisData!$C:$C, $H157, NewEmisData!$D:$D, CP$6)</f>
        <v>5.4994553673977098E-2</v>
      </c>
      <c r="CQ157" s="1111">
        <f>SUMIFS(NewEmisData!M:M, NewEmisData!$A:$A, $G157, NewEmisData!$B:$B, $A157, NewEmisData!$C:$C, $H157, NewEmisData!$D:$D, CQ$6)</f>
        <v>5.4994550577738499E-2</v>
      </c>
      <c r="CR157" s="1111">
        <f t="shared" si="252"/>
        <v>5.4994550577738499E-2</v>
      </c>
      <c r="CS157" s="1111">
        <f t="shared" si="253"/>
        <v>4.8977354146498502E-2</v>
      </c>
      <c r="CT157" s="1111">
        <f>SUMIFS(NewEmisData!E:E, NewEmisData!$A:$A, $G157, NewEmisData!$B:$B, $A157, NewEmisData!$C:$C, $H157, NewEmisData!$D:$D, CT$6)</f>
        <v>4.8977354146498502E-2</v>
      </c>
      <c r="CU157" s="1111">
        <f>SUMIFS(NewEmisData!F:F, NewEmisData!$A:$A, $G157, NewEmisData!$B:$B, $A157, NewEmisData!$C:$C, $H157, NewEmisData!$D:$D, CU$6)</f>
        <v>2.8470713504453099E-2</v>
      </c>
      <c r="CV157" s="1111">
        <f>SUMIFS(NewEmisData!G:G, NewEmisData!$A:$A, $G157, NewEmisData!$B:$B, $A157, NewEmisData!$C:$C, $H157, NewEmisData!$D:$D, CV$6)</f>
        <v>2.1189978152056602E-2</v>
      </c>
      <c r="CW157" s="1111">
        <f>SUMIFS(NewEmisData!H:H, NewEmisData!$A:$A, $G157, NewEmisData!$B:$B, $A157, NewEmisData!$C:$C, $H157, NewEmisData!$D:$D, CW$6)</f>
        <v>1.46389058287662E-2</v>
      </c>
      <c r="CX157" s="1111">
        <f>SUMIFS(NewEmisData!I:I, NewEmisData!$A:$A, $G157, NewEmisData!$B:$B, $A157, NewEmisData!$C:$C, $H157, NewEmisData!$D:$D, CX$6)</f>
        <v>1.28792587479717E-2</v>
      </c>
      <c r="CY157" s="1111">
        <f>SUMIFS(NewEmisData!J:J, NewEmisData!$A:$A, $G157, NewEmisData!$B:$B, $A157, NewEmisData!$C:$C, $H157, NewEmisData!$D:$D, CY$6)</f>
        <v>1.23921680979683E-2</v>
      </c>
      <c r="CZ157" s="1111">
        <f>SUMIFS(NewEmisData!K:K, NewEmisData!$A:$A, $G157, NewEmisData!$B:$B, $A157, NewEmisData!$C:$C, $H157, NewEmisData!$D:$D, CZ$6)</f>
        <v>1.23336041545112E-2</v>
      </c>
      <c r="DA157" s="1111">
        <f>SUMIFS(NewEmisData!L:L, NewEmisData!$A:$A, $G157, NewEmisData!$B:$B, $A157, NewEmisData!$C:$C, $H157, NewEmisData!$D:$D, DA$6)</f>
        <v>1.22985211601931E-2</v>
      </c>
      <c r="DB157" s="1111">
        <f>SUMIFS(NewEmisData!M:M, NewEmisData!$A:$A, $G157, NewEmisData!$B:$B, $A157, NewEmisData!$C:$C, $H157, NewEmisData!$D:$D, DB$6)</f>
        <v>1.2317402931661E-2</v>
      </c>
      <c r="DC157" s="1111">
        <f t="shared" si="254"/>
        <v>1.2317402931661E-2</v>
      </c>
      <c r="DD157" s="1111"/>
      <c r="DE157" s="1111"/>
      <c r="DF157" s="1111"/>
      <c r="DG157" s="1111"/>
      <c r="DH157" s="1111"/>
      <c r="DI157" s="1111"/>
      <c r="DJ157" s="1111"/>
      <c r="DK157" s="1111"/>
      <c r="DL157" s="1111"/>
      <c r="DM157" s="1111"/>
      <c r="DN157" s="1111"/>
      <c r="DO157" s="1111"/>
      <c r="DP157" s="1111"/>
      <c r="DQ157" s="1111"/>
      <c r="DR157" s="1111"/>
      <c r="DS157" s="1111"/>
      <c r="DT157" s="1111"/>
      <c r="DU157" s="1111"/>
      <c r="DV157" s="1111"/>
      <c r="DW157" s="1111"/>
      <c r="DX157" s="1111"/>
      <c r="DY157" s="1111"/>
      <c r="DZ157" s="1111">
        <f t="shared" si="255"/>
        <v>3.8110257804810699E-2</v>
      </c>
      <c r="EA157" s="1111">
        <f>SUMIFS(NewEmisData!E:E, NewEmisData!$A:$A, $G157, NewEmisData!$B:$B, $A157, NewEmisData!$C:$C, $H157, NewEmisData!$D:$D, EA$6)</f>
        <v>3.8110257804810699E-2</v>
      </c>
      <c r="EB157" s="1111">
        <f>SUMIFS(NewEmisData!F:F, NewEmisData!$A:$A, $G157, NewEmisData!$B:$B, $A157, NewEmisData!$C:$C, $H157, NewEmisData!$D:$D, EB$6)</f>
        <v>2.0417199912842899E-2</v>
      </c>
      <c r="EC157" s="1111">
        <f>SUMIFS(NewEmisData!G:G, NewEmisData!$A:$A, $G157, NewEmisData!$B:$B, $A157, NewEmisData!$C:$C, $H157, NewEmisData!$D:$D, EC$6)</f>
        <v>1.30642962548774E-2</v>
      </c>
      <c r="ED157" s="1111">
        <f>SUMIFS(NewEmisData!H:H, NewEmisData!$A:$A, $G157, NewEmisData!$B:$B, $A157, NewEmisData!$C:$C, $H157, NewEmisData!$D:$D, ED$6)</f>
        <v>1.11738363859457E-2</v>
      </c>
      <c r="EE157" s="1111">
        <f>SUMIFS(NewEmisData!I:I, NewEmisData!$A:$A, $G157, NewEmisData!$B:$B, $A157, NewEmisData!$C:$C, $H157, NewEmisData!$D:$D, EE$6)</f>
        <v>1.0636123173322E-2</v>
      </c>
      <c r="EF157" s="1111">
        <f>SUMIFS(NewEmisData!J:J, NewEmisData!$A:$A, $G157, NewEmisData!$B:$B, $A157, NewEmisData!$C:$C, $H157, NewEmisData!$D:$D, EF$6)</f>
        <v>1.0535248987316E-2</v>
      </c>
      <c r="EG157" s="1111">
        <f>SUMIFS(NewEmisData!K:K, NewEmisData!$A:$A, $G157, NewEmisData!$B:$B, $A157, NewEmisData!$C:$C, $H157, NewEmisData!$D:$D, EG$6)</f>
        <v>1.0571182579202899E-2</v>
      </c>
      <c r="EH157" s="1111">
        <f>SUMIFS(NewEmisData!L:L, NewEmisData!$A:$A, $G157, NewEmisData!$B:$B, $A157, NewEmisData!$C:$C, $H157, NewEmisData!$D:$D, EH$6)</f>
        <v>1.05827805921651E-2</v>
      </c>
      <c r="EI157" s="1111">
        <f>SUMIFS(NewEmisData!M:M, NewEmisData!$A:$A, $G157, NewEmisData!$B:$B, $A157, NewEmisData!$C:$C, $H157, NewEmisData!$D:$D, EI$6)</f>
        <v>1.05816969285468E-2</v>
      </c>
      <c r="EJ157" s="1111">
        <f t="shared" si="256"/>
        <v>1.05816969285468E-2</v>
      </c>
      <c r="EK157" s="1111">
        <f t="shared" si="257"/>
        <v>1125.6531994791601</v>
      </c>
      <c r="EL157" s="1111">
        <f t="shared" si="154"/>
        <v>1125.6531994791601</v>
      </c>
      <c r="EM157" s="1111">
        <f t="shared" si="155"/>
        <v>1129.51230354672</v>
      </c>
      <c r="EN157" s="1111">
        <f t="shared" si="156"/>
        <v>1334.28865010909</v>
      </c>
      <c r="EO157" s="1111">
        <f t="shared" si="157"/>
        <v>1309.4477161980601</v>
      </c>
      <c r="EP157" s="1111">
        <f t="shared" si="158"/>
        <v>1290.2789800169201</v>
      </c>
      <c r="EQ157" s="1111">
        <f t="shared" si="159"/>
        <v>1285.24459420581</v>
      </c>
      <c r="ER157" s="1111">
        <f t="shared" si="160"/>
        <v>1283.9086141387199</v>
      </c>
      <c r="ES157" s="1111">
        <f t="shared" si="161"/>
        <v>1283.64917953798</v>
      </c>
      <c r="ET157" s="1111">
        <f t="shared" si="162"/>
        <v>1283.5882413572699</v>
      </c>
      <c r="EU157" s="1111">
        <f t="shared" si="163"/>
        <v>1283.5882413572699</v>
      </c>
      <c r="EV157" s="1111">
        <f t="shared" si="258"/>
        <v>3.9696963814368802</v>
      </c>
      <c r="EW157" s="1111">
        <f t="shared" si="144"/>
        <v>3.9696963814368802</v>
      </c>
      <c r="EX157" s="1111">
        <f t="shared" si="145"/>
        <v>2.1292045893653802</v>
      </c>
      <c r="EY157" s="1111">
        <f t="shared" si="146"/>
        <v>1.1780347139767999</v>
      </c>
      <c r="EZ157" s="1111">
        <f t="shared" si="147"/>
        <v>0.85616837461707895</v>
      </c>
      <c r="FA157" s="1111">
        <f t="shared" si="148"/>
        <v>0.71679914036882397</v>
      </c>
      <c r="FB157" s="1111">
        <f t="shared" si="149"/>
        <v>0.653734873709785</v>
      </c>
      <c r="FC157" s="1111">
        <f t="shared" si="150"/>
        <v>0.63529466077774999</v>
      </c>
      <c r="FD157" s="1111">
        <f t="shared" si="151"/>
        <v>0.63126465139316401</v>
      </c>
      <c r="FE157" s="1111">
        <f t="shared" si="152"/>
        <v>0.63008499106767202</v>
      </c>
      <c r="FF157" s="1111">
        <f t="shared" si="153"/>
        <v>0.63008499106767202</v>
      </c>
      <c r="FG157" s="1111">
        <f t="shared" si="193"/>
        <v>1.94777471026268E-2</v>
      </c>
      <c r="FH157" s="1111">
        <f t="shared" si="194"/>
        <v>1.94777471026268E-2</v>
      </c>
      <c r="FI157" s="1111">
        <f t="shared" si="195"/>
        <v>1.95445323749391E-2</v>
      </c>
      <c r="FJ157" s="1111">
        <f t="shared" si="196"/>
        <v>1.9141058004132301E-2</v>
      </c>
      <c r="FK157" s="1111">
        <f t="shared" si="197"/>
        <v>1.8784705993390102E-2</v>
      </c>
      <c r="FL157" s="1111">
        <f t="shared" si="198"/>
        <v>1.85097249042331E-2</v>
      </c>
      <c r="FM157" s="1111">
        <f t="shared" si="199"/>
        <v>1.8437510106673601E-2</v>
      </c>
      <c r="FN157" s="1111">
        <f t="shared" si="200"/>
        <v>1.8418333813220399E-2</v>
      </c>
      <c r="FO157" s="1111">
        <f t="shared" si="201"/>
        <v>1.8414616467845198E-2</v>
      </c>
      <c r="FP157" s="1111">
        <f t="shared" si="202"/>
        <v>1.84137339980028E-2</v>
      </c>
      <c r="FQ157" s="1111">
        <f t="shared" si="203"/>
        <v>1.84137339980028E-2</v>
      </c>
      <c r="FR157" s="1111">
        <f t="shared" si="230"/>
        <v>0.16277138632680399</v>
      </c>
      <c r="FS157" s="1111">
        <f t="shared" si="231"/>
        <v>0.16277138632680399</v>
      </c>
      <c r="FT157" s="1111">
        <f t="shared" si="232"/>
        <v>0.15749210557477999</v>
      </c>
      <c r="FU157" s="1111">
        <f t="shared" si="233"/>
        <v>0.22213105998277299</v>
      </c>
      <c r="FV157" s="1111">
        <f t="shared" si="234"/>
        <v>0.22256905483131201</v>
      </c>
      <c r="FW157" s="1111">
        <f t="shared" si="235"/>
        <v>0.223017594102533</v>
      </c>
      <c r="FX157" s="1111">
        <f t="shared" si="236"/>
        <v>0.22328437261219899</v>
      </c>
      <c r="FY157" s="1111">
        <f t="shared" si="237"/>
        <v>0.22342028408578701</v>
      </c>
      <c r="FZ157" s="1111">
        <f t="shared" si="238"/>
        <v>0.22346164064811899</v>
      </c>
      <c r="GA157" s="1111">
        <f t="shared" si="239"/>
        <v>0.22347689751407299</v>
      </c>
      <c r="GB157" s="1111">
        <f t="shared" si="240"/>
        <v>0.22347689751407299</v>
      </c>
      <c r="GC157" s="1111">
        <f t="shared" si="164"/>
        <v>3.3085277901506199E-2</v>
      </c>
      <c r="GD157" s="1111">
        <f t="shared" si="165"/>
        <v>3.3085277901506199E-2</v>
      </c>
      <c r="GE157" s="1111">
        <f t="shared" si="166"/>
        <v>2.8088278695018499E-2</v>
      </c>
      <c r="GF157" s="1111">
        <f t="shared" si="167"/>
        <v>3.5249470703337199E-2</v>
      </c>
      <c r="GG157" s="1111">
        <f t="shared" si="168"/>
        <v>3.5278230321982601E-2</v>
      </c>
      <c r="GH157" s="1111">
        <f t="shared" si="169"/>
        <v>3.5607078221125799E-2</v>
      </c>
      <c r="GI157" s="1111">
        <f t="shared" si="170"/>
        <v>3.5823183054303799E-2</v>
      </c>
      <c r="GJ157" s="1111">
        <f t="shared" si="171"/>
        <v>3.5938864982074499E-2</v>
      </c>
      <c r="GK157" s="1111">
        <f t="shared" si="172"/>
        <v>3.5974176634088799E-2</v>
      </c>
      <c r="GL157" s="1111">
        <f t="shared" si="173"/>
        <v>3.59876115686096E-2</v>
      </c>
      <c r="GM157" s="1111">
        <f t="shared" si="174"/>
        <v>3.59876115686096E-2</v>
      </c>
    </row>
    <row r="158" spans="1:195" x14ac:dyDescent="0.2">
      <c r="A158" s="1071" t="s">
        <v>186</v>
      </c>
      <c r="B158" s="1071" t="str">
        <f>Technologies!C114</f>
        <v>TMGSLC10</v>
      </c>
      <c r="C158" s="1071" t="str">
        <f>Technologies!D114</f>
        <v>Medium Duty Truck, Gasoline, 2010</v>
      </c>
      <c r="D158" s="1071" t="str">
        <f>TechData!D21</f>
        <v>bn-vmt, bn-vmt/a</v>
      </c>
      <c r="E158" s="1071" t="str">
        <f>NewTech!E67</f>
        <v>TMGSL</v>
      </c>
      <c r="F158" s="1071" t="str">
        <f>NewTech!F67</f>
        <v>TM</v>
      </c>
      <c r="G158" s="1110" t="s">
        <v>503</v>
      </c>
      <c r="H158" s="1110" t="s">
        <v>500</v>
      </c>
      <c r="I158" s="1112">
        <v>1</v>
      </c>
      <c r="J158" s="1111" t="str">
        <f t="shared" si="37"/>
        <v>Medium duty-GSL</v>
      </c>
      <c r="K158" s="1111">
        <f>SUMIFS(NewEmisData!E:E, NewEmisData!$A:$A, $G158, NewEmisData!$B:$B, $A158, NewEmisData!$C:$C, $H158, NewEmisData!$D:$D, K$6)</f>
        <v>1571.23838726393</v>
      </c>
      <c r="L158" s="1111">
        <f>SUMIFS(NewEmisData!F:F, NewEmisData!$A:$A, $G158, NewEmisData!$B:$B, $A158, NewEmisData!$C:$C, $H158, NewEmisData!$D:$D, L$6)</f>
        <v>1575.29652368133</v>
      </c>
      <c r="M158" s="1111">
        <f>SUMIFS(NewEmisData!G:G, NewEmisData!$A:$A, $G158, NewEmisData!$B:$B, $A158, NewEmisData!$C:$C, $H158, NewEmisData!$D:$D, M$6)</f>
        <v>1620.65726903051</v>
      </c>
      <c r="N158" s="1111">
        <f>SUMIFS(NewEmisData!H:H, NewEmisData!$A:$A, $G158, NewEmisData!$B:$B, $A158, NewEmisData!$C:$C, $H158, NewEmisData!$D:$D, N$6)</f>
        <v>1591.3958126743701</v>
      </c>
      <c r="O158" s="1111">
        <f>SUMIFS(NewEmisData!I:I, NewEmisData!$A:$A, $G158, NewEmisData!$B:$B, $A158, NewEmisData!$C:$C, $H158, NewEmisData!$D:$D, O$6)</f>
        <v>1568.18391586794</v>
      </c>
      <c r="P158" s="1111">
        <f>SUMIFS(NewEmisData!J:J, NewEmisData!$A:$A, $G158, NewEmisData!$B:$B, $A158, NewEmisData!$C:$C, $H158, NewEmisData!$D:$D, P$6)</f>
        <v>1562.10113018675</v>
      </c>
      <c r="Q158" s="1111">
        <f>SUMIFS(NewEmisData!K:K, NewEmisData!$A:$A, $G158, NewEmisData!$B:$B, $A158, NewEmisData!$C:$C, $H158, NewEmisData!$D:$D, Q$6)</f>
        <v>1560.4729957351501</v>
      </c>
      <c r="R158" s="1111">
        <f>SUMIFS(NewEmisData!L:L, NewEmisData!$A:$A, $G158, NewEmisData!$B:$B, $A158, NewEmisData!$C:$C, $H158, NewEmisData!$D:$D, R$6)</f>
        <v>1560.1538107035101</v>
      </c>
      <c r="S158" s="1111">
        <f>SUMIFS(NewEmisData!M:M, NewEmisData!$A:$A, $G158, NewEmisData!$B:$B, $A158, NewEmisData!$C:$C, $H158, NewEmisData!$D:$D, S$6)</f>
        <v>1560.07677043992</v>
      </c>
      <c r="T158" s="1111">
        <f t="shared" si="131"/>
        <v>1560.07677043992</v>
      </c>
      <c r="U158" s="1111">
        <f>SUMIFS(NewEmisData!E:E, NewEmisData!$A:$A, $G158, NewEmisData!$B:$B, $A158, NewEmisData!$C:$C, $H158, NewEmisData!$D:$D, U$6)</f>
        <v>4.4339350215429896</v>
      </c>
      <c r="V158" s="1111">
        <f>SUMIFS(NewEmisData!F:F, NewEmisData!$A:$A, $G158, NewEmisData!$B:$B, $A158, NewEmisData!$C:$C, $H158, NewEmisData!$D:$D, V$6)</f>
        <v>3.9615409236254</v>
      </c>
      <c r="W158" s="1111">
        <f>SUMIFS(NewEmisData!G:G, NewEmisData!$A:$A, $G158, NewEmisData!$B:$B, $A158, NewEmisData!$C:$C, $H158, NewEmisData!$D:$D, W$6)</f>
        <v>1.33028401660566</v>
      </c>
      <c r="X158" s="1111">
        <f>SUMIFS(NewEmisData!H:H, NewEmisData!$A:$A, $G158, NewEmisData!$B:$B, $A158, NewEmisData!$C:$C, $H158, NewEmisData!$D:$D, X$6)</f>
        <v>0.96801463367483198</v>
      </c>
      <c r="Y158" s="1111">
        <f>SUMIFS(NewEmisData!I:I, NewEmisData!$A:$A, $G158, NewEmisData!$B:$B, $A158, NewEmisData!$C:$C, $H158, NewEmisData!$D:$D, Y$6)</f>
        <v>0.810835029277582</v>
      </c>
      <c r="Z158" s="1111">
        <f>SUMIFS(NewEmisData!J:J, NewEmisData!$A:$A, $G158, NewEmisData!$B:$B, $A158, NewEmisData!$C:$C, $H158, NewEmisData!$D:$D, Z$6)</f>
        <v>0.73984590086297597</v>
      </c>
      <c r="AA158" s="1111">
        <f>SUMIFS(NewEmisData!K:K, NewEmisData!$A:$A, $G158, NewEmisData!$B:$B, $A158, NewEmisData!$C:$C, $H158, NewEmisData!$D:$D, AA$6)</f>
        <v>0.71912537608469196</v>
      </c>
      <c r="AB158" s="1111">
        <f>SUMIFS(NewEmisData!L:L, NewEmisData!$A:$A, $G158, NewEmisData!$B:$B, $A158, NewEmisData!$C:$C, $H158, NewEmisData!$D:$D, AB$6)</f>
        <v>0.71458926415217605</v>
      </c>
      <c r="AC158" s="1111">
        <f>SUMIFS(NewEmisData!M:M, NewEmisData!$A:$A, $G158, NewEmisData!$B:$B, $A158, NewEmisData!$C:$C, $H158, NewEmisData!$D:$D, AC$6)</f>
        <v>0.71327232452186995</v>
      </c>
      <c r="AD158" s="1111">
        <f t="shared" si="229"/>
        <v>0.71327232452186995</v>
      </c>
      <c r="AE158" s="1111">
        <f t="shared" si="241"/>
        <v>2.71879476544729E-2</v>
      </c>
      <c r="AF158" s="1111">
        <f>SUMIFS(NewEmisData!E:E, NewEmisData!$A:$A, $G158, NewEmisData!$B:$B, $A158, NewEmisData!$C:$C, $H158, NewEmisData!$D:$D, AF$6)</f>
        <v>2.71879476544729E-2</v>
      </c>
      <c r="AG158" s="1111">
        <f>SUMIFS(NewEmisData!F:F, NewEmisData!$A:$A, $G158, NewEmisData!$B:$B, $A158, NewEmisData!$C:$C, $H158, NewEmisData!$D:$D, AG$6)</f>
        <v>2.72581702920257E-2</v>
      </c>
      <c r="AH158" s="1111">
        <f>SUMIFS(NewEmisData!G:G, NewEmisData!$A:$A, $G158, NewEmisData!$B:$B, $A158, NewEmisData!$C:$C, $H158, NewEmisData!$D:$D, AH$6)</f>
        <v>2.32491676049662E-2</v>
      </c>
      <c r="AI158" s="1111">
        <f>SUMIFS(NewEmisData!H:H, NewEmisData!$A:$A, $G158, NewEmisData!$B:$B, $A158, NewEmisData!$C:$C, $H158, NewEmisData!$D:$D, AI$6)</f>
        <v>2.28294094185802E-2</v>
      </c>
      <c r="AJ158" s="1111">
        <f>SUMIFS(NewEmisData!I:I, NewEmisData!$A:$A, $G158, NewEmisData!$B:$B, $A158, NewEmisData!$C:$C, $H158, NewEmisData!$D:$D, AJ$6)</f>
        <v>2.2496411359683499E-2</v>
      </c>
      <c r="AK158" s="1111">
        <f>SUMIFS(NewEmisData!J:J, NewEmisData!$A:$A, $G158, NewEmisData!$B:$B, $A158, NewEmisData!$C:$C, $H158, NewEmisData!$D:$D, AK$6)</f>
        <v>2.24091575903414E-2</v>
      </c>
      <c r="AL158" s="1111">
        <f>SUMIFS(NewEmisData!K:K, NewEmisData!$A:$A, $G158, NewEmisData!$B:$B, $A158, NewEmisData!$C:$C, $H158, NewEmisData!$D:$D, AL$6)</f>
        <v>2.2385789717233699E-2</v>
      </c>
      <c r="AM158" s="1111">
        <f>SUMIFS(NewEmisData!L:L, NewEmisData!$A:$A, $G158, NewEmisData!$B:$B, $A158, NewEmisData!$C:$C, $H158, NewEmisData!$D:$D, AM$6)</f>
        <v>2.23812039581394E-2</v>
      </c>
      <c r="AN158" s="1111">
        <f>SUMIFS(NewEmisData!M:M, NewEmisData!$A:$A, $G158, NewEmisData!$B:$B, $A158, NewEmisData!$C:$C, $H158, NewEmisData!$D:$D, AN$6)</f>
        <v>2.2380112251842499E-2</v>
      </c>
      <c r="AO158" s="1111">
        <f t="shared" si="242"/>
        <v>2.2380112251842499E-2</v>
      </c>
      <c r="AP158" s="1111">
        <f t="shared" si="243"/>
        <v>0.29570181024604603</v>
      </c>
      <c r="AQ158" s="1111">
        <f>SUMIFS(NewEmisData!E:E, NewEmisData!$A:$A, $G158, NewEmisData!$B:$B, $A158, NewEmisData!$C:$C, $H158, NewEmisData!$D:$D, AQ$6)</f>
        <v>0.29570181024604603</v>
      </c>
      <c r="AR158" s="1111">
        <f>SUMIFS(NewEmisData!F:F, NewEmisData!$A:$A, $G158, NewEmisData!$B:$B, $A158, NewEmisData!$C:$C, $H158, NewEmisData!$D:$D, AR$6)</f>
        <v>0.31347002724777001</v>
      </c>
      <c r="AS158" s="1111">
        <f>SUMIFS(NewEmisData!G:G, NewEmisData!$A:$A, $G158, NewEmisData!$B:$B, $A158, NewEmisData!$C:$C, $H158, NewEmisData!$D:$D, AS$6)</f>
        <v>0.29348248729715698</v>
      </c>
      <c r="AT158" s="1111">
        <f>SUMIFS(NewEmisData!H:H, NewEmisData!$A:$A, $G158, NewEmisData!$B:$B, $A158, NewEmisData!$C:$C, $H158, NewEmisData!$D:$D, AT$6)</f>
        <v>0.29400895980241698</v>
      </c>
      <c r="AU158" s="1111">
        <f>SUMIFS(NewEmisData!I:I, NewEmisData!$A:$A, $G158, NewEmisData!$B:$B, $A158, NewEmisData!$C:$C, $H158, NewEmisData!$D:$D, AU$6)</f>
        <v>0.29451767447034</v>
      </c>
      <c r="AV158" s="1111">
        <f>SUMIFS(NewEmisData!J:J, NewEmisData!$A:$A, $G158, NewEmisData!$B:$B, $A158, NewEmisData!$C:$C, $H158, NewEmisData!$D:$D, AV$6)</f>
        <v>0.29481614241324999</v>
      </c>
      <c r="AW158" s="1111">
        <f>SUMIFS(NewEmisData!K:K, NewEmisData!$A:$A, $G158, NewEmisData!$B:$B, $A158, NewEmisData!$C:$C, $H158, NewEmisData!$D:$D, AW$6)</f>
        <v>0.29496671929746798</v>
      </c>
      <c r="AX158" s="1111">
        <f>SUMIFS(NewEmisData!L:L, NewEmisData!$A:$A, $G158, NewEmisData!$B:$B, $A158, NewEmisData!$C:$C, $H158, NewEmisData!$D:$D, AX$6)</f>
        <v>0.29501247169592298</v>
      </c>
      <c r="AY158" s="1111">
        <f>SUMIFS(NewEmisData!M:M, NewEmisData!$A:$A, $G158, NewEmisData!$B:$B, $A158, NewEmisData!$C:$C, $H158, NewEmisData!$D:$D, AY$6)</f>
        <v>0.29502934324841701</v>
      </c>
      <c r="AZ158" s="1111">
        <f t="shared" si="244"/>
        <v>0.29502934324841701</v>
      </c>
      <c r="BA158" s="1111">
        <f t="shared" si="245"/>
        <v>5.6205629802393201E-2</v>
      </c>
      <c r="BB158" s="1111">
        <f>SUMIFS(NewEmisData!E:E, NewEmisData!$A:$A, $G158, NewEmisData!$B:$B, $A158, NewEmisData!$C:$C, $H158, NewEmisData!$D:$D, BB$6)</f>
        <v>5.6205629802393201E-2</v>
      </c>
      <c r="BC158" s="1111">
        <f>SUMIFS(NewEmisData!F:F, NewEmisData!$A:$A, $G158, NewEmisData!$B:$B, $A158, NewEmisData!$C:$C, $H158, NewEmisData!$D:$D, BC$6)</f>
        <v>7.2194764578646903E-2</v>
      </c>
      <c r="BD158" s="1111">
        <f>SUMIFS(NewEmisData!G:G, NewEmisData!$A:$A, $G158, NewEmisData!$B:$B, $A158, NewEmisData!$C:$C, $H158, NewEmisData!$D:$D, BD$6)</f>
        <v>4.48839101088091E-2</v>
      </c>
      <c r="BE158" s="1111">
        <f>SUMIFS(NewEmisData!H:H, NewEmisData!$A:$A, $G158, NewEmisData!$B:$B, $A158, NewEmisData!$C:$C, $H158, NewEmisData!$D:$D, BE$6)</f>
        <v>4.4911356100480797E-2</v>
      </c>
      <c r="BF158" s="1111">
        <f>SUMIFS(NewEmisData!I:I, NewEmisData!$A:$A, $G158, NewEmisData!$B:$B, $A158, NewEmisData!$C:$C, $H158, NewEmisData!$D:$D, BF$6)</f>
        <v>4.52709454211217E-2</v>
      </c>
      <c r="BG158" s="1111">
        <f>SUMIFS(NewEmisData!J:J, NewEmisData!$A:$A, $G158, NewEmisData!$B:$B, $A158, NewEmisData!$C:$C, $H158, NewEmisData!$D:$D, BG$6)</f>
        <v>4.5510230108050102E-2</v>
      </c>
      <c r="BH158" s="1111">
        <f>SUMIFS(NewEmisData!K:K, NewEmisData!$A:$A, $G158, NewEmisData!$B:$B, $A158, NewEmisData!$C:$C, $H158, NewEmisData!$D:$D, BH$6)</f>
        <v>4.5637724556064498E-2</v>
      </c>
      <c r="BI158" s="1111">
        <f>SUMIFS(NewEmisData!L:L, NewEmisData!$A:$A, $G158, NewEmisData!$B:$B, $A158, NewEmisData!$C:$C, $H158, NewEmisData!$D:$D, BI$6)</f>
        <v>4.56765897746194E-2</v>
      </c>
      <c r="BJ158" s="1111">
        <f>SUMIFS(NewEmisData!M:M, NewEmisData!$A:$A, $G158, NewEmisData!$B:$B, $A158, NewEmisData!$C:$C, $H158, NewEmisData!$D:$D, BJ$6)</f>
        <v>4.5691464860186798E-2</v>
      </c>
      <c r="BK158" s="1111">
        <f t="shared" si="246"/>
        <v>4.5691464860186798E-2</v>
      </c>
      <c r="BL158" s="1111">
        <f t="shared" si="247"/>
        <v>36.177292371673602</v>
      </c>
      <c r="BM158" s="1111">
        <f>SUMIFS(NewEmisData!E:E, NewEmisData!$A:$A, $G158, NewEmisData!$B:$B, $A158, NewEmisData!$C:$C, $H158, NewEmisData!$D:$D, BM$6)</f>
        <v>36.177292371673602</v>
      </c>
      <c r="BN158" s="1111">
        <f>SUMIFS(NewEmisData!F:F, NewEmisData!$A:$A, $G158, NewEmisData!$B:$B, $A158, NewEmisData!$C:$C, $H158, NewEmisData!$D:$D, BN$6)</f>
        <v>37.664857731196101</v>
      </c>
      <c r="BO158" s="1111">
        <f>SUMIFS(NewEmisData!G:G, NewEmisData!$A:$A, $G158, NewEmisData!$B:$B, $A158, NewEmisData!$C:$C, $H158, NewEmisData!$D:$D, BO$6)</f>
        <v>13.345526144115</v>
      </c>
      <c r="BP158" s="1111">
        <f>SUMIFS(NewEmisData!H:H, NewEmisData!$A:$A, $G158, NewEmisData!$B:$B, $A158, NewEmisData!$C:$C, $H158, NewEmisData!$D:$D, BP$6)</f>
        <v>11.2726393432321</v>
      </c>
      <c r="BQ158" s="1111">
        <f>SUMIFS(NewEmisData!I:I, NewEmisData!$A:$A, $G158, NewEmisData!$B:$B, $A158, NewEmisData!$C:$C, $H158, NewEmisData!$D:$D, BQ$6)</f>
        <v>10.6231110988618</v>
      </c>
      <c r="BR158" s="1111">
        <f>SUMIFS(NewEmisData!J:J, NewEmisData!$A:$A, $G158, NewEmisData!$B:$B, $A158, NewEmisData!$C:$C, $H158, NewEmisData!$D:$D, BR$6)</f>
        <v>10.435587854097999</v>
      </c>
      <c r="BS158" s="1111">
        <f>SUMIFS(NewEmisData!K:K, NewEmisData!$A:$A, $G158, NewEmisData!$B:$B, $A158, NewEmisData!$C:$C, $H158, NewEmisData!$D:$D, BS$6)</f>
        <v>10.465169362167</v>
      </c>
      <c r="BT158" s="1111">
        <f>SUMIFS(NewEmisData!L:L, NewEmisData!$A:$A, $G158, NewEmisData!$B:$B, $A158, NewEmisData!$C:$C, $H158, NewEmisData!$D:$D, BT$6)</f>
        <v>10.5025719676633</v>
      </c>
      <c r="BU158" s="1111">
        <f>SUMIFS(NewEmisData!M:M, NewEmisData!$A:$A, $G158, NewEmisData!$B:$B, $A158, NewEmisData!$C:$C, $H158, NewEmisData!$D:$D, BU$6)</f>
        <v>10.526416150576599</v>
      </c>
      <c r="BV158" s="1111">
        <f t="shared" si="248"/>
        <v>10.526416150576599</v>
      </c>
      <c r="BW158" s="1111">
        <f t="shared" si="249"/>
        <v>2.2547746276717899</v>
      </c>
      <c r="BX158" s="1111">
        <f>SUMIFS(NewEmisData!E:E, NewEmisData!$A:$A, $G158, NewEmisData!$B:$B, $A158, NewEmisData!$C:$C, $H158, NewEmisData!$D:$D, BX$6)</f>
        <v>2.2547746276717899</v>
      </c>
      <c r="BY158" s="1111">
        <f>SUMIFS(NewEmisData!F:F, NewEmisData!$A:$A, $G158, NewEmisData!$B:$B, $A158, NewEmisData!$C:$C, $H158, NewEmisData!$D:$D, BY$6)</f>
        <v>2.8652548693587798</v>
      </c>
      <c r="BZ158" s="1111">
        <f>SUMIFS(NewEmisData!G:G, NewEmisData!$A:$A, $G158, NewEmisData!$B:$B, $A158, NewEmisData!$C:$C, $H158, NewEmisData!$D:$D, BZ$6)</f>
        <v>0.66453606773915896</v>
      </c>
      <c r="CA158" s="1111">
        <f>SUMIFS(NewEmisData!H:H, NewEmisData!$A:$A, $G158, NewEmisData!$B:$B, $A158, NewEmisData!$C:$C, $H158, NewEmisData!$D:$D, CA$6)</f>
        <v>0.52696134881096601</v>
      </c>
      <c r="CB158" s="1111">
        <f>SUMIFS(NewEmisData!I:I, NewEmisData!$A:$A, $G158, NewEmisData!$B:$B, $A158, NewEmisData!$C:$C, $H158, NewEmisData!$D:$D, CB$6)</f>
        <v>0.475085091842188</v>
      </c>
      <c r="CC158" s="1111">
        <f>SUMIFS(NewEmisData!J:J, NewEmisData!$A:$A, $G158, NewEmisData!$B:$B, $A158, NewEmisData!$C:$C, $H158, NewEmisData!$D:$D, CC$6)</f>
        <v>0.45399199428257297</v>
      </c>
      <c r="CD158" s="1111">
        <f>SUMIFS(NewEmisData!K:K, NewEmisData!$A:$A, $G158, NewEmisData!$B:$B, $A158, NewEmisData!$C:$C, $H158, NewEmisData!$D:$D, CD$6)</f>
        <v>0.45084584233142999</v>
      </c>
      <c r="CE158" s="1111">
        <f>SUMIFS(NewEmisData!L:L, NewEmisData!$A:$A, $G158, NewEmisData!$B:$B, $A158, NewEmisData!$C:$C, $H158, NewEmisData!$D:$D, CE$6)</f>
        <v>0.450741469309828</v>
      </c>
      <c r="CF158" s="1111">
        <f>SUMIFS(NewEmisData!M:M, NewEmisData!$A:$A, $G158, NewEmisData!$B:$B, $A158, NewEmisData!$C:$C, $H158, NewEmisData!$D:$D, CF$6)</f>
        <v>0.45074449890965201</v>
      </c>
      <c r="CG158" s="1111">
        <f t="shared" si="250"/>
        <v>0.45074449890965201</v>
      </c>
      <c r="CH158" s="1111">
        <f t="shared" si="251"/>
        <v>5.7867400606941198E-2</v>
      </c>
      <c r="CI158" s="1111">
        <f>SUMIFS(NewEmisData!E:E, NewEmisData!$A:$A, $G158, NewEmisData!$B:$B, $A158, NewEmisData!$C:$C, $H158, NewEmisData!$D:$D, CI$6)</f>
        <v>5.7867400606941198E-2</v>
      </c>
      <c r="CJ158" s="1111">
        <f>SUMIFS(NewEmisData!F:F, NewEmisData!$A:$A, $G158, NewEmisData!$B:$B, $A158, NewEmisData!$C:$C, $H158, NewEmisData!$D:$D, CJ$6)</f>
        <v>5.7868748340902797E-2</v>
      </c>
      <c r="CK158" s="1111">
        <f>SUMIFS(NewEmisData!G:G, NewEmisData!$A:$A, $G158, NewEmisData!$B:$B, $A158, NewEmisData!$C:$C, $H158, NewEmisData!$D:$D, CK$6)</f>
        <v>6.6009929070185699E-2</v>
      </c>
      <c r="CL158" s="1111">
        <f>SUMIFS(NewEmisData!H:H, NewEmisData!$A:$A, $G158, NewEmisData!$B:$B, $A158, NewEmisData!$C:$C, $H158, NewEmisData!$D:$D, CL$6)</f>
        <v>6.6010246689438001E-2</v>
      </c>
      <c r="CM158" s="1111">
        <f>SUMIFS(NewEmisData!I:I, NewEmisData!$A:$A, $G158, NewEmisData!$B:$B, $A158, NewEmisData!$C:$C, $H158, NewEmisData!$D:$D, CM$6)</f>
        <v>6.6010539794431194E-2</v>
      </c>
      <c r="CN158" s="1111">
        <f>SUMIFS(NewEmisData!J:J, NewEmisData!$A:$A, $G158, NewEmisData!$B:$B, $A158, NewEmisData!$C:$C, $H158, NewEmisData!$D:$D, CN$6)</f>
        <v>6.6010651142724794E-2</v>
      </c>
      <c r="CO158" s="1111">
        <f>SUMIFS(NewEmisData!K:K, NewEmisData!$A:$A, $G158, NewEmisData!$B:$B, $A158, NewEmisData!$C:$C, $H158, NewEmisData!$D:$D, CO$6)</f>
        <v>6.60106383420173E-2</v>
      </c>
      <c r="CP158" s="1111">
        <f>SUMIFS(NewEmisData!L:L, NewEmisData!$A:$A, $G158, NewEmisData!$B:$B, $A158, NewEmisData!$C:$C, $H158, NewEmisData!$D:$D, CP$6)</f>
        <v>6.6010618394000603E-2</v>
      </c>
      <c r="CQ158" s="1111">
        <f>SUMIFS(NewEmisData!M:M, NewEmisData!$A:$A, $G158, NewEmisData!$B:$B, $A158, NewEmisData!$C:$C, $H158, NewEmisData!$D:$D, CQ$6)</f>
        <v>6.6010633444598496E-2</v>
      </c>
      <c r="CR158" s="1111">
        <f t="shared" si="252"/>
        <v>6.6010633444598496E-2</v>
      </c>
      <c r="CS158" s="1111">
        <f t="shared" si="253"/>
        <v>7.2164995475767907E-2</v>
      </c>
      <c r="CT158" s="1111">
        <f>SUMIFS(NewEmisData!E:E, NewEmisData!$A:$A, $G158, NewEmisData!$B:$B, $A158, NewEmisData!$C:$C, $H158, NewEmisData!$D:$D, CT$6)</f>
        <v>7.2164995475767907E-2</v>
      </c>
      <c r="CU158" s="1111">
        <f>SUMIFS(NewEmisData!F:F, NewEmisData!$A:$A, $G158, NewEmisData!$B:$B, $A158, NewEmisData!$C:$C, $H158, NewEmisData!$D:$D, CU$6)</f>
        <v>6.4879251441518196E-2</v>
      </c>
      <c r="CV158" s="1111">
        <f>SUMIFS(NewEmisData!G:G, NewEmisData!$A:$A, $G158, NewEmisData!$B:$B, $A158, NewEmisData!$C:$C, $H158, NewEmisData!$D:$D, CV$6)</f>
        <v>2.6568003004939798E-2</v>
      </c>
      <c r="CW158" s="1111">
        <f>SUMIFS(NewEmisData!H:H, NewEmisData!$A:$A, $G158, NewEmisData!$B:$B, $A158, NewEmisData!$C:$C, $H158, NewEmisData!$D:$D, CW$6)</f>
        <v>1.84437934507856E-2</v>
      </c>
      <c r="CX158" s="1111">
        <f>SUMIFS(NewEmisData!I:I, NewEmisData!$A:$A, $G158, NewEmisData!$B:$B, $A158, NewEmisData!$C:$C, $H158, NewEmisData!$D:$D, CX$6)</f>
        <v>1.6327699656927399E-2</v>
      </c>
      <c r="CY158" s="1111">
        <f>SUMIFS(NewEmisData!J:J, NewEmisData!$A:$A, $G158, NewEmisData!$B:$B, $A158, NewEmisData!$C:$C, $H158, NewEmisData!$D:$D, CY$6)</f>
        <v>1.5748807787192998E-2</v>
      </c>
      <c r="CZ158" s="1111">
        <f>SUMIFS(NewEmisData!K:K, NewEmisData!$A:$A, $G158, NewEmisData!$B:$B, $A158, NewEmisData!$C:$C, $H158, NewEmisData!$D:$D, CZ$6)</f>
        <v>1.5674972697843501E-2</v>
      </c>
      <c r="DA158" s="1111">
        <f>SUMIFS(NewEmisData!L:L, NewEmisData!$A:$A, $G158, NewEmisData!$B:$B, $A158, NewEmisData!$C:$C, $H158, NewEmisData!$D:$D, DA$6)</f>
        <v>1.56348406818691E-2</v>
      </c>
      <c r="DB158" s="1111">
        <f>SUMIFS(NewEmisData!M:M, NewEmisData!$A:$A, $G158, NewEmisData!$B:$B, $A158, NewEmisData!$C:$C, $H158, NewEmisData!$D:$D, DB$6)</f>
        <v>1.5654725632317699E-2</v>
      </c>
      <c r="DC158" s="1111">
        <f t="shared" si="254"/>
        <v>1.5654725632317699E-2</v>
      </c>
      <c r="DD158" s="1111"/>
      <c r="DE158" s="1111"/>
      <c r="DF158" s="1111"/>
      <c r="DG158" s="1111"/>
      <c r="DH158" s="1111"/>
      <c r="DI158" s="1111"/>
      <c r="DJ158" s="1111"/>
      <c r="DK158" s="1111"/>
      <c r="DL158" s="1111"/>
      <c r="DM158" s="1111"/>
      <c r="DN158" s="1111"/>
      <c r="DO158" s="1111"/>
      <c r="DP158" s="1111"/>
      <c r="DQ158" s="1111"/>
      <c r="DR158" s="1111"/>
      <c r="DS158" s="1111"/>
      <c r="DT158" s="1111"/>
      <c r="DU158" s="1111"/>
      <c r="DV158" s="1111"/>
      <c r="DW158" s="1111"/>
      <c r="DX158" s="1111"/>
      <c r="DY158" s="1111"/>
      <c r="DZ158" s="1111">
        <f t="shared" si="255"/>
        <v>7.65679998253877E-2</v>
      </c>
      <c r="EA158" s="1111">
        <f>SUMIFS(NewEmisData!E:E, NewEmisData!$A:$A, $G158, NewEmisData!$B:$B, $A158, NewEmisData!$C:$C, $H158, NewEmisData!$D:$D, EA$6)</f>
        <v>7.65679998253877E-2</v>
      </c>
      <c r="EB158" s="1111">
        <f>SUMIFS(NewEmisData!F:F, NewEmisData!$A:$A, $G158, NewEmisData!$B:$B, $A158, NewEmisData!$C:$C, $H158, NewEmisData!$D:$D, EB$6)</f>
        <v>0.109010255412455</v>
      </c>
      <c r="EC158" s="1111">
        <f>SUMIFS(NewEmisData!G:G, NewEmisData!$A:$A, $G158, NewEmisData!$B:$B, $A158, NewEmisData!$C:$C, $H158, NewEmisData!$D:$D, EC$6)</f>
        <v>1.54277976093114E-2</v>
      </c>
      <c r="ED158" s="1111">
        <f>SUMIFS(NewEmisData!H:H, NewEmisData!$A:$A, $G158, NewEmisData!$B:$B, $A158, NewEmisData!$C:$C, $H158, NewEmisData!$D:$D, ED$6)</f>
        <v>1.2984971623169601E-2</v>
      </c>
      <c r="EE158" s="1111">
        <f>SUMIFS(NewEmisData!I:I, NewEmisData!$A:$A, $G158, NewEmisData!$B:$B, $A158, NewEmisData!$C:$C, $H158, NewEmisData!$D:$D, EE$6)</f>
        <v>1.22605780123332E-2</v>
      </c>
      <c r="EF158" s="1111">
        <f>SUMIFS(NewEmisData!J:J, NewEmisData!$A:$A, $G158, NewEmisData!$B:$B, $A158, NewEmisData!$C:$C, $H158, NewEmisData!$D:$D, EF$6)</f>
        <v>1.20992421043245E-2</v>
      </c>
      <c r="EG158" s="1111">
        <f>SUMIFS(NewEmisData!K:K, NewEmisData!$A:$A, $G158, NewEmisData!$B:$B, $A158, NewEmisData!$C:$C, $H158, NewEmisData!$D:$D, EG$6)</f>
        <v>1.2123397445436401E-2</v>
      </c>
      <c r="EH158" s="1111">
        <f>SUMIFS(NewEmisData!L:L, NewEmisData!$A:$A, $G158, NewEmisData!$B:$B, $A158, NewEmisData!$C:$C, $H158, NewEmisData!$D:$D, EH$6)</f>
        <v>1.2132958592882499E-2</v>
      </c>
      <c r="EI158" s="1111">
        <f>SUMIFS(NewEmisData!M:M, NewEmisData!$A:$A, $G158, NewEmisData!$B:$B, $A158, NewEmisData!$C:$C, $H158, NewEmisData!$D:$D, EI$6)</f>
        <v>1.21315180972552E-2</v>
      </c>
      <c r="EJ158" s="1111">
        <f t="shared" si="256"/>
        <v>1.21315180972552E-2</v>
      </c>
      <c r="EK158" s="1111">
        <f t="shared" si="257"/>
        <v>1571.23838726393</v>
      </c>
      <c r="EL158" s="1111">
        <f t="shared" si="154"/>
        <v>1571.23838726393</v>
      </c>
      <c r="EM158" s="1111">
        <f t="shared" si="155"/>
        <v>1575.29652368133</v>
      </c>
      <c r="EN158" s="1111">
        <f t="shared" si="156"/>
        <v>1620.65726903051</v>
      </c>
      <c r="EO158" s="1111">
        <f t="shared" si="157"/>
        <v>1591.3958126743701</v>
      </c>
      <c r="EP158" s="1111">
        <f t="shared" si="158"/>
        <v>1568.18391586794</v>
      </c>
      <c r="EQ158" s="1111">
        <f t="shared" si="159"/>
        <v>1562.10113018675</v>
      </c>
      <c r="ER158" s="1111">
        <f t="shared" si="160"/>
        <v>1560.4729957351501</v>
      </c>
      <c r="ES158" s="1111">
        <f t="shared" si="161"/>
        <v>1560.1538107035101</v>
      </c>
      <c r="ET158" s="1111">
        <f t="shared" si="162"/>
        <v>1560.07677043992</v>
      </c>
      <c r="EU158" s="1111">
        <f t="shared" si="163"/>
        <v>1560.07677043992</v>
      </c>
      <c r="EV158" s="1111">
        <f t="shared" si="258"/>
        <v>4.4339350215429896</v>
      </c>
      <c r="EW158" s="1111">
        <f t="shared" si="144"/>
        <v>4.4339350215429896</v>
      </c>
      <c r="EX158" s="1111">
        <f t="shared" si="145"/>
        <v>3.9615409236254</v>
      </c>
      <c r="EY158" s="1111">
        <f t="shared" si="146"/>
        <v>1.33028401660566</v>
      </c>
      <c r="EZ158" s="1111">
        <f t="shared" si="147"/>
        <v>0.96801463367483198</v>
      </c>
      <c r="FA158" s="1111">
        <f t="shared" si="148"/>
        <v>0.810835029277582</v>
      </c>
      <c r="FB158" s="1111">
        <f t="shared" si="149"/>
        <v>0.73984590086297597</v>
      </c>
      <c r="FC158" s="1111">
        <f t="shared" si="150"/>
        <v>0.71912537608469196</v>
      </c>
      <c r="FD158" s="1111">
        <f t="shared" si="151"/>
        <v>0.71458926415217605</v>
      </c>
      <c r="FE158" s="1111">
        <f t="shared" si="152"/>
        <v>0.71327232452186995</v>
      </c>
      <c r="FF158" s="1111">
        <f t="shared" si="153"/>
        <v>0.71327232452186995</v>
      </c>
      <c r="FG158" s="1111">
        <f t="shared" si="193"/>
        <v>2.71879476544729E-2</v>
      </c>
      <c r="FH158" s="1111">
        <f t="shared" si="194"/>
        <v>2.71879476544729E-2</v>
      </c>
      <c r="FI158" s="1111">
        <f t="shared" si="195"/>
        <v>2.72581702920257E-2</v>
      </c>
      <c r="FJ158" s="1111">
        <f t="shared" si="196"/>
        <v>2.32491676049662E-2</v>
      </c>
      <c r="FK158" s="1111">
        <f t="shared" si="197"/>
        <v>2.28294094185802E-2</v>
      </c>
      <c r="FL158" s="1111">
        <f t="shared" si="198"/>
        <v>2.2496411359683499E-2</v>
      </c>
      <c r="FM158" s="1111">
        <f t="shared" si="199"/>
        <v>2.24091575903414E-2</v>
      </c>
      <c r="FN158" s="1111">
        <f t="shared" si="200"/>
        <v>2.2385789717233699E-2</v>
      </c>
      <c r="FO158" s="1111">
        <f t="shared" si="201"/>
        <v>2.23812039581394E-2</v>
      </c>
      <c r="FP158" s="1111">
        <f t="shared" si="202"/>
        <v>2.2380112251842499E-2</v>
      </c>
      <c r="FQ158" s="1111">
        <f t="shared" si="203"/>
        <v>2.2380112251842499E-2</v>
      </c>
      <c r="FR158" s="1111">
        <f t="shared" si="230"/>
        <v>0.29570181024604603</v>
      </c>
      <c r="FS158" s="1111">
        <f t="shared" si="231"/>
        <v>0.29570181024604603</v>
      </c>
      <c r="FT158" s="1111">
        <f t="shared" si="232"/>
        <v>0.31347002724777001</v>
      </c>
      <c r="FU158" s="1111">
        <f t="shared" si="233"/>
        <v>0.29348248729715698</v>
      </c>
      <c r="FV158" s="1111">
        <f t="shared" si="234"/>
        <v>0.29400895980241698</v>
      </c>
      <c r="FW158" s="1111">
        <f t="shared" si="235"/>
        <v>0.29451767447034</v>
      </c>
      <c r="FX158" s="1111">
        <f t="shared" si="236"/>
        <v>0.29481614241324999</v>
      </c>
      <c r="FY158" s="1111">
        <f t="shared" si="237"/>
        <v>0.29496671929746798</v>
      </c>
      <c r="FZ158" s="1111">
        <f t="shared" si="238"/>
        <v>0.29501247169592298</v>
      </c>
      <c r="GA158" s="1111">
        <f t="shared" si="239"/>
        <v>0.29502934324841701</v>
      </c>
      <c r="GB158" s="1111">
        <f t="shared" si="240"/>
        <v>0.29502934324841701</v>
      </c>
      <c r="GC158" s="1111">
        <f t="shared" si="164"/>
        <v>5.6205629802393201E-2</v>
      </c>
      <c r="GD158" s="1111">
        <f t="shared" si="165"/>
        <v>5.6205629802393201E-2</v>
      </c>
      <c r="GE158" s="1111">
        <f t="shared" si="166"/>
        <v>7.2194764578646903E-2</v>
      </c>
      <c r="GF158" s="1111">
        <f t="shared" si="167"/>
        <v>4.48839101088091E-2</v>
      </c>
      <c r="GG158" s="1111">
        <f t="shared" si="168"/>
        <v>4.4911356100480797E-2</v>
      </c>
      <c r="GH158" s="1111">
        <f t="shared" si="169"/>
        <v>4.52709454211217E-2</v>
      </c>
      <c r="GI158" s="1111">
        <f t="shared" si="170"/>
        <v>4.5510230108050102E-2</v>
      </c>
      <c r="GJ158" s="1111">
        <f t="shared" si="171"/>
        <v>4.5637724556064498E-2</v>
      </c>
      <c r="GK158" s="1111">
        <f t="shared" si="172"/>
        <v>4.56765897746194E-2</v>
      </c>
      <c r="GL158" s="1111">
        <f t="shared" si="173"/>
        <v>4.5691464860186798E-2</v>
      </c>
      <c r="GM158" s="1111">
        <f t="shared" si="174"/>
        <v>4.5691464860186798E-2</v>
      </c>
    </row>
    <row r="159" spans="1:195" x14ac:dyDescent="0.2">
      <c r="A159" s="1071" t="s">
        <v>188</v>
      </c>
      <c r="B159" s="1071" t="str">
        <f>Technologies!C114</f>
        <v>TMGSLC10</v>
      </c>
      <c r="C159" s="1071" t="str">
        <f>Technologies!D114</f>
        <v>Medium Duty Truck, Gasoline, 2010</v>
      </c>
      <c r="D159" s="1071" t="str">
        <f>TechData!D21</f>
        <v>bn-vmt, bn-vmt/a</v>
      </c>
      <c r="E159" s="1071" t="str">
        <f>NewTech!E67</f>
        <v>TMGSL</v>
      </c>
      <c r="F159" s="1071" t="str">
        <f>NewTech!F67</f>
        <v>TM</v>
      </c>
      <c r="G159" s="1110" t="s">
        <v>503</v>
      </c>
      <c r="H159" s="1110" t="s">
        <v>500</v>
      </c>
      <c r="I159" s="1112">
        <v>1</v>
      </c>
      <c r="J159" s="1111" t="str">
        <f t="shared" si="37"/>
        <v>Medium duty-GSL</v>
      </c>
      <c r="K159" s="1111">
        <f>SUMIFS(NewEmisData!E:E, NewEmisData!$A:$A, $G159, NewEmisData!$B:$B, $A159, NewEmisData!$C:$C, $H159, NewEmisData!$D:$D, K$6)</f>
        <v>1295.14987573646</v>
      </c>
      <c r="L159" s="1111">
        <f>SUMIFS(NewEmisData!F:F, NewEmisData!$A:$A, $G159, NewEmisData!$B:$B, $A159, NewEmisData!$C:$C, $H159, NewEmisData!$D:$D, L$6)</f>
        <v>1270.8053069328</v>
      </c>
      <c r="M159" s="1111">
        <f>SUMIFS(NewEmisData!G:G, NewEmisData!$A:$A, $G159, NewEmisData!$B:$B, $A159, NewEmisData!$C:$C, $H159, NewEmisData!$D:$D, M$6)</f>
        <v>1116.9310844665499</v>
      </c>
      <c r="N159" s="1111">
        <f>SUMIFS(NewEmisData!H:H, NewEmisData!$A:$A, $G159, NewEmisData!$B:$B, $A159, NewEmisData!$C:$C, $H159, NewEmisData!$D:$D, N$6)</f>
        <v>1096.47271752758</v>
      </c>
      <c r="O159" s="1111">
        <f>SUMIFS(NewEmisData!I:I, NewEmisData!$A:$A, $G159, NewEmisData!$B:$B, $A159, NewEmisData!$C:$C, $H159, NewEmisData!$D:$D, O$6)</f>
        <v>1080.35797958793</v>
      </c>
      <c r="P159" s="1111">
        <f>SUMIFS(NewEmisData!J:J, NewEmisData!$A:$A, $G159, NewEmisData!$B:$B, $A159, NewEmisData!$C:$C, $H159, NewEmisData!$D:$D, P$6)</f>
        <v>1076.1283631843501</v>
      </c>
      <c r="Q159" s="1111">
        <f>SUMIFS(NewEmisData!K:K, NewEmisData!$A:$A, $G159, NewEmisData!$B:$B, $A159, NewEmisData!$C:$C, $H159, NewEmisData!$D:$D, Q$6)</f>
        <v>1074.99841740493</v>
      </c>
      <c r="R159" s="1111">
        <f>SUMIFS(NewEmisData!L:L, NewEmisData!$A:$A, $G159, NewEmisData!$B:$B, $A159, NewEmisData!$C:$C, $H159, NewEmisData!$D:$D, R$6)</f>
        <v>1074.7768639159699</v>
      </c>
      <c r="S159" s="1111">
        <f>SUMIFS(NewEmisData!M:M, NewEmisData!$A:$A, $G159, NewEmisData!$B:$B, $A159, NewEmisData!$C:$C, $H159, NewEmisData!$D:$D, S$6)</f>
        <v>1074.7231317103101</v>
      </c>
      <c r="T159" s="1111">
        <f t="shared" si="131"/>
        <v>1074.7231317103101</v>
      </c>
      <c r="U159" s="1111">
        <f>SUMIFS(NewEmisData!E:E, NewEmisData!$A:$A, $G159, NewEmisData!$B:$B, $A159, NewEmisData!$C:$C, $H159, NewEmisData!$D:$D, U$6)</f>
        <v>4.7005442822918502</v>
      </c>
      <c r="V159" s="1111">
        <f>SUMIFS(NewEmisData!F:F, NewEmisData!$A:$A, $G159, NewEmisData!$B:$B, $A159, NewEmisData!$C:$C, $H159, NewEmisData!$D:$D, V$6)</f>
        <v>3.08259000861326</v>
      </c>
      <c r="W159" s="1111">
        <f>SUMIFS(NewEmisData!G:G, NewEmisData!$A:$A, $G159, NewEmisData!$B:$B, $A159, NewEmisData!$C:$C, $H159, NewEmisData!$D:$D, W$6)</f>
        <v>1.0390638212911101</v>
      </c>
      <c r="X159" s="1111">
        <f>SUMIFS(NewEmisData!H:H, NewEmisData!$A:$A, $G159, NewEmisData!$B:$B, $A159, NewEmisData!$C:$C, $H159, NewEmisData!$D:$D, X$6)</f>
        <v>0.75779261060598802</v>
      </c>
      <c r="Y159" s="1111">
        <f>SUMIFS(NewEmisData!I:I, NewEmisData!$A:$A, $G159, NewEmisData!$B:$B, $A159, NewEmisData!$C:$C, $H159, NewEmisData!$D:$D, Y$6)</f>
        <v>0.63538679073275195</v>
      </c>
      <c r="Z159" s="1111">
        <f>SUMIFS(NewEmisData!J:J, NewEmisData!$A:$A, $G159, NewEmisData!$B:$B, $A159, NewEmisData!$C:$C, $H159, NewEmisData!$D:$D, Z$6)</f>
        <v>0.580083255346031</v>
      </c>
      <c r="AA159" s="1111">
        <f>SUMIFS(NewEmisData!K:K, NewEmisData!$A:$A, $G159, NewEmisData!$B:$B, $A159, NewEmisData!$C:$C, $H159, NewEmisData!$D:$D, AA$6)</f>
        <v>0.56397155784451702</v>
      </c>
      <c r="AB159" s="1111">
        <f>SUMIFS(NewEmisData!L:L, NewEmisData!$A:$A, $G159, NewEmisData!$B:$B, $A159, NewEmisData!$C:$C, $H159, NewEmisData!$D:$D, AB$6)</f>
        <v>0.56043589289625795</v>
      </c>
      <c r="AC159" s="1111">
        <f>SUMIFS(NewEmisData!M:M, NewEmisData!$A:$A, $G159, NewEmisData!$B:$B, $A159, NewEmisData!$C:$C, $H159, NewEmisData!$D:$D, AC$6)</f>
        <v>0.55941898537579804</v>
      </c>
      <c r="AD159" s="1111">
        <f t="shared" si="229"/>
        <v>0.55941898537579804</v>
      </c>
      <c r="AE159" s="1111">
        <f t="shared" si="241"/>
        <v>2.4310232310109099E-2</v>
      </c>
      <c r="AF159" s="1111">
        <f>SUMIFS(NewEmisData!E:E, NewEmisData!$A:$A, $G159, NewEmisData!$B:$B, $A159, NewEmisData!$C:$C, $H159, NewEmisData!$D:$D, AF$6)</f>
        <v>2.4310232310109099E-2</v>
      </c>
      <c r="AG159" s="1111">
        <f>SUMIFS(NewEmisData!F:F, NewEmisData!$A:$A, $G159, NewEmisData!$B:$B, $A159, NewEmisData!$C:$C, $H159, NewEmisData!$D:$D, AG$6)</f>
        <v>2.26976790505827E-2</v>
      </c>
      <c r="AH159" s="1111">
        <f>SUMIFS(NewEmisData!G:G, NewEmisData!$A:$A, $G159, NewEmisData!$B:$B, $A159, NewEmisData!$C:$C, $H159, NewEmisData!$D:$D, AH$6)</f>
        <v>1.6022950426801401E-2</v>
      </c>
      <c r="AI159" s="1111">
        <f>SUMIFS(NewEmisData!H:H, NewEmisData!$A:$A, $G159, NewEmisData!$B:$B, $A159, NewEmisData!$C:$C, $H159, NewEmisData!$D:$D, AI$6)</f>
        <v>1.5729470038709299E-2</v>
      </c>
      <c r="AJ159" s="1111">
        <f>SUMIFS(NewEmisData!I:I, NewEmisData!$A:$A, $G159, NewEmisData!$B:$B, $A159, NewEmisData!$C:$C, $H159, NewEmisData!$D:$D, AJ$6)</f>
        <v>1.5498287302921E-2</v>
      </c>
      <c r="AK159" s="1111">
        <f>SUMIFS(NewEmisData!J:J, NewEmisData!$A:$A, $G159, NewEmisData!$B:$B, $A159, NewEmisData!$C:$C, $H159, NewEmisData!$D:$D, AK$6)</f>
        <v>1.5437619705180801E-2</v>
      </c>
      <c r="AL159" s="1111">
        <f>SUMIFS(NewEmisData!K:K, NewEmisData!$A:$A, $G159, NewEmisData!$B:$B, $A159, NewEmisData!$C:$C, $H159, NewEmisData!$D:$D, AL$6)</f>
        <v>1.5421408919953399E-2</v>
      </c>
      <c r="AM159" s="1111">
        <f>SUMIFS(NewEmisData!L:L, NewEmisData!$A:$A, $G159, NewEmisData!$B:$B, $A159, NewEmisData!$C:$C, $H159, NewEmisData!$D:$D, AM$6)</f>
        <v>1.5418227354463399E-2</v>
      </c>
      <c r="AN159" s="1111">
        <f>SUMIFS(NewEmisData!M:M, NewEmisData!$A:$A, $G159, NewEmisData!$B:$B, $A159, NewEmisData!$C:$C, $H159, NewEmisData!$D:$D, AN$6)</f>
        <v>1.54174639116704E-2</v>
      </c>
      <c r="AO159" s="1111">
        <f t="shared" si="242"/>
        <v>1.54174639116704E-2</v>
      </c>
      <c r="AP159" s="1111">
        <f t="shared" si="243"/>
        <v>0.19559792469321799</v>
      </c>
      <c r="AQ159" s="1111">
        <f>SUMIFS(NewEmisData!E:E, NewEmisData!$A:$A, $G159, NewEmisData!$B:$B, $A159, NewEmisData!$C:$C, $H159, NewEmisData!$D:$D, AQ$6)</f>
        <v>0.19559792469321799</v>
      </c>
      <c r="AR159" s="1111">
        <f>SUMIFS(NewEmisData!F:F, NewEmisData!$A:$A, $G159, NewEmisData!$B:$B, $A159, NewEmisData!$C:$C, $H159, NewEmisData!$D:$D, AR$6)</f>
        <v>0.195854498358668</v>
      </c>
      <c r="AS159" s="1111">
        <f>SUMIFS(NewEmisData!G:G, NewEmisData!$A:$A, $G159, NewEmisData!$B:$B, $A159, NewEmisData!$C:$C, $H159, NewEmisData!$D:$D, AS$6)</f>
        <v>0.158834423055883</v>
      </c>
      <c r="AT159" s="1111">
        <f>SUMIFS(NewEmisData!H:H, NewEmisData!$A:$A, $G159, NewEmisData!$B:$B, $A159, NewEmisData!$C:$C, $H159, NewEmisData!$D:$D, AT$6)</f>
        <v>0.15912944493902401</v>
      </c>
      <c r="AU159" s="1111">
        <f>SUMIFS(NewEmisData!I:I, NewEmisData!$A:$A, $G159, NewEmisData!$B:$B, $A159, NewEmisData!$C:$C, $H159, NewEmisData!$D:$D, AU$6)</f>
        <v>0.159508665245508</v>
      </c>
      <c r="AV159" s="1111">
        <f>SUMIFS(NewEmisData!J:J, NewEmisData!$A:$A, $G159, NewEmisData!$B:$B, $A159, NewEmisData!$C:$C, $H159, NewEmisData!$D:$D, AV$6)</f>
        <v>0.15973496976197599</v>
      </c>
      <c r="AW159" s="1111">
        <f>SUMIFS(NewEmisData!K:K, NewEmisData!$A:$A, $G159, NewEmisData!$B:$B, $A159, NewEmisData!$C:$C, $H159, NewEmisData!$D:$D, AW$6)</f>
        <v>0.15985029461774</v>
      </c>
      <c r="AX159" s="1111">
        <f>SUMIFS(NewEmisData!L:L, NewEmisData!$A:$A, $G159, NewEmisData!$B:$B, $A159, NewEmisData!$C:$C, $H159, NewEmisData!$D:$D, AX$6)</f>
        <v>0.159884874617258</v>
      </c>
      <c r="AY159" s="1111">
        <f>SUMIFS(NewEmisData!M:M, NewEmisData!$A:$A, $G159, NewEmisData!$B:$B, $A159, NewEmisData!$C:$C, $H159, NewEmisData!$D:$D, AY$6)</f>
        <v>0.15989716821268901</v>
      </c>
      <c r="AZ159" s="1111">
        <f t="shared" si="244"/>
        <v>0.15989716821268901</v>
      </c>
      <c r="BA159" s="1111">
        <f t="shared" si="245"/>
        <v>6.1407596132052197E-2</v>
      </c>
      <c r="BB159" s="1111">
        <f>SUMIFS(NewEmisData!E:E, NewEmisData!$A:$A, $G159, NewEmisData!$B:$B, $A159, NewEmisData!$C:$C, $H159, NewEmisData!$D:$D, BB$6)</f>
        <v>6.1407596132052197E-2</v>
      </c>
      <c r="BC159" s="1111">
        <f>SUMIFS(NewEmisData!F:F, NewEmisData!$A:$A, $G159, NewEmisData!$B:$B, $A159, NewEmisData!$C:$C, $H159, NewEmisData!$D:$D, BC$6)</f>
        <v>5.5619399593761901E-2</v>
      </c>
      <c r="BD159" s="1111">
        <f>SUMIFS(NewEmisData!G:G, NewEmisData!$A:$A, $G159, NewEmisData!$B:$B, $A159, NewEmisData!$C:$C, $H159, NewEmisData!$D:$D, BD$6)</f>
        <v>2.6501774627894398E-2</v>
      </c>
      <c r="BE159" s="1111">
        <f>SUMIFS(NewEmisData!H:H, NewEmisData!$A:$A, $G159, NewEmisData!$B:$B, $A159, NewEmisData!$C:$C, $H159, NewEmisData!$D:$D, BE$6)</f>
        <v>2.6535568582948001E-2</v>
      </c>
      <c r="BF159" s="1111">
        <f>SUMIFS(NewEmisData!I:I, NewEmisData!$A:$A, $G159, NewEmisData!$B:$B, $A159, NewEmisData!$C:$C, $H159, NewEmisData!$D:$D, BF$6)</f>
        <v>2.68240676450552E-2</v>
      </c>
      <c r="BG159" s="1111">
        <f>SUMIFS(NewEmisData!J:J, NewEmisData!$A:$A, $G159, NewEmisData!$B:$B, $A159, NewEmisData!$C:$C, $H159, NewEmisData!$D:$D, BG$6)</f>
        <v>2.7011500327140701E-2</v>
      </c>
      <c r="BH159" s="1111">
        <f>SUMIFS(NewEmisData!K:K, NewEmisData!$A:$A, $G159, NewEmisData!$B:$B, $A159, NewEmisData!$C:$C, $H159, NewEmisData!$D:$D, BH$6)</f>
        <v>2.71105372443806E-2</v>
      </c>
      <c r="BI159" s="1111">
        <f>SUMIFS(NewEmisData!L:L, NewEmisData!$A:$A, $G159, NewEmisData!$B:$B, $A159, NewEmisData!$C:$C, $H159, NewEmisData!$D:$D, BI$6)</f>
        <v>2.7140215075382799E-2</v>
      </c>
      <c r="BJ159" s="1111">
        <f>SUMIFS(NewEmisData!M:M, NewEmisData!$A:$A, $G159, NewEmisData!$B:$B, $A159, NewEmisData!$C:$C, $H159, NewEmisData!$D:$D, BJ$6)</f>
        <v>2.7151187263261201E-2</v>
      </c>
      <c r="BK159" s="1111">
        <f t="shared" si="246"/>
        <v>2.7151187263261201E-2</v>
      </c>
      <c r="BL159" s="1111">
        <f t="shared" si="247"/>
        <v>37.072387310679602</v>
      </c>
      <c r="BM159" s="1111">
        <f>SUMIFS(NewEmisData!E:E, NewEmisData!$A:$A, $G159, NewEmisData!$B:$B, $A159, NewEmisData!$C:$C, $H159, NewEmisData!$D:$D, BM$6)</f>
        <v>37.072387310679602</v>
      </c>
      <c r="BN159" s="1111">
        <f>SUMIFS(NewEmisData!F:F, NewEmisData!$A:$A, $G159, NewEmisData!$B:$B, $A159, NewEmisData!$C:$C, $H159, NewEmisData!$D:$D, BN$6)</f>
        <v>25.792665103532201</v>
      </c>
      <c r="BO159" s="1111">
        <f>SUMIFS(NewEmisData!G:G, NewEmisData!$A:$A, $G159, NewEmisData!$B:$B, $A159, NewEmisData!$C:$C, $H159, NewEmisData!$D:$D, BO$6)</f>
        <v>9.5462177561034594</v>
      </c>
      <c r="BP159" s="1111">
        <f>SUMIFS(NewEmisData!H:H, NewEmisData!$A:$A, $G159, NewEmisData!$B:$B, $A159, NewEmisData!$C:$C, $H159, NewEmisData!$D:$D, BP$6)</f>
        <v>8.0392699220412105</v>
      </c>
      <c r="BQ159" s="1111">
        <f>SUMIFS(NewEmisData!I:I, NewEmisData!$A:$A, $G159, NewEmisData!$B:$B, $A159, NewEmisData!$C:$C, $H159, NewEmisData!$D:$D, BQ$6)</f>
        <v>7.5629439516014001</v>
      </c>
      <c r="BR159" s="1111">
        <f>SUMIFS(NewEmisData!J:J, NewEmisData!$A:$A, $G159, NewEmisData!$B:$B, $A159, NewEmisData!$C:$C, $H159, NewEmisData!$D:$D, BR$6)</f>
        <v>7.42380058325005</v>
      </c>
      <c r="BS159" s="1111">
        <f>SUMIFS(NewEmisData!K:K, NewEmisData!$A:$A, $G159, NewEmisData!$B:$B, $A159, NewEmisData!$C:$C, $H159, NewEmisData!$D:$D, BS$6)</f>
        <v>7.4426275255201499</v>
      </c>
      <c r="BT159" s="1111">
        <f>SUMIFS(NewEmisData!L:L, NewEmisData!$A:$A, $G159, NewEmisData!$B:$B, $A159, NewEmisData!$C:$C, $H159, NewEmisData!$D:$D, BT$6)</f>
        <v>7.4685453226779002</v>
      </c>
      <c r="BU159" s="1111">
        <f>SUMIFS(NewEmisData!M:M, NewEmisData!$A:$A, $G159, NewEmisData!$B:$B, $A159, NewEmisData!$C:$C, $H159, NewEmisData!$D:$D, BU$6)</f>
        <v>7.4852296254001702</v>
      </c>
      <c r="BV159" s="1111">
        <f t="shared" si="248"/>
        <v>7.4852296254001702</v>
      </c>
      <c r="BW159" s="1111">
        <f t="shared" si="249"/>
        <v>1.81554554352594</v>
      </c>
      <c r="BX159" s="1111">
        <f>SUMIFS(NewEmisData!E:E, NewEmisData!$A:$A, $G159, NewEmisData!$B:$B, $A159, NewEmisData!$C:$C, $H159, NewEmisData!$D:$D, BX$6)</f>
        <v>1.81554554352594</v>
      </c>
      <c r="BY159" s="1111">
        <f>SUMIFS(NewEmisData!F:F, NewEmisData!$A:$A, $G159, NewEmisData!$B:$B, $A159, NewEmisData!$C:$C, $H159, NewEmisData!$D:$D, BY$6)</f>
        <v>1.3100717618514499</v>
      </c>
      <c r="BZ159" s="1111">
        <f>SUMIFS(NewEmisData!G:G, NewEmisData!$A:$A, $G159, NewEmisData!$B:$B, $A159, NewEmisData!$C:$C, $H159, NewEmisData!$D:$D, BZ$6)</f>
        <v>0.39370379160048102</v>
      </c>
      <c r="CA159" s="1111">
        <f>SUMIFS(NewEmisData!H:H, NewEmisData!$A:$A, $G159, NewEmisData!$B:$B, $A159, NewEmisData!$C:$C, $H159, NewEmisData!$D:$D, CA$6)</f>
        <v>0.31228113561307103</v>
      </c>
      <c r="CB159" s="1111">
        <f>SUMIFS(NewEmisData!I:I, NewEmisData!$A:$A, $G159, NewEmisData!$B:$B, $A159, NewEmisData!$C:$C, $H159, NewEmisData!$D:$D, CB$6)</f>
        <v>0.28237497464649203</v>
      </c>
      <c r="CC159" s="1111">
        <f>SUMIFS(NewEmisData!J:J, NewEmisData!$A:$A, $G159, NewEmisData!$B:$B, $A159, NewEmisData!$C:$C, $H159, NewEmisData!$D:$D, CC$6)</f>
        <v>0.27043603612734302</v>
      </c>
      <c r="CD159" s="1111">
        <f>SUMIFS(NewEmisData!K:K, NewEmisData!$A:$A, $G159, NewEmisData!$B:$B, $A159, NewEmisData!$C:$C, $H159, NewEmisData!$D:$D, CD$6)</f>
        <v>0.26884074434480698</v>
      </c>
      <c r="CE159" s="1111">
        <f>SUMIFS(NewEmisData!L:L, NewEmisData!$A:$A, $G159, NewEmisData!$B:$B, $A159, NewEmisData!$C:$C, $H159, NewEmisData!$D:$D, CE$6)</f>
        <v>0.268857395941977</v>
      </c>
      <c r="CF159" s="1111">
        <f>SUMIFS(NewEmisData!M:M, NewEmisData!$A:$A, $G159, NewEmisData!$B:$B, $A159, NewEmisData!$C:$C, $H159, NewEmisData!$D:$D, CF$6)</f>
        <v>0.26888130166281199</v>
      </c>
      <c r="CG159" s="1111">
        <f t="shared" si="250"/>
        <v>0.26888130166281199</v>
      </c>
      <c r="CH159" s="1111">
        <f t="shared" si="251"/>
        <v>4.4354850737075603E-2</v>
      </c>
      <c r="CI159" s="1111">
        <f>SUMIFS(NewEmisData!E:E, NewEmisData!$A:$A, $G159, NewEmisData!$B:$B, $A159, NewEmisData!$C:$C, $H159, NewEmisData!$D:$D, CI$6)</f>
        <v>4.4354850737075603E-2</v>
      </c>
      <c r="CJ159" s="1111">
        <f>SUMIFS(NewEmisData!F:F, NewEmisData!$A:$A, $G159, NewEmisData!$B:$B, $A159, NewEmisData!$C:$C, $H159, NewEmisData!$D:$D, CJ$6)</f>
        <v>4.4606421809548602E-2</v>
      </c>
      <c r="CK159" s="1111">
        <f>SUMIFS(NewEmisData!G:G, NewEmisData!$A:$A, $G159, NewEmisData!$B:$B, $A159, NewEmisData!$C:$C, $H159, NewEmisData!$D:$D, CK$6)</f>
        <v>4.5833727376490101E-2</v>
      </c>
      <c r="CL159" s="1111">
        <f>SUMIFS(NewEmisData!H:H, NewEmisData!$A:$A, $G159, NewEmisData!$B:$B, $A159, NewEmisData!$C:$C, $H159, NewEmisData!$D:$D, CL$6)</f>
        <v>4.5835915019940797E-2</v>
      </c>
      <c r="CM159" s="1111">
        <f>SUMIFS(NewEmisData!I:I, NewEmisData!$A:$A, $G159, NewEmisData!$B:$B, $A159, NewEmisData!$C:$C, $H159, NewEmisData!$D:$D, CM$6)</f>
        <v>4.5836924876248103E-2</v>
      </c>
      <c r="CN159" s="1111">
        <f>SUMIFS(NewEmisData!J:J, NewEmisData!$A:$A, $G159, NewEmisData!$B:$B, $A159, NewEmisData!$C:$C, $H159, NewEmisData!$D:$D, CN$6)</f>
        <v>4.5837206762828597E-2</v>
      </c>
      <c r="CO159" s="1111">
        <f>SUMIFS(NewEmisData!K:K, NewEmisData!$A:$A, $G159, NewEmisData!$B:$B, $A159, NewEmisData!$C:$C, $H159, NewEmisData!$D:$D, CO$6)</f>
        <v>4.5837285402718399E-2</v>
      </c>
      <c r="CP159" s="1111">
        <f>SUMIFS(NewEmisData!L:L, NewEmisData!$A:$A, $G159, NewEmisData!$B:$B, $A159, NewEmisData!$C:$C, $H159, NewEmisData!$D:$D, CP$6)</f>
        <v>4.5837327743812703E-2</v>
      </c>
      <c r="CQ159" s="1111">
        <f>SUMIFS(NewEmisData!M:M, NewEmisData!$A:$A, $G159, NewEmisData!$B:$B, $A159, NewEmisData!$C:$C, $H159, NewEmisData!$D:$D, CQ$6)</f>
        <v>4.5837305828443899E-2</v>
      </c>
      <c r="CR159" s="1111">
        <f t="shared" si="252"/>
        <v>4.5837305828443899E-2</v>
      </c>
      <c r="CS159" s="1111">
        <f t="shared" si="253"/>
        <v>4.9787516424166102E-2</v>
      </c>
      <c r="CT159" s="1111">
        <f>SUMIFS(NewEmisData!E:E, NewEmisData!$A:$A, $G159, NewEmisData!$B:$B, $A159, NewEmisData!$C:$C, $H159, NewEmisData!$D:$D, CT$6)</f>
        <v>4.9787516424166102E-2</v>
      </c>
      <c r="CU159" s="1111">
        <f>SUMIFS(NewEmisData!F:F, NewEmisData!$A:$A, $G159, NewEmisData!$B:$B, $A159, NewEmisData!$C:$C, $H159, NewEmisData!$D:$D, CU$6)</f>
        <v>4.0085775499257799E-2</v>
      </c>
      <c r="CV159" s="1111">
        <f>SUMIFS(NewEmisData!G:G, NewEmisData!$A:$A, $G159, NewEmisData!$B:$B, $A159, NewEmisData!$C:$C, $H159, NewEmisData!$D:$D, CV$6)</f>
        <v>1.5231093201386501E-2</v>
      </c>
      <c r="CW159" s="1111">
        <f>SUMIFS(NewEmisData!H:H, NewEmisData!$A:$A, $G159, NewEmisData!$B:$B, $A159, NewEmisData!$C:$C, $H159, NewEmisData!$D:$D, CW$6)</f>
        <v>1.05082390102391E-2</v>
      </c>
      <c r="CX159" s="1111">
        <f>SUMIFS(NewEmisData!I:I, NewEmisData!$A:$A, $G159, NewEmisData!$B:$B, $A159, NewEmisData!$C:$C, $H159, NewEmisData!$D:$D, CX$6)</f>
        <v>9.2332663114354004E-3</v>
      </c>
      <c r="CY159" s="1111">
        <f>SUMIFS(NewEmisData!J:J, NewEmisData!$A:$A, $G159, NewEmisData!$B:$B, $A159, NewEmisData!$C:$C, $H159, NewEmisData!$D:$D, CY$6)</f>
        <v>8.8795270887270794E-3</v>
      </c>
      <c r="CZ159" s="1111">
        <f>SUMIFS(NewEmisData!K:K, NewEmisData!$A:$A, $G159, NewEmisData!$B:$B, $A159, NewEmisData!$C:$C, $H159, NewEmisData!$D:$D, CZ$6)</f>
        <v>8.8375979409894192E-3</v>
      </c>
      <c r="DA159" s="1111">
        <f>SUMIFS(NewEmisData!L:L, NewEmisData!$A:$A, $G159, NewEmisData!$B:$B, $A159, NewEmisData!$C:$C, $H159, NewEmisData!$D:$D, DA$6)</f>
        <v>8.8119276303445203E-3</v>
      </c>
      <c r="DB159" s="1111">
        <f>SUMIFS(NewEmisData!M:M, NewEmisData!$A:$A, $G159, NewEmisData!$B:$B, $A159, NewEmisData!$C:$C, $H159, NewEmisData!$D:$D, DB$6)</f>
        <v>8.8259459804548995E-3</v>
      </c>
      <c r="DC159" s="1111">
        <f t="shared" si="254"/>
        <v>8.8259459804548995E-3</v>
      </c>
      <c r="DD159" s="1111"/>
      <c r="DE159" s="1111"/>
      <c r="DF159" s="1111"/>
      <c r="DG159" s="1111"/>
      <c r="DH159" s="1111"/>
      <c r="DI159" s="1111"/>
      <c r="DJ159" s="1111"/>
      <c r="DK159" s="1111"/>
      <c r="DL159" s="1111"/>
      <c r="DM159" s="1111"/>
      <c r="DN159" s="1111"/>
      <c r="DO159" s="1111"/>
      <c r="DP159" s="1111"/>
      <c r="DQ159" s="1111"/>
      <c r="DR159" s="1111"/>
      <c r="DS159" s="1111"/>
      <c r="DT159" s="1111"/>
      <c r="DU159" s="1111"/>
      <c r="DV159" s="1111"/>
      <c r="DW159" s="1111"/>
      <c r="DX159" s="1111"/>
      <c r="DY159" s="1111"/>
      <c r="DZ159" s="1111">
        <f t="shared" si="255"/>
        <v>4.44098100343151E-2</v>
      </c>
      <c r="EA159" s="1111">
        <f>SUMIFS(NewEmisData!E:E, NewEmisData!$A:$A, $G159, NewEmisData!$B:$B, $A159, NewEmisData!$C:$C, $H159, NewEmisData!$D:$D, EA$6)</f>
        <v>4.44098100343151E-2</v>
      </c>
      <c r="EB159" s="1111">
        <f>SUMIFS(NewEmisData!F:F, NewEmisData!$A:$A, $G159, NewEmisData!$B:$B, $A159, NewEmisData!$C:$C, $H159, NewEmisData!$D:$D, EB$6)</f>
        <v>2.9304673870380101E-2</v>
      </c>
      <c r="EC159" s="1111">
        <f>SUMIFS(NewEmisData!G:G, NewEmisData!$A:$A, $G159, NewEmisData!$B:$B, $A159, NewEmisData!$C:$C, $H159, NewEmisData!$D:$D, EC$6)</f>
        <v>9.6598752165466002E-3</v>
      </c>
      <c r="ED159" s="1111">
        <f>SUMIFS(NewEmisData!H:H, NewEmisData!$A:$A, $G159, NewEmisData!$B:$B, $A159, NewEmisData!$C:$C, $H159, NewEmisData!$D:$D, ED$6)</f>
        <v>8.2574531868545402E-3</v>
      </c>
      <c r="EE159" s="1111">
        <f>SUMIFS(NewEmisData!I:I, NewEmisData!$A:$A, $G159, NewEmisData!$B:$B, $A159, NewEmisData!$C:$C, $H159, NewEmisData!$D:$D, EE$6)</f>
        <v>7.8634646205182502E-3</v>
      </c>
      <c r="EF159" s="1111">
        <f>SUMIFS(NewEmisData!J:J, NewEmisData!$A:$A, $G159, NewEmisData!$B:$B, $A159, NewEmisData!$C:$C, $H159, NewEmisData!$D:$D, EF$6)</f>
        <v>7.7933832365119603E-3</v>
      </c>
      <c r="EG159" s="1111">
        <f>SUMIFS(NewEmisData!K:K, NewEmisData!$A:$A, $G159, NewEmisData!$B:$B, $A159, NewEmisData!$C:$C, $H159, NewEmisData!$D:$D, EG$6)</f>
        <v>7.8217032086275798E-3</v>
      </c>
      <c r="EH159" s="1111">
        <f>SUMIFS(NewEmisData!L:L, NewEmisData!$A:$A, $G159, NewEmisData!$B:$B, $A159, NewEmisData!$C:$C, $H159, NewEmisData!$D:$D, EH$6)</f>
        <v>7.8307139594945199E-3</v>
      </c>
      <c r="EI159" s="1111">
        <f>SUMIFS(NewEmisData!M:M, NewEmisData!$A:$A, $G159, NewEmisData!$B:$B, $A159, NewEmisData!$C:$C, $H159, NewEmisData!$D:$D, EI$6)</f>
        <v>7.8300628211082704E-3</v>
      </c>
      <c r="EJ159" s="1111">
        <f t="shared" si="256"/>
        <v>7.8300628211082704E-3</v>
      </c>
      <c r="EK159" s="1111">
        <f t="shared" si="257"/>
        <v>1295.14987573646</v>
      </c>
      <c r="EL159" s="1111">
        <f t="shared" si="154"/>
        <v>1295.14987573646</v>
      </c>
      <c r="EM159" s="1111">
        <f t="shared" si="155"/>
        <v>1270.8053069328</v>
      </c>
      <c r="EN159" s="1111">
        <f t="shared" si="156"/>
        <v>1116.9310844665499</v>
      </c>
      <c r="EO159" s="1111">
        <f t="shared" si="157"/>
        <v>1096.47271752758</v>
      </c>
      <c r="EP159" s="1111">
        <f t="shared" si="158"/>
        <v>1080.35797958793</v>
      </c>
      <c r="EQ159" s="1111">
        <f t="shared" si="159"/>
        <v>1076.1283631843501</v>
      </c>
      <c r="ER159" s="1111">
        <f t="shared" si="160"/>
        <v>1074.99841740493</v>
      </c>
      <c r="ES159" s="1111">
        <f t="shared" si="161"/>
        <v>1074.7768639159699</v>
      </c>
      <c r="ET159" s="1111">
        <f t="shared" si="162"/>
        <v>1074.7231317103101</v>
      </c>
      <c r="EU159" s="1111">
        <f t="shared" si="163"/>
        <v>1074.7231317103101</v>
      </c>
      <c r="EV159" s="1111">
        <f t="shared" si="258"/>
        <v>4.7005442822918502</v>
      </c>
      <c r="EW159" s="1111">
        <f t="shared" ref="EW159:EW222" si="259">U159</f>
        <v>4.7005442822918502</v>
      </c>
      <c r="EX159" s="1111">
        <f t="shared" ref="EX159:EX222" si="260">V159</f>
        <v>3.08259000861326</v>
      </c>
      <c r="EY159" s="1111">
        <f t="shared" ref="EY159:EY222" si="261">W159</f>
        <v>1.0390638212911101</v>
      </c>
      <c r="EZ159" s="1111">
        <f t="shared" ref="EZ159:EZ222" si="262">X159</f>
        <v>0.75779261060598802</v>
      </c>
      <c r="FA159" s="1111">
        <f t="shared" ref="FA159:FA222" si="263">Y159</f>
        <v>0.63538679073275195</v>
      </c>
      <c r="FB159" s="1111">
        <f t="shared" ref="FB159:FB222" si="264">Z159</f>
        <v>0.580083255346031</v>
      </c>
      <c r="FC159" s="1111">
        <f t="shared" ref="FC159:FC222" si="265">AA159</f>
        <v>0.56397155784451702</v>
      </c>
      <c r="FD159" s="1111">
        <f t="shared" ref="FD159:FD222" si="266">AB159</f>
        <v>0.56043589289625795</v>
      </c>
      <c r="FE159" s="1111">
        <f t="shared" ref="FE159:FE222" si="267">AC159</f>
        <v>0.55941898537579804</v>
      </c>
      <c r="FF159" s="1111">
        <f t="shared" ref="FF159:FF222" si="268">AD159</f>
        <v>0.55941898537579804</v>
      </c>
      <c r="FG159" s="1111">
        <f t="shared" si="193"/>
        <v>2.4310232310109099E-2</v>
      </c>
      <c r="FH159" s="1111">
        <f t="shared" si="194"/>
        <v>2.4310232310109099E-2</v>
      </c>
      <c r="FI159" s="1111">
        <f t="shared" si="195"/>
        <v>2.26976790505827E-2</v>
      </c>
      <c r="FJ159" s="1111">
        <f t="shared" si="196"/>
        <v>1.6022950426801401E-2</v>
      </c>
      <c r="FK159" s="1111">
        <f t="shared" si="197"/>
        <v>1.5729470038709299E-2</v>
      </c>
      <c r="FL159" s="1111">
        <f t="shared" si="198"/>
        <v>1.5498287302921E-2</v>
      </c>
      <c r="FM159" s="1111">
        <f t="shared" si="199"/>
        <v>1.5437619705180801E-2</v>
      </c>
      <c r="FN159" s="1111">
        <f t="shared" si="200"/>
        <v>1.5421408919953399E-2</v>
      </c>
      <c r="FO159" s="1111">
        <f t="shared" si="201"/>
        <v>1.5418227354463399E-2</v>
      </c>
      <c r="FP159" s="1111">
        <f t="shared" si="202"/>
        <v>1.54174639116704E-2</v>
      </c>
      <c r="FQ159" s="1111">
        <f t="shared" si="203"/>
        <v>1.54174639116704E-2</v>
      </c>
      <c r="FR159" s="1111">
        <f t="shared" si="230"/>
        <v>0.19559792469321799</v>
      </c>
      <c r="FS159" s="1111">
        <f t="shared" si="231"/>
        <v>0.19559792469321799</v>
      </c>
      <c r="FT159" s="1111">
        <f t="shared" si="232"/>
        <v>0.195854498358668</v>
      </c>
      <c r="FU159" s="1111">
        <f t="shared" si="233"/>
        <v>0.158834423055883</v>
      </c>
      <c r="FV159" s="1111">
        <f t="shared" si="234"/>
        <v>0.15912944493902401</v>
      </c>
      <c r="FW159" s="1111">
        <f t="shared" si="235"/>
        <v>0.159508665245508</v>
      </c>
      <c r="FX159" s="1111">
        <f t="shared" si="236"/>
        <v>0.15973496976197599</v>
      </c>
      <c r="FY159" s="1111">
        <f t="shared" si="237"/>
        <v>0.15985029461774</v>
      </c>
      <c r="FZ159" s="1111">
        <f t="shared" si="238"/>
        <v>0.159884874617258</v>
      </c>
      <c r="GA159" s="1111">
        <f t="shared" si="239"/>
        <v>0.15989716821268901</v>
      </c>
      <c r="GB159" s="1111">
        <f t="shared" si="240"/>
        <v>0.15989716821268901</v>
      </c>
      <c r="GC159" s="1111">
        <f t="shared" si="164"/>
        <v>6.1407596132052197E-2</v>
      </c>
      <c r="GD159" s="1111">
        <f t="shared" si="165"/>
        <v>6.1407596132052197E-2</v>
      </c>
      <c r="GE159" s="1111">
        <f t="shared" si="166"/>
        <v>5.5619399593761901E-2</v>
      </c>
      <c r="GF159" s="1111">
        <f t="shared" si="167"/>
        <v>2.6501774627894398E-2</v>
      </c>
      <c r="GG159" s="1111">
        <f t="shared" si="168"/>
        <v>2.6535568582948001E-2</v>
      </c>
      <c r="GH159" s="1111">
        <f t="shared" si="169"/>
        <v>2.68240676450552E-2</v>
      </c>
      <c r="GI159" s="1111">
        <f t="shared" si="170"/>
        <v>2.7011500327140701E-2</v>
      </c>
      <c r="GJ159" s="1111">
        <f t="shared" si="171"/>
        <v>2.71105372443806E-2</v>
      </c>
      <c r="GK159" s="1111">
        <f t="shared" si="172"/>
        <v>2.7140215075382799E-2</v>
      </c>
      <c r="GL159" s="1111">
        <f t="shared" si="173"/>
        <v>2.7151187263261201E-2</v>
      </c>
      <c r="GM159" s="1111">
        <f t="shared" si="174"/>
        <v>2.7151187263261201E-2</v>
      </c>
    </row>
    <row r="160" spans="1:195" x14ac:dyDescent="0.2">
      <c r="A160" s="1071" t="s">
        <v>190</v>
      </c>
      <c r="B160" s="1071" t="str">
        <f>Technologies!C114</f>
        <v>TMGSLC10</v>
      </c>
      <c r="C160" s="1071" t="str">
        <f>Technologies!D114</f>
        <v>Medium Duty Truck, Gasoline, 2010</v>
      </c>
      <c r="D160" s="1071" t="str">
        <f>TechData!D21</f>
        <v>bn-vmt, bn-vmt/a</v>
      </c>
      <c r="E160" s="1071" t="str">
        <f>NewTech!E67</f>
        <v>TMGSL</v>
      </c>
      <c r="F160" s="1071" t="str">
        <f>NewTech!F67</f>
        <v>TM</v>
      </c>
      <c r="G160" s="1110" t="s">
        <v>503</v>
      </c>
      <c r="H160" s="1110" t="s">
        <v>500</v>
      </c>
      <c r="I160" s="1112">
        <v>1</v>
      </c>
      <c r="J160" s="1111" t="str">
        <f t="shared" si="37"/>
        <v>Medium duty-GSL</v>
      </c>
      <c r="K160" s="1111">
        <f>SUMIFS(NewEmisData!E:E, NewEmisData!$A:$A, $G160, NewEmisData!$B:$B, $A160, NewEmisData!$C:$C, $H160, NewEmisData!$D:$D, K$6)</f>
        <v>1204.2704996203399</v>
      </c>
      <c r="L160" s="1111">
        <f>SUMIFS(NewEmisData!F:F, NewEmisData!$A:$A, $G160, NewEmisData!$B:$B, $A160, NewEmisData!$C:$C, $H160, NewEmisData!$D:$D, L$6)</f>
        <v>1280.9014839137801</v>
      </c>
      <c r="M160" s="1111">
        <f>SUMIFS(NewEmisData!G:G, NewEmisData!$A:$A, $G160, NewEmisData!$B:$B, $A160, NewEmisData!$C:$C, $H160, NewEmisData!$D:$D, M$6)</f>
        <v>1309.1277572440899</v>
      </c>
      <c r="N160" s="1111">
        <f>SUMIFS(NewEmisData!H:H, NewEmisData!$A:$A, $G160, NewEmisData!$B:$B, $A160, NewEmisData!$C:$C, $H160, NewEmisData!$D:$D, N$6)</f>
        <v>1277.5848439676099</v>
      </c>
      <c r="O160" s="1111">
        <f>SUMIFS(NewEmisData!I:I, NewEmisData!$A:$A, $G160, NewEmisData!$B:$B, $A160, NewEmisData!$C:$C, $H160, NewEmisData!$D:$D, O$6)</f>
        <v>1259.05503169493</v>
      </c>
      <c r="P160" s="1111">
        <f>SUMIFS(NewEmisData!J:J, NewEmisData!$A:$A, $G160, NewEmisData!$B:$B, $A160, NewEmisData!$C:$C, $H160, NewEmisData!$D:$D, P$6)</f>
        <v>1254.08723086747</v>
      </c>
      <c r="Q160" s="1111">
        <f>SUMIFS(NewEmisData!K:K, NewEmisData!$A:$A, $G160, NewEmisData!$B:$B, $A160, NewEmisData!$C:$C, $H160, NewEmisData!$D:$D, Q$6)</f>
        <v>1252.90461894546</v>
      </c>
      <c r="R160" s="1111">
        <f>SUMIFS(NewEmisData!L:L, NewEmisData!$A:$A, $G160, NewEmisData!$B:$B, $A160, NewEmisData!$C:$C, $H160, NewEmisData!$D:$D, R$6)</f>
        <v>1252.7104430173399</v>
      </c>
      <c r="S160" s="1111">
        <f>SUMIFS(NewEmisData!M:M, NewEmisData!$A:$A, $G160, NewEmisData!$B:$B, $A160, NewEmisData!$C:$C, $H160, NewEmisData!$D:$D, S$6)</f>
        <v>1252.6870397442001</v>
      </c>
      <c r="T160" s="1111">
        <f t="shared" si="131"/>
        <v>1252.6870397442001</v>
      </c>
      <c r="U160" s="1111">
        <f>SUMIFS(NewEmisData!E:E, NewEmisData!$A:$A, $G160, NewEmisData!$B:$B, $A160, NewEmisData!$C:$C, $H160, NewEmisData!$D:$D, U$6)</f>
        <v>4.3448715610080901</v>
      </c>
      <c r="V160" s="1111">
        <f>SUMIFS(NewEmisData!F:F, NewEmisData!$A:$A, $G160, NewEmisData!$B:$B, $A160, NewEmisData!$C:$C, $H160, NewEmisData!$D:$D, V$6)</f>
        <v>2.68000771941229</v>
      </c>
      <c r="W160" s="1111">
        <f>SUMIFS(NewEmisData!G:G, NewEmisData!$A:$A, $G160, NewEmisData!$B:$B, $A160, NewEmisData!$C:$C, $H160, NewEmisData!$D:$D, W$6)</f>
        <v>1.2701406141530101</v>
      </c>
      <c r="X160" s="1111">
        <f>SUMIFS(NewEmisData!H:H, NewEmisData!$A:$A, $G160, NewEmisData!$B:$B, $A160, NewEmisData!$C:$C, $H160, NewEmisData!$D:$D, X$6)</f>
        <v>0.89637025450783203</v>
      </c>
      <c r="Y160" s="1111">
        <f>SUMIFS(NewEmisData!I:I, NewEmisData!$A:$A, $G160, NewEmisData!$B:$B, $A160, NewEmisData!$C:$C, $H160, NewEmisData!$D:$D, Y$6)</f>
        <v>0.74230586472414295</v>
      </c>
      <c r="Z160" s="1111">
        <f>SUMIFS(NewEmisData!J:J, NewEmisData!$A:$A, $G160, NewEmisData!$B:$B, $A160, NewEmisData!$C:$C, $H160, NewEmisData!$D:$D, Z$6)</f>
        <v>0.67198096175904998</v>
      </c>
      <c r="AA160" s="1111">
        <f>SUMIFS(NewEmisData!K:K, NewEmisData!$A:$A, $G160, NewEmisData!$B:$B, $A160, NewEmisData!$C:$C, $H160, NewEmisData!$D:$D, AA$6)</f>
        <v>0.65082523068374698</v>
      </c>
      <c r="AB160" s="1111">
        <f>SUMIFS(NewEmisData!L:L, NewEmisData!$A:$A, $G160, NewEmisData!$B:$B, $A160, NewEmisData!$C:$C, $H160, NewEmisData!$D:$D, AB$6)</f>
        <v>0.64636795436825401</v>
      </c>
      <c r="AC160" s="1111">
        <f>SUMIFS(NewEmisData!M:M, NewEmisData!$A:$A, $G160, NewEmisData!$B:$B, $A160, NewEmisData!$C:$C, $H160, NewEmisData!$D:$D, AC$6)</f>
        <v>0.64488416341078902</v>
      </c>
      <c r="AD160" s="1111">
        <f t="shared" si="229"/>
        <v>0.64488416341078902</v>
      </c>
      <c r="AE160" s="1111">
        <f t="shared" si="241"/>
        <v>2.08381055217347E-2</v>
      </c>
      <c r="AF160" s="1111">
        <f>SUMIFS(NewEmisData!E:E, NewEmisData!$A:$A, $G160, NewEmisData!$B:$B, $A160, NewEmisData!$C:$C, $H160, NewEmisData!$D:$D, AF$6)</f>
        <v>2.08381055217347E-2</v>
      </c>
      <c r="AG160" s="1111">
        <f>SUMIFS(NewEmisData!F:F, NewEmisData!$A:$A, $G160, NewEmisData!$B:$B, $A160, NewEmisData!$C:$C, $H160, NewEmisData!$D:$D, AG$6)</f>
        <v>2.2164087103621902E-2</v>
      </c>
      <c r="AH160" s="1111">
        <f>SUMIFS(NewEmisData!G:G, NewEmisData!$A:$A, $G160, NewEmisData!$B:$B, $A160, NewEmisData!$C:$C, $H160, NewEmisData!$D:$D, AH$6)</f>
        <v>1.8780122769194701E-2</v>
      </c>
      <c r="AI160" s="1111">
        <f>SUMIFS(NewEmisData!H:H, NewEmisData!$A:$A, $G160, NewEmisData!$B:$B, $A160, NewEmisData!$C:$C, $H160, NewEmisData!$D:$D, AI$6)</f>
        <v>1.8327610114874E-2</v>
      </c>
      <c r="AJ160" s="1111">
        <f>SUMIFS(NewEmisData!I:I, NewEmisData!$A:$A, $G160, NewEmisData!$B:$B, $A160, NewEmisData!$C:$C, $H160, NewEmisData!$D:$D, AJ$6)</f>
        <v>1.8061800865337901E-2</v>
      </c>
      <c r="AK160" s="1111">
        <f>SUMIFS(NewEmisData!J:J, NewEmisData!$A:$A, $G160, NewEmisData!$B:$B, $A160, NewEmisData!$C:$C, $H160, NewEmisData!$D:$D, AK$6)</f>
        <v>1.79905289884639E-2</v>
      </c>
      <c r="AL160" s="1111">
        <f>SUMIFS(NewEmisData!K:K, NewEmisData!$A:$A, $G160, NewEmisData!$B:$B, $A160, NewEmisData!$C:$C, $H160, NewEmisData!$D:$D, AL$6)</f>
        <v>1.7973564507445701E-2</v>
      </c>
      <c r="AM160" s="1111">
        <f>SUMIFS(NewEmisData!L:L, NewEmisData!$A:$A, $G160, NewEmisData!$B:$B, $A160, NewEmisData!$C:$C, $H160, NewEmisData!$D:$D, AM$6)</f>
        <v>1.7970784643505301E-2</v>
      </c>
      <c r="AN160" s="1111">
        <f>SUMIFS(NewEmisData!M:M, NewEmisData!$A:$A, $G160, NewEmisData!$B:$B, $A160, NewEmisData!$C:$C, $H160, NewEmisData!$D:$D, AN$6)</f>
        <v>1.7970446963254401E-2</v>
      </c>
      <c r="AO160" s="1111">
        <f t="shared" si="242"/>
        <v>1.7970446963254401E-2</v>
      </c>
      <c r="AP160" s="1111">
        <f t="shared" si="243"/>
        <v>0.19574828311834699</v>
      </c>
      <c r="AQ160" s="1111">
        <f>SUMIFS(NewEmisData!E:E, NewEmisData!$A:$A, $G160, NewEmisData!$B:$B, $A160, NewEmisData!$C:$C, $H160, NewEmisData!$D:$D, AQ$6)</f>
        <v>0.19574828311834699</v>
      </c>
      <c r="AR160" s="1111">
        <f>SUMIFS(NewEmisData!F:F, NewEmisData!$A:$A, $G160, NewEmisData!$B:$B, $A160, NewEmisData!$C:$C, $H160, NewEmisData!$D:$D, AR$6)</f>
        <v>0.191259101148397</v>
      </c>
      <c r="AS160" s="1111">
        <f>SUMIFS(NewEmisData!G:G, NewEmisData!$A:$A, $G160, NewEmisData!$B:$B, $A160, NewEmisData!$C:$C, $H160, NewEmisData!$D:$D, AS$6)</f>
        <v>0.21457849181088401</v>
      </c>
      <c r="AT160" s="1111">
        <f>SUMIFS(NewEmisData!H:H, NewEmisData!$A:$A, $G160, NewEmisData!$B:$B, $A160, NewEmisData!$C:$C, $H160, NewEmisData!$D:$D, AT$6)</f>
        <v>0.215053494777702</v>
      </c>
      <c r="AU160" s="1111">
        <f>SUMIFS(NewEmisData!I:I, NewEmisData!$A:$A, $G160, NewEmisData!$B:$B, $A160, NewEmisData!$C:$C, $H160, NewEmisData!$D:$D, AU$6)</f>
        <v>0.21551298465650401</v>
      </c>
      <c r="AV160" s="1111">
        <f>SUMIFS(NewEmisData!J:J, NewEmisData!$A:$A, $G160, NewEmisData!$B:$B, $A160, NewEmisData!$C:$C, $H160, NewEmisData!$D:$D, AV$6)</f>
        <v>0.215835472913527</v>
      </c>
      <c r="AW160" s="1111">
        <f>SUMIFS(NewEmisData!K:K, NewEmisData!$A:$A, $G160, NewEmisData!$B:$B, $A160, NewEmisData!$C:$C, $H160, NewEmisData!$D:$D, AW$6)</f>
        <v>0.21602305396888299</v>
      </c>
      <c r="AX160" s="1111">
        <f>SUMIFS(NewEmisData!L:L, NewEmisData!$A:$A, $G160, NewEmisData!$B:$B, $A160, NewEmisData!$C:$C, $H160, NewEmisData!$D:$D, AX$6)</f>
        <v>0.21608589786817001</v>
      </c>
      <c r="AY160" s="1111">
        <f>SUMIFS(NewEmisData!M:M, NewEmisData!$A:$A, $G160, NewEmisData!$B:$B, $A160, NewEmisData!$C:$C, $H160, NewEmisData!$D:$D, AY$6)</f>
        <v>0.216113244270948</v>
      </c>
      <c r="AZ160" s="1111">
        <f t="shared" si="244"/>
        <v>0.216113244270948</v>
      </c>
      <c r="BA160" s="1111">
        <f t="shared" si="245"/>
        <v>4.1988899098410401E-2</v>
      </c>
      <c r="BB160" s="1111">
        <f>SUMIFS(NewEmisData!E:E, NewEmisData!$A:$A, $G160, NewEmisData!$B:$B, $A160, NewEmisData!$C:$C, $H160, NewEmisData!$D:$D, BB$6)</f>
        <v>4.1988899098410401E-2</v>
      </c>
      <c r="BC160" s="1111">
        <f>SUMIFS(NewEmisData!F:F, NewEmisData!$A:$A, $G160, NewEmisData!$B:$B, $A160, NewEmisData!$C:$C, $H160, NewEmisData!$D:$D, BC$6)</f>
        <v>4.04221270662211E-2</v>
      </c>
      <c r="BD160" s="1111">
        <f>SUMIFS(NewEmisData!G:G, NewEmisData!$A:$A, $G160, NewEmisData!$B:$B, $A160, NewEmisData!$C:$C, $H160, NewEmisData!$D:$D, BD$6)</f>
        <v>3.5246180151429399E-2</v>
      </c>
      <c r="BE160" s="1111">
        <f>SUMIFS(NewEmisData!H:H, NewEmisData!$A:$A, $G160, NewEmisData!$B:$B, $A160, NewEmisData!$C:$C, $H160, NewEmisData!$D:$D, BE$6)</f>
        <v>3.4950821311789601E-2</v>
      </c>
      <c r="BF160" s="1111">
        <f>SUMIFS(NewEmisData!I:I, NewEmisData!$A:$A, $G160, NewEmisData!$B:$B, $A160, NewEmisData!$C:$C, $H160, NewEmisData!$D:$D, BF$6)</f>
        <v>3.5285067945859602E-2</v>
      </c>
      <c r="BG160" s="1111">
        <f>SUMIFS(NewEmisData!J:J, NewEmisData!$A:$A, $G160, NewEmisData!$B:$B, $A160, NewEmisData!$C:$C, $H160, NewEmisData!$D:$D, BG$6)</f>
        <v>3.55346528981796E-2</v>
      </c>
      <c r="BH160" s="1111">
        <f>SUMIFS(NewEmisData!K:K, NewEmisData!$A:$A, $G160, NewEmisData!$B:$B, $A160, NewEmisData!$C:$C, $H160, NewEmisData!$D:$D, BH$6)</f>
        <v>3.5692682330647998E-2</v>
      </c>
      <c r="BI160" s="1111">
        <f>SUMIFS(NewEmisData!L:L, NewEmisData!$A:$A, $G160, NewEmisData!$B:$B, $A160, NewEmisData!$C:$C, $H160, NewEmisData!$D:$D, BI$6)</f>
        <v>3.57464219039118E-2</v>
      </c>
      <c r="BJ160" s="1111">
        <f>SUMIFS(NewEmisData!M:M, NewEmisData!$A:$A, $G160, NewEmisData!$B:$B, $A160, NewEmisData!$C:$C, $H160, NewEmisData!$D:$D, BJ$6)</f>
        <v>3.5770424866643502E-2</v>
      </c>
      <c r="BK160" s="1111">
        <f t="shared" si="246"/>
        <v>3.5770424866643502E-2</v>
      </c>
      <c r="BL160" s="1111">
        <f t="shared" si="247"/>
        <v>39.441467642192301</v>
      </c>
      <c r="BM160" s="1111">
        <f>SUMIFS(NewEmisData!E:E, NewEmisData!$A:$A, $G160, NewEmisData!$B:$B, $A160, NewEmisData!$C:$C, $H160, NewEmisData!$D:$D, BM$6)</f>
        <v>39.441467642192301</v>
      </c>
      <c r="BN160" s="1111">
        <f>SUMIFS(NewEmisData!F:F, NewEmisData!$A:$A, $G160, NewEmisData!$B:$B, $A160, NewEmisData!$C:$C, $H160, NewEmisData!$D:$D, BN$6)</f>
        <v>29.135339922672099</v>
      </c>
      <c r="BO160" s="1111">
        <f>SUMIFS(NewEmisData!G:G, NewEmisData!$A:$A, $G160, NewEmisData!$B:$B, $A160, NewEmisData!$C:$C, $H160, NewEmisData!$D:$D, BO$6)</f>
        <v>19.258881049018001</v>
      </c>
      <c r="BP160" s="1111">
        <f>SUMIFS(NewEmisData!H:H, NewEmisData!$A:$A, $G160, NewEmisData!$B:$B, $A160, NewEmisData!$C:$C, $H160, NewEmisData!$D:$D, BP$6)</f>
        <v>17.4734501170478</v>
      </c>
      <c r="BQ160" s="1111">
        <f>SUMIFS(NewEmisData!I:I, NewEmisData!$A:$A, $G160, NewEmisData!$B:$B, $A160, NewEmisData!$C:$C, $H160, NewEmisData!$D:$D, BQ$6)</f>
        <v>17.337238430015301</v>
      </c>
      <c r="BR160" s="1111">
        <f>SUMIFS(NewEmisData!J:J, NewEmisData!$A:$A, $G160, NewEmisData!$B:$B, $A160, NewEmisData!$C:$C, $H160, NewEmisData!$D:$D, BR$6)</f>
        <v>17.524592153612701</v>
      </c>
      <c r="BS160" s="1111">
        <f>SUMIFS(NewEmisData!K:K, NewEmisData!$A:$A, $G160, NewEmisData!$B:$B, $A160, NewEmisData!$C:$C, $H160, NewEmisData!$D:$D, BS$6)</f>
        <v>17.768817804957902</v>
      </c>
      <c r="BT160" s="1111">
        <f>SUMIFS(NewEmisData!L:L, NewEmisData!$A:$A, $G160, NewEmisData!$B:$B, $A160, NewEmisData!$C:$C, $H160, NewEmisData!$D:$D, BT$6)</f>
        <v>17.8951685945812</v>
      </c>
      <c r="BU160" s="1111">
        <f>SUMIFS(NewEmisData!M:M, NewEmisData!$A:$A, $G160, NewEmisData!$B:$B, $A160, NewEmisData!$C:$C, $H160, NewEmisData!$D:$D, BU$6)</f>
        <v>17.960459006708199</v>
      </c>
      <c r="BV160" s="1111">
        <f t="shared" si="248"/>
        <v>17.960459006708199</v>
      </c>
      <c r="BW160" s="1111">
        <f t="shared" si="249"/>
        <v>2.13040906292176</v>
      </c>
      <c r="BX160" s="1111">
        <f>SUMIFS(NewEmisData!E:E, NewEmisData!$A:$A, $G160, NewEmisData!$B:$B, $A160, NewEmisData!$C:$C, $H160, NewEmisData!$D:$D, BX$6)</f>
        <v>2.13040906292176</v>
      </c>
      <c r="BY160" s="1111">
        <f>SUMIFS(NewEmisData!F:F, NewEmisData!$A:$A, $G160, NewEmisData!$B:$B, $A160, NewEmisData!$C:$C, $H160, NewEmisData!$D:$D, BY$6)</f>
        <v>1.66747382008761</v>
      </c>
      <c r="BZ160" s="1111">
        <f>SUMIFS(NewEmisData!G:G, NewEmisData!$A:$A, $G160, NewEmisData!$B:$B, $A160, NewEmisData!$C:$C, $H160, NewEmisData!$D:$D, BZ$6)</f>
        <v>0.70330303970302899</v>
      </c>
      <c r="CA160" s="1111">
        <f>SUMIFS(NewEmisData!H:H, NewEmisData!$A:$A, $G160, NewEmisData!$B:$B, $A160, NewEmisData!$C:$C, $H160, NewEmisData!$D:$D, CA$6)</f>
        <v>0.53546087421873401</v>
      </c>
      <c r="CB160" s="1111">
        <f>SUMIFS(NewEmisData!I:I, NewEmisData!$A:$A, $G160, NewEmisData!$B:$B, $A160, NewEmisData!$C:$C, $H160, NewEmisData!$D:$D, CB$6)</f>
        <v>0.48025579187888601</v>
      </c>
      <c r="CC160" s="1111">
        <f>SUMIFS(NewEmisData!J:J, NewEmisData!$A:$A, $G160, NewEmisData!$B:$B, $A160, NewEmisData!$C:$C, $H160, NewEmisData!$D:$D, CC$6)</f>
        <v>0.45829574772287202</v>
      </c>
      <c r="CD160" s="1111">
        <f>SUMIFS(NewEmisData!K:K, NewEmisData!$A:$A, $G160, NewEmisData!$B:$B, $A160, NewEmisData!$C:$C, $H160, NewEmisData!$D:$D, CD$6)</f>
        <v>0.45669528314480901</v>
      </c>
      <c r="CE160" s="1111">
        <f>SUMIFS(NewEmisData!L:L, NewEmisData!$A:$A, $G160, NewEmisData!$B:$B, $A160, NewEmisData!$C:$C, $H160, NewEmisData!$D:$D, CE$6)</f>
        <v>0.45728549159308601</v>
      </c>
      <c r="CF160" s="1111">
        <f>SUMIFS(NewEmisData!M:M, NewEmisData!$A:$A, $G160, NewEmisData!$B:$B, $A160, NewEmisData!$C:$C, $H160, NewEmisData!$D:$D, CF$6)</f>
        <v>0.457470611587183</v>
      </c>
      <c r="CG160" s="1111">
        <f t="shared" si="250"/>
        <v>0.457470611587183</v>
      </c>
      <c r="CH160" s="1111">
        <f t="shared" si="251"/>
        <v>4.4380144922912999E-2</v>
      </c>
      <c r="CI160" s="1111">
        <f>SUMIFS(NewEmisData!E:E, NewEmisData!$A:$A, $G160, NewEmisData!$B:$B, $A160, NewEmisData!$C:$C, $H160, NewEmisData!$D:$D, CI$6)</f>
        <v>4.4380144922912999E-2</v>
      </c>
      <c r="CJ160" s="1111">
        <f>SUMIFS(NewEmisData!F:F, NewEmisData!$A:$A, $G160, NewEmisData!$B:$B, $A160, NewEmisData!$C:$C, $H160, NewEmisData!$D:$D, CJ$6)</f>
        <v>4.4596792152345799E-2</v>
      </c>
      <c r="CK160" s="1111">
        <f>SUMIFS(NewEmisData!G:G, NewEmisData!$A:$A, $G160, NewEmisData!$B:$B, $A160, NewEmisData!$C:$C, $H160, NewEmisData!$D:$D, CK$6)</f>
        <v>5.2215385084052102E-2</v>
      </c>
      <c r="CL160" s="1111">
        <f>SUMIFS(NewEmisData!H:H, NewEmisData!$A:$A, $G160, NewEmisData!$B:$B, $A160, NewEmisData!$C:$C, $H160, NewEmisData!$D:$D, CL$6)</f>
        <v>5.2195799002688101E-2</v>
      </c>
      <c r="CM160" s="1111">
        <f>SUMIFS(NewEmisData!I:I, NewEmisData!$A:$A, $G160, NewEmisData!$B:$B, $A160, NewEmisData!$C:$C, $H160, NewEmisData!$D:$D, CM$6)</f>
        <v>5.2195910515594697E-2</v>
      </c>
      <c r="CN160" s="1111">
        <f>SUMIFS(NewEmisData!J:J, NewEmisData!$A:$A, $G160, NewEmisData!$B:$B, $A160, NewEmisData!$C:$C, $H160, NewEmisData!$D:$D, CN$6)</f>
        <v>5.2195169525564397E-2</v>
      </c>
      <c r="CO160" s="1111">
        <f>SUMIFS(NewEmisData!K:K, NewEmisData!$A:$A, $G160, NewEmisData!$B:$B, $A160, NewEmisData!$C:$C, $H160, NewEmisData!$D:$D, CO$6)</f>
        <v>5.21950010452591E-2</v>
      </c>
      <c r="CP160" s="1111">
        <f>SUMIFS(NewEmisData!L:L, NewEmisData!$A:$A, $G160, NewEmisData!$B:$B, $A160, NewEmisData!$C:$C, $H160, NewEmisData!$D:$D, CP$6)</f>
        <v>5.2194984268704697E-2</v>
      </c>
      <c r="CQ160" s="1111">
        <f>SUMIFS(NewEmisData!M:M, NewEmisData!$A:$A, $G160, NewEmisData!$B:$B, $A160, NewEmisData!$C:$C, $H160, NewEmisData!$D:$D, CQ$6)</f>
        <v>5.2195021896544298E-2</v>
      </c>
      <c r="CR160" s="1111">
        <f t="shared" si="252"/>
        <v>5.2195021896544298E-2</v>
      </c>
      <c r="CS160" s="1111">
        <f t="shared" si="253"/>
        <v>7.6133150476987599E-2</v>
      </c>
      <c r="CT160" s="1111">
        <f>SUMIFS(NewEmisData!E:E, NewEmisData!$A:$A, $G160, NewEmisData!$B:$B, $A160, NewEmisData!$C:$C, $H160, NewEmisData!$D:$D, CT$6)</f>
        <v>7.6133150476987599E-2</v>
      </c>
      <c r="CU160" s="1111">
        <f>SUMIFS(NewEmisData!F:F, NewEmisData!$A:$A, $G160, NewEmisData!$B:$B, $A160, NewEmisData!$C:$C, $H160, NewEmisData!$D:$D, CU$6)</f>
        <v>5.1439402812130802E-2</v>
      </c>
      <c r="CV160" s="1111">
        <f>SUMIFS(NewEmisData!G:G, NewEmisData!$A:$A, $G160, NewEmisData!$B:$B, $A160, NewEmisData!$C:$C, $H160, NewEmisData!$D:$D, CV$6)</f>
        <v>3.2083061737757199E-2</v>
      </c>
      <c r="CW160" s="1111">
        <f>SUMIFS(NewEmisData!H:H, NewEmisData!$A:$A, $G160, NewEmisData!$B:$B, $A160, NewEmisData!$C:$C, $H160, NewEmisData!$D:$D, CW$6)</f>
        <v>2.1832894937405999E-2</v>
      </c>
      <c r="CX160" s="1111">
        <f>SUMIFS(NewEmisData!I:I, NewEmisData!$A:$A, $G160, NewEmisData!$B:$B, $A160, NewEmisData!$C:$C, $H160, NewEmisData!$D:$D, CX$6)</f>
        <v>1.87474521093988E-2</v>
      </c>
      <c r="CY160" s="1111">
        <f>SUMIFS(NewEmisData!J:J, NewEmisData!$A:$A, $G160, NewEmisData!$B:$B, $A160, NewEmisData!$C:$C, $H160, NewEmisData!$D:$D, CY$6)</f>
        <v>1.78599084478736E-2</v>
      </c>
      <c r="CZ160" s="1111">
        <f>SUMIFS(NewEmisData!K:K, NewEmisData!$A:$A, $G160, NewEmisData!$B:$B, $A160, NewEmisData!$C:$C, $H160, NewEmisData!$D:$D, CZ$6)</f>
        <v>1.7770003763788299E-2</v>
      </c>
      <c r="DA160" s="1111">
        <f>SUMIFS(NewEmisData!L:L, NewEmisData!$A:$A, $G160, NewEmisData!$B:$B, $A160, NewEmisData!$C:$C, $H160, NewEmisData!$D:$D, DA$6)</f>
        <v>1.7699213019639601E-2</v>
      </c>
      <c r="DB160" s="1111">
        <f>SUMIFS(NewEmisData!M:M, NewEmisData!$A:$A, $G160, NewEmisData!$B:$B, $A160, NewEmisData!$C:$C, $H160, NewEmisData!$D:$D, DB$6)</f>
        <v>1.7745127181989399E-2</v>
      </c>
      <c r="DC160" s="1111">
        <f t="shared" si="254"/>
        <v>1.7745127181989399E-2</v>
      </c>
      <c r="DD160" s="1111"/>
      <c r="DE160" s="1111"/>
      <c r="DF160" s="1111"/>
      <c r="DG160" s="1111"/>
      <c r="DH160" s="1111"/>
      <c r="DI160" s="1111"/>
      <c r="DJ160" s="1111"/>
      <c r="DK160" s="1111"/>
      <c r="DL160" s="1111"/>
      <c r="DM160" s="1111"/>
      <c r="DN160" s="1111"/>
      <c r="DO160" s="1111"/>
      <c r="DP160" s="1111"/>
      <c r="DQ160" s="1111"/>
      <c r="DR160" s="1111"/>
      <c r="DS160" s="1111"/>
      <c r="DT160" s="1111"/>
      <c r="DU160" s="1111"/>
      <c r="DV160" s="1111"/>
      <c r="DW160" s="1111"/>
      <c r="DX160" s="1111"/>
      <c r="DY160" s="1111"/>
      <c r="DZ160" s="1111">
        <f t="shared" si="255"/>
        <v>6.6239633822982896E-2</v>
      </c>
      <c r="EA160" s="1111">
        <f>SUMIFS(NewEmisData!E:E, NewEmisData!$A:$A, $G160, NewEmisData!$B:$B, $A160, NewEmisData!$C:$C, $H160, NewEmisData!$D:$D, EA$6)</f>
        <v>6.6239633822982896E-2</v>
      </c>
      <c r="EB160" s="1111">
        <f>SUMIFS(NewEmisData!F:F, NewEmisData!$A:$A, $G160, NewEmisData!$B:$B, $A160, NewEmisData!$C:$C, $H160, NewEmisData!$D:$D, EB$6)</f>
        <v>6.0237802679566702E-2</v>
      </c>
      <c r="EC160" s="1111">
        <f>SUMIFS(NewEmisData!G:G, NewEmisData!$A:$A, $G160, NewEmisData!$B:$B, $A160, NewEmisData!$C:$C, $H160, NewEmisData!$D:$D, EC$6)</f>
        <v>2.4353204424718701E-2</v>
      </c>
      <c r="ED160" s="1111">
        <f>SUMIFS(NewEmisData!H:H, NewEmisData!$A:$A, $G160, NewEmisData!$B:$B, $A160, NewEmisData!$C:$C, $H160, NewEmisData!$D:$D, ED$6)</f>
        <v>2.2100119730100499E-2</v>
      </c>
      <c r="EE160" s="1111">
        <f>SUMIFS(NewEmisData!I:I, NewEmisData!$A:$A, $G160, NewEmisData!$B:$B, $A160, NewEmisData!$C:$C, $H160, NewEmisData!$D:$D, EE$6)</f>
        <v>2.1582561219103999E-2</v>
      </c>
      <c r="EF160" s="1111">
        <f>SUMIFS(NewEmisData!J:J, NewEmisData!$A:$A, $G160, NewEmisData!$B:$B, $A160, NewEmisData!$C:$C, $H160, NewEmisData!$D:$D, EF$6)</f>
        <v>2.1614176302122898E-2</v>
      </c>
      <c r="EG160" s="1111">
        <f>SUMIFS(NewEmisData!K:K, NewEmisData!$A:$A, $G160, NewEmisData!$B:$B, $A160, NewEmisData!$C:$C, $H160, NewEmisData!$D:$D, EG$6)</f>
        <v>2.1778598474770299E-2</v>
      </c>
      <c r="EH160" s="1111">
        <f>SUMIFS(NewEmisData!L:L, NewEmisData!$A:$A, $G160, NewEmisData!$B:$B, $A160, NewEmisData!$C:$C, $H160, NewEmisData!$D:$D, EH$6)</f>
        <v>2.1823465682415499E-2</v>
      </c>
      <c r="EI160" s="1111">
        <f>SUMIFS(NewEmisData!M:M, NewEmisData!$A:$A, $G160, NewEmisData!$B:$B, $A160, NewEmisData!$C:$C, $H160, NewEmisData!$D:$D, EI$6)</f>
        <v>2.1824961400636101E-2</v>
      </c>
      <c r="EJ160" s="1111">
        <f t="shared" si="256"/>
        <v>2.1824961400636101E-2</v>
      </c>
      <c r="EK160" s="1111">
        <f t="shared" si="257"/>
        <v>1204.2704996203399</v>
      </c>
      <c r="EL160" s="1111">
        <f t="shared" ref="EL160:EL223" si="269">K160</f>
        <v>1204.2704996203399</v>
      </c>
      <c r="EM160" s="1111">
        <f t="shared" ref="EM160:EM223" si="270">L160</f>
        <v>1280.9014839137801</v>
      </c>
      <c r="EN160" s="1111">
        <f t="shared" ref="EN160:EN223" si="271">M160</f>
        <v>1309.1277572440899</v>
      </c>
      <c r="EO160" s="1111">
        <f t="shared" ref="EO160:EO223" si="272">N160</f>
        <v>1277.5848439676099</v>
      </c>
      <c r="EP160" s="1111">
        <f t="shared" ref="EP160:EP223" si="273">O160</f>
        <v>1259.05503169493</v>
      </c>
      <c r="EQ160" s="1111">
        <f t="shared" ref="EQ160:EQ223" si="274">P160</f>
        <v>1254.08723086747</v>
      </c>
      <c r="ER160" s="1111">
        <f t="shared" ref="ER160:ER223" si="275">Q160</f>
        <v>1252.90461894546</v>
      </c>
      <c r="ES160" s="1111">
        <f t="shared" ref="ES160:ES223" si="276">R160</f>
        <v>1252.7104430173399</v>
      </c>
      <c r="ET160" s="1111">
        <f t="shared" ref="ET160:ET223" si="277">S160</f>
        <v>1252.6870397442001</v>
      </c>
      <c r="EU160" s="1111">
        <f t="shared" ref="EU160:EU223" si="278">T160</f>
        <v>1252.6870397442001</v>
      </c>
      <c r="EV160" s="1111">
        <f t="shared" si="258"/>
        <v>4.3448715610080901</v>
      </c>
      <c r="EW160" s="1111">
        <f t="shared" si="259"/>
        <v>4.3448715610080901</v>
      </c>
      <c r="EX160" s="1111">
        <f t="shared" si="260"/>
        <v>2.68000771941229</v>
      </c>
      <c r="EY160" s="1111">
        <f t="shared" si="261"/>
        <v>1.2701406141530101</v>
      </c>
      <c r="EZ160" s="1111">
        <f t="shared" si="262"/>
        <v>0.89637025450783203</v>
      </c>
      <c r="FA160" s="1111">
        <f t="shared" si="263"/>
        <v>0.74230586472414295</v>
      </c>
      <c r="FB160" s="1111">
        <f t="shared" si="264"/>
        <v>0.67198096175904998</v>
      </c>
      <c r="FC160" s="1111">
        <f t="shared" si="265"/>
        <v>0.65082523068374698</v>
      </c>
      <c r="FD160" s="1111">
        <f t="shared" si="266"/>
        <v>0.64636795436825401</v>
      </c>
      <c r="FE160" s="1111">
        <f t="shared" si="267"/>
        <v>0.64488416341078902</v>
      </c>
      <c r="FF160" s="1111">
        <f t="shared" si="268"/>
        <v>0.64488416341078902</v>
      </c>
      <c r="FG160" s="1111">
        <f t="shared" si="193"/>
        <v>2.08381055217347E-2</v>
      </c>
      <c r="FH160" s="1111">
        <f t="shared" si="194"/>
        <v>2.08381055217347E-2</v>
      </c>
      <c r="FI160" s="1111">
        <f t="shared" si="195"/>
        <v>2.2164087103621902E-2</v>
      </c>
      <c r="FJ160" s="1111">
        <f t="shared" si="196"/>
        <v>1.8780122769194701E-2</v>
      </c>
      <c r="FK160" s="1111">
        <f t="shared" si="197"/>
        <v>1.8327610114874E-2</v>
      </c>
      <c r="FL160" s="1111">
        <f t="shared" si="198"/>
        <v>1.8061800865337901E-2</v>
      </c>
      <c r="FM160" s="1111">
        <f t="shared" si="199"/>
        <v>1.79905289884639E-2</v>
      </c>
      <c r="FN160" s="1111">
        <f t="shared" si="200"/>
        <v>1.7973564507445701E-2</v>
      </c>
      <c r="FO160" s="1111">
        <f t="shared" si="201"/>
        <v>1.7970784643505301E-2</v>
      </c>
      <c r="FP160" s="1111">
        <f t="shared" si="202"/>
        <v>1.7970446963254401E-2</v>
      </c>
      <c r="FQ160" s="1111">
        <f t="shared" si="203"/>
        <v>1.7970446963254401E-2</v>
      </c>
      <c r="FR160" s="1111">
        <f t="shared" si="230"/>
        <v>0.19574828311834699</v>
      </c>
      <c r="FS160" s="1111">
        <f t="shared" si="231"/>
        <v>0.19574828311834699</v>
      </c>
      <c r="FT160" s="1111">
        <f t="shared" si="232"/>
        <v>0.191259101148397</v>
      </c>
      <c r="FU160" s="1111">
        <f t="shared" si="233"/>
        <v>0.21457849181088401</v>
      </c>
      <c r="FV160" s="1111">
        <f t="shared" si="234"/>
        <v>0.215053494777702</v>
      </c>
      <c r="FW160" s="1111">
        <f t="shared" si="235"/>
        <v>0.21551298465650401</v>
      </c>
      <c r="FX160" s="1111">
        <f t="shared" si="236"/>
        <v>0.215835472913527</v>
      </c>
      <c r="FY160" s="1111">
        <f t="shared" si="237"/>
        <v>0.21602305396888299</v>
      </c>
      <c r="FZ160" s="1111">
        <f t="shared" si="238"/>
        <v>0.21608589786817001</v>
      </c>
      <c r="GA160" s="1111">
        <f t="shared" si="239"/>
        <v>0.216113244270948</v>
      </c>
      <c r="GB160" s="1111">
        <f t="shared" si="240"/>
        <v>0.216113244270948</v>
      </c>
      <c r="GC160" s="1111">
        <f t="shared" ref="GC160:GC223" si="279">BA160</f>
        <v>4.1988899098410401E-2</v>
      </c>
      <c r="GD160" s="1111">
        <f t="shared" ref="GD160:GD223" si="280">BB160</f>
        <v>4.1988899098410401E-2</v>
      </c>
      <c r="GE160" s="1111">
        <f t="shared" ref="GE160:GE223" si="281">BC160</f>
        <v>4.04221270662211E-2</v>
      </c>
      <c r="GF160" s="1111">
        <f t="shared" ref="GF160:GF223" si="282">BD160</f>
        <v>3.5246180151429399E-2</v>
      </c>
      <c r="GG160" s="1111">
        <f t="shared" ref="GG160:GG223" si="283">BE160</f>
        <v>3.4950821311789601E-2</v>
      </c>
      <c r="GH160" s="1111">
        <f t="shared" ref="GH160:GH223" si="284">BF160</f>
        <v>3.5285067945859602E-2</v>
      </c>
      <c r="GI160" s="1111">
        <f t="shared" ref="GI160:GI223" si="285">BG160</f>
        <v>3.55346528981796E-2</v>
      </c>
      <c r="GJ160" s="1111">
        <f t="shared" ref="GJ160:GJ223" si="286">BH160</f>
        <v>3.5692682330647998E-2</v>
      </c>
      <c r="GK160" s="1111">
        <f t="shared" ref="GK160:GK223" si="287">BI160</f>
        <v>3.57464219039118E-2</v>
      </c>
      <c r="GL160" s="1111">
        <f t="shared" ref="GL160:GL223" si="288">BJ160</f>
        <v>3.5770424866643502E-2</v>
      </c>
      <c r="GM160" s="1111">
        <f t="shared" ref="GM160:GM223" si="289">BK160</f>
        <v>3.5770424866643502E-2</v>
      </c>
    </row>
    <row r="161" spans="1:195" x14ac:dyDescent="0.2">
      <c r="A161" s="1071" t="s">
        <v>182</v>
      </c>
      <c r="B161" s="1071" t="str">
        <f>Technologies!C115</f>
        <v>TMGSLC</v>
      </c>
      <c r="C161" s="1071" t="str">
        <f>Technologies!D115</f>
        <v>Medium Duty Truck, Conventional Gasoline</v>
      </c>
      <c r="D161" s="1071" t="str">
        <f>NewTech!D67</f>
        <v>bn-vmt, bn-vmt/a</v>
      </c>
      <c r="E161" s="1071" t="str">
        <f>NewTech!E68</f>
        <v>TMGSL</v>
      </c>
      <c r="F161" s="1071" t="str">
        <f>NewTech!F68</f>
        <v>TM</v>
      </c>
      <c r="G161" s="1110" t="s">
        <v>503</v>
      </c>
      <c r="H161" s="1110" t="s">
        <v>500</v>
      </c>
      <c r="I161" s="1112">
        <v>1</v>
      </c>
      <c r="J161" s="1111" t="str">
        <f t="shared" si="37"/>
        <v>Medium duty-GSL</v>
      </c>
      <c r="K161" s="1111">
        <f>SUMIFS(NewEmisData!E:E, NewEmisData!$A:$A, $G161, NewEmisData!$B:$B, $A161, NewEmisData!$C:$C, $H161, NewEmisData!$D:$D, K$6)</f>
        <v>1241.60800343195</v>
      </c>
      <c r="L161" s="1111">
        <f>SUMIFS(NewEmisData!F:F, NewEmisData!$A:$A, $G161, NewEmisData!$B:$B, $A161, NewEmisData!$C:$C, $H161, NewEmisData!$D:$D, L$6)</f>
        <v>1243.08928499321</v>
      </c>
      <c r="M161" s="1111">
        <f>SUMIFS(NewEmisData!G:G, NewEmisData!$A:$A, $G161, NewEmisData!$B:$B, $A161, NewEmisData!$C:$C, $H161, NewEmisData!$D:$D, M$6)</f>
        <v>1559.7377784626201</v>
      </c>
      <c r="N161" s="1111">
        <f>SUMIFS(NewEmisData!H:H, NewEmisData!$A:$A, $G161, NewEmisData!$B:$B, $A161, NewEmisData!$C:$C, $H161, NewEmisData!$D:$D, N$6)</f>
        <v>1531.1148438857699</v>
      </c>
      <c r="O161" s="1111">
        <f>SUMIFS(NewEmisData!I:I, NewEmisData!$A:$A, $G161, NewEmisData!$B:$B, $A161, NewEmisData!$C:$C, $H161, NewEmisData!$D:$D, O$6)</f>
        <v>1508.7877657548299</v>
      </c>
      <c r="P161" s="1111">
        <f>SUMIFS(NewEmisData!J:J, NewEmisData!$A:$A, $G161, NewEmisData!$B:$B, $A161, NewEmisData!$C:$C, $H161, NewEmisData!$D:$D, P$6)</f>
        <v>1502.9671636844901</v>
      </c>
      <c r="Q161" s="1111">
        <f>SUMIFS(NewEmisData!K:K, NewEmisData!$A:$A, $G161, NewEmisData!$B:$B, $A161, NewEmisData!$C:$C, $H161, NewEmisData!$D:$D, Q$6)</f>
        <v>1501.4395842993699</v>
      </c>
      <c r="R161" s="1111">
        <f>SUMIFS(NewEmisData!L:L, NewEmisData!$A:$A, $G161, NewEmisData!$B:$B, $A161, NewEmisData!$C:$C, $H161, NewEmisData!$D:$D, R$6)</f>
        <v>1501.15044041939</v>
      </c>
      <c r="S161" s="1111">
        <f>SUMIFS(NewEmisData!M:M, NewEmisData!$A:$A, $G161, NewEmisData!$B:$B, $A161, NewEmisData!$C:$C, $H161, NewEmisData!$D:$D, S$6)</f>
        <v>1501.0860905019599</v>
      </c>
      <c r="T161" s="1111">
        <f t="shared" si="131"/>
        <v>1501.0860905019599</v>
      </c>
      <c r="U161" s="1111">
        <f>SUMIFS(NewEmisData!E:E, NewEmisData!$A:$A, $G161, NewEmisData!$B:$B, $A161, NewEmisData!$C:$C, $H161, NewEmisData!$D:$D, U$6)</f>
        <v>4.1625657526614797</v>
      </c>
      <c r="V161" s="1111">
        <f>SUMIFS(NewEmisData!F:F, NewEmisData!$A:$A, $G161, NewEmisData!$B:$B, $A161, NewEmisData!$C:$C, $H161, NewEmisData!$D:$D, V$6)</f>
        <v>2.1578815518962502</v>
      </c>
      <c r="W161" s="1111">
        <f>SUMIFS(NewEmisData!G:G, NewEmisData!$A:$A, $G161, NewEmisData!$B:$B, $A161, NewEmisData!$C:$C, $H161, NewEmisData!$D:$D, W$6)</f>
        <v>1.30274636086792</v>
      </c>
      <c r="X161" s="1111">
        <f>SUMIFS(NewEmisData!H:H, NewEmisData!$A:$A, $G161, NewEmisData!$B:$B, $A161, NewEmisData!$C:$C, $H161, NewEmisData!$D:$D, X$6)</f>
        <v>0.94297953696777803</v>
      </c>
      <c r="Y161" s="1111">
        <f>SUMIFS(NewEmisData!I:I, NewEmisData!$A:$A, $G161, NewEmisData!$B:$B, $A161, NewEmisData!$C:$C, $H161, NewEmisData!$D:$D, Y$6)</f>
        <v>0.78815258031283297</v>
      </c>
      <c r="Z161" s="1111">
        <f>SUMIFS(NewEmisData!J:J, NewEmisData!$A:$A, $G161, NewEmisData!$B:$B, $A161, NewEmisData!$C:$C, $H161, NewEmisData!$D:$D, Z$6)</f>
        <v>0.71799894873057002</v>
      </c>
      <c r="AA161" s="1111">
        <f>SUMIFS(NewEmisData!K:K, NewEmisData!$A:$A, $G161, NewEmisData!$B:$B, $A161, NewEmisData!$C:$C, $H161, NewEmisData!$D:$D, AA$6)</f>
        <v>0.69737659475245495</v>
      </c>
      <c r="AB161" s="1111">
        <f>SUMIFS(NewEmisData!L:L, NewEmisData!$A:$A, $G161, NewEmisData!$B:$B, $A161, NewEmisData!$C:$C, $H161, NewEmisData!$D:$D, AB$6)</f>
        <v>0.69289982108465797</v>
      </c>
      <c r="AC161" s="1111">
        <f>SUMIFS(NewEmisData!M:M, NewEmisData!$A:$A, $G161, NewEmisData!$B:$B, $A161, NewEmisData!$C:$C, $H161, NewEmisData!$D:$D, AC$6)</f>
        <v>0.69155412460857602</v>
      </c>
      <c r="AD161" s="1111">
        <f t="shared" si="229"/>
        <v>0.69155412460857602</v>
      </c>
      <c r="AE161" s="1111">
        <f t="shared" si="241"/>
        <v>2.1484176158971701E-2</v>
      </c>
      <c r="AF161" s="1111">
        <f>SUMIFS(NewEmisData!E:E, NewEmisData!$A:$A, $G161, NewEmisData!$B:$B, $A161, NewEmisData!$C:$C, $H161, NewEmisData!$D:$D, AF$6)</f>
        <v>2.1484176158971701E-2</v>
      </c>
      <c r="AG161" s="1111">
        <f>SUMIFS(NewEmisData!F:F, NewEmisData!$A:$A, $G161, NewEmisData!$B:$B, $A161, NewEmisData!$C:$C, $H161, NewEmisData!$D:$D, AG$6)</f>
        <v>2.1509817808633099E-2</v>
      </c>
      <c r="AH161" s="1111">
        <f>SUMIFS(NewEmisData!G:G, NewEmisData!$A:$A, $G161, NewEmisData!$B:$B, $A161, NewEmisData!$C:$C, $H161, NewEmisData!$D:$D, AH$6)</f>
        <v>2.2375249866597498E-2</v>
      </c>
      <c r="AI161" s="1111">
        <f>SUMIFS(NewEmisData!H:H, NewEmisData!$A:$A, $G161, NewEmisData!$B:$B, $A161, NewEmisData!$C:$C, $H161, NewEmisData!$D:$D, AI$6)</f>
        <v>2.1964641718838499E-2</v>
      </c>
      <c r="AJ161" s="1111">
        <f>SUMIFS(NewEmisData!I:I, NewEmisData!$A:$A, $G161, NewEmisData!$B:$B, $A161, NewEmisData!$C:$C, $H161, NewEmisData!$D:$D, AJ$6)</f>
        <v>2.1644351533378101E-2</v>
      </c>
      <c r="AK161" s="1111">
        <f>SUMIFS(NewEmisData!J:J, NewEmisData!$A:$A, $G161, NewEmisData!$B:$B, $A161, NewEmisData!$C:$C, $H161, NewEmisData!$D:$D, AK$6)</f>
        <v>2.1560851881015301E-2</v>
      </c>
      <c r="AL161" s="1111">
        <f>SUMIFS(NewEmisData!K:K, NewEmisData!$A:$A, $G161, NewEmisData!$B:$B, $A161, NewEmisData!$C:$C, $H161, NewEmisData!$D:$D, AL$6)</f>
        <v>2.1538927343366401E-2</v>
      </c>
      <c r="AM161" s="1111">
        <f>SUMIFS(NewEmisData!L:L, NewEmisData!$A:$A, $G161, NewEmisData!$B:$B, $A161, NewEmisData!$C:$C, $H161, NewEmisData!$D:$D, AM$6)</f>
        <v>2.1534775827773901E-2</v>
      </c>
      <c r="AN161" s="1111">
        <f>SUMIFS(NewEmisData!M:M, NewEmisData!$A:$A, $G161, NewEmisData!$B:$B, $A161, NewEmisData!$C:$C, $H161, NewEmisData!$D:$D, AN$6)</f>
        <v>2.15338577914834E-2</v>
      </c>
      <c r="AO161" s="1111">
        <f t="shared" si="242"/>
        <v>2.15338577914834E-2</v>
      </c>
      <c r="AP161" s="1111">
        <f t="shared" si="243"/>
        <v>0.205584171442245</v>
      </c>
      <c r="AQ161" s="1111">
        <f>SUMIFS(NewEmisData!E:E, NewEmisData!$A:$A, $G161, NewEmisData!$B:$B, $A161, NewEmisData!$C:$C, $H161, NewEmisData!$D:$D, AQ$6)</f>
        <v>0.205584171442245</v>
      </c>
      <c r="AR161" s="1111">
        <f>SUMIFS(NewEmisData!F:F, NewEmisData!$A:$A, $G161, NewEmisData!$B:$B, $A161, NewEmisData!$C:$C, $H161, NewEmisData!$D:$D, AR$6)</f>
        <v>0.200703686535146</v>
      </c>
      <c r="AS161" s="1111">
        <f>SUMIFS(NewEmisData!G:G, NewEmisData!$A:$A, $G161, NewEmisData!$B:$B, $A161, NewEmisData!$C:$C, $H161, NewEmisData!$D:$D, AS$6)</f>
        <v>0.298432150084874</v>
      </c>
      <c r="AT161" s="1111">
        <f>SUMIFS(NewEmisData!H:H, NewEmisData!$A:$A, $G161, NewEmisData!$B:$B, $A161, NewEmisData!$C:$C, $H161, NewEmisData!$D:$D, AT$6)</f>
        <v>0.29892439751761801</v>
      </c>
      <c r="AU161" s="1111">
        <f>SUMIFS(NewEmisData!I:I, NewEmisData!$A:$A, $G161, NewEmisData!$B:$B, $A161, NewEmisData!$C:$C, $H161, NewEmisData!$D:$D, AU$6)</f>
        <v>0.29942291421429901</v>
      </c>
      <c r="AV161" s="1111">
        <f>SUMIFS(NewEmisData!J:J, NewEmisData!$A:$A, $G161, NewEmisData!$B:$B, $A161, NewEmisData!$C:$C, $H161, NewEmisData!$D:$D, AV$6)</f>
        <v>0.29972619462258399</v>
      </c>
      <c r="AW161" s="1111">
        <f>SUMIFS(NewEmisData!K:K, NewEmisData!$A:$A, $G161, NewEmisData!$B:$B, $A161, NewEmisData!$C:$C, $H161, NewEmisData!$D:$D, AW$6)</f>
        <v>0.29988559432946199</v>
      </c>
      <c r="AX161" s="1111">
        <f>SUMIFS(NewEmisData!L:L, NewEmisData!$A:$A, $G161, NewEmisData!$B:$B, $A161, NewEmisData!$C:$C, $H161, NewEmisData!$D:$D, AX$6)</f>
        <v>0.29993582308119998</v>
      </c>
      <c r="AY161" s="1111">
        <f>SUMIFS(NewEmisData!M:M, NewEmisData!$A:$A, $G161, NewEmisData!$B:$B, $A161, NewEmisData!$C:$C, $H161, NewEmisData!$D:$D, AY$6)</f>
        <v>0.299955436334361</v>
      </c>
      <c r="AZ161" s="1111">
        <f t="shared" si="244"/>
        <v>0.299955436334361</v>
      </c>
      <c r="BA161" s="1111">
        <f t="shared" si="245"/>
        <v>3.9334690996451198E-2</v>
      </c>
      <c r="BB161" s="1111">
        <f>SUMIFS(NewEmisData!E:E, NewEmisData!$A:$A, $G161, NewEmisData!$B:$B, $A161, NewEmisData!$C:$C, $H161, NewEmisData!$D:$D, BB$6)</f>
        <v>3.9334690996451198E-2</v>
      </c>
      <c r="BC161" s="1111">
        <f>SUMIFS(NewEmisData!F:F, NewEmisData!$A:$A, $G161, NewEmisData!$B:$B, $A161, NewEmisData!$C:$C, $H161, NewEmisData!$D:$D, BC$6)</f>
        <v>3.4631534960308699E-2</v>
      </c>
      <c r="BD161" s="1111">
        <f>SUMIFS(NewEmisData!G:G, NewEmisData!$A:$A, $G161, NewEmisData!$B:$B, $A161, NewEmisData!$C:$C, $H161, NewEmisData!$D:$D, BD$6)</f>
        <v>4.5448906099466301E-2</v>
      </c>
      <c r="BE161" s="1111">
        <f>SUMIFS(NewEmisData!H:H, NewEmisData!$A:$A, $G161, NewEmisData!$B:$B, $A161, NewEmisData!$C:$C, $H161, NewEmisData!$D:$D, BE$6)</f>
        <v>4.5413592229635001E-2</v>
      </c>
      <c r="BF161" s="1111">
        <f>SUMIFS(NewEmisData!I:I, NewEmisData!$A:$A, $G161, NewEmisData!$B:$B, $A161, NewEmisData!$C:$C, $H161, NewEmisData!$D:$D, BF$6)</f>
        <v>4.5762266359602698E-2</v>
      </c>
      <c r="BG161" s="1111">
        <f>SUMIFS(NewEmisData!J:J, NewEmisData!$A:$A, $G161, NewEmisData!$B:$B, $A161, NewEmisData!$C:$C, $H161, NewEmisData!$D:$D, BG$6)</f>
        <v>4.6004282113656897E-2</v>
      </c>
      <c r="BH161" s="1111">
        <f>SUMIFS(NewEmisData!K:K, NewEmisData!$A:$A, $G161, NewEmisData!$B:$B, $A161, NewEmisData!$C:$C, $H161, NewEmisData!$D:$D, BH$6)</f>
        <v>4.6139436899626303E-2</v>
      </c>
      <c r="BI161" s="1111">
        <f>SUMIFS(NewEmisData!L:L, NewEmisData!$A:$A, $G161, NewEmisData!$B:$B, $A161, NewEmisData!$C:$C, $H161, NewEmisData!$D:$D, BI$6)</f>
        <v>4.6182051454262997E-2</v>
      </c>
      <c r="BJ161" s="1111">
        <f>SUMIFS(NewEmisData!M:M, NewEmisData!$A:$A, $G161, NewEmisData!$B:$B, $A161, NewEmisData!$C:$C, $H161, NewEmisData!$D:$D, BJ$6)</f>
        <v>4.6199279391049702E-2</v>
      </c>
      <c r="BK161" s="1111">
        <f t="shared" si="246"/>
        <v>4.6199279391049702E-2</v>
      </c>
      <c r="BL161" s="1111">
        <f t="shared" si="247"/>
        <v>35.379082211376598</v>
      </c>
      <c r="BM161" s="1111">
        <f>SUMIFS(NewEmisData!E:E, NewEmisData!$A:$A, $G161, NewEmisData!$B:$B, $A161, NewEmisData!$C:$C, $H161, NewEmisData!$D:$D, BM$6)</f>
        <v>35.379082211376598</v>
      </c>
      <c r="BN161" s="1111">
        <f>SUMIFS(NewEmisData!F:F, NewEmisData!$A:$A, $G161, NewEmisData!$B:$B, $A161, NewEmisData!$C:$C, $H161, NewEmisData!$D:$D, BN$6)</f>
        <v>20.9802918509032</v>
      </c>
      <c r="BO161" s="1111">
        <f>SUMIFS(NewEmisData!G:G, NewEmisData!$A:$A, $G161, NewEmisData!$B:$B, $A161, NewEmisData!$C:$C, $H161, NewEmisData!$D:$D, BO$6)</f>
        <v>14.8071744303823</v>
      </c>
      <c r="BP161" s="1111">
        <f>SUMIFS(NewEmisData!H:H, NewEmisData!$A:$A, $G161, NewEmisData!$B:$B, $A161, NewEmisData!$C:$C, $H161, NewEmisData!$D:$D, BP$6)</f>
        <v>12.7817736031308</v>
      </c>
      <c r="BQ161" s="1111">
        <f>SUMIFS(NewEmisData!I:I, NewEmisData!$A:$A, $G161, NewEmisData!$B:$B, $A161, NewEmisData!$C:$C, $H161, NewEmisData!$D:$D, BQ$6)</f>
        <v>12.249879427369301</v>
      </c>
      <c r="BR161" s="1111">
        <f>SUMIFS(NewEmisData!J:J, NewEmisData!$A:$A, $G161, NewEmisData!$B:$B, $A161, NewEmisData!$C:$C, $H161, NewEmisData!$D:$D, BR$6)</f>
        <v>12.1493449959291</v>
      </c>
      <c r="BS161" s="1111">
        <f>SUMIFS(NewEmisData!K:K, NewEmisData!$A:$A, $G161, NewEmisData!$B:$B, $A161, NewEmisData!$C:$C, $H161, NewEmisData!$D:$D, BS$6)</f>
        <v>12.229795867911401</v>
      </c>
      <c r="BT161" s="1111">
        <f>SUMIFS(NewEmisData!L:L, NewEmisData!$A:$A, $G161, NewEmisData!$B:$B, $A161, NewEmisData!$C:$C, $H161, NewEmisData!$D:$D, BT$6)</f>
        <v>12.2882488120452</v>
      </c>
      <c r="BU161" s="1111">
        <f>SUMIFS(NewEmisData!M:M, NewEmisData!$A:$A, $G161, NewEmisData!$B:$B, $A161, NewEmisData!$C:$C, $H161, NewEmisData!$D:$D, BU$6)</f>
        <v>12.321950956593</v>
      </c>
      <c r="BV161" s="1111">
        <f t="shared" si="248"/>
        <v>12.321950956593</v>
      </c>
      <c r="BW161" s="1111">
        <f t="shared" si="249"/>
        <v>1.87362575135703</v>
      </c>
      <c r="BX161" s="1111">
        <f>SUMIFS(NewEmisData!E:E, NewEmisData!$A:$A, $G161, NewEmisData!$B:$B, $A161, NewEmisData!$C:$C, $H161, NewEmisData!$D:$D, BX$6)</f>
        <v>1.87362575135703</v>
      </c>
      <c r="BY161" s="1111">
        <f>SUMIFS(NewEmisData!F:F, NewEmisData!$A:$A, $G161, NewEmisData!$B:$B, $A161, NewEmisData!$C:$C, $H161, NewEmisData!$D:$D, BY$6)</f>
        <v>1.0527291712428299</v>
      </c>
      <c r="BZ161" s="1111">
        <f>SUMIFS(NewEmisData!G:G, NewEmisData!$A:$A, $G161, NewEmisData!$B:$B, $A161, NewEmisData!$C:$C, $H161, NewEmisData!$D:$D, BZ$6)</f>
        <v>0.690616026658735</v>
      </c>
      <c r="CA161" s="1111">
        <f>SUMIFS(NewEmisData!H:H, NewEmisData!$A:$A, $G161, NewEmisData!$B:$B, $A161, NewEmisData!$C:$C, $H161, NewEmisData!$D:$D, CA$6)</f>
        <v>0.54311164322371697</v>
      </c>
      <c r="CB161" s="1111">
        <f>SUMIFS(NewEmisData!I:I, NewEmisData!$A:$A, $G161, NewEmisData!$B:$B, $A161, NewEmisData!$C:$C, $H161, NewEmisData!$D:$D, CB$6)</f>
        <v>0.48887057427966502</v>
      </c>
      <c r="CC161" s="1111">
        <f>SUMIFS(NewEmisData!J:J, NewEmisData!$A:$A, $G161, NewEmisData!$B:$B, $A161, NewEmisData!$C:$C, $H161, NewEmisData!$D:$D, CC$6)</f>
        <v>0.46684418132935501</v>
      </c>
      <c r="CD161" s="1111">
        <f>SUMIFS(NewEmisData!K:K, NewEmisData!$A:$A, $G161, NewEmisData!$B:$B, $A161, NewEmisData!$C:$C, $H161, NewEmisData!$D:$D, CD$6)</f>
        <v>0.46389956383150999</v>
      </c>
      <c r="CE161" s="1111">
        <f>SUMIFS(NewEmisData!L:L, NewEmisData!$A:$A, $G161, NewEmisData!$B:$B, $A161, NewEmisData!$C:$C, $H161, NewEmisData!$D:$D, CE$6)</f>
        <v>0.46392493269586499</v>
      </c>
      <c r="CF161" s="1111">
        <f>SUMIFS(NewEmisData!M:M, NewEmisData!$A:$A, $G161, NewEmisData!$B:$B, $A161, NewEmisData!$C:$C, $H161, NewEmisData!$D:$D, CF$6)</f>
        <v>0.46396365606422402</v>
      </c>
      <c r="CG161" s="1111">
        <f t="shared" si="250"/>
        <v>0.46396365606422402</v>
      </c>
      <c r="CH161" s="1111">
        <f t="shared" si="251"/>
        <v>4.5385046654151703E-2</v>
      </c>
      <c r="CI161" s="1111">
        <f>SUMIFS(NewEmisData!E:E, NewEmisData!$A:$A, $G161, NewEmisData!$B:$B, $A161, NewEmisData!$C:$C, $H161, NewEmisData!$D:$D, CI$6)</f>
        <v>4.5385046654151703E-2</v>
      </c>
      <c r="CJ161" s="1111">
        <f>SUMIFS(NewEmisData!F:F, NewEmisData!$A:$A, $G161, NewEmisData!$B:$B, $A161, NewEmisData!$C:$C, $H161, NewEmisData!$D:$D, CJ$6)</f>
        <v>4.5393164724417102E-2</v>
      </c>
      <c r="CK161" s="1111">
        <f>SUMIFS(NewEmisData!G:G, NewEmisData!$A:$A, $G161, NewEmisData!$B:$B, $A161, NewEmisData!$C:$C, $H161, NewEmisData!$D:$D, CK$6)</f>
        <v>6.2513239349190994E-2</v>
      </c>
      <c r="CL161" s="1111">
        <f>SUMIFS(NewEmisData!H:H, NewEmisData!$A:$A, $G161, NewEmisData!$B:$B, $A161, NewEmisData!$C:$C, $H161, NewEmisData!$D:$D, CL$6)</f>
        <v>6.2512411846424906E-2</v>
      </c>
      <c r="CM161" s="1111">
        <f>SUMIFS(NewEmisData!I:I, NewEmisData!$A:$A, $G161, NewEmisData!$B:$B, $A161, NewEmisData!$C:$C, $H161, NewEmisData!$D:$D, CM$6)</f>
        <v>6.2512421474567897E-2</v>
      </c>
      <c r="CN161" s="1111">
        <f>SUMIFS(NewEmisData!J:J, NewEmisData!$A:$A, $G161, NewEmisData!$B:$B, $A161, NewEmisData!$C:$C, $H161, NewEmisData!$D:$D, CN$6)</f>
        <v>6.2512452306065502E-2</v>
      </c>
      <c r="CO161" s="1111">
        <f>SUMIFS(NewEmisData!K:K, NewEmisData!$A:$A, $G161, NewEmisData!$B:$B, $A161, NewEmisData!$C:$C, $H161, NewEmisData!$D:$D, CO$6)</f>
        <v>6.2512380916104907E-2</v>
      </c>
      <c r="CP161" s="1111">
        <f>SUMIFS(NewEmisData!L:L, NewEmisData!$A:$A, $G161, NewEmisData!$B:$B, $A161, NewEmisData!$C:$C, $H161, NewEmisData!$D:$D, CP$6)</f>
        <v>6.2512436309679606E-2</v>
      </c>
      <c r="CQ161" s="1111">
        <f>SUMIFS(NewEmisData!M:M, NewEmisData!$A:$A, $G161, NewEmisData!$B:$B, $A161, NewEmisData!$C:$C, $H161, NewEmisData!$D:$D, CQ$6)</f>
        <v>6.2512445317614407E-2</v>
      </c>
      <c r="CR161" s="1111">
        <f t="shared" si="252"/>
        <v>6.2512445317614407E-2</v>
      </c>
      <c r="CS161" s="1111">
        <f t="shared" si="253"/>
        <v>6.7564687236939897E-2</v>
      </c>
      <c r="CT161" s="1111">
        <f>SUMIFS(NewEmisData!E:E, NewEmisData!$A:$A, $G161, NewEmisData!$B:$B, $A161, NewEmisData!$C:$C, $H161, NewEmisData!$D:$D, CT$6)</f>
        <v>6.7564687236939897E-2</v>
      </c>
      <c r="CU161" s="1111">
        <f>SUMIFS(NewEmisData!F:F, NewEmisData!$A:$A, $G161, NewEmisData!$B:$B, $A161, NewEmisData!$C:$C, $H161, NewEmisData!$D:$D, CU$6)</f>
        <v>3.8153498607861998E-2</v>
      </c>
      <c r="CV161" s="1111">
        <f>SUMIFS(NewEmisData!G:G, NewEmisData!$A:$A, $G161, NewEmisData!$B:$B, $A161, NewEmisData!$C:$C, $H161, NewEmisData!$D:$D, CV$6)</f>
        <v>2.81821158126641E-2</v>
      </c>
      <c r="CW161" s="1111">
        <f>SUMIFS(NewEmisData!H:H, NewEmisData!$A:$A, $G161, NewEmisData!$B:$B, $A161, NewEmisData!$C:$C, $H161, NewEmisData!$D:$D, CW$6)</f>
        <v>1.9443003989977701E-2</v>
      </c>
      <c r="CX161" s="1111">
        <f>SUMIFS(NewEmisData!I:I, NewEmisData!$A:$A, $G161, NewEmisData!$B:$B, $A161, NewEmisData!$C:$C, $H161, NewEmisData!$D:$D, CX$6)</f>
        <v>1.7080157869544602E-2</v>
      </c>
      <c r="CY161" s="1111">
        <f>SUMIFS(NewEmisData!J:J, NewEmisData!$A:$A, $G161, NewEmisData!$B:$B, $A161, NewEmisData!$C:$C, $H161, NewEmisData!$D:$D, CY$6)</f>
        <v>1.6424318186297401E-2</v>
      </c>
      <c r="CZ161" s="1111">
        <f>SUMIFS(NewEmisData!K:K, NewEmisData!$A:$A, $G161, NewEmisData!$B:$B, $A161, NewEmisData!$C:$C, $H161, NewEmisData!$D:$D, CZ$6)</f>
        <v>1.63466414048998E-2</v>
      </c>
      <c r="DA161" s="1111">
        <f>SUMIFS(NewEmisData!L:L, NewEmisData!$A:$A, $G161, NewEmisData!$B:$B, $A161, NewEmisData!$C:$C, $H161, NewEmisData!$D:$D, DA$6)</f>
        <v>1.6299016097018101E-2</v>
      </c>
      <c r="DB161" s="1111">
        <f>SUMIFS(NewEmisData!M:M, NewEmisData!$A:$A, $G161, NewEmisData!$B:$B, $A161, NewEmisData!$C:$C, $H161, NewEmisData!$D:$D, DB$6)</f>
        <v>1.6325096857781201E-2</v>
      </c>
      <c r="DC161" s="1111">
        <f t="shared" si="254"/>
        <v>1.6325096857781201E-2</v>
      </c>
      <c r="DD161" s="1111">
        <v>8.4892895966475739E-3</v>
      </c>
      <c r="DE161" s="1111">
        <v>5.6212986616763754E-3</v>
      </c>
      <c r="DF161" s="1111">
        <v>3.3463487561708246E-3</v>
      </c>
      <c r="DG161" s="1111">
        <v>2.7660430299124659E-3</v>
      </c>
      <c r="DH161" s="1111">
        <v>2.682529091392567E-3</v>
      </c>
      <c r="DI161" s="1111">
        <v>2.703528873173607E-3</v>
      </c>
      <c r="DJ161" s="1111">
        <v>2.7128611055472259E-3</v>
      </c>
      <c r="DK161" s="1111">
        <v>2.7072751179577333E-3</v>
      </c>
      <c r="DL161" s="1111">
        <v>2.7166296978826691E-3</v>
      </c>
      <c r="DM161" s="1111">
        <v>2.7267399324404202E-3</v>
      </c>
      <c r="DN161" s="1111">
        <v>2.7267399324404202E-3</v>
      </c>
      <c r="DO161" s="1111">
        <v>2.7529093789717789E-2</v>
      </c>
      <c r="DP161" s="1111">
        <v>1.8547410667972192E-2</v>
      </c>
      <c r="DQ161" s="1111">
        <v>1.0623092960258752E-2</v>
      </c>
      <c r="DR161" s="1111">
        <v>8.2487146441313514E-3</v>
      </c>
      <c r="DS161" s="1111">
        <v>8.1824854069421117E-3</v>
      </c>
      <c r="DT161" s="1111">
        <v>8.1902625366083396E-3</v>
      </c>
      <c r="DU161" s="1111">
        <v>8.1985958492518836E-3</v>
      </c>
      <c r="DV161" s="1111">
        <v>8.1775758900627226E-3</v>
      </c>
      <c r="DW161" s="1111">
        <v>8.1943266682995095E-3</v>
      </c>
      <c r="DX161" s="1111">
        <v>8.2124081867554939E-3</v>
      </c>
      <c r="DY161" s="1111">
        <v>8.2124081867554939E-3</v>
      </c>
      <c r="DZ161" s="1111">
        <f t="shared" si="255"/>
        <v>5.0339270700679999E-2</v>
      </c>
      <c r="EA161" s="1111">
        <f>SUMIFS(NewEmisData!E:E, NewEmisData!$A:$A, $G161, NewEmisData!$B:$B, $A161, NewEmisData!$C:$C, $H161, NewEmisData!$D:$D, EA$6)</f>
        <v>5.0339270700679999E-2</v>
      </c>
      <c r="EB161" s="1111">
        <f>SUMIFS(NewEmisData!F:F, NewEmisData!$A:$A, $G161, NewEmisData!$B:$B, $A161, NewEmisData!$C:$C, $H161, NewEmisData!$D:$D, EB$6)</f>
        <v>2.98546172534019E-2</v>
      </c>
      <c r="EC161" s="1111">
        <f>SUMIFS(NewEmisData!G:G, NewEmisData!$A:$A, $G161, NewEmisData!$B:$B, $A161, NewEmisData!$C:$C, $H161, NewEmisData!$D:$D, EC$6)</f>
        <v>1.7913674894860999E-2</v>
      </c>
      <c r="ED161" s="1111">
        <f>SUMIFS(NewEmisData!H:H, NewEmisData!$A:$A, $G161, NewEmisData!$B:$B, $A161, NewEmisData!$C:$C, $H161, NewEmisData!$D:$D, ED$6)</f>
        <v>1.54314271118329E-2</v>
      </c>
      <c r="EE161" s="1111">
        <f>SUMIFS(NewEmisData!I:I, NewEmisData!$A:$A, $G161, NewEmisData!$B:$B, $A161, NewEmisData!$C:$C, $H161, NewEmisData!$D:$D, EE$6)</f>
        <v>1.4729599669098301E-2</v>
      </c>
      <c r="EF161" s="1111">
        <f>SUMIFS(NewEmisData!J:J, NewEmisData!$A:$A, $G161, NewEmisData!$B:$B, $A161, NewEmisData!$C:$C, $H161, NewEmisData!$D:$D, EF$6)</f>
        <v>1.46060589575112E-2</v>
      </c>
      <c r="EG161" s="1111">
        <f>SUMIFS(NewEmisData!K:K, NewEmisData!$A:$A, $G161, NewEmisData!$B:$B, $A161, NewEmisData!$C:$C, $H161, NewEmisData!$D:$D, EG$6)</f>
        <v>1.4662699121929501E-2</v>
      </c>
      <c r="EH161" s="1111">
        <f>SUMIFS(NewEmisData!L:L, NewEmisData!$A:$A, $G161, NewEmisData!$B:$B, $A161, NewEmisData!$C:$C, $H161, NewEmisData!$D:$D, EH$6)</f>
        <v>1.46806856975942E-2</v>
      </c>
      <c r="EI161" s="1111">
        <f>SUMIFS(NewEmisData!M:M, NewEmisData!$A:$A, $G161, NewEmisData!$B:$B, $A161, NewEmisData!$C:$C, $H161, NewEmisData!$D:$D, EI$6)</f>
        <v>1.4680172285676999E-2</v>
      </c>
      <c r="EJ161" s="1111">
        <f t="shared" si="256"/>
        <v>1.4680172285676999E-2</v>
      </c>
      <c r="EK161" s="1111">
        <f t="shared" si="257"/>
        <v>1241.60800343195</v>
      </c>
      <c r="EL161" s="1111">
        <f t="shared" si="269"/>
        <v>1241.60800343195</v>
      </c>
      <c r="EM161" s="1111">
        <f t="shared" si="270"/>
        <v>1243.08928499321</v>
      </c>
      <c r="EN161" s="1111">
        <f t="shared" si="271"/>
        <v>1559.7377784626201</v>
      </c>
      <c r="EO161" s="1111">
        <f t="shared" si="272"/>
        <v>1531.1148438857699</v>
      </c>
      <c r="EP161" s="1111">
        <f t="shared" si="273"/>
        <v>1508.7877657548299</v>
      </c>
      <c r="EQ161" s="1111">
        <f t="shared" si="274"/>
        <v>1502.9671636844901</v>
      </c>
      <c r="ER161" s="1111">
        <f t="shared" si="275"/>
        <v>1501.4395842993699</v>
      </c>
      <c r="ES161" s="1111">
        <f t="shared" si="276"/>
        <v>1501.15044041939</v>
      </c>
      <c r="ET161" s="1111">
        <f t="shared" si="277"/>
        <v>1501.0860905019599</v>
      </c>
      <c r="EU161" s="1111">
        <f t="shared" si="278"/>
        <v>1501.0860905019599</v>
      </c>
      <c r="EV161" s="1111">
        <f t="shared" si="258"/>
        <v>4.1625657526614797</v>
      </c>
      <c r="EW161" s="1111">
        <f t="shared" si="259"/>
        <v>4.1625657526614797</v>
      </c>
      <c r="EX161" s="1111">
        <f t="shared" si="260"/>
        <v>2.1578815518962502</v>
      </c>
      <c r="EY161" s="1111">
        <f t="shared" si="261"/>
        <v>1.30274636086792</v>
      </c>
      <c r="EZ161" s="1111">
        <f t="shared" si="262"/>
        <v>0.94297953696777803</v>
      </c>
      <c r="FA161" s="1111">
        <f t="shared" si="263"/>
        <v>0.78815258031283297</v>
      </c>
      <c r="FB161" s="1111">
        <f t="shared" si="264"/>
        <v>0.71799894873057002</v>
      </c>
      <c r="FC161" s="1111">
        <f t="shared" si="265"/>
        <v>0.69737659475245495</v>
      </c>
      <c r="FD161" s="1111">
        <f t="shared" si="266"/>
        <v>0.69289982108465797</v>
      </c>
      <c r="FE161" s="1111">
        <f t="shared" si="267"/>
        <v>0.69155412460857602</v>
      </c>
      <c r="FF161" s="1111">
        <f t="shared" si="268"/>
        <v>0.69155412460857602</v>
      </c>
      <c r="FG161" s="1111">
        <f t="shared" si="193"/>
        <v>2.1484176158971701E-2</v>
      </c>
      <c r="FH161" s="1111">
        <f t="shared" si="194"/>
        <v>2.1484176158971701E-2</v>
      </c>
      <c r="FI161" s="1111">
        <f t="shared" si="195"/>
        <v>2.1509817808633099E-2</v>
      </c>
      <c r="FJ161" s="1111">
        <f t="shared" si="196"/>
        <v>2.2375249866597498E-2</v>
      </c>
      <c r="FK161" s="1111">
        <f t="shared" si="197"/>
        <v>2.1964641718838499E-2</v>
      </c>
      <c r="FL161" s="1111">
        <f t="shared" si="198"/>
        <v>2.1644351533378101E-2</v>
      </c>
      <c r="FM161" s="1111">
        <f t="shared" si="199"/>
        <v>2.1560851881015301E-2</v>
      </c>
      <c r="FN161" s="1111">
        <f t="shared" si="200"/>
        <v>2.1538927343366401E-2</v>
      </c>
      <c r="FO161" s="1111">
        <f t="shared" si="201"/>
        <v>2.1534775827773901E-2</v>
      </c>
      <c r="FP161" s="1111">
        <f t="shared" si="202"/>
        <v>2.15338577914834E-2</v>
      </c>
      <c r="FQ161" s="1111">
        <f t="shared" si="203"/>
        <v>2.15338577914834E-2</v>
      </c>
      <c r="FR161" s="1111">
        <f t="shared" si="230"/>
        <v>0.205584171442245</v>
      </c>
      <c r="FS161" s="1111">
        <f t="shared" si="231"/>
        <v>0.205584171442245</v>
      </c>
      <c r="FT161" s="1111">
        <f t="shared" si="232"/>
        <v>0.200703686535146</v>
      </c>
      <c r="FU161" s="1111">
        <f t="shared" si="233"/>
        <v>0.298432150084874</v>
      </c>
      <c r="FV161" s="1111">
        <f t="shared" si="234"/>
        <v>0.29892439751761801</v>
      </c>
      <c r="FW161" s="1111">
        <f t="shared" si="235"/>
        <v>0.29942291421429901</v>
      </c>
      <c r="FX161" s="1111">
        <f t="shared" si="236"/>
        <v>0.29972619462258399</v>
      </c>
      <c r="FY161" s="1111">
        <f t="shared" si="237"/>
        <v>0.29988559432946199</v>
      </c>
      <c r="FZ161" s="1111">
        <f t="shared" si="238"/>
        <v>0.29993582308119998</v>
      </c>
      <c r="GA161" s="1111">
        <f t="shared" si="239"/>
        <v>0.299955436334361</v>
      </c>
      <c r="GB161" s="1111">
        <f t="shared" si="240"/>
        <v>0.299955436334361</v>
      </c>
      <c r="GC161" s="1111">
        <f t="shared" si="279"/>
        <v>3.9334690996451198E-2</v>
      </c>
      <c r="GD161" s="1111">
        <f t="shared" si="280"/>
        <v>3.9334690996451198E-2</v>
      </c>
      <c r="GE161" s="1111">
        <f t="shared" si="281"/>
        <v>3.4631534960308699E-2</v>
      </c>
      <c r="GF161" s="1111">
        <f t="shared" si="282"/>
        <v>4.5448906099466301E-2</v>
      </c>
      <c r="GG161" s="1111">
        <f t="shared" si="283"/>
        <v>4.5413592229635001E-2</v>
      </c>
      <c r="GH161" s="1111">
        <f t="shared" si="284"/>
        <v>4.5762266359602698E-2</v>
      </c>
      <c r="GI161" s="1111">
        <f t="shared" si="285"/>
        <v>4.6004282113656897E-2</v>
      </c>
      <c r="GJ161" s="1111">
        <f t="shared" si="286"/>
        <v>4.6139436899626303E-2</v>
      </c>
      <c r="GK161" s="1111">
        <f t="shared" si="287"/>
        <v>4.6182051454262997E-2</v>
      </c>
      <c r="GL161" s="1111">
        <f t="shared" si="288"/>
        <v>4.6199279391049702E-2</v>
      </c>
      <c r="GM161" s="1111">
        <f t="shared" si="289"/>
        <v>4.6199279391049702E-2</v>
      </c>
    </row>
    <row r="162" spans="1:195" x14ac:dyDescent="0.2">
      <c r="A162" s="1071" t="s">
        <v>184</v>
      </c>
      <c r="B162" s="1071" t="str">
        <f>Technologies!C115</f>
        <v>TMGSLC</v>
      </c>
      <c r="C162" s="1071" t="str">
        <f>Technologies!D115</f>
        <v>Medium Duty Truck, Conventional Gasoline</v>
      </c>
      <c r="D162" s="1071" t="str">
        <f>NewTech!D67</f>
        <v>bn-vmt, bn-vmt/a</v>
      </c>
      <c r="E162" s="1071" t="str">
        <f>NewTech!E68</f>
        <v>TMGSL</v>
      </c>
      <c r="F162" s="1071" t="str">
        <f>NewTech!F68</f>
        <v>TM</v>
      </c>
      <c r="G162" s="1110" t="s">
        <v>503</v>
      </c>
      <c r="H162" s="1110" t="s">
        <v>500</v>
      </c>
      <c r="I162" s="1112">
        <v>1</v>
      </c>
      <c r="J162" s="1111" t="str">
        <f t="shared" si="37"/>
        <v>Medium duty-GSL</v>
      </c>
      <c r="K162" s="1111">
        <f>SUMIFS(NewEmisData!E:E, NewEmisData!$A:$A, $G162, NewEmisData!$B:$B, $A162, NewEmisData!$C:$C, $H162, NewEmisData!$D:$D, K$6)</f>
        <v>1125.6531994791601</v>
      </c>
      <c r="L162" s="1111">
        <f>SUMIFS(NewEmisData!F:F, NewEmisData!$A:$A, $G162, NewEmisData!$B:$B, $A162, NewEmisData!$C:$C, $H162, NewEmisData!$D:$D, L$6)</f>
        <v>1129.51230354672</v>
      </c>
      <c r="M162" s="1111">
        <f>SUMIFS(NewEmisData!G:G, NewEmisData!$A:$A, $G162, NewEmisData!$B:$B, $A162, NewEmisData!$C:$C, $H162, NewEmisData!$D:$D, M$6)</f>
        <v>1334.28865010909</v>
      </c>
      <c r="N162" s="1111">
        <f>SUMIFS(NewEmisData!H:H, NewEmisData!$A:$A, $G162, NewEmisData!$B:$B, $A162, NewEmisData!$C:$C, $H162, NewEmisData!$D:$D, N$6)</f>
        <v>1309.4477161980601</v>
      </c>
      <c r="O162" s="1111">
        <f>SUMIFS(NewEmisData!I:I, NewEmisData!$A:$A, $G162, NewEmisData!$B:$B, $A162, NewEmisData!$C:$C, $H162, NewEmisData!$D:$D, O$6)</f>
        <v>1290.2789800169201</v>
      </c>
      <c r="P162" s="1111">
        <f>SUMIFS(NewEmisData!J:J, NewEmisData!$A:$A, $G162, NewEmisData!$B:$B, $A162, NewEmisData!$C:$C, $H162, NewEmisData!$D:$D, P$6)</f>
        <v>1285.24459420581</v>
      </c>
      <c r="Q162" s="1111">
        <f>SUMIFS(NewEmisData!K:K, NewEmisData!$A:$A, $G162, NewEmisData!$B:$B, $A162, NewEmisData!$C:$C, $H162, NewEmisData!$D:$D, Q$6)</f>
        <v>1283.9086141387199</v>
      </c>
      <c r="R162" s="1111">
        <f>SUMIFS(NewEmisData!L:L, NewEmisData!$A:$A, $G162, NewEmisData!$B:$B, $A162, NewEmisData!$C:$C, $H162, NewEmisData!$D:$D, R$6)</f>
        <v>1283.64917953798</v>
      </c>
      <c r="S162" s="1111">
        <f>SUMIFS(NewEmisData!M:M, NewEmisData!$A:$A, $G162, NewEmisData!$B:$B, $A162, NewEmisData!$C:$C, $H162, NewEmisData!$D:$D, S$6)</f>
        <v>1283.5882413572699</v>
      </c>
      <c r="T162" s="1111">
        <f t="shared" si="131"/>
        <v>1283.5882413572699</v>
      </c>
      <c r="U162" s="1111">
        <f>SUMIFS(NewEmisData!E:E, NewEmisData!$A:$A, $G162, NewEmisData!$B:$B, $A162, NewEmisData!$C:$C, $H162, NewEmisData!$D:$D, U$6)</f>
        <v>3.9696963814368802</v>
      </c>
      <c r="V162" s="1111">
        <f>SUMIFS(NewEmisData!F:F, NewEmisData!$A:$A, $G162, NewEmisData!$B:$B, $A162, NewEmisData!$C:$C, $H162, NewEmisData!$D:$D, V$6)</f>
        <v>2.1292045893653802</v>
      </c>
      <c r="W162" s="1111">
        <f>SUMIFS(NewEmisData!G:G, NewEmisData!$A:$A, $G162, NewEmisData!$B:$B, $A162, NewEmisData!$C:$C, $H162, NewEmisData!$D:$D, W$6)</f>
        <v>1.1780347139767999</v>
      </c>
      <c r="X162" s="1111">
        <f>SUMIFS(NewEmisData!H:H, NewEmisData!$A:$A, $G162, NewEmisData!$B:$B, $A162, NewEmisData!$C:$C, $H162, NewEmisData!$D:$D, X$6)</f>
        <v>0.85616837461707895</v>
      </c>
      <c r="Y162" s="1111">
        <f>SUMIFS(NewEmisData!I:I, NewEmisData!$A:$A, $G162, NewEmisData!$B:$B, $A162, NewEmisData!$C:$C, $H162, NewEmisData!$D:$D, Y$6)</f>
        <v>0.71679914036882397</v>
      </c>
      <c r="Z162" s="1111">
        <f>SUMIFS(NewEmisData!J:J, NewEmisData!$A:$A, $G162, NewEmisData!$B:$B, $A162, NewEmisData!$C:$C, $H162, NewEmisData!$D:$D, Z$6)</f>
        <v>0.653734873709785</v>
      </c>
      <c r="AA162" s="1111">
        <f>SUMIFS(NewEmisData!K:K, NewEmisData!$A:$A, $G162, NewEmisData!$B:$B, $A162, NewEmisData!$C:$C, $H162, NewEmisData!$D:$D, AA$6)</f>
        <v>0.63529466077774999</v>
      </c>
      <c r="AB162" s="1111">
        <f>SUMIFS(NewEmisData!L:L, NewEmisData!$A:$A, $G162, NewEmisData!$B:$B, $A162, NewEmisData!$C:$C, $H162, NewEmisData!$D:$D, AB$6)</f>
        <v>0.63126465139316401</v>
      </c>
      <c r="AC162" s="1111">
        <f>SUMIFS(NewEmisData!M:M, NewEmisData!$A:$A, $G162, NewEmisData!$B:$B, $A162, NewEmisData!$C:$C, $H162, NewEmisData!$D:$D, AC$6)</f>
        <v>0.63008499106767202</v>
      </c>
      <c r="AD162" s="1111">
        <f t="shared" si="229"/>
        <v>0.63008499106767202</v>
      </c>
      <c r="AE162" s="1111">
        <f t="shared" si="241"/>
        <v>1.94777471026268E-2</v>
      </c>
      <c r="AF162" s="1111">
        <f>SUMIFS(NewEmisData!E:E, NewEmisData!$A:$A, $G162, NewEmisData!$B:$B, $A162, NewEmisData!$C:$C, $H162, NewEmisData!$D:$D, AF$6)</f>
        <v>1.94777471026268E-2</v>
      </c>
      <c r="AG162" s="1111">
        <f>SUMIFS(NewEmisData!F:F, NewEmisData!$A:$A, $G162, NewEmisData!$B:$B, $A162, NewEmisData!$C:$C, $H162, NewEmisData!$D:$D, AG$6)</f>
        <v>1.95445323749391E-2</v>
      </c>
      <c r="AH162" s="1111">
        <f>SUMIFS(NewEmisData!G:G, NewEmisData!$A:$A, $G162, NewEmisData!$B:$B, $A162, NewEmisData!$C:$C, $H162, NewEmisData!$D:$D, AH$6)</f>
        <v>1.9141058004132301E-2</v>
      </c>
      <c r="AI162" s="1111">
        <f>SUMIFS(NewEmisData!H:H, NewEmisData!$A:$A, $G162, NewEmisData!$B:$B, $A162, NewEmisData!$C:$C, $H162, NewEmisData!$D:$D, AI$6)</f>
        <v>1.8784705993390102E-2</v>
      </c>
      <c r="AJ162" s="1111">
        <f>SUMIFS(NewEmisData!I:I, NewEmisData!$A:$A, $G162, NewEmisData!$B:$B, $A162, NewEmisData!$C:$C, $H162, NewEmisData!$D:$D, AJ$6)</f>
        <v>1.85097249042331E-2</v>
      </c>
      <c r="AK162" s="1111">
        <f>SUMIFS(NewEmisData!J:J, NewEmisData!$A:$A, $G162, NewEmisData!$B:$B, $A162, NewEmisData!$C:$C, $H162, NewEmisData!$D:$D, AK$6)</f>
        <v>1.8437510106673601E-2</v>
      </c>
      <c r="AL162" s="1111">
        <f>SUMIFS(NewEmisData!K:K, NewEmisData!$A:$A, $G162, NewEmisData!$B:$B, $A162, NewEmisData!$C:$C, $H162, NewEmisData!$D:$D, AL$6)</f>
        <v>1.8418333813220399E-2</v>
      </c>
      <c r="AM162" s="1111">
        <f>SUMIFS(NewEmisData!L:L, NewEmisData!$A:$A, $G162, NewEmisData!$B:$B, $A162, NewEmisData!$C:$C, $H162, NewEmisData!$D:$D, AM$6)</f>
        <v>1.8414616467845198E-2</v>
      </c>
      <c r="AN162" s="1111">
        <f>SUMIFS(NewEmisData!M:M, NewEmisData!$A:$A, $G162, NewEmisData!$B:$B, $A162, NewEmisData!$C:$C, $H162, NewEmisData!$D:$D, AN$6)</f>
        <v>1.84137339980028E-2</v>
      </c>
      <c r="AO162" s="1111">
        <f t="shared" si="242"/>
        <v>1.84137339980028E-2</v>
      </c>
      <c r="AP162" s="1111">
        <f t="shared" si="243"/>
        <v>0.16277138632680399</v>
      </c>
      <c r="AQ162" s="1111">
        <f>SUMIFS(NewEmisData!E:E, NewEmisData!$A:$A, $G162, NewEmisData!$B:$B, $A162, NewEmisData!$C:$C, $H162, NewEmisData!$D:$D, AQ$6)</f>
        <v>0.16277138632680399</v>
      </c>
      <c r="AR162" s="1111">
        <f>SUMIFS(NewEmisData!F:F, NewEmisData!$A:$A, $G162, NewEmisData!$B:$B, $A162, NewEmisData!$C:$C, $H162, NewEmisData!$D:$D, AR$6)</f>
        <v>0.15749210557477999</v>
      </c>
      <c r="AS162" s="1111">
        <f>SUMIFS(NewEmisData!G:G, NewEmisData!$A:$A, $G162, NewEmisData!$B:$B, $A162, NewEmisData!$C:$C, $H162, NewEmisData!$D:$D, AS$6)</f>
        <v>0.22213105998277299</v>
      </c>
      <c r="AT162" s="1111">
        <f>SUMIFS(NewEmisData!H:H, NewEmisData!$A:$A, $G162, NewEmisData!$B:$B, $A162, NewEmisData!$C:$C, $H162, NewEmisData!$D:$D, AT$6)</f>
        <v>0.22256905483131201</v>
      </c>
      <c r="AU162" s="1111">
        <f>SUMIFS(NewEmisData!I:I, NewEmisData!$A:$A, $G162, NewEmisData!$B:$B, $A162, NewEmisData!$C:$C, $H162, NewEmisData!$D:$D, AU$6)</f>
        <v>0.223017594102533</v>
      </c>
      <c r="AV162" s="1111">
        <f>SUMIFS(NewEmisData!J:J, NewEmisData!$A:$A, $G162, NewEmisData!$B:$B, $A162, NewEmisData!$C:$C, $H162, NewEmisData!$D:$D, AV$6)</f>
        <v>0.22328437261219899</v>
      </c>
      <c r="AW162" s="1111">
        <f>SUMIFS(NewEmisData!K:K, NewEmisData!$A:$A, $G162, NewEmisData!$B:$B, $A162, NewEmisData!$C:$C, $H162, NewEmisData!$D:$D, AW$6)</f>
        <v>0.22342028408578701</v>
      </c>
      <c r="AX162" s="1111">
        <f>SUMIFS(NewEmisData!L:L, NewEmisData!$A:$A, $G162, NewEmisData!$B:$B, $A162, NewEmisData!$C:$C, $H162, NewEmisData!$D:$D, AX$6)</f>
        <v>0.22346164064811899</v>
      </c>
      <c r="AY162" s="1111">
        <f>SUMIFS(NewEmisData!M:M, NewEmisData!$A:$A, $G162, NewEmisData!$B:$B, $A162, NewEmisData!$C:$C, $H162, NewEmisData!$D:$D, AY$6)</f>
        <v>0.22347689751407299</v>
      </c>
      <c r="AZ162" s="1111">
        <f t="shared" si="244"/>
        <v>0.22347689751407299</v>
      </c>
      <c r="BA162" s="1111">
        <f t="shared" si="245"/>
        <v>3.3085277901506199E-2</v>
      </c>
      <c r="BB162" s="1111">
        <f>SUMIFS(NewEmisData!E:E, NewEmisData!$A:$A, $G162, NewEmisData!$B:$B, $A162, NewEmisData!$C:$C, $H162, NewEmisData!$D:$D, BB$6)</f>
        <v>3.3085277901506199E-2</v>
      </c>
      <c r="BC162" s="1111">
        <f>SUMIFS(NewEmisData!F:F, NewEmisData!$A:$A, $G162, NewEmisData!$B:$B, $A162, NewEmisData!$C:$C, $H162, NewEmisData!$D:$D, BC$6)</f>
        <v>2.8088278695018499E-2</v>
      </c>
      <c r="BD162" s="1111">
        <f>SUMIFS(NewEmisData!G:G, NewEmisData!$A:$A, $G162, NewEmisData!$B:$B, $A162, NewEmisData!$C:$C, $H162, NewEmisData!$D:$D, BD$6)</f>
        <v>3.5249470703337199E-2</v>
      </c>
      <c r="BE162" s="1111">
        <f>SUMIFS(NewEmisData!H:H, NewEmisData!$A:$A, $G162, NewEmisData!$B:$B, $A162, NewEmisData!$C:$C, $H162, NewEmisData!$D:$D, BE$6)</f>
        <v>3.5278230321982601E-2</v>
      </c>
      <c r="BF162" s="1111">
        <f>SUMIFS(NewEmisData!I:I, NewEmisData!$A:$A, $G162, NewEmisData!$B:$B, $A162, NewEmisData!$C:$C, $H162, NewEmisData!$D:$D, BF$6)</f>
        <v>3.5607078221125799E-2</v>
      </c>
      <c r="BG162" s="1111">
        <f>SUMIFS(NewEmisData!J:J, NewEmisData!$A:$A, $G162, NewEmisData!$B:$B, $A162, NewEmisData!$C:$C, $H162, NewEmisData!$D:$D, BG$6)</f>
        <v>3.5823183054303799E-2</v>
      </c>
      <c r="BH162" s="1111">
        <f>SUMIFS(NewEmisData!K:K, NewEmisData!$A:$A, $G162, NewEmisData!$B:$B, $A162, NewEmisData!$C:$C, $H162, NewEmisData!$D:$D, BH$6)</f>
        <v>3.5938864982074499E-2</v>
      </c>
      <c r="BI162" s="1111">
        <f>SUMIFS(NewEmisData!L:L, NewEmisData!$A:$A, $G162, NewEmisData!$B:$B, $A162, NewEmisData!$C:$C, $H162, NewEmisData!$D:$D, BI$6)</f>
        <v>3.5974176634088799E-2</v>
      </c>
      <c r="BJ162" s="1111">
        <f>SUMIFS(NewEmisData!M:M, NewEmisData!$A:$A, $G162, NewEmisData!$B:$B, $A162, NewEmisData!$C:$C, $H162, NewEmisData!$D:$D, BJ$6)</f>
        <v>3.59876115686096E-2</v>
      </c>
      <c r="BK162" s="1111">
        <f t="shared" si="246"/>
        <v>3.59876115686096E-2</v>
      </c>
      <c r="BL162" s="1111">
        <f t="shared" si="247"/>
        <v>30.519264024443402</v>
      </c>
      <c r="BM162" s="1111">
        <f>SUMIFS(NewEmisData!E:E, NewEmisData!$A:$A, $G162, NewEmisData!$B:$B, $A162, NewEmisData!$C:$C, $H162, NewEmisData!$D:$D, BM$6)</f>
        <v>30.519264024443402</v>
      </c>
      <c r="BN162" s="1111">
        <f>SUMIFS(NewEmisData!F:F, NewEmisData!$A:$A, $G162, NewEmisData!$B:$B, $A162, NewEmisData!$C:$C, $H162, NewEmisData!$D:$D, BN$6)</f>
        <v>17.7548638520019</v>
      </c>
      <c r="BO162" s="1111">
        <f>SUMIFS(NewEmisData!G:G, NewEmisData!$A:$A, $G162, NewEmisData!$B:$B, $A162, NewEmisData!$C:$C, $H162, NewEmisData!$D:$D, BO$6)</f>
        <v>11.769795592664099</v>
      </c>
      <c r="BP162" s="1111">
        <f>SUMIFS(NewEmisData!H:H, NewEmisData!$A:$A, $G162, NewEmisData!$B:$B, $A162, NewEmisData!$C:$C, $H162, NewEmisData!$D:$D, BP$6)</f>
        <v>10.027249561844799</v>
      </c>
      <c r="BQ162" s="1111">
        <f>SUMIFS(NewEmisData!I:I, NewEmisData!$A:$A, $G162, NewEmisData!$B:$B, $A162, NewEmisData!$C:$C, $H162, NewEmisData!$D:$D, BQ$6)</f>
        <v>9.5164175607240296</v>
      </c>
      <c r="BR162" s="1111">
        <f>SUMIFS(NewEmisData!J:J, NewEmisData!$A:$A, $G162, NewEmisData!$B:$B, $A162, NewEmisData!$C:$C, $H162, NewEmisData!$D:$D, BR$6)</f>
        <v>9.3871226242105301</v>
      </c>
      <c r="BS162" s="1111">
        <f>SUMIFS(NewEmisData!K:K, NewEmisData!$A:$A, $G162, NewEmisData!$B:$B, $A162, NewEmisData!$C:$C, $H162, NewEmisData!$D:$D, BS$6)</f>
        <v>9.4290563886524001</v>
      </c>
      <c r="BT162" s="1111">
        <f>SUMIFS(NewEmisData!L:L, NewEmisData!$A:$A, $G162, NewEmisData!$B:$B, $A162, NewEmisData!$C:$C, $H162, NewEmisData!$D:$D, BT$6)</f>
        <v>9.4677016030619807</v>
      </c>
      <c r="BU162" s="1111">
        <f>SUMIFS(NewEmisData!M:M, NewEmisData!$A:$A, $G162, NewEmisData!$B:$B, $A162, NewEmisData!$C:$C, $H162, NewEmisData!$D:$D, BU$6)</f>
        <v>9.4911287930921109</v>
      </c>
      <c r="BV162" s="1111">
        <f t="shared" si="248"/>
        <v>9.4911287930921109</v>
      </c>
      <c r="BW162" s="1111">
        <f t="shared" si="249"/>
        <v>1.4331518530549801</v>
      </c>
      <c r="BX162" s="1111">
        <f>SUMIFS(NewEmisData!E:E, NewEmisData!$A:$A, $G162, NewEmisData!$B:$B, $A162, NewEmisData!$C:$C, $H162, NewEmisData!$D:$D, BX$6)</f>
        <v>1.4331518530549801</v>
      </c>
      <c r="BY162" s="1111">
        <f>SUMIFS(NewEmisData!F:F, NewEmisData!$A:$A, $G162, NewEmisData!$B:$B, $A162, NewEmisData!$C:$C, $H162, NewEmisData!$D:$D, BY$6)</f>
        <v>0.82554141247932</v>
      </c>
      <c r="BZ162" s="1111">
        <f>SUMIFS(NewEmisData!G:G, NewEmisData!$A:$A, $G162, NewEmisData!$B:$B, $A162, NewEmisData!$C:$C, $H162, NewEmisData!$D:$D, BZ$6)</f>
        <v>0.52934059761176699</v>
      </c>
      <c r="CA162" s="1111">
        <f>SUMIFS(NewEmisData!H:H, NewEmisData!$A:$A, $G162, NewEmisData!$B:$B, $A162, NewEmisData!$C:$C, $H162, NewEmisData!$D:$D, CA$6)</f>
        <v>0.41820996508437402</v>
      </c>
      <c r="CB162" s="1111">
        <f>SUMIFS(NewEmisData!I:I, NewEmisData!$A:$A, $G162, NewEmisData!$B:$B, $A162, NewEmisData!$C:$C, $H162, NewEmisData!$D:$D, CB$6)</f>
        <v>0.37730109294103098</v>
      </c>
      <c r="CC162" s="1111">
        <f>SUMIFS(NewEmisData!J:J, NewEmisData!$A:$A, $G162, NewEmisData!$B:$B, $A162, NewEmisData!$C:$C, $H162, NewEmisData!$D:$D, CC$6)</f>
        <v>0.36080370260189998</v>
      </c>
      <c r="CD162" s="1111">
        <f>SUMIFS(NewEmisData!K:K, NewEmisData!$A:$A, $G162, NewEmisData!$B:$B, $A162, NewEmisData!$C:$C, $H162, NewEmisData!$D:$D, CD$6)</f>
        <v>0.35854771789443002</v>
      </c>
      <c r="CE162" s="1111">
        <f>SUMIFS(NewEmisData!L:L, NewEmisData!$A:$A, $G162, NewEmisData!$B:$B, $A162, NewEmisData!$C:$C, $H162, NewEmisData!$D:$D, CE$6)</f>
        <v>0.35854167304512202</v>
      </c>
      <c r="CF162" s="1111">
        <f>SUMIFS(NewEmisData!M:M, NewEmisData!$A:$A, $G162, NewEmisData!$B:$B, $A162, NewEmisData!$C:$C, $H162, NewEmisData!$D:$D, CF$6)</f>
        <v>0.35855864650360297</v>
      </c>
      <c r="CG162" s="1111">
        <f t="shared" si="250"/>
        <v>0.35855864650360297</v>
      </c>
      <c r="CH162" s="1111">
        <f t="shared" si="251"/>
        <v>4.3399426569524099E-2</v>
      </c>
      <c r="CI162" s="1111">
        <f>SUMIFS(NewEmisData!E:E, NewEmisData!$A:$A, $G162, NewEmisData!$B:$B, $A162, NewEmisData!$C:$C, $H162, NewEmisData!$D:$D, CI$6)</f>
        <v>4.3399426569524099E-2</v>
      </c>
      <c r="CJ162" s="1111">
        <f>SUMIFS(NewEmisData!F:F, NewEmisData!$A:$A, $G162, NewEmisData!$B:$B, $A162, NewEmisData!$C:$C, $H162, NewEmisData!$D:$D, CJ$6)</f>
        <v>4.3414607751202899E-2</v>
      </c>
      <c r="CK162" s="1111">
        <f>SUMIFS(NewEmisData!G:G, NewEmisData!$A:$A, $G162, NewEmisData!$B:$B, $A162, NewEmisData!$C:$C, $H162, NewEmisData!$D:$D, CK$6)</f>
        <v>5.4993981735290499E-2</v>
      </c>
      <c r="CL162" s="1111">
        <f>SUMIFS(NewEmisData!H:H, NewEmisData!$A:$A, $G162, NewEmisData!$B:$B, $A162, NewEmisData!$C:$C, $H162, NewEmisData!$D:$D, CL$6)</f>
        <v>5.4993786232210601E-2</v>
      </c>
      <c r="CM162" s="1111">
        <f>SUMIFS(NewEmisData!I:I, NewEmisData!$A:$A, $G162, NewEmisData!$B:$B, $A162, NewEmisData!$C:$C, $H162, NewEmisData!$D:$D, CM$6)</f>
        <v>5.49943755829881E-2</v>
      </c>
      <c r="CN162" s="1111">
        <f>SUMIFS(NewEmisData!J:J, NewEmisData!$A:$A, $G162, NewEmisData!$B:$B, $A162, NewEmisData!$C:$C, $H162, NewEmisData!$D:$D, CN$6)</f>
        <v>5.4994520767338101E-2</v>
      </c>
      <c r="CO162" s="1111">
        <f>SUMIFS(NewEmisData!K:K, NewEmisData!$A:$A, $G162, NewEmisData!$B:$B, $A162, NewEmisData!$C:$C, $H162, NewEmisData!$D:$D, CO$6)</f>
        <v>5.4994541597587002E-2</v>
      </c>
      <c r="CP162" s="1111">
        <f>SUMIFS(NewEmisData!L:L, NewEmisData!$A:$A, $G162, NewEmisData!$B:$B, $A162, NewEmisData!$C:$C, $H162, NewEmisData!$D:$D, CP$6)</f>
        <v>5.4994553673977098E-2</v>
      </c>
      <c r="CQ162" s="1111">
        <f>SUMIFS(NewEmisData!M:M, NewEmisData!$A:$A, $G162, NewEmisData!$B:$B, $A162, NewEmisData!$C:$C, $H162, NewEmisData!$D:$D, CQ$6)</f>
        <v>5.4994550577738499E-2</v>
      </c>
      <c r="CR162" s="1111">
        <f t="shared" si="252"/>
        <v>5.4994550577738499E-2</v>
      </c>
      <c r="CS162" s="1111">
        <f t="shared" si="253"/>
        <v>4.8977354146498502E-2</v>
      </c>
      <c r="CT162" s="1111">
        <f>SUMIFS(NewEmisData!E:E, NewEmisData!$A:$A, $G162, NewEmisData!$B:$B, $A162, NewEmisData!$C:$C, $H162, NewEmisData!$D:$D, CT$6)</f>
        <v>4.8977354146498502E-2</v>
      </c>
      <c r="CU162" s="1111">
        <f>SUMIFS(NewEmisData!F:F, NewEmisData!$A:$A, $G162, NewEmisData!$B:$B, $A162, NewEmisData!$C:$C, $H162, NewEmisData!$D:$D, CU$6)</f>
        <v>2.8470713504453099E-2</v>
      </c>
      <c r="CV162" s="1111">
        <f>SUMIFS(NewEmisData!G:G, NewEmisData!$A:$A, $G162, NewEmisData!$B:$B, $A162, NewEmisData!$C:$C, $H162, NewEmisData!$D:$D, CV$6)</f>
        <v>2.1189978152056602E-2</v>
      </c>
      <c r="CW162" s="1111">
        <f>SUMIFS(NewEmisData!H:H, NewEmisData!$A:$A, $G162, NewEmisData!$B:$B, $A162, NewEmisData!$C:$C, $H162, NewEmisData!$D:$D, CW$6)</f>
        <v>1.46389058287662E-2</v>
      </c>
      <c r="CX162" s="1111">
        <f>SUMIFS(NewEmisData!I:I, NewEmisData!$A:$A, $G162, NewEmisData!$B:$B, $A162, NewEmisData!$C:$C, $H162, NewEmisData!$D:$D, CX$6)</f>
        <v>1.28792587479717E-2</v>
      </c>
      <c r="CY162" s="1111">
        <f>SUMIFS(NewEmisData!J:J, NewEmisData!$A:$A, $G162, NewEmisData!$B:$B, $A162, NewEmisData!$C:$C, $H162, NewEmisData!$D:$D, CY$6)</f>
        <v>1.23921680979683E-2</v>
      </c>
      <c r="CZ162" s="1111">
        <f>SUMIFS(NewEmisData!K:K, NewEmisData!$A:$A, $G162, NewEmisData!$B:$B, $A162, NewEmisData!$C:$C, $H162, NewEmisData!$D:$D, CZ$6)</f>
        <v>1.23336041545112E-2</v>
      </c>
      <c r="DA162" s="1111">
        <f>SUMIFS(NewEmisData!L:L, NewEmisData!$A:$A, $G162, NewEmisData!$B:$B, $A162, NewEmisData!$C:$C, $H162, NewEmisData!$D:$D, DA$6)</f>
        <v>1.22985211601931E-2</v>
      </c>
      <c r="DB162" s="1111">
        <f>SUMIFS(NewEmisData!M:M, NewEmisData!$A:$A, $G162, NewEmisData!$B:$B, $A162, NewEmisData!$C:$C, $H162, NewEmisData!$D:$D, DB$6)</f>
        <v>1.2317402931661E-2</v>
      </c>
      <c r="DC162" s="1111">
        <f t="shared" si="254"/>
        <v>1.2317402931661E-2</v>
      </c>
      <c r="DD162" s="1111"/>
      <c r="DE162" s="1111"/>
      <c r="DF162" s="1111"/>
      <c r="DG162" s="1111"/>
      <c r="DH162" s="1111"/>
      <c r="DI162" s="1111"/>
      <c r="DJ162" s="1111"/>
      <c r="DK162" s="1111"/>
      <c r="DL162" s="1111"/>
      <c r="DM162" s="1111"/>
      <c r="DN162" s="1111"/>
      <c r="DO162" s="1111"/>
      <c r="DP162" s="1111"/>
      <c r="DQ162" s="1111"/>
      <c r="DR162" s="1111"/>
      <c r="DS162" s="1111"/>
      <c r="DT162" s="1111"/>
      <c r="DU162" s="1111"/>
      <c r="DV162" s="1111"/>
      <c r="DW162" s="1111"/>
      <c r="DX162" s="1111"/>
      <c r="DY162" s="1111"/>
      <c r="DZ162" s="1111">
        <f t="shared" si="255"/>
        <v>3.8110257804810699E-2</v>
      </c>
      <c r="EA162" s="1111">
        <f>SUMIFS(NewEmisData!E:E, NewEmisData!$A:$A, $G162, NewEmisData!$B:$B, $A162, NewEmisData!$C:$C, $H162, NewEmisData!$D:$D, EA$6)</f>
        <v>3.8110257804810699E-2</v>
      </c>
      <c r="EB162" s="1111">
        <f>SUMIFS(NewEmisData!F:F, NewEmisData!$A:$A, $G162, NewEmisData!$B:$B, $A162, NewEmisData!$C:$C, $H162, NewEmisData!$D:$D, EB$6)</f>
        <v>2.0417199912842899E-2</v>
      </c>
      <c r="EC162" s="1111">
        <f>SUMIFS(NewEmisData!G:G, NewEmisData!$A:$A, $G162, NewEmisData!$B:$B, $A162, NewEmisData!$C:$C, $H162, NewEmisData!$D:$D, EC$6)</f>
        <v>1.30642962548774E-2</v>
      </c>
      <c r="ED162" s="1111">
        <f>SUMIFS(NewEmisData!H:H, NewEmisData!$A:$A, $G162, NewEmisData!$B:$B, $A162, NewEmisData!$C:$C, $H162, NewEmisData!$D:$D, ED$6)</f>
        <v>1.11738363859457E-2</v>
      </c>
      <c r="EE162" s="1111">
        <f>SUMIFS(NewEmisData!I:I, NewEmisData!$A:$A, $G162, NewEmisData!$B:$B, $A162, NewEmisData!$C:$C, $H162, NewEmisData!$D:$D, EE$6)</f>
        <v>1.0636123173322E-2</v>
      </c>
      <c r="EF162" s="1111">
        <f>SUMIFS(NewEmisData!J:J, NewEmisData!$A:$A, $G162, NewEmisData!$B:$B, $A162, NewEmisData!$C:$C, $H162, NewEmisData!$D:$D, EF$6)</f>
        <v>1.0535248987316E-2</v>
      </c>
      <c r="EG162" s="1111">
        <f>SUMIFS(NewEmisData!K:K, NewEmisData!$A:$A, $G162, NewEmisData!$B:$B, $A162, NewEmisData!$C:$C, $H162, NewEmisData!$D:$D, EG$6)</f>
        <v>1.0571182579202899E-2</v>
      </c>
      <c r="EH162" s="1111">
        <f>SUMIFS(NewEmisData!L:L, NewEmisData!$A:$A, $G162, NewEmisData!$B:$B, $A162, NewEmisData!$C:$C, $H162, NewEmisData!$D:$D, EH$6)</f>
        <v>1.05827805921651E-2</v>
      </c>
      <c r="EI162" s="1111">
        <f>SUMIFS(NewEmisData!M:M, NewEmisData!$A:$A, $G162, NewEmisData!$B:$B, $A162, NewEmisData!$C:$C, $H162, NewEmisData!$D:$D, EI$6)</f>
        <v>1.05816969285468E-2</v>
      </c>
      <c r="EJ162" s="1111">
        <f t="shared" si="256"/>
        <v>1.05816969285468E-2</v>
      </c>
      <c r="EK162" s="1111">
        <f t="shared" si="257"/>
        <v>1125.6531994791601</v>
      </c>
      <c r="EL162" s="1111">
        <f t="shared" si="269"/>
        <v>1125.6531994791601</v>
      </c>
      <c r="EM162" s="1111">
        <f t="shared" si="270"/>
        <v>1129.51230354672</v>
      </c>
      <c r="EN162" s="1111">
        <f t="shared" si="271"/>
        <v>1334.28865010909</v>
      </c>
      <c r="EO162" s="1111">
        <f t="shared" si="272"/>
        <v>1309.4477161980601</v>
      </c>
      <c r="EP162" s="1111">
        <f t="shared" si="273"/>
        <v>1290.2789800169201</v>
      </c>
      <c r="EQ162" s="1111">
        <f t="shared" si="274"/>
        <v>1285.24459420581</v>
      </c>
      <c r="ER162" s="1111">
        <f t="shared" si="275"/>
        <v>1283.9086141387199</v>
      </c>
      <c r="ES162" s="1111">
        <f t="shared" si="276"/>
        <v>1283.64917953798</v>
      </c>
      <c r="ET162" s="1111">
        <f t="shared" si="277"/>
        <v>1283.5882413572699</v>
      </c>
      <c r="EU162" s="1111">
        <f t="shared" si="278"/>
        <v>1283.5882413572699</v>
      </c>
      <c r="EV162" s="1111">
        <f t="shared" si="258"/>
        <v>3.9696963814368802</v>
      </c>
      <c r="EW162" s="1111">
        <f t="shared" si="259"/>
        <v>3.9696963814368802</v>
      </c>
      <c r="EX162" s="1111">
        <f t="shared" si="260"/>
        <v>2.1292045893653802</v>
      </c>
      <c r="EY162" s="1111">
        <f t="shared" si="261"/>
        <v>1.1780347139767999</v>
      </c>
      <c r="EZ162" s="1111">
        <f t="shared" si="262"/>
        <v>0.85616837461707895</v>
      </c>
      <c r="FA162" s="1111">
        <f t="shared" si="263"/>
        <v>0.71679914036882397</v>
      </c>
      <c r="FB162" s="1111">
        <f t="shared" si="264"/>
        <v>0.653734873709785</v>
      </c>
      <c r="FC162" s="1111">
        <f t="shared" si="265"/>
        <v>0.63529466077774999</v>
      </c>
      <c r="FD162" s="1111">
        <f t="shared" si="266"/>
        <v>0.63126465139316401</v>
      </c>
      <c r="FE162" s="1111">
        <f t="shared" si="267"/>
        <v>0.63008499106767202</v>
      </c>
      <c r="FF162" s="1111">
        <f t="shared" si="268"/>
        <v>0.63008499106767202</v>
      </c>
      <c r="FG162" s="1111">
        <f t="shared" si="193"/>
        <v>1.94777471026268E-2</v>
      </c>
      <c r="FH162" s="1111">
        <f t="shared" si="194"/>
        <v>1.94777471026268E-2</v>
      </c>
      <c r="FI162" s="1111">
        <f t="shared" si="195"/>
        <v>1.95445323749391E-2</v>
      </c>
      <c r="FJ162" s="1111">
        <f t="shared" si="196"/>
        <v>1.9141058004132301E-2</v>
      </c>
      <c r="FK162" s="1111">
        <f t="shared" si="197"/>
        <v>1.8784705993390102E-2</v>
      </c>
      <c r="FL162" s="1111">
        <f t="shared" si="198"/>
        <v>1.85097249042331E-2</v>
      </c>
      <c r="FM162" s="1111">
        <f t="shared" si="199"/>
        <v>1.8437510106673601E-2</v>
      </c>
      <c r="FN162" s="1111">
        <f t="shared" si="200"/>
        <v>1.8418333813220399E-2</v>
      </c>
      <c r="FO162" s="1111">
        <f t="shared" si="201"/>
        <v>1.8414616467845198E-2</v>
      </c>
      <c r="FP162" s="1111">
        <f t="shared" si="202"/>
        <v>1.84137339980028E-2</v>
      </c>
      <c r="FQ162" s="1111">
        <f t="shared" si="203"/>
        <v>1.84137339980028E-2</v>
      </c>
      <c r="FR162" s="1111">
        <f t="shared" si="230"/>
        <v>0.16277138632680399</v>
      </c>
      <c r="FS162" s="1111">
        <f t="shared" si="231"/>
        <v>0.16277138632680399</v>
      </c>
      <c r="FT162" s="1111">
        <f t="shared" si="232"/>
        <v>0.15749210557477999</v>
      </c>
      <c r="FU162" s="1111">
        <f t="shared" si="233"/>
        <v>0.22213105998277299</v>
      </c>
      <c r="FV162" s="1111">
        <f t="shared" si="234"/>
        <v>0.22256905483131201</v>
      </c>
      <c r="FW162" s="1111">
        <f t="shared" si="235"/>
        <v>0.223017594102533</v>
      </c>
      <c r="FX162" s="1111">
        <f t="shared" si="236"/>
        <v>0.22328437261219899</v>
      </c>
      <c r="FY162" s="1111">
        <f t="shared" si="237"/>
        <v>0.22342028408578701</v>
      </c>
      <c r="FZ162" s="1111">
        <f t="shared" si="238"/>
        <v>0.22346164064811899</v>
      </c>
      <c r="GA162" s="1111">
        <f t="shared" si="239"/>
        <v>0.22347689751407299</v>
      </c>
      <c r="GB162" s="1111">
        <f t="shared" si="240"/>
        <v>0.22347689751407299</v>
      </c>
      <c r="GC162" s="1111">
        <f t="shared" si="279"/>
        <v>3.3085277901506199E-2</v>
      </c>
      <c r="GD162" s="1111">
        <f t="shared" si="280"/>
        <v>3.3085277901506199E-2</v>
      </c>
      <c r="GE162" s="1111">
        <f t="shared" si="281"/>
        <v>2.8088278695018499E-2</v>
      </c>
      <c r="GF162" s="1111">
        <f t="shared" si="282"/>
        <v>3.5249470703337199E-2</v>
      </c>
      <c r="GG162" s="1111">
        <f t="shared" si="283"/>
        <v>3.5278230321982601E-2</v>
      </c>
      <c r="GH162" s="1111">
        <f t="shared" si="284"/>
        <v>3.5607078221125799E-2</v>
      </c>
      <c r="GI162" s="1111">
        <f t="shared" si="285"/>
        <v>3.5823183054303799E-2</v>
      </c>
      <c r="GJ162" s="1111">
        <f t="shared" si="286"/>
        <v>3.5938864982074499E-2</v>
      </c>
      <c r="GK162" s="1111">
        <f t="shared" si="287"/>
        <v>3.5974176634088799E-2</v>
      </c>
      <c r="GL162" s="1111">
        <f t="shared" si="288"/>
        <v>3.59876115686096E-2</v>
      </c>
      <c r="GM162" s="1111">
        <f t="shared" si="289"/>
        <v>3.59876115686096E-2</v>
      </c>
    </row>
    <row r="163" spans="1:195" x14ac:dyDescent="0.2">
      <c r="A163" s="1071" t="s">
        <v>186</v>
      </c>
      <c r="B163" s="1071" t="str">
        <f>Technologies!C115</f>
        <v>TMGSLC</v>
      </c>
      <c r="C163" s="1071" t="str">
        <f>Technologies!D115</f>
        <v>Medium Duty Truck, Conventional Gasoline</v>
      </c>
      <c r="D163" s="1071" t="str">
        <f>NewTech!D67</f>
        <v>bn-vmt, bn-vmt/a</v>
      </c>
      <c r="E163" s="1071" t="str">
        <f>NewTech!E68</f>
        <v>TMGSL</v>
      </c>
      <c r="F163" s="1071" t="str">
        <f>NewTech!F68</f>
        <v>TM</v>
      </c>
      <c r="G163" s="1110" t="s">
        <v>503</v>
      </c>
      <c r="H163" s="1110" t="s">
        <v>500</v>
      </c>
      <c r="I163" s="1112">
        <v>1</v>
      </c>
      <c r="J163" s="1111" t="str">
        <f t="shared" si="37"/>
        <v>Medium duty-GSL</v>
      </c>
      <c r="K163" s="1111">
        <f>SUMIFS(NewEmisData!E:E, NewEmisData!$A:$A, $G163, NewEmisData!$B:$B, $A163, NewEmisData!$C:$C, $H163, NewEmisData!$D:$D, K$6)</f>
        <v>1571.23838726393</v>
      </c>
      <c r="L163" s="1111">
        <f>SUMIFS(NewEmisData!F:F, NewEmisData!$A:$A, $G163, NewEmisData!$B:$B, $A163, NewEmisData!$C:$C, $H163, NewEmisData!$D:$D, L$6)</f>
        <v>1575.29652368133</v>
      </c>
      <c r="M163" s="1111">
        <f>SUMIFS(NewEmisData!G:G, NewEmisData!$A:$A, $G163, NewEmisData!$B:$B, $A163, NewEmisData!$C:$C, $H163, NewEmisData!$D:$D, M$6)</f>
        <v>1620.65726903051</v>
      </c>
      <c r="N163" s="1111">
        <f>SUMIFS(NewEmisData!H:H, NewEmisData!$A:$A, $G163, NewEmisData!$B:$B, $A163, NewEmisData!$C:$C, $H163, NewEmisData!$D:$D, N$6)</f>
        <v>1591.3958126743701</v>
      </c>
      <c r="O163" s="1111">
        <f>SUMIFS(NewEmisData!I:I, NewEmisData!$A:$A, $G163, NewEmisData!$B:$B, $A163, NewEmisData!$C:$C, $H163, NewEmisData!$D:$D, O$6)</f>
        <v>1568.18391586794</v>
      </c>
      <c r="P163" s="1111">
        <f>SUMIFS(NewEmisData!J:J, NewEmisData!$A:$A, $G163, NewEmisData!$B:$B, $A163, NewEmisData!$C:$C, $H163, NewEmisData!$D:$D, P$6)</f>
        <v>1562.10113018675</v>
      </c>
      <c r="Q163" s="1111">
        <f>SUMIFS(NewEmisData!K:K, NewEmisData!$A:$A, $G163, NewEmisData!$B:$B, $A163, NewEmisData!$C:$C, $H163, NewEmisData!$D:$D, Q$6)</f>
        <v>1560.4729957351501</v>
      </c>
      <c r="R163" s="1111">
        <f>SUMIFS(NewEmisData!L:L, NewEmisData!$A:$A, $G163, NewEmisData!$B:$B, $A163, NewEmisData!$C:$C, $H163, NewEmisData!$D:$D, R$6)</f>
        <v>1560.1538107035101</v>
      </c>
      <c r="S163" s="1111">
        <f>SUMIFS(NewEmisData!M:M, NewEmisData!$A:$A, $G163, NewEmisData!$B:$B, $A163, NewEmisData!$C:$C, $H163, NewEmisData!$D:$D, S$6)</f>
        <v>1560.07677043992</v>
      </c>
      <c r="T163" s="1111">
        <f t="shared" ref="T163:T226" si="290">S163</f>
        <v>1560.07677043992</v>
      </c>
      <c r="U163" s="1111">
        <f>SUMIFS(NewEmisData!E:E, NewEmisData!$A:$A, $G163, NewEmisData!$B:$B, $A163, NewEmisData!$C:$C, $H163, NewEmisData!$D:$D, U$6)</f>
        <v>4.4339350215429896</v>
      </c>
      <c r="V163" s="1111">
        <f>SUMIFS(NewEmisData!F:F, NewEmisData!$A:$A, $G163, NewEmisData!$B:$B, $A163, NewEmisData!$C:$C, $H163, NewEmisData!$D:$D, V$6)</f>
        <v>3.9615409236254</v>
      </c>
      <c r="W163" s="1111">
        <f>SUMIFS(NewEmisData!G:G, NewEmisData!$A:$A, $G163, NewEmisData!$B:$B, $A163, NewEmisData!$C:$C, $H163, NewEmisData!$D:$D, W$6)</f>
        <v>1.33028401660566</v>
      </c>
      <c r="X163" s="1111">
        <f>SUMIFS(NewEmisData!H:H, NewEmisData!$A:$A, $G163, NewEmisData!$B:$B, $A163, NewEmisData!$C:$C, $H163, NewEmisData!$D:$D, X$6)</f>
        <v>0.96801463367483198</v>
      </c>
      <c r="Y163" s="1111">
        <f>SUMIFS(NewEmisData!I:I, NewEmisData!$A:$A, $G163, NewEmisData!$B:$B, $A163, NewEmisData!$C:$C, $H163, NewEmisData!$D:$D, Y$6)</f>
        <v>0.810835029277582</v>
      </c>
      <c r="Z163" s="1111">
        <f>SUMIFS(NewEmisData!J:J, NewEmisData!$A:$A, $G163, NewEmisData!$B:$B, $A163, NewEmisData!$C:$C, $H163, NewEmisData!$D:$D, Z$6)</f>
        <v>0.73984590086297597</v>
      </c>
      <c r="AA163" s="1111">
        <f>SUMIFS(NewEmisData!K:K, NewEmisData!$A:$A, $G163, NewEmisData!$B:$B, $A163, NewEmisData!$C:$C, $H163, NewEmisData!$D:$D, AA$6)</f>
        <v>0.71912537608469196</v>
      </c>
      <c r="AB163" s="1111">
        <f>SUMIFS(NewEmisData!L:L, NewEmisData!$A:$A, $G163, NewEmisData!$B:$B, $A163, NewEmisData!$C:$C, $H163, NewEmisData!$D:$D, AB$6)</f>
        <v>0.71458926415217605</v>
      </c>
      <c r="AC163" s="1111">
        <f>SUMIFS(NewEmisData!M:M, NewEmisData!$A:$A, $G163, NewEmisData!$B:$B, $A163, NewEmisData!$C:$C, $H163, NewEmisData!$D:$D, AC$6)</f>
        <v>0.71327232452186995</v>
      </c>
      <c r="AD163" s="1111">
        <f t="shared" si="229"/>
        <v>0.71327232452186995</v>
      </c>
      <c r="AE163" s="1111">
        <f t="shared" si="241"/>
        <v>2.71879476544729E-2</v>
      </c>
      <c r="AF163" s="1111">
        <f>SUMIFS(NewEmisData!E:E, NewEmisData!$A:$A, $G163, NewEmisData!$B:$B, $A163, NewEmisData!$C:$C, $H163, NewEmisData!$D:$D, AF$6)</f>
        <v>2.71879476544729E-2</v>
      </c>
      <c r="AG163" s="1111">
        <f>SUMIFS(NewEmisData!F:F, NewEmisData!$A:$A, $G163, NewEmisData!$B:$B, $A163, NewEmisData!$C:$C, $H163, NewEmisData!$D:$D, AG$6)</f>
        <v>2.72581702920257E-2</v>
      </c>
      <c r="AH163" s="1111">
        <f>SUMIFS(NewEmisData!G:G, NewEmisData!$A:$A, $G163, NewEmisData!$B:$B, $A163, NewEmisData!$C:$C, $H163, NewEmisData!$D:$D, AH$6)</f>
        <v>2.32491676049662E-2</v>
      </c>
      <c r="AI163" s="1111">
        <f>SUMIFS(NewEmisData!H:H, NewEmisData!$A:$A, $G163, NewEmisData!$B:$B, $A163, NewEmisData!$C:$C, $H163, NewEmisData!$D:$D, AI$6)</f>
        <v>2.28294094185802E-2</v>
      </c>
      <c r="AJ163" s="1111">
        <f>SUMIFS(NewEmisData!I:I, NewEmisData!$A:$A, $G163, NewEmisData!$B:$B, $A163, NewEmisData!$C:$C, $H163, NewEmisData!$D:$D, AJ$6)</f>
        <v>2.2496411359683499E-2</v>
      </c>
      <c r="AK163" s="1111">
        <f>SUMIFS(NewEmisData!J:J, NewEmisData!$A:$A, $G163, NewEmisData!$B:$B, $A163, NewEmisData!$C:$C, $H163, NewEmisData!$D:$D, AK$6)</f>
        <v>2.24091575903414E-2</v>
      </c>
      <c r="AL163" s="1111">
        <f>SUMIFS(NewEmisData!K:K, NewEmisData!$A:$A, $G163, NewEmisData!$B:$B, $A163, NewEmisData!$C:$C, $H163, NewEmisData!$D:$D, AL$6)</f>
        <v>2.2385789717233699E-2</v>
      </c>
      <c r="AM163" s="1111">
        <f>SUMIFS(NewEmisData!L:L, NewEmisData!$A:$A, $G163, NewEmisData!$B:$B, $A163, NewEmisData!$C:$C, $H163, NewEmisData!$D:$D, AM$6)</f>
        <v>2.23812039581394E-2</v>
      </c>
      <c r="AN163" s="1111">
        <f>SUMIFS(NewEmisData!M:M, NewEmisData!$A:$A, $G163, NewEmisData!$B:$B, $A163, NewEmisData!$C:$C, $H163, NewEmisData!$D:$D, AN$6)</f>
        <v>2.2380112251842499E-2</v>
      </c>
      <c r="AO163" s="1111">
        <f t="shared" si="242"/>
        <v>2.2380112251842499E-2</v>
      </c>
      <c r="AP163" s="1111">
        <f t="shared" si="243"/>
        <v>0.29570181024604603</v>
      </c>
      <c r="AQ163" s="1111">
        <f>SUMIFS(NewEmisData!E:E, NewEmisData!$A:$A, $G163, NewEmisData!$B:$B, $A163, NewEmisData!$C:$C, $H163, NewEmisData!$D:$D, AQ$6)</f>
        <v>0.29570181024604603</v>
      </c>
      <c r="AR163" s="1111">
        <f>SUMIFS(NewEmisData!F:F, NewEmisData!$A:$A, $G163, NewEmisData!$B:$B, $A163, NewEmisData!$C:$C, $H163, NewEmisData!$D:$D, AR$6)</f>
        <v>0.31347002724777001</v>
      </c>
      <c r="AS163" s="1111">
        <f>SUMIFS(NewEmisData!G:G, NewEmisData!$A:$A, $G163, NewEmisData!$B:$B, $A163, NewEmisData!$C:$C, $H163, NewEmisData!$D:$D, AS$6)</f>
        <v>0.29348248729715698</v>
      </c>
      <c r="AT163" s="1111">
        <f>SUMIFS(NewEmisData!H:H, NewEmisData!$A:$A, $G163, NewEmisData!$B:$B, $A163, NewEmisData!$C:$C, $H163, NewEmisData!$D:$D, AT$6)</f>
        <v>0.29400895980241698</v>
      </c>
      <c r="AU163" s="1111">
        <f>SUMIFS(NewEmisData!I:I, NewEmisData!$A:$A, $G163, NewEmisData!$B:$B, $A163, NewEmisData!$C:$C, $H163, NewEmisData!$D:$D, AU$6)</f>
        <v>0.29451767447034</v>
      </c>
      <c r="AV163" s="1111">
        <f>SUMIFS(NewEmisData!J:J, NewEmisData!$A:$A, $G163, NewEmisData!$B:$B, $A163, NewEmisData!$C:$C, $H163, NewEmisData!$D:$D, AV$6)</f>
        <v>0.29481614241324999</v>
      </c>
      <c r="AW163" s="1111">
        <f>SUMIFS(NewEmisData!K:K, NewEmisData!$A:$A, $G163, NewEmisData!$B:$B, $A163, NewEmisData!$C:$C, $H163, NewEmisData!$D:$D, AW$6)</f>
        <v>0.29496671929746798</v>
      </c>
      <c r="AX163" s="1111">
        <f>SUMIFS(NewEmisData!L:L, NewEmisData!$A:$A, $G163, NewEmisData!$B:$B, $A163, NewEmisData!$C:$C, $H163, NewEmisData!$D:$D, AX$6)</f>
        <v>0.29501247169592298</v>
      </c>
      <c r="AY163" s="1111">
        <f>SUMIFS(NewEmisData!M:M, NewEmisData!$A:$A, $G163, NewEmisData!$B:$B, $A163, NewEmisData!$C:$C, $H163, NewEmisData!$D:$D, AY$6)</f>
        <v>0.29502934324841701</v>
      </c>
      <c r="AZ163" s="1111">
        <f t="shared" si="244"/>
        <v>0.29502934324841701</v>
      </c>
      <c r="BA163" s="1111">
        <f t="shared" si="245"/>
        <v>5.6205629802393201E-2</v>
      </c>
      <c r="BB163" s="1111">
        <f>SUMIFS(NewEmisData!E:E, NewEmisData!$A:$A, $G163, NewEmisData!$B:$B, $A163, NewEmisData!$C:$C, $H163, NewEmisData!$D:$D, BB$6)</f>
        <v>5.6205629802393201E-2</v>
      </c>
      <c r="BC163" s="1111">
        <f>SUMIFS(NewEmisData!F:F, NewEmisData!$A:$A, $G163, NewEmisData!$B:$B, $A163, NewEmisData!$C:$C, $H163, NewEmisData!$D:$D, BC$6)</f>
        <v>7.2194764578646903E-2</v>
      </c>
      <c r="BD163" s="1111">
        <f>SUMIFS(NewEmisData!G:G, NewEmisData!$A:$A, $G163, NewEmisData!$B:$B, $A163, NewEmisData!$C:$C, $H163, NewEmisData!$D:$D, BD$6)</f>
        <v>4.48839101088091E-2</v>
      </c>
      <c r="BE163" s="1111">
        <f>SUMIFS(NewEmisData!H:H, NewEmisData!$A:$A, $G163, NewEmisData!$B:$B, $A163, NewEmisData!$C:$C, $H163, NewEmisData!$D:$D, BE$6)</f>
        <v>4.4911356100480797E-2</v>
      </c>
      <c r="BF163" s="1111">
        <f>SUMIFS(NewEmisData!I:I, NewEmisData!$A:$A, $G163, NewEmisData!$B:$B, $A163, NewEmisData!$C:$C, $H163, NewEmisData!$D:$D, BF$6)</f>
        <v>4.52709454211217E-2</v>
      </c>
      <c r="BG163" s="1111">
        <f>SUMIFS(NewEmisData!J:J, NewEmisData!$A:$A, $G163, NewEmisData!$B:$B, $A163, NewEmisData!$C:$C, $H163, NewEmisData!$D:$D, BG$6)</f>
        <v>4.5510230108050102E-2</v>
      </c>
      <c r="BH163" s="1111">
        <f>SUMIFS(NewEmisData!K:K, NewEmisData!$A:$A, $G163, NewEmisData!$B:$B, $A163, NewEmisData!$C:$C, $H163, NewEmisData!$D:$D, BH$6)</f>
        <v>4.5637724556064498E-2</v>
      </c>
      <c r="BI163" s="1111">
        <f>SUMIFS(NewEmisData!L:L, NewEmisData!$A:$A, $G163, NewEmisData!$B:$B, $A163, NewEmisData!$C:$C, $H163, NewEmisData!$D:$D, BI$6)</f>
        <v>4.56765897746194E-2</v>
      </c>
      <c r="BJ163" s="1111">
        <f>SUMIFS(NewEmisData!M:M, NewEmisData!$A:$A, $G163, NewEmisData!$B:$B, $A163, NewEmisData!$C:$C, $H163, NewEmisData!$D:$D, BJ$6)</f>
        <v>4.5691464860186798E-2</v>
      </c>
      <c r="BK163" s="1111">
        <f t="shared" si="246"/>
        <v>4.5691464860186798E-2</v>
      </c>
      <c r="BL163" s="1111">
        <f t="shared" si="247"/>
        <v>36.177292371673602</v>
      </c>
      <c r="BM163" s="1111">
        <f>SUMIFS(NewEmisData!E:E, NewEmisData!$A:$A, $G163, NewEmisData!$B:$B, $A163, NewEmisData!$C:$C, $H163, NewEmisData!$D:$D, BM$6)</f>
        <v>36.177292371673602</v>
      </c>
      <c r="BN163" s="1111">
        <f>SUMIFS(NewEmisData!F:F, NewEmisData!$A:$A, $G163, NewEmisData!$B:$B, $A163, NewEmisData!$C:$C, $H163, NewEmisData!$D:$D, BN$6)</f>
        <v>37.664857731196101</v>
      </c>
      <c r="BO163" s="1111">
        <f>SUMIFS(NewEmisData!G:G, NewEmisData!$A:$A, $G163, NewEmisData!$B:$B, $A163, NewEmisData!$C:$C, $H163, NewEmisData!$D:$D, BO$6)</f>
        <v>13.345526144115</v>
      </c>
      <c r="BP163" s="1111">
        <f>SUMIFS(NewEmisData!H:H, NewEmisData!$A:$A, $G163, NewEmisData!$B:$B, $A163, NewEmisData!$C:$C, $H163, NewEmisData!$D:$D, BP$6)</f>
        <v>11.2726393432321</v>
      </c>
      <c r="BQ163" s="1111">
        <f>SUMIFS(NewEmisData!I:I, NewEmisData!$A:$A, $G163, NewEmisData!$B:$B, $A163, NewEmisData!$C:$C, $H163, NewEmisData!$D:$D, BQ$6)</f>
        <v>10.6231110988618</v>
      </c>
      <c r="BR163" s="1111">
        <f>SUMIFS(NewEmisData!J:J, NewEmisData!$A:$A, $G163, NewEmisData!$B:$B, $A163, NewEmisData!$C:$C, $H163, NewEmisData!$D:$D, BR$6)</f>
        <v>10.435587854097999</v>
      </c>
      <c r="BS163" s="1111">
        <f>SUMIFS(NewEmisData!K:K, NewEmisData!$A:$A, $G163, NewEmisData!$B:$B, $A163, NewEmisData!$C:$C, $H163, NewEmisData!$D:$D, BS$6)</f>
        <v>10.465169362167</v>
      </c>
      <c r="BT163" s="1111">
        <f>SUMIFS(NewEmisData!L:L, NewEmisData!$A:$A, $G163, NewEmisData!$B:$B, $A163, NewEmisData!$C:$C, $H163, NewEmisData!$D:$D, BT$6)</f>
        <v>10.5025719676633</v>
      </c>
      <c r="BU163" s="1111">
        <f>SUMIFS(NewEmisData!M:M, NewEmisData!$A:$A, $G163, NewEmisData!$B:$B, $A163, NewEmisData!$C:$C, $H163, NewEmisData!$D:$D, BU$6)</f>
        <v>10.526416150576599</v>
      </c>
      <c r="BV163" s="1111">
        <f t="shared" si="248"/>
        <v>10.526416150576599</v>
      </c>
      <c r="BW163" s="1111">
        <f t="shared" si="249"/>
        <v>2.2547746276717899</v>
      </c>
      <c r="BX163" s="1111">
        <f>SUMIFS(NewEmisData!E:E, NewEmisData!$A:$A, $G163, NewEmisData!$B:$B, $A163, NewEmisData!$C:$C, $H163, NewEmisData!$D:$D, BX$6)</f>
        <v>2.2547746276717899</v>
      </c>
      <c r="BY163" s="1111">
        <f>SUMIFS(NewEmisData!F:F, NewEmisData!$A:$A, $G163, NewEmisData!$B:$B, $A163, NewEmisData!$C:$C, $H163, NewEmisData!$D:$D, BY$6)</f>
        <v>2.8652548693587798</v>
      </c>
      <c r="BZ163" s="1111">
        <f>SUMIFS(NewEmisData!G:G, NewEmisData!$A:$A, $G163, NewEmisData!$B:$B, $A163, NewEmisData!$C:$C, $H163, NewEmisData!$D:$D, BZ$6)</f>
        <v>0.66453606773915896</v>
      </c>
      <c r="CA163" s="1111">
        <f>SUMIFS(NewEmisData!H:H, NewEmisData!$A:$A, $G163, NewEmisData!$B:$B, $A163, NewEmisData!$C:$C, $H163, NewEmisData!$D:$D, CA$6)</f>
        <v>0.52696134881096601</v>
      </c>
      <c r="CB163" s="1111">
        <f>SUMIFS(NewEmisData!I:I, NewEmisData!$A:$A, $G163, NewEmisData!$B:$B, $A163, NewEmisData!$C:$C, $H163, NewEmisData!$D:$D, CB$6)</f>
        <v>0.475085091842188</v>
      </c>
      <c r="CC163" s="1111">
        <f>SUMIFS(NewEmisData!J:J, NewEmisData!$A:$A, $G163, NewEmisData!$B:$B, $A163, NewEmisData!$C:$C, $H163, NewEmisData!$D:$D, CC$6)</f>
        <v>0.45399199428257297</v>
      </c>
      <c r="CD163" s="1111">
        <f>SUMIFS(NewEmisData!K:K, NewEmisData!$A:$A, $G163, NewEmisData!$B:$B, $A163, NewEmisData!$C:$C, $H163, NewEmisData!$D:$D, CD$6)</f>
        <v>0.45084584233142999</v>
      </c>
      <c r="CE163" s="1111">
        <f>SUMIFS(NewEmisData!L:L, NewEmisData!$A:$A, $G163, NewEmisData!$B:$B, $A163, NewEmisData!$C:$C, $H163, NewEmisData!$D:$D, CE$6)</f>
        <v>0.450741469309828</v>
      </c>
      <c r="CF163" s="1111">
        <f>SUMIFS(NewEmisData!M:M, NewEmisData!$A:$A, $G163, NewEmisData!$B:$B, $A163, NewEmisData!$C:$C, $H163, NewEmisData!$D:$D, CF$6)</f>
        <v>0.45074449890965201</v>
      </c>
      <c r="CG163" s="1111">
        <f t="shared" si="250"/>
        <v>0.45074449890965201</v>
      </c>
      <c r="CH163" s="1111">
        <f t="shared" si="251"/>
        <v>5.7867400606941198E-2</v>
      </c>
      <c r="CI163" s="1111">
        <f>SUMIFS(NewEmisData!E:E, NewEmisData!$A:$A, $G163, NewEmisData!$B:$B, $A163, NewEmisData!$C:$C, $H163, NewEmisData!$D:$D, CI$6)</f>
        <v>5.7867400606941198E-2</v>
      </c>
      <c r="CJ163" s="1111">
        <f>SUMIFS(NewEmisData!F:F, NewEmisData!$A:$A, $G163, NewEmisData!$B:$B, $A163, NewEmisData!$C:$C, $H163, NewEmisData!$D:$D, CJ$6)</f>
        <v>5.7868748340902797E-2</v>
      </c>
      <c r="CK163" s="1111">
        <f>SUMIFS(NewEmisData!G:G, NewEmisData!$A:$A, $G163, NewEmisData!$B:$B, $A163, NewEmisData!$C:$C, $H163, NewEmisData!$D:$D, CK$6)</f>
        <v>6.6009929070185699E-2</v>
      </c>
      <c r="CL163" s="1111">
        <f>SUMIFS(NewEmisData!H:H, NewEmisData!$A:$A, $G163, NewEmisData!$B:$B, $A163, NewEmisData!$C:$C, $H163, NewEmisData!$D:$D, CL$6)</f>
        <v>6.6010246689438001E-2</v>
      </c>
      <c r="CM163" s="1111">
        <f>SUMIFS(NewEmisData!I:I, NewEmisData!$A:$A, $G163, NewEmisData!$B:$B, $A163, NewEmisData!$C:$C, $H163, NewEmisData!$D:$D, CM$6)</f>
        <v>6.6010539794431194E-2</v>
      </c>
      <c r="CN163" s="1111">
        <f>SUMIFS(NewEmisData!J:J, NewEmisData!$A:$A, $G163, NewEmisData!$B:$B, $A163, NewEmisData!$C:$C, $H163, NewEmisData!$D:$D, CN$6)</f>
        <v>6.6010651142724794E-2</v>
      </c>
      <c r="CO163" s="1111">
        <f>SUMIFS(NewEmisData!K:K, NewEmisData!$A:$A, $G163, NewEmisData!$B:$B, $A163, NewEmisData!$C:$C, $H163, NewEmisData!$D:$D, CO$6)</f>
        <v>6.60106383420173E-2</v>
      </c>
      <c r="CP163" s="1111">
        <f>SUMIFS(NewEmisData!L:L, NewEmisData!$A:$A, $G163, NewEmisData!$B:$B, $A163, NewEmisData!$C:$C, $H163, NewEmisData!$D:$D, CP$6)</f>
        <v>6.6010618394000603E-2</v>
      </c>
      <c r="CQ163" s="1111">
        <f>SUMIFS(NewEmisData!M:M, NewEmisData!$A:$A, $G163, NewEmisData!$B:$B, $A163, NewEmisData!$C:$C, $H163, NewEmisData!$D:$D, CQ$6)</f>
        <v>6.6010633444598496E-2</v>
      </c>
      <c r="CR163" s="1111">
        <f t="shared" si="252"/>
        <v>6.6010633444598496E-2</v>
      </c>
      <c r="CS163" s="1111">
        <f t="shared" si="253"/>
        <v>7.2164995475767907E-2</v>
      </c>
      <c r="CT163" s="1111">
        <f>SUMIFS(NewEmisData!E:E, NewEmisData!$A:$A, $G163, NewEmisData!$B:$B, $A163, NewEmisData!$C:$C, $H163, NewEmisData!$D:$D, CT$6)</f>
        <v>7.2164995475767907E-2</v>
      </c>
      <c r="CU163" s="1111">
        <f>SUMIFS(NewEmisData!F:F, NewEmisData!$A:$A, $G163, NewEmisData!$B:$B, $A163, NewEmisData!$C:$C, $H163, NewEmisData!$D:$D, CU$6)</f>
        <v>6.4879251441518196E-2</v>
      </c>
      <c r="CV163" s="1111">
        <f>SUMIFS(NewEmisData!G:G, NewEmisData!$A:$A, $G163, NewEmisData!$B:$B, $A163, NewEmisData!$C:$C, $H163, NewEmisData!$D:$D, CV$6)</f>
        <v>2.6568003004939798E-2</v>
      </c>
      <c r="CW163" s="1111">
        <f>SUMIFS(NewEmisData!H:H, NewEmisData!$A:$A, $G163, NewEmisData!$B:$B, $A163, NewEmisData!$C:$C, $H163, NewEmisData!$D:$D, CW$6)</f>
        <v>1.84437934507856E-2</v>
      </c>
      <c r="CX163" s="1111">
        <f>SUMIFS(NewEmisData!I:I, NewEmisData!$A:$A, $G163, NewEmisData!$B:$B, $A163, NewEmisData!$C:$C, $H163, NewEmisData!$D:$D, CX$6)</f>
        <v>1.6327699656927399E-2</v>
      </c>
      <c r="CY163" s="1111">
        <f>SUMIFS(NewEmisData!J:J, NewEmisData!$A:$A, $G163, NewEmisData!$B:$B, $A163, NewEmisData!$C:$C, $H163, NewEmisData!$D:$D, CY$6)</f>
        <v>1.5748807787192998E-2</v>
      </c>
      <c r="CZ163" s="1111">
        <f>SUMIFS(NewEmisData!K:K, NewEmisData!$A:$A, $G163, NewEmisData!$B:$B, $A163, NewEmisData!$C:$C, $H163, NewEmisData!$D:$D, CZ$6)</f>
        <v>1.5674972697843501E-2</v>
      </c>
      <c r="DA163" s="1111">
        <f>SUMIFS(NewEmisData!L:L, NewEmisData!$A:$A, $G163, NewEmisData!$B:$B, $A163, NewEmisData!$C:$C, $H163, NewEmisData!$D:$D, DA$6)</f>
        <v>1.56348406818691E-2</v>
      </c>
      <c r="DB163" s="1111">
        <f>SUMIFS(NewEmisData!M:M, NewEmisData!$A:$A, $G163, NewEmisData!$B:$B, $A163, NewEmisData!$C:$C, $H163, NewEmisData!$D:$D, DB$6)</f>
        <v>1.5654725632317699E-2</v>
      </c>
      <c r="DC163" s="1111">
        <f t="shared" si="254"/>
        <v>1.5654725632317699E-2</v>
      </c>
      <c r="DD163" s="1111"/>
      <c r="DE163" s="1111"/>
      <c r="DF163" s="1111"/>
      <c r="DG163" s="1111"/>
      <c r="DH163" s="1111"/>
      <c r="DI163" s="1111"/>
      <c r="DJ163" s="1111"/>
      <c r="DK163" s="1111"/>
      <c r="DL163" s="1111"/>
      <c r="DM163" s="1111"/>
      <c r="DN163" s="1111"/>
      <c r="DO163" s="1111"/>
      <c r="DP163" s="1111"/>
      <c r="DQ163" s="1111"/>
      <c r="DR163" s="1111"/>
      <c r="DS163" s="1111"/>
      <c r="DT163" s="1111"/>
      <c r="DU163" s="1111"/>
      <c r="DV163" s="1111"/>
      <c r="DW163" s="1111"/>
      <c r="DX163" s="1111"/>
      <c r="DY163" s="1111"/>
      <c r="DZ163" s="1111">
        <f t="shared" si="255"/>
        <v>7.65679998253877E-2</v>
      </c>
      <c r="EA163" s="1111">
        <f>SUMIFS(NewEmisData!E:E, NewEmisData!$A:$A, $G163, NewEmisData!$B:$B, $A163, NewEmisData!$C:$C, $H163, NewEmisData!$D:$D, EA$6)</f>
        <v>7.65679998253877E-2</v>
      </c>
      <c r="EB163" s="1111">
        <f>SUMIFS(NewEmisData!F:F, NewEmisData!$A:$A, $G163, NewEmisData!$B:$B, $A163, NewEmisData!$C:$C, $H163, NewEmisData!$D:$D, EB$6)</f>
        <v>0.109010255412455</v>
      </c>
      <c r="EC163" s="1111">
        <f>SUMIFS(NewEmisData!G:G, NewEmisData!$A:$A, $G163, NewEmisData!$B:$B, $A163, NewEmisData!$C:$C, $H163, NewEmisData!$D:$D, EC$6)</f>
        <v>1.54277976093114E-2</v>
      </c>
      <c r="ED163" s="1111">
        <f>SUMIFS(NewEmisData!H:H, NewEmisData!$A:$A, $G163, NewEmisData!$B:$B, $A163, NewEmisData!$C:$C, $H163, NewEmisData!$D:$D, ED$6)</f>
        <v>1.2984971623169601E-2</v>
      </c>
      <c r="EE163" s="1111">
        <f>SUMIFS(NewEmisData!I:I, NewEmisData!$A:$A, $G163, NewEmisData!$B:$B, $A163, NewEmisData!$C:$C, $H163, NewEmisData!$D:$D, EE$6)</f>
        <v>1.22605780123332E-2</v>
      </c>
      <c r="EF163" s="1111">
        <f>SUMIFS(NewEmisData!J:J, NewEmisData!$A:$A, $G163, NewEmisData!$B:$B, $A163, NewEmisData!$C:$C, $H163, NewEmisData!$D:$D, EF$6)</f>
        <v>1.20992421043245E-2</v>
      </c>
      <c r="EG163" s="1111">
        <f>SUMIFS(NewEmisData!K:K, NewEmisData!$A:$A, $G163, NewEmisData!$B:$B, $A163, NewEmisData!$C:$C, $H163, NewEmisData!$D:$D, EG$6)</f>
        <v>1.2123397445436401E-2</v>
      </c>
      <c r="EH163" s="1111">
        <f>SUMIFS(NewEmisData!L:L, NewEmisData!$A:$A, $G163, NewEmisData!$B:$B, $A163, NewEmisData!$C:$C, $H163, NewEmisData!$D:$D, EH$6)</f>
        <v>1.2132958592882499E-2</v>
      </c>
      <c r="EI163" s="1111">
        <f>SUMIFS(NewEmisData!M:M, NewEmisData!$A:$A, $G163, NewEmisData!$B:$B, $A163, NewEmisData!$C:$C, $H163, NewEmisData!$D:$D, EI$6)</f>
        <v>1.21315180972552E-2</v>
      </c>
      <c r="EJ163" s="1111">
        <f t="shared" si="256"/>
        <v>1.21315180972552E-2</v>
      </c>
      <c r="EK163" s="1111">
        <f t="shared" si="257"/>
        <v>1571.23838726393</v>
      </c>
      <c r="EL163" s="1111">
        <f t="shared" si="269"/>
        <v>1571.23838726393</v>
      </c>
      <c r="EM163" s="1111">
        <f t="shared" si="270"/>
        <v>1575.29652368133</v>
      </c>
      <c r="EN163" s="1111">
        <f t="shared" si="271"/>
        <v>1620.65726903051</v>
      </c>
      <c r="EO163" s="1111">
        <f t="shared" si="272"/>
        <v>1591.3958126743701</v>
      </c>
      <c r="EP163" s="1111">
        <f t="shared" si="273"/>
        <v>1568.18391586794</v>
      </c>
      <c r="EQ163" s="1111">
        <f t="shared" si="274"/>
        <v>1562.10113018675</v>
      </c>
      <c r="ER163" s="1111">
        <f t="shared" si="275"/>
        <v>1560.4729957351501</v>
      </c>
      <c r="ES163" s="1111">
        <f t="shared" si="276"/>
        <v>1560.1538107035101</v>
      </c>
      <c r="ET163" s="1111">
        <f t="shared" si="277"/>
        <v>1560.07677043992</v>
      </c>
      <c r="EU163" s="1111">
        <f t="shared" si="278"/>
        <v>1560.07677043992</v>
      </c>
      <c r="EV163" s="1111">
        <f t="shared" si="258"/>
        <v>4.4339350215429896</v>
      </c>
      <c r="EW163" s="1111">
        <f t="shared" si="259"/>
        <v>4.4339350215429896</v>
      </c>
      <c r="EX163" s="1111">
        <f t="shared" si="260"/>
        <v>3.9615409236254</v>
      </c>
      <c r="EY163" s="1111">
        <f t="shared" si="261"/>
        <v>1.33028401660566</v>
      </c>
      <c r="EZ163" s="1111">
        <f t="shared" si="262"/>
        <v>0.96801463367483198</v>
      </c>
      <c r="FA163" s="1111">
        <f t="shared" si="263"/>
        <v>0.810835029277582</v>
      </c>
      <c r="FB163" s="1111">
        <f t="shared" si="264"/>
        <v>0.73984590086297597</v>
      </c>
      <c r="FC163" s="1111">
        <f t="shared" si="265"/>
        <v>0.71912537608469196</v>
      </c>
      <c r="FD163" s="1111">
        <f t="shared" si="266"/>
        <v>0.71458926415217605</v>
      </c>
      <c r="FE163" s="1111">
        <f t="shared" si="267"/>
        <v>0.71327232452186995</v>
      </c>
      <c r="FF163" s="1111">
        <f t="shared" si="268"/>
        <v>0.71327232452186995</v>
      </c>
      <c r="FG163" s="1111">
        <f t="shared" si="193"/>
        <v>2.71879476544729E-2</v>
      </c>
      <c r="FH163" s="1111">
        <f t="shared" si="194"/>
        <v>2.71879476544729E-2</v>
      </c>
      <c r="FI163" s="1111">
        <f t="shared" si="195"/>
        <v>2.72581702920257E-2</v>
      </c>
      <c r="FJ163" s="1111">
        <f t="shared" si="196"/>
        <v>2.32491676049662E-2</v>
      </c>
      <c r="FK163" s="1111">
        <f t="shared" si="197"/>
        <v>2.28294094185802E-2</v>
      </c>
      <c r="FL163" s="1111">
        <f t="shared" si="198"/>
        <v>2.2496411359683499E-2</v>
      </c>
      <c r="FM163" s="1111">
        <f t="shared" si="199"/>
        <v>2.24091575903414E-2</v>
      </c>
      <c r="FN163" s="1111">
        <f t="shared" si="200"/>
        <v>2.2385789717233699E-2</v>
      </c>
      <c r="FO163" s="1111">
        <f t="shared" si="201"/>
        <v>2.23812039581394E-2</v>
      </c>
      <c r="FP163" s="1111">
        <f t="shared" si="202"/>
        <v>2.2380112251842499E-2</v>
      </c>
      <c r="FQ163" s="1111">
        <f t="shared" si="203"/>
        <v>2.2380112251842499E-2</v>
      </c>
      <c r="FR163" s="1111">
        <f t="shared" si="230"/>
        <v>0.29570181024604603</v>
      </c>
      <c r="FS163" s="1111">
        <f t="shared" si="231"/>
        <v>0.29570181024604603</v>
      </c>
      <c r="FT163" s="1111">
        <f t="shared" si="232"/>
        <v>0.31347002724777001</v>
      </c>
      <c r="FU163" s="1111">
        <f t="shared" si="233"/>
        <v>0.29348248729715698</v>
      </c>
      <c r="FV163" s="1111">
        <f t="shared" si="234"/>
        <v>0.29400895980241698</v>
      </c>
      <c r="FW163" s="1111">
        <f t="shared" si="235"/>
        <v>0.29451767447034</v>
      </c>
      <c r="FX163" s="1111">
        <f t="shared" si="236"/>
        <v>0.29481614241324999</v>
      </c>
      <c r="FY163" s="1111">
        <f t="shared" si="237"/>
        <v>0.29496671929746798</v>
      </c>
      <c r="FZ163" s="1111">
        <f t="shared" si="238"/>
        <v>0.29501247169592298</v>
      </c>
      <c r="GA163" s="1111">
        <f t="shared" si="239"/>
        <v>0.29502934324841701</v>
      </c>
      <c r="GB163" s="1111">
        <f t="shared" si="240"/>
        <v>0.29502934324841701</v>
      </c>
      <c r="GC163" s="1111">
        <f t="shared" si="279"/>
        <v>5.6205629802393201E-2</v>
      </c>
      <c r="GD163" s="1111">
        <f t="shared" si="280"/>
        <v>5.6205629802393201E-2</v>
      </c>
      <c r="GE163" s="1111">
        <f t="shared" si="281"/>
        <v>7.2194764578646903E-2</v>
      </c>
      <c r="GF163" s="1111">
        <f t="shared" si="282"/>
        <v>4.48839101088091E-2</v>
      </c>
      <c r="GG163" s="1111">
        <f t="shared" si="283"/>
        <v>4.4911356100480797E-2</v>
      </c>
      <c r="GH163" s="1111">
        <f t="shared" si="284"/>
        <v>4.52709454211217E-2</v>
      </c>
      <c r="GI163" s="1111">
        <f t="shared" si="285"/>
        <v>4.5510230108050102E-2</v>
      </c>
      <c r="GJ163" s="1111">
        <f t="shared" si="286"/>
        <v>4.5637724556064498E-2</v>
      </c>
      <c r="GK163" s="1111">
        <f t="shared" si="287"/>
        <v>4.56765897746194E-2</v>
      </c>
      <c r="GL163" s="1111">
        <f t="shared" si="288"/>
        <v>4.5691464860186798E-2</v>
      </c>
      <c r="GM163" s="1111">
        <f t="shared" si="289"/>
        <v>4.5691464860186798E-2</v>
      </c>
    </row>
    <row r="164" spans="1:195" x14ac:dyDescent="0.2">
      <c r="A164" s="1071" t="s">
        <v>188</v>
      </c>
      <c r="B164" s="1071" t="str">
        <f>Technologies!C115</f>
        <v>TMGSLC</v>
      </c>
      <c r="C164" s="1071" t="str">
        <f>Technologies!D115</f>
        <v>Medium Duty Truck, Conventional Gasoline</v>
      </c>
      <c r="D164" s="1071" t="str">
        <f>NewTech!D67</f>
        <v>bn-vmt, bn-vmt/a</v>
      </c>
      <c r="E164" s="1071" t="str">
        <f>NewTech!E68</f>
        <v>TMGSL</v>
      </c>
      <c r="F164" s="1071" t="str">
        <f>NewTech!F68</f>
        <v>TM</v>
      </c>
      <c r="G164" s="1110" t="s">
        <v>503</v>
      </c>
      <c r="H164" s="1110" t="s">
        <v>500</v>
      </c>
      <c r="I164" s="1112">
        <v>1</v>
      </c>
      <c r="J164" s="1111" t="str">
        <f t="shared" si="37"/>
        <v>Medium duty-GSL</v>
      </c>
      <c r="K164" s="1111">
        <f>SUMIFS(NewEmisData!E:E, NewEmisData!$A:$A, $G164, NewEmisData!$B:$B, $A164, NewEmisData!$C:$C, $H164, NewEmisData!$D:$D, K$6)</f>
        <v>1295.14987573646</v>
      </c>
      <c r="L164" s="1111">
        <f>SUMIFS(NewEmisData!F:F, NewEmisData!$A:$A, $G164, NewEmisData!$B:$B, $A164, NewEmisData!$C:$C, $H164, NewEmisData!$D:$D, L$6)</f>
        <v>1270.8053069328</v>
      </c>
      <c r="M164" s="1111">
        <f>SUMIFS(NewEmisData!G:G, NewEmisData!$A:$A, $G164, NewEmisData!$B:$B, $A164, NewEmisData!$C:$C, $H164, NewEmisData!$D:$D, M$6)</f>
        <v>1116.9310844665499</v>
      </c>
      <c r="N164" s="1111">
        <f>SUMIFS(NewEmisData!H:H, NewEmisData!$A:$A, $G164, NewEmisData!$B:$B, $A164, NewEmisData!$C:$C, $H164, NewEmisData!$D:$D, N$6)</f>
        <v>1096.47271752758</v>
      </c>
      <c r="O164" s="1111">
        <f>SUMIFS(NewEmisData!I:I, NewEmisData!$A:$A, $G164, NewEmisData!$B:$B, $A164, NewEmisData!$C:$C, $H164, NewEmisData!$D:$D, O$6)</f>
        <v>1080.35797958793</v>
      </c>
      <c r="P164" s="1111">
        <f>SUMIFS(NewEmisData!J:J, NewEmisData!$A:$A, $G164, NewEmisData!$B:$B, $A164, NewEmisData!$C:$C, $H164, NewEmisData!$D:$D, P$6)</f>
        <v>1076.1283631843501</v>
      </c>
      <c r="Q164" s="1111">
        <f>SUMIFS(NewEmisData!K:K, NewEmisData!$A:$A, $G164, NewEmisData!$B:$B, $A164, NewEmisData!$C:$C, $H164, NewEmisData!$D:$D, Q$6)</f>
        <v>1074.99841740493</v>
      </c>
      <c r="R164" s="1111">
        <f>SUMIFS(NewEmisData!L:L, NewEmisData!$A:$A, $G164, NewEmisData!$B:$B, $A164, NewEmisData!$C:$C, $H164, NewEmisData!$D:$D, R$6)</f>
        <v>1074.7768639159699</v>
      </c>
      <c r="S164" s="1111">
        <f>SUMIFS(NewEmisData!M:M, NewEmisData!$A:$A, $G164, NewEmisData!$B:$B, $A164, NewEmisData!$C:$C, $H164, NewEmisData!$D:$D, S$6)</f>
        <v>1074.7231317103101</v>
      </c>
      <c r="T164" s="1111">
        <f t="shared" si="290"/>
        <v>1074.7231317103101</v>
      </c>
      <c r="U164" s="1111">
        <f>SUMIFS(NewEmisData!E:E, NewEmisData!$A:$A, $G164, NewEmisData!$B:$B, $A164, NewEmisData!$C:$C, $H164, NewEmisData!$D:$D, U$6)</f>
        <v>4.7005442822918502</v>
      </c>
      <c r="V164" s="1111">
        <f>SUMIFS(NewEmisData!F:F, NewEmisData!$A:$A, $G164, NewEmisData!$B:$B, $A164, NewEmisData!$C:$C, $H164, NewEmisData!$D:$D, V$6)</f>
        <v>3.08259000861326</v>
      </c>
      <c r="W164" s="1111">
        <f>SUMIFS(NewEmisData!G:G, NewEmisData!$A:$A, $G164, NewEmisData!$B:$B, $A164, NewEmisData!$C:$C, $H164, NewEmisData!$D:$D, W$6)</f>
        <v>1.0390638212911101</v>
      </c>
      <c r="X164" s="1111">
        <f>SUMIFS(NewEmisData!H:H, NewEmisData!$A:$A, $G164, NewEmisData!$B:$B, $A164, NewEmisData!$C:$C, $H164, NewEmisData!$D:$D, X$6)</f>
        <v>0.75779261060598802</v>
      </c>
      <c r="Y164" s="1111">
        <f>SUMIFS(NewEmisData!I:I, NewEmisData!$A:$A, $G164, NewEmisData!$B:$B, $A164, NewEmisData!$C:$C, $H164, NewEmisData!$D:$D, Y$6)</f>
        <v>0.63538679073275195</v>
      </c>
      <c r="Z164" s="1111">
        <f>SUMIFS(NewEmisData!J:J, NewEmisData!$A:$A, $G164, NewEmisData!$B:$B, $A164, NewEmisData!$C:$C, $H164, NewEmisData!$D:$D, Z$6)</f>
        <v>0.580083255346031</v>
      </c>
      <c r="AA164" s="1111">
        <f>SUMIFS(NewEmisData!K:K, NewEmisData!$A:$A, $G164, NewEmisData!$B:$B, $A164, NewEmisData!$C:$C, $H164, NewEmisData!$D:$D, AA$6)</f>
        <v>0.56397155784451702</v>
      </c>
      <c r="AB164" s="1111">
        <f>SUMIFS(NewEmisData!L:L, NewEmisData!$A:$A, $G164, NewEmisData!$B:$B, $A164, NewEmisData!$C:$C, $H164, NewEmisData!$D:$D, AB$6)</f>
        <v>0.56043589289625795</v>
      </c>
      <c r="AC164" s="1111">
        <f>SUMIFS(NewEmisData!M:M, NewEmisData!$A:$A, $G164, NewEmisData!$B:$B, $A164, NewEmisData!$C:$C, $H164, NewEmisData!$D:$D, AC$6)</f>
        <v>0.55941898537579804</v>
      </c>
      <c r="AD164" s="1111">
        <f t="shared" si="229"/>
        <v>0.55941898537579804</v>
      </c>
      <c r="AE164" s="1111">
        <f t="shared" si="241"/>
        <v>2.4310232310109099E-2</v>
      </c>
      <c r="AF164" s="1111">
        <f>SUMIFS(NewEmisData!E:E, NewEmisData!$A:$A, $G164, NewEmisData!$B:$B, $A164, NewEmisData!$C:$C, $H164, NewEmisData!$D:$D, AF$6)</f>
        <v>2.4310232310109099E-2</v>
      </c>
      <c r="AG164" s="1111">
        <f>SUMIFS(NewEmisData!F:F, NewEmisData!$A:$A, $G164, NewEmisData!$B:$B, $A164, NewEmisData!$C:$C, $H164, NewEmisData!$D:$D, AG$6)</f>
        <v>2.26976790505827E-2</v>
      </c>
      <c r="AH164" s="1111">
        <f>SUMIFS(NewEmisData!G:G, NewEmisData!$A:$A, $G164, NewEmisData!$B:$B, $A164, NewEmisData!$C:$C, $H164, NewEmisData!$D:$D, AH$6)</f>
        <v>1.6022950426801401E-2</v>
      </c>
      <c r="AI164" s="1111">
        <f>SUMIFS(NewEmisData!H:H, NewEmisData!$A:$A, $G164, NewEmisData!$B:$B, $A164, NewEmisData!$C:$C, $H164, NewEmisData!$D:$D, AI$6)</f>
        <v>1.5729470038709299E-2</v>
      </c>
      <c r="AJ164" s="1111">
        <f>SUMIFS(NewEmisData!I:I, NewEmisData!$A:$A, $G164, NewEmisData!$B:$B, $A164, NewEmisData!$C:$C, $H164, NewEmisData!$D:$D, AJ$6)</f>
        <v>1.5498287302921E-2</v>
      </c>
      <c r="AK164" s="1111">
        <f>SUMIFS(NewEmisData!J:J, NewEmisData!$A:$A, $G164, NewEmisData!$B:$B, $A164, NewEmisData!$C:$C, $H164, NewEmisData!$D:$D, AK$6)</f>
        <v>1.5437619705180801E-2</v>
      </c>
      <c r="AL164" s="1111">
        <f>SUMIFS(NewEmisData!K:K, NewEmisData!$A:$A, $G164, NewEmisData!$B:$B, $A164, NewEmisData!$C:$C, $H164, NewEmisData!$D:$D, AL$6)</f>
        <v>1.5421408919953399E-2</v>
      </c>
      <c r="AM164" s="1111">
        <f>SUMIFS(NewEmisData!L:L, NewEmisData!$A:$A, $G164, NewEmisData!$B:$B, $A164, NewEmisData!$C:$C, $H164, NewEmisData!$D:$D, AM$6)</f>
        <v>1.5418227354463399E-2</v>
      </c>
      <c r="AN164" s="1111">
        <f>SUMIFS(NewEmisData!M:M, NewEmisData!$A:$A, $G164, NewEmisData!$B:$B, $A164, NewEmisData!$C:$C, $H164, NewEmisData!$D:$D, AN$6)</f>
        <v>1.54174639116704E-2</v>
      </c>
      <c r="AO164" s="1111">
        <f t="shared" si="242"/>
        <v>1.54174639116704E-2</v>
      </c>
      <c r="AP164" s="1111">
        <f t="shared" si="243"/>
        <v>0.19559792469321799</v>
      </c>
      <c r="AQ164" s="1111">
        <f>SUMIFS(NewEmisData!E:E, NewEmisData!$A:$A, $G164, NewEmisData!$B:$B, $A164, NewEmisData!$C:$C, $H164, NewEmisData!$D:$D, AQ$6)</f>
        <v>0.19559792469321799</v>
      </c>
      <c r="AR164" s="1111">
        <f>SUMIFS(NewEmisData!F:F, NewEmisData!$A:$A, $G164, NewEmisData!$B:$B, $A164, NewEmisData!$C:$C, $H164, NewEmisData!$D:$D, AR$6)</f>
        <v>0.195854498358668</v>
      </c>
      <c r="AS164" s="1111">
        <f>SUMIFS(NewEmisData!G:G, NewEmisData!$A:$A, $G164, NewEmisData!$B:$B, $A164, NewEmisData!$C:$C, $H164, NewEmisData!$D:$D, AS$6)</f>
        <v>0.158834423055883</v>
      </c>
      <c r="AT164" s="1111">
        <f>SUMIFS(NewEmisData!H:H, NewEmisData!$A:$A, $G164, NewEmisData!$B:$B, $A164, NewEmisData!$C:$C, $H164, NewEmisData!$D:$D, AT$6)</f>
        <v>0.15912944493902401</v>
      </c>
      <c r="AU164" s="1111">
        <f>SUMIFS(NewEmisData!I:I, NewEmisData!$A:$A, $G164, NewEmisData!$B:$B, $A164, NewEmisData!$C:$C, $H164, NewEmisData!$D:$D, AU$6)</f>
        <v>0.159508665245508</v>
      </c>
      <c r="AV164" s="1111">
        <f>SUMIFS(NewEmisData!J:J, NewEmisData!$A:$A, $G164, NewEmisData!$B:$B, $A164, NewEmisData!$C:$C, $H164, NewEmisData!$D:$D, AV$6)</f>
        <v>0.15973496976197599</v>
      </c>
      <c r="AW164" s="1111">
        <f>SUMIFS(NewEmisData!K:K, NewEmisData!$A:$A, $G164, NewEmisData!$B:$B, $A164, NewEmisData!$C:$C, $H164, NewEmisData!$D:$D, AW$6)</f>
        <v>0.15985029461774</v>
      </c>
      <c r="AX164" s="1111">
        <f>SUMIFS(NewEmisData!L:L, NewEmisData!$A:$A, $G164, NewEmisData!$B:$B, $A164, NewEmisData!$C:$C, $H164, NewEmisData!$D:$D, AX$6)</f>
        <v>0.159884874617258</v>
      </c>
      <c r="AY164" s="1111">
        <f>SUMIFS(NewEmisData!M:M, NewEmisData!$A:$A, $G164, NewEmisData!$B:$B, $A164, NewEmisData!$C:$C, $H164, NewEmisData!$D:$D, AY$6)</f>
        <v>0.15989716821268901</v>
      </c>
      <c r="AZ164" s="1111">
        <f t="shared" si="244"/>
        <v>0.15989716821268901</v>
      </c>
      <c r="BA164" s="1111">
        <f t="shared" si="245"/>
        <v>6.1407596132052197E-2</v>
      </c>
      <c r="BB164" s="1111">
        <f>SUMIFS(NewEmisData!E:E, NewEmisData!$A:$A, $G164, NewEmisData!$B:$B, $A164, NewEmisData!$C:$C, $H164, NewEmisData!$D:$D, BB$6)</f>
        <v>6.1407596132052197E-2</v>
      </c>
      <c r="BC164" s="1111">
        <f>SUMIFS(NewEmisData!F:F, NewEmisData!$A:$A, $G164, NewEmisData!$B:$B, $A164, NewEmisData!$C:$C, $H164, NewEmisData!$D:$D, BC$6)</f>
        <v>5.5619399593761901E-2</v>
      </c>
      <c r="BD164" s="1111">
        <f>SUMIFS(NewEmisData!G:G, NewEmisData!$A:$A, $G164, NewEmisData!$B:$B, $A164, NewEmisData!$C:$C, $H164, NewEmisData!$D:$D, BD$6)</f>
        <v>2.6501774627894398E-2</v>
      </c>
      <c r="BE164" s="1111">
        <f>SUMIFS(NewEmisData!H:H, NewEmisData!$A:$A, $G164, NewEmisData!$B:$B, $A164, NewEmisData!$C:$C, $H164, NewEmisData!$D:$D, BE$6)</f>
        <v>2.6535568582948001E-2</v>
      </c>
      <c r="BF164" s="1111">
        <f>SUMIFS(NewEmisData!I:I, NewEmisData!$A:$A, $G164, NewEmisData!$B:$B, $A164, NewEmisData!$C:$C, $H164, NewEmisData!$D:$D, BF$6)</f>
        <v>2.68240676450552E-2</v>
      </c>
      <c r="BG164" s="1111">
        <f>SUMIFS(NewEmisData!J:J, NewEmisData!$A:$A, $G164, NewEmisData!$B:$B, $A164, NewEmisData!$C:$C, $H164, NewEmisData!$D:$D, BG$6)</f>
        <v>2.7011500327140701E-2</v>
      </c>
      <c r="BH164" s="1111">
        <f>SUMIFS(NewEmisData!K:K, NewEmisData!$A:$A, $G164, NewEmisData!$B:$B, $A164, NewEmisData!$C:$C, $H164, NewEmisData!$D:$D, BH$6)</f>
        <v>2.71105372443806E-2</v>
      </c>
      <c r="BI164" s="1111">
        <f>SUMIFS(NewEmisData!L:L, NewEmisData!$A:$A, $G164, NewEmisData!$B:$B, $A164, NewEmisData!$C:$C, $H164, NewEmisData!$D:$D, BI$6)</f>
        <v>2.7140215075382799E-2</v>
      </c>
      <c r="BJ164" s="1111">
        <f>SUMIFS(NewEmisData!M:M, NewEmisData!$A:$A, $G164, NewEmisData!$B:$B, $A164, NewEmisData!$C:$C, $H164, NewEmisData!$D:$D, BJ$6)</f>
        <v>2.7151187263261201E-2</v>
      </c>
      <c r="BK164" s="1111">
        <f t="shared" si="246"/>
        <v>2.7151187263261201E-2</v>
      </c>
      <c r="BL164" s="1111">
        <f t="shared" si="247"/>
        <v>37.072387310679602</v>
      </c>
      <c r="BM164" s="1111">
        <f>SUMIFS(NewEmisData!E:E, NewEmisData!$A:$A, $G164, NewEmisData!$B:$B, $A164, NewEmisData!$C:$C, $H164, NewEmisData!$D:$D, BM$6)</f>
        <v>37.072387310679602</v>
      </c>
      <c r="BN164" s="1111">
        <f>SUMIFS(NewEmisData!F:F, NewEmisData!$A:$A, $G164, NewEmisData!$B:$B, $A164, NewEmisData!$C:$C, $H164, NewEmisData!$D:$D, BN$6)</f>
        <v>25.792665103532201</v>
      </c>
      <c r="BO164" s="1111">
        <f>SUMIFS(NewEmisData!G:G, NewEmisData!$A:$A, $G164, NewEmisData!$B:$B, $A164, NewEmisData!$C:$C, $H164, NewEmisData!$D:$D, BO$6)</f>
        <v>9.5462177561034594</v>
      </c>
      <c r="BP164" s="1111">
        <f>SUMIFS(NewEmisData!H:H, NewEmisData!$A:$A, $G164, NewEmisData!$B:$B, $A164, NewEmisData!$C:$C, $H164, NewEmisData!$D:$D, BP$6)</f>
        <v>8.0392699220412105</v>
      </c>
      <c r="BQ164" s="1111">
        <f>SUMIFS(NewEmisData!I:I, NewEmisData!$A:$A, $G164, NewEmisData!$B:$B, $A164, NewEmisData!$C:$C, $H164, NewEmisData!$D:$D, BQ$6)</f>
        <v>7.5629439516014001</v>
      </c>
      <c r="BR164" s="1111">
        <f>SUMIFS(NewEmisData!J:J, NewEmisData!$A:$A, $G164, NewEmisData!$B:$B, $A164, NewEmisData!$C:$C, $H164, NewEmisData!$D:$D, BR$6)</f>
        <v>7.42380058325005</v>
      </c>
      <c r="BS164" s="1111">
        <f>SUMIFS(NewEmisData!K:K, NewEmisData!$A:$A, $G164, NewEmisData!$B:$B, $A164, NewEmisData!$C:$C, $H164, NewEmisData!$D:$D, BS$6)</f>
        <v>7.4426275255201499</v>
      </c>
      <c r="BT164" s="1111">
        <f>SUMIFS(NewEmisData!L:L, NewEmisData!$A:$A, $G164, NewEmisData!$B:$B, $A164, NewEmisData!$C:$C, $H164, NewEmisData!$D:$D, BT$6)</f>
        <v>7.4685453226779002</v>
      </c>
      <c r="BU164" s="1111">
        <f>SUMIFS(NewEmisData!M:M, NewEmisData!$A:$A, $G164, NewEmisData!$B:$B, $A164, NewEmisData!$C:$C, $H164, NewEmisData!$D:$D, BU$6)</f>
        <v>7.4852296254001702</v>
      </c>
      <c r="BV164" s="1111">
        <f t="shared" si="248"/>
        <v>7.4852296254001702</v>
      </c>
      <c r="BW164" s="1111">
        <f t="shared" si="249"/>
        <v>1.81554554352594</v>
      </c>
      <c r="BX164" s="1111">
        <f>SUMIFS(NewEmisData!E:E, NewEmisData!$A:$A, $G164, NewEmisData!$B:$B, $A164, NewEmisData!$C:$C, $H164, NewEmisData!$D:$D, BX$6)</f>
        <v>1.81554554352594</v>
      </c>
      <c r="BY164" s="1111">
        <f>SUMIFS(NewEmisData!F:F, NewEmisData!$A:$A, $G164, NewEmisData!$B:$B, $A164, NewEmisData!$C:$C, $H164, NewEmisData!$D:$D, BY$6)</f>
        <v>1.3100717618514499</v>
      </c>
      <c r="BZ164" s="1111">
        <f>SUMIFS(NewEmisData!G:G, NewEmisData!$A:$A, $G164, NewEmisData!$B:$B, $A164, NewEmisData!$C:$C, $H164, NewEmisData!$D:$D, BZ$6)</f>
        <v>0.39370379160048102</v>
      </c>
      <c r="CA164" s="1111">
        <f>SUMIFS(NewEmisData!H:H, NewEmisData!$A:$A, $G164, NewEmisData!$B:$B, $A164, NewEmisData!$C:$C, $H164, NewEmisData!$D:$D, CA$6)</f>
        <v>0.31228113561307103</v>
      </c>
      <c r="CB164" s="1111">
        <f>SUMIFS(NewEmisData!I:I, NewEmisData!$A:$A, $G164, NewEmisData!$B:$B, $A164, NewEmisData!$C:$C, $H164, NewEmisData!$D:$D, CB$6)</f>
        <v>0.28237497464649203</v>
      </c>
      <c r="CC164" s="1111">
        <f>SUMIFS(NewEmisData!J:J, NewEmisData!$A:$A, $G164, NewEmisData!$B:$B, $A164, NewEmisData!$C:$C, $H164, NewEmisData!$D:$D, CC$6)</f>
        <v>0.27043603612734302</v>
      </c>
      <c r="CD164" s="1111">
        <f>SUMIFS(NewEmisData!K:K, NewEmisData!$A:$A, $G164, NewEmisData!$B:$B, $A164, NewEmisData!$C:$C, $H164, NewEmisData!$D:$D, CD$6)</f>
        <v>0.26884074434480698</v>
      </c>
      <c r="CE164" s="1111">
        <f>SUMIFS(NewEmisData!L:L, NewEmisData!$A:$A, $G164, NewEmisData!$B:$B, $A164, NewEmisData!$C:$C, $H164, NewEmisData!$D:$D, CE$6)</f>
        <v>0.268857395941977</v>
      </c>
      <c r="CF164" s="1111">
        <f>SUMIFS(NewEmisData!M:M, NewEmisData!$A:$A, $G164, NewEmisData!$B:$B, $A164, NewEmisData!$C:$C, $H164, NewEmisData!$D:$D, CF$6)</f>
        <v>0.26888130166281199</v>
      </c>
      <c r="CG164" s="1111">
        <f t="shared" si="250"/>
        <v>0.26888130166281199</v>
      </c>
      <c r="CH164" s="1111">
        <f t="shared" si="251"/>
        <v>4.4354850737075603E-2</v>
      </c>
      <c r="CI164" s="1111">
        <f>SUMIFS(NewEmisData!E:E, NewEmisData!$A:$A, $G164, NewEmisData!$B:$B, $A164, NewEmisData!$C:$C, $H164, NewEmisData!$D:$D, CI$6)</f>
        <v>4.4354850737075603E-2</v>
      </c>
      <c r="CJ164" s="1111">
        <f>SUMIFS(NewEmisData!F:F, NewEmisData!$A:$A, $G164, NewEmisData!$B:$B, $A164, NewEmisData!$C:$C, $H164, NewEmisData!$D:$D, CJ$6)</f>
        <v>4.4606421809548602E-2</v>
      </c>
      <c r="CK164" s="1111">
        <f>SUMIFS(NewEmisData!G:G, NewEmisData!$A:$A, $G164, NewEmisData!$B:$B, $A164, NewEmisData!$C:$C, $H164, NewEmisData!$D:$D, CK$6)</f>
        <v>4.5833727376490101E-2</v>
      </c>
      <c r="CL164" s="1111">
        <f>SUMIFS(NewEmisData!H:H, NewEmisData!$A:$A, $G164, NewEmisData!$B:$B, $A164, NewEmisData!$C:$C, $H164, NewEmisData!$D:$D, CL$6)</f>
        <v>4.5835915019940797E-2</v>
      </c>
      <c r="CM164" s="1111">
        <f>SUMIFS(NewEmisData!I:I, NewEmisData!$A:$A, $G164, NewEmisData!$B:$B, $A164, NewEmisData!$C:$C, $H164, NewEmisData!$D:$D, CM$6)</f>
        <v>4.5836924876248103E-2</v>
      </c>
      <c r="CN164" s="1111">
        <f>SUMIFS(NewEmisData!J:J, NewEmisData!$A:$A, $G164, NewEmisData!$B:$B, $A164, NewEmisData!$C:$C, $H164, NewEmisData!$D:$D, CN$6)</f>
        <v>4.5837206762828597E-2</v>
      </c>
      <c r="CO164" s="1111">
        <f>SUMIFS(NewEmisData!K:K, NewEmisData!$A:$A, $G164, NewEmisData!$B:$B, $A164, NewEmisData!$C:$C, $H164, NewEmisData!$D:$D, CO$6)</f>
        <v>4.5837285402718399E-2</v>
      </c>
      <c r="CP164" s="1111">
        <f>SUMIFS(NewEmisData!L:L, NewEmisData!$A:$A, $G164, NewEmisData!$B:$B, $A164, NewEmisData!$C:$C, $H164, NewEmisData!$D:$D, CP$6)</f>
        <v>4.5837327743812703E-2</v>
      </c>
      <c r="CQ164" s="1111">
        <f>SUMIFS(NewEmisData!M:M, NewEmisData!$A:$A, $G164, NewEmisData!$B:$B, $A164, NewEmisData!$C:$C, $H164, NewEmisData!$D:$D, CQ$6)</f>
        <v>4.5837305828443899E-2</v>
      </c>
      <c r="CR164" s="1111">
        <f t="shared" si="252"/>
        <v>4.5837305828443899E-2</v>
      </c>
      <c r="CS164" s="1111">
        <f t="shared" si="253"/>
        <v>4.9787516424166102E-2</v>
      </c>
      <c r="CT164" s="1111">
        <f>SUMIFS(NewEmisData!E:E, NewEmisData!$A:$A, $G164, NewEmisData!$B:$B, $A164, NewEmisData!$C:$C, $H164, NewEmisData!$D:$D, CT$6)</f>
        <v>4.9787516424166102E-2</v>
      </c>
      <c r="CU164" s="1111">
        <f>SUMIFS(NewEmisData!F:F, NewEmisData!$A:$A, $G164, NewEmisData!$B:$B, $A164, NewEmisData!$C:$C, $H164, NewEmisData!$D:$D, CU$6)</f>
        <v>4.0085775499257799E-2</v>
      </c>
      <c r="CV164" s="1111">
        <f>SUMIFS(NewEmisData!G:G, NewEmisData!$A:$A, $G164, NewEmisData!$B:$B, $A164, NewEmisData!$C:$C, $H164, NewEmisData!$D:$D, CV$6)</f>
        <v>1.5231093201386501E-2</v>
      </c>
      <c r="CW164" s="1111">
        <f>SUMIFS(NewEmisData!H:H, NewEmisData!$A:$A, $G164, NewEmisData!$B:$B, $A164, NewEmisData!$C:$C, $H164, NewEmisData!$D:$D, CW$6)</f>
        <v>1.05082390102391E-2</v>
      </c>
      <c r="CX164" s="1111">
        <f>SUMIFS(NewEmisData!I:I, NewEmisData!$A:$A, $G164, NewEmisData!$B:$B, $A164, NewEmisData!$C:$C, $H164, NewEmisData!$D:$D, CX$6)</f>
        <v>9.2332663114354004E-3</v>
      </c>
      <c r="CY164" s="1111">
        <f>SUMIFS(NewEmisData!J:J, NewEmisData!$A:$A, $G164, NewEmisData!$B:$B, $A164, NewEmisData!$C:$C, $H164, NewEmisData!$D:$D, CY$6)</f>
        <v>8.8795270887270794E-3</v>
      </c>
      <c r="CZ164" s="1111">
        <f>SUMIFS(NewEmisData!K:K, NewEmisData!$A:$A, $G164, NewEmisData!$B:$B, $A164, NewEmisData!$C:$C, $H164, NewEmisData!$D:$D, CZ$6)</f>
        <v>8.8375979409894192E-3</v>
      </c>
      <c r="DA164" s="1111">
        <f>SUMIFS(NewEmisData!L:L, NewEmisData!$A:$A, $G164, NewEmisData!$B:$B, $A164, NewEmisData!$C:$C, $H164, NewEmisData!$D:$D, DA$6)</f>
        <v>8.8119276303445203E-3</v>
      </c>
      <c r="DB164" s="1111">
        <f>SUMIFS(NewEmisData!M:M, NewEmisData!$A:$A, $G164, NewEmisData!$B:$B, $A164, NewEmisData!$C:$C, $H164, NewEmisData!$D:$D, DB$6)</f>
        <v>8.8259459804548995E-3</v>
      </c>
      <c r="DC164" s="1111">
        <f t="shared" si="254"/>
        <v>8.8259459804548995E-3</v>
      </c>
      <c r="DD164" s="1111"/>
      <c r="DE164" s="1111"/>
      <c r="DF164" s="1111"/>
      <c r="DG164" s="1111"/>
      <c r="DH164" s="1111"/>
      <c r="DI164" s="1111"/>
      <c r="DJ164" s="1111"/>
      <c r="DK164" s="1111"/>
      <c r="DL164" s="1111"/>
      <c r="DM164" s="1111"/>
      <c r="DN164" s="1111"/>
      <c r="DO164" s="1111"/>
      <c r="DP164" s="1111"/>
      <c r="DQ164" s="1111"/>
      <c r="DR164" s="1111"/>
      <c r="DS164" s="1111"/>
      <c r="DT164" s="1111"/>
      <c r="DU164" s="1111"/>
      <c r="DV164" s="1111"/>
      <c r="DW164" s="1111"/>
      <c r="DX164" s="1111"/>
      <c r="DY164" s="1111"/>
      <c r="DZ164" s="1111">
        <f t="shared" si="255"/>
        <v>4.44098100343151E-2</v>
      </c>
      <c r="EA164" s="1111">
        <f>SUMIFS(NewEmisData!E:E, NewEmisData!$A:$A, $G164, NewEmisData!$B:$B, $A164, NewEmisData!$C:$C, $H164, NewEmisData!$D:$D, EA$6)</f>
        <v>4.44098100343151E-2</v>
      </c>
      <c r="EB164" s="1111">
        <f>SUMIFS(NewEmisData!F:F, NewEmisData!$A:$A, $G164, NewEmisData!$B:$B, $A164, NewEmisData!$C:$C, $H164, NewEmisData!$D:$D, EB$6)</f>
        <v>2.9304673870380101E-2</v>
      </c>
      <c r="EC164" s="1111">
        <f>SUMIFS(NewEmisData!G:G, NewEmisData!$A:$A, $G164, NewEmisData!$B:$B, $A164, NewEmisData!$C:$C, $H164, NewEmisData!$D:$D, EC$6)</f>
        <v>9.6598752165466002E-3</v>
      </c>
      <c r="ED164" s="1111">
        <f>SUMIFS(NewEmisData!H:H, NewEmisData!$A:$A, $G164, NewEmisData!$B:$B, $A164, NewEmisData!$C:$C, $H164, NewEmisData!$D:$D, ED$6)</f>
        <v>8.2574531868545402E-3</v>
      </c>
      <c r="EE164" s="1111">
        <f>SUMIFS(NewEmisData!I:I, NewEmisData!$A:$A, $G164, NewEmisData!$B:$B, $A164, NewEmisData!$C:$C, $H164, NewEmisData!$D:$D, EE$6)</f>
        <v>7.8634646205182502E-3</v>
      </c>
      <c r="EF164" s="1111">
        <f>SUMIFS(NewEmisData!J:J, NewEmisData!$A:$A, $G164, NewEmisData!$B:$B, $A164, NewEmisData!$C:$C, $H164, NewEmisData!$D:$D, EF$6)</f>
        <v>7.7933832365119603E-3</v>
      </c>
      <c r="EG164" s="1111">
        <f>SUMIFS(NewEmisData!K:K, NewEmisData!$A:$A, $G164, NewEmisData!$B:$B, $A164, NewEmisData!$C:$C, $H164, NewEmisData!$D:$D, EG$6)</f>
        <v>7.8217032086275798E-3</v>
      </c>
      <c r="EH164" s="1111">
        <f>SUMIFS(NewEmisData!L:L, NewEmisData!$A:$A, $G164, NewEmisData!$B:$B, $A164, NewEmisData!$C:$C, $H164, NewEmisData!$D:$D, EH$6)</f>
        <v>7.8307139594945199E-3</v>
      </c>
      <c r="EI164" s="1111">
        <f>SUMIFS(NewEmisData!M:M, NewEmisData!$A:$A, $G164, NewEmisData!$B:$B, $A164, NewEmisData!$C:$C, $H164, NewEmisData!$D:$D, EI$6)</f>
        <v>7.8300628211082704E-3</v>
      </c>
      <c r="EJ164" s="1111">
        <f t="shared" si="256"/>
        <v>7.8300628211082704E-3</v>
      </c>
      <c r="EK164" s="1111">
        <f t="shared" si="257"/>
        <v>1295.14987573646</v>
      </c>
      <c r="EL164" s="1111">
        <f t="shared" si="269"/>
        <v>1295.14987573646</v>
      </c>
      <c r="EM164" s="1111">
        <f t="shared" si="270"/>
        <v>1270.8053069328</v>
      </c>
      <c r="EN164" s="1111">
        <f t="shared" si="271"/>
        <v>1116.9310844665499</v>
      </c>
      <c r="EO164" s="1111">
        <f t="shared" si="272"/>
        <v>1096.47271752758</v>
      </c>
      <c r="EP164" s="1111">
        <f t="shared" si="273"/>
        <v>1080.35797958793</v>
      </c>
      <c r="EQ164" s="1111">
        <f t="shared" si="274"/>
        <v>1076.1283631843501</v>
      </c>
      <c r="ER164" s="1111">
        <f t="shared" si="275"/>
        <v>1074.99841740493</v>
      </c>
      <c r="ES164" s="1111">
        <f t="shared" si="276"/>
        <v>1074.7768639159699</v>
      </c>
      <c r="ET164" s="1111">
        <f t="shared" si="277"/>
        <v>1074.7231317103101</v>
      </c>
      <c r="EU164" s="1111">
        <f t="shared" si="278"/>
        <v>1074.7231317103101</v>
      </c>
      <c r="EV164" s="1111">
        <f t="shared" si="258"/>
        <v>4.7005442822918502</v>
      </c>
      <c r="EW164" s="1111">
        <f t="shared" si="259"/>
        <v>4.7005442822918502</v>
      </c>
      <c r="EX164" s="1111">
        <f t="shared" si="260"/>
        <v>3.08259000861326</v>
      </c>
      <c r="EY164" s="1111">
        <f t="shared" si="261"/>
        <v>1.0390638212911101</v>
      </c>
      <c r="EZ164" s="1111">
        <f t="shared" si="262"/>
        <v>0.75779261060598802</v>
      </c>
      <c r="FA164" s="1111">
        <f t="shared" si="263"/>
        <v>0.63538679073275195</v>
      </c>
      <c r="FB164" s="1111">
        <f t="shared" si="264"/>
        <v>0.580083255346031</v>
      </c>
      <c r="FC164" s="1111">
        <f t="shared" si="265"/>
        <v>0.56397155784451702</v>
      </c>
      <c r="FD164" s="1111">
        <f t="shared" si="266"/>
        <v>0.56043589289625795</v>
      </c>
      <c r="FE164" s="1111">
        <f t="shared" si="267"/>
        <v>0.55941898537579804</v>
      </c>
      <c r="FF164" s="1111">
        <f t="shared" si="268"/>
        <v>0.55941898537579804</v>
      </c>
      <c r="FG164" s="1111">
        <f t="shared" si="193"/>
        <v>2.4310232310109099E-2</v>
      </c>
      <c r="FH164" s="1111">
        <f t="shared" si="194"/>
        <v>2.4310232310109099E-2</v>
      </c>
      <c r="FI164" s="1111">
        <f t="shared" si="195"/>
        <v>2.26976790505827E-2</v>
      </c>
      <c r="FJ164" s="1111">
        <f t="shared" si="196"/>
        <v>1.6022950426801401E-2</v>
      </c>
      <c r="FK164" s="1111">
        <f t="shared" si="197"/>
        <v>1.5729470038709299E-2</v>
      </c>
      <c r="FL164" s="1111">
        <f t="shared" si="198"/>
        <v>1.5498287302921E-2</v>
      </c>
      <c r="FM164" s="1111">
        <f t="shared" si="199"/>
        <v>1.5437619705180801E-2</v>
      </c>
      <c r="FN164" s="1111">
        <f t="shared" si="200"/>
        <v>1.5421408919953399E-2</v>
      </c>
      <c r="FO164" s="1111">
        <f t="shared" si="201"/>
        <v>1.5418227354463399E-2</v>
      </c>
      <c r="FP164" s="1111">
        <f t="shared" si="202"/>
        <v>1.54174639116704E-2</v>
      </c>
      <c r="FQ164" s="1111">
        <f t="shared" si="203"/>
        <v>1.54174639116704E-2</v>
      </c>
      <c r="FR164" s="1111">
        <f t="shared" si="230"/>
        <v>0.19559792469321799</v>
      </c>
      <c r="FS164" s="1111">
        <f t="shared" si="231"/>
        <v>0.19559792469321799</v>
      </c>
      <c r="FT164" s="1111">
        <f t="shared" si="232"/>
        <v>0.195854498358668</v>
      </c>
      <c r="FU164" s="1111">
        <f t="shared" si="233"/>
        <v>0.158834423055883</v>
      </c>
      <c r="FV164" s="1111">
        <f t="shared" si="234"/>
        <v>0.15912944493902401</v>
      </c>
      <c r="FW164" s="1111">
        <f t="shared" si="235"/>
        <v>0.159508665245508</v>
      </c>
      <c r="FX164" s="1111">
        <f t="shared" si="236"/>
        <v>0.15973496976197599</v>
      </c>
      <c r="FY164" s="1111">
        <f t="shared" si="237"/>
        <v>0.15985029461774</v>
      </c>
      <c r="FZ164" s="1111">
        <f t="shared" si="238"/>
        <v>0.159884874617258</v>
      </c>
      <c r="GA164" s="1111">
        <f t="shared" si="239"/>
        <v>0.15989716821268901</v>
      </c>
      <c r="GB164" s="1111">
        <f t="shared" si="240"/>
        <v>0.15989716821268901</v>
      </c>
      <c r="GC164" s="1111">
        <f t="shared" si="279"/>
        <v>6.1407596132052197E-2</v>
      </c>
      <c r="GD164" s="1111">
        <f t="shared" si="280"/>
        <v>6.1407596132052197E-2</v>
      </c>
      <c r="GE164" s="1111">
        <f t="shared" si="281"/>
        <v>5.5619399593761901E-2</v>
      </c>
      <c r="GF164" s="1111">
        <f t="shared" si="282"/>
        <v>2.6501774627894398E-2</v>
      </c>
      <c r="GG164" s="1111">
        <f t="shared" si="283"/>
        <v>2.6535568582948001E-2</v>
      </c>
      <c r="GH164" s="1111">
        <f t="shared" si="284"/>
        <v>2.68240676450552E-2</v>
      </c>
      <c r="GI164" s="1111">
        <f t="shared" si="285"/>
        <v>2.7011500327140701E-2</v>
      </c>
      <c r="GJ164" s="1111">
        <f t="shared" si="286"/>
        <v>2.71105372443806E-2</v>
      </c>
      <c r="GK164" s="1111">
        <f t="shared" si="287"/>
        <v>2.7140215075382799E-2</v>
      </c>
      <c r="GL164" s="1111">
        <f t="shared" si="288"/>
        <v>2.7151187263261201E-2</v>
      </c>
      <c r="GM164" s="1111">
        <f t="shared" si="289"/>
        <v>2.7151187263261201E-2</v>
      </c>
    </row>
    <row r="165" spans="1:195" x14ac:dyDescent="0.2">
      <c r="A165" s="1071" t="s">
        <v>190</v>
      </c>
      <c r="B165" s="1071" t="str">
        <f>Technologies!C115</f>
        <v>TMGSLC</v>
      </c>
      <c r="C165" s="1071" t="str">
        <f>Technologies!D115</f>
        <v>Medium Duty Truck, Conventional Gasoline</v>
      </c>
      <c r="D165" s="1071" t="str">
        <f>NewTech!D67</f>
        <v>bn-vmt, bn-vmt/a</v>
      </c>
      <c r="E165" s="1071" t="str">
        <f>NewTech!E68</f>
        <v>TMGSL</v>
      </c>
      <c r="F165" s="1071" t="str">
        <f>NewTech!F68</f>
        <v>TM</v>
      </c>
      <c r="G165" s="1110" t="s">
        <v>503</v>
      </c>
      <c r="H165" s="1110" t="s">
        <v>500</v>
      </c>
      <c r="I165" s="1112">
        <v>1</v>
      </c>
      <c r="J165" s="1111" t="str">
        <f t="shared" si="37"/>
        <v>Medium duty-GSL</v>
      </c>
      <c r="K165" s="1111">
        <f>SUMIFS(NewEmisData!E:E, NewEmisData!$A:$A, $G165, NewEmisData!$B:$B, $A165, NewEmisData!$C:$C, $H165, NewEmisData!$D:$D, K$6)</f>
        <v>1204.2704996203399</v>
      </c>
      <c r="L165" s="1111">
        <f>SUMIFS(NewEmisData!F:F, NewEmisData!$A:$A, $G165, NewEmisData!$B:$B, $A165, NewEmisData!$C:$C, $H165, NewEmisData!$D:$D, L$6)</f>
        <v>1280.9014839137801</v>
      </c>
      <c r="M165" s="1111">
        <f>SUMIFS(NewEmisData!G:G, NewEmisData!$A:$A, $G165, NewEmisData!$B:$B, $A165, NewEmisData!$C:$C, $H165, NewEmisData!$D:$D, M$6)</f>
        <v>1309.1277572440899</v>
      </c>
      <c r="N165" s="1111">
        <f>SUMIFS(NewEmisData!H:H, NewEmisData!$A:$A, $G165, NewEmisData!$B:$B, $A165, NewEmisData!$C:$C, $H165, NewEmisData!$D:$D, N$6)</f>
        <v>1277.5848439676099</v>
      </c>
      <c r="O165" s="1111">
        <f>SUMIFS(NewEmisData!I:I, NewEmisData!$A:$A, $G165, NewEmisData!$B:$B, $A165, NewEmisData!$C:$C, $H165, NewEmisData!$D:$D, O$6)</f>
        <v>1259.05503169493</v>
      </c>
      <c r="P165" s="1111">
        <f>SUMIFS(NewEmisData!J:J, NewEmisData!$A:$A, $G165, NewEmisData!$B:$B, $A165, NewEmisData!$C:$C, $H165, NewEmisData!$D:$D, P$6)</f>
        <v>1254.08723086747</v>
      </c>
      <c r="Q165" s="1111">
        <f>SUMIFS(NewEmisData!K:K, NewEmisData!$A:$A, $G165, NewEmisData!$B:$B, $A165, NewEmisData!$C:$C, $H165, NewEmisData!$D:$D, Q$6)</f>
        <v>1252.90461894546</v>
      </c>
      <c r="R165" s="1111">
        <f>SUMIFS(NewEmisData!L:L, NewEmisData!$A:$A, $G165, NewEmisData!$B:$B, $A165, NewEmisData!$C:$C, $H165, NewEmisData!$D:$D, R$6)</f>
        <v>1252.7104430173399</v>
      </c>
      <c r="S165" s="1111">
        <f>SUMIFS(NewEmisData!M:M, NewEmisData!$A:$A, $G165, NewEmisData!$B:$B, $A165, NewEmisData!$C:$C, $H165, NewEmisData!$D:$D, S$6)</f>
        <v>1252.6870397442001</v>
      </c>
      <c r="T165" s="1111">
        <f t="shared" si="290"/>
        <v>1252.6870397442001</v>
      </c>
      <c r="U165" s="1111">
        <f>SUMIFS(NewEmisData!E:E, NewEmisData!$A:$A, $G165, NewEmisData!$B:$B, $A165, NewEmisData!$C:$C, $H165, NewEmisData!$D:$D, U$6)</f>
        <v>4.3448715610080901</v>
      </c>
      <c r="V165" s="1111">
        <f>SUMIFS(NewEmisData!F:F, NewEmisData!$A:$A, $G165, NewEmisData!$B:$B, $A165, NewEmisData!$C:$C, $H165, NewEmisData!$D:$D, V$6)</f>
        <v>2.68000771941229</v>
      </c>
      <c r="W165" s="1111">
        <f>SUMIFS(NewEmisData!G:G, NewEmisData!$A:$A, $G165, NewEmisData!$B:$B, $A165, NewEmisData!$C:$C, $H165, NewEmisData!$D:$D, W$6)</f>
        <v>1.2701406141530101</v>
      </c>
      <c r="X165" s="1111">
        <f>SUMIFS(NewEmisData!H:H, NewEmisData!$A:$A, $G165, NewEmisData!$B:$B, $A165, NewEmisData!$C:$C, $H165, NewEmisData!$D:$D, X$6)</f>
        <v>0.89637025450783203</v>
      </c>
      <c r="Y165" s="1111">
        <f>SUMIFS(NewEmisData!I:I, NewEmisData!$A:$A, $G165, NewEmisData!$B:$B, $A165, NewEmisData!$C:$C, $H165, NewEmisData!$D:$D, Y$6)</f>
        <v>0.74230586472414295</v>
      </c>
      <c r="Z165" s="1111">
        <f>SUMIFS(NewEmisData!J:J, NewEmisData!$A:$A, $G165, NewEmisData!$B:$B, $A165, NewEmisData!$C:$C, $H165, NewEmisData!$D:$D, Z$6)</f>
        <v>0.67198096175904998</v>
      </c>
      <c r="AA165" s="1111">
        <f>SUMIFS(NewEmisData!K:K, NewEmisData!$A:$A, $G165, NewEmisData!$B:$B, $A165, NewEmisData!$C:$C, $H165, NewEmisData!$D:$D, AA$6)</f>
        <v>0.65082523068374698</v>
      </c>
      <c r="AB165" s="1111">
        <f>SUMIFS(NewEmisData!L:L, NewEmisData!$A:$A, $G165, NewEmisData!$B:$B, $A165, NewEmisData!$C:$C, $H165, NewEmisData!$D:$D, AB$6)</f>
        <v>0.64636795436825401</v>
      </c>
      <c r="AC165" s="1111">
        <f>SUMIFS(NewEmisData!M:M, NewEmisData!$A:$A, $G165, NewEmisData!$B:$B, $A165, NewEmisData!$C:$C, $H165, NewEmisData!$D:$D, AC$6)</f>
        <v>0.64488416341078902</v>
      </c>
      <c r="AD165" s="1111">
        <f t="shared" si="229"/>
        <v>0.64488416341078902</v>
      </c>
      <c r="AE165" s="1111">
        <f t="shared" si="241"/>
        <v>2.08381055217347E-2</v>
      </c>
      <c r="AF165" s="1111">
        <f>SUMIFS(NewEmisData!E:E, NewEmisData!$A:$A, $G165, NewEmisData!$B:$B, $A165, NewEmisData!$C:$C, $H165, NewEmisData!$D:$D, AF$6)</f>
        <v>2.08381055217347E-2</v>
      </c>
      <c r="AG165" s="1111">
        <f>SUMIFS(NewEmisData!F:F, NewEmisData!$A:$A, $G165, NewEmisData!$B:$B, $A165, NewEmisData!$C:$C, $H165, NewEmisData!$D:$D, AG$6)</f>
        <v>2.2164087103621902E-2</v>
      </c>
      <c r="AH165" s="1111">
        <f>SUMIFS(NewEmisData!G:G, NewEmisData!$A:$A, $G165, NewEmisData!$B:$B, $A165, NewEmisData!$C:$C, $H165, NewEmisData!$D:$D, AH$6)</f>
        <v>1.8780122769194701E-2</v>
      </c>
      <c r="AI165" s="1111">
        <f>SUMIFS(NewEmisData!H:H, NewEmisData!$A:$A, $G165, NewEmisData!$B:$B, $A165, NewEmisData!$C:$C, $H165, NewEmisData!$D:$D, AI$6)</f>
        <v>1.8327610114874E-2</v>
      </c>
      <c r="AJ165" s="1111">
        <f>SUMIFS(NewEmisData!I:I, NewEmisData!$A:$A, $G165, NewEmisData!$B:$B, $A165, NewEmisData!$C:$C, $H165, NewEmisData!$D:$D, AJ$6)</f>
        <v>1.8061800865337901E-2</v>
      </c>
      <c r="AK165" s="1111">
        <f>SUMIFS(NewEmisData!J:J, NewEmisData!$A:$A, $G165, NewEmisData!$B:$B, $A165, NewEmisData!$C:$C, $H165, NewEmisData!$D:$D, AK$6)</f>
        <v>1.79905289884639E-2</v>
      </c>
      <c r="AL165" s="1111">
        <f>SUMIFS(NewEmisData!K:K, NewEmisData!$A:$A, $G165, NewEmisData!$B:$B, $A165, NewEmisData!$C:$C, $H165, NewEmisData!$D:$D, AL$6)</f>
        <v>1.7973564507445701E-2</v>
      </c>
      <c r="AM165" s="1111">
        <f>SUMIFS(NewEmisData!L:L, NewEmisData!$A:$A, $G165, NewEmisData!$B:$B, $A165, NewEmisData!$C:$C, $H165, NewEmisData!$D:$D, AM$6)</f>
        <v>1.7970784643505301E-2</v>
      </c>
      <c r="AN165" s="1111">
        <f>SUMIFS(NewEmisData!M:M, NewEmisData!$A:$A, $G165, NewEmisData!$B:$B, $A165, NewEmisData!$C:$C, $H165, NewEmisData!$D:$D, AN$6)</f>
        <v>1.7970446963254401E-2</v>
      </c>
      <c r="AO165" s="1111">
        <f t="shared" si="242"/>
        <v>1.7970446963254401E-2</v>
      </c>
      <c r="AP165" s="1111">
        <f t="shared" si="243"/>
        <v>0.19574828311834699</v>
      </c>
      <c r="AQ165" s="1111">
        <f>SUMIFS(NewEmisData!E:E, NewEmisData!$A:$A, $G165, NewEmisData!$B:$B, $A165, NewEmisData!$C:$C, $H165, NewEmisData!$D:$D, AQ$6)</f>
        <v>0.19574828311834699</v>
      </c>
      <c r="AR165" s="1111">
        <f>SUMIFS(NewEmisData!F:F, NewEmisData!$A:$A, $G165, NewEmisData!$B:$B, $A165, NewEmisData!$C:$C, $H165, NewEmisData!$D:$D, AR$6)</f>
        <v>0.191259101148397</v>
      </c>
      <c r="AS165" s="1111">
        <f>SUMIFS(NewEmisData!G:G, NewEmisData!$A:$A, $G165, NewEmisData!$B:$B, $A165, NewEmisData!$C:$C, $H165, NewEmisData!$D:$D, AS$6)</f>
        <v>0.21457849181088401</v>
      </c>
      <c r="AT165" s="1111">
        <f>SUMIFS(NewEmisData!H:H, NewEmisData!$A:$A, $G165, NewEmisData!$B:$B, $A165, NewEmisData!$C:$C, $H165, NewEmisData!$D:$D, AT$6)</f>
        <v>0.215053494777702</v>
      </c>
      <c r="AU165" s="1111">
        <f>SUMIFS(NewEmisData!I:I, NewEmisData!$A:$A, $G165, NewEmisData!$B:$B, $A165, NewEmisData!$C:$C, $H165, NewEmisData!$D:$D, AU$6)</f>
        <v>0.21551298465650401</v>
      </c>
      <c r="AV165" s="1111">
        <f>SUMIFS(NewEmisData!J:J, NewEmisData!$A:$A, $G165, NewEmisData!$B:$B, $A165, NewEmisData!$C:$C, $H165, NewEmisData!$D:$D, AV$6)</f>
        <v>0.215835472913527</v>
      </c>
      <c r="AW165" s="1111">
        <f>SUMIFS(NewEmisData!K:K, NewEmisData!$A:$A, $G165, NewEmisData!$B:$B, $A165, NewEmisData!$C:$C, $H165, NewEmisData!$D:$D, AW$6)</f>
        <v>0.21602305396888299</v>
      </c>
      <c r="AX165" s="1111">
        <f>SUMIFS(NewEmisData!L:L, NewEmisData!$A:$A, $G165, NewEmisData!$B:$B, $A165, NewEmisData!$C:$C, $H165, NewEmisData!$D:$D, AX$6)</f>
        <v>0.21608589786817001</v>
      </c>
      <c r="AY165" s="1111">
        <f>SUMIFS(NewEmisData!M:M, NewEmisData!$A:$A, $G165, NewEmisData!$B:$B, $A165, NewEmisData!$C:$C, $H165, NewEmisData!$D:$D, AY$6)</f>
        <v>0.216113244270948</v>
      </c>
      <c r="AZ165" s="1111">
        <f t="shared" si="244"/>
        <v>0.216113244270948</v>
      </c>
      <c r="BA165" s="1111">
        <f t="shared" si="245"/>
        <v>4.1988899098410401E-2</v>
      </c>
      <c r="BB165" s="1111">
        <f>SUMIFS(NewEmisData!E:E, NewEmisData!$A:$A, $G165, NewEmisData!$B:$B, $A165, NewEmisData!$C:$C, $H165, NewEmisData!$D:$D, BB$6)</f>
        <v>4.1988899098410401E-2</v>
      </c>
      <c r="BC165" s="1111">
        <f>SUMIFS(NewEmisData!F:F, NewEmisData!$A:$A, $G165, NewEmisData!$B:$B, $A165, NewEmisData!$C:$C, $H165, NewEmisData!$D:$D, BC$6)</f>
        <v>4.04221270662211E-2</v>
      </c>
      <c r="BD165" s="1111">
        <f>SUMIFS(NewEmisData!G:G, NewEmisData!$A:$A, $G165, NewEmisData!$B:$B, $A165, NewEmisData!$C:$C, $H165, NewEmisData!$D:$D, BD$6)</f>
        <v>3.5246180151429399E-2</v>
      </c>
      <c r="BE165" s="1111">
        <f>SUMIFS(NewEmisData!H:H, NewEmisData!$A:$A, $G165, NewEmisData!$B:$B, $A165, NewEmisData!$C:$C, $H165, NewEmisData!$D:$D, BE$6)</f>
        <v>3.4950821311789601E-2</v>
      </c>
      <c r="BF165" s="1111">
        <f>SUMIFS(NewEmisData!I:I, NewEmisData!$A:$A, $G165, NewEmisData!$B:$B, $A165, NewEmisData!$C:$C, $H165, NewEmisData!$D:$D, BF$6)</f>
        <v>3.5285067945859602E-2</v>
      </c>
      <c r="BG165" s="1111">
        <f>SUMIFS(NewEmisData!J:J, NewEmisData!$A:$A, $G165, NewEmisData!$B:$B, $A165, NewEmisData!$C:$C, $H165, NewEmisData!$D:$D, BG$6)</f>
        <v>3.55346528981796E-2</v>
      </c>
      <c r="BH165" s="1111">
        <f>SUMIFS(NewEmisData!K:K, NewEmisData!$A:$A, $G165, NewEmisData!$B:$B, $A165, NewEmisData!$C:$C, $H165, NewEmisData!$D:$D, BH$6)</f>
        <v>3.5692682330647998E-2</v>
      </c>
      <c r="BI165" s="1111">
        <f>SUMIFS(NewEmisData!L:L, NewEmisData!$A:$A, $G165, NewEmisData!$B:$B, $A165, NewEmisData!$C:$C, $H165, NewEmisData!$D:$D, BI$6)</f>
        <v>3.57464219039118E-2</v>
      </c>
      <c r="BJ165" s="1111">
        <f>SUMIFS(NewEmisData!M:M, NewEmisData!$A:$A, $G165, NewEmisData!$B:$B, $A165, NewEmisData!$C:$C, $H165, NewEmisData!$D:$D, BJ$6)</f>
        <v>3.5770424866643502E-2</v>
      </c>
      <c r="BK165" s="1111">
        <f t="shared" si="246"/>
        <v>3.5770424866643502E-2</v>
      </c>
      <c r="BL165" s="1111">
        <f t="shared" si="247"/>
        <v>39.441467642192301</v>
      </c>
      <c r="BM165" s="1111">
        <f>SUMIFS(NewEmisData!E:E, NewEmisData!$A:$A, $G165, NewEmisData!$B:$B, $A165, NewEmisData!$C:$C, $H165, NewEmisData!$D:$D, BM$6)</f>
        <v>39.441467642192301</v>
      </c>
      <c r="BN165" s="1111">
        <f>SUMIFS(NewEmisData!F:F, NewEmisData!$A:$A, $G165, NewEmisData!$B:$B, $A165, NewEmisData!$C:$C, $H165, NewEmisData!$D:$D, BN$6)</f>
        <v>29.135339922672099</v>
      </c>
      <c r="BO165" s="1111">
        <f>SUMIFS(NewEmisData!G:G, NewEmisData!$A:$A, $G165, NewEmisData!$B:$B, $A165, NewEmisData!$C:$C, $H165, NewEmisData!$D:$D, BO$6)</f>
        <v>19.258881049018001</v>
      </c>
      <c r="BP165" s="1111">
        <f>SUMIFS(NewEmisData!H:H, NewEmisData!$A:$A, $G165, NewEmisData!$B:$B, $A165, NewEmisData!$C:$C, $H165, NewEmisData!$D:$D, BP$6)</f>
        <v>17.4734501170478</v>
      </c>
      <c r="BQ165" s="1111">
        <f>SUMIFS(NewEmisData!I:I, NewEmisData!$A:$A, $G165, NewEmisData!$B:$B, $A165, NewEmisData!$C:$C, $H165, NewEmisData!$D:$D, BQ$6)</f>
        <v>17.337238430015301</v>
      </c>
      <c r="BR165" s="1111">
        <f>SUMIFS(NewEmisData!J:J, NewEmisData!$A:$A, $G165, NewEmisData!$B:$B, $A165, NewEmisData!$C:$C, $H165, NewEmisData!$D:$D, BR$6)</f>
        <v>17.524592153612701</v>
      </c>
      <c r="BS165" s="1111">
        <f>SUMIFS(NewEmisData!K:K, NewEmisData!$A:$A, $G165, NewEmisData!$B:$B, $A165, NewEmisData!$C:$C, $H165, NewEmisData!$D:$D, BS$6)</f>
        <v>17.768817804957902</v>
      </c>
      <c r="BT165" s="1111">
        <f>SUMIFS(NewEmisData!L:L, NewEmisData!$A:$A, $G165, NewEmisData!$B:$B, $A165, NewEmisData!$C:$C, $H165, NewEmisData!$D:$D, BT$6)</f>
        <v>17.8951685945812</v>
      </c>
      <c r="BU165" s="1111">
        <f>SUMIFS(NewEmisData!M:M, NewEmisData!$A:$A, $G165, NewEmisData!$B:$B, $A165, NewEmisData!$C:$C, $H165, NewEmisData!$D:$D, BU$6)</f>
        <v>17.960459006708199</v>
      </c>
      <c r="BV165" s="1111">
        <f t="shared" si="248"/>
        <v>17.960459006708199</v>
      </c>
      <c r="BW165" s="1111">
        <f t="shared" si="249"/>
        <v>2.13040906292176</v>
      </c>
      <c r="BX165" s="1111">
        <f>SUMIFS(NewEmisData!E:E, NewEmisData!$A:$A, $G165, NewEmisData!$B:$B, $A165, NewEmisData!$C:$C, $H165, NewEmisData!$D:$D, BX$6)</f>
        <v>2.13040906292176</v>
      </c>
      <c r="BY165" s="1111">
        <f>SUMIFS(NewEmisData!F:F, NewEmisData!$A:$A, $G165, NewEmisData!$B:$B, $A165, NewEmisData!$C:$C, $H165, NewEmisData!$D:$D, BY$6)</f>
        <v>1.66747382008761</v>
      </c>
      <c r="BZ165" s="1111">
        <f>SUMIFS(NewEmisData!G:G, NewEmisData!$A:$A, $G165, NewEmisData!$B:$B, $A165, NewEmisData!$C:$C, $H165, NewEmisData!$D:$D, BZ$6)</f>
        <v>0.70330303970302899</v>
      </c>
      <c r="CA165" s="1111">
        <f>SUMIFS(NewEmisData!H:H, NewEmisData!$A:$A, $G165, NewEmisData!$B:$B, $A165, NewEmisData!$C:$C, $H165, NewEmisData!$D:$D, CA$6)</f>
        <v>0.53546087421873401</v>
      </c>
      <c r="CB165" s="1111">
        <f>SUMIFS(NewEmisData!I:I, NewEmisData!$A:$A, $G165, NewEmisData!$B:$B, $A165, NewEmisData!$C:$C, $H165, NewEmisData!$D:$D, CB$6)</f>
        <v>0.48025579187888601</v>
      </c>
      <c r="CC165" s="1111">
        <f>SUMIFS(NewEmisData!J:J, NewEmisData!$A:$A, $G165, NewEmisData!$B:$B, $A165, NewEmisData!$C:$C, $H165, NewEmisData!$D:$D, CC$6)</f>
        <v>0.45829574772287202</v>
      </c>
      <c r="CD165" s="1111">
        <f>SUMIFS(NewEmisData!K:K, NewEmisData!$A:$A, $G165, NewEmisData!$B:$B, $A165, NewEmisData!$C:$C, $H165, NewEmisData!$D:$D, CD$6)</f>
        <v>0.45669528314480901</v>
      </c>
      <c r="CE165" s="1111">
        <f>SUMIFS(NewEmisData!L:L, NewEmisData!$A:$A, $G165, NewEmisData!$B:$B, $A165, NewEmisData!$C:$C, $H165, NewEmisData!$D:$D, CE$6)</f>
        <v>0.45728549159308601</v>
      </c>
      <c r="CF165" s="1111">
        <f>SUMIFS(NewEmisData!M:M, NewEmisData!$A:$A, $G165, NewEmisData!$B:$B, $A165, NewEmisData!$C:$C, $H165, NewEmisData!$D:$D, CF$6)</f>
        <v>0.457470611587183</v>
      </c>
      <c r="CG165" s="1111">
        <f t="shared" si="250"/>
        <v>0.457470611587183</v>
      </c>
      <c r="CH165" s="1111">
        <f t="shared" si="251"/>
        <v>4.4380144922912999E-2</v>
      </c>
      <c r="CI165" s="1111">
        <f>SUMIFS(NewEmisData!E:E, NewEmisData!$A:$A, $G165, NewEmisData!$B:$B, $A165, NewEmisData!$C:$C, $H165, NewEmisData!$D:$D, CI$6)</f>
        <v>4.4380144922912999E-2</v>
      </c>
      <c r="CJ165" s="1111">
        <f>SUMIFS(NewEmisData!F:F, NewEmisData!$A:$A, $G165, NewEmisData!$B:$B, $A165, NewEmisData!$C:$C, $H165, NewEmisData!$D:$D, CJ$6)</f>
        <v>4.4596792152345799E-2</v>
      </c>
      <c r="CK165" s="1111">
        <f>SUMIFS(NewEmisData!G:G, NewEmisData!$A:$A, $G165, NewEmisData!$B:$B, $A165, NewEmisData!$C:$C, $H165, NewEmisData!$D:$D, CK$6)</f>
        <v>5.2215385084052102E-2</v>
      </c>
      <c r="CL165" s="1111">
        <f>SUMIFS(NewEmisData!H:H, NewEmisData!$A:$A, $G165, NewEmisData!$B:$B, $A165, NewEmisData!$C:$C, $H165, NewEmisData!$D:$D, CL$6)</f>
        <v>5.2195799002688101E-2</v>
      </c>
      <c r="CM165" s="1111">
        <f>SUMIFS(NewEmisData!I:I, NewEmisData!$A:$A, $G165, NewEmisData!$B:$B, $A165, NewEmisData!$C:$C, $H165, NewEmisData!$D:$D, CM$6)</f>
        <v>5.2195910515594697E-2</v>
      </c>
      <c r="CN165" s="1111">
        <f>SUMIFS(NewEmisData!J:J, NewEmisData!$A:$A, $G165, NewEmisData!$B:$B, $A165, NewEmisData!$C:$C, $H165, NewEmisData!$D:$D, CN$6)</f>
        <v>5.2195169525564397E-2</v>
      </c>
      <c r="CO165" s="1111">
        <f>SUMIFS(NewEmisData!K:K, NewEmisData!$A:$A, $G165, NewEmisData!$B:$B, $A165, NewEmisData!$C:$C, $H165, NewEmisData!$D:$D, CO$6)</f>
        <v>5.21950010452591E-2</v>
      </c>
      <c r="CP165" s="1111">
        <f>SUMIFS(NewEmisData!L:L, NewEmisData!$A:$A, $G165, NewEmisData!$B:$B, $A165, NewEmisData!$C:$C, $H165, NewEmisData!$D:$D, CP$6)</f>
        <v>5.2194984268704697E-2</v>
      </c>
      <c r="CQ165" s="1111">
        <f>SUMIFS(NewEmisData!M:M, NewEmisData!$A:$A, $G165, NewEmisData!$B:$B, $A165, NewEmisData!$C:$C, $H165, NewEmisData!$D:$D, CQ$6)</f>
        <v>5.2195021896544298E-2</v>
      </c>
      <c r="CR165" s="1111">
        <f t="shared" si="252"/>
        <v>5.2195021896544298E-2</v>
      </c>
      <c r="CS165" s="1111">
        <f t="shared" si="253"/>
        <v>7.6133150476987599E-2</v>
      </c>
      <c r="CT165" s="1111">
        <f>SUMIFS(NewEmisData!E:E, NewEmisData!$A:$A, $G165, NewEmisData!$B:$B, $A165, NewEmisData!$C:$C, $H165, NewEmisData!$D:$D, CT$6)</f>
        <v>7.6133150476987599E-2</v>
      </c>
      <c r="CU165" s="1111">
        <f>SUMIFS(NewEmisData!F:F, NewEmisData!$A:$A, $G165, NewEmisData!$B:$B, $A165, NewEmisData!$C:$C, $H165, NewEmisData!$D:$D, CU$6)</f>
        <v>5.1439402812130802E-2</v>
      </c>
      <c r="CV165" s="1111">
        <f>SUMIFS(NewEmisData!G:G, NewEmisData!$A:$A, $G165, NewEmisData!$B:$B, $A165, NewEmisData!$C:$C, $H165, NewEmisData!$D:$D, CV$6)</f>
        <v>3.2083061737757199E-2</v>
      </c>
      <c r="CW165" s="1111">
        <f>SUMIFS(NewEmisData!H:H, NewEmisData!$A:$A, $G165, NewEmisData!$B:$B, $A165, NewEmisData!$C:$C, $H165, NewEmisData!$D:$D, CW$6)</f>
        <v>2.1832894937405999E-2</v>
      </c>
      <c r="CX165" s="1111">
        <f>SUMIFS(NewEmisData!I:I, NewEmisData!$A:$A, $G165, NewEmisData!$B:$B, $A165, NewEmisData!$C:$C, $H165, NewEmisData!$D:$D, CX$6)</f>
        <v>1.87474521093988E-2</v>
      </c>
      <c r="CY165" s="1111">
        <f>SUMIFS(NewEmisData!J:J, NewEmisData!$A:$A, $G165, NewEmisData!$B:$B, $A165, NewEmisData!$C:$C, $H165, NewEmisData!$D:$D, CY$6)</f>
        <v>1.78599084478736E-2</v>
      </c>
      <c r="CZ165" s="1111">
        <f>SUMIFS(NewEmisData!K:K, NewEmisData!$A:$A, $G165, NewEmisData!$B:$B, $A165, NewEmisData!$C:$C, $H165, NewEmisData!$D:$D, CZ$6)</f>
        <v>1.7770003763788299E-2</v>
      </c>
      <c r="DA165" s="1111">
        <f>SUMIFS(NewEmisData!L:L, NewEmisData!$A:$A, $G165, NewEmisData!$B:$B, $A165, NewEmisData!$C:$C, $H165, NewEmisData!$D:$D, DA$6)</f>
        <v>1.7699213019639601E-2</v>
      </c>
      <c r="DB165" s="1111">
        <f>SUMIFS(NewEmisData!M:M, NewEmisData!$A:$A, $G165, NewEmisData!$B:$B, $A165, NewEmisData!$C:$C, $H165, NewEmisData!$D:$D, DB$6)</f>
        <v>1.7745127181989399E-2</v>
      </c>
      <c r="DC165" s="1111">
        <f t="shared" si="254"/>
        <v>1.7745127181989399E-2</v>
      </c>
      <c r="DD165" s="1111"/>
      <c r="DE165" s="1111"/>
      <c r="DF165" s="1111"/>
      <c r="DG165" s="1111"/>
      <c r="DH165" s="1111"/>
      <c r="DI165" s="1111"/>
      <c r="DJ165" s="1111"/>
      <c r="DK165" s="1111"/>
      <c r="DL165" s="1111"/>
      <c r="DM165" s="1111"/>
      <c r="DN165" s="1111"/>
      <c r="DO165" s="1111"/>
      <c r="DP165" s="1111"/>
      <c r="DQ165" s="1111"/>
      <c r="DR165" s="1111"/>
      <c r="DS165" s="1111"/>
      <c r="DT165" s="1111"/>
      <c r="DU165" s="1111"/>
      <c r="DV165" s="1111"/>
      <c r="DW165" s="1111"/>
      <c r="DX165" s="1111"/>
      <c r="DY165" s="1111"/>
      <c r="DZ165" s="1111">
        <f t="shared" si="255"/>
        <v>6.6239633822982896E-2</v>
      </c>
      <c r="EA165" s="1111">
        <f>SUMIFS(NewEmisData!E:E, NewEmisData!$A:$A, $G165, NewEmisData!$B:$B, $A165, NewEmisData!$C:$C, $H165, NewEmisData!$D:$D, EA$6)</f>
        <v>6.6239633822982896E-2</v>
      </c>
      <c r="EB165" s="1111">
        <f>SUMIFS(NewEmisData!F:F, NewEmisData!$A:$A, $G165, NewEmisData!$B:$B, $A165, NewEmisData!$C:$C, $H165, NewEmisData!$D:$D, EB$6)</f>
        <v>6.0237802679566702E-2</v>
      </c>
      <c r="EC165" s="1111">
        <f>SUMIFS(NewEmisData!G:G, NewEmisData!$A:$A, $G165, NewEmisData!$B:$B, $A165, NewEmisData!$C:$C, $H165, NewEmisData!$D:$D, EC$6)</f>
        <v>2.4353204424718701E-2</v>
      </c>
      <c r="ED165" s="1111">
        <f>SUMIFS(NewEmisData!H:H, NewEmisData!$A:$A, $G165, NewEmisData!$B:$B, $A165, NewEmisData!$C:$C, $H165, NewEmisData!$D:$D, ED$6)</f>
        <v>2.2100119730100499E-2</v>
      </c>
      <c r="EE165" s="1111">
        <f>SUMIFS(NewEmisData!I:I, NewEmisData!$A:$A, $G165, NewEmisData!$B:$B, $A165, NewEmisData!$C:$C, $H165, NewEmisData!$D:$D, EE$6)</f>
        <v>2.1582561219103999E-2</v>
      </c>
      <c r="EF165" s="1111">
        <f>SUMIFS(NewEmisData!J:J, NewEmisData!$A:$A, $G165, NewEmisData!$B:$B, $A165, NewEmisData!$C:$C, $H165, NewEmisData!$D:$D, EF$6)</f>
        <v>2.1614176302122898E-2</v>
      </c>
      <c r="EG165" s="1111">
        <f>SUMIFS(NewEmisData!K:K, NewEmisData!$A:$A, $G165, NewEmisData!$B:$B, $A165, NewEmisData!$C:$C, $H165, NewEmisData!$D:$D, EG$6)</f>
        <v>2.1778598474770299E-2</v>
      </c>
      <c r="EH165" s="1111">
        <f>SUMIFS(NewEmisData!L:L, NewEmisData!$A:$A, $G165, NewEmisData!$B:$B, $A165, NewEmisData!$C:$C, $H165, NewEmisData!$D:$D, EH$6)</f>
        <v>2.1823465682415499E-2</v>
      </c>
      <c r="EI165" s="1111">
        <f>SUMIFS(NewEmisData!M:M, NewEmisData!$A:$A, $G165, NewEmisData!$B:$B, $A165, NewEmisData!$C:$C, $H165, NewEmisData!$D:$D, EI$6)</f>
        <v>2.1824961400636101E-2</v>
      </c>
      <c r="EJ165" s="1111">
        <f t="shared" si="256"/>
        <v>2.1824961400636101E-2</v>
      </c>
      <c r="EK165" s="1111">
        <f t="shared" si="257"/>
        <v>1204.2704996203399</v>
      </c>
      <c r="EL165" s="1111">
        <f t="shared" si="269"/>
        <v>1204.2704996203399</v>
      </c>
      <c r="EM165" s="1111">
        <f t="shared" si="270"/>
        <v>1280.9014839137801</v>
      </c>
      <c r="EN165" s="1111">
        <f t="shared" si="271"/>
        <v>1309.1277572440899</v>
      </c>
      <c r="EO165" s="1111">
        <f t="shared" si="272"/>
        <v>1277.5848439676099</v>
      </c>
      <c r="EP165" s="1111">
        <f t="shared" si="273"/>
        <v>1259.05503169493</v>
      </c>
      <c r="EQ165" s="1111">
        <f t="shared" si="274"/>
        <v>1254.08723086747</v>
      </c>
      <c r="ER165" s="1111">
        <f t="shared" si="275"/>
        <v>1252.90461894546</v>
      </c>
      <c r="ES165" s="1111">
        <f t="shared" si="276"/>
        <v>1252.7104430173399</v>
      </c>
      <c r="ET165" s="1111">
        <f t="shared" si="277"/>
        <v>1252.6870397442001</v>
      </c>
      <c r="EU165" s="1111">
        <f t="shared" si="278"/>
        <v>1252.6870397442001</v>
      </c>
      <c r="EV165" s="1111">
        <f t="shared" si="258"/>
        <v>4.3448715610080901</v>
      </c>
      <c r="EW165" s="1111">
        <f t="shared" si="259"/>
        <v>4.3448715610080901</v>
      </c>
      <c r="EX165" s="1111">
        <f t="shared" si="260"/>
        <v>2.68000771941229</v>
      </c>
      <c r="EY165" s="1111">
        <f t="shared" si="261"/>
        <v>1.2701406141530101</v>
      </c>
      <c r="EZ165" s="1111">
        <f t="shared" si="262"/>
        <v>0.89637025450783203</v>
      </c>
      <c r="FA165" s="1111">
        <f t="shared" si="263"/>
        <v>0.74230586472414295</v>
      </c>
      <c r="FB165" s="1111">
        <f t="shared" si="264"/>
        <v>0.67198096175904998</v>
      </c>
      <c r="FC165" s="1111">
        <f t="shared" si="265"/>
        <v>0.65082523068374698</v>
      </c>
      <c r="FD165" s="1111">
        <f t="shared" si="266"/>
        <v>0.64636795436825401</v>
      </c>
      <c r="FE165" s="1111">
        <f t="shared" si="267"/>
        <v>0.64488416341078902</v>
      </c>
      <c r="FF165" s="1111">
        <f t="shared" si="268"/>
        <v>0.64488416341078902</v>
      </c>
      <c r="FG165" s="1111">
        <f t="shared" si="193"/>
        <v>2.08381055217347E-2</v>
      </c>
      <c r="FH165" s="1111">
        <f t="shared" si="194"/>
        <v>2.08381055217347E-2</v>
      </c>
      <c r="FI165" s="1111">
        <f t="shared" si="195"/>
        <v>2.2164087103621902E-2</v>
      </c>
      <c r="FJ165" s="1111">
        <f t="shared" si="196"/>
        <v>1.8780122769194701E-2</v>
      </c>
      <c r="FK165" s="1111">
        <f t="shared" si="197"/>
        <v>1.8327610114874E-2</v>
      </c>
      <c r="FL165" s="1111">
        <f t="shared" si="198"/>
        <v>1.8061800865337901E-2</v>
      </c>
      <c r="FM165" s="1111">
        <f t="shared" si="199"/>
        <v>1.79905289884639E-2</v>
      </c>
      <c r="FN165" s="1111">
        <f t="shared" si="200"/>
        <v>1.7973564507445701E-2</v>
      </c>
      <c r="FO165" s="1111">
        <f t="shared" si="201"/>
        <v>1.7970784643505301E-2</v>
      </c>
      <c r="FP165" s="1111">
        <f t="shared" si="202"/>
        <v>1.7970446963254401E-2</v>
      </c>
      <c r="FQ165" s="1111">
        <f t="shared" si="203"/>
        <v>1.7970446963254401E-2</v>
      </c>
      <c r="FR165" s="1111">
        <f t="shared" si="230"/>
        <v>0.19574828311834699</v>
      </c>
      <c r="FS165" s="1111">
        <f t="shared" si="231"/>
        <v>0.19574828311834699</v>
      </c>
      <c r="FT165" s="1111">
        <f t="shared" si="232"/>
        <v>0.191259101148397</v>
      </c>
      <c r="FU165" s="1111">
        <f t="shared" si="233"/>
        <v>0.21457849181088401</v>
      </c>
      <c r="FV165" s="1111">
        <f t="shared" si="234"/>
        <v>0.215053494777702</v>
      </c>
      <c r="FW165" s="1111">
        <f t="shared" si="235"/>
        <v>0.21551298465650401</v>
      </c>
      <c r="FX165" s="1111">
        <f t="shared" si="236"/>
        <v>0.215835472913527</v>
      </c>
      <c r="FY165" s="1111">
        <f t="shared" si="237"/>
        <v>0.21602305396888299</v>
      </c>
      <c r="FZ165" s="1111">
        <f t="shared" si="238"/>
        <v>0.21608589786817001</v>
      </c>
      <c r="GA165" s="1111">
        <f t="shared" si="239"/>
        <v>0.216113244270948</v>
      </c>
      <c r="GB165" s="1111">
        <f t="shared" si="240"/>
        <v>0.216113244270948</v>
      </c>
      <c r="GC165" s="1111">
        <f t="shared" si="279"/>
        <v>4.1988899098410401E-2</v>
      </c>
      <c r="GD165" s="1111">
        <f t="shared" si="280"/>
        <v>4.1988899098410401E-2</v>
      </c>
      <c r="GE165" s="1111">
        <f t="shared" si="281"/>
        <v>4.04221270662211E-2</v>
      </c>
      <c r="GF165" s="1111">
        <f t="shared" si="282"/>
        <v>3.5246180151429399E-2</v>
      </c>
      <c r="GG165" s="1111">
        <f t="shared" si="283"/>
        <v>3.4950821311789601E-2</v>
      </c>
      <c r="GH165" s="1111">
        <f t="shared" si="284"/>
        <v>3.5285067945859602E-2</v>
      </c>
      <c r="GI165" s="1111">
        <f t="shared" si="285"/>
        <v>3.55346528981796E-2</v>
      </c>
      <c r="GJ165" s="1111">
        <f t="shared" si="286"/>
        <v>3.5692682330647998E-2</v>
      </c>
      <c r="GK165" s="1111">
        <f t="shared" si="287"/>
        <v>3.57464219039118E-2</v>
      </c>
      <c r="GL165" s="1111">
        <f t="shared" si="288"/>
        <v>3.5770424866643502E-2</v>
      </c>
      <c r="GM165" s="1111">
        <f t="shared" si="289"/>
        <v>3.5770424866643502E-2</v>
      </c>
    </row>
    <row r="166" spans="1:195" x14ac:dyDescent="0.2">
      <c r="A166" s="1071" t="s">
        <v>182</v>
      </c>
      <c r="B166" s="1071" t="str">
        <f>Technologies!C116</f>
        <v>TMGSLIM</v>
      </c>
      <c r="C166" s="1071" t="str">
        <f>Technologies!D116</f>
        <v>Medium Duty Truck, Improved Gasoline</v>
      </c>
      <c r="D166" s="1071" t="str">
        <f>NewTech!D68</f>
        <v>bn-vmt, bn-vmt/a</v>
      </c>
      <c r="E166" s="1071" t="str">
        <f>NewTech!E69</f>
        <v>TMGSL</v>
      </c>
      <c r="F166" s="1071" t="str">
        <f>NewTech!F69</f>
        <v>TM</v>
      </c>
      <c r="G166" s="1110" t="s">
        <v>503</v>
      </c>
      <c r="H166" s="1110" t="s">
        <v>500</v>
      </c>
      <c r="I166" s="1112">
        <v>1</v>
      </c>
      <c r="J166" s="1111" t="str">
        <f t="shared" si="37"/>
        <v>Medium duty-GSL</v>
      </c>
      <c r="K166" s="1111">
        <f>SUMIFS(NewEmisData!E:E, NewEmisData!$A:$A, $G166, NewEmisData!$B:$B, $A166, NewEmisData!$C:$C, $H166, NewEmisData!$D:$D, K$6)</f>
        <v>1241.60800343195</v>
      </c>
      <c r="L166" s="1111">
        <f>SUMIFS(NewEmisData!F:F, NewEmisData!$A:$A, $G166, NewEmisData!$B:$B, $A166, NewEmisData!$C:$C, $H166, NewEmisData!$D:$D, L$6)</f>
        <v>1243.08928499321</v>
      </c>
      <c r="M166" s="1111">
        <f>SUMIFS(NewEmisData!G:G, NewEmisData!$A:$A, $G166, NewEmisData!$B:$B, $A166, NewEmisData!$C:$C, $H166, NewEmisData!$D:$D, M$6)</f>
        <v>1559.7377784626201</v>
      </c>
      <c r="N166" s="1111">
        <f>SUMIFS(NewEmisData!H:H, NewEmisData!$A:$A, $G166, NewEmisData!$B:$B, $A166, NewEmisData!$C:$C, $H166, NewEmisData!$D:$D, N$6)</f>
        <v>1531.1148438857699</v>
      </c>
      <c r="O166" s="1111">
        <f>SUMIFS(NewEmisData!I:I, NewEmisData!$A:$A, $G166, NewEmisData!$B:$B, $A166, NewEmisData!$C:$C, $H166, NewEmisData!$D:$D, O$6)</f>
        <v>1508.7877657548299</v>
      </c>
      <c r="P166" s="1111">
        <f>SUMIFS(NewEmisData!J:J, NewEmisData!$A:$A, $G166, NewEmisData!$B:$B, $A166, NewEmisData!$C:$C, $H166, NewEmisData!$D:$D, P$6)</f>
        <v>1502.9671636844901</v>
      </c>
      <c r="Q166" s="1111">
        <f>SUMIFS(NewEmisData!K:K, NewEmisData!$A:$A, $G166, NewEmisData!$B:$B, $A166, NewEmisData!$C:$C, $H166, NewEmisData!$D:$D, Q$6)</f>
        <v>1501.4395842993699</v>
      </c>
      <c r="R166" s="1111">
        <f>SUMIFS(NewEmisData!L:L, NewEmisData!$A:$A, $G166, NewEmisData!$B:$B, $A166, NewEmisData!$C:$C, $H166, NewEmisData!$D:$D, R$6)</f>
        <v>1501.15044041939</v>
      </c>
      <c r="S166" s="1111">
        <f>SUMIFS(NewEmisData!M:M, NewEmisData!$A:$A, $G166, NewEmisData!$B:$B, $A166, NewEmisData!$C:$C, $H166, NewEmisData!$D:$D, S$6)</f>
        <v>1501.0860905019599</v>
      </c>
      <c r="T166" s="1111">
        <f t="shared" si="290"/>
        <v>1501.0860905019599</v>
      </c>
      <c r="U166" s="1111">
        <f>SUMIFS(NewEmisData!E:E, NewEmisData!$A:$A, $G166, NewEmisData!$B:$B, $A166, NewEmisData!$C:$C, $H166, NewEmisData!$D:$D, U$6)</f>
        <v>4.1625657526614797</v>
      </c>
      <c r="V166" s="1111">
        <f>SUMIFS(NewEmisData!F:F, NewEmisData!$A:$A, $G166, NewEmisData!$B:$B, $A166, NewEmisData!$C:$C, $H166, NewEmisData!$D:$D, V$6)</f>
        <v>2.1578815518962502</v>
      </c>
      <c r="W166" s="1111">
        <f>SUMIFS(NewEmisData!G:G, NewEmisData!$A:$A, $G166, NewEmisData!$B:$B, $A166, NewEmisData!$C:$C, $H166, NewEmisData!$D:$D, W$6)</f>
        <v>1.30274636086792</v>
      </c>
      <c r="X166" s="1111">
        <f>SUMIFS(NewEmisData!H:H, NewEmisData!$A:$A, $G166, NewEmisData!$B:$B, $A166, NewEmisData!$C:$C, $H166, NewEmisData!$D:$D, X$6)</f>
        <v>0.94297953696777803</v>
      </c>
      <c r="Y166" s="1111">
        <f>SUMIFS(NewEmisData!I:I, NewEmisData!$A:$A, $G166, NewEmisData!$B:$B, $A166, NewEmisData!$C:$C, $H166, NewEmisData!$D:$D, Y$6)</f>
        <v>0.78815258031283297</v>
      </c>
      <c r="Z166" s="1111">
        <f>SUMIFS(NewEmisData!J:J, NewEmisData!$A:$A, $G166, NewEmisData!$B:$B, $A166, NewEmisData!$C:$C, $H166, NewEmisData!$D:$D, Z$6)</f>
        <v>0.71799894873057002</v>
      </c>
      <c r="AA166" s="1111">
        <f>SUMIFS(NewEmisData!K:K, NewEmisData!$A:$A, $G166, NewEmisData!$B:$B, $A166, NewEmisData!$C:$C, $H166, NewEmisData!$D:$D, AA$6)</f>
        <v>0.69737659475245495</v>
      </c>
      <c r="AB166" s="1111">
        <f>SUMIFS(NewEmisData!L:L, NewEmisData!$A:$A, $G166, NewEmisData!$B:$B, $A166, NewEmisData!$C:$C, $H166, NewEmisData!$D:$D, AB$6)</f>
        <v>0.69289982108465797</v>
      </c>
      <c r="AC166" s="1111">
        <f>SUMIFS(NewEmisData!M:M, NewEmisData!$A:$A, $G166, NewEmisData!$B:$B, $A166, NewEmisData!$C:$C, $H166, NewEmisData!$D:$D, AC$6)</f>
        <v>0.69155412460857602</v>
      </c>
      <c r="AD166" s="1111">
        <f t="shared" si="229"/>
        <v>0.69155412460857602</v>
      </c>
      <c r="AE166" s="1111">
        <f t="shared" si="241"/>
        <v>2.1484176158971701E-2</v>
      </c>
      <c r="AF166" s="1111">
        <f>SUMIFS(NewEmisData!E:E, NewEmisData!$A:$A, $G166, NewEmisData!$B:$B, $A166, NewEmisData!$C:$C, $H166, NewEmisData!$D:$D, AF$6)</f>
        <v>2.1484176158971701E-2</v>
      </c>
      <c r="AG166" s="1111">
        <f>SUMIFS(NewEmisData!F:F, NewEmisData!$A:$A, $G166, NewEmisData!$B:$B, $A166, NewEmisData!$C:$C, $H166, NewEmisData!$D:$D, AG$6)</f>
        <v>2.1509817808633099E-2</v>
      </c>
      <c r="AH166" s="1111">
        <f>SUMIFS(NewEmisData!G:G, NewEmisData!$A:$A, $G166, NewEmisData!$B:$B, $A166, NewEmisData!$C:$C, $H166, NewEmisData!$D:$D, AH$6)</f>
        <v>2.2375249866597498E-2</v>
      </c>
      <c r="AI166" s="1111">
        <f>SUMIFS(NewEmisData!H:H, NewEmisData!$A:$A, $G166, NewEmisData!$B:$B, $A166, NewEmisData!$C:$C, $H166, NewEmisData!$D:$D, AI$6)</f>
        <v>2.1964641718838499E-2</v>
      </c>
      <c r="AJ166" s="1111">
        <f>SUMIFS(NewEmisData!I:I, NewEmisData!$A:$A, $G166, NewEmisData!$B:$B, $A166, NewEmisData!$C:$C, $H166, NewEmisData!$D:$D, AJ$6)</f>
        <v>2.1644351533378101E-2</v>
      </c>
      <c r="AK166" s="1111">
        <f>SUMIFS(NewEmisData!J:J, NewEmisData!$A:$A, $G166, NewEmisData!$B:$B, $A166, NewEmisData!$C:$C, $H166, NewEmisData!$D:$D, AK$6)</f>
        <v>2.1560851881015301E-2</v>
      </c>
      <c r="AL166" s="1111">
        <f>SUMIFS(NewEmisData!K:K, NewEmisData!$A:$A, $G166, NewEmisData!$B:$B, $A166, NewEmisData!$C:$C, $H166, NewEmisData!$D:$D, AL$6)</f>
        <v>2.1538927343366401E-2</v>
      </c>
      <c r="AM166" s="1111">
        <f>SUMIFS(NewEmisData!L:L, NewEmisData!$A:$A, $G166, NewEmisData!$B:$B, $A166, NewEmisData!$C:$C, $H166, NewEmisData!$D:$D, AM$6)</f>
        <v>2.1534775827773901E-2</v>
      </c>
      <c r="AN166" s="1111">
        <f>SUMIFS(NewEmisData!M:M, NewEmisData!$A:$A, $G166, NewEmisData!$B:$B, $A166, NewEmisData!$C:$C, $H166, NewEmisData!$D:$D, AN$6)</f>
        <v>2.15338577914834E-2</v>
      </c>
      <c r="AO166" s="1111">
        <f t="shared" si="242"/>
        <v>2.15338577914834E-2</v>
      </c>
      <c r="AP166" s="1111">
        <f t="shared" si="243"/>
        <v>0.205584171442245</v>
      </c>
      <c r="AQ166" s="1111">
        <f>SUMIFS(NewEmisData!E:E, NewEmisData!$A:$A, $G166, NewEmisData!$B:$B, $A166, NewEmisData!$C:$C, $H166, NewEmisData!$D:$D, AQ$6)</f>
        <v>0.205584171442245</v>
      </c>
      <c r="AR166" s="1111">
        <f>SUMIFS(NewEmisData!F:F, NewEmisData!$A:$A, $G166, NewEmisData!$B:$B, $A166, NewEmisData!$C:$C, $H166, NewEmisData!$D:$D, AR$6)</f>
        <v>0.200703686535146</v>
      </c>
      <c r="AS166" s="1111">
        <f>SUMIFS(NewEmisData!G:G, NewEmisData!$A:$A, $G166, NewEmisData!$B:$B, $A166, NewEmisData!$C:$C, $H166, NewEmisData!$D:$D, AS$6)</f>
        <v>0.298432150084874</v>
      </c>
      <c r="AT166" s="1111">
        <f>SUMIFS(NewEmisData!H:H, NewEmisData!$A:$A, $G166, NewEmisData!$B:$B, $A166, NewEmisData!$C:$C, $H166, NewEmisData!$D:$D, AT$6)</f>
        <v>0.29892439751761801</v>
      </c>
      <c r="AU166" s="1111">
        <f>SUMIFS(NewEmisData!I:I, NewEmisData!$A:$A, $G166, NewEmisData!$B:$B, $A166, NewEmisData!$C:$C, $H166, NewEmisData!$D:$D, AU$6)</f>
        <v>0.29942291421429901</v>
      </c>
      <c r="AV166" s="1111">
        <f>SUMIFS(NewEmisData!J:J, NewEmisData!$A:$A, $G166, NewEmisData!$B:$B, $A166, NewEmisData!$C:$C, $H166, NewEmisData!$D:$D, AV$6)</f>
        <v>0.29972619462258399</v>
      </c>
      <c r="AW166" s="1111">
        <f>SUMIFS(NewEmisData!K:K, NewEmisData!$A:$A, $G166, NewEmisData!$B:$B, $A166, NewEmisData!$C:$C, $H166, NewEmisData!$D:$D, AW$6)</f>
        <v>0.29988559432946199</v>
      </c>
      <c r="AX166" s="1111">
        <f>SUMIFS(NewEmisData!L:L, NewEmisData!$A:$A, $G166, NewEmisData!$B:$B, $A166, NewEmisData!$C:$C, $H166, NewEmisData!$D:$D, AX$6)</f>
        <v>0.29993582308119998</v>
      </c>
      <c r="AY166" s="1111">
        <f>SUMIFS(NewEmisData!M:M, NewEmisData!$A:$A, $G166, NewEmisData!$B:$B, $A166, NewEmisData!$C:$C, $H166, NewEmisData!$D:$D, AY$6)</f>
        <v>0.299955436334361</v>
      </c>
      <c r="AZ166" s="1111">
        <f t="shared" si="244"/>
        <v>0.299955436334361</v>
      </c>
      <c r="BA166" s="1111">
        <f t="shared" si="245"/>
        <v>3.9334690996451198E-2</v>
      </c>
      <c r="BB166" s="1111">
        <f>SUMIFS(NewEmisData!E:E, NewEmisData!$A:$A, $G166, NewEmisData!$B:$B, $A166, NewEmisData!$C:$C, $H166, NewEmisData!$D:$D, BB$6)</f>
        <v>3.9334690996451198E-2</v>
      </c>
      <c r="BC166" s="1111">
        <f>SUMIFS(NewEmisData!F:F, NewEmisData!$A:$A, $G166, NewEmisData!$B:$B, $A166, NewEmisData!$C:$C, $H166, NewEmisData!$D:$D, BC$6)</f>
        <v>3.4631534960308699E-2</v>
      </c>
      <c r="BD166" s="1111">
        <f>SUMIFS(NewEmisData!G:G, NewEmisData!$A:$A, $G166, NewEmisData!$B:$B, $A166, NewEmisData!$C:$C, $H166, NewEmisData!$D:$D, BD$6)</f>
        <v>4.5448906099466301E-2</v>
      </c>
      <c r="BE166" s="1111">
        <f>SUMIFS(NewEmisData!H:H, NewEmisData!$A:$A, $G166, NewEmisData!$B:$B, $A166, NewEmisData!$C:$C, $H166, NewEmisData!$D:$D, BE$6)</f>
        <v>4.5413592229635001E-2</v>
      </c>
      <c r="BF166" s="1111">
        <f>SUMIFS(NewEmisData!I:I, NewEmisData!$A:$A, $G166, NewEmisData!$B:$B, $A166, NewEmisData!$C:$C, $H166, NewEmisData!$D:$D, BF$6)</f>
        <v>4.5762266359602698E-2</v>
      </c>
      <c r="BG166" s="1111">
        <f>SUMIFS(NewEmisData!J:J, NewEmisData!$A:$A, $G166, NewEmisData!$B:$B, $A166, NewEmisData!$C:$C, $H166, NewEmisData!$D:$D, BG$6)</f>
        <v>4.6004282113656897E-2</v>
      </c>
      <c r="BH166" s="1111">
        <f>SUMIFS(NewEmisData!K:K, NewEmisData!$A:$A, $G166, NewEmisData!$B:$B, $A166, NewEmisData!$C:$C, $H166, NewEmisData!$D:$D, BH$6)</f>
        <v>4.6139436899626303E-2</v>
      </c>
      <c r="BI166" s="1111">
        <f>SUMIFS(NewEmisData!L:L, NewEmisData!$A:$A, $G166, NewEmisData!$B:$B, $A166, NewEmisData!$C:$C, $H166, NewEmisData!$D:$D, BI$6)</f>
        <v>4.6182051454262997E-2</v>
      </c>
      <c r="BJ166" s="1111">
        <f>SUMIFS(NewEmisData!M:M, NewEmisData!$A:$A, $G166, NewEmisData!$B:$B, $A166, NewEmisData!$C:$C, $H166, NewEmisData!$D:$D, BJ$6)</f>
        <v>4.6199279391049702E-2</v>
      </c>
      <c r="BK166" s="1111">
        <f t="shared" si="246"/>
        <v>4.6199279391049702E-2</v>
      </c>
      <c r="BL166" s="1111">
        <f t="shared" si="247"/>
        <v>35.379082211376598</v>
      </c>
      <c r="BM166" s="1111">
        <f>SUMIFS(NewEmisData!E:E, NewEmisData!$A:$A, $G166, NewEmisData!$B:$B, $A166, NewEmisData!$C:$C, $H166, NewEmisData!$D:$D, BM$6)</f>
        <v>35.379082211376598</v>
      </c>
      <c r="BN166" s="1111">
        <f>SUMIFS(NewEmisData!F:F, NewEmisData!$A:$A, $G166, NewEmisData!$B:$B, $A166, NewEmisData!$C:$C, $H166, NewEmisData!$D:$D, BN$6)</f>
        <v>20.9802918509032</v>
      </c>
      <c r="BO166" s="1111">
        <f>SUMIFS(NewEmisData!G:G, NewEmisData!$A:$A, $G166, NewEmisData!$B:$B, $A166, NewEmisData!$C:$C, $H166, NewEmisData!$D:$D, BO$6)</f>
        <v>14.8071744303823</v>
      </c>
      <c r="BP166" s="1111">
        <f>SUMIFS(NewEmisData!H:H, NewEmisData!$A:$A, $G166, NewEmisData!$B:$B, $A166, NewEmisData!$C:$C, $H166, NewEmisData!$D:$D, BP$6)</f>
        <v>12.7817736031308</v>
      </c>
      <c r="BQ166" s="1111">
        <f>SUMIFS(NewEmisData!I:I, NewEmisData!$A:$A, $G166, NewEmisData!$B:$B, $A166, NewEmisData!$C:$C, $H166, NewEmisData!$D:$D, BQ$6)</f>
        <v>12.249879427369301</v>
      </c>
      <c r="BR166" s="1111">
        <f>SUMIFS(NewEmisData!J:J, NewEmisData!$A:$A, $G166, NewEmisData!$B:$B, $A166, NewEmisData!$C:$C, $H166, NewEmisData!$D:$D, BR$6)</f>
        <v>12.1493449959291</v>
      </c>
      <c r="BS166" s="1111">
        <f>SUMIFS(NewEmisData!K:K, NewEmisData!$A:$A, $G166, NewEmisData!$B:$B, $A166, NewEmisData!$C:$C, $H166, NewEmisData!$D:$D, BS$6)</f>
        <v>12.229795867911401</v>
      </c>
      <c r="BT166" s="1111">
        <f>SUMIFS(NewEmisData!L:L, NewEmisData!$A:$A, $G166, NewEmisData!$B:$B, $A166, NewEmisData!$C:$C, $H166, NewEmisData!$D:$D, BT$6)</f>
        <v>12.2882488120452</v>
      </c>
      <c r="BU166" s="1111">
        <f>SUMIFS(NewEmisData!M:M, NewEmisData!$A:$A, $G166, NewEmisData!$B:$B, $A166, NewEmisData!$C:$C, $H166, NewEmisData!$D:$D, BU$6)</f>
        <v>12.321950956593</v>
      </c>
      <c r="BV166" s="1111">
        <f t="shared" si="248"/>
        <v>12.321950956593</v>
      </c>
      <c r="BW166" s="1111">
        <f t="shared" si="249"/>
        <v>1.87362575135703</v>
      </c>
      <c r="BX166" s="1111">
        <f>SUMIFS(NewEmisData!E:E, NewEmisData!$A:$A, $G166, NewEmisData!$B:$B, $A166, NewEmisData!$C:$C, $H166, NewEmisData!$D:$D, BX$6)</f>
        <v>1.87362575135703</v>
      </c>
      <c r="BY166" s="1111">
        <f>SUMIFS(NewEmisData!F:F, NewEmisData!$A:$A, $G166, NewEmisData!$B:$B, $A166, NewEmisData!$C:$C, $H166, NewEmisData!$D:$D, BY$6)</f>
        <v>1.0527291712428299</v>
      </c>
      <c r="BZ166" s="1111">
        <f>SUMIFS(NewEmisData!G:G, NewEmisData!$A:$A, $G166, NewEmisData!$B:$B, $A166, NewEmisData!$C:$C, $H166, NewEmisData!$D:$D, BZ$6)</f>
        <v>0.690616026658735</v>
      </c>
      <c r="CA166" s="1111">
        <f>SUMIFS(NewEmisData!H:H, NewEmisData!$A:$A, $G166, NewEmisData!$B:$B, $A166, NewEmisData!$C:$C, $H166, NewEmisData!$D:$D, CA$6)</f>
        <v>0.54311164322371697</v>
      </c>
      <c r="CB166" s="1111">
        <f>SUMIFS(NewEmisData!I:I, NewEmisData!$A:$A, $G166, NewEmisData!$B:$B, $A166, NewEmisData!$C:$C, $H166, NewEmisData!$D:$D, CB$6)</f>
        <v>0.48887057427966502</v>
      </c>
      <c r="CC166" s="1111">
        <f>SUMIFS(NewEmisData!J:J, NewEmisData!$A:$A, $G166, NewEmisData!$B:$B, $A166, NewEmisData!$C:$C, $H166, NewEmisData!$D:$D, CC$6)</f>
        <v>0.46684418132935501</v>
      </c>
      <c r="CD166" s="1111">
        <f>SUMIFS(NewEmisData!K:K, NewEmisData!$A:$A, $G166, NewEmisData!$B:$B, $A166, NewEmisData!$C:$C, $H166, NewEmisData!$D:$D, CD$6)</f>
        <v>0.46389956383150999</v>
      </c>
      <c r="CE166" s="1111">
        <f>SUMIFS(NewEmisData!L:L, NewEmisData!$A:$A, $G166, NewEmisData!$B:$B, $A166, NewEmisData!$C:$C, $H166, NewEmisData!$D:$D, CE$6)</f>
        <v>0.46392493269586499</v>
      </c>
      <c r="CF166" s="1111">
        <f>SUMIFS(NewEmisData!M:M, NewEmisData!$A:$A, $G166, NewEmisData!$B:$B, $A166, NewEmisData!$C:$C, $H166, NewEmisData!$D:$D, CF$6)</f>
        <v>0.46396365606422402</v>
      </c>
      <c r="CG166" s="1111">
        <f t="shared" si="250"/>
        <v>0.46396365606422402</v>
      </c>
      <c r="CH166" s="1111">
        <f t="shared" si="251"/>
        <v>4.5385046654151703E-2</v>
      </c>
      <c r="CI166" s="1111">
        <f>SUMIFS(NewEmisData!E:E, NewEmisData!$A:$A, $G166, NewEmisData!$B:$B, $A166, NewEmisData!$C:$C, $H166, NewEmisData!$D:$D, CI$6)</f>
        <v>4.5385046654151703E-2</v>
      </c>
      <c r="CJ166" s="1111">
        <f>SUMIFS(NewEmisData!F:F, NewEmisData!$A:$A, $G166, NewEmisData!$B:$B, $A166, NewEmisData!$C:$C, $H166, NewEmisData!$D:$D, CJ$6)</f>
        <v>4.5393164724417102E-2</v>
      </c>
      <c r="CK166" s="1111">
        <f>SUMIFS(NewEmisData!G:G, NewEmisData!$A:$A, $G166, NewEmisData!$B:$B, $A166, NewEmisData!$C:$C, $H166, NewEmisData!$D:$D, CK$6)</f>
        <v>6.2513239349190994E-2</v>
      </c>
      <c r="CL166" s="1111">
        <f>SUMIFS(NewEmisData!H:H, NewEmisData!$A:$A, $G166, NewEmisData!$B:$B, $A166, NewEmisData!$C:$C, $H166, NewEmisData!$D:$D, CL$6)</f>
        <v>6.2512411846424906E-2</v>
      </c>
      <c r="CM166" s="1111">
        <f>SUMIFS(NewEmisData!I:I, NewEmisData!$A:$A, $G166, NewEmisData!$B:$B, $A166, NewEmisData!$C:$C, $H166, NewEmisData!$D:$D, CM$6)</f>
        <v>6.2512421474567897E-2</v>
      </c>
      <c r="CN166" s="1111">
        <f>SUMIFS(NewEmisData!J:J, NewEmisData!$A:$A, $G166, NewEmisData!$B:$B, $A166, NewEmisData!$C:$C, $H166, NewEmisData!$D:$D, CN$6)</f>
        <v>6.2512452306065502E-2</v>
      </c>
      <c r="CO166" s="1111">
        <f>SUMIFS(NewEmisData!K:K, NewEmisData!$A:$A, $G166, NewEmisData!$B:$B, $A166, NewEmisData!$C:$C, $H166, NewEmisData!$D:$D, CO$6)</f>
        <v>6.2512380916104907E-2</v>
      </c>
      <c r="CP166" s="1111">
        <f>SUMIFS(NewEmisData!L:L, NewEmisData!$A:$A, $G166, NewEmisData!$B:$B, $A166, NewEmisData!$C:$C, $H166, NewEmisData!$D:$D, CP$6)</f>
        <v>6.2512436309679606E-2</v>
      </c>
      <c r="CQ166" s="1111">
        <f>SUMIFS(NewEmisData!M:M, NewEmisData!$A:$A, $G166, NewEmisData!$B:$B, $A166, NewEmisData!$C:$C, $H166, NewEmisData!$D:$D, CQ$6)</f>
        <v>6.2512445317614407E-2</v>
      </c>
      <c r="CR166" s="1111">
        <f t="shared" si="252"/>
        <v>6.2512445317614407E-2</v>
      </c>
      <c r="CS166" s="1111">
        <f t="shared" si="253"/>
        <v>6.7564687236939897E-2</v>
      </c>
      <c r="CT166" s="1111">
        <f>SUMIFS(NewEmisData!E:E, NewEmisData!$A:$A, $G166, NewEmisData!$B:$B, $A166, NewEmisData!$C:$C, $H166, NewEmisData!$D:$D, CT$6)</f>
        <v>6.7564687236939897E-2</v>
      </c>
      <c r="CU166" s="1111">
        <f>SUMIFS(NewEmisData!F:F, NewEmisData!$A:$A, $G166, NewEmisData!$B:$B, $A166, NewEmisData!$C:$C, $H166, NewEmisData!$D:$D, CU$6)</f>
        <v>3.8153498607861998E-2</v>
      </c>
      <c r="CV166" s="1111">
        <f>SUMIFS(NewEmisData!G:G, NewEmisData!$A:$A, $G166, NewEmisData!$B:$B, $A166, NewEmisData!$C:$C, $H166, NewEmisData!$D:$D, CV$6)</f>
        <v>2.81821158126641E-2</v>
      </c>
      <c r="CW166" s="1111">
        <f>SUMIFS(NewEmisData!H:H, NewEmisData!$A:$A, $G166, NewEmisData!$B:$B, $A166, NewEmisData!$C:$C, $H166, NewEmisData!$D:$D, CW$6)</f>
        <v>1.9443003989977701E-2</v>
      </c>
      <c r="CX166" s="1111">
        <f>SUMIFS(NewEmisData!I:I, NewEmisData!$A:$A, $G166, NewEmisData!$B:$B, $A166, NewEmisData!$C:$C, $H166, NewEmisData!$D:$D, CX$6)</f>
        <v>1.7080157869544602E-2</v>
      </c>
      <c r="CY166" s="1111">
        <f>SUMIFS(NewEmisData!J:J, NewEmisData!$A:$A, $G166, NewEmisData!$B:$B, $A166, NewEmisData!$C:$C, $H166, NewEmisData!$D:$D, CY$6)</f>
        <v>1.6424318186297401E-2</v>
      </c>
      <c r="CZ166" s="1111">
        <f>SUMIFS(NewEmisData!K:K, NewEmisData!$A:$A, $G166, NewEmisData!$B:$B, $A166, NewEmisData!$C:$C, $H166, NewEmisData!$D:$D, CZ$6)</f>
        <v>1.63466414048998E-2</v>
      </c>
      <c r="DA166" s="1111">
        <f>SUMIFS(NewEmisData!L:L, NewEmisData!$A:$A, $G166, NewEmisData!$B:$B, $A166, NewEmisData!$C:$C, $H166, NewEmisData!$D:$D, DA$6)</f>
        <v>1.6299016097018101E-2</v>
      </c>
      <c r="DB166" s="1111">
        <f>SUMIFS(NewEmisData!M:M, NewEmisData!$A:$A, $G166, NewEmisData!$B:$B, $A166, NewEmisData!$C:$C, $H166, NewEmisData!$D:$D, DB$6)</f>
        <v>1.6325096857781201E-2</v>
      </c>
      <c r="DC166" s="1111">
        <f t="shared" si="254"/>
        <v>1.6325096857781201E-2</v>
      </c>
      <c r="DD166" s="1111">
        <v>8.4892895966475739E-3</v>
      </c>
      <c r="DE166" s="1111">
        <v>5.6212986616763754E-3</v>
      </c>
      <c r="DF166" s="1111">
        <v>3.3463487561708246E-3</v>
      </c>
      <c r="DG166" s="1111">
        <v>2.7660430299124659E-3</v>
      </c>
      <c r="DH166" s="1111">
        <v>2.682529091392567E-3</v>
      </c>
      <c r="DI166" s="1111">
        <v>2.703528873173607E-3</v>
      </c>
      <c r="DJ166" s="1111">
        <v>2.7128611055472259E-3</v>
      </c>
      <c r="DK166" s="1111">
        <v>2.7072751179577333E-3</v>
      </c>
      <c r="DL166" s="1111">
        <v>2.7166296978826691E-3</v>
      </c>
      <c r="DM166" s="1111">
        <v>2.7267399324404202E-3</v>
      </c>
      <c r="DN166" s="1111">
        <v>2.7267399324404202E-3</v>
      </c>
      <c r="DO166" s="1111">
        <v>2.7529093789717789E-2</v>
      </c>
      <c r="DP166" s="1111">
        <v>1.8547410667972192E-2</v>
      </c>
      <c r="DQ166" s="1111">
        <v>1.0623092960258752E-2</v>
      </c>
      <c r="DR166" s="1111">
        <v>8.2487146441313514E-3</v>
      </c>
      <c r="DS166" s="1111">
        <v>8.1824854069421117E-3</v>
      </c>
      <c r="DT166" s="1111">
        <v>8.1902625366083396E-3</v>
      </c>
      <c r="DU166" s="1111">
        <v>8.1985958492518836E-3</v>
      </c>
      <c r="DV166" s="1111">
        <v>8.1775758900627226E-3</v>
      </c>
      <c r="DW166" s="1111">
        <v>8.1943266682995095E-3</v>
      </c>
      <c r="DX166" s="1111">
        <v>8.2124081867554939E-3</v>
      </c>
      <c r="DY166" s="1111">
        <v>8.2124081867554939E-3</v>
      </c>
      <c r="DZ166" s="1111">
        <f t="shared" si="255"/>
        <v>5.0339270700679999E-2</v>
      </c>
      <c r="EA166" s="1111">
        <f>SUMIFS(NewEmisData!E:E, NewEmisData!$A:$A, $G166, NewEmisData!$B:$B, $A166, NewEmisData!$C:$C, $H166, NewEmisData!$D:$D, EA$6)</f>
        <v>5.0339270700679999E-2</v>
      </c>
      <c r="EB166" s="1111">
        <f>SUMIFS(NewEmisData!F:F, NewEmisData!$A:$A, $G166, NewEmisData!$B:$B, $A166, NewEmisData!$C:$C, $H166, NewEmisData!$D:$D, EB$6)</f>
        <v>2.98546172534019E-2</v>
      </c>
      <c r="EC166" s="1111">
        <f>SUMIFS(NewEmisData!G:G, NewEmisData!$A:$A, $G166, NewEmisData!$B:$B, $A166, NewEmisData!$C:$C, $H166, NewEmisData!$D:$D, EC$6)</f>
        <v>1.7913674894860999E-2</v>
      </c>
      <c r="ED166" s="1111">
        <f>SUMIFS(NewEmisData!H:H, NewEmisData!$A:$A, $G166, NewEmisData!$B:$B, $A166, NewEmisData!$C:$C, $H166, NewEmisData!$D:$D, ED$6)</f>
        <v>1.54314271118329E-2</v>
      </c>
      <c r="EE166" s="1111">
        <f>SUMIFS(NewEmisData!I:I, NewEmisData!$A:$A, $G166, NewEmisData!$B:$B, $A166, NewEmisData!$C:$C, $H166, NewEmisData!$D:$D, EE$6)</f>
        <v>1.4729599669098301E-2</v>
      </c>
      <c r="EF166" s="1111">
        <f>SUMIFS(NewEmisData!J:J, NewEmisData!$A:$A, $G166, NewEmisData!$B:$B, $A166, NewEmisData!$C:$C, $H166, NewEmisData!$D:$D, EF$6)</f>
        <v>1.46060589575112E-2</v>
      </c>
      <c r="EG166" s="1111">
        <f>SUMIFS(NewEmisData!K:K, NewEmisData!$A:$A, $G166, NewEmisData!$B:$B, $A166, NewEmisData!$C:$C, $H166, NewEmisData!$D:$D, EG$6)</f>
        <v>1.4662699121929501E-2</v>
      </c>
      <c r="EH166" s="1111">
        <f>SUMIFS(NewEmisData!L:L, NewEmisData!$A:$A, $G166, NewEmisData!$B:$B, $A166, NewEmisData!$C:$C, $H166, NewEmisData!$D:$D, EH$6)</f>
        <v>1.46806856975942E-2</v>
      </c>
      <c r="EI166" s="1111">
        <f>SUMIFS(NewEmisData!M:M, NewEmisData!$A:$A, $G166, NewEmisData!$B:$B, $A166, NewEmisData!$C:$C, $H166, NewEmisData!$D:$D, EI$6)</f>
        <v>1.4680172285676999E-2</v>
      </c>
      <c r="EJ166" s="1111">
        <f t="shared" si="256"/>
        <v>1.4680172285676999E-2</v>
      </c>
      <c r="EK166" s="1111">
        <f t="shared" si="257"/>
        <v>1241.60800343195</v>
      </c>
      <c r="EL166" s="1111">
        <f t="shared" si="269"/>
        <v>1241.60800343195</v>
      </c>
      <c r="EM166" s="1111">
        <f t="shared" si="270"/>
        <v>1243.08928499321</v>
      </c>
      <c r="EN166" s="1111">
        <f t="shared" si="271"/>
        <v>1559.7377784626201</v>
      </c>
      <c r="EO166" s="1111">
        <f t="shared" si="272"/>
        <v>1531.1148438857699</v>
      </c>
      <c r="EP166" s="1111">
        <f t="shared" si="273"/>
        <v>1508.7877657548299</v>
      </c>
      <c r="EQ166" s="1111">
        <f t="shared" si="274"/>
        <v>1502.9671636844901</v>
      </c>
      <c r="ER166" s="1111">
        <f t="shared" si="275"/>
        <v>1501.4395842993699</v>
      </c>
      <c r="ES166" s="1111">
        <f t="shared" si="276"/>
        <v>1501.15044041939</v>
      </c>
      <c r="ET166" s="1111">
        <f t="shared" si="277"/>
        <v>1501.0860905019599</v>
      </c>
      <c r="EU166" s="1111">
        <f t="shared" si="278"/>
        <v>1501.0860905019599</v>
      </c>
      <c r="EV166" s="1111">
        <f t="shared" si="258"/>
        <v>4.1625657526614797</v>
      </c>
      <c r="EW166" s="1111">
        <f t="shared" si="259"/>
        <v>4.1625657526614797</v>
      </c>
      <c r="EX166" s="1111">
        <f t="shared" si="260"/>
        <v>2.1578815518962502</v>
      </c>
      <c r="EY166" s="1111">
        <f t="shared" si="261"/>
        <v>1.30274636086792</v>
      </c>
      <c r="EZ166" s="1111">
        <f t="shared" si="262"/>
        <v>0.94297953696777803</v>
      </c>
      <c r="FA166" s="1111">
        <f t="shared" si="263"/>
        <v>0.78815258031283297</v>
      </c>
      <c r="FB166" s="1111">
        <f t="shared" si="264"/>
        <v>0.71799894873057002</v>
      </c>
      <c r="FC166" s="1111">
        <f t="shared" si="265"/>
        <v>0.69737659475245495</v>
      </c>
      <c r="FD166" s="1111">
        <f t="shared" si="266"/>
        <v>0.69289982108465797</v>
      </c>
      <c r="FE166" s="1111">
        <f t="shared" si="267"/>
        <v>0.69155412460857602</v>
      </c>
      <c r="FF166" s="1111">
        <f t="shared" si="268"/>
        <v>0.69155412460857602</v>
      </c>
      <c r="FG166" s="1111">
        <f t="shared" si="193"/>
        <v>2.1484176158971701E-2</v>
      </c>
      <c r="FH166" s="1111">
        <f t="shared" si="194"/>
        <v>2.1484176158971701E-2</v>
      </c>
      <c r="FI166" s="1111">
        <f t="shared" si="195"/>
        <v>2.1509817808633099E-2</v>
      </c>
      <c r="FJ166" s="1111">
        <f t="shared" si="196"/>
        <v>2.2375249866597498E-2</v>
      </c>
      <c r="FK166" s="1111">
        <f t="shared" si="197"/>
        <v>2.1964641718838499E-2</v>
      </c>
      <c r="FL166" s="1111">
        <f t="shared" si="198"/>
        <v>2.1644351533378101E-2</v>
      </c>
      <c r="FM166" s="1111">
        <f t="shared" si="199"/>
        <v>2.1560851881015301E-2</v>
      </c>
      <c r="FN166" s="1111">
        <f t="shared" si="200"/>
        <v>2.1538927343366401E-2</v>
      </c>
      <c r="FO166" s="1111">
        <f t="shared" si="201"/>
        <v>2.1534775827773901E-2</v>
      </c>
      <c r="FP166" s="1111">
        <f t="shared" si="202"/>
        <v>2.15338577914834E-2</v>
      </c>
      <c r="FQ166" s="1111">
        <f t="shared" si="203"/>
        <v>2.15338577914834E-2</v>
      </c>
      <c r="FR166" s="1111">
        <f t="shared" si="230"/>
        <v>0.205584171442245</v>
      </c>
      <c r="FS166" s="1111">
        <f t="shared" si="231"/>
        <v>0.205584171442245</v>
      </c>
      <c r="FT166" s="1111">
        <f t="shared" si="232"/>
        <v>0.200703686535146</v>
      </c>
      <c r="FU166" s="1111">
        <f t="shared" si="233"/>
        <v>0.298432150084874</v>
      </c>
      <c r="FV166" s="1111">
        <f t="shared" si="234"/>
        <v>0.29892439751761801</v>
      </c>
      <c r="FW166" s="1111">
        <f t="shared" si="235"/>
        <v>0.29942291421429901</v>
      </c>
      <c r="FX166" s="1111">
        <f t="shared" si="236"/>
        <v>0.29972619462258399</v>
      </c>
      <c r="FY166" s="1111">
        <f t="shared" si="237"/>
        <v>0.29988559432946199</v>
      </c>
      <c r="FZ166" s="1111">
        <f t="shared" si="238"/>
        <v>0.29993582308119998</v>
      </c>
      <c r="GA166" s="1111">
        <f t="shared" si="239"/>
        <v>0.299955436334361</v>
      </c>
      <c r="GB166" s="1111">
        <f t="shared" si="240"/>
        <v>0.299955436334361</v>
      </c>
      <c r="GC166" s="1111">
        <f t="shared" si="279"/>
        <v>3.9334690996451198E-2</v>
      </c>
      <c r="GD166" s="1111">
        <f t="shared" si="280"/>
        <v>3.9334690996451198E-2</v>
      </c>
      <c r="GE166" s="1111">
        <f t="shared" si="281"/>
        <v>3.4631534960308699E-2</v>
      </c>
      <c r="GF166" s="1111">
        <f t="shared" si="282"/>
        <v>4.5448906099466301E-2</v>
      </c>
      <c r="GG166" s="1111">
        <f t="shared" si="283"/>
        <v>4.5413592229635001E-2</v>
      </c>
      <c r="GH166" s="1111">
        <f t="shared" si="284"/>
        <v>4.5762266359602698E-2</v>
      </c>
      <c r="GI166" s="1111">
        <f t="shared" si="285"/>
        <v>4.6004282113656897E-2</v>
      </c>
      <c r="GJ166" s="1111">
        <f t="shared" si="286"/>
        <v>4.6139436899626303E-2</v>
      </c>
      <c r="GK166" s="1111">
        <f t="shared" si="287"/>
        <v>4.6182051454262997E-2</v>
      </c>
      <c r="GL166" s="1111">
        <f t="shared" si="288"/>
        <v>4.6199279391049702E-2</v>
      </c>
      <c r="GM166" s="1111">
        <f t="shared" si="289"/>
        <v>4.6199279391049702E-2</v>
      </c>
    </row>
    <row r="167" spans="1:195" x14ac:dyDescent="0.2">
      <c r="A167" s="1071" t="s">
        <v>184</v>
      </c>
      <c r="B167" s="1071" t="str">
        <f>Technologies!C116</f>
        <v>TMGSLIM</v>
      </c>
      <c r="C167" s="1071" t="str">
        <f>Technologies!D116</f>
        <v>Medium Duty Truck, Improved Gasoline</v>
      </c>
      <c r="D167" s="1071" t="str">
        <f>NewTech!D68</f>
        <v>bn-vmt, bn-vmt/a</v>
      </c>
      <c r="E167" s="1071" t="str">
        <f>NewTech!E69</f>
        <v>TMGSL</v>
      </c>
      <c r="F167" s="1071" t="str">
        <f>NewTech!F69</f>
        <v>TM</v>
      </c>
      <c r="G167" s="1110" t="s">
        <v>503</v>
      </c>
      <c r="H167" s="1110" t="s">
        <v>500</v>
      </c>
      <c r="I167" s="1112">
        <v>1</v>
      </c>
      <c r="J167" s="1111" t="str">
        <f t="shared" si="37"/>
        <v>Medium duty-GSL</v>
      </c>
      <c r="K167" s="1111">
        <f>SUMIFS(NewEmisData!E:E, NewEmisData!$A:$A, $G167, NewEmisData!$B:$B, $A167, NewEmisData!$C:$C, $H167, NewEmisData!$D:$D, K$6)</f>
        <v>1125.6531994791601</v>
      </c>
      <c r="L167" s="1111">
        <f>SUMIFS(NewEmisData!F:F, NewEmisData!$A:$A, $G167, NewEmisData!$B:$B, $A167, NewEmisData!$C:$C, $H167, NewEmisData!$D:$D, L$6)</f>
        <v>1129.51230354672</v>
      </c>
      <c r="M167" s="1111">
        <f>SUMIFS(NewEmisData!G:G, NewEmisData!$A:$A, $G167, NewEmisData!$B:$B, $A167, NewEmisData!$C:$C, $H167, NewEmisData!$D:$D, M$6)</f>
        <v>1334.28865010909</v>
      </c>
      <c r="N167" s="1111">
        <f>SUMIFS(NewEmisData!H:H, NewEmisData!$A:$A, $G167, NewEmisData!$B:$B, $A167, NewEmisData!$C:$C, $H167, NewEmisData!$D:$D, N$6)</f>
        <v>1309.4477161980601</v>
      </c>
      <c r="O167" s="1111">
        <f>SUMIFS(NewEmisData!I:I, NewEmisData!$A:$A, $G167, NewEmisData!$B:$B, $A167, NewEmisData!$C:$C, $H167, NewEmisData!$D:$D, O$6)</f>
        <v>1290.2789800169201</v>
      </c>
      <c r="P167" s="1111">
        <f>SUMIFS(NewEmisData!J:J, NewEmisData!$A:$A, $G167, NewEmisData!$B:$B, $A167, NewEmisData!$C:$C, $H167, NewEmisData!$D:$D, P$6)</f>
        <v>1285.24459420581</v>
      </c>
      <c r="Q167" s="1111">
        <f>SUMIFS(NewEmisData!K:K, NewEmisData!$A:$A, $G167, NewEmisData!$B:$B, $A167, NewEmisData!$C:$C, $H167, NewEmisData!$D:$D, Q$6)</f>
        <v>1283.9086141387199</v>
      </c>
      <c r="R167" s="1111">
        <f>SUMIFS(NewEmisData!L:L, NewEmisData!$A:$A, $G167, NewEmisData!$B:$B, $A167, NewEmisData!$C:$C, $H167, NewEmisData!$D:$D, R$6)</f>
        <v>1283.64917953798</v>
      </c>
      <c r="S167" s="1111">
        <f>SUMIFS(NewEmisData!M:M, NewEmisData!$A:$A, $G167, NewEmisData!$B:$B, $A167, NewEmisData!$C:$C, $H167, NewEmisData!$D:$D, S$6)</f>
        <v>1283.5882413572699</v>
      </c>
      <c r="T167" s="1111">
        <f t="shared" si="290"/>
        <v>1283.5882413572699</v>
      </c>
      <c r="U167" s="1111">
        <f>SUMIFS(NewEmisData!E:E, NewEmisData!$A:$A, $G167, NewEmisData!$B:$B, $A167, NewEmisData!$C:$C, $H167, NewEmisData!$D:$D, U$6)</f>
        <v>3.9696963814368802</v>
      </c>
      <c r="V167" s="1111">
        <f>SUMIFS(NewEmisData!F:F, NewEmisData!$A:$A, $G167, NewEmisData!$B:$B, $A167, NewEmisData!$C:$C, $H167, NewEmisData!$D:$D, V$6)</f>
        <v>2.1292045893653802</v>
      </c>
      <c r="W167" s="1111">
        <f>SUMIFS(NewEmisData!G:G, NewEmisData!$A:$A, $G167, NewEmisData!$B:$B, $A167, NewEmisData!$C:$C, $H167, NewEmisData!$D:$D, W$6)</f>
        <v>1.1780347139767999</v>
      </c>
      <c r="X167" s="1111">
        <f>SUMIFS(NewEmisData!H:H, NewEmisData!$A:$A, $G167, NewEmisData!$B:$B, $A167, NewEmisData!$C:$C, $H167, NewEmisData!$D:$D, X$6)</f>
        <v>0.85616837461707895</v>
      </c>
      <c r="Y167" s="1111">
        <f>SUMIFS(NewEmisData!I:I, NewEmisData!$A:$A, $G167, NewEmisData!$B:$B, $A167, NewEmisData!$C:$C, $H167, NewEmisData!$D:$D, Y$6)</f>
        <v>0.71679914036882397</v>
      </c>
      <c r="Z167" s="1111">
        <f>SUMIFS(NewEmisData!J:J, NewEmisData!$A:$A, $G167, NewEmisData!$B:$B, $A167, NewEmisData!$C:$C, $H167, NewEmisData!$D:$D, Z$6)</f>
        <v>0.653734873709785</v>
      </c>
      <c r="AA167" s="1111">
        <f>SUMIFS(NewEmisData!K:K, NewEmisData!$A:$A, $G167, NewEmisData!$B:$B, $A167, NewEmisData!$C:$C, $H167, NewEmisData!$D:$D, AA$6)</f>
        <v>0.63529466077774999</v>
      </c>
      <c r="AB167" s="1111">
        <f>SUMIFS(NewEmisData!L:L, NewEmisData!$A:$A, $G167, NewEmisData!$B:$B, $A167, NewEmisData!$C:$C, $H167, NewEmisData!$D:$D, AB$6)</f>
        <v>0.63126465139316401</v>
      </c>
      <c r="AC167" s="1111">
        <f>SUMIFS(NewEmisData!M:M, NewEmisData!$A:$A, $G167, NewEmisData!$B:$B, $A167, NewEmisData!$C:$C, $H167, NewEmisData!$D:$D, AC$6)</f>
        <v>0.63008499106767202</v>
      </c>
      <c r="AD167" s="1111">
        <f t="shared" si="229"/>
        <v>0.63008499106767202</v>
      </c>
      <c r="AE167" s="1111">
        <f t="shared" si="241"/>
        <v>1.94777471026268E-2</v>
      </c>
      <c r="AF167" s="1111">
        <f>SUMIFS(NewEmisData!E:E, NewEmisData!$A:$A, $G167, NewEmisData!$B:$B, $A167, NewEmisData!$C:$C, $H167, NewEmisData!$D:$D, AF$6)</f>
        <v>1.94777471026268E-2</v>
      </c>
      <c r="AG167" s="1111">
        <f>SUMIFS(NewEmisData!F:F, NewEmisData!$A:$A, $G167, NewEmisData!$B:$B, $A167, NewEmisData!$C:$C, $H167, NewEmisData!$D:$D, AG$6)</f>
        <v>1.95445323749391E-2</v>
      </c>
      <c r="AH167" s="1111">
        <f>SUMIFS(NewEmisData!G:G, NewEmisData!$A:$A, $G167, NewEmisData!$B:$B, $A167, NewEmisData!$C:$C, $H167, NewEmisData!$D:$D, AH$6)</f>
        <v>1.9141058004132301E-2</v>
      </c>
      <c r="AI167" s="1111">
        <f>SUMIFS(NewEmisData!H:H, NewEmisData!$A:$A, $G167, NewEmisData!$B:$B, $A167, NewEmisData!$C:$C, $H167, NewEmisData!$D:$D, AI$6)</f>
        <v>1.8784705993390102E-2</v>
      </c>
      <c r="AJ167" s="1111">
        <f>SUMIFS(NewEmisData!I:I, NewEmisData!$A:$A, $G167, NewEmisData!$B:$B, $A167, NewEmisData!$C:$C, $H167, NewEmisData!$D:$D, AJ$6)</f>
        <v>1.85097249042331E-2</v>
      </c>
      <c r="AK167" s="1111">
        <f>SUMIFS(NewEmisData!J:J, NewEmisData!$A:$A, $G167, NewEmisData!$B:$B, $A167, NewEmisData!$C:$C, $H167, NewEmisData!$D:$D, AK$6)</f>
        <v>1.8437510106673601E-2</v>
      </c>
      <c r="AL167" s="1111">
        <f>SUMIFS(NewEmisData!K:K, NewEmisData!$A:$A, $G167, NewEmisData!$B:$B, $A167, NewEmisData!$C:$C, $H167, NewEmisData!$D:$D, AL$6)</f>
        <v>1.8418333813220399E-2</v>
      </c>
      <c r="AM167" s="1111">
        <f>SUMIFS(NewEmisData!L:L, NewEmisData!$A:$A, $G167, NewEmisData!$B:$B, $A167, NewEmisData!$C:$C, $H167, NewEmisData!$D:$D, AM$6)</f>
        <v>1.8414616467845198E-2</v>
      </c>
      <c r="AN167" s="1111">
        <f>SUMIFS(NewEmisData!M:M, NewEmisData!$A:$A, $G167, NewEmisData!$B:$B, $A167, NewEmisData!$C:$C, $H167, NewEmisData!$D:$D, AN$6)</f>
        <v>1.84137339980028E-2</v>
      </c>
      <c r="AO167" s="1111">
        <f t="shared" si="242"/>
        <v>1.84137339980028E-2</v>
      </c>
      <c r="AP167" s="1111">
        <f t="shared" si="243"/>
        <v>0.16277138632680399</v>
      </c>
      <c r="AQ167" s="1111">
        <f>SUMIFS(NewEmisData!E:E, NewEmisData!$A:$A, $G167, NewEmisData!$B:$B, $A167, NewEmisData!$C:$C, $H167, NewEmisData!$D:$D, AQ$6)</f>
        <v>0.16277138632680399</v>
      </c>
      <c r="AR167" s="1111">
        <f>SUMIFS(NewEmisData!F:F, NewEmisData!$A:$A, $G167, NewEmisData!$B:$B, $A167, NewEmisData!$C:$C, $H167, NewEmisData!$D:$D, AR$6)</f>
        <v>0.15749210557477999</v>
      </c>
      <c r="AS167" s="1111">
        <f>SUMIFS(NewEmisData!G:G, NewEmisData!$A:$A, $G167, NewEmisData!$B:$B, $A167, NewEmisData!$C:$C, $H167, NewEmisData!$D:$D, AS$6)</f>
        <v>0.22213105998277299</v>
      </c>
      <c r="AT167" s="1111">
        <f>SUMIFS(NewEmisData!H:H, NewEmisData!$A:$A, $G167, NewEmisData!$B:$B, $A167, NewEmisData!$C:$C, $H167, NewEmisData!$D:$D, AT$6)</f>
        <v>0.22256905483131201</v>
      </c>
      <c r="AU167" s="1111">
        <f>SUMIFS(NewEmisData!I:I, NewEmisData!$A:$A, $G167, NewEmisData!$B:$B, $A167, NewEmisData!$C:$C, $H167, NewEmisData!$D:$D, AU$6)</f>
        <v>0.223017594102533</v>
      </c>
      <c r="AV167" s="1111">
        <f>SUMIFS(NewEmisData!J:J, NewEmisData!$A:$A, $G167, NewEmisData!$B:$B, $A167, NewEmisData!$C:$C, $H167, NewEmisData!$D:$D, AV$6)</f>
        <v>0.22328437261219899</v>
      </c>
      <c r="AW167" s="1111">
        <f>SUMIFS(NewEmisData!K:K, NewEmisData!$A:$A, $G167, NewEmisData!$B:$B, $A167, NewEmisData!$C:$C, $H167, NewEmisData!$D:$D, AW$6)</f>
        <v>0.22342028408578701</v>
      </c>
      <c r="AX167" s="1111">
        <f>SUMIFS(NewEmisData!L:L, NewEmisData!$A:$A, $G167, NewEmisData!$B:$B, $A167, NewEmisData!$C:$C, $H167, NewEmisData!$D:$D, AX$6)</f>
        <v>0.22346164064811899</v>
      </c>
      <c r="AY167" s="1111">
        <f>SUMIFS(NewEmisData!M:M, NewEmisData!$A:$A, $G167, NewEmisData!$B:$B, $A167, NewEmisData!$C:$C, $H167, NewEmisData!$D:$D, AY$6)</f>
        <v>0.22347689751407299</v>
      </c>
      <c r="AZ167" s="1111">
        <f t="shared" si="244"/>
        <v>0.22347689751407299</v>
      </c>
      <c r="BA167" s="1111">
        <f t="shared" si="245"/>
        <v>3.3085277901506199E-2</v>
      </c>
      <c r="BB167" s="1111">
        <f>SUMIFS(NewEmisData!E:E, NewEmisData!$A:$A, $G167, NewEmisData!$B:$B, $A167, NewEmisData!$C:$C, $H167, NewEmisData!$D:$D, BB$6)</f>
        <v>3.3085277901506199E-2</v>
      </c>
      <c r="BC167" s="1111">
        <f>SUMIFS(NewEmisData!F:F, NewEmisData!$A:$A, $G167, NewEmisData!$B:$B, $A167, NewEmisData!$C:$C, $H167, NewEmisData!$D:$D, BC$6)</f>
        <v>2.8088278695018499E-2</v>
      </c>
      <c r="BD167" s="1111">
        <f>SUMIFS(NewEmisData!G:G, NewEmisData!$A:$A, $G167, NewEmisData!$B:$B, $A167, NewEmisData!$C:$C, $H167, NewEmisData!$D:$D, BD$6)</f>
        <v>3.5249470703337199E-2</v>
      </c>
      <c r="BE167" s="1111">
        <f>SUMIFS(NewEmisData!H:H, NewEmisData!$A:$A, $G167, NewEmisData!$B:$B, $A167, NewEmisData!$C:$C, $H167, NewEmisData!$D:$D, BE$6)</f>
        <v>3.5278230321982601E-2</v>
      </c>
      <c r="BF167" s="1111">
        <f>SUMIFS(NewEmisData!I:I, NewEmisData!$A:$A, $G167, NewEmisData!$B:$B, $A167, NewEmisData!$C:$C, $H167, NewEmisData!$D:$D, BF$6)</f>
        <v>3.5607078221125799E-2</v>
      </c>
      <c r="BG167" s="1111">
        <f>SUMIFS(NewEmisData!J:J, NewEmisData!$A:$A, $G167, NewEmisData!$B:$B, $A167, NewEmisData!$C:$C, $H167, NewEmisData!$D:$D, BG$6)</f>
        <v>3.5823183054303799E-2</v>
      </c>
      <c r="BH167" s="1111">
        <f>SUMIFS(NewEmisData!K:K, NewEmisData!$A:$A, $G167, NewEmisData!$B:$B, $A167, NewEmisData!$C:$C, $H167, NewEmisData!$D:$D, BH$6)</f>
        <v>3.5938864982074499E-2</v>
      </c>
      <c r="BI167" s="1111">
        <f>SUMIFS(NewEmisData!L:L, NewEmisData!$A:$A, $G167, NewEmisData!$B:$B, $A167, NewEmisData!$C:$C, $H167, NewEmisData!$D:$D, BI$6)</f>
        <v>3.5974176634088799E-2</v>
      </c>
      <c r="BJ167" s="1111">
        <f>SUMIFS(NewEmisData!M:M, NewEmisData!$A:$A, $G167, NewEmisData!$B:$B, $A167, NewEmisData!$C:$C, $H167, NewEmisData!$D:$D, BJ$6)</f>
        <v>3.59876115686096E-2</v>
      </c>
      <c r="BK167" s="1111">
        <f t="shared" si="246"/>
        <v>3.59876115686096E-2</v>
      </c>
      <c r="BL167" s="1111">
        <f t="shared" si="247"/>
        <v>30.519264024443402</v>
      </c>
      <c r="BM167" s="1111">
        <f>SUMIFS(NewEmisData!E:E, NewEmisData!$A:$A, $G167, NewEmisData!$B:$B, $A167, NewEmisData!$C:$C, $H167, NewEmisData!$D:$D, BM$6)</f>
        <v>30.519264024443402</v>
      </c>
      <c r="BN167" s="1111">
        <f>SUMIFS(NewEmisData!F:F, NewEmisData!$A:$A, $G167, NewEmisData!$B:$B, $A167, NewEmisData!$C:$C, $H167, NewEmisData!$D:$D, BN$6)</f>
        <v>17.7548638520019</v>
      </c>
      <c r="BO167" s="1111">
        <f>SUMIFS(NewEmisData!G:G, NewEmisData!$A:$A, $G167, NewEmisData!$B:$B, $A167, NewEmisData!$C:$C, $H167, NewEmisData!$D:$D, BO$6)</f>
        <v>11.769795592664099</v>
      </c>
      <c r="BP167" s="1111">
        <f>SUMIFS(NewEmisData!H:H, NewEmisData!$A:$A, $G167, NewEmisData!$B:$B, $A167, NewEmisData!$C:$C, $H167, NewEmisData!$D:$D, BP$6)</f>
        <v>10.027249561844799</v>
      </c>
      <c r="BQ167" s="1111">
        <f>SUMIFS(NewEmisData!I:I, NewEmisData!$A:$A, $G167, NewEmisData!$B:$B, $A167, NewEmisData!$C:$C, $H167, NewEmisData!$D:$D, BQ$6)</f>
        <v>9.5164175607240296</v>
      </c>
      <c r="BR167" s="1111">
        <f>SUMIFS(NewEmisData!J:J, NewEmisData!$A:$A, $G167, NewEmisData!$B:$B, $A167, NewEmisData!$C:$C, $H167, NewEmisData!$D:$D, BR$6)</f>
        <v>9.3871226242105301</v>
      </c>
      <c r="BS167" s="1111">
        <f>SUMIFS(NewEmisData!K:K, NewEmisData!$A:$A, $G167, NewEmisData!$B:$B, $A167, NewEmisData!$C:$C, $H167, NewEmisData!$D:$D, BS$6)</f>
        <v>9.4290563886524001</v>
      </c>
      <c r="BT167" s="1111">
        <f>SUMIFS(NewEmisData!L:L, NewEmisData!$A:$A, $G167, NewEmisData!$B:$B, $A167, NewEmisData!$C:$C, $H167, NewEmisData!$D:$D, BT$6)</f>
        <v>9.4677016030619807</v>
      </c>
      <c r="BU167" s="1111">
        <f>SUMIFS(NewEmisData!M:M, NewEmisData!$A:$A, $G167, NewEmisData!$B:$B, $A167, NewEmisData!$C:$C, $H167, NewEmisData!$D:$D, BU$6)</f>
        <v>9.4911287930921109</v>
      </c>
      <c r="BV167" s="1111">
        <f t="shared" si="248"/>
        <v>9.4911287930921109</v>
      </c>
      <c r="BW167" s="1111">
        <f t="shared" si="249"/>
        <v>1.4331518530549801</v>
      </c>
      <c r="BX167" s="1111">
        <f>SUMIFS(NewEmisData!E:E, NewEmisData!$A:$A, $G167, NewEmisData!$B:$B, $A167, NewEmisData!$C:$C, $H167, NewEmisData!$D:$D, BX$6)</f>
        <v>1.4331518530549801</v>
      </c>
      <c r="BY167" s="1111">
        <f>SUMIFS(NewEmisData!F:F, NewEmisData!$A:$A, $G167, NewEmisData!$B:$B, $A167, NewEmisData!$C:$C, $H167, NewEmisData!$D:$D, BY$6)</f>
        <v>0.82554141247932</v>
      </c>
      <c r="BZ167" s="1111">
        <f>SUMIFS(NewEmisData!G:G, NewEmisData!$A:$A, $G167, NewEmisData!$B:$B, $A167, NewEmisData!$C:$C, $H167, NewEmisData!$D:$D, BZ$6)</f>
        <v>0.52934059761176699</v>
      </c>
      <c r="CA167" s="1111">
        <f>SUMIFS(NewEmisData!H:H, NewEmisData!$A:$A, $G167, NewEmisData!$B:$B, $A167, NewEmisData!$C:$C, $H167, NewEmisData!$D:$D, CA$6)</f>
        <v>0.41820996508437402</v>
      </c>
      <c r="CB167" s="1111">
        <f>SUMIFS(NewEmisData!I:I, NewEmisData!$A:$A, $G167, NewEmisData!$B:$B, $A167, NewEmisData!$C:$C, $H167, NewEmisData!$D:$D, CB$6)</f>
        <v>0.37730109294103098</v>
      </c>
      <c r="CC167" s="1111">
        <f>SUMIFS(NewEmisData!J:J, NewEmisData!$A:$A, $G167, NewEmisData!$B:$B, $A167, NewEmisData!$C:$C, $H167, NewEmisData!$D:$D, CC$6)</f>
        <v>0.36080370260189998</v>
      </c>
      <c r="CD167" s="1111">
        <f>SUMIFS(NewEmisData!K:K, NewEmisData!$A:$A, $G167, NewEmisData!$B:$B, $A167, NewEmisData!$C:$C, $H167, NewEmisData!$D:$D, CD$6)</f>
        <v>0.35854771789443002</v>
      </c>
      <c r="CE167" s="1111">
        <f>SUMIFS(NewEmisData!L:L, NewEmisData!$A:$A, $G167, NewEmisData!$B:$B, $A167, NewEmisData!$C:$C, $H167, NewEmisData!$D:$D, CE$6)</f>
        <v>0.35854167304512202</v>
      </c>
      <c r="CF167" s="1111">
        <f>SUMIFS(NewEmisData!M:M, NewEmisData!$A:$A, $G167, NewEmisData!$B:$B, $A167, NewEmisData!$C:$C, $H167, NewEmisData!$D:$D, CF$6)</f>
        <v>0.35855864650360297</v>
      </c>
      <c r="CG167" s="1111">
        <f t="shared" si="250"/>
        <v>0.35855864650360297</v>
      </c>
      <c r="CH167" s="1111">
        <f t="shared" si="251"/>
        <v>4.3399426569524099E-2</v>
      </c>
      <c r="CI167" s="1111">
        <f>SUMIFS(NewEmisData!E:E, NewEmisData!$A:$A, $G167, NewEmisData!$B:$B, $A167, NewEmisData!$C:$C, $H167, NewEmisData!$D:$D, CI$6)</f>
        <v>4.3399426569524099E-2</v>
      </c>
      <c r="CJ167" s="1111">
        <f>SUMIFS(NewEmisData!F:F, NewEmisData!$A:$A, $G167, NewEmisData!$B:$B, $A167, NewEmisData!$C:$C, $H167, NewEmisData!$D:$D, CJ$6)</f>
        <v>4.3414607751202899E-2</v>
      </c>
      <c r="CK167" s="1111">
        <f>SUMIFS(NewEmisData!G:G, NewEmisData!$A:$A, $G167, NewEmisData!$B:$B, $A167, NewEmisData!$C:$C, $H167, NewEmisData!$D:$D, CK$6)</f>
        <v>5.4993981735290499E-2</v>
      </c>
      <c r="CL167" s="1111">
        <f>SUMIFS(NewEmisData!H:H, NewEmisData!$A:$A, $G167, NewEmisData!$B:$B, $A167, NewEmisData!$C:$C, $H167, NewEmisData!$D:$D, CL$6)</f>
        <v>5.4993786232210601E-2</v>
      </c>
      <c r="CM167" s="1111">
        <f>SUMIFS(NewEmisData!I:I, NewEmisData!$A:$A, $G167, NewEmisData!$B:$B, $A167, NewEmisData!$C:$C, $H167, NewEmisData!$D:$D, CM$6)</f>
        <v>5.49943755829881E-2</v>
      </c>
      <c r="CN167" s="1111">
        <f>SUMIFS(NewEmisData!J:J, NewEmisData!$A:$A, $G167, NewEmisData!$B:$B, $A167, NewEmisData!$C:$C, $H167, NewEmisData!$D:$D, CN$6)</f>
        <v>5.4994520767338101E-2</v>
      </c>
      <c r="CO167" s="1111">
        <f>SUMIFS(NewEmisData!K:K, NewEmisData!$A:$A, $G167, NewEmisData!$B:$B, $A167, NewEmisData!$C:$C, $H167, NewEmisData!$D:$D, CO$6)</f>
        <v>5.4994541597587002E-2</v>
      </c>
      <c r="CP167" s="1111">
        <f>SUMIFS(NewEmisData!L:L, NewEmisData!$A:$A, $G167, NewEmisData!$B:$B, $A167, NewEmisData!$C:$C, $H167, NewEmisData!$D:$D, CP$6)</f>
        <v>5.4994553673977098E-2</v>
      </c>
      <c r="CQ167" s="1111">
        <f>SUMIFS(NewEmisData!M:M, NewEmisData!$A:$A, $G167, NewEmisData!$B:$B, $A167, NewEmisData!$C:$C, $H167, NewEmisData!$D:$D, CQ$6)</f>
        <v>5.4994550577738499E-2</v>
      </c>
      <c r="CR167" s="1111">
        <f t="shared" si="252"/>
        <v>5.4994550577738499E-2</v>
      </c>
      <c r="CS167" s="1111">
        <f t="shared" si="253"/>
        <v>4.8977354146498502E-2</v>
      </c>
      <c r="CT167" s="1111">
        <f>SUMIFS(NewEmisData!E:E, NewEmisData!$A:$A, $G167, NewEmisData!$B:$B, $A167, NewEmisData!$C:$C, $H167, NewEmisData!$D:$D, CT$6)</f>
        <v>4.8977354146498502E-2</v>
      </c>
      <c r="CU167" s="1111">
        <f>SUMIFS(NewEmisData!F:F, NewEmisData!$A:$A, $G167, NewEmisData!$B:$B, $A167, NewEmisData!$C:$C, $H167, NewEmisData!$D:$D, CU$6)</f>
        <v>2.8470713504453099E-2</v>
      </c>
      <c r="CV167" s="1111">
        <f>SUMIFS(NewEmisData!G:G, NewEmisData!$A:$A, $G167, NewEmisData!$B:$B, $A167, NewEmisData!$C:$C, $H167, NewEmisData!$D:$D, CV$6)</f>
        <v>2.1189978152056602E-2</v>
      </c>
      <c r="CW167" s="1111">
        <f>SUMIFS(NewEmisData!H:H, NewEmisData!$A:$A, $G167, NewEmisData!$B:$B, $A167, NewEmisData!$C:$C, $H167, NewEmisData!$D:$D, CW$6)</f>
        <v>1.46389058287662E-2</v>
      </c>
      <c r="CX167" s="1111">
        <f>SUMIFS(NewEmisData!I:I, NewEmisData!$A:$A, $G167, NewEmisData!$B:$B, $A167, NewEmisData!$C:$C, $H167, NewEmisData!$D:$D, CX$6)</f>
        <v>1.28792587479717E-2</v>
      </c>
      <c r="CY167" s="1111">
        <f>SUMIFS(NewEmisData!J:J, NewEmisData!$A:$A, $G167, NewEmisData!$B:$B, $A167, NewEmisData!$C:$C, $H167, NewEmisData!$D:$D, CY$6)</f>
        <v>1.23921680979683E-2</v>
      </c>
      <c r="CZ167" s="1111">
        <f>SUMIFS(NewEmisData!K:K, NewEmisData!$A:$A, $G167, NewEmisData!$B:$B, $A167, NewEmisData!$C:$C, $H167, NewEmisData!$D:$D, CZ$6)</f>
        <v>1.23336041545112E-2</v>
      </c>
      <c r="DA167" s="1111">
        <f>SUMIFS(NewEmisData!L:L, NewEmisData!$A:$A, $G167, NewEmisData!$B:$B, $A167, NewEmisData!$C:$C, $H167, NewEmisData!$D:$D, DA$6)</f>
        <v>1.22985211601931E-2</v>
      </c>
      <c r="DB167" s="1111">
        <f>SUMIFS(NewEmisData!M:M, NewEmisData!$A:$A, $G167, NewEmisData!$B:$B, $A167, NewEmisData!$C:$C, $H167, NewEmisData!$D:$D, DB$6)</f>
        <v>1.2317402931661E-2</v>
      </c>
      <c r="DC167" s="1111">
        <f t="shared" si="254"/>
        <v>1.2317402931661E-2</v>
      </c>
      <c r="DD167" s="1111"/>
      <c r="DE167" s="1111"/>
      <c r="DF167" s="1111"/>
      <c r="DG167" s="1111"/>
      <c r="DH167" s="1111"/>
      <c r="DI167" s="1111"/>
      <c r="DJ167" s="1111"/>
      <c r="DK167" s="1111"/>
      <c r="DL167" s="1111"/>
      <c r="DM167" s="1111"/>
      <c r="DN167" s="1111"/>
      <c r="DO167" s="1111"/>
      <c r="DP167" s="1111"/>
      <c r="DQ167" s="1111"/>
      <c r="DR167" s="1111"/>
      <c r="DS167" s="1111"/>
      <c r="DT167" s="1111"/>
      <c r="DU167" s="1111"/>
      <c r="DV167" s="1111"/>
      <c r="DW167" s="1111"/>
      <c r="DX167" s="1111"/>
      <c r="DY167" s="1111"/>
      <c r="DZ167" s="1111">
        <f t="shared" si="255"/>
        <v>3.8110257804810699E-2</v>
      </c>
      <c r="EA167" s="1111">
        <f>SUMIFS(NewEmisData!E:E, NewEmisData!$A:$A, $G167, NewEmisData!$B:$B, $A167, NewEmisData!$C:$C, $H167, NewEmisData!$D:$D, EA$6)</f>
        <v>3.8110257804810699E-2</v>
      </c>
      <c r="EB167" s="1111">
        <f>SUMIFS(NewEmisData!F:F, NewEmisData!$A:$A, $G167, NewEmisData!$B:$B, $A167, NewEmisData!$C:$C, $H167, NewEmisData!$D:$D, EB$6)</f>
        <v>2.0417199912842899E-2</v>
      </c>
      <c r="EC167" s="1111">
        <f>SUMIFS(NewEmisData!G:G, NewEmisData!$A:$A, $G167, NewEmisData!$B:$B, $A167, NewEmisData!$C:$C, $H167, NewEmisData!$D:$D, EC$6)</f>
        <v>1.30642962548774E-2</v>
      </c>
      <c r="ED167" s="1111">
        <f>SUMIFS(NewEmisData!H:H, NewEmisData!$A:$A, $G167, NewEmisData!$B:$B, $A167, NewEmisData!$C:$C, $H167, NewEmisData!$D:$D, ED$6)</f>
        <v>1.11738363859457E-2</v>
      </c>
      <c r="EE167" s="1111">
        <f>SUMIFS(NewEmisData!I:I, NewEmisData!$A:$A, $G167, NewEmisData!$B:$B, $A167, NewEmisData!$C:$C, $H167, NewEmisData!$D:$D, EE$6)</f>
        <v>1.0636123173322E-2</v>
      </c>
      <c r="EF167" s="1111">
        <f>SUMIFS(NewEmisData!J:J, NewEmisData!$A:$A, $G167, NewEmisData!$B:$B, $A167, NewEmisData!$C:$C, $H167, NewEmisData!$D:$D, EF$6)</f>
        <v>1.0535248987316E-2</v>
      </c>
      <c r="EG167" s="1111">
        <f>SUMIFS(NewEmisData!K:K, NewEmisData!$A:$A, $G167, NewEmisData!$B:$B, $A167, NewEmisData!$C:$C, $H167, NewEmisData!$D:$D, EG$6)</f>
        <v>1.0571182579202899E-2</v>
      </c>
      <c r="EH167" s="1111">
        <f>SUMIFS(NewEmisData!L:L, NewEmisData!$A:$A, $G167, NewEmisData!$B:$B, $A167, NewEmisData!$C:$C, $H167, NewEmisData!$D:$D, EH$6)</f>
        <v>1.05827805921651E-2</v>
      </c>
      <c r="EI167" s="1111">
        <f>SUMIFS(NewEmisData!M:M, NewEmisData!$A:$A, $G167, NewEmisData!$B:$B, $A167, NewEmisData!$C:$C, $H167, NewEmisData!$D:$D, EI$6)</f>
        <v>1.05816969285468E-2</v>
      </c>
      <c r="EJ167" s="1111">
        <f t="shared" si="256"/>
        <v>1.05816969285468E-2</v>
      </c>
      <c r="EK167" s="1111">
        <f t="shared" si="257"/>
        <v>1125.6531994791601</v>
      </c>
      <c r="EL167" s="1111">
        <f t="shared" si="269"/>
        <v>1125.6531994791601</v>
      </c>
      <c r="EM167" s="1111">
        <f t="shared" si="270"/>
        <v>1129.51230354672</v>
      </c>
      <c r="EN167" s="1111">
        <f t="shared" si="271"/>
        <v>1334.28865010909</v>
      </c>
      <c r="EO167" s="1111">
        <f t="shared" si="272"/>
        <v>1309.4477161980601</v>
      </c>
      <c r="EP167" s="1111">
        <f t="shared" si="273"/>
        <v>1290.2789800169201</v>
      </c>
      <c r="EQ167" s="1111">
        <f t="shared" si="274"/>
        <v>1285.24459420581</v>
      </c>
      <c r="ER167" s="1111">
        <f t="shared" si="275"/>
        <v>1283.9086141387199</v>
      </c>
      <c r="ES167" s="1111">
        <f t="shared" si="276"/>
        <v>1283.64917953798</v>
      </c>
      <c r="ET167" s="1111">
        <f t="shared" si="277"/>
        <v>1283.5882413572699</v>
      </c>
      <c r="EU167" s="1111">
        <f t="shared" si="278"/>
        <v>1283.5882413572699</v>
      </c>
      <c r="EV167" s="1111">
        <f t="shared" si="258"/>
        <v>3.9696963814368802</v>
      </c>
      <c r="EW167" s="1111">
        <f t="shared" si="259"/>
        <v>3.9696963814368802</v>
      </c>
      <c r="EX167" s="1111">
        <f t="shared" si="260"/>
        <v>2.1292045893653802</v>
      </c>
      <c r="EY167" s="1111">
        <f t="shared" si="261"/>
        <v>1.1780347139767999</v>
      </c>
      <c r="EZ167" s="1111">
        <f t="shared" si="262"/>
        <v>0.85616837461707895</v>
      </c>
      <c r="FA167" s="1111">
        <f t="shared" si="263"/>
        <v>0.71679914036882397</v>
      </c>
      <c r="FB167" s="1111">
        <f t="shared" si="264"/>
        <v>0.653734873709785</v>
      </c>
      <c r="FC167" s="1111">
        <f t="shared" si="265"/>
        <v>0.63529466077774999</v>
      </c>
      <c r="FD167" s="1111">
        <f t="shared" si="266"/>
        <v>0.63126465139316401</v>
      </c>
      <c r="FE167" s="1111">
        <f t="shared" si="267"/>
        <v>0.63008499106767202</v>
      </c>
      <c r="FF167" s="1111">
        <f t="shared" si="268"/>
        <v>0.63008499106767202</v>
      </c>
      <c r="FG167" s="1111">
        <f t="shared" si="193"/>
        <v>1.94777471026268E-2</v>
      </c>
      <c r="FH167" s="1111">
        <f t="shared" si="194"/>
        <v>1.94777471026268E-2</v>
      </c>
      <c r="FI167" s="1111">
        <f t="shared" si="195"/>
        <v>1.95445323749391E-2</v>
      </c>
      <c r="FJ167" s="1111">
        <f t="shared" si="196"/>
        <v>1.9141058004132301E-2</v>
      </c>
      <c r="FK167" s="1111">
        <f t="shared" si="197"/>
        <v>1.8784705993390102E-2</v>
      </c>
      <c r="FL167" s="1111">
        <f t="shared" si="198"/>
        <v>1.85097249042331E-2</v>
      </c>
      <c r="FM167" s="1111">
        <f t="shared" si="199"/>
        <v>1.8437510106673601E-2</v>
      </c>
      <c r="FN167" s="1111">
        <f t="shared" si="200"/>
        <v>1.8418333813220399E-2</v>
      </c>
      <c r="FO167" s="1111">
        <f t="shared" si="201"/>
        <v>1.8414616467845198E-2</v>
      </c>
      <c r="FP167" s="1111">
        <f t="shared" si="202"/>
        <v>1.84137339980028E-2</v>
      </c>
      <c r="FQ167" s="1111">
        <f t="shared" si="203"/>
        <v>1.84137339980028E-2</v>
      </c>
      <c r="FR167" s="1111">
        <f t="shared" si="230"/>
        <v>0.16277138632680399</v>
      </c>
      <c r="FS167" s="1111">
        <f t="shared" si="231"/>
        <v>0.16277138632680399</v>
      </c>
      <c r="FT167" s="1111">
        <f t="shared" si="232"/>
        <v>0.15749210557477999</v>
      </c>
      <c r="FU167" s="1111">
        <f t="shared" si="233"/>
        <v>0.22213105998277299</v>
      </c>
      <c r="FV167" s="1111">
        <f t="shared" si="234"/>
        <v>0.22256905483131201</v>
      </c>
      <c r="FW167" s="1111">
        <f t="shared" si="235"/>
        <v>0.223017594102533</v>
      </c>
      <c r="FX167" s="1111">
        <f t="shared" si="236"/>
        <v>0.22328437261219899</v>
      </c>
      <c r="FY167" s="1111">
        <f t="shared" si="237"/>
        <v>0.22342028408578701</v>
      </c>
      <c r="FZ167" s="1111">
        <f t="shared" si="238"/>
        <v>0.22346164064811899</v>
      </c>
      <c r="GA167" s="1111">
        <f t="shared" si="239"/>
        <v>0.22347689751407299</v>
      </c>
      <c r="GB167" s="1111">
        <f t="shared" si="240"/>
        <v>0.22347689751407299</v>
      </c>
      <c r="GC167" s="1111">
        <f t="shared" si="279"/>
        <v>3.3085277901506199E-2</v>
      </c>
      <c r="GD167" s="1111">
        <f t="shared" si="280"/>
        <v>3.3085277901506199E-2</v>
      </c>
      <c r="GE167" s="1111">
        <f t="shared" si="281"/>
        <v>2.8088278695018499E-2</v>
      </c>
      <c r="GF167" s="1111">
        <f t="shared" si="282"/>
        <v>3.5249470703337199E-2</v>
      </c>
      <c r="GG167" s="1111">
        <f t="shared" si="283"/>
        <v>3.5278230321982601E-2</v>
      </c>
      <c r="GH167" s="1111">
        <f t="shared" si="284"/>
        <v>3.5607078221125799E-2</v>
      </c>
      <c r="GI167" s="1111">
        <f t="shared" si="285"/>
        <v>3.5823183054303799E-2</v>
      </c>
      <c r="GJ167" s="1111">
        <f t="shared" si="286"/>
        <v>3.5938864982074499E-2</v>
      </c>
      <c r="GK167" s="1111">
        <f t="shared" si="287"/>
        <v>3.5974176634088799E-2</v>
      </c>
      <c r="GL167" s="1111">
        <f t="shared" si="288"/>
        <v>3.59876115686096E-2</v>
      </c>
      <c r="GM167" s="1111">
        <f t="shared" si="289"/>
        <v>3.59876115686096E-2</v>
      </c>
    </row>
    <row r="168" spans="1:195" x14ac:dyDescent="0.2">
      <c r="A168" s="1071" t="s">
        <v>186</v>
      </c>
      <c r="B168" s="1071" t="str">
        <f>Technologies!C116</f>
        <v>TMGSLIM</v>
      </c>
      <c r="C168" s="1071" t="str">
        <f>Technologies!D116</f>
        <v>Medium Duty Truck, Improved Gasoline</v>
      </c>
      <c r="D168" s="1071" t="str">
        <f>NewTech!D68</f>
        <v>bn-vmt, bn-vmt/a</v>
      </c>
      <c r="E168" s="1071" t="str">
        <f>NewTech!E69</f>
        <v>TMGSL</v>
      </c>
      <c r="F168" s="1071" t="str">
        <f>NewTech!F69</f>
        <v>TM</v>
      </c>
      <c r="G168" s="1110" t="s">
        <v>503</v>
      </c>
      <c r="H168" s="1110" t="s">
        <v>500</v>
      </c>
      <c r="I168" s="1112">
        <v>1</v>
      </c>
      <c r="J168" s="1111" t="str">
        <f t="shared" si="37"/>
        <v>Medium duty-GSL</v>
      </c>
      <c r="K168" s="1111">
        <f>SUMIFS(NewEmisData!E:E, NewEmisData!$A:$A, $G168, NewEmisData!$B:$B, $A168, NewEmisData!$C:$C, $H168, NewEmisData!$D:$D, K$6)</f>
        <v>1571.23838726393</v>
      </c>
      <c r="L168" s="1111">
        <f>SUMIFS(NewEmisData!F:F, NewEmisData!$A:$A, $G168, NewEmisData!$B:$B, $A168, NewEmisData!$C:$C, $H168, NewEmisData!$D:$D, L$6)</f>
        <v>1575.29652368133</v>
      </c>
      <c r="M168" s="1111">
        <f>SUMIFS(NewEmisData!G:G, NewEmisData!$A:$A, $G168, NewEmisData!$B:$B, $A168, NewEmisData!$C:$C, $H168, NewEmisData!$D:$D, M$6)</f>
        <v>1620.65726903051</v>
      </c>
      <c r="N168" s="1111">
        <f>SUMIFS(NewEmisData!H:H, NewEmisData!$A:$A, $G168, NewEmisData!$B:$B, $A168, NewEmisData!$C:$C, $H168, NewEmisData!$D:$D, N$6)</f>
        <v>1591.3958126743701</v>
      </c>
      <c r="O168" s="1111">
        <f>SUMIFS(NewEmisData!I:I, NewEmisData!$A:$A, $G168, NewEmisData!$B:$B, $A168, NewEmisData!$C:$C, $H168, NewEmisData!$D:$D, O$6)</f>
        <v>1568.18391586794</v>
      </c>
      <c r="P168" s="1111">
        <f>SUMIFS(NewEmisData!J:J, NewEmisData!$A:$A, $G168, NewEmisData!$B:$B, $A168, NewEmisData!$C:$C, $H168, NewEmisData!$D:$D, P$6)</f>
        <v>1562.10113018675</v>
      </c>
      <c r="Q168" s="1111">
        <f>SUMIFS(NewEmisData!K:K, NewEmisData!$A:$A, $G168, NewEmisData!$B:$B, $A168, NewEmisData!$C:$C, $H168, NewEmisData!$D:$D, Q$6)</f>
        <v>1560.4729957351501</v>
      </c>
      <c r="R168" s="1111">
        <f>SUMIFS(NewEmisData!L:L, NewEmisData!$A:$A, $G168, NewEmisData!$B:$B, $A168, NewEmisData!$C:$C, $H168, NewEmisData!$D:$D, R$6)</f>
        <v>1560.1538107035101</v>
      </c>
      <c r="S168" s="1111">
        <f>SUMIFS(NewEmisData!M:M, NewEmisData!$A:$A, $G168, NewEmisData!$B:$B, $A168, NewEmisData!$C:$C, $H168, NewEmisData!$D:$D, S$6)</f>
        <v>1560.07677043992</v>
      </c>
      <c r="T168" s="1111">
        <f t="shared" si="290"/>
        <v>1560.07677043992</v>
      </c>
      <c r="U168" s="1111">
        <f>SUMIFS(NewEmisData!E:E, NewEmisData!$A:$A, $G168, NewEmisData!$B:$B, $A168, NewEmisData!$C:$C, $H168, NewEmisData!$D:$D, U$6)</f>
        <v>4.4339350215429896</v>
      </c>
      <c r="V168" s="1111">
        <f>SUMIFS(NewEmisData!F:F, NewEmisData!$A:$A, $G168, NewEmisData!$B:$B, $A168, NewEmisData!$C:$C, $H168, NewEmisData!$D:$D, V$6)</f>
        <v>3.9615409236254</v>
      </c>
      <c r="W168" s="1111">
        <f>SUMIFS(NewEmisData!G:G, NewEmisData!$A:$A, $G168, NewEmisData!$B:$B, $A168, NewEmisData!$C:$C, $H168, NewEmisData!$D:$D, W$6)</f>
        <v>1.33028401660566</v>
      </c>
      <c r="X168" s="1111">
        <f>SUMIFS(NewEmisData!H:H, NewEmisData!$A:$A, $G168, NewEmisData!$B:$B, $A168, NewEmisData!$C:$C, $H168, NewEmisData!$D:$D, X$6)</f>
        <v>0.96801463367483198</v>
      </c>
      <c r="Y168" s="1111">
        <f>SUMIFS(NewEmisData!I:I, NewEmisData!$A:$A, $G168, NewEmisData!$B:$B, $A168, NewEmisData!$C:$C, $H168, NewEmisData!$D:$D, Y$6)</f>
        <v>0.810835029277582</v>
      </c>
      <c r="Z168" s="1111">
        <f>SUMIFS(NewEmisData!J:J, NewEmisData!$A:$A, $G168, NewEmisData!$B:$B, $A168, NewEmisData!$C:$C, $H168, NewEmisData!$D:$D, Z$6)</f>
        <v>0.73984590086297597</v>
      </c>
      <c r="AA168" s="1111">
        <f>SUMIFS(NewEmisData!K:K, NewEmisData!$A:$A, $G168, NewEmisData!$B:$B, $A168, NewEmisData!$C:$C, $H168, NewEmisData!$D:$D, AA$6)</f>
        <v>0.71912537608469196</v>
      </c>
      <c r="AB168" s="1111">
        <f>SUMIFS(NewEmisData!L:L, NewEmisData!$A:$A, $G168, NewEmisData!$B:$B, $A168, NewEmisData!$C:$C, $H168, NewEmisData!$D:$D, AB$6)</f>
        <v>0.71458926415217605</v>
      </c>
      <c r="AC168" s="1111">
        <f>SUMIFS(NewEmisData!M:M, NewEmisData!$A:$A, $G168, NewEmisData!$B:$B, $A168, NewEmisData!$C:$C, $H168, NewEmisData!$D:$D, AC$6)</f>
        <v>0.71327232452186995</v>
      </c>
      <c r="AD168" s="1111">
        <f t="shared" si="229"/>
        <v>0.71327232452186995</v>
      </c>
      <c r="AE168" s="1111">
        <f t="shared" si="241"/>
        <v>2.71879476544729E-2</v>
      </c>
      <c r="AF168" s="1111">
        <f>SUMIFS(NewEmisData!E:E, NewEmisData!$A:$A, $G168, NewEmisData!$B:$B, $A168, NewEmisData!$C:$C, $H168, NewEmisData!$D:$D, AF$6)</f>
        <v>2.71879476544729E-2</v>
      </c>
      <c r="AG168" s="1111">
        <f>SUMIFS(NewEmisData!F:F, NewEmisData!$A:$A, $G168, NewEmisData!$B:$B, $A168, NewEmisData!$C:$C, $H168, NewEmisData!$D:$D, AG$6)</f>
        <v>2.72581702920257E-2</v>
      </c>
      <c r="AH168" s="1111">
        <f>SUMIFS(NewEmisData!G:G, NewEmisData!$A:$A, $G168, NewEmisData!$B:$B, $A168, NewEmisData!$C:$C, $H168, NewEmisData!$D:$D, AH$6)</f>
        <v>2.32491676049662E-2</v>
      </c>
      <c r="AI168" s="1111">
        <f>SUMIFS(NewEmisData!H:H, NewEmisData!$A:$A, $G168, NewEmisData!$B:$B, $A168, NewEmisData!$C:$C, $H168, NewEmisData!$D:$D, AI$6)</f>
        <v>2.28294094185802E-2</v>
      </c>
      <c r="AJ168" s="1111">
        <f>SUMIFS(NewEmisData!I:I, NewEmisData!$A:$A, $G168, NewEmisData!$B:$B, $A168, NewEmisData!$C:$C, $H168, NewEmisData!$D:$D, AJ$6)</f>
        <v>2.2496411359683499E-2</v>
      </c>
      <c r="AK168" s="1111">
        <f>SUMIFS(NewEmisData!J:J, NewEmisData!$A:$A, $G168, NewEmisData!$B:$B, $A168, NewEmisData!$C:$C, $H168, NewEmisData!$D:$D, AK$6)</f>
        <v>2.24091575903414E-2</v>
      </c>
      <c r="AL168" s="1111">
        <f>SUMIFS(NewEmisData!K:K, NewEmisData!$A:$A, $G168, NewEmisData!$B:$B, $A168, NewEmisData!$C:$C, $H168, NewEmisData!$D:$D, AL$6)</f>
        <v>2.2385789717233699E-2</v>
      </c>
      <c r="AM168" s="1111">
        <f>SUMIFS(NewEmisData!L:L, NewEmisData!$A:$A, $G168, NewEmisData!$B:$B, $A168, NewEmisData!$C:$C, $H168, NewEmisData!$D:$D, AM$6)</f>
        <v>2.23812039581394E-2</v>
      </c>
      <c r="AN168" s="1111">
        <f>SUMIFS(NewEmisData!M:M, NewEmisData!$A:$A, $G168, NewEmisData!$B:$B, $A168, NewEmisData!$C:$C, $H168, NewEmisData!$D:$D, AN$6)</f>
        <v>2.2380112251842499E-2</v>
      </c>
      <c r="AO168" s="1111">
        <f t="shared" si="242"/>
        <v>2.2380112251842499E-2</v>
      </c>
      <c r="AP168" s="1111">
        <f t="shared" si="243"/>
        <v>0.29570181024604603</v>
      </c>
      <c r="AQ168" s="1111">
        <f>SUMIFS(NewEmisData!E:E, NewEmisData!$A:$A, $G168, NewEmisData!$B:$B, $A168, NewEmisData!$C:$C, $H168, NewEmisData!$D:$D, AQ$6)</f>
        <v>0.29570181024604603</v>
      </c>
      <c r="AR168" s="1111">
        <f>SUMIFS(NewEmisData!F:F, NewEmisData!$A:$A, $G168, NewEmisData!$B:$B, $A168, NewEmisData!$C:$C, $H168, NewEmisData!$D:$D, AR$6)</f>
        <v>0.31347002724777001</v>
      </c>
      <c r="AS168" s="1111">
        <f>SUMIFS(NewEmisData!G:G, NewEmisData!$A:$A, $G168, NewEmisData!$B:$B, $A168, NewEmisData!$C:$C, $H168, NewEmisData!$D:$D, AS$6)</f>
        <v>0.29348248729715698</v>
      </c>
      <c r="AT168" s="1111">
        <f>SUMIFS(NewEmisData!H:H, NewEmisData!$A:$A, $G168, NewEmisData!$B:$B, $A168, NewEmisData!$C:$C, $H168, NewEmisData!$D:$D, AT$6)</f>
        <v>0.29400895980241698</v>
      </c>
      <c r="AU168" s="1111">
        <f>SUMIFS(NewEmisData!I:I, NewEmisData!$A:$A, $G168, NewEmisData!$B:$B, $A168, NewEmisData!$C:$C, $H168, NewEmisData!$D:$D, AU$6)</f>
        <v>0.29451767447034</v>
      </c>
      <c r="AV168" s="1111">
        <f>SUMIFS(NewEmisData!J:J, NewEmisData!$A:$A, $G168, NewEmisData!$B:$B, $A168, NewEmisData!$C:$C, $H168, NewEmisData!$D:$D, AV$6)</f>
        <v>0.29481614241324999</v>
      </c>
      <c r="AW168" s="1111">
        <f>SUMIFS(NewEmisData!K:K, NewEmisData!$A:$A, $G168, NewEmisData!$B:$B, $A168, NewEmisData!$C:$C, $H168, NewEmisData!$D:$D, AW$6)</f>
        <v>0.29496671929746798</v>
      </c>
      <c r="AX168" s="1111">
        <f>SUMIFS(NewEmisData!L:L, NewEmisData!$A:$A, $G168, NewEmisData!$B:$B, $A168, NewEmisData!$C:$C, $H168, NewEmisData!$D:$D, AX$6)</f>
        <v>0.29501247169592298</v>
      </c>
      <c r="AY168" s="1111">
        <f>SUMIFS(NewEmisData!M:M, NewEmisData!$A:$A, $G168, NewEmisData!$B:$B, $A168, NewEmisData!$C:$C, $H168, NewEmisData!$D:$D, AY$6)</f>
        <v>0.29502934324841701</v>
      </c>
      <c r="AZ168" s="1111">
        <f t="shared" si="244"/>
        <v>0.29502934324841701</v>
      </c>
      <c r="BA168" s="1111">
        <f t="shared" si="245"/>
        <v>5.6205629802393201E-2</v>
      </c>
      <c r="BB168" s="1111">
        <f>SUMIFS(NewEmisData!E:E, NewEmisData!$A:$A, $G168, NewEmisData!$B:$B, $A168, NewEmisData!$C:$C, $H168, NewEmisData!$D:$D, BB$6)</f>
        <v>5.6205629802393201E-2</v>
      </c>
      <c r="BC168" s="1111">
        <f>SUMIFS(NewEmisData!F:F, NewEmisData!$A:$A, $G168, NewEmisData!$B:$B, $A168, NewEmisData!$C:$C, $H168, NewEmisData!$D:$D, BC$6)</f>
        <v>7.2194764578646903E-2</v>
      </c>
      <c r="BD168" s="1111">
        <f>SUMIFS(NewEmisData!G:G, NewEmisData!$A:$A, $G168, NewEmisData!$B:$B, $A168, NewEmisData!$C:$C, $H168, NewEmisData!$D:$D, BD$6)</f>
        <v>4.48839101088091E-2</v>
      </c>
      <c r="BE168" s="1111">
        <f>SUMIFS(NewEmisData!H:H, NewEmisData!$A:$A, $G168, NewEmisData!$B:$B, $A168, NewEmisData!$C:$C, $H168, NewEmisData!$D:$D, BE$6)</f>
        <v>4.4911356100480797E-2</v>
      </c>
      <c r="BF168" s="1111">
        <f>SUMIFS(NewEmisData!I:I, NewEmisData!$A:$A, $G168, NewEmisData!$B:$B, $A168, NewEmisData!$C:$C, $H168, NewEmisData!$D:$D, BF$6)</f>
        <v>4.52709454211217E-2</v>
      </c>
      <c r="BG168" s="1111">
        <f>SUMIFS(NewEmisData!J:J, NewEmisData!$A:$A, $G168, NewEmisData!$B:$B, $A168, NewEmisData!$C:$C, $H168, NewEmisData!$D:$D, BG$6)</f>
        <v>4.5510230108050102E-2</v>
      </c>
      <c r="BH168" s="1111">
        <f>SUMIFS(NewEmisData!K:K, NewEmisData!$A:$A, $G168, NewEmisData!$B:$B, $A168, NewEmisData!$C:$C, $H168, NewEmisData!$D:$D, BH$6)</f>
        <v>4.5637724556064498E-2</v>
      </c>
      <c r="BI168" s="1111">
        <f>SUMIFS(NewEmisData!L:L, NewEmisData!$A:$A, $G168, NewEmisData!$B:$B, $A168, NewEmisData!$C:$C, $H168, NewEmisData!$D:$D, BI$6)</f>
        <v>4.56765897746194E-2</v>
      </c>
      <c r="BJ168" s="1111">
        <f>SUMIFS(NewEmisData!M:M, NewEmisData!$A:$A, $G168, NewEmisData!$B:$B, $A168, NewEmisData!$C:$C, $H168, NewEmisData!$D:$D, BJ$6)</f>
        <v>4.5691464860186798E-2</v>
      </c>
      <c r="BK168" s="1111">
        <f t="shared" si="246"/>
        <v>4.5691464860186798E-2</v>
      </c>
      <c r="BL168" s="1111">
        <f t="shared" si="247"/>
        <v>36.177292371673602</v>
      </c>
      <c r="BM168" s="1111">
        <f>SUMIFS(NewEmisData!E:E, NewEmisData!$A:$A, $G168, NewEmisData!$B:$B, $A168, NewEmisData!$C:$C, $H168, NewEmisData!$D:$D, BM$6)</f>
        <v>36.177292371673602</v>
      </c>
      <c r="BN168" s="1111">
        <f>SUMIFS(NewEmisData!F:F, NewEmisData!$A:$A, $G168, NewEmisData!$B:$B, $A168, NewEmisData!$C:$C, $H168, NewEmisData!$D:$D, BN$6)</f>
        <v>37.664857731196101</v>
      </c>
      <c r="BO168" s="1111">
        <f>SUMIFS(NewEmisData!G:G, NewEmisData!$A:$A, $G168, NewEmisData!$B:$B, $A168, NewEmisData!$C:$C, $H168, NewEmisData!$D:$D, BO$6)</f>
        <v>13.345526144115</v>
      </c>
      <c r="BP168" s="1111">
        <f>SUMIFS(NewEmisData!H:H, NewEmisData!$A:$A, $G168, NewEmisData!$B:$B, $A168, NewEmisData!$C:$C, $H168, NewEmisData!$D:$D, BP$6)</f>
        <v>11.2726393432321</v>
      </c>
      <c r="BQ168" s="1111">
        <f>SUMIFS(NewEmisData!I:I, NewEmisData!$A:$A, $G168, NewEmisData!$B:$B, $A168, NewEmisData!$C:$C, $H168, NewEmisData!$D:$D, BQ$6)</f>
        <v>10.6231110988618</v>
      </c>
      <c r="BR168" s="1111">
        <f>SUMIFS(NewEmisData!J:J, NewEmisData!$A:$A, $G168, NewEmisData!$B:$B, $A168, NewEmisData!$C:$C, $H168, NewEmisData!$D:$D, BR$6)</f>
        <v>10.435587854097999</v>
      </c>
      <c r="BS168" s="1111">
        <f>SUMIFS(NewEmisData!K:K, NewEmisData!$A:$A, $G168, NewEmisData!$B:$B, $A168, NewEmisData!$C:$C, $H168, NewEmisData!$D:$D, BS$6)</f>
        <v>10.465169362167</v>
      </c>
      <c r="BT168" s="1111">
        <f>SUMIFS(NewEmisData!L:L, NewEmisData!$A:$A, $G168, NewEmisData!$B:$B, $A168, NewEmisData!$C:$C, $H168, NewEmisData!$D:$D, BT$6)</f>
        <v>10.5025719676633</v>
      </c>
      <c r="BU168" s="1111">
        <f>SUMIFS(NewEmisData!M:M, NewEmisData!$A:$A, $G168, NewEmisData!$B:$B, $A168, NewEmisData!$C:$C, $H168, NewEmisData!$D:$D, BU$6)</f>
        <v>10.526416150576599</v>
      </c>
      <c r="BV168" s="1111">
        <f t="shared" si="248"/>
        <v>10.526416150576599</v>
      </c>
      <c r="BW168" s="1111">
        <f t="shared" si="249"/>
        <v>2.2547746276717899</v>
      </c>
      <c r="BX168" s="1111">
        <f>SUMIFS(NewEmisData!E:E, NewEmisData!$A:$A, $G168, NewEmisData!$B:$B, $A168, NewEmisData!$C:$C, $H168, NewEmisData!$D:$D, BX$6)</f>
        <v>2.2547746276717899</v>
      </c>
      <c r="BY168" s="1111">
        <f>SUMIFS(NewEmisData!F:F, NewEmisData!$A:$A, $G168, NewEmisData!$B:$B, $A168, NewEmisData!$C:$C, $H168, NewEmisData!$D:$D, BY$6)</f>
        <v>2.8652548693587798</v>
      </c>
      <c r="BZ168" s="1111">
        <f>SUMIFS(NewEmisData!G:G, NewEmisData!$A:$A, $G168, NewEmisData!$B:$B, $A168, NewEmisData!$C:$C, $H168, NewEmisData!$D:$D, BZ$6)</f>
        <v>0.66453606773915896</v>
      </c>
      <c r="CA168" s="1111">
        <f>SUMIFS(NewEmisData!H:H, NewEmisData!$A:$A, $G168, NewEmisData!$B:$B, $A168, NewEmisData!$C:$C, $H168, NewEmisData!$D:$D, CA$6)</f>
        <v>0.52696134881096601</v>
      </c>
      <c r="CB168" s="1111">
        <f>SUMIFS(NewEmisData!I:I, NewEmisData!$A:$A, $G168, NewEmisData!$B:$B, $A168, NewEmisData!$C:$C, $H168, NewEmisData!$D:$D, CB$6)</f>
        <v>0.475085091842188</v>
      </c>
      <c r="CC168" s="1111">
        <f>SUMIFS(NewEmisData!J:J, NewEmisData!$A:$A, $G168, NewEmisData!$B:$B, $A168, NewEmisData!$C:$C, $H168, NewEmisData!$D:$D, CC$6)</f>
        <v>0.45399199428257297</v>
      </c>
      <c r="CD168" s="1111">
        <f>SUMIFS(NewEmisData!K:K, NewEmisData!$A:$A, $G168, NewEmisData!$B:$B, $A168, NewEmisData!$C:$C, $H168, NewEmisData!$D:$D, CD$6)</f>
        <v>0.45084584233142999</v>
      </c>
      <c r="CE168" s="1111">
        <f>SUMIFS(NewEmisData!L:L, NewEmisData!$A:$A, $G168, NewEmisData!$B:$B, $A168, NewEmisData!$C:$C, $H168, NewEmisData!$D:$D, CE$6)</f>
        <v>0.450741469309828</v>
      </c>
      <c r="CF168" s="1111">
        <f>SUMIFS(NewEmisData!M:M, NewEmisData!$A:$A, $G168, NewEmisData!$B:$B, $A168, NewEmisData!$C:$C, $H168, NewEmisData!$D:$D, CF$6)</f>
        <v>0.45074449890965201</v>
      </c>
      <c r="CG168" s="1111">
        <f t="shared" si="250"/>
        <v>0.45074449890965201</v>
      </c>
      <c r="CH168" s="1111">
        <f t="shared" si="251"/>
        <v>5.7867400606941198E-2</v>
      </c>
      <c r="CI168" s="1111">
        <f>SUMIFS(NewEmisData!E:E, NewEmisData!$A:$A, $G168, NewEmisData!$B:$B, $A168, NewEmisData!$C:$C, $H168, NewEmisData!$D:$D, CI$6)</f>
        <v>5.7867400606941198E-2</v>
      </c>
      <c r="CJ168" s="1111">
        <f>SUMIFS(NewEmisData!F:F, NewEmisData!$A:$A, $G168, NewEmisData!$B:$B, $A168, NewEmisData!$C:$C, $H168, NewEmisData!$D:$D, CJ$6)</f>
        <v>5.7868748340902797E-2</v>
      </c>
      <c r="CK168" s="1111">
        <f>SUMIFS(NewEmisData!G:G, NewEmisData!$A:$A, $G168, NewEmisData!$B:$B, $A168, NewEmisData!$C:$C, $H168, NewEmisData!$D:$D, CK$6)</f>
        <v>6.6009929070185699E-2</v>
      </c>
      <c r="CL168" s="1111">
        <f>SUMIFS(NewEmisData!H:H, NewEmisData!$A:$A, $G168, NewEmisData!$B:$B, $A168, NewEmisData!$C:$C, $H168, NewEmisData!$D:$D, CL$6)</f>
        <v>6.6010246689438001E-2</v>
      </c>
      <c r="CM168" s="1111">
        <f>SUMIFS(NewEmisData!I:I, NewEmisData!$A:$A, $G168, NewEmisData!$B:$B, $A168, NewEmisData!$C:$C, $H168, NewEmisData!$D:$D, CM$6)</f>
        <v>6.6010539794431194E-2</v>
      </c>
      <c r="CN168" s="1111">
        <f>SUMIFS(NewEmisData!J:J, NewEmisData!$A:$A, $G168, NewEmisData!$B:$B, $A168, NewEmisData!$C:$C, $H168, NewEmisData!$D:$D, CN$6)</f>
        <v>6.6010651142724794E-2</v>
      </c>
      <c r="CO168" s="1111">
        <f>SUMIFS(NewEmisData!K:K, NewEmisData!$A:$A, $G168, NewEmisData!$B:$B, $A168, NewEmisData!$C:$C, $H168, NewEmisData!$D:$D, CO$6)</f>
        <v>6.60106383420173E-2</v>
      </c>
      <c r="CP168" s="1111">
        <f>SUMIFS(NewEmisData!L:L, NewEmisData!$A:$A, $G168, NewEmisData!$B:$B, $A168, NewEmisData!$C:$C, $H168, NewEmisData!$D:$D, CP$6)</f>
        <v>6.6010618394000603E-2</v>
      </c>
      <c r="CQ168" s="1111">
        <f>SUMIFS(NewEmisData!M:M, NewEmisData!$A:$A, $G168, NewEmisData!$B:$B, $A168, NewEmisData!$C:$C, $H168, NewEmisData!$D:$D, CQ$6)</f>
        <v>6.6010633444598496E-2</v>
      </c>
      <c r="CR168" s="1111">
        <f t="shared" si="252"/>
        <v>6.6010633444598496E-2</v>
      </c>
      <c r="CS168" s="1111">
        <f t="shared" si="253"/>
        <v>7.2164995475767907E-2</v>
      </c>
      <c r="CT168" s="1111">
        <f>SUMIFS(NewEmisData!E:E, NewEmisData!$A:$A, $G168, NewEmisData!$B:$B, $A168, NewEmisData!$C:$C, $H168, NewEmisData!$D:$D, CT$6)</f>
        <v>7.2164995475767907E-2</v>
      </c>
      <c r="CU168" s="1111">
        <f>SUMIFS(NewEmisData!F:F, NewEmisData!$A:$A, $G168, NewEmisData!$B:$B, $A168, NewEmisData!$C:$C, $H168, NewEmisData!$D:$D, CU$6)</f>
        <v>6.4879251441518196E-2</v>
      </c>
      <c r="CV168" s="1111">
        <f>SUMIFS(NewEmisData!G:G, NewEmisData!$A:$A, $G168, NewEmisData!$B:$B, $A168, NewEmisData!$C:$C, $H168, NewEmisData!$D:$D, CV$6)</f>
        <v>2.6568003004939798E-2</v>
      </c>
      <c r="CW168" s="1111">
        <f>SUMIFS(NewEmisData!H:H, NewEmisData!$A:$A, $G168, NewEmisData!$B:$B, $A168, NewEmisData!$C:$C, $H168, NewEmisData!$D:$D, CW$6)</f>
        <v>1.84437934507856E-2</v>
      </c>
      <c r="CX168" s="1111">
        <f>SUMIFS(NewEmisData!I:I, NewEmisData!$A:$A, $G168, NewEmisData!$B:$B, $A168, NewEmisData!$C:$C, $H168, NewEmisData!$D:$D, CX$6)</f>
        <v>1.6327699656927399E-2</v>
      </c>
      <c r="CY168" s="1111">
        <f>SUMIFS(NewEmisData!J:J, NewEmisData!$A:$A, $G168, NewEmisData!$B:$B, $A168, NewEmisData!$C:$C, $H168, NewEmisData!$D:$D, CY$6)</f>
        <v>1.5748807787192998E-2</v>
      </c>
      <c r="CZ168" s="1111">
        <f>SUMIFS(NewEmisData!K:K, NewEmisData!$A:$A, $G168, NewEmisData!$B:$B, $A168, NewEmisData!$C:$C, $H168, NewEmisData!$D:$D, CZ$6)</f>
        <v>1.5674972697843501E-2</v>
      </c>
      <c r="DA168" s="1111">
        <f>SUMIFS(NewEmisData!L:L, NewEmisData!$A:$A, $G168, NewEmisData!$B:$B, $A168, NewEmisData!$C:$C, $H168, NewEmisData!$D:$D, DA$6)</f>
        <v>1.56348406818691E-2</v>
      </c>
      <c r="DB168" s="1111">
        <f>SUMIFS(NewEmisData!M:M, NewEmisData!$A:$A, $G168, NewEmisData!$B:$B, $A168, NewEmisData!$C:$C, $H168, NewEmisData!$D:$D, DB$6)</f>
        <v>1.5654725632317699E-2</v>
      </c>
      <c r="DC168" s="1111">
        <f t="shared" si="254"/>
        <v>1.5654725632317699E-2</v>
      </c>
      <c r="DD168" s="1111"/>
      <c r="DE168" s="1111"/>
      <c r="DF168" s="1111"/>
      <c r="DG168" s="1111"/>
      <c r="DH168" s="1111"/>
      <c r="DI168" s="1111"/>
      <c r="DJ168" s="1111"/>
      <c r="DK168" s="1111"/>
      <c r="DL168" s="1111"/>
      <c r="DM168" s="1111"/>
      <c r="DN168" s="1111"/>
      <c r="DO168" s="1111"/>
      <c r="DP168" s="1111"/>
      <c r="DQ168" s="1111"/>
      <c r="DR168" s="1111"/>
      <c r="DS168" s="1111"/>
      <c r="DT168" s="1111"/>
      <c r="DU168" s="1111"/>
      <c r="DV168" s="1111"/>
      <c r="DW168" s="1111"/>
      <c r="DX168" s="1111"/>
      <c r="DY168" s="1111"/>
      <c r="DZ168" s="1111">
        <f t="shared" si="255"/>
        <v>7.65679998253877E-2</v>
      </c>
      <c r="EA168" s="1111">
        <f>SUMIFS(NewEmisData!E:E, NewEmisData!$A:$A, $G168, NewEmisData!$B:$B, $A168, NewEmisData!$C:$C, $H168, NewEmisData!$D:$D, EA$6)</f>
        <v>7.65679998253877E-2</v>
      </c>
      <c r="EB168" s="1111">
        <f>SUMIFS(NewEmisData!F:F, NewEmisData!$A:$A, $G168, NewEmisData!$B:$B, $A168, NewEmisData!$C:$C, $H168, NewEmisData!$D:$D, EB$6)</f>
        <v>0.109010255412455</v>
      </c>
      <c r="EC168" s="1111">
        <f>SUMIFS(NewEmisData!G:G, NewEmisData!$A:$A, $G168, NewEmisData!$B:$B, $A168, NewEmisData!$C:$C, $H168, NewEmisData!$D:$D, EC$6)</f>
        <v>1.54277976093114E-2</v>
      </c>
      <c r="ED168" s="1111">
        <f>SUMIFS(NewEmisData!H:H, NewEmisData!$A:$A, $G168, NewEmisData!$B:$B, $A168, NewEmisData!$C:$C, $H168, NewEmisData!$D:$D, ED$6)</f>
        <v>1.2984971623169601E-2</v>
      </c>
      <c r="EE168" s="1111">
        <f>SUMIFS(NewEmisData!I:I, NewEmisData!$A:$A, $G168, NewEmisData!$B:$B, $A168, NewEmisData!$C:$C, $H168, NewEmisData!$D:$D, EE$6)</f>
        <v>1.22605780123332E-2</v>
      </c>
      <c r="EF168" s="1111">
        <f>SUMIFS(NewEmisData!J:J, NewEmisData!$A:$A, $G168, NewEmisData!$B:$B, $A168, NewEmisData!$C:$C, $H168, NewEmisData!$D:$D, EF$6)</f>
        <v>1.20992421043245E-2</v>
      </c>
      <c r="EG168" s="1111">
        <f>SUMIFS(NewEmisData!K:K, NewEmisData!$A:$A, $G168, NewEmisData!$B:$B, $A168, NewEmisData!$C:$C, $H168, NewEmisData!$D:$D, EG$6)</f>
        <v>1.2123397445436401E-2</v>
      </c>
      <c r="EH168" s="1111">
        <f>SUMIFS(NewEmisData!L:L, NewEmisData!$A:$A, $G168, NewEmisData!$B:$B, $A168, NewEmisData!$C:$C, $H168, NewEmisData!$D:$D, EH$6)</f>
        <v>1.2132958592882499E-2</v>
      </c>
      <c r="EI168" s="1111">
        <f>SUMIFS(NewEmisData!M:M, NewEmisData!$A:$A, $G168, NewEmisData!$B:$B, $A168, NewEmisData!$C:$C, $H168, NewEmisData!$D:$D, EI$6)</f>
        <v>1.21315180972552E-2</v>
      </c>
      <c r="EJ168" s="1111">
        <f t="shared" si="256"/>
        <v>1.21315180972552E-2</v>
      </c>
      <c r="EK168" s="1111">
        <f t="shared" si="257"/>
        <v>1571.23838726393</v>
      </c>
      <c r="EL168" s="1111">
        <f t="shared" si="269"/>
        <v>1571.23838726393</v>
      </c>
      <c r="EM168" s="1111">
        <f t="shared" si="270"/>
        <v>1575.29652368133</v>
      </c>
      <c r="EN168" s="1111">
        <f t="shared" si="271"/>
        <v>1620.65726903051</v>
      </c>
      <c r="EO168" s="1111">
        <f t="shared" si="272"/>
        <v>1591.3958126743701</v>
      </c>
      <c r="EP168" s="1111">
        <f t="shared" si="273"/>
        <v>1568.18391586794</v>
      </c>
      <c r="EQ168" s="1111">
        <f t="shared" si="274"/>
        <v>1562.10113018675</v>
      </c>
      <c r="ER168" s="1111">
        <f t="shared" si="275"/>
        <v>1560.4729957351501</v>
      </c>
      <c r="ES168" s="1111">
        <f t="shared" si="276"/>
        <v>1560.1538107035101</v>
      </c>
      <c r="ET168" s="1111">
        <f t="shared" si="277"/>
        <v>1560.07677043992</v>
      </c>
      <c r="EU168" s="1111">
        <f t="shared" si="278"/>
        <v>1560.07677043992</v>
      </c>
      <c r="EV168" s="1111">
        <f t="shared" si="258"/>
        <v>4.4339350215429896</v>
      </c>
      <c r="EW168" s="1111">
        <f t="shared" si="259"/>
        <v>4.4339350215429896</v>
      </c>
      <c r="EX168" s="1111">
        <f t="shared" si="260"/>
        <v>3.9615409236254</v>
      </c>
      <c r="EY168" s="1111">
        <f t="shared" si="261"/>
        <v>1.33028401660566</v>
      </c>
      <c r="EZ168" s="1111">
        <f t="shared" si="262"/>
        <v>0.96801463367483198</v>
      </c>
      <c r="FA168" s="1111">
        <f t="shared" si="263"/>
        <v>0.810835029277582</v>
      </c>
      <c r="FB168" s="1111">
        <f t="shared" si="264"/>
        <v>0.73984590086297597</v>
      </c>
      <c r="FC168" s="1111">
        <f t="shared" si="265"/>
        <v>0.71912537608469196</v>
      </c>
      <c r="FD168" s="1111">
        <f t="shared" si="266"/>
        <v>0.71458926415217605</v>
      </c>
      <c r="FE168" s="1111">
        <f t="shared" si="267"/>
        <v>0.71327232452186995</v>
      </c>
      <c r="FF168" s="1111">
        <f t="shared" si="268"/>
        <v>0.71327232452186995</v>
      </c>
      <c r="FG168" s="1111">
        <f t="shared" si="193"/>
        <v>2.71879476544729E-2</v>
      </c>
      <c r="FH168" s="1111">
        <f t="shared" si="194"/>
        <v>2.71879476544729E-2</v>
      </c>
      <c r="FI168" s="1111">
        <f t="shared" si="195"/>
        <v>2.72581702920257E-2</v>
      </c>
      <c r="FJ168" s="1111">
        <f t="shared" si="196"/>
        <v>2.32491676049662E-2</v>
      </c>
      <c r="FK168" s="1111">
        <f t="shared" si="197"/>
        <v>2.28294094185802E-2</v>
      </c>
      <c r="FL168" s="1111">
        <f t="shared" si="198"/>
        <v>2.2496411359683499E-2</v>
      </c>
      <c r="FM168" s="1111">
        <f t="shared" si="199"/>
        <v>2.24091575903414E-2</v>
      </c>
      <c r="FN168" s="1111">
        <f t="shared" si="200"/>
        <v>2.2385789717233699E-2</v>
      </c>
      <c r="FO168" s="1111">
        <f t="shared" si="201"/>
        <v>2.23812039581394E-2</v>
      </c>
      <c r="FP168" s="1111">
        <f t="shared" si="202"/>
        <v>2.2380112251842499E-2</v>
      </c>
      <c r="FQ168" s="1111">
        <f t="shared" si="203"/>
        <v>2.2380112251842499E-2</v>
      </c>
      <c r="FR168" s="1111">
        <f t="shared" si="230"/>
        <v>0.29570181024604603</v>
      </c>
      <c r="FS168" s="1111">
        <f t="shared" si="231"/>
        <v>0.29570181024604603</v>
      </c>
      <c r="FT168" s="1111">
        <f t="shared" si="232"/>
        <v>0.31347002724777001</v>
      </c>
      <c r="FU168" s="1111">
        <f t="shared" si="233"/>
        <v>0.29348248729715698</v>
      </c>
      <c r="FV168" s="1111">
        <f t="shared" si="234"/>
        <v>0.29400895980241698</v>
      </c>
      <c r="FW168" s="1111">
        <f t="shared" si="235"/>
        <v>0.29451767447034</v>
      </c>
      <c r="FX168" s="1111">
        <f t="shared" si="236"/>
        <v>0.29481614241324999</v>
      </c>
      <c r="FY168" s="1111">
        <f t="shared" si="237"/>
        <v>0.29496671929746798</v>
      </c>
      <c r="FZ168" s="1111">
        <f t="shared" si="238"/>
        <v>0.29501247169592298</v>
      </c>
      <c r="GA168" s="1111">
        <f t="shared" si="239"/>
        <v>0.29502934324841701</v>
      </c>
      <c r="GB168" s="1111">
        <f t="shared" si="240"/>
        <v>0.29502934324841701</v>
      </c>
      <c r="GC168" s="1111">
        <f t="shared" si="279"/>
        <v>5.6205629802393201E-2</v>
      </c>
      <c r="GD168" s="1111">
        <f t="shared" si="280"/>
        <v>5.6205629802393201E-2</v>
      </c>
      <c r="GE168" s="1111">
        <f t="shared" si="281"/>
        <v>7.2194764578646903E-2</v>
      </c>
      <c r="GF168" s="1111">
        <f t="shared" si="282"/>
        <v>4.48839101088091E-2</v>
      </c>
      <c r="GG168" s="1111">
        <f t="shared" si="283"/>
        <v>4.4911356100480797E-2</v>
      </c>
      <c r="GH168" s="1111">
        <f t="shared" si="284"/>
        <v>4.52709454211217E-2</v>
      </c>
      <c r="GI168" s="1111">
        <f t="shared" si="285"/>
        <v>4.5510230108050102E-2</v>
      </c>
      <c r="GJ168" s="1111">
        <f t="shared" si="286"/>
        <v>4.5637724556064498E-2</v>
      </c>
      <c r="GK168" s="1111">
        <f t="shared" si="287"/>
        <v>4.56765897746194E-2</v>
      </c>
      <c r="GL168" s="1111">
        <f t="shared" si="288"/>
        <v>4.5691464860186798E-2</v>
      </c>
      <c r="GM168" s="1111">
        <f t="shared" si="289"/>
        <v>4.5691464860186798E-2</v>
      </c>
    </row>
    <row r="169" spans="1:195" x14ac:dyDescent="0.2">
      <c r="A169" s="1071" t="s">
        <v>188</v>
      </c>
      <c r="B169" s="1071" t="str">
        <f>Technologies!C116</f>
        <v>TMGSLIM</v>
      </c>
      <c r="C169" s="1071" t="str">
        <f>Technologies!D116</f>
        <v>Medium Duty Truck, Improved Gasoline</v>
      </c>
      <c r="D169" s="1071" t="str">
        <f>NewTech!D68</f>
        <v>bn-vmt, bn-vmt/a</v>
      </c>
      <c r="E169" s="1071" t="str">
        <f>NewTech!E69</f>
        <v>TMGSL</v>
      </c>
      <c r="F169" s="1071" t="str">
        <f>NewTech!F69</f>
        <v>TM</v>
      </c>
      <c r="G169" s="1110" t="s">
        <v>503</v>
      </c>
      <c r="H169" s="1110" t="s">
        <v>500</v>
      </c>
      <c r="I169" s="1112">
        <v>1</v>
      </c>
      <c r="J169" s="1111" t="str">
        <f t="shared" si="37"/>
        <v>Medium duty-GSL</v>
      </c>
      <c r="K169" s="1111">
        <f>SUMIFS(NewEmisData!E:E, NewEmisData!$A:$A, $G169, NewEmisData!$B:$B, $A169, NewEmisData!$C:$C, $H169, NewEmisData!$D:$D, K$6)</f>
        <v>1295.14987573646</v>
      </c>
      <c r="L169" s="1111">
        <f>SUMIFS(NewEmisData!F:F, NewEmisData!$A:$A, $G169, NewEmisData!$B:$B, $A169, NewEmisData!$C:$C, $H169, NewEmisData!$D:$D, L$6)</f>
        <v>1270.8053069328</v>
      </c>
      <c r="M169" s="1111">
        <f>SUMIFS(NewEmisData!G:G, NewEmisData!$A:$A, $G169, NewEmisData!$B:$B, $A169, NewEmisData!$C:$C, $H169, NewEmisData!$D:$D, M$6)</f>
        <v>1116.9310844665499</v>
      </c>
      <c r="N169" s="1111">
        <f>SUMIFS(NewEmisData!H:H, NewEmisData!$A:$A, $G169, NewEmisData!$B:$B, $A169, NewEmisData!$C:$C, $H169, NewEmisData!$D:$D, N$6)</f>
        <v>1096.47271752758</v>
      </c>
      <c r="O169" s="1111">
        <f>SUMIFS(NewEmisData!I:I, NewEmisData!$A:$A, $G169, NewEmisData!$B:$B, $A169, NewEmisData!$C:$C, $H169, NewEmisData!$D:$D, O$6)</f>
        <v>1080.35797958793</v>
      </c>
      <c r="P169" s="1111">
        <f>SUMIFS(NewEmisData!J:J, NewEmisData!$A:$A, $G169, NewEmisData!$B:$B, $A169, NewEmisData!$C:$C, $H169, NewEmisData!$D:$D, P$6)</f>
        <v>1076.1283631843501</v>
      </c>
      <c r="Q169" s="1111">
        <f>SUMIFS(NewEmisData!K:K, NewEmisData!$A:$A, $G169, NewEmisData!$B:$B, $A169, NewEmisData!$C:$C, $H169, NewEmisData!$D:$D, Q$6)</f>
        <v>1074.99841740493</v>
      </c>
      <c r="R169" s="1111">
        <f>SUMIFS(NewEmisData!L:L, NewEmisData!$A:$A, $G169, NewEmisData!$B:$B, $A169, NewEmisData!$C:$C, $H169, NewEmisData!$D:$D, R$6)</f>
        <v>1074.7768639159699</v>
      </c>
      <c r="S169" s="1111">
        <f>SUMIFS(NewEmisData!M:M, NewEmisData!$A:$A, $G169, NewEmisData!$B:$B, $A169, NewEmisData!$C:$C, $H169, NewEmisData!$D:$D, S$6)</f>
        <v>1074.7231317103101</v>
      </c>
      <c r="T169" s="1111">
        <f t="shared" si="290"/>
        <v>1074.7231317103101</v>
      </c>
      <c r="U169" s="1111">
        <f>SUMIFS(NewEmisData!E:E, NewEmisData!$A:$A, $G169, NewEmisData!$B:$B, $A169, NewEmisData!$C:$C, $H169, NewEmisData!$D:$D, U$6)</f>
        <v>4.7005442822918502</v>
      </c>
      <c r="V169" s="1111">
        <f>SUMIFS(NewEmisData!F:F, NewEmisData!$A:$A, $G169, NewEmisData!$B:$B, $A169, NewEmisData!$C:$C, $H169, NewEmisData!$D:$D, V$6)</f>
        <v>3.08259000861326</v>
      </c>
      <c r="W169" s="1111">
        <f>SUMIFS(NewEmisData!G:G, NewEmisData!$A:$A, $G169, NewEmisData!$B:$B, $A169, NewEmisData!$C:$C, $H169, NewEmisData!$D:$D, W$6)</f>
        <v>1.0390638212911101</v>
      </c>
      <c r="X169" s="1111">
        <f>SUMIFS(NewEmisData!H:H, NewEmisData!$A:$A, $G169, NewEmisData!$B:$B, $A169, NewEmisData!$C:$C, $H169, NewEmisData!$D:$D, X$6)</f>
        <v>0.75779261060598802</v>
      </c>
      <c r="Y169" s="1111">
        <f>SUMIFS(NewEmisData!I:I, NewEmisData!$A:$A, $G169, NewEmisData!$B:$B, $A169, NewEmisData!$C:$C, $H169, NewEmisData!$D:$D, Y$6)</f>
        <v>0.63538679073275195</v>
      </c>
      <c r="Z169" s="1111">
        <f>SUMIFS(NewEmisData!J:J, NewEmisData!$A:$A, $G169, NewEmisData!$B:$B, $A169, NewEmisData!$C:$C, $H169, NewEmisData!$D:$D, Z$6)</f>
        <v>0.580083255346031</v>
      </c>
      <c r="AA169" s="1111">
        <f>SUMIFS(NewEmisData!K:K, NewEmisData!$A:$A, $G169, NewEmisData!$B:$B, $A169, NewEmisData!$C:$C, $H169, NewEmisData!$D:$D, AA$6)</f>
        <v>0.56397155784451702</v>
      </c>
      <c r="AB169" s="1111">
        <f>SUMIFS(NewEmisData!L:L, NewEmisData!$A:$A, $G169, NewEmisData!$B:$B, $A169, NewEmisData!$C:$C, $H169, NewEmisData!$D:$D, AB$6)</f>
        <v>0.56043589289625795</v>
      </c>
      <c r="AC169" s="1111">
        <f>SUMIFS(NewEmisData!M:M, NewEmisData!$A:$A, $G169, NewEmisData!$B:$B, $A169, NewEmisData!$C:$C, $H169, NewEmisData!$D:$D, AC$6)</f>
        <v>0.55941898537579804</v>
      </c>
      <c r="AD169" s="1111">
        <f t="shared" si="229"/>
        <v>0.55941898537579804</v>
      </c>
      <c r="AE169" s="1111">
        <f t="shared" si="241"/>
        <v>2.4310232310109099E-2</v>
      </c>
      <c r="AF169" s="1111">
        <f>SUMIFS(NewEmisData!E:E, NewEmisData!$A:$A, $G169, NewEmisData!$B:$B, $A169, NewEmisData!$C:$C, $H169, NewEmisData!$D:$D, AF$6)</f>
        <v>2.4310232310109099E-2</v>
      </c>
      <c r="AG169" s="1111">
        <f>SUMIFS(NewEmisData!F:F, NewEmisData!$A:$A, $G169, NewEmisData!$B:$B, $A169, NewEmisData!$C:$C, $H169, NewEmisData!$D:$D, AG$6)</f>
        <v>2.26976790505827E-2</v>
      </c>
      <c r="AH169" s="1111">
        <f>SUMIFS(NewEmisData!G:G, NewEmisData!$A:$A, $G169, NewEmisData!$B:$B, $A169, NewEmisData!$C:$C, $H169, NewEmisData!$D:$D, AH$6)</f>
        <v>1.6022950426801401E-2</v>
      </c>
      <c r="AI169" s="1111">
        <f>SUMIFS(NewEmisData!H:H, NewEmisData!$A:$A, $G169, NewEmisData!$B:$B, $A169, NewEmisData!$C:$C, $H169, NewEmisData!$D:$D, AI$6)</f>
        <v>1.5729470038709299E-2</v>
      </c>
      <c r="AJ169" s="1111">
        <f>SUMIFS(NewEmisData!I:I, NewEmisData!$A:$A, $G169, NewEmisData!$B:$B, $A169, NewEmisData!$C:$C, $H169, NewEmisData!$D:$D, AJ$6)</f>
        <v>1.5498287302921E-2</v>
      </c>
      <c r="AK169" s="1111">
        <f>SUMIFS(NewEmisData!J:J, NewEmisData!$A:$A, $G169, NewEmisData!$B:$B, $A169, NewEmisData!$C:$C, $H169, NewEmisData!$D:$D, AK$6)</f>
        <v>1.5437619705180801E-2</v>
      </c>
      <c r="AL169" s="1111">
        <f>SUMIFS(NewEmisData!K:K, NewEmisData!$A:$A, $G169, NewEmisData!$B:$B, $A169, NewEmisData!$C:$C, $H169, NewEmisData!$D:$D, AL$6)</f>
        <v>1.5421408919953399E-2</v>
      </c>
      <c r="AM169" s="1111">
        <f>SUMIFS(NewEmisData!L:L, NewEmisData!$A:$A, $G169, NewEmisData!$B:$B, $A169, NewEmisData!$C:$C, $H169, NewEmisData!$D:$D, AM$6)</f>
        <v>1.5418227354463399E-2</v>
      </c>
      <c r="AN169" s="1111">
        <f>SUMIFS(NewEmisData!M:M, NewEmisData!$A:$A, $G169, NewEmisData!$B:$B, $A169, NewEmisData!$C:$C, $H169, NewEmisData!$D:$D, AN$6)</f>
        <v>1.54174639116704E-2</v>
      </c>
      <c r="AO169" s="1111">
        <f t="shared" si="242"/>
        <v>1.54174639116704E-2</v>
      </c>
      <c r="AP169" s="1111">
        <f t="shared" si="243"/>
        <v>0.19559792469321799</v>
      </c>
      <c r="AQ169" s="1111">
        <f>SUMIFS(NewEmisData!E:E, NewEmisData!$A:$A, $G169, NewEmisData!$B:$B, $A169, NewEmisData!$C:$C, $H169, NewEmisData!$D:$D, AQ$6)</f>
        <v>0.19559792469321799</v>
      </c>
      <c r="AR169" s="1111">
        <f>SUMIFS(NewEmisData!F:F, NewEmisData!$A:$A, $G169, NewEmisData!$B:$B, $A169, NewEmisData!$C:$C, $H169, NewEmisData!$D:$D, AR$6)</f>
        <v>0.195854498358668</v>
      </c>
      <c r="AS169" s="1111">
        <f>SUMIFS(NewEmisData!G:G, NewEmisData!$A:$A, $G169, NewEmisData!$B:$B, $A169, NewEmisData!$C:$C, $H169, NewEmisData!$D:$D, AS$6)</f>
        <v>0.158834423055883</v>
      </c>
      <c r="AT169" s="1111">
        <f>SUMIFS(NewEmisData!H:H, NewEmisData!$A:$A, $G169, NewEmisData!$B:$B, $A169, NewEmisData!$C:$C, $H169, NewEmisData!$D:$D, AT$6)</f>
        <v>0.15912944493902401</v>
      </c>
      <c r="AU169" s="1111">
        <f>SUMIFS(NewEmisData!I:I, NewEmisData!$A:$A, $G169, NewEmisData!$B:$B, $A169, NewEmisData!$C:$C, $H169, NewEmisData!$D:$D, AU$6)</f>
        <v>0.159508665245508</v>
      </c>
      <c r="AV169" s="1111">
        <f>SUMIFS(NewEmisData!J:J, NewEmisData!$A:$A, $G169, NewEmisData!$B:$B, $A169, NewEmisData!$C:$C, $H169, NewEmisData!$D:$D, AV$6)</f>
        <v>0.15973496976197599</v>
      </c>
      <c r="AW169" s="1111">
        <f>SUMIFS(NewEmisData!K:K, NewEmisData!$A:$A, $G169, NewEmisData!$B:$B, $A169, NewEmisData!$C:$C, $H169, NewEmisData!$D:$D, AW$6)</f>
        <v>0.15985029461774</v>
      </c>
      <c r="AX169" s="1111">
        <f>SUMIFS(NewEmisData!L:L, NewEmisData!$A:$A, $G169, NewEmisData!$B:$B, $A169, NewEmisData!$C:$C, $H169, NewEmisData!$D:$D, AX$6)</f>
        <v>0.159884874617258</v>
      </c>
      <c r="AY169" s="1111">
        <f>SUMIFS(NewEmisData!M:M, NewEmisData!$A:$A, $G169, NewEmisData!$B:$B, $A169, NewEmisData!$C:$C, $H169, NewEmisData!$D:$D, AY$6)</f>
        <v>0.15989716821268901</v>
      </c>
      <c r="AZ169" s="1111">
        <f t="shared" si="244"/>
        <v>0.15989716821268901</v>
      </c>
      <c r="BA169" s="1111">
        <f t="shared" si="245"/>
        <v>6.1407596132052197E-2</v>
      </c>
      <c r="BB169" s="1111">
        <f>SUMIFS(NewEmisData!E:E, NewEmisData!$A:$A, $G169, NewEmisData!$B:$B, $A169, NewEmisData!$C:$C, $H169, NewEmisData!$D:$D, BB$6)</f>
        <v>6.1407596132052197E-2</v>
      </c>
      <c r="BC169" s="1111">
        <f>SUMIFS(NewEmisData!F:F, NewEmisData!$A:$A, $G169, NewEmisData!$B:$B, $A169, NewEmisData!$C:$C, $H169, NewEmisData!$D:$D, BC$6)</f>
        <v>5.5619399593761901E-2</v>
      </c>
      <c r="BD169" s="1111">
        <f>SUMIFS(NewEmisData!G:G, NewEmisData!$A:$A, $G169, NewEmisData!$B:$B, $A169, NewEmisData!$C:$C, $H169, NewEmisData!$D:$D, BD$6)</f>
        <v>2.6501774627894398E-2</v>
      </c>
      <c r="BE169" s="1111">
        <f>SUMIFS(NewEmisData!H:H, NewEmisData!$A:$A, $G169, NewEmisData!$B:$B, $A169, NewEmisData!$C:$C, $H169, NewEmisData!$D:$D, BE$6)</f>
        <v>2.6535568582948001E-2</v>
      </c>
      <c r="BF169" s="1111">
        <f>SUMIFS(NewEmisData!I:I, NewEmisData!$A:$A, $G169, NewEmisData!$B:$B, $A169, NewEmisData!$C:$C, $H169, NewEmisData!$D:$D, BF$6)</f>
        <v>2.68240676450552E-2</v>
      </c>
      <c r="BG169" s="1111">
        <f>SUMIFS(NewEmisData!J:J, NewEmisData!$A:$A, $G169, NewEmisData!$B:$B, $A169, NewEmisData!$C:$C, $H169, NewEmisData!$D:$D, BG$6)</f>
        <v>2.7011500327140701E-2</v>
      </c>
      <c r="BH169" s="1111">
        <f>SUMIFS(NewEmisData!K:K, NewEmisData!$A:$A, $G169, NewEmisData!$B:$B, $A169, NewEmisData!$C:$C, $H169, NewEmisData!$D:$D, BH$6)</f>
        <v>2.71105372443806E-2</v>
      </c>
      <c r="BI169" s="1111">
        <f>SUMIFS(NewEmisData!L:L, NewEmisData!$A:$A, $G169, NewEmisData!$B:$B, $A169, NewEmisData!$C:$C, $H169, NewEmisData!$D:$D, BI$6)</f>
        <v>2.7140215075382799E-2</v>
      </c>
      <c r="BJ169" s="1111">
        <f>SUMIFS(NewEmisData!M:M, NewEmisData!$A:$A, $G169, NewEmisData!$B:$B, $A169, NewEmisData!$C:$C, $H169, NewEmisData!$D:$D, BJ$6)</f>
        <v>2.7151187263261201E-2</v>
      </c>
      <c r="BK169" s="1111">
        <f t="shared" si="246"/>
        <v>2.7151187263261201E-2</v>
      </c>
      <c r="BL169" s="1111">
        <f t="shared" si="247"/>
        <v>37.072387310679602</v>
      </c>
      <c r="BM169" s="1111">
        <f>SUMIFS(NewEmisData!E:E, NewEmisData!$A:$A, $G169, NewEmisData!$B:$B, $A169, NewEmisData!$C:$C, $H169, NewEmisData!$D:$D, BM$6)</f>
        <v>37.072387310679602</v>
      </c>
      <c r="BN169" s="1111">
        <f>SUMIFS(NewEmisData!F:F, NewEmisData!$A:$A, $G169, NewEmisData!$B:$B, $A169, NewEmisData!$C:$C, $H169, NewEmisData!$D:$D, BN$6)</f>
        <v>25.792665103532201</v>
      </c>
      <c r="BO169" s="1111">
        <f>SUMIFS(NewEmisData!G:G, NewEmisData!$A:$A, $G169, NewEmisData!$B:$B, $A169, NewEmisData!$C:$C, $H169, NewEmisData!$D:$D, BO$6)</f>
        <v>9.5462177561034594</v>
      </c>
      <c r="BP169" s="1111">
        <f>SUMIFS(NewEmisData!H:H, NewEmisData!$A:$A, $G169, NewEmisData!$B:$B, $A169, NewEmisData!$C:$C, $H169, NewEmisData!$D:$D, BP$6)</f>
        <v>8.0392699220412105</v>
      </c>
      <c r="BQ169" s="1111">
        <f>SUMIFS(NewEmisData!I:I, NewEmisData!$A:$A, $G169, NewEmisData!$B:$B, $A169, NewEmisData!$C:$C, $H169, NewEmisData!$D:$D, BQ$6)</f>
        <v>7.5629439516014001</v>
      </c>
      <c r="BR169" s="1111">
        <f>SUMIFS(NewEmisData!J:J, NewEmisData!$A:$A, $G169, NewEmisData!$B:$B, $A169, NewEmisData!$C:$C, $H169, NewEmisData!$D:$D, BR$6)</f>
        <v>7.42380058325005</v>
      </c>
      <c r="BS169" s="1111">
        <f>SUMIFS(NewEmisData!K:K, NewEmisData!$A:$A, $G169, NewEmisData!$B:$B, $A169, NewEmisData!$C:$C, $H169, NewEmisData!$D:$D, BS$6)</f>
        <v>7.4426275255201499</v>
      </c>
      <c r="BT169" s="1111">
        <f>SUMIFS(NewEmisData!L:L, NewEmisData!$A:$A, $G169, NewEmisData!$B:$B, $A169, NewEmisData!$C:$C, $H169, NewEmisData!$D:$D, BT$6)</f>
        <v>7.4685453226779002</v>
      </c>
      <c r="BU169" s="1111">
        <f>SUMIFS(NewEmisData!M:M, NewEmisData!$A:$A, $G169, NewEmisData!$B:$B, $A169, NewEmisData!$C:$C, $H169, NewEmisData!$D:$D, BU$6)</f>
        <v>7.4852296254001702</v>
      </c>
      <c r="BV169" s="1111">
        <f t="shared" si="248"/>
        <v>7.4852296254001702</v>
      </c>
      <c r="BW169" s="1111">
        <f t="shared" si="249"/>
        <v>1.81554554352594</v>
      </c>
      <c r="BX169" s="1111">
        <f>SUMIFS(NewEmisData!E:E, NewEmisData!$A:$A, $G169, NewEmisData!$B:$B, $A169, NewEmisData!$C:$C, $H169, NewEmisData!$D:$D, BX$6)</f>
        <v>1.81554554352594</v>
      </c>
      <c r="BY169" s="1111">
        <f>SUMIFS(NewEmisData!F:F, NewEmisData!$A:$A, $G169, NewEmisData!$B:$B, $A169, NewEmisData!$C:$C, $H169, NewEmisData!$D:$D, BY$6)</f>
        <v>1.3100717618514499</v>
      </c>
      <c r="BZ169" s="1111">
        <f>SUMIFS(NewEmisData!G:G, NewEmisData!$A:$A, $G169, NewEmisData!$B:$B, $A169, NewEmisData!$C:$C, $H169, NewEmisData!$D:$D, BZ$6)</f>
        <v>0.39370379160048102</v>
      </c>
      <c r="CA169" s="1111">
        <f>SUMIFS(NewEmisData!H:H, NewEmisData!$A:$A, $G169, NewEmisData!$B:$B, $A169, NewEmisData!$C:$C, $H169, NewEmisData!$D:$D, CA$6)</f>
        <v>0.31228113561307103</v>
      </c>
      <c r="CB169" s="1111">
        <f>SUMIFS(NewEmisData!I:I, NewEmisData!$A:$A, $G169, NewEmisData!$B:$B, $A169, NewEmisData!$C:$C, $H169, NewEmisData!$D:$D, CB$6)</f>
        <v>0.28237497464649203</v>
      </c>
      <c r="CC169" s="1111">
        <f>SUMIFS(NewEmisData!J:J, NewEmisData!$A:$A, $G169, NewEmisData!$B:$B, $A169, NewEmisData!$C:$C, $H169, NewEmisData!$D:$D, CC$6)</f>
        <v>0.27043603612734302</v>
      </c>
      <c r="CD169" s="1111">
        <f>SUMIFS(NewEmisData!K:K, NewEmisData!$A:$A, $G169, NewEmisData!$B:$B, $A169, NewEmisData!$C:$C, $H169, NewEmisData!$D:$D, CD$6)</f>
        <v>0.26884074434480698</v>
      </c>
      <c r="CE169" s="1111">
        <f>SUMIFS(NewEmisData!L:L, NewEmisData!$A:$A, $G169, NewEmisData!$B:$B, $A169, NewEmisData!$C:$C, $H169, NewEmisData!$D:$D, CE$6)</f>
        <v>0.268857395941977</v>
      </c>
      <c r="CF169" s="1111">
        <f>SUMIFS(NewEmisData!M:M, NewEmisData!$A:$A, $G169, NewEmisData!$B:$B, $A169, NewEmisData!$C:$C, $H169, NewEmisData!$D:$D, CF$6)</f>
        <v>0.26888130166281199</v>
      </c>
      <c r="CG169" s="1111">
        <f t="shared" si="250"/>
        <v>0.26888130166281199</v>
      </c>
      <c r="CH169" s="1111">
        <f t="shared" si="251"/>
        <v>4.4354850737075603E-2</v>
      </c>
      <c r="CI169" s="1111">
        <f>SUMIFS(NewEmisData!E:E, NewEmisData!$A:$A, $G169, NewEmisData!$B:$B, $A169, NewEmisData!$C:$C, $H169, NewEmisData!$D:$D, CI$6)</f>
        <v>4.4354850737075603E-2</v>
      </c>
      <c r="CJ169" s="1111">
        <f>SUMIFS(NewEmisData!F:F, NewEmisData!$A:$A, $G169, NewEmisData!$B:$B, $A169, NewEmisData!$C:$C, $H169, NewEmisData!$D:$D, CJ$6)</f>
        <v>4.4606421809548602E-2</v>
      </c>
      <c r="CK169" s="1111">
        <f>SUMIFS(NewEmisData!G:G, NewEmisData!$A:$A, $G169, NewEmisData!$B:$B, $A169, NewEmisData!$C:$C, $H169, NewEmisData!$D:$D, CK$6)</f>
        <v>4.5833727376490101E-2</v>
      </c>
      <c r="CL169" s="1111">
        <f>SUMIFS(NewEmisData!H:H, NewEmisData!$A:$A, $G169, NewEmisData!$B:$B, $A169, NewEmisData!$C:$C, $H169, NewEmisData!$D:$D, CL$6)</f>
        <v>4.5835915019940797E-2</v>
      </c>
      <c r="CM169" s="1111">
        <f>SUMIFS(NewEmisData!I:I, NewEmisData!$A:$A, $G169, NewEmisData!$B:$B, $A169, NewEmisData!$C:$C, $H169, NewEmisData!$D:$D, CM$6)</f>
        <v>4.5836924876248103E-2</v>
      </c>
      <c r="CN169" s="1111">
        <f>SUMIFS(NewEmisData!J:J, NewEmisData!$A:$A, $G169, NewEmisData!$B:$B, $A169, NewEmisData!$C:$C, $H169, NewEmisData!$D:$D, CN$6)</f>
        <v>4.5837206762828597E-2</v>
      </c>
      <c r="CO169" s="1111">
        <f>SUMIFS(NewEmisData!K:K, NewEmisData!$A:$A, $G169, NewEmisData!$B:$B, $A169, NewEmisData!$C:$C, $H169, NewEmisData!$D:$D, CO$6)</f>
        <v>4.5837285402718399E-2</v>
      </c>
      <c r="CP169" s="1111">
        <f>SUMIFS(NewEmisData!L:L, NewEmisData!$A:$A, $G169, NewEmisData!$B:$B, $A169, NewEmisData!$C:$C, $H169, NewEmisData!$D:$D, CP$6)</f>
        <v>4.5837327743812703E-2</v>
      </c>
      <c r="CQ169" s="1111">
        <f>SUMIFS(NewEmisData!M:M, NewEmisData!$A:$A, $G169, NewEmisData!$B:$B, $A169, NewEmisData!$C:$C, $H169, NewEmisData!$D:$D, CQ$6)</f>
        <v>4.5837305828443899E-2</v>
      </c>
      <c r="CR169" s="1111">
        <f t="shared" si="252"/>
        <v>4.5837305828443899E-2</v>
      </c>
      <c r="CS169" s="1111">
        <f t="shared" si="253"/>
        <v>4.9787516424166102E-2</v>
      </c>
      <c r="CT169" s="1111">
        <f>SUMIFS(NewEmisData!E:E, NewEmisData!$A:$A, $G169, NewEmisData!$B:$B, $A169, NewEmisData!$C:$C, $H169, NewEmisData!$D:$D, CT$6)</f>
        <v>4.9787516424166102E-2</v>
      </c>
      <c r="CU169" s="1111">
        <f>SUMIFS(NewEmisData!F:F, NewEmisData!$A:$A, $G169, NewEmisData!$B:$B, $A169, NewEmisData!$C:$C, $H169, NewEmisData!$D:$D, CU$6)</f>
        <v>4.0085775499257799E-2</v>
      </c>
      <c r="CV169" s="1111">
        <f>SUMIFS(NewEmisData!G:G, NewEmisData!$A:$A, $G169, NewEmisData!$B:$B, $A169, NewEmisData!$C:$C, $H169, NewEmisData!$D:$D, CV$6)</f>
        <v>1.5231093201386501E-2</v>
      </c>
      <c r="CW169" s="1111">
        <f>SUMIFS(NewEmisData!H:H, NewEmisData!$A:$A, $G169, NewEmisData!$B:$B, $A169, NewEmisData!$C:$C, $H169, NewEmisData!$D:$D, CW$6)</f>
        <v>1.05082390102391E-2</v>
      </c>
      <c r="CX169" s="1111">
        <f>SUMIFS(NewEmisData!I:I, NewEmisData!$A:$A, $G169, NewEmisData!$B:$B, $A169, NewEmisData!$C:$C, $H169, NewEmisData!$D:$D, CX$6)</f>
        <v>9.2332663114354004E-3</v>
      </c>
      <c r="CY169" s="1111">
        <f>SUMIFS(NewEmisData!J:J, NewEmisData!$A:$A, $G169, NewEmisData!$B:$B, $A169, NewEmisData!$C:$C, $H169, NewEmisData!$D:$D, CY$6)</f>
        <v>8.8795270887270794E-3</v>
      </c>
      <c r="CZ169" s="1111">
        <f>SUMIFS(NewEmisData!K:K, NewEmisData!$A:$A, $G169, NewEmisData!$B:$B, $A169, NewEmisData!$C:$C, $H169, NewEmisData!$D:$D, CZ$6)</f>
        <v>8.8375979409894192E-3</v>
      </c>
      <c r="DA169" s="1111">
        <f>SUMIFS(NewEmisData!L:L, NewEmisData!$A:$A, $G169, NewEmisData!$B:$B, $A169, NewEmisData!$C:$C, $H169, NewEmisData!$D:$D, DA$6)</f>
        <v>8.8119276303445203E-3</v>
      </c>
      <c r="DB169" s="1111">
        <f>SUMIFS(NewEmisData!M:M, NewEmisData!$A:$A, $G169, NewEmisData!$B:$B, $A169, NewEmisData!$C:$C, $H169, NewEmisData!$D:$D, DB$6)</f>
        <v>8.8259459804548995E-3</v>
      </c>
      <c r="DC169" s="1111">
        <f t="shared" si="254"/>
        <v>8.8259459804548995E-3</v>
      </c>
      <c r="DD169" s="1111"/>
      <c r="DE169" s="1111"/>
      <c r="DF169" s="1111"/>
      <c r="DG169" s="1111"/>
      <c r="DH169" s="1111"/>
      <c r="DI169" s="1111"/>
      <c r="DJ169" s="1111"/>
      <c r="DK169" s="1111"/>
      <c r="DL169" s="1111"/>
      <c r="DM169" s="1111"/>
      <c r="DN169" s="1111"/>
      <c r="DO169" s="1111"/>
      <c r="DP169" s="1111"/>
      <c r="DQ169" s="1111"/>
      <c r="DR169" s="1111"/>
      <c r="DS169" s="1111"/>
      <c r="DT169" s="1111"/>
      <c r="DU169" s="1111"/>
      <c r="DV169" s="1111"/>
      <c r="DW169" s="1111"/>
      <c r="DX169" s="1111"/>
      <c r="DY169" s="1111"/>
      <c r="DZ169" s="1111">
        <f t="shared" si="255"/>
        <v>4.44098100343151E-2</v>
      </c>
      <c r="EA169" s="1111">
        <f>SUMIFS(NewEmisData!E:E, NewEmisData!$A:$A, $G169, NewEmisData!$B:$B, $A169, NewEmisData!$C:$C, $H169, NewEmisData!$D:$D, EA$6)</f>
        <v>4.44098100343151E-2</v>
      </c>
      <c r="EB169" s="1111">
        <f>SUMIFS(NewEmisData!F:F, NewEmisData!$A:$A, $G169, NewEmisData!$B:$B, $A169, NewEmisData!$C:$C, $H169, NewEmisData!$D:$D, EB$6)</f>
        <v>2.9304673870380101E-2</v>
      </c>
      <c r="EC169" s="1111">
        <f>SUMIFS(NewEmisData!G:G, NewEmisData!$A:$A, $G169, NewEmisData!$B:$B, $A169, NewEmisData!$C:$C, $H169, NewEmisData!$D:$D, EC$6)</f>
        <v>9.6598752165466002E-3</v>
      </c>
      <c r="ED169" s="1111">
        <f>SUMIFS(NewEmisData!H:H, NewEmisData!$A:$A, $G169, NewEmisData!$B:$B, $A169, NewEmisData!$C:$C, $H169, NewEmisData!$D:$D, ED$6)</f>
        <v>8.2574531868545402E-3</v>
      </c>
      <c r="EE169" s="1111">
        <f>SUMIFS(NewEmisData!I:I, NewEmisData!$A:$A, $G169, NewEmisData!$B:$B, $A169, NewEmisData!$C:$C, $H169, NewEmisData!$D:$D, EE$6)</f>
        <v>7.8634646205182502E-3</v>
      </c>
      <c r="EF169" s="1111">
        <f>SUMIFS(NewEmisData!J:J, NewEmisData!$A:$A, $G169, NewEmisData!$B:$B, $A169, NewEmisData!$C:$C, $H169, NewEmisData!$D:$D, EF$6)</f>
        <v>7.7933832365119603E-3</v>
      </c>
      <c r="EG169" s="1111">
        <f>SUMIFS(NewEmisData!K:K, NewEmisData!$A:$A, $G169, NewEmisData!$B:$B, $A169, NewEmisData!$C:$C, $H169, NewEmisData!$D:$D, EG$6)</f>
        <v>7.8217032086275798E-3</v>
      </c>
      <c r="EH169" s="1111">
        <f>SUMIFS(NewEmisData!L:L, NewEmisData!$A:$A, $G169, NewEmisData!$B:$B, $A169, NewEmisData!$C:$C, $H169, NewEmisData!$D:$D, EH$6)</f>
        <v>7.8307139594945199E-3</v>
      </c>
      <c r="EI169" s="1111">
        <f>SUMIFS(NewEmisData!M:M, NewEmisData!$A:$A, $G169, NewEmisData!$B:$B, $A169, NewEmisData!$C:$C, $H169, NewEmisData!$D:$D, EI$6)</f>
        <v>7.8300628211082704E-3</v>
      </c>
      <c r="EJ169" s="1111">
        <f t="shared" si="256"/>
        <v>7.8300628211082704E-3</v>
      </c>
      <c r="EK169" s="1111">
        <f t="shared" si="257"/>
        <v>1295.14987573646</v>
      </c>
      <c r="EL169" s="1111">
        <f t="shared" si="269"/>
        <v>1295.14987573646</v>
      </c>
      <c r="EM169" s="1111">
        <f t="shared" si="270"/>
        <v>1270.8053069328</v>
      </c>
      <c r="EN169" s="1111">
        <f t="shared" si="271"/>
        <v>1116.9310844665499</v>
      </c>
      <c r="EO169" s="1111">
        <f t="shared" si="272"/>
        <v>1096.47271752758</v>
      </c>
      <c r="EP169" s="1111">
        <f t="shared" si="273"/>
        <v>1080.35797958793</v>
      </c>
      <c r="EQ169" s="1111">
        <f t="shared" si="274"/>
        <v>1076.1283631843501</v>
      </c>
      <c r="ER169" s="1111">
        <f t="shared" si="275"/>
        <v>1074.99841740493</v>
      </c>
      <c r="ES169" s="1111">
        <f t="shared" si="276"/>
        <v>1074.7768639159699</v>
      </c>
      <c r="ET169" s="1111">
        <f t="shared" si="277"/>
        <v>1074.7231317103101</v>
      </c>
      <c r="EU169" s="1111">
        <f t="shared" si="278"/>
        <v>1074.7231317103101</v>
      </c>
      <c r="EV169" s="1111">
        <f t="shared" si="258"/>
        <v>4.7005442822918502</v>
      </c>
      <c r="EW169" s="1111">
        <f t="shared" si="259"/>
        <v>4.7005442822918502</v>
      </c>
      <c r="EX169" s="1111">
        <f t="shared" si="260"/>
        <v>3.08259000861326</v>
      </c>
      <c r="EY169" s="1111">
        <f t="shared" si="261"/>
        <v>1.0390638212911101</v>
      </c>
      <c r="EZ169" s="1111">
        <f t="shared" si="262"/>
        <v>0.75779261060598802</v>
      </c>
      <c r="FA169" s="1111">
        <f t="shared" si="263"/>
        <v>0.63538679073275195</v>
      </c>
      <c r="FB169" s="1111">
        <f t="shared" si="264"/>
        <v>0.580083255346031</v>
      </c>
      <c r="FC169" s="1111">
        <f t="shared" si="265"/>
        <v>0.56397155784451702</v>
      </c>
      <c r="FD169" s="1111">
        <f t="shared" si="266"/>
        <v>0.56043589289625795</v>
      </c>
      <c r="FE169" s="1111">
        <f t="shared" si="267"/>
        <v>0.55941898537579804</v>
      </c>
      <c r="FF169" s="1111">
        <f t="shared" si="268"/>
        <v>0.55941898537579804</v>
      </c>
      <c r="FG169" s="1111">
        <f t="shared" si="193"/>
        <v>2.4310232310109099E-2</v>
      </c>
      <c r="FH169" s="1111">
        <f t="shared" si="194"/>
        <v>2.4310232310109099E-2</v>
      </c>
      <c r="FI169" s="1111">
        <f t="shared" si="195"/>
        <v>2.26976790505827E-2</v>
      </c>
      <c r="FJ169" s="1111">
        <f t="shared" si="196"/>
        <v>1.6022950426801401E-2</v>
      </c>
      <c r="FK169" s="1111">
        <f t="shared" si="197"/>
        <v>1.5729470038709299E-2</v>
      </c>
      <c r="FL169" s="1111">
        <f t="shared" si="198"/>
        <v>1.5498287302921E-2</v>
      </c>
      <c r="FM169" s="1111">
        <f t="shared" si="199"/>
        <v>1.5437619705180801E-2</v>
      </c>
      <c r="FN169" s="1111">
        <f t="shared" si="200"/>
        <v>1.5421408919953399E-2</v>
      </c>
      <c r="FO169" s="1111">
        <f t="shared" si="201"/>
        <v>1.5418227354463399E-2</v>
      </c>
      <c r="FP169" s="1111">
        <f t="shared" si="202"/>
        <v>1.54174639116704E-2</v>
      </c>
      <c r="FQ169" s="1111">
        <f t="shared" si="203"/>
        <v>1.54174639116704E-2</v>
      </c>
      <c r="FR169" s="1111">
        <f t="shared" si="230"/>
        <v>0.19559792469321799</v>
      </c>
      <c r="FS169" s="1111">
        <f t="shared" si="231"/>
        <v>0.19559792469321799</v>
      </c>
      <c r="FT169" s="1111">
        <f t="shared" si="232"/>
        <v>0.195854498358668</v>
      </c>
      <c r="FU169" s="1111">
        <f t="shared" si="233"/>
        <v>0.158834423055883</v>
      </c>
      <c r="FV169" s="1111">
        <f t="shared" si="234"/>
        <v>0.15912944493902401</v>
      </c>
      <c r="FW169" s="1111">
        <f t="shared" si="235"/>
        <v>0.159508665245508</v>
      </c>
      <c r="FX169" s="1111">
        <f t="shared" si="236"/>
        <v>0.15973496976197599</v>
      </c>
      <c r="FY169" s="1111">
        <f t="shared" si="237"/>
        <v>0.15985029461774</v>
      </c>
      <c r="FZ169" s="1111">
        <f t="shared" si="238"/>
        <v>0.159884874617258</v>
      </c>
      <c r="GA169" s="1111">
        <f t="shared" si="239"/>
        <v>0.15989716821268901</v>
      </c>
      <c r="GB169" s="1111">
        <f t="shared" si="240"/>
        <v>0.15989716821268901</v>
      </c>
      <c r="GC169" s="1111">
        <f t="shared" si="279"/>
        <v>6.1407596132052197E-2</v>
      </c>
      <c r="GD169" s="1111">
        <f t="shared" si="280"/>
        <v>6.1407596132052197E-2</v>
      </c>
      <c r="GE169" s="1111">
        <f t="shared" si="281"/>
        <v>5.5619399593761901E-2</v>
      </c>
      <c r="GF169" s="1111">
        <f t="shared" si="282"/>
        <v>2.6501774627894398E-2</v>
      </c>
      <c r="GG169" s="1111">
        <f t="shared" si="283"/>
        <v>2.6535568582948001E-2</v>
      </c>
      <c r="GH169" s="1111">
        <f t="shared" si="284"/>
        <v>2.68240676450552E-2</v>
      </c>
      <c r="GI169" s="1111">
        <f t="shared" si="285"/>
        <v>2.7011500327140701E-2</v>
      </c>
      <c r="GJ169" s="1111">
        <f t="shared" si="286"/>
        <v>2.71105372443806E-2</v>
      </c>
      <c r="GK169" s="1111">
        <f t="shared" si="287"/>
        <v>2.7140215075382799E-2</v>
      </c>
      <c r="GL169" s="1111">
        <f t="shared" si="288"/>
        <v>2.7151187263261201E-2</v>
      </c>
      <c r="GM169" s="1111">
        <f t="shared" si="289"/>
        <v>2.7151187263261201E-2</v>
      </c>
    </row>
    <row r="170" spans="1:195" x14ac:dyDescent="0.2">
      <c r="A170" s="1071" t="s">
        <v>190</v>
      </c>
      <c r="B170" s="1071" t="str">
        <f>Technologies!C116</f>
        <v>TMGSLIM</v>
      </c>
      <c r="C170" s="1071" t="str">
        <f>Technologies!D116</f>
        <v>Medium Duty Truck, Improved Gasoline</v>
      </c>
      <c r="D170" s="1071" t="str">
        <f>NewTech!D68</f>
        <v>bn-vmt, bn-vmt/a</v>
      </c>
      <c r="E170" s="1071" t="str">
        <f>NewTech!E69</f>
        <v>TMGSL</v>
      </c>
      <c r="F170" s="1071" t="str">
        <f>NewTech!F69</f>
        <v>TM</v>
      </c>
      <c r="G170" s="1110" t="s">
        <v>503</v>
      </c>
      <c r="H170" s="1110" t="s">
        <v>500</v>
      </c>
      <c r="I170" s="1112">
        <v>1</v>
      </c>
      <c r="J170" s="1111" t="str">
        <f t="shared" si="37"/>
        <v>Medium duty-GSL</v>
      </c>
      <c r="K170" s="1111">
        <f>SUMIFS(NewEmisData!E:E, NewEmisData!$A:$A, $G170, NewEmisData!$B:$B, $A170, NewEmisData!$C:$C, $H170, NewEmisData!$D:$D, K$6)</f>
        <v>1204.2704996203399</v>
      </c>
      <c r="L170" s="1111">
        <f>SUMIFS(NewEmisData!F:F, NewEmisData!$A:$A, $G170, NewEmisData!$B:$B, $A170, NewEmisData!$C:$C, $H170, NewEmisData!$D:$D, L$6)</f>
        <v>1280.9014839137801</v>
      </c>
      <c r="M170" s="1111">
        <f>SUMIFS(NewEmisData!G:G, NewEmisData!$A:$A, $G170, NewEmisData!$B:$B, $A170, NewEmisData!$C:$C, $H170, NewEmisData!$D:$D, M$6)</f>
        <v>1309.1277572440899</v>
      </c>
      <c r="N170" s="1111">
        <f>SUMIFS(NewEmisData!H:H, NewEmisData!$A:$A, $G170, NewEmisData!$B:$B, $A170, NewEmisData!$C:$C, $H170, NewEmisData!$D:$D, N$6)</f>
        <v>1277.5848439676099</v>
      </c>
      <c r="O170" s="1111">
        <f>SUMIFS(NewEmisData!I:I, NewEmisData!$A:$A, $G170, NewEmisData!$B:$B, $A170, NewEmisData!$C:$C, $H170, NewEmisData!$D:$D, O$6)</f>
        <v>1259.05503169493</v>
      </c>
      <c r="P170" s="1111">
        <f>SUMIFS(NewEmisData!J:J, NewEmisData!$A:$A, $G170, NewEmisData!$B:$B, $A170, NewEmisData!$C:$C, $H170, NewEmisData!$D:$D, P$6)</f>
        <v>1254.08723086747</v>
      </c>
      <c r="Q170" s="1111">
        <f>SUMIFS(NewEmisData!K:K, NewEmisData!$A:$A, $G170, NewEmisData!$B:$B, $A170, NewEmisData!$C:$C, $H170, NewEmisData!$D:$D, Q$6)</f>
        <v>1252.90461894546</v>
      </c>
      <c r="R170" s="1111">
        <f>SUMIFS(NewEmisData!L:L, NewEmisData!$A:$A, $G170, NewEmisData!$B:$B, $A170, NewEmisData!$C:$C, $H170, NewEmisData!$D:$D, R$6)</f>
        <v>1252.7104430173399</v>
      </c>
      <c r="S170" s="1111">
        <f>SUMIFS(NewEmisData!M:M, NewEmisData!$A:$A, $G170, NewEmisData!$B:$B, $A170, NewEmisData!$C:$C, $H170, NewEmisData!$D:$D, S$6)</f>
        <v>1252.6870397442001</v>
      </c>
      <c r="T170" s="1111">
        <f t="shared" si="290"/>
        <v>1252.6870397442001</v>
      </c>
      <c r="U170" s="1111">
        <f>SUMIFS(NewEmisData!E:E, NewEmisData!$A:$A, $G170, NewEmisData!$B:$B, $A170, NewEmisData!$C:$C, $H170, NewEmisData!$D:$D, U$6)</f>
        <v>4.3448715610080901</v>
      </c>
      <c r="V170" s="1111">
        <f>SUMIFS(NewEmisData!F:F, NewEmisData!$A:$A, $G170, NewEmisData!$B:$B, $A170, NewEmisData!$C:$C, $H170, NewEmisData!$D:$D, V$6)</f>
        <v>2.68000771941229</v>
      </c>
      <c r="W170" s="1111">
        <f>SUMIFS(NewEmisData!G:G, NewEmisData!$A:$A, $G170, NewEmisData!$B:$B, $A170, NewEmisData!$C:$C, $H170, NewEmisData!$D:$D, W$6)</f>
        <v>1.2701406141530101</v>
      </c>
      <c r="X170" s="1111">
        <f>SUMIFS(NewEmisData!H:H, NewEmisData!$A:$A, $G170, NewEmisData!$B:$B, $A170, NewEmisData!$C:$C, $H170, NewEmisData!$D:$D, X$6)</f>
        <v>0.89637025450783203</v>
      </c>
      <c r="Y170" s="1111">
        <f>SUMIFS(NewEmisData!I:I, NewEmisData!$A:$A, $G170, NewEmisData!$B:$B, $A170, NewEmisData!$C:$C, $H170, NewEmisData!$D:$D, Y$6)</f>
        <v>0.74230586472414295</v>
      </c>
      <c r="Z170" s="1111">
        <f>SUMIFS(NewEmisData!J:J, NewEmisData!$A:$A, $G170, NewEmisData!$B:$B, $A170, NewEmisData!$C:$C, $H170, NewEmisData!$D:$D, Z$6)</f>
        <v>0.67198096175904998</v>
      </c>
      <c r="AA170" s="1111">
        <f>SUMIFS(NewEmisData!K:K, NewEmisData!$A:$A, $G170, NewEmisData!$B:$B, $A170, NewEmisData!$C:$C, $H170, NewEmisData!$D:$D, AA$6)</f>
        <v>0.65082523068374698</v>
      </c>
      <c r="AB170" s="1111">
        <f>SUMIFS(NewEmisData!L:L, NewEmisData!$A:$A, $G170, NewEmisData!$B:$B, $A170, NewEmisData!$C:$C, $H170, NewEmisData!$D:$D, AB$6)</f>
        <v>0.64636795436825401</v>
      </c>
      <c r="AC170" s="1111">
        <f>SUMIFS(NewEmisData!M:M, NewEmisData!$A:$A, $G170, NewEmisData!$B:$B, $A170, NewEmisData!$C:$C, $H170, NewEmisData!$D:$D, AC$6)</f>
        <v>0.64488416341078902</v>
      </c>
      <c r="AD170" s="1111">
        <f t="shared" si="229"/>
        <v>0.64488416341078902</v>
      </c>
      <c r="AE170" s="1111">
        <f t="shared" si="241"/>
        <v>2.08381055217347E-2</v>
      </c>
      <c r="AF170" s="1111">
        <f>SUMIFS(NewEmisData!E:E, NewEmisData!$A:$A, $G170, NewEmisData!$B:$B, $A170, NewEmisData!$C:$C, $H170, NewEmisData!$D:$D, AF$6)</f>
        <v>2.08381055217347E-2</v>
      </c>
      <c r="AG170" s="1111">
        <f>SUMIFS(NewEmisData!F:F, NewEmisData!$A:$A, $G170, NewEmisData!$B:$B, $A170, NewEmisData!$C:$C, $H170, NewEmisData!$D:$D, AG$6)</f>
        <v>2.2164087103621902E-2</v>
      </c>
      <c r="AH170" s="1111">
        <f>SUMIFS(NewEmisData!G:G, NewEmisData!$A:$A, $G170, NewEmisData!$B:$B, $A170, NewEmisData!$C:$C, $H170, NewEmisData!$D:$D, AH$6)</f>
        <v>1.8780122769194701E-2</v>
      </c>
      <c r="AI170" s="1111">
        <f>SUMIFS(NewEmisData!H:H, NewEmisData!$A:$A, $G170, NewEmisData!$B:$B, $A170, NewEmisData!$C:$C, $H170, NewEmisData!$D:$D, AI$6)</f>
        <v>1.8327610114874E-2</v>
      </c>
      <c r="AJ170" s="1111">
        <f>SUMIFS(NewEmisData!I:I, NewEmisData!$A:$A, $G170, NewEmisData!$B:$B, $A170, NewEmisData!$C:$C, $H170, NewEmisData!$D:$D, AJ$6)</f>
        <v>1.8061800865337901E-2</v>
      </c>
      <c r="AK170" s="1111">
        <f>SUMIFS(NewEmisData!J:J, NewEmisData!$A:$A, $G170, NewEmisData!$B:$B, $A170, NewEmisData!$C:$C, $H170, NewEmisData!$D:$D, AK$6)</f>
        <v>1.79905289884639E-2</v>
      </c>
      <c r="AL170" s="1111">
        <f>SUMIFS(NewEmisData!K:K, NewEmisData!$A:$A, $G170, NewEmisData!$B:$B, $A170, NewEmisData!$C:$C, $H170, NewEmisData!$D:$D, AL$6)</f>
        <v>1.7973564507445701E-2</v>
      </c>
      <c r="AM170" s="1111">
        <f>SUMIFS(NewEmisData!L:L, NewEmisData!$A:$A, $G170, NewEmisData!$B:$B, $A170, NewEmisData!$C:$C, $H170, NewEmisData!$D:$D, AM$6)</f>
        <v>1.7970784643505301E-2</v>
      </c>
      <c r="AN170" s="1111">
        <f>SUMIFS(NewEmisData!M:M, NewEmisData!$A:$A, $G170, NewEmisData!$B:$B, $A170, NewEmisData!$C:$C, $H170, NewEmisData!$D:$D, AN$6)</f>
        <v>1.7970446963254401E-2</v>
      </c>
      <c r="AO170" s="1111">
        <f t="shared" si="242"/>
        <v>1.7970446963254401E-2</v>
      </c>
      <c r="AP170" s="1111">
        <f t="shared" si="243"/>
        <v>0.19574828311834699</v>
      </c>
      <c r="AQ170" s="1111">
        <f>SUMIFS(NewEmisData!E:E, NewEmisData!$A:$A, $G170, NewEmisData!$B:$B, $A170, NewEmisData!$C:$C, $H170, NewEmisData!$D:$D, AQ$6)</f>
        <v>0.19574828311834699</v>
      </c>
      <c r="AR170" s="1111">
        <f>SUMIFS(NewEmisData!F:F, NewEmisData!$A:$A, $G170, NewEmisData!$B:$B, $A170, NewEmisData!$C:$C, $H170, NewEmisData!$D:$D, AR$6)</f>
        <v>0.191259101148397</v>
      </c>
      <c r="AS170" s="1111">
        <f>SUMIFS(NewEmisData!G:G, NewEmisData!$A:$A, $G170, NewEmisData!$B:$B, $A170, NewEmisData!$C:$C, $H170, NewEmisData!$D:$D, AS$6)</f>
        <v>0.21457849181088401</v>
      </c>
      <c r="AT170" s="1111">
        <f>SUMIFS(NewEmisData!H:H, NewEmisData!$A:$A, $G170, NewEmisData!$B:$B, $A170, NewEmisData!$C:$C, $H170, NewEmisData!$D:$D, AT$6)</f>
        <v>0.215053494777702</v>
      </c>
      <c r="AU170" s="1111">
        <f>SUMIFS(NewEmisData!I:I, NewEmisData!$A:$A, $G170, NewEmisData!$B:$B, $A170, NewEmisData!$C:$C, $H170, NewEmisData!$D:$D, AU$6)</f>
        <v>0.21551298465650401</v>
      </c>
      <c r="AV170" s="1111">
        <f>SUMIFS(NewEmisData!J:J, NewEmisData!$A:$A, $G170, NewEmisData!$B:$B, $A170, NewEmisData!$C:$C, $H170, NewEmisData!$D:$D, AV$6)</f>
        <v>0.215835472913527</v>
      </c>
      <c r="AW170" s="1111">
        <f>SUMIFS(NewEmisData!K:K, NewEmisData!$A:$A, $G170, NewEmisData!$B:$B, $A170, NewEmisData!$C:$C, $H170, NewEmisData!$D:$D, AW$6)</f>
        <v>0.21602305396888299</v>
      </c>
      <c r="AX170" s="1111">
        <f>SUMIFS(NewEmisData!L:L, NewEmisData!$A:$A, $G170, NewEmisData!$B:$B, $A170, NewEmisData!$C:$C, $H170, NewEmisData!$D:$D, AX$6)</f>
        <v>0.21608589786817001</v>
      </c>
      <c r="AY170" s="1111">
        <f>SUMIFS(NewEmisData!M:M, NewEmisData!$A:$A, $G170, NewEmisData!$B:$B, $A170, NewEmisData!$C:$C, $H170, NewEmisData!$D:$D, AY$6)</f>
        <v>0.216113244270948</v>
      </c>
      <c r="AZ170" s="1111">
        <f t="shared" si="244"/>
        <v>0.216113244270948</v>
      </c>
      <c r="BA170" s="1111">
        <f t="shared" si="245"/>
        <v>4.1988899098410401E-2</v>
      </c>
      <c r="BB170" s="1111">
        <f>SUMIFS(NewEmisData!E:E, NewEmisData!$A:$A, $G170, NewEmisData!$B:$B, $A170, NewEmisData!$C:$C, $H170, NewEmisData!$D:$D, BB$6)</f>
        <v>4.1988899098410401E-2</v>
      </c>
      <c r="BC170" s="1111">
        <f>SUMIFS(NewEmisData!F:F, NewEmisData!$A:$A, $G170, NewEmisData!$B:$B, $A170, NewEmisData!$C:$C, $H170, NewEmisData!$D:$D, BC$6)</f>
        <v>4.04221270662211E-2</v>
      </c>
      <c r="BD170" s="1111">
        <f>SUMIFS(NewEmisData!G:G, NewEmisData!$A:$A, $G170, NewEmisData!$B:$B, $A170, NewEmisData!$C:$C, $H170, NewEmisData!$D:$D, BD$6)</f>
        <v>3.5246180151429399E-2</v>
      </c>
      <c r="BE170" s="1111">
        <f>SUMIFS(NewEmisData!H:H, NewEmisData!$A:$A, $G170, NewEmisData!$B:$B, $A170, NewEmisData!$C:$C, $H170, NewEmisData!$D:$D, BE$6)</f>
        <v>3.4950821311789601E-2</v>
      </c>
      <c r="BF170" s="1111">
        <f>SUMIFS(NewEmisData!I:I, NewEmisData!$A:$A, $G170, NewEmisData!$B:$B, $A170, NewEmisData!$C:$C, $H170, NewEmisData!$D:$D, BF$6)</f>
        <v>3.5285067945859602E-2</v>
      </c>
      <c r="BG170" s="1111">
        <f>SUMIFS(NewEmisData!J:J, NewEmisData!$A:$A, $G170, NewEmisData!$B:$B, $A170, NewEmisData!$C:$C, $H170, NewEmisData!$D:$D, BG$6)</f>
        <v>3.55346528981796E-2</v>
      </c>
      <c r="BH170" s="1111">
        <f>SUMIFS(NewEmisData!K:K, NewEmisData!$A:$A, $G170, NewEmisData!$B:$B, $A170, NewEmisData!$C:$C, $H170, NewEmisData!$D:$D, BH$6)</f>
        <v>3.5692682330647998E-2</v>
      </c>
      <c r="BI170" s="1111">
        <f>SUMIFS(NewEmisData!L:L, NewEmisData!$A:$A, $G170, NewEmisData!$B:$B, $A170, NewEmisData!$C:$C, $H170, NewEmisData!$D:$D, BI$6)</f>
        <v>3.57464219039118E-2</v>
      </c>
      <c r="BJ170" s="1111">
        <f>SUMIFS(NewEmisData!M:M, NewEmisData!$A:$A, $G170, NewEmisData!$B:$B, $A170, NewEmisData!$C:$C, $H170, NewEmisData!$D:$D, BJ$6)</f>
        <v>3.5770424866643502E-2</v>
      </c>
      <c r="BK170" s="1111">
        <f t="shared" si="246"/>
        <v>3.5770424866643502E-2</v>
      </c>
      <c r="BL170" s="1111">
        <f t="shared" si="247"/>
        <v>39.441467642192301</v>
      </c>
      <c r="BM170" s="1111">
        <f>SUMIFS(NewEmisData!E:E, NewEmisData!$A:$A, $G170, NewEmisData!$B:$B, $A170, NewEmisData!$C:$C, $H170, NewEmisData!$D:$D, BM$6)</f>
        <v>39.441467642192301</v>
      </c>
      <c r="BN170" s="1111">
        <f>SUMIFS(NewEmisData!F:F, NewEmisData!$A:$A, $G170, NewEmisData!$B:$B, $A170, NewEmisData!$C:$C, $H170, NewEmisData!$D:$D, BN$6)</f>
        <v>29.135339922672099</v>
      </c>
      <c r="BO170" s="1111">
        <f>SUMIFS(NewEmisData!G:G, NewEmisData!$A:$A, $G170, NewEmisData!$B:$B, $A170, NewEmisData!$C:$C, $H170, NewEmisData!$D:$D, BO$6)</f>
        <v>19.258881049018001</v>
      </c>
      <c r="BP170" s="1111">
        <f>SUMIFS(NewEmisData!H:H, NewEmisData!$A:$A, $G170, NewEmisData!$B:$B, $A170, NewEmisData!$C:$C, $H170, NewEmisData!$D:$D, BP$6)</f>
        <v>17.4734501170478</v>
      </c>
      <c r="BQ170" s="1111">
        <f>SUMIFS(NewEmisData!I:I, NewEmisData!$A:$A, $G170, NewEmisData!$B:$B, $A170, NewEmisData!$C:$C, $H170, NewEmisData!$D:$D, BQ$6)</f>
        <v>17.337238430015301</v>
      </c>
      <c r="BR170" s="1111">
        <f>SUMIFS(NewEmisData!J:J, NewEmisData!$A:$A, $G170, NewEmisData!$B:$B, $A170, NewEmisData!$C:$C, $H170, NewEmisData!$D:$D, BR$6)</f>
        <v>17.524592153612701</v>
      </c>
      <c r="BS170" s="1111">
        <f>SUMIFS(NewEmisData!K:K, NewEmisData!$A:$A, $G170, NewEmisData!$B:$B, $A170, NewEmisData!$C:$C, $H170, NewEmisData!$D:$D, BS$6)</f>
        <v>17.768817804957902</v>
      </c>
      <c r="BT170" s="1111">
        <f>SUMIFS(NewEmisData!L:L, NewEmisData!$A:$A, $G170, NewEmisData!$B:$B, $A170, NewEmisData!$C:$C, $H170, NewEmisData!$D:$D, BT$6)</f>
        <v>17.8951685945812</v>
      </c>
      <c r="BU170" s="1111">
        <f>SUMIFS(NewEmisData!M:M, NewEmisData!$A:$A, $G170, NewEmisData!$B:$B, $A170, NewEmisData!$C:$C, $H170, NewEmisData!$D:$D, BU$6)</f>
        <v>17.960459006708199</v>
      </c>
      <c r="BV170" s="1111">
        <f t="shared" si="248"/>
        <v>17.960459006708199</v>
      </c>
      <c r="BW170" s="1111">
        <f t="shared" si="249"/>
        <v>2.13040906292176</v>
      </c>
      <c r="BX170" s="1111">
        <f>SUMIFS(NewEmisData!E:E, NewEmisData!$A:$A, $G170, NewEmisData!$B:$B, $A170, NewEmisData!$C:$C, $H170, NewEmisData!$D:$D, BX$6)</f>
        <v>2.13040906292176</v>
      </c>
      <c r="BY170" s="1111">
        <f>SUMIFS(NewEmisData!F:F, NewEmisData!$A:$A, $G170, NewEmisData!$B:$B, $A170, NewEmisData!$C:$C, $H170, NewEmisData!$D:$D, BY$6)</f>
        <v>1.66747382008761</v>
      </c>
      <c r="BZ170" s="1111">
        <f>SUMIFS(NewEmisData!G:G, NewEmisData!$A:$A, $G170, NewEmisData!$B:$B, $A170, NewEmisData!$C:$C, $H170, NewEmisData!$D:$D, BZ$6)</f>
        <v>0.70330303970302899</v>
      </c>
      <c r="CA170" s="1111">
        <f>SUMIFS(NewEmisData!H:H, NewEmisData!$A:$A, $G170, NewEmisData!$B:$B, $A170, NewEmisData!$C:$C, $H170, NewEmisData!$D:$D, CA$6)</f>
        <v>0.53546087421873401</v>
      </c>
      <c r="CB170" s="1111">
        <f>SUMIFS(NewEmisData!I:I, NewEmisData!$A:$A, $G170, NewEmisData!$B:$B, $A170, NewEmisData!$C:$C, $H170, NewEmisData!$D:$D, CB$6)</f>
        <v>0.48025579187888601</v>
      </c>
      <c r="CC170" s="1111">
        <f>SUMIFS(NewEmisData!J:J, NewEmisData!$A:$A, $G170, NewEmisData!$B:$B, $A170, NewEmisData!$C:$C, $H170, NewEmisData!$D:$D, CC$6)</f>
        <v>0.45829574772287202</v>
      </c>
      <c r="CD170" s="1111">
        <f>SUMIFS(NewEmisData!K:K, NewEmisData!$A:$A, $G170, NewEmisData!$B:$B, $A170, NewEmisData!$C:$C, $H170, NewEmisData!$D:$D, CD$6)</f>
        <v>0.45669528314480901</v>
      </c>
      <c r="CE170" s="1111">
        <f>SUMIFS(NewEmisData!L:L, NewEmisData!$A:$A, $G170, NewEmisData!$B:$B, $A170, NewEmisData!$C:$C, $H170, NewEmisData!$D:$D, CE$6)</f>
        <v>0.45728549159308601</v>
      </c>
      <c r="CF170" s="1111">
        <f>SUMIFS(NewEmisData!M:M, NewEmisData!$A:$A, $G170, NewEmisData!$B:$B, $A170, NewEmisData!$C:$C, $H170, NewEmisData!$D:$D, CF$6)</f>
        <v>0.457470611587183</v>
      </c>
      <c r="CG170" s="1111">
        <f t="shared" si="250"/>
        <v>0.457470611587183</v>
      </c>
      <c r="CH170" s="1111">
        <f t="shared" si="251"/>
        <v>4.4380144922912999E-2</v>
      </c>
      <c r="CI170" s="1111">
        <f>SUMIFS(NewEmisData!E:E, NewEmisData!$A:$A, $G170, NewEmisData!$B:$B, $A170, NewEmisData!$C:$C, $H170, NewEmisData!$D:$D, CI$6)</f>
        <v>4.4380144922912999E-2</v>
      </c>
      <c r="CJ170" s="1111">
        <f>SUMIFS(NewEmisData!F:F, NewEmisData!$A:$A, $G170, NewEmisData!$B:$B, $A170, NewEmisData!$C:$C, $H170, NewEmisData!$D:$D, CJ$6)</f>
        <v>4.4596792152345799E-2</v>
      </c>
      <c r="CK170" s="1111">
        <f>SUMIFS(NewEmisData!G:G, NewEmisData!$A:$A, $G170, NewEmisData!$B:$B, $A170, NewEmisData!$C:$C, $H170, NewEmisData!$D:$D, CK$6)</f>
        <v>5.2215385084052102E-2</v>
      </c>
      <c r="CL170" s="1111">
        <f>SUMIFS(NewEmisData!H:H, NewEmisData!$A:$A, $G170, NewEmisData!$B:$B, $A170, NewEmisData!$C:$C, $H170, NewEmisData!$D:$D, CL$6)</f>
        <v>5.2195799002688101E-2</v>
      </c>
      <c r="CM170" s="1111">
        <f>SUMIFS(NewEmisData!I:I, NewEmisData!$A:$A, $G170, NewEmisData!$B:$B, $A170, NewEmisData!$C:$C, $H170, NewEmisData!$D:$D, CM$6)</f>
        <v>5.2195910515594697E-2</v>
      </c>
      <c r="CN170" s="1111">
        <f>SUMIFS(NewEmisData!J:J, NewEmisData!$A:$A, $G170, NewEmisData!$B:$B, $A170, NewEmisData!$C:$C, $H170, NewEmisData!$D:$D, CN$6)</f>
        <v>5.2195169525564397E-2</v>
      </c>
      <c r="CO170" s="1111">
        <f>SUMIFS(NewEmisData!K:K, NewEmisData!$A:$A, $G170, NewEmisData!$B:$B, $A170, NewEmisData!$C:$C, $H170, NewEmisData!$D:$D, CO$6)</f>
        <v>5.21950010452591E-2</v>
      </c>
      <c r="CP170" s="1111">
        <f>SUMIFS(NewEmisData!L:L, NewEmisData!$A:$A, $G170, NewEmisData!$B:$B, $A170, NewEmisData!$C:$C, $H170, NewEmisData!$D:$D, CP$6)</f>
        <v>5.2194984268704697E-2</v>
      </c>
      <c r="CQ170" s="1111">
        <f>SUMIFS(NewEmisData!M:M, NewEmisData!$A:$A, $G170, NewEmisData!$B:$B, $A170, NewEmisData!$C:$C, $H170, NewEmisData!$D:$D, CQ$6)</f>
        <v>5.2195021896544298E-2</v>
      </c>
      <c r="CR170" s="1111">
        <f t="shared" si="252"/>
        <v>5.2195021896544298E-2</v>
      </c>
      <c r="CS170" s="1111">
        <f t="shared" si="253"/>
        <v>7.6133150476987599E-2</v>
      </c>
      <c r="CT170" s="1111">
        <f>SUMIFS(NewEmisData!E:E, NewEmisData!$A:$A, $G170, NewEmisData!$B:$B, $A170, NewEmisData!$C:$C, $H170, NewEmisData!$D:$D, CT$6)</f>
        <v>7.6133150476987599E-2</v>
      </c>
      <c r="CU170" s="1111">
        <f>SUMIFS(NewEmisData!F:F, NewEmisData!$A:$A, $G170, NewEmisData!$B:$B, $A170, NewEmisData!$C:$C, $H170, NewEmisData!$D:$D, CU$6)</f>
        <v>5.1439402812130802E-2</v>
      </c>
      <c r="CV170" s="1111">
        <f>SUMIFS(NewEmisData!G:G, NewEmisData!$A:$A, $G170, NewEmisData!$B:$B, $A170, NewEmisData!$C:$C, $H170, NewEmisData!$D:$D, CV$6)</f>
        <v>3.2083061737757199E-2</v>
      </c>
      <c r="CW170" s="1111">
        <f>SUMIFS(NewEmisData!H:H, NewEmisData!$A:$A, $G170, NewEmisData!$B:$B, $A170, NewEmisData!$C:$C, $H170, NewEmisData!$D:$D, CW$6)</f>
        <v>2.1832894937405999E-2</v>
      </c>
      <c r="CX170" s="1111">
        <f>SUMIFS(NewEmisData!I:I, NewEmisData!$A:$A, $G170, NewEmisData!$B:$B, $A170, NewEmisData!$C:$C, $H170, NewEmisData!$D:$D, CX$6)</f>
        <v>1.87474521093988E-2</v>
      </c>
      <c r="CY170" s="1111">
        <f>SUMIFS(NewEmisData!J:J, NewEmisData!$A:$A, $G170, NewEmisData!$B:$B, $A170, NewEmisData!$C:$C, $H170, NewEmisData!$D:$D, CY$6)</f>
        <v>1.78599084478736E-2</v>
      </c>
      <c r="CZ170" s="1111">
        <f>SUMIFS(NewEmisData!K:K, NewEmisData!$A:$A, $G170, NewEmisData!$B:$B, $A170, NewEmisData!$C:$C, $H170, NewEmisData!$D:$D, CZ$6)</f>
        <v>1.7770003763788299E-2</v>
      </c>
      <c r="DA170" s="1111">
        <f>SUMIFS(NewEmisData!L:L, NewEmisData!$A:$A, $G170, NewEmisData!$B:$B, $A170, NewEmisData!$C:$C, $H170, NewEmisData!$D:$D, DA$6)</f>
        <v>1.7699213019639601E-2</v>
      </c>
      <c r="DB170" s="1111">
        <f>SUMIFS(NewEmisData!M:M, NewEmisData!$A:$A, $G170, NewEmisData!$B:$B, $A170, NewEmisData!$C:$C, $H170, NewEmisData!$D:$D, DB$6)</f>
        <v>1.7745127181989399E-2</v>
      </c>
      <c r="DC170" s="1111">
        <f t="shared" si="254"/>
        <v>1.7745127181989399E-2</v>
      </c>
      <c r="DD170" s="1111"/>
      <c r="DE170" s="1111"/>
      <c r="DF170" s="1111"/>
      <c r="DG170" s="1111"/>
      <c r="DH170" s="1111"/>
      <c r="DI170" s="1111"/>
      <c r="DJ170" s="1111"/>
      <c r="DK170" s="1111"/>
      <c r="DL170" s="1111"/>
      <c r="DM170" s="1111"/>
      <c r="DN170" s="1111"/>
      <c r="DO170" s="1111"/>
      <c r="DP170" s="1111"/>
      <c r="DQ170" s="1111"/>
      <c r="DR170" s="1111"/>
      <c r="DS170" s="1111"/>
      <c r="DT170" s="1111"/>
      <c r="DU170" s="1111"/>
      <c r="DV170" s="1111"/>
      <c r="DW170" s="1111"/>
      <c r="DX170" s="1111"/>
      <c r="DY170" s="1111"/>
      <c r="DZ170" s="1111">
        <f t="shared" si="255"/>
        <v>6.6239633822982896E-2</v>
      </c>
      <c r="EA170" s="1111">
        <f>SUMIFS(NewEmisData!E:E, NewEmisData!$A:$A, $G170, NewEmisData!$B:$B, $A170, NewEmisData!$C:$C, $H170, NewEmisData!$D:$D, EA$6)</f>
        <v>6.6239633822982896E-2</v>
      </c>
      <c r="EB170" s="1111">
        <f>SUMIFS(NewEmisData!F:F, NewEmisData!$A:$A, $G170, NewEmisData!$B:$B, $A170, NewEmisData!$C:$C, $H170, NewEmisData!$D:$D, EB$6)</f>
        <v>6.0237802679566702E-2</v>
      </c>
      <c r="EC170" s="1111">
        <f>SUMIFS(NewEmisData!G:G, NewEmisData!$A:$A, $G170, NewEmisData!$B:$B, $A170, NewEmisData!$C:$C, $H170, NewEmisData!$D:$D, EC$6)</f>
        <v>2.4353204424718701E-2</v>
      </c>
      <c r="ED170" s="1111">
        <f>SUMIFS(NewEmisData!H:H, NewEmisData!$A:$A, $G170, NewEmisData!$B:$B, $A170, NewEmisData!$C:$C, $H170, NewEmisData!$D:$D, ED$6)</f>
        <v>2.2100119730100499E-2</v>
      </c>
      <c r="EE170" s="1111">
        <f>SUMIFS(NewEmisData!I:I, NewEmisData!$A:$A, $G170, NewEmisData!$B:$B, $A170, NewEmisData!$C:$C, $H170, NewEmisData!$D:$D, EE$6)</f>
        <v>2.1582561219103999E-2</v>
      </c>
      <c r="EF170" s="1111">
        <f>SUMIFS(NewEmisData!J:J, NewEmisData!$A:$A, $G170, NewEmisData!$B:$B, $A170, NewEmisData!$C:$C, $H170, NewEmisData!$D:$D, EF$6)</f>
        <v>2.1614176302122898E-2</v>
      </c>
      <c r="EG170" s="1111">
        <f>SUMIFS(NewEmisData!K:K, NewEmisData!$A:$A, $G170, NewEmisData!$B:$B, $A170, NewEmisData!$C:$C, $H170, NewEmisData!$D:$D, EG$6)</f>
        <v>2.1778598474770299E-2</v>
      </c>
      <c r="EH170" s="1111">
        <f>SUMIFS(NewEmisData!L:L, NewEmisData!$A:$A, $G170, NewEmisData!$B:$B, $A170, NewEmisData!$C:$C, $H170, NewEmisData!$D:$D, EH$6)</f>
        <v>2.1823465682415499E-2</v>
      </c>
      <c r="EI170" s="1111">
        <f>SUMIFS(NewEmisData!M:M, NewEmisData!$A:$A, $G170, NewEmisData!$B:$B, $A170, NewEmisData!$C:$C, $H170, NewEmisData!$D:$D, EI$6)</f>
        <v>2.1824961400636101E-2</v>
      </c>
      <c r="EJ170" s="1111">
        <f t="shared" si="256"/>
        <v>2.1824961400636101E-2</v>
      </c>
      <c r="EK170" s="1111">
        <f t="shared" si="257"/>
        <v>1204.2704996203399</v>
      </c>
      <c r="EL170" s="1111">
        <f t="shared" si="269"/>
        <v>1204.2704996203399</v>
      </c>
      <c r="EM170" s="1111">
        <f t="shared" si="270"/>
        <v>1280.9014839137801</v>
      </c>
      <c r="EN170" s="1111">
        <f t="shared" si="271"/>
        <v>1309.1277572440899</v>
      </c>
      <c r="EO170" s="1111">
        <f t="shared" si="272"/>
        <v>1277.5848439676099</v>
      </c>
      <c r="EP170" s="1111">
        <f t="shared" si="273"/>
        <v>1259.05503169493</v>
      </c>
      <c r="EQ170" s="1111">
        <f t="shared" si="274"/>
        <v>1254.08723086747</v>
      </c>
      <c r="ER170" s="1111">
        <f t="shared" si="275"/>
        <v>1252.90461894546</v>
      </c>
      <c r="ES170" s="1111">
        <f t="shared" si="276"/>
        <v>1252.7104430173399</v>
      </c>
      <c r="ET170" s="1111">
        <f t="shared" si="277"/>
        <v>1252.6870397442001</v>
      </c>
      <c r="EU170" s="1111">
        <f t="shared" si="278"/>
        <v>1252.6870397442001</v>
      </c>
      <c r="EV170" s="1111">
        <f t="shared" si="258"/>
        <v>4.3448715610080901</v>
      </c>
      <c r="EW170" s="1111">
        <f t="shared" si="259"/>
        <v>4.3448715610080901</v>
      </c>
      <c r="EX170" s="1111">
        <f t="shared" si="260"/>
        <v>2.68000771941229</v>
      </c>
      <c r="EY170" s="1111">
        <f t="shared" si="261"/>
        <v>1.2701406141530101</v>
      </c>
      <c r="EZ170" s="1111">
        <f t="shared" si="262"/>
        <v>0.89637025450783203</v>
      </c>
      <c r="FA170" s="1111">
        <f t="shared" si="263"/>
        <v>0.74230586472414295</v>
      </c>
      <c r="FB170" s="1111">
        <f t="shared" si="264"/>
        <v>0.67198096175904998</v>
      </c>
      <c r="FC170" s="1111">
        <f t="shared" si="265"/>
        <v>0.65082523068374698</v>
      </c>
      <c r="FD170" s="1111">
        <f t="shared" si="266"/>
        <v>0.64636795436825401</v>
      </c>
      <c r="FE170" s="1111">
        <f t="shared" si="267"/>
        <v>0.64488416341078902</v>
      </c>
      <c r="FF170" s="1111">
        <f t="shared" si="268"/>
        <v>0.64488416341078902</v>
      </c>
      <c r="FG170" s="1111">
        <f t="shared" si="193"/>
        <v>2.08381055217347E-2</v>
      </c>
      <c r="FH170" s="1111">
        <f t="shared" si="194"/>
        <v>2.08381055217347E-2</v>
      </c>
      <c r="FI170" s="1111">
        <f t="shared" si="195"/>
        <v>2.2164087103621902E-2</v>
      </c>
      <c r="FJ170" s="1111">
        <f t="shared" si="196"/>
        <v>1.8780122769194701E-2</v>
      </c>
      <c r="FK170" s="1111">
        <f t="shared" si="197"/>
        <v>1.8327610114874E-2</v>
      </c>
      <c r="FL170" s="1111">
        <f t="shared" si="198"/>
        <v>1.8061800865337901E-2</v>
      </c>
      <c r="FM170" s="1111">
        <f t="shared" si="199"/>
        <v>1.79905289884639E-2</v>
      </c>
      <c r="FN170" s="1111">
        <f t="shared" si="200"/>
        <v>1.7973564507445701E-2</v>
      </c>
      <c r="FO170" s="1111">
        <f t="shared" si="201"/>
        <v>1.7970784643505301E-2</v>
      </c>
      <c r="FP170" s="1111">
        <f t="shared" si="202"/>
        <v>1.7970446963254401E-2</v>
      </c>
      <c r="FQ170" s="1111">
        <f t="shared" si="203"/>
        <v>1.7970446963254401E-2</v>
      </c>
      <c r="FR170" s="1111">
        <f t="shared" si="230"/>
        <v>0.19574828311834699</v>
      </c>
      <c r="FS170" s="1111">
        <f t="shared" si="231"/>
        <v>0.19574828311834699</v>
      </c>
      <c r="FT170" s="1111">
        <f t="shared" si="232"/>
        <v>0.191259101148397</v>
      </c>
      <c r="FU170" s="1111">
        <f t="shared" si="233"/>
        <v>0.21457849181088401</v>
      </c>
      <c r="FV170" s="1111">
        <f t="shared" si="234"/>
        <v>0.215053494777702</v>
      </c>
      <c r="FW170" s="1111">
        <f t="shared" si="235"/>
        <v>0.21551298465650401</v>
      </c>
      <c r="FX170" s="1111">
        <f t="shared" si="236"/>
        <v>0.215835472913527</v>
      </c>
      <c r="FY170" s="1111">
        <f t="shared" si="237"/>
        <v>0.21602305396888299</v>
      </c>
      <c r="FZ170" s="1111">
        <f t="shared" si="238"/>
        <v>0.21608589786817001</v>
      </c>
      <c r="GA170" s="1111">
        <f t="shared" si="239"/>
        <v>0.216113244270948</v>
      </c>
      <c r="GB170" s="1111">
        <f t="shared" si="240"/>
        <v>0.216113244270948</v>
      </c>
      <c r="GC170" s="1111">
        <f t="shared" si="279"/>
        <v>4.1988899098410401E-2</v>
      </c>
      <c r="GD170" s="1111">
        <f t="shared" si="280"/>
        <v>4.1988899098410401E-2</v>
      </c>
      <c r="GE170" s="1111">
        <f t="shared" si="281"/>
        <v>4.04221270662211E-2</v>
      </c>
      <c r="GF170" s="1111">
        <f t="shared" si="282"/>
        <v>3.5246180151429399E-2</v>
      </c>
      <c r="GG170" s="1111">
        <f t="shared" si="283"/>
        <v>3.4950821311789601E-2</v>
      </c>
      <c r="GH170" s="1111">
        <f t="shared" si="284"/>
        <v>3.5285067945859602E-2</v>
      </c>
      <c r="GI170" s="1111">
        <f t="shared" si="285"/>
        <v>3.55346528981796E-2</v>
      </c>
      <c r="GJ170" s="1111">
        <f t="shared" si="286"/>
        <v>3.5692682330647998E-2</v>
      </c>
      <c r="GK170" s="1111">
        <f t="shared" si="287"/>
        <v>3.57464219039118E-2</v>
      </c>
      <c r="GL170" s="1111">
        <f t="shared" si="288"/>
        <v>3.5770424866643502E-2</v>
      </c>
      <c r="GM170" s="1111">
        <f t="shared" si="289"/>
        <v>3.5770424866643502E-2</v>
      </c>
    </row>
    <row r="171" spans="1:195" x14ac:dyDescent="0.2">
      <c r="A171" s="1071" t="s">
        <v>182</v>
      </c>
      <c r="B171" s="1071" t="str">
        <f>Technologies!C117</f>
        <v>TMGSLAH</v>
      </c>
      <c r="C171" s="1071" t="str">
        <f>Technologies!D117</f>
        <v>Medium Duty Truck, Advanced Hybrid Gasoline</v>
      </c>
      <c r="D171" s="1071" t="str">
        <f>NewTech!D69</f>
        <v>bn-vmt, bn-vmt/a</v>
      </c>
      <c r="E171" s="1071" t="str">
        <f>NewTech!E70</f>
        <v>TMGSL</v>
      </c>
      <c r="F171" s="1071" t="str">
        <f>NewTech!F70</f>
        <v>TM</v>
      </c>
      <c r="G171" s="1110" t="s">
        <v>503</v>
      </c>
      <c r="H171" s="1110" t="s">
        <v>500</v>
      </c>
      <c r="I171" s="1112">
        <v>1</v>
      </c>
      <c r="J171" s="1111" t="str">
        <f t="shared" si="37"/>
        <v>Medium duty-GSL</v>
      </c>
      <c r="K171" s="1111">
        <f>SUMIFS(NewEmisData!E:E, NewEmisData!$A:$A, $G171, NewEmisData!$B:$B, $A171, NewEmisData!$C:$C, $H171, NewEmisData!$D:$D, K$6)</f>
        <v>1241.60800343195</v>
      </c>
      <c r="L171" s="1111">
        <f>SUMIFS(NewEmisData!F:F, NewEmisData!$A:$A, $G171, NewEmisData!$B:$B, $A171, NewEmisData!$C:$C, $H171, NewEmisData!$D:$D, L$6)</f>
        <v>1243.08928499321</v>
      </c>
      <c r="M171" s="1111">
        <f>SUMIFS(NewEmisData!G:G, NewEmisData!$A:$A, $G171, NewEmisData!$B:$B, $A171, NewEmisData!$C:$C, $H171, NewEmisData!$D:$D, M$6)</f>
        <v>1559.7377784626201</v>
      </c>
      <c r="N171" s="1111">
        <f>SUMIFS(NewEmisData!H:H, NewEmisData!$A:$A, $G171, NewEmisData!$B:$B, $A171, NewEmisData!$C:$C, $H171, NewEmisData!$D:$D, N$6)</f>
        <v>1531.1148438857699</v>
      </c>
      <c r="O171" s="1111">
        <f>SUMIFS(NewEmisData!I:I, NewEmisData!$A:$A, $G171, NewEmisData!$B:$B, $A171, NewEmisData!$C:$C, $H171, NewEmisData!$D:$D, O$6)</f>
        <v>1508.7877657548299</v>
      </c>
      <c r="P171" s="1111">
        <f>SUMIFS(NewEmisData!J:J, NewEmisData!$A:$A, $G171, NewEmisData!$B:$B, $A171, NewEmisData!$C:$C, $H171, NewEmisData!$D:$D, P$6)</f>
        <v>1502.9671636844901</v>
      </c>
      <c r="Q171" s="1111">
        <f>SUMIFS(NewEmisData!K:K, NewEmisData!$A:$A, $G171, NewEmisData!$B:$B, $A171, NewEmisData!$C:$C, $H171, NewEmisData!$D:$D, Q$6)</f>
        <v>1501.4395842993699</v>
      </c>
      <c r="R171" s="1111">
        <f>SUMIFS(NewEmisData!L:L, NewEmisData!$A:$A, $G171, NewEmisData!$B:$B, $A171, NewEmisData!$C:$C, $H171, NewEmisData!$D:$D, R$6)</f>
        <v>1501.15044041939</v>
      </c>
      <c r="S171" s="1111">
        <f>SUMIFS(NewEmisData!M:M, NewEmisData!$A:$A, $G171, NewEmisData!$B:$B, $A171, NewEmisData!$C:$C, $H171, NewEmisData!$D:$D, S$6)</f>
        <v>1501.0860905019599</v>
      </c>
      <c r="T171" s="1111">
        <f t="shared" si="290"/>
        <v>1501.0860905019599</v>
      </c>
      <c r="U171" s="1111">
        <f>SUMIFS(NewEmisData!E:E, NewEmisData!$A:$A, $G171, NewEmisData!$B:$B, $A171, NewEmisData!$C:$C, $H171, NewEmisData!$D:$D, U$6)</f>
        <v>4.1625657526614797</v>
      </c>
      <c r="V171" s="1111">
        <f>SUMIFS(NewEmisData!F:F, NewEmisData!$A:$A, $G171, NewEmisData!$B:$B, $A171, NewEmisData!$C:$C, $H171, NewEmisData!$D:$D, V$6)</f>
        <v>2.1578815518962502</v>
      </c>
      <c r="W171" s="1111">
        <f>SUMIFS(NewEmisData!G:G, NewEmisData!$A:$A, $G171, NewEmisData!$B:$B, $A171, NewEmisData!$C:$C, $H171, NewEmisData!$D:$D, W$6)</f>
        <v>1.30274636086792</v>
      </c>
      <c r="X171" s="1111">
        <f>SUMIFS(NewEmisData!H:H, NewEmisData!$A:$A, $G171, NewEmisData!$B:$B, $A171, NewEmisData!$C:$C, $H171, NewEmisData!$D:$D, X$6)</f>
        <v>0.94297953696777803</v>
      </c>
      <c r="Y171" s="1111">
        <f>SUMIFS(NewEmisData!I:I, NewEmisData!$A:$A, $G171, NewEmisData!$B:$B, $A171, NewEmisData!$C:$C, $H171, NewEmisData!$D:$D, Y$6)</f>
        <v>0.78815258031283297</v>
      </c>
      <c r="Z171" s="1111">
        <f>SUMIFS(NewEmisData!J:J, NewEmisData!$A:$A, $G171, NewEmisData!$B:$B, $A171, NewEmisData!$C:$C, $H171, NewEmisData!$D:$D, Z$6)</f>
        <v>0.71799894873057002</v>
      </c>
      <c r="AA171" s="1111">
        <f>SUMIFS(NewEmisData!K:K, NewEmisData!$A:$A, $G171, NewEmisData!$B:$B, $A171, NewEmisData!$C:$C, $H171, NewEmisData!$D:$D, AA$6)</f>
        <v>0.69737659475245495</v>
      </c>
      <c r="AB171" s="1111">
        <f>SUMIFS(NewEmisData!L:L, NewEmisData!$A:$A, $G171, NewEmisData!$B:$B, $A171, NewEmisData!$C:$C, $H171, NewEmisData!$D:$D, AB$6)</f>
        <v>0.69289982108465797</v>
      </c>
      <c r="AC171" s="1111">
        <f>SUMIFS(NewEmisData!M:M, NewEmisData!$A:$A, $G171, NewEmisData!$B:$B, $A171, NewEmisData!$C:$C, $H171, NewEmisData!$D:$D, AC$6)</f>
        <v>0.69155412460857602</v>
      </c>
      <c r="AD171" s="1111">
        <f t="shared" si="229"/>
        <v>0.69155412460857602</v>
      </c>
      <c r="AE171" s="1111">
        <f t="shared" si="241"/>
        <v>2.1484176158971701E-2</v>
      </c>
      <c r="AF171" s="1111">
        <f>SUMIFS(NewEmisData!E:E, NewEmisData!$A:$A, $G171, NewEmisData!$B:$B, $A171, NewEmisData!$C:$C, $H171, NewEmisData!$D:$D, AF$6)</f>
        <v>2.1484176158971701E-2</v>
      </c>
      <c r="AG171" s="1111">
        <f>SUMIFS(NewEmisData!F:F, NewEmisData!$A:$A, $G171, NewEmisData!$B:$B, $A171, NewEmisData!$C:$C, $H171, NewEmisData!$D:$D, AG$6)</f>
        <v>2.1509817808633099E-2</v>
      </c>
      <c r="AH171" s="1111">
        <f>SUMIFS(NewEmisData!G:G, NewEmisData!$A:$A, $G171, NewEmisData!$B:$B, $A171, NewEmisData!$C:$C, $H171, NewEmisData!$D:$D, AH$6)</f>
        <v>2.2375249866597498E-2</v>
      </c>
      <c r="AI171" s="1111">
        <f>SUMIFS(NewEmisData!H:H, NewEmisData!$A:$A, $G171, NewEmisData!$B:$B, $A171, NewEmisData!$C:$C, $H171, NewEmisData!$D:$D, AI$6)</f>
        <v>2.1964641718838499E-2</v>
      </c>
      <c r="AJ171" s="1111">
        <f>SUMIFS(NewEmisData!I:I, NewEmisData!$A:$A, $G171, NewEmisData!$B:$B, $A171, NewEmisData!$C:$C, $H171, NewEmisData!$D:$D, AJ$6)</f>
        <v>2.1644351533378101E-2</v>
      </c>
      <c r="AK171" s="1111">
        <f>SUMIFS(NewEmisData!J:J, NewEmisData!$A:$A, $G171, NewEmisData!$B:$B, $A171, NewEmisData!$C:$C, $H171, NewEmisData!$D:$D, AK$6)</f>
        <v>2.1560851881015301E-2</v>
      </c>
      <c r="AL171" s="1111">
        <f>SUMIFS(NewEmisData!K:K, NewEmisData!$A:$A, $G171, NewEmisData!$B:$B, $A171, NewEmisData!$C:$C, $H171, NewEmisData!$D:$D, AL$6)</f>
        <v>2.1538927343366401E-2</v>
      </c>
      <c r="AM171" s="1111">
        <f>SUMIFS(NewEmisData!L:L, NewEmisData!$A:$A, $G171, NewEmisData!$B:$B, $A171, NewEmisData!$C:$C, $H171, NewEmisData!$D:$D, AM$6)</f>
        <v>2.1534775827773901E-2</v>
      </c>
      <c r="AN171" s="1111">
        <f>SUMIFS(NewEmisData!M:M, NewEmisData!$A:$A, $G171, NewEmisData!$B:$B, $A171, NewEmisData!$C:$C, $H171, NewEmisData!$D:$D, AN$6)</f>
        <v>2.15338577914834E-2</v>
      </c>
      <c r="AO171" s="1111">
        <f t="shared" si="242"/>
        <v>2.15338577914834E-2</v>
      </c>
      <c r="AP171" s="1111">
        <f t="shared" si="243"/>
        <v>0.205584171442245</v>
      </c>
      <c r="AQ171" s="1111">
        <f>SUMIFS(NewEmisData!E:E, NewEmisData!$A:$A, $G171, NewEmisData!$B:$B, $A171, NewEmisData!$C:$C, $H171, NewEmisData!$D:$D, AQ$6)</f>
        <v>0.205584171442245</v>
      </c>
      <c r="AR171" s="1111">
        <f>SUMIFS(NewEmisData!F:F, NewEmisData!$A:$A, $G171, NewEmisData!$B:$B, $A171, NewEmisData!$C:$C, $H171, NewEmisData!$D:$D, AR$6)</f>
        <v>0.200703686535146</v>
      </c>
      <c r="AS171" s="1111">
        <f>SUMIFS(NewEmisData!G:G, NewEmisData!$A:$A, $G171, NewEmisData!$B:$B, $A171, NewEmisData!$C:$C, $H171, NewEmisData!$D:$D, AS$6)</f>
        <v>0.298432150084874</v>
      </c>
      <c r="AT171" s="1111">
        <f>SUMIFS(NewEmisData!H:H, NewEmisData!$A:$A, $G171, NewEmisData!$B:$B, $A171, NewEmisData!$C:$C, $H171, NewEmisData!$D:$D, AT$6)</f>
        <v>0.29892439751761801</v>
      </c>
      <c r="AU171" s="1111">
        <f>SUMIFS(NewEmisData!I:I, NewEmisData!$A:$A, $G171, NewEmisData!$B:$B, $A171, NewEmisData!$C:$C, $H171, NewEmisData!$D:$D, AU$6)</f>
        <v>0.29942291421429901</v>
      </c>
      <c r="AV171" s="1111">
        <f>SUMIFS(NewEmisData!J:J, NewEmisData!$A:$A, $G171, NewEmisData!$B:$B, $A171, NewEmisData!$C:$C, $H171, NewEmisData!$D:$D, AV$6)</f>
        <v>0.29972619462258399</v>
      </c>
      <c r="AW171" s="1111">
        <f>SUMIFS(NewEmisData!K:K, NewEmisData!$A:$A, $G171, NewEmisData!$B:$B, $A171, NewEmisData!$C:$C, $H171, NewEmisData!$D:$D, AW$6)</f>
        <v>0.29988559432946199</v>
      </c>
      <c r="AX171" s="1111">
        <f>SUMIFS(NewEmisData!L:L, NewEmisData!$A:$A, $G171, NewEmisData!$B:$B, $A171, NewEmisData!$C:$C, $H171, NewEmisData!$D:$D, AX$6)</f>
        <v>0.29993582308119998</v>
      </c>
      <c r="AY171" s="1111">
        <f>SUMIFS(NewEmisData!M:M, NewEmisData!$A:$A, $G171, NewEmisData!$B:$B, $A171, NewEmisData!$C:$C, $H171, NewEmisData!$D:$D, AY$6)</f>
        <v>0.299955436334361</v>
      </c>
      <c r="AZ171" s="1111">
        <f t="shared" si="244"/>
        <v>0.299955436334361</v>
      </c>
      <c r="BA171" s="1111">
        <f t="shared" si="245"/>
        <v>3.9334690996451198E-2</v>
      </c>
      <c r="BB171" s="1111">
        <f>SUMIFS(NewEmisData!E:E, NewEmisData!$A:$A, $G171, NewEmisData!$B:$B, $A171, NewEmisData!$C:$C, $H171, NewEmisData!$D:$D, BB$6)</f>
        <v>3.9334690996451198E-2</v>
      </c>
      <c r="BC171" s="1111">
        <f>SUMIFS(NewEmisData!F:F, NewEmisData!$A:$A, $G171, NewEmisData!$B:$B, $A171, NewEmisData!$C:$C, $H171, NewEmisData!$D:$D, BC$6)</f>
        <v>3.4631534960308699E-2</v>
      </c>
      <c r="BD171" s="1111">
        <f>SUMIFS(NewEmisData!G:G, NewEmisData!$A:$A, $G171, NewEmisData!$B:$B, $A171, NewEmisData!$C:$C, $H171, NewEmisData!$D:$D, BD$6)</f>
        <v>4.5448906099466301E-2</v>
      </c>
      <c r="BE171" s="1111">
        <f>SUMIFS(NewEmisData!H:H, NewEmisData!$A:$A, $G171, NewEmisData!$B:$B, $A171, NewEmisData!$C:$C, $H171, NewEmisData!$D:$D, BE$6)</f>
        <v>4.5413592229635001E-2</v>
      </c>
      <c r="BF171" s="1111">
        <f>SUMIFS(NewEmisData!I:I, NewEmisData!$A:$A, $G171, NewEmisData!$B:$B, $A171, NewEmisData!$C:$C, $H171, NewEmisData!$D:$D, BF$6)</f>
        <v>4.5762266359602698E-2</v>
      </c>
      <c r="BG171" s="1111">
        <f>SUMIFS(NewEmisData!J:J, NewEmisData!$A:$A, $G171, NewEmisData!$B:$B, $A171, NewEmisData!$C:$C, $H171, NewEmisData!$D:$D, BG$6)</f>
        <v>4.6004282113656897E-2</v>
      </c>
      <c r="BH171" s="1111">
        <f>SUMIFS(NewEmisData!K:K, NewEmisData!$A:$A, $G171, NewEmisData!$B:$B, $A171, NewEmisData!$C:$C, $H171, NewEmisData!$D:$D, BH$6)</f>
        <v>4.6139436899626303E-2</v>
      </c>
      <c r="BI171" s="1111">
        <f>SUMIFS(NewEmisData!L:L, NewEmisData!$A:$A, $G171, NewEmisData!$B:$B, $A171, NewEmisData!$C:$C, $H171, NewEmisData!$D:$D, BI$6)</f>
        <v>4.6182051454262997E-2</v>
      </c>
      <c r="BJ171" s="1111">
        <f>SUMIFS(NewEmisData!M:M, NewEmisData!$A:$A, $G171, NewEmisData!$B:$B, $A171, NewEmisData!$C:$C, $H171, NewEmisData!$D:$D, BJ$6)</f>
        <v>4.6199279391049702E-2</v>
      </c>
      <c r="BK171" s="1111">
        <f t="shared" si="246"/>
        <v>4.6199279391049702E-2</v>
      </c>
      <c r="BL171" s="1111">
        <f t="shared" si="247"/>
        <v>35.379082211376598</v>
      </c>
      <c r="BM171" s="1111">
        <f>SUMIFS(NewEmisData!E:E, NewEmisData!$A:$A, $G171, NewEmisData!$B:$B, $A171, NewEmisData!$C:$C, $H171, NewEmisData!$D:$D, BM$6)</f>
        <v>35.379082211376598</v>
      </c>
      <c r="BN171" s="1111">
        <f>SUMIFS(NewEmisData!F:F, NewEmisData!$A:$A, $G171, NewEmisData!$B:$B, $A171, NewEmisData!$C:$C, $H171, NewEmisData!$D:$D, BN$6)</f>
        <v>20.9802918509032</v>
      </c>
      <c r="BO171" s="1111">
        <f>SUMIFS(NewEmisData!G:G, NewEmisData!$A:$A, $G171, NewEmisData!$B:$B, $A171, NewEmisData!$C:$C, $H171, NewEmisData!$D:$D, BO$6)</f>
        <v>14.8071744303823</v>
      </c>
      <c r="BP171" s="1111">
        <f>SUMIFS(NewEmisData!H:H, NewEmisData!$A:$A, $G171, NewEmisData!$B:$B, $A171, NewEmisData!$C:$C, $H171, NewEmisData!$D:$D, BP$6)</f>
        <v>12.7817736031308</v>
      </c>
      <c r="BQ171" s="1111">
        <f>SUMIFS(NewEmisData!I:I, NewEmisData!$A:$A, $G171, NewEmisData!$B:$B, $A171, NewEmisData!$C:$C, $H171, NewEmisData!$D:$D, BQ$6)</f>
        <v>12.249879427369301</v>
      </c>
      <c r="BR171" s="1111">
        <f>SUMIFS(NewEmisData!J:J, NewEmisData!$A:$A, $G171, NewEmisData!$B:$B, $A171, NewEmisData!$C:$C, $H171, NewEmisData!$D:$D, BR$6)</f>
        <v>12.1493449959291</v>
      </c>
      <c r="BS171" s="1111">
        <f>SUMIFS(NewEmisData!K:K, NewEmisData!$A:$A, $G171, NewEmisData!$B:$B, $A171, NewEmisData!$C:$C, $H171, NewEmisData!$D:$D, BS$6)</f>
        <v>12.229795867911401</v>
      </c>
      <c r="BT171" s="1111">
        <f>SUMIFS(NewEmisData!L:L, NewEmisData!$A:$A, $G171, NewEmisData!$B:$B, $A171, NewEmisData!$C:$C, $H171, NewEmisData!$D:$D, BT$6)</f>
        <v>12.2882488120452</v>
      </c>
      <c r="BU171" s="1111">
        <f>SUMIFS(NewEmisData!M:M, NewEmisData!$A:$A, $G171, NewEmisData!$B:$B, $A171, NewEmisData!$C:$C, $H171, NewEmisData!$D:$D, BU$6)</f>
        <v>12.321950956593</v>
      </c>
      <c r="BV171" s="1111">
        <f t="shared" si="248"/>
        <v>12.321950956593</v>
      </c>
      <c r="BW171" s="1111">
        <f t="shared" si="249"/>
        <v>1.87362575135703</v>
      </c>
      <c r="BX171" s="1111">
        <f>SUMIFS(NewEmisData!E:E, NewEmisData!$A:$A, $G171, NewEmisData!$B:$B, $A171, NewEmisData!$C:$C, $H171, NewEmisData!$D:$D, BX$6)</f>
        <v>1.87362575135703</v>
      </c>
      <c r="BY171" s="1111">
        <f>SUMIFS(NewEmisData!F:F, NewEmisData!$A:$A, $G171, NewEmisData!$B:$B, $A171, NewEmisData!$C:$C, $H171, NewEmisData!$D:$D, BY$6)</f>
        <v>1.0527291712428299</v>
      </c>
      <c r="BZ171" s="1111">
        <f>SUMIFS(NewEmisData!G:G, NewEmisData!$A:$A, $G171, NewEmisData!$B:$B, $A171, NewEmisData!$C:$C, $H171, NewEmisData!$D:$D, BZ$6)</f>
        <v>0.690616026658735</v>
      </c>
      <c r="CA171" s="1111">
        <f>SUMIFS(NewEmisData!H:H, NewEmisData!$A:$A, $G171, NewEmisData!$B:$B, $A171, NewEmisData!$C:$C, $H171, NewEmisData!$D:$D, CA$6)</f>
        <v>0.54311164322371697</v>
      </c>
      <c r="CB171" s="1111">
        <f>SUMIFS(NewEmisData!I:I, NewEmisData!$A:$A, $G171, NewEmisData!$B:$B, $A171, NewEmisData!$C:$C, $H171, NewEmisData!$D:$D, CB$6)</f>
        <v>0.48887057427966502</v>
      </c>
      <c r="CC171" s="1111">
        <f>SUMIFS(NewEmisData!J:J, NewEmisData!$A:$A, $G171, NewEmisData!$B:$B, $A171, NewEmisData!$C:$C, $H171, NewEmisData!$D:$D, CC$6)</f>
        <v>0.46684418132935501</v>
      </c>
      <c r="CD171" s="1111">
        <f>SUMIFS(NewEmisData!K:K, NewEmisData!$A:$A, $G171, NewEmisData!$B:$B, $A171, NewEmisData!$C:$C, $H171, NewEmisData!$D:$D, CD$6)</f>
        <v>0.46389956383150999</v>
      </c>
      <c r="CE171" s="1111">
        <f>SUMIFS(NewEmisData!L:L, NewEmisData!$A:$A, $G171, NewEmisData!$B:$B, $A171, NewEmisData!$C:$C, $H171, NewEmisData!$D:$D, CE$6)</f>
        <v>0.46392493269586499</v>
      </c>
      <c r="CF171" s="1111">
        <f>SUMIFS(NewEmisData!M:M, NewEmisData!$A:$A, $G171, NewEmisData!$B:$B, $A171, NewEmisData!$C:$C, $H171, NewEmisData!$D:$D, CF$6)</f>
        <v>0.46396365606422402</v>
      </c>
      <c r="CG171" s="1111">
        <f t="shared" si="250"/>
        <v>0.46396365606422402</v>
      </c>
      <c r="CH171" s="1111">
        <f t="shared" si="251"/>
        <v>4.5385046654151703E-2</v>
      </c>
      <c r="CI171" s="1111">
        <f>SUMIFS(NewEmisData!E:E, NewEmisData!$A:$A, $G171, NewEmisData!$B:$B, $A171, NewEmisData!$C:$C, $H171, NewEmisData!$D:$D, CI$6)</f>
        <v>4.5385046654151703E-2</v>
      </c>
      <c r="CJ171" s="1111">
        <f>SUMIFS(NewEmisData!F:F, NewEmisData!$A:$A, $G171, NewEmisData!$B:$B, $A171, NewEmisData!$C:$C, $H171, NewEmisData!$D:$D, CJ$6)</f>
        <v>4.5393164724417102E-2</v>
      </c>
      <c r="CK171" s="1111">
        <f>SUMIFS(NewEmisData!G:G, NewEmisData!$A:$A, $G171, NewEmisData!$B:$B, $A171, NewEmisData!$C:$C, $H171, NewEmisData!$D:$D, CK$6)</f>
        <v>6.2513239349190994E-2</v>
      </c>
      <c r="CL171" s="1111">
        <f>SUMIFS(NewEmisData!H:H, NewEmisData!$A:$A, $G171, NewEmisData!$B:$B, $A171, NewEmisData!$C:$C, $H171, NewEmisData!$D:$D, CL$6)</f>
        <v>6.2512411846424906E-2</v>
      </c>
      <c r="CM171" s="1111">
        <f>SUMIFS(NewEmisData!I:I, NewEmisData!$A:$A, $G171, NewEmisData!$B:$B, $A171, NewEmisData!$C:$C, $H171, NewEmisData!$D:$D, CM$6)</f>
        <v>6.2512421474567897E-2</v>
      </c>
      <c r="CN171" s="1111">
        <f>SUMIFS(NewEmisData!J:J, NewEmisData!$A:$A, $G171, NewEmisData!$B:$B, $A171, NewEmisData!$C:$C, $H171, NewEmisData!$D:$D, CN$6)</f>
        <v>6.2512452306065502E-2</v>
      </c>
      <c r="CO171" s="1111">
        <f>SUMIFS(NewEmisData!K:K, NewEmisData!$A:$A, $G171, NewEmisData!$B:$B, $A171, NewEmisData!$C:$C, $H171, NewEmisData!$D:$D, CO$6)</f>
        <v>6.2512380916104907E-2</v>
      </c>
      <c r="CP171" s="1111">
        <f>SUMIFS(NewEmisData!L:L, NewEmisData!$A:$A, $G171, NewEmisData!$B:$B, $A171, NewEmisData!$C:$C, $H171, NewEmisData!$D:$D, CP$6)</f>
        <v>6.2512436309679606E-2</v>
      </c>
      <c r="CQ171" s="1111">
        <f>SUMIFS(NewEmisData!M:M, NewEmisData!$A:$A, $G171, NewEmisData!$B:$B, $A171, NewEmisData!$C:$C, $H171, NewEmisData!$D:$D, CQ$6)</f>
        <v>6.2512445317614407E-2</v>
      </c>
      <c r="CR171" s="1111">
        <f t="shared" si="252"/>
        <v>6.2512445317614407E-2</v>
      </c>
      <c r="CS171" s="1111">
        <f t="shared" si="253"/>
        <v>6.7564687236939897E-2</v>
      </c>
      <c r="CT171" s="1111">
        <f>SUMIFS(NewEmisData!E:E, NewEmisData!$A:$A, $G171, NewEmisData!$B:$B, $A171, NewEmisData!$C:$C, $H171, NewEmisData!$D:$D, CT$6)</f>
        <v>6.7564687236939897E-2</v>
      </c>
      <c r="CU171" s="1111">
        <f>SUMIFS(NewEmisData!F:F, NewEmisData!$A:$A, $G171, NewEmisData!$B:$B, $A171, NewEmisData!$C:$C, $H171, NewEmisData!$D:$D, CU$6)</f>
        <v>3.8153498607861998E-2</v>
      </c>
      <c r="CV171" s="1111">
        <f>SUMIFS(NewEmisData!G:G, NewEmisData!$A:$A, $G171, NewEmisData!$B:$B, $A171, NewEmisData!$C:$C, $H171, NewEmisData!$D:$D, CV$6)</f>
        <v>2.81821158126641E-2</v>
      </c>
      <c r="CW171" s="1111">
        <f>SUMIFS(NewEmisData!H:H, NewEmisData!$A:$A, $G171, NewEmisData!$B:$B, $A171, NewEmisData!$C:$C, $H171, NewEmisData!$D:$D, CW$6)</f>
        <v>1.9443003989977701E-2</v>
      </c>
      <c r="CX171" s="1111">
        <f>SUMIFS(NewEmisData!I:I, NewEmisData!$A:$A, $G171, NewEmisData!$B:$B, $A171, NewEmisData!$C:$C, $H171, NewEmisData!$D:$D, CX$6)</f>
        <v>1.7080157869544602E-2</v>
      </c>
      <c r="CY171" s="1111">
        <f>SUMIFS(NewEmisData!J:J, NewEmisData!$A:$A, $G171, NewEmisData!$B:$B, $A171, NewEmisData!$C:$C, $H171, NewEmisData!$D:$D, CY$6)</f>
        <v>1.6424318186297401E-2</v>
      </c>
      <c r="CZ171" s="1111">
        <f>SUMIFS(NewEmisData!K:K, NewEmisData!$A:$A, $G171, NewEmisData!$B:$B, $A171, NewEmisData!$C:$C, $H171, NewEmisData!$D:$D, CZ$6)</f>
        <v>1.63466414048998E-2</v>
      </c>
      <c r="DA171" s="1111">
        <f>SUMIFS(NewEmisData!L:L, NewEmisData!$A:$A, $G171, NewEmisData!$B:$B, $A171, NewEmisData!$C:$C, $H171, NewEmisData!$D:$D, DA$6)</f>
        <v>1.6299016097018101E-2</v>
      </c>
      <c r="DB171" s="1111">
        <f>SUMIFS(NewEmisData!M:M, NewEmisData!$A:$A, $G171, NewEmisData!$B:$B, $A171, NewEmisData!$C:$C, $H171, NewEmisData!$D:$D, DB$6)</f>
        <v>1.6325096857781201E-2</v>
      </c>
      <c r="DC171" s="1111">
        <f t="shared" si="254"/>
        <v>1.6325096857781201E-2</v>
      </c>
      <c r="DD171" s="1111">
        <v>8.4892895966475739E-3</v>
      </c>
      <c r="DE171" s="1111">
        <v>5.6212986616763754E-3</v>
      </c>
      <c r="DF171" s="1111">
        <v>3.3463487561708246E-3</v>
      </c>
      <c r="DG171" s="1111">
        <v>2.7660430299124659E-3</v>
      </c>
      <c r="DH171" s="1111">
        <v>2.682529091392567E-3</v>
      </c>
      <c r="DI171" s="1111">
        <v>2.703528873173607E-3</v>
      </c>
      <c r="DJ171" s="1111">
        <v>2.7128611055472259E-3</v>
      </c>
      <c r="DK171" s="1111">
        <v>2.7072751179577333E-3</v>
      </c>
      <c r="DL171" s="1111">
        <v>2.7166296978826691E-3</v>
      </c>
      <c r="DM171" s="1111">
        <v>2.7267399324404202E-3</v>
      </c>
      <c r="DN171" s="1111">
        <v>2.7267399324404202E-3</v>
      </c>
      <c r="DO171" s="1111">
        <v>2.7529093789717789E-2</v>
      </c>
      <c r="DP171" s="1111">
        <v>1.8547410667972192E-2</v>
      </c>
      <c r="DQ171" s="1111">
        <v>1.0623092960258752E-2</v>
      </c>
      <c r="DR171" s="1111">
        <v>8.2487146441313514E-3</v>
      </c>
      <c r="DS171" s="1111">
        <v>8.1824854069421117E-3</v>
      </c>
      <c r="DT171" s="1111">
        <v>8.1902625366083396E-3</v>
      </c>
      <c r="DU171" s="1111">
        <v>8.1985958492518836E-3</v>
      </c>
      <c r="DV171" s="1111">
        <v>8.1775758900627226E-3</v>
      </c>
      <c r="DW171" s="1111">
        <v>8.1943266682995095E-3</v>
      </c>
      <c r="DX171" s="1111">
        <v>8.2124081867554939E-3</v>
      </c>
      <c r="DY171" s="1111">
        <v>8.2124081867554939E-3</v>
      </c>
      <c r="DZ171" s="1111">
        <f t="shared" si="255"/>
        <v>5.0339270700679999E-2</v>
      </c>
      <c r="EA171" s="1111">
        <f>SUMIFS(NewEmisData!E:E, NewEmisData!$A:$A, $G171, NewEmisData!$B:$B, $A171, NewEmisData!$C:$C, $H171, NewEmisData!$D:$D, EA$6)</f>
        <v>5.0339270700679999E-2</v>
      </c>
      <c r="EB171" s="1111">
        <f>SUMIFS(NewEmisData!F:F, NewEmisData!$A:$A, $G171, NewEmisData!$B:$B, $A171, NewEmisData!$C:$C, $H171, NewEmisData!$D:$D, EB$6)</f>
        <v>2.98546172534019E-2</v>
      </c>
      <c r="EC171" s="1111">
        <f>SUMIFS(NewEmisData!G:G, NewEmisData!$A:$A, $G171, NewEmisData!$B:$B, $A171, NewEmisData!$C:$C, $H171, NewEmisData!$D:$D, EC$6)</f>
        <v>1.7913674894860999E-2</v>
      </c>
      <c r="ED171" s="1111">
        <f>SUMIFS(NewEmisData!H:H, NewEmisData!$A:$A, $G171, NewEmisData!$B:$B, $A171, NewEmisData!$C:$C, $H171, NewEmisData!$D:$D, ED$6)</f>
        <v>1.54314271118329E-2</v>
      </c>
      <c r="EE171" s="1111">
        <f>SUMIFS(NewEmisData!I:I, NewEmisData!$A:$A, $G171, NewEmisData!$B:$B, $A171, NewEmisData!$C:$C, $H171, NewEmisData!$D:$D, EE$6)</f>
        <v>1.4729599669098301E-2</v>
      </c>
      <c r="EF171" s="1111">
        <f>SUMIFS(NewEmisData!J:J, NewEmisData!$A:$A, $G171, NewEmisData!$B:$B, $A171, NewEmisData!$C:$C, $H171, NewEmisData!$D:$D, EF$6)</f>
        <v>1.46060589575112E-2</v>
      </c>
      <c r="EG171" s="1111">
        <f>SUMIFS(NewEmisData!K:K, NewEmisData!$A:$A, $G171, NewEmisData!$B:$B, $A171, NewEmisData!$C:$C, $H171, NewEmisData!$D:$D, EG$6)</f>
        <v>1.4662699121929501E-2</v>
      </c>
      <c r="EH171" s="1111">
        <f>SUMIFS(NewEmisData!L:L, NewEmisData!$A:$A, $G171, NewEmisData!$B:$B, $A171, NewEmisData!$C:$C, $H171, NewEmisData!$D:$D, EH$6)</f>
        <v>1.46806856975942E-2</v>
      </c>
      <c r="EI171" s="1111">
        <f>SUMIFS(NewEmisData!M:M, NewEmisData!$A:$A, $G171, NewEmisData!$B:$B, $A171, NewEmisData!$C:$C, $H171, NewEmisData!$D:$D, EI$6)</f>
        <v>1.4680172285676999E-2</v>
      </c>
      <c r="EJ171" s="1111">
        <f t="shared" si="256"/>
        <v>1.4680172285676999E-2</v>
      </c>
      <c r="EK171" s="1111">
        <f t="shared" si="257"/>
        <v>1241.60800343195</v>
      </c>
      <c r="EL171" s="1111">
        <f t="shared" si="269"/>
        <v>1241.60800343195</v>
      </c>
      <c r="EM171" s="1111">
        <f t="shared" si="270"/>
        <v>1243.08928499321</v>
      </c>
      <c r="EN171" s="1111">
        <f t="shared" si="271"/>
        <v>1559.7377784626201</v>
      </c>
      <c r="EO171" s="1111">
        <f t="shared" si="272"/>
        <v>1531.1148438857699</v>
      </c>
      <c r="EP171" s="1111">
        <f t="shared" si="273"/>
        <v>1508.7877657548299</v>
      </c>
      <c r="EQ171" s="1111">
        <f t="shared" si="274"/>
        <v>1502.9671636844901</v>
      </c>
      <c r="ER171" s="1111">
        <f t="shared" si="275"/>
        <v>1501.4395842993699</v>
      </c>
      <c r="ES171" s="1111">
        <f t="shared" si="276"/>
        <v>1501.15044041939</v>
      </c>
      <c r="ET171" s="1111">
        <f t="shared" si="277"/>
        <v>1501.0860905019599</v>
      </c>
      <c r="EU171" s="1111">
        <f t="shared" si="278"/>
        <v>1501.0860905019599</v>
      </c>
      <c r="EV171" s="1111">
        <f t="shared" si="258"/>
        <v>4.1625657526614797</v>
      </c>
      <c r="EW171" s="1111">
        <f t="shared" si="259"/>
        <v>4.1625657526614797</v>
      </c>
      <c r="EX171" s="1111">
        <f t="shared" si="260"/>
        <v>2.1578815518962502</v>
      </c>
      <c r="EY171" s="1111">
        <f t="shared" si="261"/>
        <v>1.30274636086792</v>
      </c>
      <c r="EZ171" s="1111">
        <f t="shared" si="262"/>
        <v>0.94297953696777803</v>
      </c>
      <c r="FA171" s="1111">
        <f t="shared" si="263"/>
        <v>0.78815258031283297</v>
      </c>
      <c r="FB171" s="1111">
        <f t="shared" si="264"/>
        <v>0.71799894873057002</v>
      </c>
      <c r="FC171" s="1111">
        <f t="shared" si="265"/>
        <v>0.69737659475245495</v>
      </c>
      <c r="FD171" s="1111">
        <f t="shared" si="266"/>
        <v>0.69289982108465797</v>
      </c>
      <c r="FE171" s="1111">
        <f t="shared" si="267"/>
        <v>0.69155412460857602</v>
      </c>
      <c r="FF171" s="1111">
        <f t="shared" si="268"/>
        <v>0.69155412460857602</v>
      </c>
      <c r="FG171" s="1111">
        <f t="shared" si="193"/>
        <v>2.1484176158971701E-2</v>
      </c>
      <c r="FH171" s="1111">
        <f t="shared" si="194"/>
        <v>2.1484176158971701E-2</v>
      </c>
      <c r="FI171" s="1111">
        <f t="shared" si="195"/>
        <v>2.1509817808633099E-2</v>
      </c>
      <c r="FJ171" s="1111">
        <f t="shared" si="196"/>
        <v>2.2375249866597498E-2</v>
      </c>
      <c r="FK171" s="1111">
        <f t="shared" si="197"/>
        <v>2.1964641718838499E-2</v>
      </c>
      <c r="FL171" s="1111">
        <f t="shared" si="198"/>
        <v>2.1644351533378101E-2</v>
      </c>
      <c r="FM171" s="1111">
        <f t="shared" si="199"/>
        <v>2.1560851881015301E-2</v>
      </c>
      <c r="FN171" s="1111">
        <f t="shared" si="200"/>
        <v>2.1538927343366401E-2</v>
      </c>
      <c r="FO171" s="1111">
        <f t="shared" si="201"/>
        <v>2.1534775827773901E-2</v>
      </c>
      <c r="FP171" s="1111">
        <f t="shared" si="202"/>
        <v>2.15338577914834E-2</v>
      </c>
      <c r="FQ171" s="1111">
        <f t="shared" si="203"/>
        <v>2.15338577914834E-2</v>
      </c>
      <c r="FR171" s="1111">
        <f t="shared" si="230"/>
        <v>0.205584171442245</v>
      </c>
      <c r="FS171" s="1111">
        <f t="shared" si="231"/>
        <v>0.205584171442245</v>
      </c>
      <c r="FT171" s="1111">
        <f t="shared" si="232"/>
        <v>0.200703686535146</v>
      </c>
      <c r="FU171" s="1111">
        <f t="shared" si="233"/>
        <v>0.298432150084874</v>
      </c>
      <c r="FV171" s="1111">
        <f t="shared" si="234"/>
        <v>0.29892439751761801</v>
      </c>
      <c r="FW171" s="1111">
        <f t="shared" si="235"/>
        <v>0.29942291421429901</v>
      </c>
      <c r="FX171" s="1111">
        <f t="shared" si="236"/>
        <v>0.29972619462258399</v>
      </c>
      <c r="FY171" s="1111">
        <f t="shared" si="237"/>
        <v>0.29988559432946199</v>
      </c>
      <c r="FZ171" s="1111">
        <f t="shared" si="238"/>
        <v>0.29993582308119998</v>
      </c>
      <c r="GA171" s="1111">
        <f t="shared" si="239"/>
        <v>0.299955436334361</v>
      </c>
      <c r="GB171" s="1111">
        <f t="shared" si="240"/>
        <v>0.299955436334361</v>
      </c>
      <c r="GC171" s="1111">
        <f t="shared" si="279"/>
        <v>3.9334690996451198E-2</v>
      </c>
      <c r="GD171" s="1111">
        <f t="shared" si="280"/>
        <v>3.9334690996451198E-2</v>
      </c>
      <c r="GE171" s="1111">
        <f t="shared" si="281"/>
        <v>3.4631534960308699E-2</v>
      </c>
      <c r="GF171" s="1111">
        <f t="shared" si="282"/>
        <v>4.5448906099466301E-2</v>
      </c>
      <c r="GG171" s="1111">
        <f t="shared" si="283"/>
        <v>4.5413592229635001E-2</v>
      </c>
      <c r="GH171" s="1111">
        <f t="shared" si="284"/>
        <v>4.5762266359602698E-2</v>
      </c>
      <c r="GI171" s="1111">
        <f t="shared" si="285"/>
        <v>4.6004282113656897E-2</v>
      </c>
      <c r="GJ171" s="1111">
        <f t="shared" si="286"/>
        <v>4.6139436899626303E-2</v>
      </c>
      <c r="GK171" s="1111">
        <f t="shared" si="287"/>
        <v>4.6182051454262997E-2</v>
      </c>
      <c r="GL171" s="1111">
        <f t="shared" si="288"/>
        <v>4.6199279391049702E-2</v>
      </c>
      <c r="GM171" s="1111">
        <f t="shared" si="289"/>
        <v>4.6199279391049702E-2</v>
      </c>
    </row>
    <row r="172" spans="1:195" x14ac:dyDescent="0.2">
      <c r="A172" s="1071" t="s">
        <v>184</v>
      </c>
      <c r="B172" s="1071" t="str">
        <f>Technologies!C117</f>
        <v>TMGSLAH</v>
      </c>
      <c r="C172" s="1071" t="str">
        <f>Technologies!D117</f>
        <v>Medium Duty Truck, Advanced Hybrid Gasoline</v>
      </c>
      <c r="D172" s="1071" t="str">
        <f>NewTech!D69</f>
        <v>bn-vmt, bn-vmt/a</v>
      </c>
      <c r="E172" s="1071" t="str">
        <f>NewTech!E70</f>
        <v>TMGSL</v>
      </c>
      <c r="F172" s="1071" t="str">
        <f>NewTech!F70</f>
        <v>TM</v>
      </c>
      <c r="G172" s="1110" t="s">
        <v>503</v>
      </c>
      <c r="H172" s="1110" t="s">
        <v>500</v>
      </c>
      <c r="I172" s="1112">
        <v>1</v>
      </c>
      <c r="J172" s="1111" t="str">
        <f t="shared" si="37"/>
        <v>Medium duty-GSL</v>
      </c>
      <c r="K172" s="1111">
        <f>SUMIFS(NewEmisData!E:E, NewEmisData!$A:$A, $G172, NewEmisData!$B:$B, $A172, NewEmisData!$C:$C, $H172, NewEmisData!$D:$D, K$6)</f>
        <v>1125.6531994791601</v>
      </c>
      <c r="L172" s="1111">
        <f>SUMIFS(NewEmisData!F:F, NewEmisData!$A:$A, $G172, NewEmisData!$B:$B, $A172, NewEmisData!$C:$C, $H172, NewEmisData!$D:$D, L$6)</f>
        <v>1129.51230354672</v>
      </c>
      <c r="M172" s="1111">
        <f>SUMIFS(NewEmisData!G:G, NewEmisData!$A:$A, $G172, NewEmisData!$B:$B, $A172, NewEmisData!$C:$C, $H172, NewEmisData!$D:$D, M$6)</f>
        <v>1334.28865010909</v>
      </c>
      <c r="N172" s="1111">
        <f>SUMIFS(NewEmisData!H:H, NewEmisData!$A:$A, $G172, NewEmisData!$B:$B, $A172, NewEmisData!$C:$C, $H172, NewEmisData!$D:$D, N$6)</f>
        <v>1309.4477161980601</v>
      </c>
      <c r="O172" s="1111">
        <f>SUMIFS(NewEmisData!I:I, NewEmisData!$A:$A, $G172, NewEmisData!$B:$B, $A172, NewEmisData!$C:$C, $H172, NewEmisData!$D:$D, O$6)</f>
        <v>1290.2789800169201</v>
      </c>
      <c r="P172" s="1111">
        <f>SUMIFS(NewEmisData!J:J, NewEmisData!$A:$A, $G172, NewEmisData!$B:$B, $A172, NewEmisData!$C:$C, $H172, NewEmisData!$D:$D, P$6)</f>
        <v>1285.24459420581</v>
      </c>
      <c r="Q172" s="1111">
        <f>SUMIFS(NewEmisData!K:K, NewEmisData!$A:$A, $G172, NewEmisData!$B:$B, $A172, NewEmisData!$C:$C, $H172, NewEmisData!$D:$D, Q$6)</f>
        <v>1283.9086141387199</v>
      </c>
      <c r="R172" s="1111">
        <f>SUMIFS(NewEmisData!L:L, NewEmisData!$A:$A, $G172, NewEmisData!$B:$B, $A172, NewEmisData!$C:$C, $H172, NewEmisData!$D:$D, R$6)</f>
        <v>1283.64917953798</v>
      </c>
      <c r="S172" s="1111">
        <f>SUMIFS(NewEmisData!M:M, NewEmisData!$A:$A, $G172, NewEmisData!$B:$B, $A172, NewEmisData!$C:$C, $H172, NewEmisData!$D:$D, S$6)</f>
        <v>1283.5882413572699</v>
      </c>
      <c r="T172" s="1111">
        <f t="shared" si="290"/>
        <v>1283.5882413572699</v>
      </c>
      <c r="U172" s="1111">
        <f>SUMIFS(NewEmisData!E:E, NewEmisData!$A:$A, $G172, NewEmisData!$B:$B, $A172, NewEmisData!$C:$C, $H172, NewEmisData!$D:$D, U$6)</f>
        <v>3.9696963814368802</v>
      </c>
      <c r="V172" s="1111">
        <f>SUMIFS(NewEmisData!F:F, NewEmisData!$A:$A, $G172, NewEmisData!$B:$B, $A172, NewEmisData!$C:$C, $H172, NewEmisData!$D:$D, V$6)</f>
        <v>2.1292045893653802</v>
      </c>
      <c r="W172" s="1111">
        <f>SUMIFS(NewEmisData!G:G, NewEmisData!$A:$A, $G172, NewEmisData!$B:$B, $A172, NewEmisData!$C:$C, $H172, NewEmisData!$D:$D, W$6)</f>
        <v>1.1780347139767999</v>
      </c>
      <c r="X172" s="1111">
        <f>SUMIFS(NewEmisData!H:H, NewEmisData!$A:$A, $G172, NewEmisData!$B:$B, $A172, NewEmisData!$C:$C, $H172, NewEmisData!$D:$D, X$6)</f>
        <v>0.85616837461707895</v>
      </c>
      <c r="Y172" s="1111">
        <f>SUMIFS(NewEmisData!I:I, NewEmisData!$A:$A, $G172, NewEmisData!$B:$B, $A172, NewEmisData!$C:$C, $H172, NewEmisData!$D:$D, Y$6)</f>
        <v>0.71679914036882397</v>
      </c>
      <c r="Z172" s="1111">
        <f>SUMIFS(NewEmisData!J:J, NewEmisData!$A:$A, $G172, NewEmisData!$B:$B, $A172, NewEmisData!$C:$C, $H172, NewEmisData!$D:$D, Z$6)</f>
        <v>0.653734873709785</v>
      </c>
      <c r="AA172" s="1111">
        <f>SUMIFS(NewEmisData!K:K, NewEmisData!$A:$A, $G172, NewEmisData!$B:$B, $A172, NewEmisData!$C:$C, $H172, NewEmisData!$D:$D, AA$6)</f>
        <v>0.63529466077774999</v>
      </c>
      <c r="AB172" s="1111">
        <f>SUMIFS(NewEmisData!L:L, NewEmisData!$A:$A, $G172, NewEmisData!$B:$B, $A172, NewEmisData!$C:$C, $H172, NewEmisData!$D:$D, AB$6)</f>
        <v>0.63126465139316401</v>
      </c>
      <c r="AC172" s="1111">
        <f>SUMIFS(NewEmisData!M:M, NewEmisData!$A:$A, $G172, NewEmisData!$B:$B, $A172, NewEmisData!$C:$C, $H172, NewEmisData!$D:$D, AC$6)</f>
        <v>0.63008499106767202</v>
      </c>
      <c r="AD172" s="1111">
        <f t="shared" si="229"/>
        <v>0.63008499106767202</v>
      </c>
      <c r="AE172" s="1111">
        <f t="shared" si="241"/>
        <v>1.94777471026268E-2</v>
      </c>
      <c r="AF172" s="1111">
        <f>SUMIFS(NewEmisData!E:E, NewEmisData!$A:$A, $G172, NewEmisData!$B:$B, $A172, NewEmisData!$C:$C, $H172, NewEmisData!$D:$D, AF$6)</f>
        <v>1.94777471026268E-2</v>
      </c>
      <c r="AG172" s="1111">
        <f>SUMIFS(NewEmisData!F:F, NewEmisData!$A:$A, $G172, NewEmisData!$B:$B, $A172, NewEmisData!$C:$C, $H172, NewEmisData!$D:$D, AG$6)</f>
        <v>1.95445323749391E-2</v>
      </c>
      <c r="AH172" s="1111">
        <f>SUMIFS(NewEmisData!G:G, NewEmisData!$A:$A, $G172, NewEmisData!$B:$B, $A172, NewEmisData!$C:$C, $H172, NewEmisData!$D:$D, AH$6)</f>
        <v>1.9141058004132301E-2</v>
      </c>
      <c r="AI172" s="1111">
        <f>SUMIFS(NewEmisData!H:H, NewEmisData!$A:$A, $G172, NewEmisData!$B:$B, $A172, NewEmisData!$C:$C, $H172, NewEmisData!$D:$D, AI$6)</f>
        <v>1.8784705993390102E-2</v>
      </c>
      <c r="AJ172" s="1111">
        <f>SUMIFS(NewEmisData!I:I, NewEmisData!$A:$A, $G172, NewEmisData!$B:$B, $A172, NewEmisData!$C:$C, $H172, NewEmisData!$D:$D, AJ$6)</f>
        <v>1.85097249042331E-2</v>
      </c>
      <c r="AK172" s="1111">
        <f>SUMIFS(NewEmisData!J:J, NewEmisData!$A:$A, $G172, NewEmisData!$B:$B, $A172, NewEmisData!$C:$C, $H172, NewEmisData!$D:$D, AK$6)</f>
        <v>1.8437510106673601E-2</v>
      </c>
      <c r="AL172" s="1111">
        <f>SUMIFS(NewEmisData!K:K, NewEmisData!$A:$A, $G172, NewEmisData!$B:$B, $A172, NewEmisData!$C:$C, $H172, NewEmisData!$D:$D, AL$6)</f>
        <v>1.8418333813220399E-2</v>
      </c>
      <c r="AM172" s="1111">
        <f>SUMIFS(NewEmisData!L:L, NewEmisData!$A:$A, $G172, NewEmisData!$B:$B, $A172, NewEmisData!$C:$C, $H172, NewEmisData!$D:$D, AM$6)</f>
        <v>1.8414616467845198E-2</v>
      </c>
      <c r="AN172" s="1111">
        <f>SUMIFS(NewEmisData!M:M, NewEmisData!$A:$A, $G172, NewEmisData!$B:$B, $A172, NewEmisData!$C:$C, $H172, NewEmisData!$D:$D, AN$6)</f>
        <v>1.84137339980028E-2</v>
      </c>
      <c r="AO172" s="1111">
        <f t="shared" si="242"/>
        <v>1.84137339980028E-2</v>
      </c>
      <c r="AP172" s="1111">
        <f t="shared" si="243"/>
        <v>0.16277138632680399</v>
      </c>
      <c r="AQ172" s="1111">
        <f>SUMIFS(NewEmisData!E:E, NewEmisData!$A:$A, $G172, NewEmisData!$B:$B, $A172, NewEmisData!$C:$C, $H172, NewEmisData!$D:$D, AQ$6)</f>
        <v>0.16277138632680399</v>
      </c>
      <c r="AR172" s="1111">
        <f>SUMIFS(NewEmisData!F:F, NewEmisData!$A:$A, $G172, NewEmisData!$B:$B, $A172, NewEmisData!$C:$C, $H172, NewEmisData!$D:$D, AR$6)</f>
        <v>0.15749210557477999</v>
      </c>
      <c r="AS172" s="1111">
        <f>SUMIFS(NewEmisData!G:G, NewEmisData!$A:$A, $G172, NewEmisData!$B:$B, $A172, NewEmisData!$C:$C, $H172, NewEmisData!$D:$D, AS$6)</f>
        <v>0.22213105998277299</v>
      </c>
      <c r="AT172" s="1111">
        <f>SUMIFS(NewEmisData!H:H, NewEmisData!$A:$A, $G172, NewEmisData!$B:$B, $A172, NewEmisData!$C:$C, $H172, NewEmisData!$D:$D, AT$6)</f>
        <v>0.22256905483131201</v>
      </c>
      <c r="AU172" s="1111">
        <f>SUMIFS(NewEmisData!I:I, NewEmisData!$A:$A, $G172, NewEmisData!$B:$B, $A172, NewEmisData!$C:$C, $H172, NewEmisData!$D:$D, AU$6)</f>
        <v>0.223017594102533</v>
      </c>
      <c r="AV172" s="1111">
        <f>SUMIFS(NewEmisData!J:J, NewEmisData!$A:$A, $G172, NewEmisData!$B:$B, $A172, NewEmisData!$C:$C, $H172, NewEmisData!$D:$D, AV$6)</f>
        <v>0.22328437261219899</v>
      </c>
      <c r="AW172" s="1111">
        <f>SUMIFS(NewEmisData!K:K, NewEmisData!$A:$A, $G172, NewEmisData!$B:$B, $A172, NewEmisData!$C:$C, $H172, NewEmisData!$D:$D, AW$6)</f>
        <v>0.22342028408578701</v>
      </c>
      <c r="AX172" s="1111">
        <f>SUMIFS(NewEmisData!L:L, NewEmisData!$A:$A, $G172, NewEmisData!$B:$B, $A172, NewEmisData!$C:$C, $H172, NewEmisData!$D:$D, AX$6)</f>
        <v>0.22346164064811899</v>
      </c>
      <c r="AY172" s="1111">
        <f>SUMIFS(NewEmisData!M:M, NewEmisData!$A:$A, $G172, NewEmisData!$B:$B, $A172, NewEmisData!$C:$C, $H172, NewEmisData!$D:$D, AY$6)</f>
        <v>0.22347689751407299</v>
      </c>
      <c r="AZ172" s="1111">
        <f t="shared" si="244"/>
        <v>0.22347689751407299</v>
      </c>
      <c r="BA172" s="1111">
        <f t="shared" si="245"/>
        <v>3.3085277901506199E-2</v>
      </c>
      <c r="BB172" s="1111">
        <f>SUMIFS(NewEmisData!E:E, NewEmisData!$A:$A, $G172, NewEmisData!$B:$B, $A172, NewEmisData!$C:$C, $H172, NewEmisData!$D:$D, BB$6)</f>
        <v>3.3085277901506199E-2</v>
      </c>
      <c r="BC172" s="1111">
        <f>SUMIFS(NewEmisData!F:F, NewEmisData!$A:$A, $G172, NewEmisData!$B:$B, $A172, NewEmisData!$C:$C, $H172, NewEmisData!$D:$D, BC$6)</f>
        <v>2.8088278695018499E-2</v>
      </c>
      <c r="BD172" s="1111">
        <f>SUMIFS(NewEmisData!G:G, NewEmisData!$A:$A, $G172, NewEmisData!$B:$B, $A172, NewEmisData!$C:$C, $H172, NewEmisData!$D:$D, BD$6)</f>
        <v>3.5249470703337199E-2</v>
      </c>
      <c r="BE172" s="1111">
        <f>SUMIFS(NewEmisData!H:H, NewEmisData!$A:$A, $G172, NewEmisData!$B:$B, $A172, NewEmisData!$C:$C, $H172, NewEmisData!$D:$D, BE$6)</f>
        <v>3.5278230321982601E-2</v>
      </c>
      <c r="BF172" s="1111">
        <f>SUMIFS(NewEmisData!I:I, NewEmisData!$A:$A, $G172, NewEmisData!$B:$B, $A172, NewEmisData!$C:$C, $H172, NewEmisData!$D:$D, BF$6)</f>
        <v>3.5607078221125799E-2</v>
      </c>
      <c r="BG172" s="1111">
        <f>SUMIFS(NewEmisData!J:J, NewEmisData!$A:$A, $G172, NewEmisData!$B:$B, $A172, NewEmisData!$C:$C, $H172, NewEmisData!$D:$D, BG$6)</f>
        <v>3.5823183054303799E-2</v>
      </c>
      <c r="BH172" s="1111">
        <f>SUMIFS(NewEmisData!K:K, NewEmisData!$A:$A, $G172, NewEmisData!$B:$B, $A172, NewEmisData!$C:$C, $H172, NewEmisData!$D:$D, BH$6)</f>
        <v>3.5938864982074499E-2</v>
      </c>
      <c r="BI172" s="1111">
        <f>SUMIFS(NewEmisData!L:L, NewEmisData!$A:$A, $G172, NewEmisData!$B:$B, $A172, NewEmisData!$C:$C, $H172, NewEmisData!$D:$D, BI$6)</f>
        <v>3.5974176634088799E-2</v>
      </c>
      <c r="BJ172" s="1111">
        <f>SUMIFS(NewEmisData!M:M, NewEmisData!$A:$A, $G172, NewEmisData!$B:$B, $A172, NewEmisData!$C:$C, $H172, NewEmisData!$D:$D, BJ$6)</f>
        <v>3.59876115686096E-2</v>
      </c>
      <c r="BK172" s="1111">
        <f t="shared" si="246"/>
        <v>3.59876115686096E-2</v>
      </c>
      <c r="BL172" s="1111">
        <f t="shared" si="247"/>
        <v>30.519264024443402</v>
      </c>
      <c r="BM172" s="1111">
        <f>SUMIFS(NewEmisData!E:E, NewEmisData!$A:$A, $G172, NewEmisData!$B:$B, $A172, NewEmisData!$C:$C, $H172, NewEmisData!$D:$D, BM$6)</f>
        <v>30.519264024443402</v>
      </c>
      <c r="BN172" s="1111">
        <f>SUMIFS(NewEmisData!F:F, NewEmisData!$A:$A, $G172, NewEmisData!$B:$B, $A172, NewEmisData!$C:$C, $H172, NewEmisData!$D:$D, BN$6)</f>
        <v>17.7548638520019</v>
      </c>
      <c r="BO172" s="1111">
        <f>SUMIFS(NewEmisData!G:G, NewEmisData!$A:$A, $G172, NewEmisData!$B:$B, $A172, NewEmisData!$C:$C, $H172, NewEmisData!$D:$D, BO$6)</f>
        <v>11.769795592664099</v>
      </c>
      <c r="BP172" s="1111">
        <f>SUMIFS(NewEmisData!H:H, NewEmisData!$A:$A, $G172, NewEmisData!$B:$B, $A172, NewEmisData!$C:$C, $H172, NewEmisData!$D:$D, BP$6)</f>
        <v>10.027249561844799</v>
      </c>
      <c r="BQ172" s="1111">
        <f>SUMIFS(NewEmisData!I:I, NewEmisData!$A:$A, $G172, NewEmisData!$B:$B, $A172, NewEmisData!$C:$C, $H172, NewEmisData!$D:$D, BQ$6)</f>
        <v>9.5164175607240296</v>
      </c>
      <c r="BR172" s="1111">
        <f>SUMIFS(NewEmisData!J:J, NewEmisData!$A:$A, $G172, NewEmisData!$B:$B, $A172, NewEmisData!$C:$C, $H172, NewEmisData!$D:$D, BR$6)</f>
        <v>9.3871226242105301</v>
      </c>
      <c r="BS172" s="1111">
        <f>SUMIFS(NewEmisData!K:K, NewEmisData!$A:$A, $G172, NewEmisData!$B:$B, $A172, NewEmisData!$C:$C, $H172, NewEmisData!$D:$D, BS$6)</f>
        <v>9.4290563886524001</v>
      </c>
      <c r="BT172" s="1111">
        <f>SUMIFS(NewEmisData!L:L, NewEmisData!$A:$A, $G172, NewEmisData!$B:$B, $A172, NewEmisData!$C:$C, $H172, NewEmisData!$D:$D, BT$6)</f>
        <v>9.4677016030619807</v>
      </c>
      <c r="BU172" s="1111">
        <f>SUMIFS(NewEmisData!M:M, NewEmisData!$A:$A, $G172, NewEmisData!$B:$B, $A172, NewEmisData!$C:$C, $H172, NewEmisData!$D:$D, BU$6)</f>
        <v>9.4911287930921109</v>
      </c>
      <c r="BV172" s="1111">
        <f t="shared" si="248"/>
        <v>9.4911287930921109</v>
      </c>
      <c r="BW172" s="1111">
        <f t="shared" si="249"/>
        <v>1.4331518530549801</v>
      </c>
      <c r="BX172" s="1111">
        <f>SUMIFS(NewEmisData!E:E, NewEmisData!$A:$A, $G172, NewEmisData!$B:$B, $A172, NewEmisData!$C:$C, $H172, NewEmisData!$D:$D, BX$6)</f>
        <v>1.4331518530549801</v>
      </c>
      <c r="BY172" s="1111">
        <f>SUMIFS(NewEmisData!F:F, NewEmisData!$A:$A, $G172, NewEmisData!$B:$B, $A172, NewEmisData!$C:$C, $H172, NewEmisData!$D:$D, BY$6)</f>
        <v>0.82554141247932</v>
      </c>
      <c r="BZ172" s="1111">
        <f>SUMIFS(NewEmisData!G:G, NewEmisData!$A:$A, $G172, NewEmisData!$B:$B, $A172, NewEmisData!$C:$C, $H172, NewEmisData!$D:$D, BZ$6)</f>
        <v>0.52934059761176699</v>
      </c>
      <c r="CA172" s="1111">
        <f>SUMIFS(NewEmisData!H:H, NewEmisData!$A:$A, $G172, NewEmisData!$B:$B, $A172, NewEmisData!$C:$C, $H172, NewEmisData!$D:$D, CA$6)</f>
        <v>0.41820996508437402</v>
      </c>
      <c r="CB172" s="1111">
        <f>SUMIFS(NewEmisData!I:I, NewEmisData!$A:$A, $G172, NewEmisData!$B:$B, $A172, NewEmisData!$C:$C, $H172, NewEmisData!$D:$D, CB$6)</f>
        <v>0.37730109294103098</v>
      </c>
      <c r="CC172" s="1111">
        <f>SUMIFS(NewEmisData!J:J, NewEmisData!$A:$A, $G172, NewEmisData!$B:$B, $A172, NewEmisData!$C:$C, $H172, NewEmisData!$D:$D, CC$6)</f>
        <v>0.36080370260189998</v>
      </c>
      <c r="CD172" s="1111">
        <f>SUMIFS(NewEmisData!K:K, NewEmisData!$A:$A, $G172, NewEmisData!$B:$B, $A172, NewEmisData!$C:$C, $H172, NewEmisData!$D:$D, CD$6)</f>
        <v>0.35854771789443002</v>
      </c>
      <c r="CE172" s="1111">
        <f>SUMIFS(NewEmisData!L:L, NewEmisData!$A:$A, $G172, NewEmisData!$B:$B, $A172, NewEmisData!$C:$C, $H172, NewEmisData!$D:$D, CE$6)</f>
        <v>0.35854167304512202</v>
      </c>
      <c r="CF172" s="1111">
        <f>SUMIFS(NewEmisData!M:M, NewEmisData!$A:$A, $G172, NewEmisData!$B:$B, $A172, NewEmisData!$C:$C, $H172, NewEmisData!$D:$D, CF$6)</f>
        <v>0.35855864650360297</v>
      </c>
      <c r="CG172" s="1111">
        <f t="shared" si="250"/>
        <v>0.35855864650360297</v>
      </c>
      <c r="CH172" s="1111">
        <f t="shared" si="251"/>
        <v>4.3399426569524099E-2</v>
      </c>
      <c r="CI172" s="1111">
        <f>SUMIFS(NewEmisData!E:E, NewEmisData!$A:$A, $G172, NewEmisData!$B:$B, $A172, NewEmisData!$C:$C, $H172, NewEmisData!$D:$D, CI$6)</f>
        <v>4.3399426569524099E-2</v>
      </c>
      <c r="CJ172" s="1111">
        <f>SUMIFS(NewEmisData!F:F, NewEmisData!$A:$A, $G172, NewEmisData!$B:$B, $A172, NewEmisData!$C:$C, $H172, NewEmisData!$D:$D, CJ$6)</f>
        <v>4.3414607751202899E-2</v>
      </c>
      <c r="CK172" s="1111">
        <f>SUMIFS(NewEmisData!G:G, NewEmisData!$A:$A, $G172, NewEmisData!$B:$B, $A172, NewEmisData!$C:$C, $H172, NewEmisData!$D:$D, CK$6)</f>
        <v>5.4993981735290499E-2</v>
      </c>
      <c r="CL172" s="1111">
        <f>SUMIFS(NewEmisData!H:H, NewEmisData!$A:$A, $G172, NewEmisData!$B:$B, $A172, NewEmisData!$C:$C, $H172, NewEmisData!$D:$D, CL$6)</f>
        <v>5.4993786232210601E-2</v>
      </c>
      <c r="CM172" s="1111">
        <f>SUMIFS(NewEmisData!I:I, NewEmisData!$A:$A, $G172, NewEmisData!$B:$B, $A172, NewEmisData!$C:$C, $H172, NewEmisData!$D:$D, CM$6)</f>
        <v>5.49943755829881E-2</v>
      </c>
      <c r="CN172" s="1111">
        <f>SUMIFS(NewEmisData!J:J, NewEmisData!$A:$A, $G172, NewEmisData!$B:$B, $A172, NewEmisData!$C:$C, $H172, NewEmisData!$D:$D, CN$6)</f>
        <v>5.4994520767338101E-2</v>
      </c>
      <c r="CO172" s="1111">
        <f>SUMIFS(NewEmisData!K:K, NewEmisData!$A:$A, $G172, NewEmisData!$B:$B, $A172, NewEmisData!$C:$C, $H172, NewEmisData!$D:$D, CO$6)</f>
        <v>5.4994541597587002E-2</v>
      </c>
      <c r="CP172" s="1111">
        <f>SUMIFS(NewEmisData!L:L, NewEmisData!$A:$A, $G172, NewEmisData!$B:$B, $A172, NewEmisData!$C:$C, $H172, NewEmisData!$D:$D, CP$6)</f>
        <v>5.4994553673977098E-2</v>
      </c>
      <c r="CQ172" s="1111">
        <f>SUMIFS(NewEmisData!M:M, NewEmisData!$A:$A, $G172, NewEmisData!$B:$B, $A172, NewEmisData!$C:$C, $H172, NewEmisData!$D:$D, CQ$6)</f>
        <v>5.4994550577738499E-2</v>
      </c>
      <c r="CR172" s="1111">
        <f t="shared" si="252"/>
        <v>5.4994550577738499E-2</v>
      </c>
      <c r="CS172" s="1111">
        <f t="shared" si="253"/>
        <v>4.8977354146498502E-2</v>
      </c>
      <c r="CT172" s="1111">
        <f>SUMIFS(NewEmisData!E:E, NewEmisData!$A:$A, $G172, NewEmisData!$B:$B, $A172, NewEmisData!$C:$C, $H172, NewEmisData!$D:$D, CT$6)</f>
        <v>4.8977354146498502E-2</v>
      </c>
      <c r="CU172" s="1111">
        <f>SUMIFS(NewEmisData!F:F, NewEmisData!$A:$A, $G172, NewEmisData!$B:$B, $A172, NewEmisData!$C:$C, $H172, NewEmisData!$D:$D, CU$6)</f>
        <v>2.8470713504453099E-2</v>
      </c>
      <c r="CV172" s="1111">
        <f>SUMIFS(NewEmisData!G:G, NewEmisData!$A:$A, $G172, NewEmisData!$B:$B, $A172, NewEmisData!$C:$C, $H172, NewEmisData!$D:$D, CV$6)</f>
        <v>2.1189978152056602E-2</v>
      </c>
      <c r="CW172" s="1111">
        <f>SUMIFS(NewEmisData!H:H, NewEmisData!$A:$A, $G172, NewEmisData!$B:$B, $A172, NewEmisData!$C:$C, $H172, NewEmisData!$D:$D, CW$6)</f>
        <v>1.46389058287662E-2</v>
      </c>
      <c r="CX172" s="1111">
        <f>SUMIFS(NewEmisData!I:I, NewEmisData!$A:$A, $G172, NewEmisData!$B:$B, $A172, NewEmisData!$C:$C, $H172, NewEmisData!$D:$D, CX$6)</f>
        <v>1.28792587479717E-2</v>
      </c>
      <c r="CY172" s="1111">
        <f>SUMIFS(NewEmisData!J:J, NewEmisData!$A:$A, $G172, NewEmisData!$B:$B, $A172, NewEmisData!$C:$C, $H172, NewEmisData!$D:$D, CY$6)</f>
        <v>1.23921680979683E-2</v>
      </c>
      <c r="CZ172" s="1111">
        <f>SUMIFS(NewEmisData!K:K, NewEmisData!$A:$A, $G172, NewEmisData!$B:$B, $A172, NewEmisData!$C:$C, $H172, NewEmisData!$D:$D, CZ$6)</f>
        <v>1.23336041545112E-2</v>
      </c>
      <c r="DA172" s="1111">
        <f>SUMIFS(NewEmisData!L:L, NewEmisData!$A:$A, $G172, NewEmisData!$B:$B, $A172, NewEmisData!$C:$C, $H172, NewEmisData!$D:$D, DA$6)</f>
        <v>1.22985211601931E-2</v>
      </c>
      <c r="DB172" s="1111">
        <f>SUMIFS(NewEmisData!M:M, NewEmisData!$A:$A, $G172, NewEmisData!$B:$B, $A172, NewEmisData!$C:$C, $H172, NewEmisData!$D:$D, DB$6)</f>
        <v>1.2317402931661E-2</v>
      </c>
      <c r="DC172" s="1111">
        <f t="shared" si="254"/>
        <v>1.2317402931661E-2</v>
      </c>
      <c r="DD172" s="1111"/>
      <c r="DE172" s="1111"/>
      <c r="DF172" s="1111"/>
      <c r="DG172" s="1111"/>
      <c r="DH172" s="1111"/>
      <c r="DI172" s="1111"/>
      <c r="DJ172" s="1111"/>
      <c r="DK172" s="1111"/>
      <c r="DL172" s="1111"/>
      <c r="DM172" s="1111"/>
      <c r="DN172" s="1111"/>
      <c r="DO172" s="1111"/>
      <c r="DP172" s="1111"/>
      <c r="DQ172" s="1111"/>
      <c r="DR172" s="1111"/>
      <c r="DS172" s="1111"/>
      <c r="DT172" s="1111"/>
      <c r="DU172" s="1111"/>
      <c r="DV172" s="1111"/>
      <c r="DW172" s="1111"/>
      <c r="DX172" s="1111"/>
      <c r="DY172" s="1111"/>
      <c r="DZ172" s="1111">
        <f t="shared" si="255"/>
        <v>3.8110257804810699E-2</v>
      </c>
      <c r="EA172" s="1111">
        <f>SUMIFS(NewEmisData!E:E, NewEmisData!$A:$A, $G172, NewEmisData!$B:$B, $A172, NewEmisData!$C:$C, $H172, NewEmisData!$D:$D, EA$6)</f>
        <v>3.8110257804810699E-2</v>
      </c>
      <c r="EB172" s="1111">
        <f>SUMIFS(NewEmisData!F:F, NewEmisData!$A:$A, $G172, NewEmisData!$B:$B, $A172, NewEmisData!$C:$C, $H172, NewEmisData!$D:$D, EB$6)</f>
        <v>2.0417199912842899E-2</v>
      </c>
      <c r="EC172" s="1111">
        <f>SUMIFS(NewEmisData!G:G, NewEmisData!$A:$A, $G172, NewEmisData!$B:$B, $A172, NewEmisData!$C:$C, $H172, NewEmisData!$D:$D, EC$6)</f>
        <v>1.30642962548774E-2</v>
      </c>
      <c r="ED172" s="1111">
        <f>SUMIFS(NewEmisData!H:H, NewEmisData!$A:$A, $G172, NewEmisData!$B:$B, $A172, NewEmisData!$C:$C, $H172, NewEmisData!$D:$D, ED$6)</f>
        <v>1.11738363859457E-2</v>
      </c>
      <c r="EE172" s="1111">
        <f>SUMIFS(NewEmisData!I:I, NewEmisData!$A:$A, $G172, NewEmisData!$B:$B, $A172, NewEmisData!$C:$C, $H172, NewEmisData!$D:$D, EE$6)</f>
        <v>1.0636123173322E-2</v>
      </c>
      <c r="EF172" s="1111">
        <f>SUMIFS(NewEmisData!J:J, NewEmisData!$A:$A, $G172, NewEmisData!$B:$B, $A172, NewEmisData!$C:$C, $H172, NewEmisData!$D:$D, EF$6)</f>
        <v>1.0535248987316E-2</v>
      </c>
      <c r="EG172" s="1111">
        <f>SUMIFS(NewEmisData!K:K, NewEmisData!$A:$A, $G172, NewEmisData!$B:$B, $A172, NewEmisData!$C:$C, $H172, NewEmisData!$D:$D, EG$6)</f>
        <v>1.0571182579202899E-2</v>
      </c>
      <c r="EH172" s="1111">
        <f>SUMIFS(NewEmisData!L:L, NewEmisData!$A:$A, $G172, NewEmisData!$B:$B, $A172, NewEmisData!$C:$C, $H172, NewEmisData!$D:$D, EH$6)</f>
        <v>1.05827805921651E-2</v>
      </c>
      <c r="EI172" s="1111">
        <f>SUMIFS(NewEmisData!M:M, NewEmisData!$A:$A, $G172, NewEmisData!$B:$B, $A172, NewEmisData!$C:$C, $H172, NewEmisData!$D:$D, EI$6)</f>
        <v>1.05816969285468E-2</v>
      </c>
      <c r="EJ172" s="1111">
        <f t="shared" si="256"/>
        <v>1.05816969285468E-2</v>
      </c>
      <c r="EK172" s="1111">
        <f t="shared" si="257"/>
        <v>1125.6531994791601</v>
      </c>
      <c r="EL172" s="1111">
        <f t="shared" si="269"/>
        <v>1125.6531994791601</v>
      </c>
      <c r="EM172" s="1111">
        <f t="shared" si="270"/>
        <v>1129.51230354672</v>
      </c>
      <c r="EN172" s="1111">
        <f t="shared" si="271"/>
        <v>1334.28865010909</v>
      </c>
      <c r="EO172" s="1111">
        <f t="shared" si="272"/>
        <v>1309.4477161980601</v>
      </c>
      <c r="EP172" s="1111">
        <f t="shared" si="273"/>
        <v>1290.2789800169201</v>
      </c>
      <c r="EQ172" s="1111">
        <f t="shared" si="274"/>
        <v>1285.24459420581</v>
      </c>
      <c r="ER172" s="1111">
        <f t="shared" si="275"/>
        <v>1283.9086141387199</v>
      </c>
      <c r="ES172" s="1111">
        <f t="shared" si="276"/>
        <v>1283.64917953798</v>
      </c>
      <c r="ET172" s="1111">
        <f t="shared" si="277"/>
        <v>1283.5882413572699</v>
      </c>
      <c r="EU172" s="1111">
        <f t="shared" si="278"/>
        <v>1283.5882413572699</v>
      </c>
      <c r="EV172" s="1111">
        <f t="shared" si="258"/>
        <v>3.9696963814368802</v>
      </c>
      <c r="EW172" s="1111">
        <f t="shared" si="259"/>
        <v>3.9696963814368802</v>
      </c>
      <c r="EX172" s="1111">
        <f t="shared" si="260"/>
        <v>2.1292045893653802</v>
      </c>
      <c r="EY172" s="1111">
        <f t="shared" si="261"/>
        <v>1.1780347139767999</v>
      </c>
      <c r="EZ172" s="1111">
        <f t="shared" si="262"/>
        <v>0.85616837461707895</v>
      </c>
      <c r="FA172" s="1111">
        <f t="shared" si="263"/>
        <v>0.71679914036882397</v>
      </c>
      <c r="FB172" s="1111">
        <f t="shared" si="264"/>
        <v>0.653734873709785</v>
      </c>
      <c r="FC172" s="1111">
        <f t="shared" si="265"/>
        <v>0.63529466077774999</v>
      </c>
      <c r="FD172" s="1111">
        <f t="shared" si="266"/>
        <v>0.63126465139316401</v>
      </c>
      <c r="FE172" s="1111">
        <f t="shared" si="267"/>
        <v>0.63008499106767202</v>
      </c>
      <c r="FF172" s="1111">
        <f t="shared" si="268"/>
        <v>0.63008499106767202</v>
      </c>
      <c r="FG172" s="1111">
        <f t="shared" si="193"/>
        <v>1.94777471026268E-2</v>
      </c>
      <c r="FH172" s="1111">
        <f t="shared" si="194"/>
        <v>1.94777471026268E-2</v>
      </c>
      <c r="FI172" s="1111">
        <f t="shared" si="195"/>
        <v>1.95445323749391E-2</v>
      </c>
      <c r="FJ172" s="1111">
        <f t="shared" si="196"/>
        <v>1.9141058004132301E-2</v>
      </c>
      <c r="FK172" s="1111">
        <f t="shared" si="197"/>
        <v>1.8784705993390102E-2</v>
      </c>
      <c r="FL172" s="1111">
        <f t="shared" si="198"/>
        <v>1.85097249042331E-2</v>
      </c>
      <c r="FM172" s="1111">
        <f t="shared" si="199"/>
        <v>1.8437510106673601E-2</v>
      </c>
      <c r="FN172" s="1111">
        <f t="shared" si="200"/>
        <v>1.8418333813220399E-2</v>
      </c>
      <c r="FO172" s="1111">
        <f t="shared" si="201"/>
        <v>1.8414616467845198E-2</v>
      </c>
      <c r="FP172" s="1111">
        <f t="shared" si="202"/>
        <v>1.84137339980028E-2</v>
      </c>
      <c r="FQ172" s="1111">
        <f t="shared" si="203"/>
        <v>1.84137339980028E-2</v>
      </c>
      <c r="FR172" s="1111">
        <f t="shared" si="230"/>
        <v>0.16277138632680399</v>
      </c>
      <c r="FS172" s="1111">
        <f t="shared" si="231"/>
        <v>0.16277138632680399</v>
      </c>
      <c r="FT172" s="1111">
        <f t="shared" si="232"/>
        <v>0.15749210557477999</v>
      </c>
      <c r="FU172" s="1111">
        <f t="shared" si="233"/>
        <v>0.22213105998277299</v>
      </c>
      <c r="FV172" s="1111">
        <f t="shared" si="234"/>
        <v>0.22256905483131201</v>
      </c>
      <c r="FW172" s="1111">
        <f t="shared" si="235"/>
        <v>0.223017594102533</v>
      </c>
      <c r="FX172" s="1111">
        <f t="shared" si="236"/>
        <v>0.22328437261219899</v>
      </c>
      <c r="FY172" s="1111">
        <f t="shared" si="237"/>
        <v>0.22342028408578701</v>
      </c>
      <c r="FZ172" s="1111">
        <f t="shared" si="238"/>
        <v>0.22346164064811899</v>
      </c>
      <c r="GA172" s="1111">
        <f t="shared" si="239"/>
        <v>0.22347689751407299</v>
      </c>
      <c r="GB172" s="1111">
        <f t="shared" si="240"/>
        <v>0.22347689751407299</v>
      </c>
      <c r="GC172" s="1111">
        <f t="shared" si="279"/>
        <v>3.3085277901506199E-2</v>
      </c>
      <c r="GD172" s="1111">
        <f t="shared" si="280"/>
        <v>3.3085277901506199E-2</v>
      </c>
      <c r="GE172" s="1111">
        <f t="shared" si="281"/>
        <v>2.8088278695018499E-2</v>
      </c>
      <c r="GF172" s="1111">
        <f t="shared" si="282"/>
        <v>3.5249470703337199E-2</v>
      </c>
      <c r="GG172" s="1111">
        <f t="shared" si="283"/>
        <v>3.5278230321982601E-2</v>
      </c>
      <c r="GH172" s="1111">
        <f t="shared" si="284"/>
        <v>3.5607078221125799E-2</v>
      </c>
      <c r="GI172" s="1111">
        <f t="shared" si="285"/>
        <v>3.5823183054303799E-2</v>
      </c>
      <c r="GJ172" s="1111">
        <f t="shared" si="286"/>
        <v>3.5938864982074499E-2</v>
      </c>
      <c r="GK172" s="1111">
        <f t="shared" si="287"/>
        <v>3.5974176634088799E-2</v>
      </c>
      <c r="GL172" s="1111">
        <f t="shared" si="288"/>
        <v>3.59876115686096E-2</v>
      </c>
      <c r="GM172" s="1111">
        <f t="shared" si="289"/>
        <v>3.59876115686096E-2</v>
      </c>
    </row>
    <row r="173" spans="1:195" x14ac:dyDescent="0.2">
      <c r="A173" s="1071" t="s">
        <v>186</v>
      </c>
      <c r="B173" s="1071" t="str">
        <f>Technologies!C117</f>
        <v>TMGSLAH</v>
      </c>
      <c r="C173" s="1071" t="str">
        <f>Technologies!D117</f>
        <v>Medium Duty Truck, Advanced Hybrid Gasoline</v>
      </c>
      <c r="D173" s="1071" t="str">
        <f>NewTech!D69</f>
        <v>bn-vmt, bn-vmt/a</v>
      </c>
      <c r="E173" s="1071" t="str">
        <f>NewTech!E70</f>
        <v>TMGSL</v>
      </c>
      <c r="F173" s="1071" t="str">
        <f>NewTech!F70</f>
        <v>TM</v>
      </c>
      <c r="G173" s="1110" t="s">
        <v>503</v>
      </c>
      <c r="H173" s="1110" t="s">
        <v>500</v>
      </c>
      <c r="I173" s="1112">
        <v>1</v>
      </c>
      <c r="J173" s="1111" t="str">
        <f t="shared" si="37"/>
        <v>Medium duty-GSL</v>
      </c>
      <c r="K173" s="1111">
        <f>SUMIFS(NewEmisData!E:E, NewEmisData!$A:$A, $G173, NewEmisData!$B:$B, $A173, NewEmisData!$C:$C, $H173, NewEmisData!$D:$D, K$6)</f>
        <v>1571.23838726393</v>
      </c>
      <c r="L173" s="1111">
        <f>SUMIFS(NewEmisData!F:F, NewEmisData!$A:$A, $G173, NewEmisData!$B:$B, $A173, NewEmisData!$C:$C, $H173, NewEmisData!$D:$D, L$6)</f>
        <v>1575.29652368133</v>
      </c>
      <c r="M173" s="1111">
        <f>SUMIFS(NewEmisData!G:G, NewEmisData!$A:$A, $G173, NewEmisData!$B:$B, $A173, NewEmisData!$C:$C, $H173, NewEmisData!$D:$D, M$6)</f>
        <v>1620.65726903051</v>
      </c>
      <c r="N173" s="1111">
        <f>SUMIFS(NewEmisData!H:H, NewEmisData!$A:$A, $G173, NewEmisData!$B:$B, $A173, NewEmisData!$C:$C, $H173, NewEmisData!$D:$D, N$6)</f>
        <v>1591.3958126743701</v>
      </c>
      <c r="O173" s="1111">
        <f>SUMIFS(NewEmisData!I:I, NewEmisData!$A:$A, $G173, NewEmisData!$B:$B, $A173, NewEmisData!$C:$C, $H173, NewEmisData!$D:$D, O$6)</f>
        <v>1568.18391586794</v>
      </c>
      <c r="P173" s="1111">
        <f>SUMIFS(NewEmisData!J:J, NewEmisData!$A:$A, $G173, NewEmisData!$B:$B, $A173, NewEmisData!$C:$C, $H173, NewEmisData!$D:$D, P$6)</f>
        <v>1562.10113018675</v>
      </c>
      <c r="Q173" s="1111">
        <f>SUMIFS(NewEmisData!K:K, NewEmisData!$A:$A, $G173, NewEmisData!$B:$B, $A173, NewEmisData!$C:$C, $H173, NewEmisData!$D:$D, Q$6)</f>
        <v>1560.4729957351501</v>
      </c>
      <c r="R173" s="1111">
        <f>SUMIFS(NewEmisData!L:L, NewEmisData!$A:$A, $G173, NewEmisData!$B:$B, $A173, NewEmisData!$C:$C, $H173, NewEmisData!$D:$D, R$6)</f>
        <v>1560.1538107035101</v>
      </c>
      <c r="S173" s="1111">
        <f>SUMIFS(NewEmisData!M:M, NewEmisData!$A:$A, $G173, NewEmisData!$B:$B, $A173, NewEmisData!$C:$C, $H173, NewEmisData!$D:$D, S$6)</f>
        <v>1560.07677043992</v>
      </c>
      <c r="T173" s="1111">
        <f t="shared" si="290"/>
        <v>1560.07677043992</v>
      </c>
      <c r="U173" s="1111">
        <f>SUMIFS(NewEmisData!E:E, NewEmisData!$A:$A, $G173, NewEmisData!$B:$B, $A173, NewEmisData!$C:$C, $H173, NewEmisData!$D:$D, U$6)</f>
        <v>4.4339350215429896</v>
      </c>
      <c r="V173" s="1111">
        <f>SUMIFS(NewEmisData!F:F, NewEmisData!$A:$A, $G173, NewEmisData!$B:$B, $A173, NewEmisData!$C:$C, $H173, NewEmisData!$D:$D, V$6)</f>
        <v>3.9615409236254</v>
      </c>
      <c r="W173" s="1111">
        <f>SUMIFS(NewEmisData!G:G, NewEmisData!$A:$A, $G173, NewEmisData!$B:$B, $A173, NewEmisData!$C:$C, $H173, NewEmisData!$D:$D, W$6)</f>
        <v>1.33028401660566</v>
      </c>
      <c r="X173" s="1111">
        <f>SUMIFS(NewEmisData!H:H, NewEmisData!$A:$A, $G173, NewEmisData!$B:$B, $A173, NewEmisData!$C:$C, $H173, NewEmisData!$D:$D, X$6)</f>
        <v>0.96801463367483198</v>
      </c>
      <c r="Y173" s="1111">
        <f>SUMIFS(NewEmisData!I:I, NewEmisData!$A:$A, $G173, NewEmisData!$B:$B, $A173, NewEmisData!$C:$C, $H173, NewEmisData!$D:$D, Y$6)</f>
        <v>0.810835029277582</v>
      </c>
      <c r="Z173" s="1111">
        <f>SUMIFS(NewEmisData!J:J, NewEmisData!$A:$A, $G173, NewEmisData!$B:$B, $A173, NewEmisData!$C:$C, $H173, NewEmisData!$D:$D, Z$6)</f>
        <v>0.73984590086297597</v>
      </c>
      <c r="AA173" s="1111">
        <f>SUMIFS(NewEmisData!K:K, NewEmisData!$A:$A, $G173, NewEmisData!$B:$B, $A173, NewEmisData!$C:$C, $H173, NewEmisData!$D:$D, AA$6)</f>
        <v>0.71912537608469196</v>
      </c>
      <c r="AB173" s="1111">
        <f>SUMIFS(NewEmisData!L:L, NewEmisData!$A:$A, $G173, NewEmisData!$B:$B, $A173, NewEmisData!$C:$C, $H173, NewEmisData!$D:$D, AB$6)</f>
        <v>0.71458926415217605</v>
      </c>
      <c r="AC173" s="1111">
        <f>SUMIFS(NewEmisData!M:M, NewEmisData!$A:$A, $G173, NewEmisData!$B:$B, $A173, NewEmisData!$C:$C, $H173, NewEmisData!$D:$D, AC$6)</f>
        <v>0.71327232452186995</v>
      </c>
      <c r="AD173" s="1111">
        <f t="shared" si="229"/>
        <v>0.71327232452186995</v>
      </c>
      <c r="AE173" s="1111">
        <f t="shared" si="241"/>
        <v>2.71879476544729E-2</v>
      </c>
      <c r="AF173" s="1111">
        <f>SUMIFS(NewEmisData!E:E, NewEmisData!$A:$A, $G173, NewEmisData!$B:$B, $A173, NewEmisData!$C:$C, $H173, NewEmisData!$D:$D, AF$6)</f>
        <v>2.71879476544729E-2</v>
      </c>
      <c r="AG173" s="1111">
        <f>SUMIFS(NewEmisData!F:F, NewEmisData!$A:$A, $G173, NewEmisData!$B:$B, $A173, NewEmisData!$C:$C, $H173, NewEmisData!$D:$D, AG$6)</f>
        <v>2.72581702920257E-2</v>
      </c>
      <c r="AH173" s="1111">
        <f>SUMIFS(NewEmisData!G:G, NewEmisData!$A:$A, $G173, NewEmisData!$B:$B, $A173, NewEmisData!$C:$C, $H173, NewEmisData!$D:$D, AH$6)</f>
        <v>2.32491676049662E-2</v>
      </c>
      <c r="AI173" s="1111">
        <f>SUMIFS(NewEmisData!H:H, NewEmisData!$A:$A, $G173, NewEmisData!$B:$B, $A173, NewEmisData!$C:$C, $H173, NewEmisData!$D:$D, AI$6)</f>
        <v>2.28294094185802E-2</v>
      </c>
      <c r="AJ173" s="1111">
        <f>SUMIFS(NewEmisData!I:I, NewEmisData!$A:$A, $G173, NewEmisData!$B:$B, $A173, NewEmisData!$C:$C, $H173, NewEmisData!$D:$D, AJ$6)</f>
        <v>2.2496411359683499E-2</v>
      </c>
      <c r="AK173" s="1111">
        <f>SUMIFS(NewEmisData!J:J, NewEmisData!$A:$A, $G173, NewEmisData!$B:$B, $A173, NewEmisData!$C:$C, $H173, NewEmisData!$D:$D, AK$6)</f>
        <v>2.24091575903414E-2</v>
      </c>
      <c r="AL173" s="1111">
        <f>SUMIFS(NewEmisData!K:K, NewEmisData!$A:$A, $G173, NewEmisData!$B:$B, $A173, NewEmisData!$C:$C, $H173, NewEmisData!$D:$D, AL$6)</f>
        <v>2.2385789717233699E-2</v>
      </c>
      <c r="AM173" s="1111">
        <f>SUMIFS(NewEmisData!L:L, NewEmisData!$A:$A, $G173, NewEmisData!$B:$B, $A173, NewEmisData!$C:$C, $H173, NewEmisData!$D:$D, AM$6)</f>
        <v>2.23812039581394E-2</v>
      </c>
      <c r="AN173" s="1111">
        <f>SUMIFS(NewEmisData!M:M, NewEmisData!$A:$A, $G173, NewEmisData!$B:$B, $A173, NewEmisData!$C:$C, $H173, NewEmisData!$D:$D, AN$6)</f>
        <v>2.2380112251842499E-2</v>
      </c>
      <c r="AO173" s="1111">
        <f t="shared" si="242"/>
        <v>2.2380112251842499E-2</v>
      </c>
      <c r="AP173" s="1111">
        <f t="shared" si="243"/>
        <v>0.29570181024604603</v>
      </c>
      <c r="AQ173" s="1111">
        <f>SUMIFS(NewEmisData!E:E, NewEmisData!$A:$A, $G173, NewEmisData!$B:$B, $A173, NewEmisData!$C:$C, $H173, NewEmisData!$D:$D, AQ$6)</f>
        <v>0.29570181024604603</v>
      </c>
      <c r="AR173" s="1111">
        <f>SUMIFS(NewEmisData!F:F, NewEmisData!$A:$A, $G173, NewEmisData!$B:$B, $A173, NewEmisData!$C:$C, $H173, NewEmisData!$D:$D, AR$6)</f>
        <v>0.31347002724777001</v>
      </c>
      <c r="AS173" s="1111">
        <f>SUMIFS(NewEmisData!G:G, NewEmisData!$A:$A, $G173, NewEmisData!$B:$B, $A173, NewEmisData!$C:$C, $H173, NewEmisData!$D:$D, AS$6)</f>
        <v>0.29348248729715698</v>
      </c>
      <c r="AT173" s="1111">
        <f>SUMIFS(NewEmisData!H:H, NewEmisData!$A:$A, $G173, NewEmisData!$B:$B, $A173, NewEmisData!$C:$C, $H173, NewEmisData!$D:$D, AT$6)</f>
        <v>0.29400895980241698</v>
      </c>
      <c r="AU173" s="1111">
        <f>SUMIFS(NewEmisData!I:I, NewEmisData!$A:$A, $G173, NewEmisData!$B:$B, $A173, NewEmisData!$C:$C, $H173, NewEmisData!$D:$D, AU$6)</f>
        <v>0.29451767447034</v>
      </c>
      <c r="AV173" s="1111">
        <f>SUMIFS(NewEmisData!J:J, NewEmisData!$A:$A, $G173, NewEmisData!$B:$B, $A173, NewEmisData!$C:$C, $H173, NewEmisData!$D:$D, AV$6)</f>
        <v>0.29481614241324999</v>
      </c>
      <c r="AW173" s="1111">
        <f>SUMIFS(NewEmisData!K:K, NewEmisData!$A:$A, $G173, NewEmisData!$B:$B, $A173, NewEmisData!$C:$C, $H173, NewEmisData!$D:$D, AW$6)</f>
        <v>0.29496671929746798</v>
      </c>
      <c r="AX173" s="1111">
        <f>SUMIFS(NewEmisData!L:L, NewEmisData!$A:$A, $G173, NewEmisData!$B:$B, $A173, NewEmisData!$C:$C, $H173, NewEmisData!$D:$D, AX$6)</f>
        <v>0.29501247169592298</v>
      </c>
      <c r="AY173" s="1111">
        <f>SUMIFS(NewEmisData!M:M, NewEmisData!$A:$A, $G173, NewEmisData!$B:$B, $A173, NewEmisData!$C:$C, $H173, NewEmisData!$D:$D, AY$6)</f>
        <v>0.29502934324841701</v>
      </c>
      <c r="AZ173" s="1111">
        <f t="shared" si="244"/>
        <v>0.29502934324841701</v>
      </c>
      <c r="BA173" s="1111">
        <f t="shared" si="245"/>
        <v>5.6205629802393201E-2</v>
      </c>
      <c r="BB173" s="1111">
        <f>SUMIFS(NewEmisData!E:E, NewEmisData!$A:$A, $G173, NewEmisData!$B:$B, $A173, NewEmisData!$C:$C, $H173, NewEmisData!$D:$D, BB$6)</f>
        <v>5.6205629802393201E-2</v>
      </c>
      <c r="BC173" s="1111">
        <f>SUMIFS(NewEmisData!F:F, NewEmisData!$A:$A, $G173, NewEmisData!$B:$B, $A173, NewEmisData!$C:$C, $H173, NewEmisData!$D:$D, BC$6)</f>
        <v>7.2194764578646903E-2</v>
      </c>
      <c r="BD173" s="1111">
        <f>SUMIFS(NewEmisData!G:G, NewEmisData!$A:$A, $G173, NewEmisData!$B:$B, $A173, NewEmisData!$C:$C, $H173, NewEmisData!$D:$D, BD$6)</f>
        <v>4.48839101088091E-2</v>
      </c>
      <c r="BE173" s="1111">
        <f>SUMIFS(NewEmisData!H:H, NewEmisData!$A:$A, $G173, NewEmisData!$B:$B, $A173, NewEmisData!$C:$C, $H173, NewEmisData!$D:$D, BE$6)</f>
        <v>4.4911356100480797E-2</v>
      </c>
      <c r="BF173" s="1111">
        <f>SUMIFS(NewEmisData!I:I, NewEmisData!$A:$A, $G173, NewEmisData!$B:$B, $A173, NewEmisData!$C:$C, $H173, NewEmisData!$D:$D, BF$6)</f>
        <v>4.52709454211217E-2</v>
      </c>
      <c r="BG173" s="1111">
        <f>SUMIFS(NewEmisData!J:J, NewEmisData!$A:$A, $G173, NewEmisData!$B:$B, $A173, NewEmisData!$C:$C, $H173, NewEmisData!$D:$D, BG$6)</f>
        <v>4.5510230108050102E-2</v>
      </c>
      <c r="BH173" s="1111">
        <f>SUMIFS(NewEmisData!K:K, NewEmisData!$A:$A, $G173, NewEmisData!$B:$B, $A173, NewEmisData!$C:$C, $H173, NewEmisData!$D:$D, BH$6)</f>
        <v>4.5637724556064498E-2</v>
      </c>
      <c r="BI173" s="1111">
        <f>SUMIFS(NewEmisData!L:L, NewEmisData!$A:$A, $G173, NewEmisData!$B:$B, $A173, NewEmisData!$C:$C, $H173, NewEmisData!$D:$D, BI$6)</f>
        <v>4.56765897746194E-2</v>
      </c>
      <c r="BJ173" s="1111">
        <f>SUMIFS(NewEmisData!M:M, NewEmisData!$A:$A, $G173, NewEmisData!$B:$B, $A173, NewEmisData!$C:$C, $H173, NewEmisData!$D:$D, BJ$6)</f>
        <v>4.5691464860186798E-2</v>
      </c>
      <c r="BK173" s="1111">
        <f t="shared" si="246"/>
        <v>4.5691464860186798E-2</v>
      </c>
      <c r="BL173" s="1111">
        <f t="shared" si="247"/>
        <v>36.177292371673602</v>
      </c>
      <c r="BM173" s="1111">
        <f>SUMIFS(NewEmisData!E:E, NewEmisData!$A:$A, $G173, NewEmisData!$B:$B, $A173, NewEmisData!$C:$C, $H173, NewEmisData!$D:$D, BM$6)</f>
        <v>36.177292371673602</v>
      </c>
      <c r="BN173" s="1111">
        <f>SUMIFS(NewEmisData!F:F, NewEmisData!$A:$A, $G173, NewEmisData!$B:$B, $A173, NewEmisData!$C:$C, $H173, NewEmisData!$D:$D, BN$6)</f>
        <v>37.664857731196101</v>
      </c>
      <c r="BO173" s="1111">
        <f>SUMIFS(NewEmisData!G:G, NewEmisData!$A:$A, $G173, NewEmisData!$B:$B, $A173, NewEmisData!$C:$C, $H173, NewEmisData!$D:$D, BO$6)</f>
        <v>13.345526144115</v>
      </c>
      <c r="BP173" s="1111">
        <f>SUMIFS(NewEmisData!H:H, NewEmisData!$A:$A, $G173, NewEmisData!$B:$B, $A173, NewEmisData!$C:$C, $H173, NewEmisData!$D:$D, BP$6)</f>
        <v>11.2726393432321</v>
      </c>
      <c r="BQ173" s="1111">
        <f>SUMIFS(NewEmisData!I:I, NewEmisData!$A:$A, $G173, NewEmisData!$B:$B, $A173, NewEmisData!$C:$C, $H173, NewEmisData!$D:$D, BQ$6)</f>
        <v>10.6231110988618</v>
      </c>
      <c r="BR173" s="1111">
        <f>SUMIFS(NewEmisData!J:J, NewEmisData!$A:$A, $G173, NewEmisData!$B:$B, $A173, NewEmisData!$C:$C, $H173, NewEmisData!$D:$D, BR$6)</f>
        <v>10.435587854097999</v>
      </c>
      <c r="BS173" s="1111">
        <f>SUMIFS(NewEmisData!K:K, NewEmisData!$A:$A, $G173, NewEmisData!$B:$B, $A173, NewEmisData!$C:$C, $H173, NewEmisData!$D:$D, BS$6)</f>
        <v>10.465169362167</v>
      </c>
      <c r="BT173" s="1111">
        <f>SUMIFS(NewEmisData!L:L, NewEmisData!$A:$A, $G173, NewEmisData!$B:$B, $A173, NewEmisData!$C:$C, $H173, NewEmisData!$D:$D, BT$6)</f>
        <v>10.5025719676633</v>
      </c>
      <c r="BU173" s="1111">
        <f>SUMIFS(NewEmisData!M:M, NewEmisData!$A:$A, $G173, NewEmisData!$B:$B, $A173, NewEmisData!$C:$C, $H173, NewEmisData!$D:$D, BU$6)</f>
        <v>10.526416150576599</v>
      </c>
      <c r="BV173" s="1111">
        <f t="shared" si="248"/>
        <v>10.526416150576599</v>
      </c>
      <c r="BW173" s="1111">
        <f t="shared" si="249"/>
        <v>2.2547746276717899</v>
      </c>
      <c r="BX173" s="1111">
        <f>SUMIFS(NewEmisData!E:E, NewEmisData!$A:$A, $G173, NewEmisData!$B:$B, $A173, NewEmisData!$C:$C, $H173, NewEmisData!$D:$D, BX$6)</f>
        <v>2.2547746276717899</v>
      </c>
      <c r="BY173" s="1111">
        <f>SUMIFS(NewEmisData!F:F, NewEmisData!$A:$A, $G173, NewEmisData!$B:$B, $A173, NewEmisData!$C:$C, $H173, NewEmisData!$D:$D, BY$6)</f>
        <v>2.8652548693587798</v>
      </c>
      <c r="BZ173" s="1111">
        <f>SUMIFS(NewEmisData!G:G, NewEmisData!$A:$A, $G173, NewEmisData!$B:$B, $A173, NewEmisData!$C:$C, $H173, NewEmisData!$D:$D, BZ$6)</f>
        <v>0.66453606773915896</v>
      </c>
      <c r="CA173" s="1111">
        <f>SUMIFS(NewEmisData!H:H, NewEmisData!$A:$A, $G173, NewEmisData!$B:$B, $A173, NewEmisData!$C:$C, $H173, NewEmisData!$D:$D, CA$6)</f>
        <v>0.52696134881096601</v>
      </c>
      <c r="CB173" s="1111">
        <f>SUMIFS(NewEmisData!I:I, NewEmisData!$A:$A, $G173, NewEmisData!$B:$B, $A173, NewEmisData!$C:$C, $H173, NewEmisData!$D:$D, CB$6)</f>
        <v>0.475085091842188</v>
      </c>
      <c r="CC173" s="1111">
        <f>SUMIFS(NewEmisData!J:J, NewEmisData!$A:$A, $G173, NewEmisData!$B:$B, $A173, NewEmisData!$C:$C, $H173, NewEmisData!$D:$D, CC$6)</f>
        <v>0.45399199428257297</v>
      </c>
      <c r="CD173" s="1111">
        <f>SUMIFS(NewEmisData!K:K, NewEmisData!$A:$A, $G173, NewEmisData!$B:$B, $A173, NewEmisData!$C:$C, $H173, NewEmisData!$D:$D, CD$6)</f>
        <v>0.45084584233142999</v>
      </c>
      <c r="CE173" s="1111">
        <f>SUMIFS(NewEmisData!L:L, NewEmisData!$A:$A, $G173, NewEmisData!$B:$B, $A173, NewEmisData!$C:$C, $H173, NewEmisData!$D:$D, CE$6)</f>
        <v>0.450741469309828</v>
      </c>
      <c r="CF173" s="1111">
        <f>SUMIFS(NewEmisData!M:M, NewEmisData!$A:$A, $G173, NewEmisData!$B:$B, $A173, NewEmisData!$C:$C, $H173, NewEmisData!$D:$D, CF$6)</f>
        <v>0.45074449890965201</v>
      </c>
      <c r="CG173" s="1111">
        <f t="shared" si="250"/>
        <v>0.45074449890965201</v>
      </c>
      <c r="CH173" s="1111">
        <f t="shared" si="251"/>
        <v>5.7867400606941198E-2</v>
      </c>
      <c r="CI173" s="1111">
        <f>SUMIFS(NewEmisData!E:E, NewEmisData!$A:$A, $G173, NewEmisData!$B:$B, $A173, NewEmisData!$C:$C, $H173, NewEmisData!$D:$D, CI$6)</f>
        <v>5.7867400606941198E-2</v>
      </c>
      <c r="CJ173" s="1111">
        <f>SUMIFS(NewEmisData!F:F, NewEmisData!$A:$A, $G173, NewEmisData!$B:$B, $A173, NewEmisData!$C:$C, $H173, NewEmisData!$D:$D, CJ$6)</f>
        <v>5.7868748340902797E-2</v>
      </c>
      <c r="CK173" s="1111">
        <f>SUMIFS(NewEmisData!G:G, NewEmisData!$A:$A, $G173, NewEmisData!$B:$B, $A173, NewEmisData!$C:$C, $H173, NewEmisData!$D:$D, CK$6)</f>
        <v>6.6009929070185699E-2</v>
      </c>
      <c r="CL173" s="1111">
        <f>SUMIFS(NewEmisData!H:H, NewEmisData!$A:$A, $G173, NewEmisData!$B:$B, $A173, NewEmisData!$C:$C, $H173, NewEmisData!$D:$D, CL$6)</f>
        <v>6.6010246689438001E-2</v>
      </c>
      <c r="CM173" s="1111">
        <f>SUMIFS(NewEmisData!I:I, NewEmisData!$A:$A, $G173, NewEmisData!$B:$B, $A173, NewEmisData!$C:$C, $H173, NewEmisData!$D:$D, CM$6)</f>
        <v>6.6010539794431194E-2</v>
      </c>
      <c r="CN173" s="1111">
        <f>SUMIFS(NewEmisData!J:J, NewEmisData!$A:$A, $G173, NewEmisData!$B:$B, $A173, NewEmisData!$C:$C, $H173, NewEmisData!$D:$D, CN$6)</f>
        <v>6.6010651142724794E-2</v>
      </c>
      <c r="CO173" s="1111">
        <f>SUMIFS(NewEmisData!K:K, NewEmisData!$A:$A, $G173, NewEmisData!$B:$B, $A173, NewEmisData!$C:$C, $H173, NewEmisData!$D:$D, CO$6)</f>
        <v>6.60106383420173E-2</v>
      </c>
      <c r="CP173" s="1111">
        <f>SUMIFS(NewEmisData!L:L, NewEmisData!$A:$A, $G173, NewEmisData!$B:$B, $A173, NewEmisData!$C:$C, $H173, NewEmisData!$D:$D, CP$6)</f>
        <v>6.6010618394000603E-2</v>
      </c>
      <c r="CQ173" s="1111">
        <f>SUMIFS(NewEmisData!M:M, NewEmisData!$A:$A, $G173, NewEmisData!$B:$B, $A173, NewEmisData!$C:$C, $H173, NewEmisData!$D:$D, CQ$6)</f>
        <v>6.6010633444598496E-2</v>
      </c>
      <c r="CR173" s="1111">
        <f t="shared" si="252"/>
        <v>6.6010633444598496E-2</v>
      </c>
      <c r="CS173" s="1111">
        <f t="shared" si="253"/>
        <v>7.2164995475767907E-2</v>
      </c>
      <c r="CT173" s="1111">
        <f>SUMIFS(NewEmisData!E:E, NewEmisData!$A:$A, $G173, NewEmisData!$B:$B, $A173, NewEmisData!$C:$C, $H173, NewEmisData!$D:$D, CT$6)</f>
        <v>7.2164995475767907E-2</v>
      </c>
      <c r="CU173" s="1111">
        <f>SUMIFS(NewEmisData!F:F, NewEmisData!$A:$A, $G173, NewEmisData!$B:$B, $A173, NewEmisData!$C:$C, $H173, NewEmisData!$D:$D, CU$6)</f>
        <v>6.4879251441518196E-2</v>
      </c>
      <c r="CV173" s="1111">
        <f>SUMIFS(NewEmisData!G:G, NewEmisData!$A:$A, $G173, NewEmisData!$B:$B, $A173, NewEmisData!$C:$C, $H173, NewEmisData!$D:$D, CV$6)</f>
        <v>2.6568003004939798E-2</v>
      </c>
      <c r="CW173" s="1111">
        <f>SUMIFS(NewEmisData!H:H, NewEmisData!$A:$A, $G173, NewEmisData!$B:$B, $A173, NewEmisData!$C:$C, $H173, NewEmisData!$D:$D, CW$6)</f>
        <v>1.84437934507856E-2</v>
      </c>
      <c r="CX173" s="1111">
        <f>SUMIFS(NewEmisData!I:I, NewEmisData!$A:$A, $G173, NewEmisData!$B:$B, $A173, NewEmisData!$C:$C, $H173, NewEmisData!$D:$D, CX$6)</f>
        <v>1.6327699656927399E-2</v>
      </c>
      <c r="CY173" s="1111">
        <f>SUMIFS(NewEmisData!J:J, NewEmisData!$A:$A, $G173, NewEmisData!$B:$B, $A173, NewEmisData!$C:$C, $H173, NewEmisData!$D:$D, CY$6)</f>
        <v>1.5748807787192998E-2</v>
      </c>
      <c r="CZ173" s="1111">
        <f>SUMIFS(NewEmisData!K:K, NewEmisData!$A:$A, $G173, NewEmisData!$B:$B, $A173, NewEmisData!$C:$C, $H173, NewEmisData!$D:$D, CZ$6)</f>
        <v>1.5674972697843501E-2</v>
      </c>
      <c r="DA173" s="1111">
        <f>SUMIFS(NewEmisData!L:L, NewEmisData!$A:$A, $G173, NewEmisData!$B:$B, $A173, NewEmisData!$C:$C, $H173, NewEmisData!$D:$D, DA$6)</f>
        <v>1.56348406818691E-2</v>
      </c>
      <c r="DB173" s="1111">
        <f>SUMIFS(NewEmisData!M:M, NewEmisData!$A:$A, $G173, NewEmisData!$B:$B, $A173, NewEmisData!$C:$C, $H173, NewEmisData!$D:$D, DB$6)</f>
        <v>1.5654725632317699E-2</v>
      </c>
      <c r="DC173" s="1111">
        <f t="shared" si="254"/>
        <v>1.5654725632317699E-2</v>
      </c>
      <c r="DD173" s="1111"/>
      <c r="DE173" s="1111"/>
      <c r="DF173" s="1111"/>
      <c r="DG173" s="1111"/>
      <c r="DH173" s="1111"/>
      <c r="DI173" s="1111"/>
      <c r="DJ173" s="1111"/>
      <c r="DK173" s="1111"/>
      <c r="DL173" s="1111"/>
      <c r="DM173" s="1111"/>
      <c r="DN173" s="1111"/>
      <c r="DO173" s="1111"/>
      <c r="DP173" s="1111"/>
      <c r="DQ173" s="1111"/>
      <c r="DR173" s="1111"/>
      <c r="DS173" s="1111"/>
      <c r="DT173" s="1111"/>
      <c r="DU173" s="1111"/>
      <c r="DV173" s="1111"/>
      <c r="DW173" s="1111"/>
      <c r="DX173" s="1111"/>
      <c r="DY173" s="1111"/>
      <c r="DZ173" s="1111">
        <f t="shared" si="255"/>
        <v>7.65679998253877E-2</v>
      </c>
      <c r="EA173" s="1111">
        <f>SUMIFS(NewEmisData!E:E, NewEmisData!$A:$A, $G173, NewEmisData!$B:$B, $A173, NewEmisData!$C:$C, $H173, NewEmisData!$D:$D, EA$6)</f>
        <v>7.65679998253877E-2</v>
      </c>
      <c r="EB173" s="1111">
        <f>SUMIFS(NewEmisData!F:F, NewEmisData!$A:$A, $G173, NewEmisData!$B:$B, $A173, NewEmisData!$C:$C, $H173, NewEmisData!$D:$D, EB$6)</f>
        <v>0.109010255412455</v>
      </c>
      <c r="EC173" s="1111">
        <f>SUMIFS(NewEmisData!G:G, NewEmisData!$A:$A, $G173, NewEmisData!$B:$B, $A173, NewEmisData!$C:$C, $H173, NewEmisData!$D:$D, EC$6)</f>
        <v>1.54277976093114E-2</v>
      </c>
      <c r="ED173" s="1111">
        <f>SUMIFS(NewEmisData!H:H, NewEmisData!$A:$A, $G173, NewEmisData!$B:$B, $A173, NewEmisData!$C:$C, $H173, NewEmisData!$D:$D, ED$6)</f>
        <v>1.2984971623169601E-2</v>
      </c>
      <c r="EE173" s="1111">
        <f>SUMIFS(NewEmisData!I:I, NewEmisData!$A:$A, $G173, NewEmisData!$B:$B, $A173, NewEmisData!$C:$C, $H173, NewEmisData!$D:$D, EE$6)</f>
        <v>1.22605780123332E-2</v>
      </c>
      <c r="EF173" s="1111">
        <f>SUMIFS(NewEmisData!J:J, NewEmisData!$A:$A, $G173, NewEmisData!$B:$B, $A173, NewEmisData!$C:$C, $H173, NewEmisData!$D:$D, EF$6)</f>
        <v>1.20992421043245E-2</v>
      </c>
      <c r="EG173" s="1111">
        <f>SUMIFS(NewEmisData!K:K, NewEmisData!$A:$A, $G173, NewEmisData!$B:$B, $A173, NewEmisData!$C:$C, $H173, NewEmisData!$D:$D, EG$6)</f>
        <v>1.2123397445436401E-2</v>
      </c>
      <c r="EH173" s="1111">
        <f>SUMIFS(NewEmisData!L:L, NewEmisData!$A:$A, $G173, NewEmisData!$B:$B, $A173, NewEmisData!$C:$C, $H173, NewEmisData!$D:$D, EH$6)</f>
        <v>1.2132958592882499E-2</v>
      </c>
      <c r="EI173" s="1111">
        <f>SUMIFS(NewEmisData!M:M, NewEmisData!$A:$A, $G173, NewEmisData!$B:$B, $A173, NewEmisData!$C:$C, $H173, NewEmisData!$D:$D, EI$6)</f>
        <v>1.21315180972552E-2</v>
      </c>
      <c r="EJ173" s="1111">
        <f t="shared" si="256"/>
        <v>1.21315180972552E-2</v>
      </c>
      <c r="EK173" s="1111">
        <f t="shared" si="257"/>
        <v>1571.23838726393</v>
      </c>
      <c r="EL173" s="1111">
        <f t="shared" si="269"/>
        <v>1571.23838726393</v>
      </c>
      <c r="EM173" s="1111">
        <f t="shared" si="270"/>
        <v>1575.29652368133</v>
      </c>
      <c r="EN173" s="1111">
        <f t="shared" si="271"/>
        <v>1620.65726903051</v>
      </c>
      <c r="EO173" s="1111">
        <f t="shared" si="272"/>
        <v>1591.3958126743701</v>
      </c>
      <c r="EP173" s="1111">
        <f t="shared" si="273"/>
        <v>1568.18391586794</v>
      </c>
      <c r="EQ173" s="1111">
        <f t="shared" si="274"/>
        <v>1562.10113018675</v>
      </c>
      <c r="ER173" s="1111">
        <f t="shared" si="275"/>
        <v>1560.4729957351501</v>
      </c>
      <c r="ES173" s="1111">
        <f t="shared" si="276"/>
        <v>1560.1538107035101</v>
      </c>
      <c r="ET173" s="1111">
        <f t="shared" si="277"/>
        <v>1560.07677043992</v>
      </c>
      <c r="EU173" s="1111">
        <f t="shared" si="278"/>
        <v>1560.07677043992</v>
      </c>
      <c r="EV173" s="1111">
        <f t="shared" si="258"/>
        <v>4.4339350215429896</v>
      </c>
      <c r="EW173" s="1111">
        <f t="shared" si="259"/>
        <v>4.4339350215429896</v>
      </c>
      <c r="EX173" s="1111">
        <f t="shared" si="260"/>
        <v>3.9615409236254</v>
      </c>
      <c r="EY173" s="1111">
        <f t="shared" si="261"/>
        <v>1.33028401660566</v>
      </c>
      <c r="EZ173" s="1111">
        <f t="shared" si="262"/>
        <v>0.96801463367483198</v>
      </c>
      <c r="FA173" s="1111">
        <f t="shared" si="263"/>
        <v>0.810835029277582</v>
      </c>
      <c r="FB173" s="1111">
        <f t="shared" si="264"/>
        <v>0.73984590086297597</v>
      </c>
      <c r="FC173" s="1111">
        <f t="shared" si="265"/>
        <v>0.71912537608469196</v>
      </c>
      <c r="FD173" s="1111">
        <f t="shared" si="266"/>
        <v>0.71458926415217605</v>
      </c>
      <c r="FE173" s="1111">
        <f t="shared" si="267"/>
        <v>0.71327232452186995</v>
      </c>
      <c r="FF173" s="1111">
        <f t="shared" si="268"/>
        <v>0.71327232452186995</v>
      </c>
      <c r="FG173" s="1111">
        <f t="shared" si="193"/>
        <v>2.71879476544729E-2</v>
      </c>
      <c r="FH173" s="1111">
        <f t="shared" si="194"/>
        <v>2.71879476544729E-2</v>
      </c>
      <c r="FI173" s="1111">
        <f t="shared" si="195"/>
        <v>2.72581702920257E-2</v>
      </c>
      <c r="FJ173" s="1111">
        <f t="shared" si="196"/>
        <v>2.32491676049662E-2</v>
      </c>
      <c r="FK173" s="1111">
        <f t="shared" si="197"/>
        <v>2.28294094185802E-2</v>
      </c>
      <c r="FL173" s="1111">
        <f t="shared" si="198"/>
        <v>2.2496411359683499E-2</v>
      </c>
      <c r="FM173" s="1111">
        <f t="shared" si="199"/>
        <v>2.24091575903414E-2</v>
      </c>
      <c r="FN173" s="1111">
        <f t="shared" si="200"/>
        <v>2.2385789717233699E-2</v>
      </c>
      <c r="FO173" s="1111">
        <f t="shared" si="201"/>
        <v>2.23812039581394E-2</v>
      </c>
      <c r="FP173" s="1111">
        <f t="shared" si="202"/>
        <v>2.2380112251842499E-2</v>
      </c>
      <c r="FQ173" s="1111">
        <f t="shared" si="203"/>
        <v>2.2380112251842499E-2</v>
      </c>
      <c r="FR173" s="1111">
        <f t="shared" si="230"/>
        <v>0.29570181024604603</v>
      </c>
      <c r="FS173" s="1111">
        <f t="shared" si="231"/>
        <v>0.29570181024604603</v>
      </c>
      <c r="FT173" s="1111">
        <f t="shared" si="232"/>
        <v>0.31347002724777001</v>
      </c>
      <c r="FU173" s="1111">
        <f t="shared" si="233"/>
        <v>0.29348248729715698</v>
      </c>
      <c r="FV173" s="1111">
        <f t="shared" si="234"/>
        <v>0.29400895980241698</v>
      </c>
      <c r="FW173" s="1111">
        <f t="shared" si="235"/>
        <v>0.29451767447034</v>
      </c>
      <c r="FX173" s="1111">
        <f t="shared" si="236"/>
        <v>0.29481614241324999</v>
      </c>
      <c r="FY173" s="1111">
        <f t="shared" si="237"/>
        <v>0.29496671929746798</v>
      </c>
      <c r="FZ173" s="1111">
        <f t="shared" si="238"/>
        <v>0.29501247169592298</v>
      </c>
      <c r="GA173" s="1111">
        <f t="shared" si="239"/>
        <v>0.29502934324841701</v>
      </c>
      <c r="GB173" s="1111">
        <f t="shared" si="240"/>
        <v>0.29502934324841701</v>
      </c>
      <c r="GC173" s="1111">
        <f t="shared" si="279"/>
        <v>5.6205629802393201E-2</v>
      </c>
      <c r="GD173" s="1111">
        <f t="shared" si="280"/>
        <v>5.6205629802393201E-2</v>
      </c>
      <c r="GE173" s="1111">
        <f t="shared" si="281"/>
        <v>7.2194764578646903E-2</v>
      </c>
      <c r="GF173" s="1111">
        <f t="shared" si="282"/>
        <v>4.48839101088091E-2</v>
      </c>
      <c r="GG173" s="1111">
        <f t="shared" si="283"/>
        <v>4.4911356100480797E-2</v>
      </c>
      <c r="GH173" s="1111">
        <f t="shared" si="284"/>
        <v>4.52709454211217E-2</v>
      </c>
      <c r="GI173" s="1111">
        <f t="shared" si="285"/>
        <v>4.5510230108050102E-2</v>
      </c>
      <c r="GJ173" s="1111">
        <f t="shared" si="286"/>
        <v>4.5637724556064498E-2</v>
      </c>
      <c r="GK173" s="1111">
        <f t="shared" si="287"/>
        <v>4.56765897746194E-2</v>
      </c>
      <c r="GL173" s="1111">
        <f t="shared" si="288"/>
        <v>4.5691464860186798E-2</v>
      </c>
      <c r="GM173" s="1111">
        <f t="shared" si="289"/>
        <v>4.5691464860186798E-2</v>
      </c>
    </row>
    <row r="174" spans="1:195" x14ac:dyDescent="0.2">
      <c r="A174" s="1071" t="s">
        <v>188</v>
      </c>
      <c r="B174" s="1071" t="str">
        <f>Technologies!C117</f>
        <v>TMGSLAH</v>
      </c>
      <c r="C174" s="1071" t="str">
        <f>Technologies!D117</f>
        <v>Medium Duty Truck, Advanced Hybrid Gasoline</v>
      </c>
      <c r="D174" s="1071" t="str">
        <f>NewTech!D69</f>
        <v>bn-vmt, bn-vmt/a</v>
      </c>
      <c r="E174" s="1071" t="str">
        <f>NewTech!E70</f>
        <v>TMGSL</v>
      </c>
      <c r="F174" s="1071" t="str">
        <f>NewTech!F70</f>
        <v>TM</v>
      </c>
      <c r="G174" s="1110" t="s">
        <v>503</v>
      </c>
      <c r="H174" s="1110" t="s">
        <v>500</v>
      </c>
      <c r="I174" s="1112">
        <v>1</v>
      </c>
      <c r="J174" s="1111" t="str">
        <f t="shared" si="37"/>
        <v>Medium duty-GSL</v>
      </c>
      <c r="K174" s="1111">
        <f>SUMIFS(NewEmisData!E:E, NewEmisData!$A:$A, $G174, NewEmisData!$B:$B, $A174, NewEmisData!$C:$C, $H174, NewEmisData!$D:$D, K$6)</f>
        <v>1295.14987573646</v>
      </c>
      <c r="L174" s="1111">
        <f>SUMIFS(NewEmisData!F:F, NewEmisData!$A:$A, $G174, NewEmisData!$B:$B, $A174, NewEmisData!$C:$C, $H174, NewEmisData!$D:$D, L$6)</f>
        <v>1270.8053069328</v>
      </c>
      <c r="M174" s="1111">
        <f>SUMIFS(NewEmisData!G:G, NewEmisData!$A:$A, $G174, NewEmisData!$B:$B, $A174, NewEmisData!$C:$C, $H174, NewEmisData!$D:$D, M$6)</f>
        <v>1116.9310844665499</v>
      </c>
      <c r="N174" s="1111">
        <f>SUMIFS(NewEmisData!H:H, NewEmisData!$A:$A, $G174, NewEmisData!$B:$B, $A174, NewEmisData!$C:$C, $H174, NewEmisData!$D:$D, N$6)</f>
        <v>1096.47271752758</v>
      </c>
      <c r="O174" s="1111">
        <f>SUMIFS(NewEmisData!I:I, NewEmisData!$A:$A, $G174, NewEmisData!$B:$B, $A174, NewEmisData!$C:$C, $H174, NewEmisData!$D:$D, O$6)</f>
        <v>1080.35797958793</v>
      </c>
      <c r="P174" s="1111">
        <f>SUMIFS(NewEmisData!J:J, NewEmisData!$A:$A, $G174, NewEmisData!$B:$B, $A174, NewEmisData!$C:$C, $H174, NewEmisData!$D:$D, P$6)</f>
        <v>1076.1283631843501</v>
      </c>
      <c r="Q174" s="1111">
        <f>SUMIFS(NewEmisData!K:K, NewEmisData!$A:$A, $G174, NewEmisData!$B:$B, $A174, NewEmisData!$C:$C, $H174, NewEmisData!$D:$D, Q$6)</f>
        <v>1074.99841740493</v>
      </c>
      <c r="R174" s="1111">
        <f>SUMIFS(NewEmisData!L:L, NewEmisData!$A:$A, $G174, NewEmisData!$B:$B, $A174, NewEmisData!$C:$C, $H174, NewEmisData!$D:$D, R$6)</f>
        <v>1074.7768639159699</v>
      </c>
      <c r="S174" s="1111">
        <f>SUMIFS(NewEmisData!M:M, NewEmisData!$A:$A, $G174, NewEmisData!$B:$B, $A174, NewEmisData!$C:$C, $H174, NewEmisData!$D:$D, S$6)</f>
        <v>1074.7231317103101</v>
      </c>
      <c r="T174" s="1111">
        <f t="shared" si="290"/>
        <v>1074.7231317103101</v>
      </c>
      <c r="U174" s="1111">
        <f>SUMIFS(NewEmisData!E:E, NewEmisData!$A:$A, $G174, NewEmisData!$B:$B, $A174, NewEmisData!$C:$C, $H174, NewEmisData!$D:$D, U$6)</f>
        <v>4.7005442822918502</v>
      </c>
      <c r="V174" s="1111">
        <f>SUMIFS(NewEmisData!F:F, NewEmisData!$A:$A, $G174, NewEmisData!$B:$B, $A174, NewEmisData!$C:$C, $H174, NewEmisData!$D:$D, V$6)</f>
        <v>3.08259000861326</v>
      </c>
      <c r="W174" s="1111">
        <f>SUMIFS(NewEmisData!G:G, NewEmisData!$A:$A, $G174, NewEmisData!$B:$B, $A174, NewEmisData!$C:$C, $H174, NewEmisData!$D:$D, W$6)</f>
        <v>1.0390638212911101</v>
      </c>
      <c r="X174" s="1111">
        <f>SUMIFS(NewEmisData!H:H, NewEmisData!$A:$A, $G174, NewEmisData!$B:$B, $A174, NewEmisData!$C:$C, $H174, NewEmisData!$D:$D, X$6)</f>
        <v>0.75779261060598802</v>
      </c>
      <c r="Y174" s="1111">
        <f>SUMIFS(NewEmisData!I:I, NewEmisData!$A:$A, $G174, NewEmisData!$B:$B, $A174, NewEmisData!$C:$C, $H174, NewEmisData!$D:$D, Y$6)</f>
        <v>0.63538679073275195</v>
      </c>
      <c r="Z174" s="1111">
        <f>SUMIFS(NewEmisData!J:J, NewEmisData!$A:$A, $G174, NewEmisData!$B:$B, $A174, NewEmisData!$C:$C, $H174, NewEmisData!$D:$D, Z$6)</f>
        <v>0.580083255346031</v>
      </c>
      <c r="AA174" s="1111">
        <f>SUMIFS(NewEmisData!K:K, NewEmisData!$A:$A, $G174, NewEmisData!$B:$B, $A174, NewEmisData!$C:$C, $H174, NewEmisData!$D:$D, AA$6)</f>
        <v>0.56397155784451702</v>
      </c>
      <c r="AB174" s="1111">
        <f>SUMIFS(NewEmisData!L:L, NewEmisData!$A:$A, $G174, NewEmisData!$B:$B, $A174, NewEmisData!$C:$C, $H174, NewEmisData!$D:$D, AB$6)</f>
        <v>0.56043589289625795</v>
      </c>
      <c r="AC174" s="1111">
        <f>SUMIFS(NewEmisData!M:M, NewEmisData!$A:$A, $G174, NewEmisData!$B:$B, $A174, NewEmisData!$C:$C, $H174, NewEmisData!$D:$D, AC$6)</f>
        <v>0.55941898537579804</v>
      </c>
      <c r="AD174" s="1111">
        <f t="shared" si="229"/>
        <v>0.55941898537579804</v>
      </c>
      <c r="AE174" s="1111">
        <f t="shared" si="241"/>
        <v>2.4310232310109099E-2</v>
      </c>
      <c r="AF174" s="1111">
        <f>SUMIFS(NewEmisData!E:E, NewEmisData!$A:$A, $G174, NewEmisData!$B:$B, $A174, NewEmisData!$C:$C, $H174, NewEmisData!$D:$D, AF$6)</f>
        <v>2.4310232310109099E-2</v>
      </c>
      <c r="AG174" s="1111">
        <f>SUMIFS(NewEmisData!F:F, NewEmisData!$A:$A, $G174, NewEmisData!$B:$B, $A174, NewEmisData!$C:$C, $H174, NewEmisData!$D:$D, AG$6)</f>
        <v>2.26976790505827E-2</v>
      </c>
      <c r="AH174" s="1111">
        <f>SUMIFS(NewEmisData!G:G, NewEmisData!$A:$A, $G174, NewEmisData!$B:$B, $A174, NewEmisData!$C:$C, $H174, NewEmisData!$D:$D, AH$6)</f>
        <v>1.6022950426801401E-2</v>
      </c>
      <c r="AI174" s="1111">
        <f>SUMIFS(NewEmisData!H:H, NewEmisData!$A:$A, $G174, NewEmisData!$B:$B, $A174, NewEmisData!$C:$C, $H174, NewEmisData!$D:$D, AI$6)</f>
        <v>1.5729470038709299E-2</v>
      </c>
      <c r="AJ174" s="1111">
        <f>SUMIFS(NewEmisData!I:I, NewEmisData!$A:$A, $G174, NewEmisData!$B:$B, $A174, NewEmisData!$C:$C, $H174, NewEmisData!$D:$D, AJ$6)</f>
        <v>1.5498287302921E-2</v>
      </c>
      <c r="AK174" s="1111">
        <f>SUMIFS(NewEmisData!J:J, NewEmisData!$A:$A, $G174, NewEmisData!$B:$B, $A174, NewEmisData!$C:$C, $H174, NewEmisData!$D:$D, AK$6)</f>
        <v>1.5437619705180801E-2</v>
      </c>
      <c r="AL174" s="1111">
        <f>SUMIFS(NewEmisData!K:K, NewEmisData!$A:$A, $G174, NewEmisData!$B:$B, $A174, NewEmisData!$C:$C, $H174, NewEmisData!$D:$D, AL$6)</f>
        <v>1.5421408919953399E-2</v>
      </c>
      <c r="AM174" s="1111">
        <f>SUMIFS(NewEmisData!L:L, NewEmisData!$A:$A, $G174, NewEmisData!$B:$B, $A174, NewEmisData!$C:$C, $H174, NewEmisData!$D:$D, AM$6)</f>
        <v>1.5418227354463399E-2</v>
      </c>
      <c r="AN174" s="1111">
        <f>SUMIFS(NewEmisData!M:M, NewEmisData!$A:$A, $G174, NewEmisData!$B:$B, $A174, NewEmisData!$C:$C, $H174, NewEmisData!$D:$D, AN$6)</f>
        <v>1.54174639116704E-2</v>
      </c>
      <c r="AO174" s="1111">
        <f t="shared" si="242"/>
        <v>1.54174639116704E-2</v>
      </c>
      <c r="AP174" s="1111">
        <f t="shared" si="243"/>
        <v>0.19559792469321799</v>
      </c>
      <c r="AQ174" s="1111">
        <f>SUMIFS(NewEmisData!E:E, NewEmisData!$A:$A, $G174, NewEmisData!$B:$B, $A174, NewEmisData!$C:$C, $H174, NewEmisData!$D:$D, AQ$6)</f>
        <v>0.19559792469321799</v>
      </c>
      <c r="AR174" s="1111">
        <f>SUMIFS(NewEmisData!F:F, NewEmisData!$A:$A, $G174, NewEmisData!$B:$B, $A174, NewEmisData!$C:$C, $H174, NewEmisData!$D:$D, AR$6)</f>
        <v>0.195854498358668</v>
      </c>
      <c r="AS174" s="1111">
        <f>SUMIFS(NewEmisData!G:G, NewEmisData!$A:$A, $G174, NewEmisData!$B:$B, $A174, NewEmisData!$C:$C, $H174, NewEmisData!$D:$D, AS$6)</f>
        <v>0.158834423055883</v>
      </c>
      <c r="AT174" s="1111">
        <f>SUMIFS(NewEmisData!H:H, NewEmisData!$A:$A, $G174, NewEmisData!$B:$B, $A174, NewEmisData!$C:$C, $H174, NewEmisData!$D:$D, AT$6)</f>
        <v>0.15912944493902401</v>
      </c>
      <c r="AU174" s="1111">
        <f>SUMIFS(NewEmisData!I:I, NewEmisData!$A:$A, $G174, NewEmisData!$B:$B, $A174, NewEmisData!$C:$C, $H174, NewEmisData!$D:$D, AU$6)</f>
        <v>0.159508665245508</v>
      </c>
      <c r="AV174" s="1111">
        <f>SUMIFS(NewEmisData!J:J, NewEmisData!$A:$A, $G174, NewEmisData!$B:$B, $A174, NewEmisData!$C:$C, $H174, NewEmisData!$D:$D, AV$6)</f>
        <v>0.15973496976197599</v>
      </c>
      <c r="AW174" s="1111">
        <f>SUMIFS(NewEmisData!K:K, NewEmisData!$A:$A, $G174, NewEmisData!$B:$B, $A174, NewEmisData!$C:$C, $H174, NewEmisData!$D:$D, AW$6)</f>
        <v>0.15985029461774</v>
      </c>
      <c r="AX174" s="1111">
        <f>SUMIFS(NewEmisData!L:L, NewEmisData!$A:$A, $G174, NewEmisData!$B:$B, $A174, NewEmisData!$C:$C, $H174, NewEmisData!$D:$D, AX$6)</f>
        <v>0.159884874617258</v>
      </c>
      <c r="AY174" s="1111">
        <f>SUMIFS(NewEmisData!M:M, NewEmisData!$A:$A, $G174, NewEmisData!$B:$B, $A174, NewEmisData!$C:$C, $H174, NewEmisData!$D:$D, AY$6)</f>
        <v>0.15989716821268901</v>
      </c>
      <c r="AZ174" s="1111">
        <f t="shared" si="244"/>
        <v>0.15989716821268901</v>
      </c>
      <c r="BA174" s="1111">
        <f t="shared" si="245"/>
        <v>6.1407596132052197E-2</v>
      </c>
      <c r="BB174" s="1111">
        <f>SUMIFS(NewEmisData!E:E, NewEmisData!$A:$A, $G174, NewEmisData!$B:$B, $A174, NewEmisData!$C:$C, $H174, NewEmisData!$D:$D, BB$6)</f>
        <v>6.1407596132052197E-2</v>
      </c>
      <c r="BC174" s="1111">
        <f>SUMIFS(NewEmisData!F:F, NewEmisData!$A:$A, $G174, NewEmisData!$B:$B, $A174, NewEmisData!$C:$C, $H174, NewEmisData!$D:$D, BC$6)</f>
        <v>5.5619399593761901E-2</v>
      </c>
      <c r="BD174" s="1111">
        <f>SUMIFS(NewEmisData!G:G, NewEmisData!$A:$A, $G174, NewEmisData!$B:$B, $A174, NewEmisData!$C:$C, $H174, NewEmisData!$D:$D, BD$6)</f>
        <v>2.6501774627894398E-2</v>
      </c>
      <c r="BE174" s="1111">
        <f>SUMIFS(NewEmisData!H:H, NewEmisData!$A:$A, $G174, NewEmisData!$B:$B, $A174, NewEmisData!$C:$C, $H174, NewEmisData!$D:$D, BE$6)</f>
        <v>2.6535568582948001E-2</v>
      </c>
      <c r="BF174" s="1111">
        <f>SUMIFS(NewEmisData!I:I, NewEmisData!$A:$A, $G174, NewEmisData!$B:$B, $A174, NewEmisData!$C:$C, $H174, NewEmisData!$D:$D, BF$6)</f>
        <v>2.68240676450552E-2</v>
      </c>
      <c r="BG174" s="1111">
        <f>SUMIFS(NewEmisData!J:J, NewEmisData!$A:$A, $G174, NewEmisData!$B:$B, $A174, NewEmisData!$C:$C, $H174, NewEmisData!$D:$D, BG$6)</f>
        <v>2.7011500327140701E-2</v>
      </c>
      <c r="BH174" s="1111">
        <f>SUMIFS(NewEmisData!K:K, NewEmisData!$A:$A, $G174, NewEmisData!$B:$B, $A174, NewEmisData!$C:$C, $H174, NewEmisData!$D:$D, BH$6)</f>
        <v>2.71105372443806E-2</v>
      </c>
      <c r="BI174" s="1111">
        <f>SUMIFS(NewEmisData!L:L, NewEmisData!$A:$A, $G174, NewEmisData!$B:$B, $A174, NewEmisData!$C:$C, $H174, NewEmisData!$D:$D, BI$6)</f>
        <v>2.7140215075382799E-2</v>
      </c>
      <c r="BJ174" s="1111">
        <f>SUMIFS(NewEmisData!M:M, NewEmisData!$A:$A, $G174, NewEmisData!$B:$B, $A174, NewEmisData!$C:$C, $H174, NewEmisData!$D:$D, BJ$6)</f>
        <v>2.7151187263261201E-2</v>
      </c>
      <c r="BK174" s="1111">
        <f t="shared" si="246"/>
        <v>2.7151187263261201E-2</v>
      </c>
      <c r="BL174" s="1111">
        <f t="shared" si="247"/>
        <v>37.072387310679602</v>
      </c>
      <c r="BM174" s="1111">
        <f>SUMIFS(NewEmisData!E:E, NewEmisData!$A:$A, $G174, NewEmisData!$B:$B, $A174, NewEmisData!$C:$C, $H174, NewEmisData!$D:$D, BM$6)</f>
        <v>37.072387310679602</v>
      </c>
      <c r="BN174" s="1111">
        <f>SUMIFS(NewEmisData!F:F, NewEmisData!$A:$A, $G174, NewEmisData!$B:$B, $A174, NewEmisData!$C:$C, $H174, NewEmisData!$D:$D, BN$6)</f>
        <v>25.792665103532201</v>
      </c>
      <c r="BO174" s="1111">
        <f>SUMIFS(NewEmisData!G:G, NewEmisData!$A:$A, $G174, NewEmisData!$B:$B, $A174, NewEmisData!$C:$C, $H174, NewEmisData!$D:$D, BO$6)</f>
        <v>9.5462177561034594</v>
      </c>
      <c r="BP174" s="1111">
        <f>SUMIFS(NewEmisData!H:H, NewEmisData!$A:$A, $G174, NewEmisData!$B:$B, $A174, NewEmisData!$C:$C, $H174, NewEmisData!$D:$D, BP$6)</f>
        <v>8.0392699220412105</v>
      </c>
      <c r="BQ174" s="1111">
        <f>SUMIFS(NewEmisData!I:I, NewEmisData!$A:$A, $G174, NewEmisData!$B:$B, $A174, NewEmisData!$C:$C, $H174, NewEmisData!$D:$D, BQ$6)</f>
        <v>7.5629439516014001</v>
      </c>
      <c r="BR174" s="1111">
        <f>SUMIFS(NewEmisData!J:J, NewEmisData!$A:$A, $G174, NewEmisData!$B:$B, $A174, NewEmisData!$C:$C, $H174, NewEmisData!$D:$D, BR$6)</f>
        <v>7.42380058325005</v>
      </c>
      <c r="BS174" s="1111">
        <f>SUMIFS(NewEmisData!K:K, NewEmisData!$A:$A, $G174, NewEmisData!$B:$B, $A174, NewEmisData!$C:$C, $H174, NewEmisData!$D:$D, BS$6)</f>
        <v>7.4426275255201499</v>
      </c>
      <c r="BT174" s="1111">
        <f>SUMIFS(NewEmisData!L:L, NewEmisData!$A:$A, $G174, NewEmisData!$B:$B, $A174, NewEmisData!$C:$C, $H174, NewEmisData!$D:$D, BT$6)</f>
        <v>7.4685453226779002</v>
      </c>
      <c r="BU174" s="1111">
        <f>SUMIFS(NewEmisData!M:M, NewEmisData!$A:$A, $G174, NewEmisData!$B:$B, $A174, NewEmisData!$C:$C, $H174, NewEmisData!$D:$D, BU$6)</f>
        <v>7.4852296254001702</v>
      </c>
      <c r="BV174" s="1111">
        <f t="shared" si="248"/>
        <v>7.4852296254001702</v>
      </c>
      <c r="BW174" s="1111">
        <f t="shared" si="249"/>
        <v>1.81554554352594</v>
      </c>
      <c r="BX174" s="1111">
        <f>SUMIFS(NewEmisData!E:E, NewEmisData!$A:$A, $G174, NewEmisData!$B:$B, $A174, NewEmisData!$C:$C, $H174, NewEmisData!$D:$D, BX$6)</f>
        <v>1.81554554352594</v>
      </c>
      <c r="BY174" s="1111">
        <f>SUMIFS(NewEmisData!F:F, NewEmisData!$A:$A, $G174, NewEmisData!$B:$B, $A174, NewEmisData!$C:$C, $H174, NewEmisData!$D:$D, BY$6)</f>
        <v>1.3100717618514499</v>
      </c>
      <c r="BZ174" s="1111">
        <f>SUMIFS(NewEmisData!G:G, NewEmisData!$A:$A, $G174, NewEmisData!$B:$B, $A174, NewEmisData!$C:$C, $H174, NewEmisData!$D:$D, BZ$6)</f>
        <v>0.39370379160048102</v>
      </c>
      <c r="CA174" s="1111">
        <f>SUMIFS(NewEmisData!H:H, NewEmisData!$A:$A, $G174, NewEmisData!$B:$B, $A174, NewEmisData!$C:$C, $H174, NewEmisData!$D:$D, CA$6)</f>
        <v>0.31228113561307103</v>
      </c>
      <c r="CB174" s="1111">
        <f>SUMIFS(NewEmisData!I:I, NewEmisData!$A:$A, $G174, NewEmisData!$B:$B, $A174, NewEmisData!$C:$C, $H174, NewEmisData!$D:$D, CB$6)</f>
        <v>0.28237497464649203</v>
      </c>
      <c r="CC174" s="1111">
        <f>SUMIFS(NewEmisData!J:J, NewEmisData!$A:$A, $G174, NewEmisData!$B:$B, $A174, NewEmisData!$C:$C, $H174, NewEmisData!$D:$D, CC$6)</f>
        <v>0.27043603612734302</v>
      </c>
      <c r="CD174" s="1111">
        <f>SUMIFS(NewEmisData!K:K, NewEmisData!$A:$A, $G174, NewEmisData!$B:$B, $A174, NewEmisData!$C:$C, $H174, NewEmisData!$D:$D, CD$6)</f>
        <v>0.26884074434480698</v>
      </c>
      <c r="CE174" s="1111">
        <f>SUMIFS(NewEmisData!L:L, NewEmisData!$A:$A, $G174, NewEmisData!$B:$B, $A174, NewEmisData!$C:$C, $H174, NewEmisData!$D:$D, CE$6)</f>
        <v>0.268857395941977</v>
      </c>
      <c r="CF174" s="1111">
        <f>SUMIFS(NewEmisData!M:M, NewEmisData!$A:$A, $G174, NewEmisData!$B:$B, $A174, NewEmisData!$C:$C, $H174, NewEmisData!$D:$D, CF$6)</f>
        <v>0.26888130166281199</v>
      </c>
      <c r="CG174" s="1111">
        <f t="shared" si="250"/>
        <v>0.26888130166281199</v>
      </c>
      <c r="CH174" s="1111">
        <f t="shared" si="251"/>
        <v>4.4354850737075603E-2</v>
      </c>
      <c r="CI174" s="1111">
        <f>SUMIFS(NewEmisData!E:E, NewEmisData!$A:$A, $G174, NewEmisData!$B:$B, $A174, NewEmisData!$C:$C, $H174, NewEmisData!$D:$D, CI$6)</f>
        <v>4.4354850737075603E-2</v>
      </c>
      <c r="CJ174" s="1111">
        <f>SUMIFS(NewEmisData!F:F, NewEmisData!$A:$A, $G174, NewEmisData!$B:$B, $A174, NewEmisData!$C:$C, $H174, NewEmisData!$D:$D, CJ$6)</f>
        <v>4.4606421809548602E-2</v>
      </c>
      <c r="CK174" s="1111">
        <f>SUMIFS(NewEmisData!G:G, NewEmisData!$A:$A, $G174, NewEmisData!$B:$B, $A174, NewEmisData!$C:$C, $H174, NewEmisData!$D:$D, CK$6)</f>
        <v>4.5833727376490101E-2</v>
      </c>
      <c r="CL174" s="1111">
        <f>SUMIFS(NewEmisData!H:H, NewEmisData!$A:$A, $G174, NewEmisData!$B:$B, $A174, NewEmisData!$C:$C, $H174, NewEmisData!$D:$D, CL$6)</f>
        <v>4.5835915019940797E-2</v>
      </c>
      <c r="CM174" s="1111">
        <f>SUMIFS(NewEmisData!I:I, NewEmisData!$A:$A, $G174, NewEmisData!$B:$B, $A174, NewEmisData!$C:$C, $H174, NewEmisData!$D:$D, CM$6)</f>
        <v>4.5836924876248103E-2</v>
      </c>
      <c r="CN174" s="1111">
        <f>SUMIFS(NewEmisData!J:J, NewEmisData!$A:$A, $G174, NewEmisData!$B:$B, $A174, NewEmisData!$C:$C, $H174, NewEmisData!$D:$D, CN$6)</f>
        <v>4.5837206762828597E-2</v>
      </c>
      <c r="CO174" s="1111">
        <f>SUMIFS(NewEmisData!K:K, NewEmisData!$A:$A, $G174, NewEmisData!$B:$B, $A174, NewEmisData!$C:$C, $H174, NewEmisData!$D:$D, CO$6)</f>
        <v>4.5837285402718399E-2</v>
      </c>
      <c r="CP174" s="1111">
        <f>SUMIFS(NewEmisData!L:L, NewEmisData!$A:$A, $G174, NewEmisData!$B:$B, $A174, NewEmisData!$C:$C, $H174, NewEmisData!$D:$D, CP$6)</f>
        <v>4.5837327743812703E-2</v>
      </c>
      <c r="CQ174" s="1111">
        <f>SUMIFS(NewEmisData!M:M, NewEmisData!$A:$A, $G174, NewEmisData!$B:$B, $A174, NewEmisData!$C:$C, $H174, NewEmisData!$D:$D, CQ$6)</f>
        <v>4.5837305828443899E-2</v>
      </c>
      <c r="CR174" s="1111">
        <f t="shared" si="252"/>
        <v>4.5837305828443899E-2</v>
      </c>
      <c r="CS174" s="1111">
        <f t="shared" si="253"/>
        <v>4.9787516424166102E-2</v>
      </c>
      <c r="CT174" s="1111">
        <f>SUMIFS(NewEmisData!E:E, NewEmisData!$A:$A, $G174, NewEmisData!$B:$B, $A174, NewEmisData!$C:$C, $H174, NewEmisData!$D:$D, CT$6)</f>
        <v>4.9787516424166102E-2</v>
      </c>
      <c r="CU174" s="1111">
        <f>SUMIFS(NewEmisData!F:F, NewEmisData!$A:$A, $G174, NewEmisData!$B:$B, $A174, NewEmisData!$C:$C, $H174, NewEmisData!$D:$D, CU$6)</f>
        <v>4.0085775499257799E-2</v>
      </c>
      <c r="CV174" s="1111">
        <f>SUMIFS(NewEmisData!G:G, NewEmisData!$A:$A, $G174, NewEmisData!$B:$B, $A174, NewEmisData!$C:$C, $H174, NewEmisData!$D:$D, CV$6)</f>
        <v>1.5231093201386501E-2</v>
      </c>
      <c r="CW174" s="1111">
        <f>SUMIFS(NewEmisData!H:H, NewEmisData!$A:$A, $G174, NewEmisData!$B:$B, $A174, NewEmisData!$C:$C, $H174, NewEmisData!$D:$D, CW$6)</f>
        <v>1.05082390102391E-2</v>
      </c>
      <c r="CX174" s="1111">
        <f>SUMIFS(NewEmisData!I:I, NewEmisData!$A:$A, $G174, NewEmisData!$B:$B, $A174, NewEmisData!$C:$C, $H174, NewEmisData!$D:$D, CX$6)</f>
        <v>9.2332663114354004E-3</v>
      </c>
      <c r="CY174" s="1111">
        <f>SUMIFS(NewEmisData!J:J, NewEmisData!$A:$A, $G174, NewEmisData!$B:$B, $A174, NewEmisData!$C:$C, $H174, NewEmisData!$D:$D, CY$6)</f>
        <v>8.8795270887270794E-3</v>
      </c>
      <c r="CZ174" s="1111">
        <f>SUMIFS(NewEmisData!K:K, NewEmisData!$A:$A, $G174, NewEmisData!$B:$B, $A174, NewEmisData!$C:$C, $H174, NewEmisData!$D:$D, CZ$6)</f>
        <v>8.8375979409894192E-3</v>
      </c>
      <c r="DA174" s="1111">
        <f>SUMIFS(NewEmisData!L:L, NewEmisData!$A:$A, $G174, NewEmisData!$B:$B, $A174, NewEmisData!$C:$C, $H174, NewEmisData!$D:$D, DA$6)</f>
        <v>8.8119276303445203E-3</v>
      </c>
      <c r="DB174" s="1111">
        <f>SUMIFS(NewEmisData!M:M, NewEmisData!$A:$A, $G174, NewEmisData!$B:$B, $A174, NewEmisData!$C:$C, $H174, NewEmisData!$D:$D, DB$6)</f>
        <v>8.8259459804548995E-3</v>
      </c>
      <c r="DC174" s="1111">
        <f t="shared" si="254"/>
        <v>8.8259459804548995E-3</v>
      </c>
      <c r="DD174" s="1111"/>
      <c r="DE174" s="1111"/>
      <c r="DF174" s="1111"/>
      <c r="DG174" s="1111"/>
      <c r="DH174" s="1111"/>
      <c r="DI174" s="1111"/>
      <c r="DJ174" s="1111"/>
      <c r="DK174" s="1111"/>
      <c r="DL174" s="1111"/>
      <c r="DM174" s="1111"/>
      <c r="DN174" s="1111"/>
      <c r="DO174" s="1111"/>
      <c r="DP174" s="1111"/>
      <c r="DQ174" s="1111"/>
      <c r="DR174" s="1111"/>
      <c r="DS174" s="1111"/>
      <c r="DT174" s="1111"/>
      <c r="DU174" s="1111"/>
      <c r="DV174" s="1111"/>
      <c r="DW174" s="1111"/>
      <c r="DX174" s="1111"/>
      <c r="DY174" s="1111"/>
      <c r="DZ174" s="1111">
        <f t="shared" si="255"/>
        <v>4.44098100343151E-2</v>
      </c>
      <c r="EA174" s="1111">
        <f>SUMIFS(NewEmisData!E:E, NewEmisData!$A:$A, $G174, NewEmisData!$B:$B, $A174, NewEmisData!$C:$C, $H174, NewEmisData!$D:$D, EA$6)</f>
        <v>4.44098100343151E-2</v>
      </c>
      <c r="EB174" s="1111">
        <f>SUMIFS(NewEmisData!F:F, NewEmisData!$A:$A, $G174, NewEmisData!$B:$B, $A174, NewEmisData!$C:$C, $H174, NewEmisData!$D:$D, EB$6)</f>
        <v>2.9304673870380101E-2</v>
      </c>
      <c r="EC174" s="1111">
        <f>SUMIFS(NewEmisData!G:G, NewEmisData!$A:$A, $G174, NewEmisData!$B:$B, $A174, NewEmisData!$C:$C, $H174, NewEmisData!$D:$D, EC$6)</f>
        <v>9.6598752165466002E-3</v>
      </c>
      <c r="ED174" s="1111">
        <f>SUMIFS(NewEmisData!H:H, NewEmisData!$A:$A, $G174, NewEmisData!$B:$B, $A174, NewEmisData!$C:$C, $H174, NewEmisData!$D:$D, ED$6)</f>
        <v>8.2574531868545402E-3</v>
      </c>
      <c r="EE174" s="1111">
        <f>SUMIFS(NewEmisData!I:I, NewEmisData!$A:$A, $G174, NewEmisData!$B:$B, $A174, NewEmisData!$C:$C, $H174, NewEmisData!$D:$D, EE$6)</f>
        <v>7.8634646205182502E-3</v>
      </c>
      <c r="EF174" s="1111">
        <f>SUMIFS(NewEmisData!J:J, NewEmisData!$A:$A, $G174, NewEmisData!$B:$B, $A174, NewEmisData!$C:$C, $H174, NewEmisData!$D:$D, EF$6)</f>
        <v>7.7933832365119603E-3</v>
      </c>
      <c r="EG174" s="1111">
        <f>SUMIFS(NewEmisData!K:K, NewEmisData!$A:$A, $G174, NewEmisData!$B:$B, $A174, NewEmisData!$C:$C, $H174, NewEmisData!$D:$D, EG$6)</f>
        <v>7.8217032086275798E-3</v>
      </c>
      <c r="EH174" s="1111">
        <f>SUMIFS(NewEmisData!L:L, NewEmisData!$A:$A, $G174, NewEmisData!$B:$B, $A174, NewEmisData!$C:$C, $H174, NewEmisData!$D:$D, EH$6)</f>
        <v>7.8307139594945199E-3</v>
      </c>
      <c r="EI174" s="1111">
        <f>SUMIFS(NewEmisData!M:M, NewEmisData!$A:$A, $G174, NewEmisData!$B:$B, $A174, NewEmisData!$C:$C, $H174, NewEmisData!$D:$D, EI$6)</f>
        <v>7.8300628211082704E-3</v>
      </c>
      <c r="EJ174" s="1111">
        <f t="shared" si="256"/>
        <v>7.8300628211082704E-3</v>
      </c>
      <c r="EK174" s="1111">
        <f t="shared" si="257"/>
        <v>1295.14987573646</v>
      </c>
      <c r="EL174" s="1111">
        <f t="shared" si="269"/>
        <v>1295.14987573646</v>
      </c>
      <c r="EM174" s="1111">
        <f t="shared" si="270"/>
        <v>1270.8053069328</v>
      </c>
      <c r="EN174" s="1111">
        <f t="shared" si="271"/>
        <v>1116.9310844665499</v>
      </c>
      <c r="EO174" s="1111">
        <f t="shared" si="272"/>
        <v>1096.47271752758</v>
      </c>
      <c r="EP174" s="1111">
        <f t="shared" si="273"/>
        <v>1080.35797958793</v>
      </c>
      <c r="EQ174" s="1111">
        <f t="shared" si="274"/>
        <v>1076.1283631843501</v>
      </c>
      <c r="ER174" s="1111">
        <f t="shared" si="275"/>
        <v>1074.99841740493</v>
      </c>
      <c r="ES174" s="1111">
        <f t="shared" si="276"/>
        <v>1074.7768639159699</v>
      </c>
      <c r="ET174" s="1111">
        <f t="shared" si="277"/>
        <v>1074.7231317103101</v>
      </c>
      <c r="EU174" s="1111">
        <f t="shared" si="278"/>
        <v>1074.7231317103101</v>
      </c>
      <c r="EV174" s="1111">
        <f t="shared" si="258"/>
        <v>4.7005442822918502</v>
      </c>
      <c r="EW174" s="1111">
        <f t="shared" si="259"/>
        <v>4.7005442822918502</v>
      </c>
      <c r="EX174" s="1111">
        <f t="shared" si="260"/>
        <v>3.08259000861326</v>
      </c>
      <c r="EY174" s="1111">
        <f t="shared" si="261"/>
        <v>1.0390638212911101</v>
      </c>
      <c r="EZ174" s="1111">
        <f t="shared" si="262"/>
        <v>0.75779261060598802</v>
      </c>
      <c r="FA174" s="1111">
        <f t="shared" si="263"/>
        <v>0.63538679073275195</v>
      </c>
      <c r="FB174" s="1111">
        <f t="shared" si="264"/>
        <v>0.580083255346031</v>
      </c>
      <c r="FC174" s="1111">
        <f t="shared" si="265"/>
        <v>0.56397155784451702</v>
      </c>
      <c r="FD174" s="1111">
        <f t="shared" si="266"/>
        <v>0.56043589289625795</v>
      </c>
      <c r="FE174" s="1111">
        <f t="shared" si="267"/>
        <v>0.55941898537579804</v>
      </c>
      <c r="FF174" s="1111">
        <f t="shared" si="268"/>
        <v>0.55941898537579804</v>
      </c>
      <c r="FG174" s="1111">
        <f t="shared" si="193"/>
        <v>2.4310232310109099E-2</v>
      </c>
      <c r="FH174" s="1111">
        <f t="shared" si="194"/>
        <v>2.4310232310109099E-2</v>
      </c>
      <c r="FI174" s="1111">
        <f t="shared" si="195"/>
        <v>2.26976790505827E-2</v>
      </c>
      <c r="FJ174" s="1111">
        <f t="shared" si="196"/>
        <v>1.6022950426801401E-2</v>
      </c>
      <c r="FK174" s="1111">
        <f t="shared" si="197"/>
        <v>1.5729470038709299E-2</v>
      </c>
      <c r="FL174" s="1111">
        <f t="shared" si="198"/>
        <v>1.5498287302921E-2</v>
      </c>
      <c r="FM174" s="1111">
        <f t="shared" si="199"/>
        <v>1.5437619705180801E-2</v>
      </c>
      <c r="FN174" s="1111">
        <f t="shared" si="200"/>
        <v>1.5421408919953399E-2</v>
      </c>
      <c r="FO174" s="1111">
        <f t="shared" si="201"/>
        <v>1.5418227354463399E-2</v>
      </c>
      <c r="FP174" s="1111">
        <f t="shared" si="202"/>
        <v>1.54174639116704E-2</v>
      </c>
      <c r="FQ174" s="1111">
        <f t="shared" si="203"/>
        <v>1.54174639116704E-2</v>
      </c>
      <c r="FR174" s="1111">
        <f t="shared" si="230"/>
        <v>0.19559792469321799</v>
      </c>
      <c r="FS174" s="1111">
        <f t="shared" si="231"/>
        <v>0.19559792469321799</v>
      </c>
      <c r="FT174" s="1111">
        <f t="shared" si="232"/>
        <v>0.195854498358668</v>
      </c>
      <c r="FU174" s="1111">
        <f t="shared" si="233"/>
        <v>0.158834423055883</v>
      </c>
      <c r="FV174" s="1111">
        <f t="shared" si="234"/>
        <v>0.15912944493902401</v>
      </c>
      <c r="FW174" s="1111">
        <f t="shared" si="235"/>
        <v>0.159508665245508</v>
      </c>
      <c r="FX174" s="1111">
        <f t="shared" si="236"/>
        <v>0.15973496976197599</v>
      </c>
      <c r="FY174" s="1111">
        <f t="shared" si="237"/>
        <v>0.15985029461774</v>
      </c>
      <c r="FZ174" s="1111">
        <f t="shared" si="238"/>
        <v>0.159884874617258</v>
      </c>
      <c r="GA174" s="1111">
        <f t="shared" si="239"/>
        <v>0.15989716821268901</v>
      </c>
      <c r="GB174" s="1111">
        <f t="shared" si="240"/>
        <v>0.15989716821268901</v>
      </c>
      <c r="GC174" s="1111">
        <f t="shared" si="279"/>
        <v>6.1407596132052197E-2</v>
      </c>
      <c r="GD174" s="1111">
        <f t="shared" si="280"/>
        <v>6.1407596132052197E-2</v>
      </c>
      <c r="GE174" s="1111">
        <f t="shared" si="281"/>
        <v>5.5619399593761901E-2</v>
      </c>
      <c r="GF174" s="1111">
        <f t="shared" si="282"/>
        <v>2.6501774627894398E-2</v>
      </c>
      <c r="GG174" s="1111">
        <f t="shared" si="283"/>
        <v>2.6535568582948001E-2</v>
      </c>
      <c r="GH174" s="1111">
        <f t="shared" si="284"/>
        <v>2.68240676450552E-2</v>
      </c>
      <c r="GI174" s="1111">
        <f t="shared" si="285"/>
        <v>2.7011500327140701E-2</v>
      </c>
      <c r="GJ174" s="1111">
        <f t="shared" si="286"/>
        <v>2.71105372443806E-2</v>
      </c>
      <c r="GK174" s="1111">
        <f t="shared" si="287"/>
        <v>2.7140215075382799E-2</v>
      </c>
      <c r="GL174" s="1111">
        <f t="shared" si="288"/>
        <v>2.7151187263261201E-2</v>
      </c>
      <c r="GM174" s="1111">
        <f t="shared" si="289"/>
        <v>2.7151187263261201E-2</v>
      </c>
    </row>
    <row r="175" spans="1:195" x14ac:dyDescent="0.2">
      <c r="A175" s="1071" t="s">
        <v>190</v>
      </c>
      <c r="B175" s="1071" t="str">
        <f>Technologies!C117</f>
        <v>TMGSLAH</v>
      </c>
      <c r="C175" s="1071" t="str">
        <f>Technologies!D117</f>
        <v>Medium Duty Truck, Advanced Hybrid Gasoline</v>
      </c>
      <c r="D175" s="1071" t="str">
        <f>NewTech!D69</f>
        <v>bn-vmt, bn-vmt/a</v>
      </c>
      <c r="E175" s="1071" t="str">
        <f>NewTech!E70</f>
        <v>TMGSL</v>
      </c>
      <c r="F175" s="1071" t="str">
        <f>NewTech!F70</f>
        <v>TM</v>
      </c>
      <c r="G175" s="1110" t="s">
        <v>503</v>
      </c>
      <c r="H175" s="1110" t="s">
        <v>500</v>
      </c>
      <c r="I175" s="1112">
        <v>1</v>
      </c>
      <c r="J175" s="1111" t="str">
        <f t="shared" si="37"/>
        <v>Medium duty-GSL</v>
      </c>
      <c r="K175" s="1111">
        <f>SUMIFS(NewEmisData!E:E, NewEmisData!$A:$A, $G175, NewEmisData!$B:$B, $A175, NewEmisData!$C:$C, $H175, NewEmisData!$D:$D, K$6)</f>
        <v>1204.2704996203399</v>
      </c>
      <c r="L175" s="1111">
        <f>SUMIFS(NewEmisData!F:F, NewEmisData!$A:$A, $G175, NewEmisData!$B:$B, $A175, NewEmisData!$C:$C, $H175, NewEmisData!$D:$D, L$6)</f>
        <v>1280.9014839137801</v>
      </c>
      <c r="M175" s="1111">
        <f>SUMIFS(NewEmisData!G:G, NewEmisData!$A:$A, $G175, NewEmisData!$B:$B, $A175, NewEmisData!$C:$C, $H175, NewEmisData!$D:$D, M$6)</f>
        <v>1309.1277572440899</v>
      </c>
      <c r="N175" s="1111">
        <f>SUMIFS(NewEmisData!H:H, NewEmisData!$A:$A, $G175, NewEmisData!$B:$B, $A175, NewEmisData!$C:$C, $H175, NewEmisData!$D:$D, N$6)</f>
        <v>1277.5848439676099</v>
      </c>
      <c r="O175" s="1111">
        <f>SUMIFS(NewEmisData!I:I, NewEmisData!$A:$A, $G175, NewEmisData!$B:$B, $A175, NewEmisData!$C:$C, $H175, NewEmisData!$D:$D, O$6)</f>
        <v>1259.05503169493</v>
      </c>
      <c r="P175" s="1111">
        <f>SUMIFS(NewEmisData!J:J, NewEmisData!$A:$A, $G175, NewEmisData!$B:$B, $A175, NewEmisData!$C:$C, $H175, NewEmisData!$D:$D, P$6)</f>
        <v>1254.08723086747</v>
      </c>
      <c r="Q175" s="1111">
        <f>SUMIFS(NewEmisData!K:K, NewEmisData!$A:$A, $G175, NewEmisData!$B:$B, $A175, NewEmisData!$C:$C, $H175, NewEmisData!$D:$D, Q$6)</f>
        <v>1252.90461894546</v>
      </c>
      <c r="R175" s="1111">
        <f>SUMIFS(NewEmisData!L:L, NewEmisData!$A:$A, $G175, NewEmisData!$B:$B, $A175, NewEmisData!$C:$C, $H175, NewEmisData!$D:$D, R$6)</f>
        <v>1252.7104430173399</v>
      </c>
      <c r="S175" s="1111">
        <f>SUMIFS(NewEmisData!M:M, NewEmisData!$A:$A, $G175, NewEmisData!$B:$B, $A175, NewEmisData!$C:$C, $H175, NewEmisData!$D:$D, S$6)</f>
        <v>1252.6870397442001</v>
      </c>
      <c r="T175" s="1111">
        <f t="shared" si="290"/>
        <v>1252.6870397442001</v>
      </c>
      <c r="U175" s="1111">
        <f>SUMIFS(NewEmisData!E:E, NewEmisData!$A:$A, $G175, NewEmisData!$B:$B, $A175, NewEmisData!$C:$C, $H175, NewEmisData!$D:$D, U$6)</f>
        <v>4.3448715610080901</v>
      </c>
      <c r="V175" s="1111">
        <f>SUMIFS(NewEmisData!F:F, NewEmisData!$A:$A, $G175, NewEmisData!$B:$B, $A175, NewEmisData!$C:$C, $H175, NewEmisData!$D:$D, V$6)</f>
        <v>2.68000771941229</v>
      </c>
      <c r="W175" s="1111">
        <f>SUMIFS(NewEmisData!G:G, NewEmisData!$A:$A, $G175, NewEmisData!$B:$B, $A175, NewEmisData!$C:$C, $H175, NewEmisData!$D:$D, W$6)</f>
        <v>1.2701406141530101</v>
      </c>
      <c r="X175" s="1111">
        <f>SUMIFS(NewEmisData!H:H, NewEmisData!$A:$A, $G175, NewEmisData!$B:$B, $A175, NewEmisData!$C:$C, $H175, NewEmisData!$D:$D, X$6)</f>
        <v>0.89637025450783203</v>
      </c>
      <c r="Y175" s="1111">
        <f>SUMIFS(NewEmisData!I:I, NewEmisData!$A:$A, $G175, NewEmisData!$B:$B, $A175, NewEmisData!$C:$C, $H175, NewEmisData!$D:$D, Y$6)</f>
        <v>0.74230586472414295</v>
      </c>
      <c r="Z175" s="1111">
        <f>SUMIFS(NewEmisData!J:J, NewEmisData!$A:$A, $G175, NewEmisData!$B:$B, $A175, NewEmisData!$C:$C, $H175, NewEmisData!$D:$D, Z$6)</f>
        <v>0.67198096175904998</v>
      </c>
      <c r="AA175" s="1111">
        <f>SUMIFS(NewEmisData!K:K, NewEmisData!$A:$A, $G175, NewEmisData!$B:$B, $A175, NewEmisData!$C:$C, $H175, NewEmisData!$D:$D, AA$6)</f>
        <v>0.65082523068374698</v>
      </c>
      <c r="AB175" s="1111">
        <f>SUMIFS(NewEmisData!L:L, NewEmisData!$A:$A, $G175, NewEmisData!$B:$B, $A175, NewEmisData!$C:$C, $H175, NewEmisData!$D:$D, AB$6)</f>
        <v>0.64636795436825401</v>
      </c>
      <c r="AC175" s="1111">
        <f>SUMIFS(NewEmisData!M:M, NewEmisData!$A:$A, $G175, NewEmisData!$B:$B, $A175, NewEmisData!$C:$C, $H175, NewEmisData!$D:$D, AC$6)</f>
        <v>0.64488416341078902</v>
      </c>
      <c r="AD175" s="1111">
        <f t="shared" si="229"/>
        <v>0.64488416341078902</v>
      </c>
      <c r="AE175" s="1111">
        <f t="shared" si="241"/>
        <v>2.08381055217347E-2</v>
      </c>
      <c r="AF175" s="1111">
        <f>SUMIFS(NewEmisData!E:E, NewEmisData!$A:$A, $G175, NewEmisData!$B:$B, $A175, NewEmisData!$C:$C, $H175, NewEmisData!$D:$D, AF$6)</f>
        <v>2.08381055217347E-2</v>
      </c>
      <c r="AG175" s="1111">
        <f>SUMIFS(NewEmisData!F:F, NewEmisData!$A:$A, $G175, NewEmisData!$B:$B, $A175, NewEmisData!$C:$C, $H175, NewEmisData!$D:$D, AG$6)</f>
        <v>2.2164087103621902E-2</v>
      </c>
      <c r="AH175" s="1111">
        <f>SUMIFS(NewEmisData!G:G, NewEmisData!$A:$A, $G175, NewEmisData!$B:$B, $A175, NewEmisData!$C:$C, $H175, NewEmisData!$D:$D, AH$6)</f>
        <v>1.8780122769194701E-2</v>
      </c>
      <c r="AI175" s="1111">
        <f>SUMIFS(NewEmisData!H:H, NewEmisData!$A:$A, $G175, NewEmisData!$B:$B, $A175, NewEmisData!$C:$C, $H175, NewEmisData!$D:$D, AI$6)</f>
        <v>1.8327610114874E-2</v>
      </c>
      <c r="AJ175" s="1111">
        <f>SUMIFS(NewEmisData!I:I, NewEmisData!$A:$A, $G175, NewEmisData!$B:$B, $A175, NewEmisData!$C:$C, $H175, NewEmisData!$D:$D, AJ$6)</f>
        <v>1.8061800865337901E-2</v>
      </c>
      <c r="AK175" s="1111">
        <f>SUMIFS(NewEmisData!J:J, NewEmisData!$A:$A, $G175, NewEmisData!$B:$B, $A175, NewEmisData!$C:$C, $H175, NewEmisData!$D:$D, AK$6)</f>
        <v>1.79905289884639E-2</v>
      </c>
      <c r="AL175" s="1111">
        <f>SUMIFS(NewEmisData!K:K, NewEmisData!$A:$A, $G175, NewEmisData!$B:$B, $A175, NewEmisData!$C:$C, $H175, NewEmisData!$D:$D, AL$6)</f>
        <v>1.7973564507445701E-2</v>
      </c>
      <c r="AM175" s="1111">
        <f>SUMIFS(NewEmisData!L:L, NewEmisData!$A:$A, $G175, NewEmisData!$B:$B, $A175, NewEmisData!$C:$C, $H175, NewEmisData!$D:$D, AM$6)</f>
        <v>1.7970784643505301E-2</v>
      </c>
      <c r="AN175" s="1111">
        <f>SUMIFS(NewEmisData!M:M, NewEmisData!$A:$A, $G175, NewEmisData!$B:$B, $A175, NewEmisData!$C:$C, $H175, NewEmisData!$D:$D, AN$6)</f>
        <v>1.7970446963254401E-2</v>
      </c>
      <c r="AO175" s="1111">
        <f t="shared" si="242"/>
        <v>1.7970446963254401E-2</v>
      </c>
      <c r="AP175" s="1111">
        <f t="shared" si="243"/>
        <v>0.19574828311834699</v>
      </c>
      <c r="AQ175" s="1111">
        <f>SUMIFS(NewEmisData!E:E, NewEmisData!$A:$A, $G175, NewEmisData!$B:$B, $A175, NewEmisData!$C:$C, $H175, NewEmisData!$D:$D, AQ$6)</f>
        <v>0.19574828311834699</v>
      </c>
      <c r="AR175" s="1111">
        <f>SUMIFS(NewEmisData!F:F, NewEmisData!$A:$A, $G175, NewEmisData!$B:$B, $A175, NewEmisData!$C:$C, $H175, NewEmisData!$D:$D, AR$6)</f>
        <v>0.191259101148397</v>
      </c>
      <c r="AS175" s="1111">
        <f>SUMIFS(NewEmisData!G:G, NewEmisData!$A:$A, $G175, NewEmisData!$B:$B, $A175, NewEmisData!$C:$C, $H175, NewEmisData!$D:$D, AS$6)</f>
        <v>0.21457849181088401</v>
      </c>
      <c r="AT175" s="1111">
        <f>SUMIFS(NewEmisData!H:H, NewEmisData!$A:$A, $G175, NewEmisData!$B:$B, $A175, NewEmisData!$C:$C, $H175, NewEmisData!$D:$D, AT$6)</f>
        <v>0.215053494777702</v>
      </c>
      <c r="AU175" s="1111">
        <f>SUMIFS(NewEmisData!I:I, NewEmisData!$A:$A, $G175, NewEmisData!$B:$B, $A175, NewEmisData!$C:$C, $H175, NewEmisData!$D:$D, AU$6)</f>
        <v>0.21551298465650401</v>
      </c>
      <c r="AV175" s="1111">
        <f>SUMIFS(NewEmisData!J:J, NewEmisData!$A:$A, $G175, NewEmisData!$B:$B, $A175, NewEmisData!$C:$C, $H175, NewEmisData!$D:$D, AV$6)</f>
        <v>0.215835472913527</v>
      </c>
      <c r="AW175" s="1111">
        <f>SUMIFS(NewEmisData!K:K, NewEmisData!$A:$A, $G175, NewEmisData!$B:$B, $A175, NewEmisData!$C:$C, $H175, NewEmisData!$D:$D, AW$6)</f>
        <v>0.21602305396888299</v>
      </c>
      <c r="AX175" s="1111">
        <f>SUMIFS(NewEmisData!L:L, NewEmisData!$A:$A, $G175, NewEmisData!$B:$B, $A175, NewEmisData!$C:$C, $H175, NewEmisData!$D:$D, AX$6)</f>
        <v>0.21608589786817001</v>
      </c>
      <c r="AY175" s="1111">
        <f>SUMIFS(NewEmisData!M:M, NewEmisData!$A:$A, $G175, NewEmisData!$B:$B, $A175, NewEmisData!$C:$C, $H175, NewEmisData!$D:$D, AY$6)</f>
        <v>0.216113244270948</v>
      </c>
      <c r="AZ175" s="1111">
        <f t="shared" si="244"/>
        <v>0.216113244270948</v>
      </c>
      <c r="BA175" s="1111">
        <f t="shared" si="245"/>
        <v>4.1988899098410401E-2</v>
      </c>
      <c r="BB175" s="1111">
        <f>SUMIFS(NewEmisData!E:E, NewEmisData!$A:$A, $G175, NewEmisData!$B:$B, $A175, NewEmisData!$C:$C, $H175, NewEmisData!$D:$D, BB$6)</f>
        <v>4.1988899098410401E-2</v>
      </c>
      <c r="BC175" s="1111">
        <f>SUMIFS(NewEmisData!F:F, NewEmisData!$A:$A, $G175, NewEmisData!$B:$B, $A175, NewEmisData!$C:$C, $H175, NewEmisData!$D:$D, BC$6)</f>
        <v>4.04221270662211E-2</v>
      </c>
      <c r="BD175" s="1111">
        <f>SUMIFS(NewEmisData!G:G, NewEmisData!$A:$A, $G175, NewEmisData!$B:$B, $A175, NewEmisData!$C:$C, $H175, NewEmisData!$D:$D, BD$6)</f>
        <v>3.5246180151429399E-2</v>
      </c>
      <c r="BE175" s="1111">
        <f>SUMIFS(NewEmisData!H:H, NewEmisData!$A:$A, $G175, NewEmisData!$B:$B, $A175, NewEmisData!$C:$C, $H175, NewEmisData!$D:$D, BE$6)</f>
        <v>3.4950821311789601E-2</v>
      </c>
      <c r="BF175" s="1111">
        <f>SUMIFS(NewEmisData!I:I, NewEmisData!$A:$A, $G175, NewEmisData!$B:$B, $A175, NewEmisData!$C:$C, $H175, NewEmisData!$D:$D, BF$6)</f>
        <v>3.5285067945859602E-2</v>
      </c>
      <c r="BG175" s="1111">
        <f>SUMIFS(NewEmisData!J:J, NewEmisData!$A:$A, $G175, NewEmisData!$B:$B, $A175, NewEmisData!$C:$C, $H175, NewEmisData!$D:$D, BG$6)</f>
        <v>3.55346528981796E-2</v>
      </c>
      <c r="BH175" s="1111">
        <f>SUMIFS(NewEmisData!K:K, NewEmisData!$A:$A, $G175, NewEmisData!$B:$B, $A175, NewEmisData!$C:$C, $H175, NewEmisData!$D:$D, BH$6)</f>
        <v>3.5692682330647998E-2</v>
      </c>
      <c r="BI175" s="1111">
        <f>SUMIFS(NewEmisData!L:L, NewEmisData!$A:$A, $G175, NewEmisData!$B:$B, $A175, NewEmisData!$C:$C, $H175, NewEmisData!$D:$D, BI$6)</f>
        <v>3.57464219039118E-2</v>
      </c>
      <c r="BJ175" s="1111">
        <f>SUMIFS(NewEmisData!M:M, NewEmisData!$A:$A, $G175, NewEmisData!$B:$B, $A175, NewEmisData!$C:$C, $H175, NewEmisData!$D:$D, BJ$6)</f>
        <v>3.5770424866643502E-2</v>
      </c>
      <c r="BK175" s="1111">
        <f t="shared" si="246"/>
        <v>3.5770424866643502E-2</v>
      </c>
      <c r="BL175" s="1111">
        <f t="shared" si="247"/>
        <v>39.441467642192301</v>
      </c>
      <c r="BM175" s="1111">
        <f>SUMIFS(NewEmisData!E:E, NewEmisData!$A:$A, $G175, NewEmisData!$B:$B, $A175, NewEmisData!$C:$C, $H175, NewEmisData!$D:$D, BM$6)</f>
        <v>39.441467642192301</v>
      </c>
      <c r="BN175" s="1111">
        <f>SUMIFS(NewEmisData!F:F, NewEmisData!$A:$A, $G175, NewEmisData!$B:$B, $A175, NewEmisData!$C:$C, $H175, NewEmisData!$D:$D, BN$6)</f>
        <v>29.135339922672099</v>
      </c>
      <c r="BO175" s="1111">
        <f>SUMIFS(NewEmisData!G:G, NewEmisData!$A:$A, $G175, NewEmisData!$B:$B, $A175, NewEmisData!$C:$C, $H175, NewEmisData!$D:$D, BO$6)</f>
        <v>19.258881049018001</v>
      </c>
      <c r="BP175" s="1111">
        <f>SUMIFS(NewEmisData!H:H, NewEmisData!$A:$A, $G175, NewEmisData!$B:$B, $A175, NewEmisData!$C:$C, $H175, NewEmisData!$D:$D, BP$6)</f>
        <v>17.4734501170478</v>
      </c>
      <c r="BQ175" s="1111">
        <f>SUMIFS(NewEmisData!I:I, NewEmisData!$A:$A, $G175, NewEmisData!$B:$B, $A175, NewEmisData!$C:$C, $H175, NewEmisData!$D:$D, BQ$6)</f>
        <v>17.337238430015301</v>
      </c>
      <c r="BR175" s="1111">
        <f>SUMIFS(NewEmisData!J:J, NewEmisData!$A:$A, $G175, NewEmisData!$B:$B, $A175, NewEmisData!$C:$C, $H175, NewEmisData!$D:$D, BR$6)</f>
        <v>17.524592153612701</v>
      </c>
      <c r="BS175" s="1111">
        <f>SUMIFS(NewEmisData!K:K, NewEmisData!$A:$A, $G175, NewEmisData!$B:$B, $A175, NewEmisData!$C:$C, $H175, NewEmisData!$D:$D, BS$6)</f>
        <v>17.768817804957902</v>
      </c>
      <c r="BT175" s="1111">
        <f>SUMIFS(NewEmisData!L:L, NewEmisData!$A:$A, $G175, NewEmisData!$B:$B, $A175, NewEmisData!$C:$C, $H175, NewEmisData!$D:$D, BT$6)</f>
        <v>17.8951685945812</v>
      </c>
      <c r="BU175" s="1111">
        <f>SUMIFS(NewEmisData!M:M, NewEmisData!$A:$A, $G175, NewEmisData!$B:$B, $A175, NewEmisData!$C:$C, $H175, NewEmisData!$D:$D, BU$6)</f>
        <v>17.960459006708199</v>
      </c>
      <c r="BV175" s="1111">
        <f t="shared" si="248"/>
        <v>17.960459006708199</v>
      </c>
      <c r="BW175" s="1111">
        <f t="shared" si="249"/>
        <v>2.13040906292176</v>
      </c>
      <c r="BX175" s="1111">
        <f>SUMIFS(NewEmisData!E:E, NewEmisData!$A:$A, $G175, NewEmisData!$B:$B, $A175, NewEmisData!$C:$C, $H175, NewEmisData!$D:$D, BX$6)</f>
        <v>2.13040906292176</v>
      </c>
      <c r="BY175" s="1111">
        <f>SUMIFS(NewEmisData!F:F, NewEmisData!$A:$A, $G175, NewEmisData!$B:$B, $A175, NewEmisData!$C:$C, $H175, NewEmisData!$D:$D, BY$6)</f>
        <v>1.66747382008761</v>
      </c>
      <c r="BZ175" s="1111">
        <f>SUMIFS(NewEmisData!G:G, NewEmisData!$A:$A, $G175, NewEmisData!$B:$B, $A175, NewEmisData!$C:$C, $H175, NewEmisData!$D:$D, BZ$6)</f>
        <v>0.70330303970302899</v>
      </c>
      <c r="CA175" s="1111">
        <f>SUMIFS(NewEmisData!H:H, NewEmisData!$A:$A, $G175, NewEmisData!$B:$B, $A175, NewEmisData!$C:$C, $H175, NewEmisData!$D:$D, CA$6)</f>
        <v>0.53546087421873401</v>
      </c>
      <c r="CB175" s="1111">
        <f>SUMIFS(NewEmisData!I:I, NewEmisData!$A:$A, $G175, NewEmisData!$B:$B, $A175, NewEmisData!$C:$C, $H175, NewEmisData!$D:$D, CB$6)</f>
        <v>0.48025579187888601</v>
      </c>
      <c r="CC175" s="1111">
        <f>SUMIFS(NewEmisData!J:J, NewEmisData!$A:$A, $G175, NewEmisData!$B:$B, $A175, NewEmisData!$C:$C, $H175, NewEmisData!$D:$D, CC$6)</f>
        <v>0.45829574772287202</v>
      </c>
      <c r="CD175" s="1111">
        <f>SUMIFS(NewEmisData!K:K, NewEmisData!$A:$A, $G175, NewEmisData!$B:$B, $A175, NewEmisData!$C:$C, $H175, NewEmisData!$D:$D, CD$6)</f>
        <v>0.45669528314480901</v>
      </c>
      <c r="CE175" s="1111">
        <f>SUMIFS(NewEmisData!L:L, NewEmisData!$A:$A, $G175, NewEmisData!$B:$B, $A175, NewEmisData!$C:$C, $H175, NewEmisData!$D:$D, CE$6)</f>
        <v>0.45728549159308601</v>
      </c>
      <c r="CF175" s="1111">
        <f>SUMIFS(NewEmisData!M:M, NewEmisData!$A:$A, $G175, NewEmisData!$B:$B, $A175, NewEmisData!$C:$C, $H175, NewEmisData!$D:$D, CF$6)</f>
        <v>0.457470611587183</v>
      </c>
      <c r="CG175" s="1111">
        <f t="shared" si="250"/>
        <v>0.457470611587183</v>
      </c>
      <c r="CH175" s="1111">
        <f t="shared" si="251"/>
        <v>4.4380144922912999E-2</v>
      </c>
      <c r="CI175" s="1111">
        <f>SUMIFS(NewEmisData!E:E, NewEmisData!$A:$A, $G175, NewEmisData!$B:$B, $A175, NewEmisData!$C:$C, $H175, NewEmisData!$D:$D, CI$6)</f>
        <v>4.4380144922912999E-2</v>
      </c>
      <c r="CJ175" s="1111">
        <f>SUMIFS(NewEmisData!F:F, NewEmisData!$A:$A, $G175, NewEmisData!$B:$B, $A175, NewEmisData!$C:$C, $H175, NewEmisData!$D:$D, CJ$6)</f>
        <v>4.4596792152345799E-2</v>
      </c>
      <c r="CK175" s="1111">
        <f>SUMIFS(NewEmisData!G:G, NewEmisData!$A:$A, $G175, NewEmisData!$B:$B, $A175, NewEmisData!$C:$C, $H175, NewEmisData!$D:$D, CK$6)</f>
        <v>5.2215385084052102E-2</v>
      </c>
      <c r="CL175" s="1111">
        <f>SUMIFS(NewEmisData!H:H, NewEmisData!$A:$A, $G175, NewEmisData!$B:$B, $A175, NewEmisData!$C:$C, $H175, NewEmisData!$D:$D, CL$6)</f>
        <v>5.2195799002688101E-2</v>
      </c>
      <c r="CM175" s="1111">
        <f>SUMIFS(NewEmisData!I:I, NewEmisData!$A:$A, $G175, NewEmisData!$B:$B, $A175, NewEmisData!$C:$C, $H175, NewEmisData!$D:$D, CM$6)</f>
        <v>5.2195910515594697E-2</v>
      </c>
      <c r="CN175" s="1111">
        <f>SUMIFS(NewEmisData!J:J, NewEmisData!$A:$A, $G175, NewEmisData!$B:$B, $A175, NewEmisData!$C:$C, $H175, NewEmisData!$D:$D, CN$6)</f>
        <v>5.2195169525564397E-2</v>
      </c>
      <c r="CO175" s="1111">
        <f>SUMIFS(NewEmisData!K:K, NewEmisData!$A:$A, $G175, NewEmisData!$B:$B, $A175, NewEmisData!$C:$C, $H175, NewEmisData!$D:$D, CO$6)</f>
        <v>5.21950010452591E-2</v>
      </c>
      <c r="CP175" s="1111">
        <f>SUMIFS(NewEmisData!L:L, NewEmisData!$A:$A, $G175, NewEmisData!$B:$B, $A175, NewEmisData!$C:$C, $H175, NewEmisData!$D:$D, CP$6)</f>
        <v>5.2194984268704697E-2</v>
      </c>
      <c r="CQ175" s="1111">
        <f>SUMIFS(NewEmisData!M:M, NewEmisData!$A:$A, $G175, NewEmisData!$B:$B, $A175, NewEmisData!$C:$C, $H175, NewEmisData!$D:$D, CQ$6)</f>
        <v>5.2195021896544298E-2</v>
      </c>
      <c r="CR175" s="1111">
        <f t="shared" si="252"/>
        <v>5.2195021896544298E-2</v>
      </c>
      <c r="CS175" s="1111">
        <f t="shared" si="253"/>
        <v>7.6133150476987599E-2</v>
      </c>
      <c r="CT175" s="1111">
        <f>SUMIFS(NewEmisData!E:E, NewEmisData!$A:$A, $G175, NewEmisData!$B:$B, $A175, NewEmisData!$C:$C, $H175, NewEmisData!$D:$D, CT$6)</f>
        <v>7.6133150476987599E-2</v>
      </c>
      <c r="CU175" s="1111">
        <f>SUMIFS(NewEmisData!F:F, NewEmisData!$A:$A, $G175, NewEmisData!$B:$B, $A175, NewEmisData!$C:$C, $H175, NewEmisData!$D:$D, CU$6)</f>
        <v>5.1439402812130802E-2</v>
      </c>
      <c r="CV175" s="1111">
        <f>SUMIFS(NewEmisData!G:G, NewEmisData!$A:$A, $G175, NewEmisData!$B:$B, $A175, NewEmisData!$C:$C, $H175, NewEmisData!$D:$D, CV$6)</f>
        <v>3.2083061737757199E-2</v>
      </c>
      <c r="CW175" s="1111">
        <f>SUMIFS(NewEmisData!H:H, NewEmisData!$A:$A, $G175, NewEmisData!$B:$B, $A175, NewEmisData!$C:$C, $H175, NewEmisData!$D:$D, CW$6)</f>
        <v>2.1832894937405999E-2</v>
      </c>
      <c r="CX175" s="1111">
        <f>SUMIFS(NewEmisData!I:I, NewEmisData!$A:$A, $G175, NewEmisData!$B:$B, $A175, NewEmisData!$C:$C, $H175, NewEmisData!$D:$D, CX$6)</f>
        <v>1.87474521093988E-2</v>
      </c>
      <c r="CY175" s="1111">
        <f>SUMIFS(NewEmisData!J:J, NewEmisData!$A:$A, $G175, NewEmisData!$B:$B, $A175, NewEmisData!$C:$C, $H175, NewEmisData!$D:$D, CY$6)</f>
        <v>1.78599084478736E-2</v>
      </c>
      <c r="CZ175" s="1111">
        <f>SUMIFS(NewEmisData!K:K, NewEmisData!$A:$A, $G175, NewEmisData!$B:$B, $A175, NewEmisData!$C:$C, $H175, NewEmisData!$D:$D, CZ$6)</f>
        <v>1.7770003763788299E-2</v>
      </c>
      <c r="DA175" s="1111">
        <f>SUMIFS(NewEmisData!L:L, NewEmisData!$A:$A, $G175, NewEmisData!$B:$B, $A175, NewEmisData!$C:$C, $H175, NewEmisData!$D:$D, DA$6)</f>
        <v>1.7699213019639601E-2</v>
      </c>
      <c r="DB175" s="1111">
        <f>SUMIFS(NewEmisData!M:M, NewEmisData!$A:$A, $G175, NewEmisData!$B:$B, $A175, NewEmisData!$C:$C, $H175, NewEmisData!$D:$D, DB$6)</f>
        <v>1.7745127181989399E-2</v>
      </c>
      <c r="DC175" s="1111">
        <f t="shared" si="254"/>
        <v>1.7745127181989399E-2</v>
      </c>
      <c r="DD175" s="1111"/>
      <c r="DE175" s="1111"/>
      <c r="DF175" s="1111"/>
      <c r="DG175" s="1111"/>
      <c r="DH175" s="1111"/>
      <c r="DI175" s="1111"/>
      <c r="DJ175" s="1111"/>
      <c r="DK175" s="1111"/>
      <c r="DL175" s="1111"/>
      <c r="DM175" s="1111"/>
      <c r="DN175" s="1111"/>
      <c r="DO175" s="1111"/>
      <c r="DP175" s="1111"/>
      <c r="DQ175" s="1111"/>
      <c r="DR175" s="1111"/>
      <c r="DS175" s="1111"/>
      <c r="DT175" s="1111"/>
      <c r="DU175" s="1111"/>
      <c r="DV175" s="1111"/>
      <c r="DW175" s="1111"/>
      <c r="DX175" s="1111"/>
      <c r="DY175" s="1111"/>
      <c r="DZ175" s="1111">
        <f t="shared" si="255"/>
        <v>6.6239633822982896E-2</v>
      </c>
      <c r="EA175" s="1111">
        <f>SUMIFS(NewEmisData!E:E, NewEmisData!$A:$A, $G175, NewEmisData!$B:$B, $A175, NewEmisData!$C:$C, $H175, NewEmisData!$D:$D, EA$6)</f>
        <v>6.6239633822982896E-2</v>
      </c>
      <c r="EB175" s="1111">
        <f>SUMIFS(NewEmisData!F:F, NewEmisData!$A:$A, $G175, NewEmisData!$B:$B, $A175, NewEmisData!$C:$C, $H175, NewEmisData!$D:$D, EB$6)</f>
        <v>6.0237802679566702E-2</v>
      </c>
      <c r="EC175" s="1111">
        <f>SUMIFS(NewEmisData!G:G, NewEmisData!$A:$A, $G175, NewEmisData!$B:$B, $A175, NewEmisData!$C:$C, $H175, NewEmisData!$D:$D, EC$6)</f>
        <v>2.4353204424718701E-2</v>
      </c>
      <c r="ED175" s="1111">
        <f>SUMIFS(NewEmisData!H:H, NewEmisData!$A:$A, $G175, NewEmisData!$B:$B, $A175, NewEmisData!$C:$C, $H175, NewEmisData!$D:$D, ED$6)</f>
        <v>2.2100119730100499E-2</v>
      </c>
      <c r="EE175" s="1111">
        <f>SUMIFS(NewEmisData!I:I, NewEmisData!$A:$A, $G175, NewEmisData!$B:$B, $A175, NewEmisData!$C:$C, $H175, NewEmisData!$D:$D, EE$6)</f>
        <v>2.1582561219103999E-2</v>
      </c>
      <c r="EF175" s="1111">
        <f>SUMIFS(NewEmisData!J:J, NewEmisData!$A:$A, $G175, NewEmisData!$B:$B, $A175, NewEmisData!$C:$C, $H175, NewEmisData!$D:$D, EF$6)</f>
        <v>2.1614176302122898E-2</v>
      </c>
      <c r="EG175" s="1111">
        <f>SUMIFS(NewEmisData!K:K, NewEmisData!$A:$A, $G175, NewEmisData!$B:$B, $A175, NewEmisData!$C:$C, $H175, NewEmisData!$D:$D, EG$6)</f>
        <v>2.1778598474770299E-2</v>
      </c>
      <c r="EH175" s="1111">
        <f>SUMIFS(NewEmisData!L:L, NewEmisData!$A:$A, $G175, NewEmisData!$B:$B, $A175, NewEmisData!$C:$C, $H175, NewEmisData!$D:$D, EH$6)</f>
        <v>2.1823465682415499E-2</v>
      </c>
      <c r="EI175" s="1111">
        <f>SUMIFS(NewEmisData!M:M, NewEmisData!$A:$A, $G175, NewEmisData!$B:$B, $A175, NewEmisData!$C:$C, $H175, NewEmisData!$D:$D, EI$6)</f>
        <v>2.1824961400636101E-2</v>
      </c>
      <c r="EJ175" s="1111">
        <f t="shared" si="256"/>
        <v>2.1824961400636101E-2</v>
      </c>
      <c r="EK175" s="1111">
        <f t="shared" si="257"/>
        <v>1204.2704996203399</v>
      </c>
      <c r="EL175" s="1111">
        <f t="shared" si="269"/>
        <v>1204.2704996203399</v>
      </c>
      <c r="EM175" s="1111">
        <f t="shared" si="270"/>
        <v>1280.9014839137801</v>
      </c>
      <c r="EN175" s="1111">
        <f t="shared" si="271"/>
        <v>1309.1277572440899</v>
      </c>
      <c r="EO175" s="1111">
        <f t="shared" si="272"/>
        <v>1277.5848439676099</v>
      </c>
      <c r="EP175" s="1111">
        <f t="shared" si="273"/>
        <v>1259.05503169493</v>
      </c>
      <c r="EQ175" s="1111">
        <f t="shared" si="274"/>
        <v>1254.08723086747</v>
      </c>
      <c r="ER175" s="1111">
        <f t="shared" si="275"/>
        <v>1252.90461894546</v>
      </c>
      <c r="ES175" s="1111">
        <f t="shared" si="276"/>
        <v>1252.7104430173399</v>
      </c>
      <c r="ET175" s="1111">
        <f t="shared" si="277"/>
        <v>1252.6870397442001</v>
      </c>
      <c r="EU175" s="1111">
        <f t="shared" si="278"/>
        <v>1252.6870397442001</v>
      </c>
      <c r="EV175" s="1111">
        <f t="shared" si="258"/>
        <v>4.3448715610080901</v>
      </c>
      <c r="EW175" s="1111">
        <f t="shared" si="259"/>
        <v>4.3448715610080901</v>
      </c>
      <c r="EX175" s="1111">
        <f t="shared" si="260"/>
        <v>2.68000771941229</v>
      </c>
      <c r="EY175" s="1111">
        <f t="shared" si="261"/>
        <v>1.2701406141530101</v>
      </c>
      <c r="EZ175" s="1111">
        <f t="shared" si="262"/>
        <v>0.89637025450783203</v>
      </c>
      <c r="FA175" s="1111">
        <f t="shared" si="263"/>
        <v>0.74230586472414295</v>
      </c>
      <c r="FB175" s="1111">
        <f t="shared" si="264"/>
        <v>0.67198096175904998</v>
      </c>
      <c r="FC175" s="1111">
        <f t="shared" si="265"/>
        <v>0.65082523068374698</v>
      </c>
      <c r="FD175" s="1111">
        <f t="shared" si="266"/>
        <v>0.64636795436825401</v>
      </c>
      <c r="FE175" s="1111">
        <f t="shared" si="267"/>
        <v>0.64488416341078902</v>
      </c>
      <c r="FF175" s="1111">
        <f t="shared" si="268"/>
        <v>0.64488416341078902</v>
      </c>
      <c r="FG175" s="1111">
        <f t="shared" si="193"/>
        <v>2.08381055217347E-2</v>
      </c>
      <c r="FH175" s="1111">
        <f t="shared" si="194"/>
        <v>2.08381055217347E-2</v>
      </c>
      <c r="FI175" s="1111">
        <f t="shared" si="195"/>
        <v>2.2164087103621902E-2</v>
      </c>
      <c r="FJ175" s="1111">
        <f t="shared" si="196"/>
        <v>1.8780122769194701E-2</v>
      </c>
      <c r="FK175" s="1111">
        <f t="shared" si="197"/>
        <v>1.8327610114874E-2</v>
      </c>
      <c r="FL175" s="1111">
        <f t="shared" si="198"/>
        <v>1.8061800865337901E-2</v>
      </c>
      <c r="FM175" s="1111">
        <f t="shared" si="199"/>
        <v>1.79905289884639E-2</v>
      </c>
      <c r="FN175" s="1111">
        <f t="shared" si="200"/>
        <v>1.7973564507445701E-2</v>
      </c>
      <c r="FO175" s="1111">
        <f t="shared" si="201"/>
        <v>1.7970784643505301E-2</v>
      </c>
      <c r="FP175" s="1111">
        <f t="shared" si="202"/>
        <v>1.7970446963254401E-2</v>
      </c>
      <c r="FQ175" s="1111">
        <f t="shared" si="203"/>
        <v>1.7970446963254401E-2</v>
      </c>
      <c r="FR175" s="1111">
        <f t="shared" si="230"/>
        <v>0.19574828311834699</v>
      </c>
      <c r="FS175" s="1111">
        <f t="shared" si="231"/>
        <v>0.19574828311834699</v>
      </c>
      <c r="FT175" s="1111">
        <f t="shared" si="232"/>
        <v>0.191259101148397</v>
      </c>
      <c r="FU175" s="1111">
        <f t="shared" si="233"/>
        <v>0.21457849181088401</v>
      </c>
      <c r="FV175" s="1111">
        <f t="shared" si="234"/>
        <v>0.215053494777702</v>
      </c>
      <c r="FW175" s="1111">
        <f t="shared" si="235"/>
        <v>0.21551298465650401</v>
      </c>
      <c r="FX175" s="1111">
        <f t="shared" si="236"/>
        <v>0.215835472913527</v>
      </c>
      <c r="FY175" s="1111">
        <f t="shared" si="237"/>
        <v>0.21602305396888299</v>
      </c>
      <c r="FZ175" s="1111">
        <f t="shared" si="238"/>
        <v>0.21608589786817001</v>
      </c>
      <c r="GA175" s="1111">
        <f t="shared" si="239"/>
        <v>0.216113244270948</v>
      </c>
      <c r="GB175" s="1111">
        <f t="shared" si="240"/>
        <v>0.216113244270948</v>
      </c>
      <c r="GC175" s="1111">
        <f t="shared" si="279"/>
        <v>4.1988899098410401E-2</v>
      </c>
      <c r="GD175" s="1111">
        <f t="shared" si="280"/>
        <v>4.1988899098410401E-2</v>
      </c>
      <c r="GE175" s="1111">
        <f t="shared" si="281"/>
        <v>4.04221270662211E-2</v>
      </c>
      <c r="GF175" s="1111">
        <f t="shared" si="282"/>
        <v>3.5246180151429399E-2</v>
      </c>
      <c r="GG175" s="1111">
        <f t="shared" si="283"/>
        <v>3.4950821311789601E-2</v>
      </c>
      <c r="GH175" s="1111">
        <f t="shared" si="284"/>
        <v>3.5285067945859602E-2</v>
      </c>
      <c r="GI175" s="1111">
        <f t="shared" si="285"/>
        <v>3.55346528981796E-2</v>
      </c>
      <c r="GJ175" s="1111">
        <f t="shared" si="286"/>
        <v>3.5692682330647998E-2</v>
      </c>
      <c r="GK175" s="1111">
        <f t="shared" si="287"/>
        <v>3.57464219039118E-2</v>
      </c>
      <c r="GL175" s="1111">
        <f t="shared" si="288"/>
        <v>3.5770424866643502E-2</v>
      </c>
      <c r="GM175" s="1111">
        <f t="shared" si="289"/>
        <v>3.5770424866643502E-2</v>
      </c>
    </row>
    <row r="176" spans="1:195" x14ac:dyDescent="0.2">
      <c r="A176" s="1071" t="s">
        <v>182</v>
      </c>
      <c r="B176" s="1071" t="str">
        <f>Technologies!C118</f>
        <v>TMDSLC10</v>
      </c>
      <c r="C176" s="1071" t="str">
        <f>Technologies!D118</f>
        <v>Medium Duty Truck, Diesel, 2010</v>
      </c>
      <c r="D176" s="1071" t="str">
        <f>NewTech!D70</f>
        <v>bn-vmt, bn-vmt/a</v>
      </c>
      <c r="E176" s="1071" t="str">
        <f>NewTech!E71</f>
        <v>TMDSL</v>
      </c>
      <c r="F176" s="1071" t="str">
        <f>NewTech!F71</f>
        <v>TM</v>
      </c>
      <c r="G176" s="1110" t="s">
        <v>503</v>
      </c>
      <c r="H176" s="1110" t="s">
        <v>499</v>
      </c>
      <c r="I176" s="1112">
        <v>1</v>
      </c>
      <c r="J176" s="1111" t="str">
        <f t="shared" si="37"/>
        <v>Medium duty-DSL</v>
      </c>
      <c r="K176" s="1111">
        <f>SUMIFS(NewEmisData!E:E, NewEmisData!$A:$A, $G176, NewEmisData!$B:$B, $A176, NewEmisData!$C:$C, $H176, NewEmisData!$D:$D, K$6)</f>
        <v>1391.2693302299499</v>
      </c>
      <c r="L176" s="1111">
        <f>SUMIFS(NewEmisData!F:F, NewEmisData!$A:$A, $G176, NewEmisData!$B:$B, $A176, NewEmisData!$C:$C, $H176, NewEmisData!$D:$D, L$6)</f>
        <v>1387.81700695984</v>
      </c>
      <c r="M176" s="1111">
        <f>SUMIFS(NewEmisData!G:G, NewEmisData!$A:$A, $G176, NewEmisData!$B:$B, $A176, NewEmisData!$C:$C, $H176, NewEmisData!$D:$D, M$6)</f>
        <v>1800.2870719201501</v>
      </c>
      <c r="N176" s="1111">
        <f>SUMIFS(NewEmisData!H:H, NewEmisData!$A:$A, $G176, NewEmisData!$B:$B, $A176, NewEmisData!$C:$C, $H176, NewEmisData!$D:$D, N$6)</f>
        <v>1737.4132368119399</v>
      </c>
      <c r="O176" s="1111">
        <f>SUMIFS(NewEmisData!I:I, NewEmisData!$A:$A, $G176, NewEmisData!$B:$B, $A176, NewEmisData!$C:$C, $H176, NewEmisData!$D:$D, O$6)</f>
        <v>1684.8867050016099</v>
      </c>
      <c r="P176" s="1111">
        <f>SUMIFS(NewEmisData!J:J, NewEmisData!$A:$A, $G176, NewEmisData!$B:$B, $A176, NewEmisData!$C:$C, $H176, NewEmisData!$D:$D, P$6)</f>
        <v>1667.30888418872</v>
      </c>
      <c r="Q176" s="1111">
        <f>SUMIFS(NewEmisData!K:K, NewEmisData!$A:$A, $G176, NewEmisData!$B:$B, $A176, NewEmisData!$C:$C, $H176, NewEmisData!$D:$D, Q$6)</f>
        <v>1662.1204635085701</v>
      </c>
      <c r="R176" s="1111">
        <f>SUMIFS(NewEmisData!L:L, NewEmisData!$A:$A, $G176, NewEmisData!$B:$B, $A176, NewEmisData!$C:$C, $H176, NewEmisData!$D:$D, R$6)</f>
        <v>1660.97957279301</v>
      </c>
      <c r="S176" s="1111">
        <f>SUMIFS(NewEmisData!M:M, NewEmisData!$A:$A, $G176, NewEmisData!$B:$B, $A176, NewEmisData!$C:$C, $H176, NewEmisData!$D:$D, S$6)</f>
        <v>1660.69684286644</v>
      </c>
      <c r="T176" s="1111">
        <f t="shared" si="290"/>
        <v>1660.69684286644</v>
      </c>
      <c r="U176" s="1111">
        <f>SUMIFS(NewEmisData!E:E, NewEmisData!$A:$A, $G176, NewEmisData!$B:$B, $A176, NewEmisData!$C:$C, $H176, NewEmisData!$D:$D, U$6)</f>
        <v>9.0067562467577496</v>
      </c>
      <c r="V176" s="1111">
        <f>SUMIFS(NewEmisData!F:F, NewEmisData!$A:$A, $G176, NewEmisData!$B:$B, $A176, NewEmisData!$C:$C, $H176, NewEmisData!$D:$D, V$6)</f>
        <v>4.6343833495392097</v>
      </c>
      <c r="W176" s="1111">
        <f>SUMIFS(NewEmisData!G:G, NewEmisData!$A:$A, $G176, NewEmisData!$B:$B, $A176, NewEmisData!$C:$C, $H176, NewEmisData!$D:$D, W$6)</f>
        <v>3.60142958602064</v>
      </c>
      <c r="X176" s="1111">
        <f>SUMIFS(NewEmisData!H:H, NewEmisData!$A:$A, $G176, NewEmisData!$B:$B, $A176, NewEmisData!$C:$C, $H176, NewEmisData!$D:$D, X$6)</f>
        <v>2.1043869634005898</v>
      </c>
      <c r="Y176" s="1111">
        <f>SUMIFS(NewEmisData!I:I, NewEmisData!$A:$A, $G176, NewEmisData!$B:$B, $A176, NewEmisData!$C:$C, $H176, NewEmisData!$D:$D, Y$6)</f>
        <v>1.48367214909245</v>
      </c>
      <c r="Z176" s="1111">
        <f>SUMIFS(NewEmisData!J:J, NewEmisData!$A:$A, $G176, NewEmisData!$B:$B, $A176, NewEmisData!$C:$C, $H176, NewEmisData!$D:$D, Z$6)</f>
        <v>1.28531680721516</v>
      </c>
      <c r="AA176" s="1111">
        <f>SUMIFS(NewEmisData!K:K, NewEmisData!$A:$A, $G176, NewEmisData!$B:$B, $A176, NewEmisData!$C:$C, $H176, NewEmisData!$D:$D, AA$6)</f>
        <v>1.2244614015544699</v>
      </c>
      <c r="AB176" s="1111">
        <f>SUMIFS(NewEmisData!L:L, NewEmisData!$A:$A, $G176, NewEmisData!$B:$B, $A176, NewEmisData!$C:$C, $H176, NewEmisData!$D:$D, AB$6)</f>
        <v>1.2160626918277799</v>
      </c>
      <c r="AC176" s="1111">
        <f>SUMIFS(NewEmisData!M:M, NewEmisData!$A:$A, $G176, NewEmisData!$B:$B, $A176, NewEmisData!$C:$C, $H176, NewEmisData!$D:$D, AC$6)</f>
        <v>1.2135584327019699</v>
      </c>
      <c r="AD176" s="1111">
        <f t="shared" si="229"/>
        <v>1.2135584327019699</v>
      </c>
      <c r="AE176" s="1111">
        <f t="shared" si="241"/>
        <v>3.4517378580972299E-2</v>
      </c>
      <c r="AF176" s="1111">
        <f>SUMIFS(NewEmisData!E:E, NewEmisData!$A:$A, $G176, NewEmisData!$B:$B, $A176, NewEmisData!$C:$C, $H176, NewEmisData!$D:$D, AF$6)</f>
        <v>3.4517378580972299E-2</v>
      </c>
      <c r="AG176" s="1111">
        <f>SUMIFS(NewEmisData!F:F, NewEmisData!$A:$A, $G176, NewEmisData!$B:$B, $A176, NewEmisData!$C:$C, $H176, NewEmisData!$D:$D, AG$6)</f>
        <v>3.32138510088891E-2</v>
      </c>
      <c r="AH176" s="1111">
        <f>SUMIFS(NewEmisData!G:G, NewEmisData!$A:$A, $G176, NewEmisData!$B:$B, $A176, NewEmisData!$C:$C, $H176, NewEmisData!$D:$D, AH$6)</f>
        <v>1.51370239918269E-2</v>
      </c>
      <c r="AI176" s="1111">
        <f>SUMIFS(NewEmisData!H:H, NewEmisData!$A:$A, $G176, NewEmisData!$B:$B, $A176, NewEmisData!$C:$C, $H176, NewEmisData!$D:$D, AI$6)</f>
        <v>1.4522910664903899E-2</v>
      </c>
      <c r="AJ176" s="1111">
        <f>SUMIFS(NewEmisData!I:I, NewEmisData!$A:$A, $G176, NewEmisData!$B:$B, $A176, NewEmisData!$C:$C, $H176, NewEmisData!$D:$D, AJ$6)</f>
        <v>1.4055280493155501E-2</v>
      </c>
      <c r="AK176" s="1111">
        <f>SUMIFS(NewEmisData!J:J, NewEmisData!$A:$A, $G176, NewEmisData!$B:$B, $A176, NewEmisData!$C:$C, $H176, NewEmisData!$D:$D, AK$6)</f>
        <v>1.39025233464321E-2</v>
      </c>
      <c r="AL176" s="1111">
        <f>SUMIFS(NewEmisData!K:K, NewEmisData!$A:$A, $G176, NewEmisData!$B:$B, $A176, NewEmisData!$C:$C, $H176, NewEmisData!$D:$D, AL$6)</f>
        <v>1.3857298595630599E-2</v>
      </c>
      <c r="AM176" s="1111">
        <f>SUMIFS(NewEmisData!L:L, NewEmisData!$A:$A, $G176, NewEmisData!$B:$B, $A176, NewEmisData!$C:$C, $H176, NewEmisData!$D:$D, AM$6)</f>
        <v>1.3847788543629599E-2</v>
      </c>
      <c r="AN176" s="1111">
        <f>SUMIFS(NewEmisData!M:M, NewEmisData!$A:$A, $G176, NewEmisData!$B:$B, $A176, NewEmisData!$C:$C, $H176, NewEmisData!$D:$D, AN$6)</f>
        <v>1.38454338903831E-2</v>
      </c>
      <c r="AO176" s="1111">
        <f t="shared" si="242"/>
        <v>1.38454338903831E-2</v>
      </c>
      <c r="AP176" s="1111">
        <f t="shared" si="243"/>
        <v>0.88280589948548305</v>
      </c>
      <c r="AQ176" s="1111">
        <f>SUMIFS(NewEmisData!E:E, NewEmisData!$A:$A, $G176, NewEmisData!$B:$B, $A176, NewEmisData!$C:$C, $H176, NewEmisData!$D:$D, AQ$6)</f>
        <v>0.88280589948548305</v>
      </c>
      <c r="AR176" s="1111">
        <f>SUMIFS(NewEmisData!F:F, NewEmisData!$A:$A, $G176, NewEmisData!$B:$B, $A176, NewEmisData!$C:$C, $H176, NewEmisData!$D:$D, AR$6)</f>
        <v>0.45831592934321902</v>
      </c>
      <c r="AS176" s="1111">
        <f>SUMIFS(NewEmisData!G:G, NewEmisData!$A:$A, $G176, NewEmisData!$B:$B, $A176, NewEmisData!$C:$C, $H176, NewEmisData!$D:$D, AS$6)</f>
        <v>0.43734131963468098</v>
      </c>
      <c r="AT176" s="1111">
        <f>SUMIFS(NewEmisData!H:H, NewEmisData!$A:$A, $G176, NewEmisData!$B:$B, $A176, NewEmisData!$C:$C, $H176, NewEmisData!$D:$D, AT$6)</f>
        <v>0.34967637389988199</v>
      </c>
      <c r="AU176" s="1111">
        <f>SUMIFS(NewEmisData!I:I, NewEmisData!$A:$A, $G176, NewEmisData!$B:$B, $A176, NewEmisData!$C:$C, $H176, NewEmisData!$D:$D, AU$6)</f>
        <v>0.31983162808126298</v>
      </c>
      <c r="AV176" s="1111">
        <f>SUMIFS(NewEmisData!J:J, NewEmisData!$A:$A, $G176, NewEmisData!$B:$B, $A176, NewEmisData!$C:$C, $H176, NewEmisData!$D:$D, AV$6)</f>
        <v>0.31421718315917302</v>
      </c>
      <c r="AW176" s="1111">
        <f>SUMIFS(NewEmisData!K:K, NewEmisData!$A:$A, $G176, NewEmisData!$B:$B, $A176, NewEmisData!$C:$C, $H176, NewEmisData!$D:$D, AW$6)</f>
        <v>0.31256016773955603</v>
      </c>
      <c r="AX176" s="1111">
        <f>SUMIFS(NewEmisData!L:L, NewEmisData!$A:$A, $G176, NewEmisData!$B:$B, $A176, NewEmisData!$C:$C, $H176, NewEmisData!$D:$D, AX$6)</f>
        <v>0.31254542006524799</v>
      </c>
      <c r="AY176" s="1111">
        <f>SUMIFS(NewEmisData!M:M, NewEmisData!$A:$A, $G176, NewEmisData!$B:$B, $A176, NewEmisData!$C:$C, $H176, NewEmisData!$D:$D, AY$6)</f>
        <v>0.31254401073163601</v>
      </c>
      <c r="AZ176" s="1111">
        <f t="shared" si="244"/>
        <v>0.31254401073163601</v>
      </c>
      <c r="BA176" s="1111">
        <f t="shared" si="245"/>
        <v>0.66102414887226102</v>
      </c>
      <c r="BB176" s="1111">
        <f>SUMIFS(NewEmisData!E:E, NewEmisData!$A:$A, $G176, NewEmisData!$B:$B, $A176, NewEmisData!$C:$C, $H176, NewEmisData!$D:$D, BB$6)</f>
        <v>0.66102414887226102</v>
      </c>
      <c r="BC176" s="1111">
        <f>SUMIFS(NewEmisData!F:F, NewEmisData!$A:$A, $G176, NewEmisData!$B:$B, $A176, NewEmisData!$C:$C, $H176, NewEmisData!$D:$D, BC$6)</f>
        <v>0.27087694461251399</v>
      </c>
      <c r="BD176" s="1111">
        <f>SUMIFS(NewEmisData!G:G, NewEmisData!$A:$A, $G176, NewEmisData!$B:$B, $A176, NewEmisData!$C:$C, $H176, NewEmisData!$D:$D, BD$6)</f>
        <v>0.174468170082518</v>
      </c>
      <c r="BE176" s="1111">
        <f>SUMIFS(NewEmisData!H:H, NewEmisData!$A:$A, $G176, NewEmisData!$B:$B, $A176, NewEmisData!$C:$C, $H176, NewEmisData!$D:$D, BE$6)</f>
        <v>9.4926362989927404E-2</v>
      </c>
      <c r="BF176" s="1111">
        <f>SUMIFS(NewEmisData!I:I, NewEmisData!$A:$A, $G176, NewEmisData!$B:$B, $A176, NewEmisData!$C:$C, $H176, NewEmisData!$D:$D, BF$6)</f>
        <v>6.7801817056445293E-2</v>
      </c>
      <c r="BG176" s="1111">
        <f>SUMIFS(NewEmisData!J:J, NewEmisData!$A:$A, $G176, NewEmisData!$B:$B, $A176, NewEmisData!$C:$C, $H176, NewEmisData!$D:$D, BG$6)</f>
        <v>6.2731413619129706E-2</v>
      </c>
      <c r="BH176" s="1111">
        <f>SUMIFS(NewEmisData!K:K, NewEmisData!$A:$A, $G176, NewEmisData!$B:$B, $A176, NewEmisData!$C:$C, $H176, NewEmisData!$D:$D, BH$6)</f>
        <v>6.1230033876524703E-2</v>
      </c>
      <c r="BI176" s="1111">
        <f>SUMIFS(NewEmisData!L:L, NewEmisData!$A:$A, $G176, NewEmisData!$B:$B, $A176, NewEmisData!$C:$C, $H176, NewEmisData!$D:$D, BI$6)</f>
        <v>6.1220848871463299E-2</v>
      </c>
      <c r="BJ176" s="1111">
        <f>SUMIFS(NewEmisData!M:M, NewEmisData!$A:$A, $G176, NewEmisData!$B:$B, $A176, NewEmisData!$C:$C, $H176, NewEmisData!$D:$D, BJ$6)</f>
        <v>6.1219393619074997E-2</v>
      </c>
      <c r="BK176" s="1111">
        <f t="shared" si="246"/>
        <v>6.1219393619074997E-2</v>
      </c>
      <c r="BL176" s="1111">
        <f t="shared" si="247"/>
        <v>4.1982176614759501</v>
      </c>
      <c r="BM176" s="1111">
        <f>SUMIFS(NewEmisData!E:E, NewEmisData!$A:$A, $G176, NewEmisData!$B:$B, $A176, NewEmisData!$C:$C, $H176, NewEmisData!$D:$D, BM$6)</f>
        <v>4.1982176614759501</v>
      </c>
      <c r="BN176" s="1111">
        <f>SUMIFS(NewEmisData!F:F, NewEmisData!$A:$A, $G176, NewEmisData!$B:$B, $A176, NewEmisData!$C:$C, $H176, NewEmisData!$D:$D, BN$6)</f>
        <v>1.9296051000849399</v>
      </c>
      <c r="BO176" s="1111">
        <f>SUMIFS(NewEmisData!G:G, NewEmisData!$A:$A, $G176, NewEmisData!$B:$B, $A176, NewEmisData!$C:$C, $H176, NewEmisData!$D:$D, BO$6)</f>
        <v>1.40672397416939</v>
      </c>
      <c r="BP176" s="1111">
        <f>SUMIFS(NewEmisData!H:H, NewEmisData!$A:$A, $G176, NewEmisData!$B:$B, $A176, NewEmisData!$C:$C, $H176, NewEmisData!$D:$D, BP$6)</f>
        <v>0.88467467852096004</v>
      </c>
      <c r="BQ176" s="1111">
        <f>SUMIFS(NewEmisData!I:I, NewEmisData!$A:$A, $G176, NewEmisData!$B:$B, $A176, NewEmisData!$C:$C, $H176, NewEmisData!$D:$D, BQ$6)</f>
        <v>0.71808621559357599</v>
      </c>
      <c r="BR176" s="1111">
        <f>SUMIFS(NewEmisData!J:J, NewEmisData!$A:$A, $G176, NewEmisData!$B:$B, $A176, NewEmisData!$C:$C, $H176, NewEmisData!$D:$D, BR$6)</f>
        <v>0.67933532556158505</v>
      </c>
      <c r="BS176" s="1111">
        <f>SUMIFS(NewEmisData!K:K, NewEmisData!$A:$A, $G176, NewEmisData!$B:$B, $A176, NewEmisData!$C:$C, $H176, NewEmisData!$D:$D, BS$6)</f>
        <v>0.66869245935522403</v>
      </c>
      <c r="BT176" s="1111">
        <f>SUMIFS(NewEmisData!L:L, NewEmisData!$A:$A, $G176, NewEmisData!$B:$B, $A176, NewEmisData!$C:$C, $H176, NewEmisData!$D:$D, BT$6)</f>
        <v>0.66846478756515504</v>
      </c>
      <c r="BU176" s="1111">
        <f>SUMIFS(NewEmisData!M:M, NewEmisData!$A:$A, $G176, NewEmisData!$B:$B, $A176, NewEmisData!$C:$C, $H176, NewEmisData!$D:$D, BU$6)</f>
        <v>0.66834592579461805</v>
      </c>
      <c r="BV176" s="1111">
        <f t="shared" si="248"/>
        <v>0.66834592579461805</v>
      </c>
      <c r="BW176" s="1111">
        <f t="shared" si="249"/>
        <v>1.6997416060402699</v>
      </c>
      <c r="BX176" s="1111">
        <f>SUMIFS(NewEmisData!E:E, NewEmisData!$A:$A, $G176, NewEmisData!$B:$B, $A176, NewEmisData!$C:$C, $H176, NewEmisData!$D:$D, BX$6)</f>
        <v>1.6997416060402699</v>
      </c>
      <c r="BY176" s="1111">
        <f>SUMIFS(NewEmisData!F:F, NewEmisData!$A:$A, $G176, NewEmisData!$B:$B, $A176, NewEmisData!$C:$C, $H176, NewEmisData!$D:$D, BY$6)</f>
        <v>0.68631415040974197</v>
      </c>
      <c r="BZ176" s="1111">
        <f>SUMIFS(NewEmisData!G:G, NewEmisData!$A:$A, $G176, NewEmisData!$B:$B, $A176, NewEmisData!$C:$C, $H176, NewEmisData!$D:$D, BZ$6)</f>
        <v>0.48115827096559399</v>
      </c>
      <c r="CA176" s="1111">
        <f>SUMIFS(NewEmisData!H:H, NewEmisData!$A:$A, $G176, NewEmisData!$B:$B, $A176, NewEmisData!$C:$C, $H176, NewEmisData!$D:$D, CA$6)</f>
        <v>0.25065156408387401</v>
      </c>
      <c r="CB176" s="1111">
        <f>SUMIFS(NewEmisData!I:I, NewEmisData!$A:$A, $G176, NewEmisData!$B:$B, $A176, NewEmisData!$C:$C, $H176, NewEmisData!$D:$D, CB$6)</f>
        <v>0.17921885955178801</v>
      </c>
      <c r="CC176" s="1111">
        <f>SUMIFS(NewEmisData!J:J, NewEmisData!$A:$A, $G176, NewEmisData!$B:$B, $A176, NewEmisData!$C:$C, $H176, NewEmisData!$D:$D, CC$6)</f>
        <v>0.16195369632512899</v>
      </c>
      <c r="CD176" s="1111">
        <f>SUMIFS(NewEmisData!K:K, NewEmisData!$A:$A, $G176, NewEmisData!$B:$B, $A176, NewEmisData!$C:$C, $H176, NewEmisData!$D:$D, CD$6)</f>
        <v>0.15740433242174701</v>
      </c>
      <c r="CE176" s="1111">
        <f>SUMIFS(NewEmisData!L:L, NewEmisData!$A:$A, $G176, NewEmisData!$B:$B, $A176, NewEmisData!$C:$C, $H176, NewEmisData!$D:$D, CE$6)</f>
        <v>0.157307785457242</v>
      </c>
      <c r="CF176" s="1111">
        <f>SUMIFS(NewEmisData!M:M, NewEmisData!$A:$A, $G176, NewEmisData!$B:$B, $A176, NewEmisData!$C:$C, $H176, NewEmisData!$D:$D, CF$6)</f>
        <v>0.15725203081084399</v>
      </c>
      <c r="CG176" s="1111">
        <f t="shared" si="250"/>
        <v>0.15725203081084399</v>
      </c>
      <c r="CH176" s="1111">
        <f t="shared" si="251"/>
        <v>2.7231476481759501E-2</v>
      </c>
      <c r="CI176" s="1111">
        <f>SUMIFS(NewEmisData!E:E, NewEmisData!$A:$A, $G176, NewEmisData!$B:$B, $A176, NewEmisData!$C:$C, $H176, NewEmisData!$D:$D, CI$6)</f>
        <v>2.7231476481759501E-2</v>
      </c>
      <c r="CJ176" s="1111">
        <f>SUMIFS(NewEmisData!F:F, NewEmisData!$A:$A, $G176, NewEmisData!$B:$B, $A176, NewEmisData!$C:$C, $H176, NewEmisData!$D:$D, CJ$6)</f>
        <v>2.7231505502351299E-2</v>
      </c>
      <c r="CK176" s="1111">
        <f>SUMIFS(NewEmisData!G:G, NewEmisData!$A:$A, $G176, NewEmisData!$B:$B, $A176, NewEmisData!$C:$C, $H176, NewEmisData!$D:$D, CK$6)</f>
        <v>3.75087111104635E-2</v>
      </c>
      <c r="CL176" s="1111">
        <f>SUMIFS(NewEmisData!H:H, NewEmisData!$A:$A, $G176, NewEmisData!$B:$B, $A176, NewEmisData!$C:$C, $H176, NewEmisData!$D:$D, CL$6)</f>
        <v>3.7508856064657703E-2</v>
      </c>
      <c r="CM176" s="1111">
        <f>SUMIFS(NewEmisData!I:I, NewEmisData!$A:$A, $G176, NewEmisData!$B:$B, $A176, NewEmisData!$C:$C, $H176, NewEmisData!$D:$D, CM$6)</f>
        <v>3.7508894115090098E-2</v>
      </c>
      <c r="CN176" s="1111">
        <f>SUMIFS(NewEmisData!J:J, NewEmisData!$A:$A, $G176, NewEmisData!$B:$B, $A176, NewEmisData!$C:$C, $H176, NewEmisData!$D:$D, CN$6)</f>
        <v>3.75089026268779E-2</v>
      </c>
      <c r="CO176" s="1111">
        <f>SUMIFS(NewEmisData!K:K, NewEmisData!$A:$A, $G176, NewEmisData!$B:$B, $A176, NewEmisData!$C:$C, $H176, NewEmisData!$D:$D, CO$6)</f>
        <v>3.7508908078082499E-2</v>
      </c>
      <c r="CP176" s="1111">
        <f>SUMIFS(NewEmisData!L:L, NewEmisData!$A:$A, $G176, NewEmisData!$B:$B, $A176, NewEmisData!$C:$C, $H176, NewEmisData!$D:$D, CP$6)</f>
        <v>3.7508933890185198E-2</v>
      </c>
      <c r="CQ176" s="1111">
        <f>SUMIFS(NewEmisData!M:M, NewEmisData!$A:$A, $G176, NewEmisData!$B:$B, $A176, NewEmisData!$C:$C, $H176, NewEmisData!$D:$D, CQ$6)</f>
        <v>3.7508933881412299E-2</v>
      </c>
      <c r="CR176" s="1111">
        <f t="shared" si="252"/>
        <v>3.7508933881412299E-2</v>
      </c>
      <c r="CS176" s="1111">
        <f t="shared" si="253"/>
        <v>4.4439718651325903E-3</v>
      </c>
      <c r="CT176" s="1111">
        <f>SUMIFS(NewEmisData!E:E, NewEmisData!$A:$A, $G176, NewEmisData!$B:$B, $A176, NewEmisData!$C:$C, $H176, NewEmisData!$D:$D, CT$6)</f>
        <v>4.4439718651325903E-3</v>
      </c>
      <c r="CU176" s="1111">
        <f>SUMIFS(NewEmisData!F:F, NewEmisData!$A:$A, $G176, NewEmisData!$B:$B, $A176, NewEmisData!$C:$C, $H176, NewEmisData!$D:$D, CU$6)</f>
        <v>4.4840826707910003E-3</v>
      </c>
      <c r="CV176" s="1111">
        <f>SUMIFS(NewEmisData!G:G, NewEmisData!$A:$A, $G176, NewEmisData!$B:$B, $A176, NewEmisData!$C:$C, $H176, NewEmisData!$D:$D, CV$6)</f>
        <v>7.1142816082060099E-3</v>
      </c>
      <c r="CW176" s="1111">
        <f>SUMIFS(NewEmisData!H:H, NewEmisData!$A:$A, $G176, NewEmisData!$B:$B, $A176, NewEmisData!$C:$C, $H176, NewEmisData!$D:$D, CW$6)</f>
        <v>7.1281607170090603E-3</v>
      </c>
      <c r="CX176" s="1111">
        <f>SUMIFS(NewEmisData!I:I, NewEmisData!$A:$A, $G176, NewEmisData!$B:$B, $A176, NewEmisData!$C:$C, $H176, NewEmisData!$D:$D, CX$6)</f>
        <v>7.1288471049868697E-3</v>
      </c>
      <c r="CY176" s="1111">
        <f>SUMIFS(NewEmisData!J:J, NewEmisData!$A:$A, $G176, NewEmisData!$B:$B, $A176, NewEmisData!$C:$C, $H176, NewEmisData!$D:$D, CY$6)</f>
        <v>7.1224443338730398E-3</v>
      </c>
      <c r="CZ176" s="1111">
        <f>SUMIFS(NewEmisData!K:K, NewEmisData!$A:$A, $G176, NewEmisData!$B:$B, $A176, NewEmisData!$C:$C, $H176, NewEmisData!$D:$D, CZ$6)</f>
        <v>7.1174224218484104E-3</v>
      </c>
      <c r="DA176" s="1111">
        <f>SUMIFS(NewEmisData!L:L, NewEmisData!$A:$A, $G176, NewEmisData!$B:$B, $A176, NewEmisData!$C:$C, $H176, NewEmisData!$D:$D, DA$6)</f>
        <v>7.1156639835745503E-3</v>
      </c>
      <c r="DB176" s="1111">
        <f>SUMIFS(NewEmisData!M:M, NewEmisData!$A:$A, $G176, NewEmisData!$B:$B, $A176, NewEmisData!$C:$C, $H176, NewEmisData!$D:$D, DB$6)</f>
        <v>7.1143751431365504E-3</v>
      </c>
      <c r="DC176" s="1111">
        <f t="shared" si="254"/>
        <v>7.1143751431365504E-3</v>
      </c>
      <c r="DD176" s="1111">
        <v>0.27590359730377301</v>
      </c>
      <c r="DE176" s="1111">
        <v>0.16653461328025448</v>
      </c>
      <c r="DF176" s="1111">
        <v>7.0634013441740542E-2</v>
      </c>
      <c r="DG176" s="1111">
        <v>1.3465185741622277E-2</v>
      </c>
      <c r="DH176" s="1111">
        <v>1.3335902123626415E-3</v>
      </c>
      <c r="DI176" s="1111">
        <v>1.3333236123730993E-3</v>
      </c>
      <c r="DJ176" s="1111">
        <v>1.3411440493973604E-3</v>
      </c>
      <c r="DK176" s="1111">
        <v>1.346119573497251E-3</v>
      </c>
      <c r="DL176" s="1111">
        <v>1.34972147341348E-3</v>
      </c>
      <c r="DM176" s="1111">
        <v>1.3526876874025272E-3</v>
      </c>
      <c r="DN176" s="1111">
        <v>1.3526876874025272E-3</v>
      </c>
      <c r="DO176" s="1111">
        <v>0.25015732774214966</v>
      </c>
      <c r="DP176" s="1111">
        <v>0.16091587537237781</v>
      </c>
      <c r="DQ176" s="1111">
        <v>6.8950819100028288E-2</v>
      </c>
      <c r="DR176" s="1111">
        <v>1.3786722456098304E-2</v>
      </c>
      <c r="DS176" s="1111">
        <v>2.3415945439152265E-3</v>
      </c>
      <c r="DT176" s="1111">
        <v>2.3424752868533771E-3</v>
      </c>
      <c r="DU176" s="1111">
        <v>2.3572496284837057E-3</v>
      </c>
      <c r="DV176" s="1111">
        <v>2.366615384585016E-3</v>
      </c>
      <c r="DW176" s="1111">
        <v>2.3732649800659884E-3</v>
      </c>
      <c r="DX176" s="1111">
        <v>2.3787745892213E-3</v>
      </c>
      <c r="DY176" s="1111">
        <v>2.3787745892213E-3</v>
      </c>
      <c r="DZ176" s="1111">
        <f t="shared" si="255"/>
        <v>2.2941775537169001E-2</v>
      </c>
      <c r="EA176" s="1111">
        <f>SUMIFS(NewEmisData!E:E, NewEmisData!$A:$A, $G176, NewEmisData!$B:$B, $A176, NewEmisData!$C:$C, $H176, NewEmisData!$D:$D, EA$6)</f>
        <v>2.2941775537169001E-2</v>
      </c>
      <c r="EB176" s="1111">
        <f>SUMIFS(NewEmisData!F:F, NewEmisData!$A:$A, $G176, NewEmisData!$B:$B, $A176, NewEmisData!$C:$C, $H176, NewEmisData!$D:$D, EB$6)</f>
        <v>9.3917723641563006E-2</v>
      </c>
      <c r="EC176" s="1111">
        <f>SUMIFS(NewEmisData!G:G, NewEmisData!$A:$A, $G176, NewEmisData!$B:$B, $A176, NewEmisData!$C:$C, $H176, NewEmisData!$D:$D, EC$6)</f>
        <v>0.146461478377578</v>
      </c>
      <c r="ED176" s="1111">
        <f>SUMIFS(NewEmisData!H:H, NewEmisData!$A:$A, $G176, NewEmisData!$B:$B, $A176, NewEmisData!$C:$C, $H176, NewEmisData!$D:$D, ED$6)</f>
        <v>0.14857043025063399</v>
      </c>
      <c r="EE176" s="1111">
        <f>SUMIFS(NewEmisData!I:I, NewEmisData!$A:$A, $G176, NewEmisData!$B:$B, $A176, NewEmisData!$C:$C, $H176, NewEmisData!$D:$D, EE$6)</f>
        <v>0.14921098409112099</v>
      </c>
      <c r="EF176" s="1111">
        <f>SUMIFS(NewEmisData!J:J, NewEmisData!$A:$A, $G176, NewEmisData!$B:$B, $A176, NewEmisData!$C:$C, $H176, NewEmisData!$D:$D, EF$6)</f>
        <v>0.14903391288637999</v>
      </c>
      <c r="EG176" s="1111">
        <f>SUMIFS(NewEmisData!K:K, NewEmisData!$A:$A, $G176, NewEmisData!$B:$B, $A176, NewEmisData!$C:$C, $H176, NewEmisData!$D:$D, EG$6)</f>
        <v>0.149096656781327</v>
      </c>
      <c r="EH176" s="1111">
        <f>SUMIFS(NewEmisData!L:L, NewEmisData!$A:$A, $G176, NewEmisData!$B:$B, $A176, NewEmisData!$C:$C, $H176, NewEmisData!$D:$D, EH$6)</f>
        <v>0.14900669844887601</v>
      </c>
      <c r="EI176" s="1111">
        <f>SUMIFS(NewEmisData!M:M, NewEmisData!$A:$A, $G176, NewEmisData!$B:$B, $A176, NewEmisData!$C:$C, $H176, NewEmisData!$D:$D, EI$6)</f>
        <v>0.14895012544389</v>
      </c>
      <c r="EJ176" s="1111">
        <f t="shared" si="256"/>
        <v>0.14895012544389</v>
      </c>
      <c r="EK176" s="1111">
        <f t="shared" si="257"/>
        <v>1391.2693302299499</v>
      </c>
      <c r="EL176" s="1111">
        <f t="shared" si="269"/>
        <v>1391.2693302299499</v>
      </c>
      <c r="EM176" s="1111">
        <f t="shared" si="270"/>
        <v>1387.81700695984</v>
      </c>
      <c r="EN176" s="1111">
        <f t="shared" si="271"/>
        <v>1800.2870719201501</v>
      </c>
      <c r="EO176" s="1111">
        <f t="shared" si="272"/>
        <v>1737.4132368119399</v>
      </c>
      <c r="EP176" s="1111">
        <f t="shared" si="273"/>
        <v>1684.8867050016099</v>
      </c>
      <c r="EQ176" s="1111">
        <f t="shared" si="274"/>
        <v>1667.30888418872</v>
      </c>
      <c r="ER176" s="1111">
        <f t="shared" si="275"/>
        <v>1662.1204635085701</v>
      </c>
      <c r="ES176" s="1111">
        <f t="shared" si="276"/>
        <v>1660.97957279301</v>
      </c>
      <c r="ET176" s="1111">
        <f t="shared" si="277"/>
        <v>1660.69684286644</v>
      </c>
      <c r="EU176" s="1111">
        <f t="shared" si="278"/>
        <v>1660.69684286644</v>
      </c>
      <c r="EV176" s="1111">
        <f t="shared" si="258"/>
        <v>9.0067562467577496</v>
      </c>
      <c r="EW176" s="1111">
        <f t="shared" si="259"/>
        <v>9.0067562467577496</v>
      </c>
      <c r="EX176" s="1111">
        <f t="shared" si="260"/>
        <v>4.6343833495392097</v>
      </c>
      <c r="EY176" s="1111">
        <f t="shared" si="261"/>
        <v>3.60142958602064</v>
      </c>
      <c r="EZ176" s="1111">
        <f t="shared" si="262"/>
        <v>2.1043869634005898</v>
      </c>
      <c r="FA176" s="1111">
        <f t="shared" si="263"/>
        <v>1.48367214909245</v>
      </c>
      <c r="FB176" s="1111">
        <f t="shared" si="264"/>
        <v>1.28531680721516</v>
      </c>
      <c r="FC176" s="1111">
        <f t="shared" si="265"/>
        <v>1.2244614015544699</v>
      </c>
      <c r="FD176" s="1111">
        <f t="shared" si="266"/>
        <v>1.2160626918277799</v>
      </c>
      <c r="FE176" s="1111">
        <f t="shared" si="267"/>
        <v>1.2135584327019699</v>
      </c>
      <c r="FF176" s="1111">
        <f t="shared" si="268"/>
        <v>1.2135584327019699</v>
      </c>
      <c r="FG176" s="1111">
        <f t="shared" si="193"/>
        <v>3.4517378580972299E-2</v>
      </c>
      <c r="FH176" s="1111">
        <f t="shared" si="194"/>
        <v>3.4517378580972299E-2</v>
      </c>
      <c r="FI176" s="1111">
        <f t="shared" si="195"/>
        <v>3.32138510088891E-2</v>
      </c>
      <c r="FJ176" s="1111">
        <f t="shared" si="196"/>
        <v>1.51370239918269E-2</v>
      </c>
      <c r="FK176" s="1111">
        <f t="shared" si="197"/>
        <v>1.4522910664903899E-2</v>
      </c>
      <c r="FL176" s="1111">
        <f t="shared" si="198"/>
        <v>1.4055280493155501E-2</v>
      </c>
      <c r="FM176" s="1111">
        <f t="shared" si="199"/>
        <v>1.39025233464321E-2</v>
      </c>
      <c r="FN176" s="1111">
        <f t="shared" si="200"/>
        <v>1.3857298595630599E-2</v>
      </c>
      <c r="FO176" s="1111">
        <f t="shared" si="201"/>
        <v>1.3847788543629599E-2</v>
      </c>
      <c r="FP176" s="1111">
        <f t="shared" si="202"/>
        <v>1.38454338903831E-2</v>
      </c>
      <c r="FQ176" s="1111">
        <f t="shared" si="203"/>
        <v>1.38454338903831E-2</v>
      </c>
      <c r="FR176" s="1111">
        <f t="shared" si="230"/>
        <v>0.88280589948548305</v>
      </c>
      <c r="FS176" s="1111">
        <f t="shared" si="231"/>
        <v>0.88280589948548305</v>
      </c>
      <c r="FT176" s="1111">
        <f t="shared" si="232"/>
        <v>0.45831592934321902</v>
      </c>
      <c r="FU176" s="1111">
        <f t="shared" si="233"/>
        <v>0.43734131963468098</v>
      </c>
      <c r="FV176" s="1111">
        <f t="shared" si="234"/>
        <v>0.34967637389988199</v>
      </c>
      <c r="FW176" s="1111">
        <f t="shared" si="235"/>
        <v>0.31983162808126298</v>
      </c>
      <c r="FX176" s="1111">
        <f t="shared" si="236"/>
        <v>0.31421718315917302</v>
      </c>
      <c r="FY176" s="1111">
        <f t="shared" si="237"/>
        <v>0.31256016773955603</v>
      </c>
      <c r="FZ176" s="1111">
        <f t="shared" si="238"/>
        <v>0.31254542006524799</v>
      </c>
      <c r="GA176" s="1111">
        <f t="shared" si="239"/>
        <v>0.31254401073163601</v>
      </c>
      <c r="GB176" s="1111">
        <f t="shared" si="240"/>
        <v>0.31254401073163601</v>
      </c>
      <c r="GC176" s="1111">
        <f t="shared" si="279"/>
        <v>0.66102414887226102</v>
      </c>
      <c r="GD176" s="1111">
        <f t="shared" si="280"/>
        <v>0.66102414887226102</v>
      </c>
      <c r="GE176" s="1111">
        <f t="shared" si="281"/>
        <v>0.27087694461251399</v>
      </c>
      <c r="GF176" s="1111">
        <f t="shared" si="282"/>
        <v>0.174468170082518</v>
      </c>
      <c r="GG176" s="1111">
        <f t="shared" si="283"/>
        <v>9.4926362989927404E-2</v>
      </c>
      <c r="GH176" s="1111">
        <f t="shared" si="284"/>
        <v>6.7801817056445293E-2</v>
      </c>
      <c r="GI176" s="1111">
        <f t="shared" si="285"/>
        <v>6.2731413619129706E-2</v>
      </c>
      <c r="GJ176" s="1111">
        <f t="shared" si="286"/>
        <v>6.1230033876524703E-2</v>
      </c>
      <c r="GK176" s="1111">
        <f t="shared" si="287"/>
        <v>6.1220848871463299E-2</v>
      </c>
      <c r="GL176" s="1111">
        <f t="shared" si="288"/>
        <v>6.1219393619074997E-2</v>
      </c>
      <c r="GM176" s="1111">
        <f t="shared" si="289"/>
        <v>6.1219393619074997E-2</v>
      </c>
    </row>
    <row r="177" spans="1:195" x14ac:dyDescent="0.2">
      <c r="A177" s="1071" t="s">
        <v>184</v>
      </c>
      <c r="B177" s="1071" t="str">
        <f>Technologies!C118</f>
        <v>TMDSLC10</v>
      </c>
      <c r="C177" s="1071" t="str">
        <f>Technologies!D118</f>
        <v>Medium Duty Truck, Diesel, 2010</v>
      </c>
      <c r="D177" s="1071" t="str">
        <f>NewTech!D70</f>
        <v>bn-vmt, bn-vmt/a</v>
      </c>
      <c r="E177" s="1071" t="str">
        <f>NewTech!E71</f>
        <v>TMDSL</v>
      </c>
      <c r="F177" s="1071" t="str">
        <f>NewTech!F71</f>
        <v>TM</v>
      </c>
      <c r="G177" s="1110" t="s">
        <v>503</v>
      </c>
      <c r="H177" s="1110" t="s">
        <v>499</v>
      </c>
      <c r="I177" s="1112">
        <v>1</v>
      </c>
      <c r="J177" s="1111" t="str">
        <f t="shared" si="37"/>
        <v>Medium duty-DSL</v>
      </c>
      <c r="K177" s="1111">
        <f>SUMIFS(NewEmisData!E:E, NewEmisData!$A:$A, $G177, NewEmisData!$B:$B, $A177, NewEmisData!$C:$C, $H177, NewEmisData!$D:$D, K$6)</f>
        <v>1227.122531812</v>
      </c>
      <c r="L177" s="1111">
        <f>SUMIFS(NewEmisData!F:F, NewEmisData!$A:$A, $G177, NewEmisData!$B:$B, $A177, NewEmisData!$C:$C, $H177, NewEmisData!$D:$D, L$6)</f>
        <v>1223.38293869125</v>
      </c>
      <c r="M177" s="1111">
        <f>SUMIFS(NewEmisData!G:G, NewEmisData!$A:$A, $G177, NewEmisData!$B:$B, $A177, NewEmisData!$C:$C, $H177, NewEmisData!$D:$D, M$6)</f>
        <v>1491.9167744443</v>
      </c>
      <c r="N177" s="1111">
        <f>SUMIFS(NewEmisData!H:H, NewEmisData!$A:$A, $G177, NewEmisData!$B:$B, $A177, NewEmisData!$C:$C, $H177, NewEmisData!$D:$D, N$6)</f>
        <v>1439.6290263866099</v>
      </c>
      <c r="O177" s="1111">
        <f>SUMIFS(NewEmisData!I:I, NewEmisData!$A:$A, $G177, NewEmisData!$B:$B, $A177, NewEmisData!$C:$C, $H177, NewEmisData!$D:$D, O$6)</f>
        <v>1396.0303655681701</v>
      </c>
      <c r="P177" s="1111">
        <f>SUMIFS(NewEmisData!J:J, NewEmisData!$A:$A, $G177, NewEmisData!$B:$B, $A177, NewEmisData!$C:$C, $H177, NewEmisData!$D:$D, P$6)</f>
        <v>1381.4572061837</v>
      </c>
      <c r="Q177" s="1111">
        <f>SUMIFS(NewEmisData!K:K, NewEmisData!$A:$A, $G177, NewEmisData!$B:$B, $A177, NewEmisData!$C:$C, $H177, NewEmisData!$D:$D, Q$6)</f>
        <v>1377.1647221724299</v>
      </c>
      <c r="R177" s="1111">
        <f>SUMIFS(NewEmisData!L:L, NewEmisData!$A:$A, $G177, NewEmisData!$B:$B, $A177, NewEmisData!$C:$C, $H177, NewEmisData!$D:$D, R$6)</f>
        <v>1376.2239115392599</v>
      </c>
      <c r="S177" s="1111">
        <f>SUMIFS(NewEmisData!M:M, NewEmisData!$A:$A, $G177, NewEmisData!$B:$B, $A177, NewEmisData!$C:$C, $H177, NewEmisData!$D:$D, S$6)</f>
        <v>1375.99238621115</v>
      </c>
      <c r="T177" s="1111">
        <f t="shared" si="290"/>
        <v>1375.99238621115</v>
      </c>
      <c r="U177" s="1111">
        <f>SUMIFS(NewEmisData!E:E, NewEmisData!$A:$A, $G177, NewEmisData!$B:$B, $A177, NewEmisData!$C:$C, $H177, NewEmisData!$D:$D, U$6)</f>
        <v>8.0193608379791392</v>
      </c>
      <c r="V177" s="1111">
        <f>SUMIFS(NewEmisData!F:F, NewEmisData!$A:$A, $G177, NewEmisData!$B:$B, $A177, NewEmisData!$C:$C, $H177, NewEmisData!$D:$D, V$6)</f>
        <v>4.1543590563126003</v>
      </c>
      <c r="W177" s="1111">
        <f>SUMIFS(NewEmisData!G:G, NewEmisData!$A:$A, $G177, NewEmisData!$B:$B, $A177, NewEmisData!$C:$C, $H177, NewEmisData!$D:$D, W$6)</f>
        <v>2.98133312137844</v>
      </c>
      <c r="X177" s="1111">
        <f>SUMIFS(NewEmisData!H:H, NewEmisData!$A:$A, $G177, NewEmisData!$B:$B, $A177, NewEmisData!$C:$C, $H177, NewEmisData!$D:$D, X$6)</f>
        <v>1.7381068783510201</v>
      </c>
      <c r="Y177" s="1111">
        <f>SUMIFS(NewEmisData!I:I, NewEmisData!$A:$A, $G177, NewEmisData!$B:$B, $A177, NewEmisData!$C:$C, $H177, NewEmisData!$D:$D, Y$6)</f>
        <v>1.2226706736775499</v>
      </c>
      <c r="Z177" s="1111">
        <f>SUMIFS(NewEmisData!J:J, NewEmisData!$A:$A, $G177, NewEmisData!$B:$B, $A177, NewEmisData!$C:$C, $H177, NewEmisData!$D:$D, Z$6)</f>
        <v>1.0580964689305701</v>
      </c>
      <c r="AA177" s="1111">
        <f>SUMIFS(NewEmisData!K:K, NewEmisData!$A:$A, $G177, NewEmisData!$B:$B, $A177, NewEmisData!$C:$C, $H177, NewEmisData!$D:$D, AA$6)</f>
        <v>1.00772008015349</v>
      </c>
      <c r="AB177" s="1111">
        <f>SUMIFS(NewEmisData!L:L, NewEmisData!$A:$A, $G177, NewEmisData!$B:$B, $A177, NewEmisData!$C:$C, $H177, NewEmisData!$D:$D, AB$6)</f>
        <v>1.0008292130083001</v>
      </c>
      <c r="AC177" s="1111">
        <f>SUMIFS(NewEmisData!M:M, NewEmisData!$A:$A, $G177, NewEmisData!$B:$B, $A177, NewEmisData!$C:$C, $H177, NewEmisData!$D:$D, AC$6)</f>
        <v>0.99880738384490098</v>
      </c>
      <c r="AD177" s="1111">
        <f t="shared" si="229"/>
        <v>0.99880738384490098</v>
      </c>
      <c r="AE177" s="1111">
        <f t="shared" si="241"/>
        <v>3.0399158238526399E-2</v>
      </c>
      <c r="AF177" s="1111">
        <f>SUMIFS(NewEmisData!E:E, NewEmisData!$A:$A, $G177, NewEmisData!$B:$B, $A177, NewEmisData!$C:$C, $H177, NewEmisData!$D:$D, AF$6)</f>
        <v>3.0399158238526399E-2</v>
      </c>
      <c r="AG177" s="1111">
        <f>SUMIFS(NewEmisData!F:F, NewEmisData!$A:$A, $G177, NewEmisData!$B:$B, $A177, NewEmisData!$C:$C, $H177, NewEmisData!$D:$D, AG$6)</f>
        <v>2.9335551037600001E-2</v>
      </c>
      <c r="AH177" s="1111">
        <f>SUMIFS(NewEmisData!G:G, NewEmisData!$A:$A, $G177, NewEmisData!$B:$B, $A177, NewEmisData!$C:$C, $H177, NewEmisData!$D:$D, AH$6)</f>
        <v>1.25441414050069E-2</v>
      </c>
      <c r="AI177" s="1111">
        <f>SUMIFS(NewEmisData!H:H, NewEmisData!$A:$A, $G177, NewEmisData!$B:$B, $A177, NewEmisData!$C:$C, $H177, NewEmisData!$D:$D, AI$6)</f>
        <v>1.2033715661617201E-2</v>
      </c>
      <c r="AJ177" s="1111">
        <f>SUMIFS(NewEmisData!I:I, NewEmisData!$A:$A, $G177, NewEmisData!$B:$B, $A177, NewEmisData!$C:$C, $H177, NewEmisData!$D:$D, AJ$6)</f>
        <v>1.1645627611560599E-2</v>
      </c>
      <c r="AK177" s="1111">
        <f>SUMIFS(NewEmisData!J:J, NewEmisData!$A:$A, $G177, NewEmisData!$B:$B, $A177, NewEmisData!$C:$C, $H177, NewEmisData!$D:$D, AK$6)</f>
        <v>1.15189928592382E-2</v>
      </c>
      <c r="AL177" s="1111">
        <f>SUMIFS(NewEmisData!K:K, NewEmisData!$A:$A, $G177, NewEmisData!$B:$B, $A177, NewEmisData!$C:$C, $H177, NewEmisData!$D:$D, AL$6)</f>
        <v>1.1481583994978299E-2</v>
      </c>
      <c r="AM177" s="1111">
        <f>SUMIFS(NewEmisData!L:L, NewEmisData!$A:$A, $G177, NewEmisData!$B:$B, $A177, NewEmisData!$C:$C, $H177, NewEmisData!$D:$D, AM$6)</f>
        <v>1.1473738052833899E-2</v>
      </c>
      <c r="AN177" s="1111">
        <f>SUMIFS(NewEmisData!M:M, NewEmisData!$A:$A, $G177, NewEmisData!$B:$B, $A177, NewEmisData!$C:$C, $H177, NewEmisData!$D:$D, AN$6)</f>
        <v>1.14718141652436E-2</v>
      </c>
      <c r="AO177" s="1111">
        <f t="shared" si="242"/>
        <v>1.14718141652436E-2</v>
      </c>
      <c r="AP177" s="1111">
        <f t="shared" si="243"/>
        <v>0.75675018821525997</v>
      </c>
      <c r="AQ177" s="1111">
        <f>SUMIFS(NewEmisData!E:E, NewEmisData!$A:$A, $G177, NewEmisData!$B:$B, $A177, NewEmisData!$C:$C, $H177, NewEmisData!$D:$D, AQ$6)</f>
        <v>0.75675018821525997</v>
      </c>
      <c r="AR177" s="1111">
        <f>SUMIFS(NewEmisData!F:F, NewEmisData!$A:$A, $G177, NewEmisData!$B:$B, $A177, NewEmisData!$C:$C, $H177, NewEmisData!$D:$D, AR$6)</f>
        <v>0.40133452537918501</v>
      </c>
      <c r="AS177" s="1111">
        <f>SUMIFS(NewEmisData!G:G, NewEmisData!$A:$A, $G177, NewEmisData!$B:$B, $A177, NewEmisData!$C:$C, $H177, NewEmisData!$D:$D, AS$6)</f>
        <v>0.33506910840269499</v>
      </c>
      <c r="AT177" s="1111">
        <f>SUMIFS(NewEmisData!H:H, NewEmisData!$A:$A, $G177, NewEmisData!$B:$B, $A177, NewEmisData!$C:$C, $H177, NewEmisData!$D:$D, AT$6)</f>
        <v>0.263570196116162</v>
      </c>
      <c r="AU177" s="1111">
        <f>SUMIFS(NewEmisData!I:I, NewEmisData!$A:$A, $G177, NewEmisData!$B:$B, $A177, NewEmisData!$C:$C, $H177, NewEmisData!$D:$D, AU$6)</f>
        <v>0.239317173689682</v>
      </c>
      <c r="AV177" s="1111">
        <f>SUMIFS(NewEmisData!J:J, NewEmisData!$A:$A, $G177, NewEmisData!$B:$B, $A177, NewEmisData!$C:$C, $H177, NewEmisData!$D:$D, AV$6)</f>
        <v>0.23470430578816801</v>
      </c>
      <c r="AW177" s="1111">
        <f>SUMIFS(NewEmisData!K:K, NewEmisData!$A:$A, $G177, NewEmisData!$B:$B, $A177, NewEmisData!$C:$C, $H177, NewEmisData!$D:$D, AW$6)</f>
        <v>0.23334423625159001</v>
      </c>
      <c r="AX177" s="1111">
        <f>SUMIFS(NewEmisData!L:L, NewEmisData!$A:$A, $G177, NewEmisData!$B:$B, $A177, NewEmisData!$C:$C, $H177, NewEmisData!$D:$D, AX$6)</f>
        <v>0.233332846550835</v>
      </c>
      <c r="AY177" s="1111">
        <f>SUMIFS(NewEmisData!M:M, NewEmisData!$A:$A, $G177, NewEmisData!$B:$B, $A177, NewEmisData!$C:$C, $H177, NewEmisData!$D:$D, AY$6)</f>
        <v>0.23333151026798801</v>
      </c>
      <c r="AZ177" s="1111">
        <f t="shared" si="244"/>
        <v>0.23333151026798801</v>
      </c>
      <c r="BA177" s="1111">
        <f t="shared" si="245"/>
        <v>0.57853809313457705</v>
      </c>
      <c r="BB177" s="1111">
        <f>SUMIFS(NewEmisData!E:E, NewEmisData!$A:$A, $G177, NewEmisData!$B:$B, $A177, NewEmisData!$C:$C, $H177, NewEmisData!$D:$D, BB$6)</f>
        <v>0.57853809313457705</v>
      </c>
      <c r="BC177" s="1111">
        <f>SUMIFS(NewEmisData!F:F, NewEmisData!$A:$A, $G177, NewEmisData!$B:$B, $A177, NewEmisData!$C:$C, $H177, NewEmisData!$D:$D, BC$6)</f>
        <v>0.252003695301314</v>
      </c>
      <c r="BD177" s="1111">
        <f>SUMIFS(NewEmisData!G:G, NewEmisData!$A:$A, $G177, NewEmisData!$B:$B, $A177, NewEmisData!$C:$C, $H177, NewEmisData!$D:$D, BD$6)</f>
        <v>0.14009339529863701</v>
      </c>
      <c r="BE177" s="1111">
        <f>SUMIFS(NewEmisData!H:H, NewEmisData!$A:$A, $G177, NewEmisData!$B:$B, $A177, NewEmisData!$C:$C, $H177, NewEmisData!$D:$D, BE$6)</f>
        <v>7.5128307357895593E-2</v>
      </c>
      <c r="BF177" s="1111">
        <f>SUMIFS(NewEmisData!I:I, NewEmisData!$A:$A, $G177, NewEmisData!$B:$B, $A177, NewEmisData!$C:$C, $H177, NewEmisData!$D:$D, BF$6)</f>
        <v>5.3059643460613801E-2</v>
      </c>
      <c r="BG177" s="1111">
        <f>SUMIFS(NewEmisData!J:J, NewEmisData!$A:$A, $G177, NewEmisData!$B:$B, $A177, NewEmisData!$C:$C, $H177, NewEmisData!$D:$D, BG$6)</f>
        <v>4.8885273229585302E-2</v>
      </c>
      <c r="BH177" s="1111">
        <f>SUMIFS(NewEmisData!K:K, NewEmisData!$A:$A, $G177, NewEmisData!$B:$B, $A177, NewEmisData!$C:$C, $H177, NewEmisData!$D:$D, BH$6)</f>
        <v>4.7651037372409798E-2</v>
      </c>
      <c r="BI177" s="1111">
        <f>SUMIFS(NewEmisData!L:L, NewEmisData!$A:$A, $G177, NewEmisData!$B:$B, $A177, NewEmisData!$C:$C, $H177, NewEmisData!$D:$D, BI$6)</f>
        <v>4.7643536740020302E-2</v>
      </c>
      <c r="BJ177" s="1111">
        <f>SUMIFS(NewEmisData!M:M, NewEmisData!$A:$A, $G177, NewEmisData!$B:$B, $A177, NewEmisData!$C:$C, $H177, NewEmisData!$D:$D, BJ$6)</f>
        <v>4.7642334168564497E-2</v>
      </c>
      <c r="BK177" s="1111">
        <f t="shared" si="246"/>
        <v>4.7642334168564497E-2</v>
      </c>
      <c r="BL177" s="1111">
        <f t="shared" si="247"/>
        <v>3.66291528795528</v>
      </c>
      <c r="BM177" s="1111">
        <f>SUMIFS(NewEmisData!E:E, NewEmisData!$A:$A, $G177, NewEmisData!$B:$B, $A177, NewEmisData!$C:$C, $H177, NewEmisData!$D:$D, BM$6)</f>
        <v>3.66291528795528</v>
      </c>
      <c r="BN177" s="1111">
        <f>SUMIFS(NewEmisData!F:F, NewEmisData!$A:$A, $G177, NewEmisData!$B:$B, $A177, NewEmisData!$C:$C, $H177, NewEmisData!$D:$D, BN$6)</f>
        <v>1.81110834429754</v>
      </c>
      <c r="BO177" s="1111">
        <f>SUMIFS(NewEmisData!G:G, NewEmisData!$A:$A, $G177, NewEmisData!$B:$B, $A177, NewEmisData!$C:$C, $H177, NewEmisData!$D:$D, BO$6)</f>
        <v>1.17052618624317</v>
      </c>
      <c r="BP177" s="1111">
        <f>SUMIFS(NewEmisData!H:H, NewEmisData!$A:$A, $G177, NewEmisData!$B:$B, $A177, NewEmisData!$C:$C, $H177, NewEmisData!$D:$D, BP$6)</f>
        <v>0.73614531651374404</v>
      </c>
      <c r="BQ177" s="1111">
        <f>SUMIFS(NewEmisData!I:I, NewEmisData!$A:$A, $G177, NewEmisData!$B:$B, $A177, NewEmisData!$C:$C, $H177, NewEmisData!$D:$D, BQ$6)</f>
        <v>0.597052259804708</v>
      </c>
      <c r="BR177" s="1111">
        <f>SUMIFS(NewEmisData!J:J, NewEmisData!$A:$A, $G177, NewEmisData!$B:$B, $A177, NewEmisData!$C:$C, $H177, NewEmisData!$D:$D, BR$6)</f>
        <v>0.56487776147618596</v>
      </c>
      <c r="BS177" s="1111">
        <f>SUMIFS(NewEmisData!K:K, NewEmisData!$A:$A, $G177, NewEmisData!$B:$B, $A177, NewEmisData!$C:$C, $H177, NewEmisData!$D:$D, BS$6)</f>
        <v>0.55598119154160697</v>
      </c>
      <c r="BT177" s="1111">
        <f>SUMIFS(NewEmisData!L:L, NewEmisData!$A:$A, $G177, NewEmisData!$B:$B, $A177, NewEmisData!$C:$C, $H177, NewEmisData!$D:$D, BT$6)</f>
        <v>0.55580702712140895</v>
      </c>
      <c r="BU177" s="1111">
        <f>SUMIFS(NewEmisData!M:M, NewEmisData!$A:$A, $G177, NewEmisData!$B:$B, $A177, NewEmisData!$C:$C, $H177, NewEmisData!$D:$D, BU$6)</f>
        <v>0.55571945282790103</v>
      </c>
      <c r="BV177" s="1111">
        <f t="shared" si="248"/>
        <v>0.55571945282790103</v>
      </c>
      <c r="BW177" s="1111">
        <f t="shared" si="249"/>
        <v>1.43661852797596</v>
      </c>
      <c r="BX177" s="1111">
        <f>SUMIFS(NewEmisData!E:E, NewEmisData!$A:$A, $G177, NewEmisData!$B:$B, $A177, NewEmisData!$C:$C, $H177, NewEmisData!$D:$D, BX$6)</f>
        <v>1.43661852797596</v>
      </c>
      <c r="BY177" s="1111">
        <f>SUMIFS(NewEmisData!F:F, NewEmisData!$A:$A, $G177, NewEmisData!$B:$B, $A177, NewEmisData!$C:$C, $H177, NewEmisData!$D:$D, BY$6)</f>
        <v>0.62875879312815397</v>
      </c>
      <c r="BZ177" s="1111">
        <f>SUMIFS(NewEmisData!G:G, NewEmisData!$A:$A, $G177, NewEmisData!$B:$B, $A177, NewEmisData!$C:$C, $H177, NewEmisData!$D:$D, BZ$6)</f>
        <v>0.38012488858052901</v>
      </c>
      <c r="CA177" s="1111">
        <f>SUMIFS(NewEmisData!H:H, NewEmisData!$A:$A, $G177, NewEmisData!$B:$B, $A177, NewEmisData!$C:$C, $H177, NewEmisData!$D:$D, CA$6)</f>
        <v>0.19661280267353801</v>
      </c>
      <c r="CB177" s="1111">
        <f>SUMIFS(NewEmisData!I:I, NewEmisData!$A:$A, $G177, NewEmisData!$B:$B, $A177, NewEmisData!$C:$C, $H177, NewEmisData!$D:$D, CB$6)</f>
        <v>0.139914566708539</v>
      </c>
      <c r="CC177" s="1111">
        <f>SUMIFS(NewEmisData!J:J, NewEmisData!$A:$A, $G177, NewEmisData!$B:$B, $A177, NewEmisData!$C:$C, $H177, NewEmisData!$D:$D, CC$6)</f>
        <v>0.126251922379787</v>
      </c>
      <c r="CD177" s="1111">
        <f>SUMIFS(NewEmisData!K:K, NewEmisData!$A:$A, $G177, NewEmisData!$B:$B, $A177, NewEmisData!$C:$C, $H177, NewEmisData!$D:$D, CD$6)</f>
        <v>0.122717084606958</v>
      </c>
      <c r="CE177" s="1111">
        <f>SUMIFS(NewEmisData!L:L, NewEmisData!$A:$A, $G177, NewEmisData!$B:$B, $A177, NewEmisData!$C:$C, $H177, NewEmisData!$D:$D, CE$6)</f>
        <v>0.122648698331061</v>
      </c>
      <c r="CF177" s="1111">
        <f>SUMIFS(NewEmisData!M:M, NewEmisData!$A:$A, $G177, NewEmisData!$B:$B, $A177, NewEmisData!$C:$C, $H177, NewEmisData!$D:$D, CF$6)</f>
        <v>0.12261069478738</v>
      </c>
      <c r="CG177" s="1111">
        <f t="shared" si="250"/>
        <v>0.12261069478738</v>
      </c>
      <c r="CH177" s="1111">
        <f t="shared" si="251"/>
        <v>2.6039509433426099E-2</v>
      </c>
      <c r="CI177" s="1111">
        <f>SUMIFS(NewEmisData!E:E, NewEmisData!$A:$A, $G177, NewEmisData!$B:$B, $A177, NewEmisData!$C:$C, $H177, NewEmisData!$D:$D, CI$6)</f>
        <v>2.6039509433426099E-2</v>
      </c>
      <c r="CJ177" s="1111">
        <f>SUMIFS(NewEmisData!F:F, NewEmisData!$A:$A, $G177, NewEmisData!$B:$B, $A177, NewEmisData!$C:$C, $H177, NewEmisData!$D:$D, CJ$6)</f>
        <v>2.6040008346974602E-2</v>
      </c>
      <c r="CK177" s="1111">
        <f>SUMIFS(NewEmisData!G:G, NewEmisData!$A:$A, $G177, NewEmisData!$B:$B, $A177, NewEmisData!$C:$C, $H177, NewEmisData!$D:$D, CK$6)</f>
        <v>3.2995536073936203E-2</v>
      </c>
      <c r="CL177" s="1111">
        <f>SUMIFS(NewEmisData!H:H, NewEmisData!$A:$A, $G177, NewEmisData!$B:$B, $A177, NewEmisData!$C:$C, $H177, NewEmisData!$D:$D, CL$6)</f>
        <v>3.2996708039722003E-2</v>
      </c>
      <c r="CM177" s="1111">
        <f>SUMIFS(NewEmisData!I:I, NewEmisData!$A:$A, $G177, NewEmisData!$B:$B, $A177, NewEmisData!$C:$C, $H177, NewEmisData!$D:$D, CM$6)</f>
        <v>3.2997215949732303E-2</v>
      </c>
      <c r="CN177" s="1111">
        <f>SUMIFS(NewEmisData!J:J, NewEmisData!$A:$A, $G177, NewEmisData!$B:$B, $A177, NewEmisData!$C:$C, $H177, NewEmisData!$D:$D, CN$6)</f>
        <v>3.29974176943355E-2</v>
      </c>
      <c r="CO177" s="1111">
        <f>SUMIFS(NewEmisData!K:K, NewEmisData!$A:$A, $G177, NewEmisData!$B:$B, $A177, NewEmisData!$C:$C, $H177, NewEmisData!$D:$D, CO$6)</f>
        <v>3.2997465645541797E-2</v>
      </c>
      <c r="CP177" s="1111">
        <f>SUMIFS(NewEmisData!L:L, NewEmisData!$A:$A, $G177, NewEmisData!$B:$B, $A177, NewEmisData!$C:$C, $H177, NewEmisData!$D:$D, CP$6)</f>
        <v>3.29975034492105E-2</v>
      </c>
      <c r="CQ177" s="1111">
        <f>SUMIFS(NewEmisData!M:M, NewEmisData!$A:$A, $G177, NewEmisData!$B:$B, $A177, NewEmisData!$C:$C, $H177, NewEmisData!$D:$D, CQ$6)</f>
        <v>3.2997507472943201E-2</v>
      </c>
      <c r="CR177" s="1111">
        <f t="shared" si="252"/>
        <v>3.2997507472943201E-2</v>
      </c>
      <c r="CS177" s="1111">
        <f t="shared" si="253"/>
        <v>3.5409431722048901E-3</v>
      </c>
      <c r="CT177" s="1111">
        <f>SUMIFS(NewEmisData!E:E, NewEmisData!$A:$A, $G177, NewEmisData!$B:$B, $A177, NewEmisData!$C:$C, $H177, NewEmisData!$D:$D, CT$6)</f>
        <v>3.5409431722048901E-3</v>
      </c>
      <c r="CU177" s="1111">
        <f>SUMIFS(NewEmisData!F:F, NewEmisData!$A:$A, $G177, NewEmisData!$B:$B, $A177, NewEmisData!$C:$C, $H177, NewEmisData!$D:$D, CU$6)</f>
        <v>3.63890781693205E-3</v>
      </c>
      <c r="CV177" s="1111">
        <f>SUMIFS(NewEmisData!G:G, NewEmisData!$A:$A, $G177, NewEmisData!$B:$B, $A177, NewEmisData!$C:$C, $H177, NewEmisData!$D:$D, CV$6)</f>
        <v>5.4574768642476996E-3</v>
      </c>
      <c r="CW177" s="1111">
        <f>SUMIFS(NewEmisData!H:H, NewEmisData!$A:$A, $G177, NewEmisData!$B:$B, $A177, NewEmisData!$C:$C, $H177, NewEmisData!$D:$D, CW$6)</f>
        <v>5.4675414672760402E-3</v>
      </c>
      <c r="CX177" s="1111">
        <f>SUMIFS(NewEmisData!I:I, NewEmisData!$A:$A, $G177, NewEmisData!$B:$B, $A177, NewEmisData!$C:$C, $H177, NewEmisData!$D:$D, CX$6)</f>
        <v>5.4680384341553E-3</v>
      </c>
      <c r="CY177" s="1111">
        <f>SUMIFS(NewEmisData!J:J, NewEmisData!$A:$A, $G177, NewEmisData!$B:$B, $A177, NewEmisData!$C:$C, $H177, NewEmisData!$D:$D, CY$6)</f>
        <v>5.4634019579347104E-3</v>
      </c>
      <c r="CZ177" s="1111">
        <f>SUMIFS(NewEmisData!K:K, NewEmisData!$A:$A, $G177, NewEmisData!$B:$B, $A177, NewEmisData!$C:$C, $H177, NewEmisData!$D:$D, CZ$6)</f>
        <v>5.4597660152292298E-3</v>
      </c>
      <c r="DA177" s="1111">
        <f>SUMIFS(NewEmisData!L:L, NewEmisData!$A:$A, $G177, NewEmisData!$B:$B, $A177, NewEmisData!$C:$C, $H177, NewEmisData!$D:$D, DA$6)</f>
        <v>5.4584958414238298E-3</v>
      </c>
      <c r="DB177" s="1111">
        <f>SUMIFS(NewEmisData!M:M, NewEmisData!$A:$A, $G177, NewEmisData!$B:$B, $A177, NewEmisData!$C:$C, $H177, NewEmisData!$D:$D, DB$6)</f>
        <v>5.45755956631585E-3</v>
      </c>
      <c r="DC177" s="1111">
        <f t="shared" si="254"/>
        <v>5.45755956631585E-3</v>
      </c>
      <c r="DD177" s="1111"/>
      <c r="DE177" s="1111"/>
      <c r="DF177" s="1111"/>
      <c r="DG177" s="1111"/>
      <c r="DH177" s="1111"/>
      <c r="DI177" s="1111"/>
      <c r="DJ177" s="1111"/>
      <c r="DK177" s="1111"/>
      <c r="DL177" s="1111"/>
      <c r="DM177" s="1111"/>
      <c r="DN177" s="1111"/>
      <c r="DO177" s="1111"/>
      <c r="DP177" s="1111"/>
      <c r="DQ177" s="1111"/>
      <c r="DR177" s="1111"/>
      <c r="DS177" s="1111"/>
      <c r="DT177" s="1111"/>
      <c r="DU177" s="1111"/>
      <c r="DV177" s="1111"/>
      <c r="DW177" s="1111"/>
      <c r="DX177" s="1111"/>
      <c r="DY177" s="1111"/>
      <c r="DZ177" s="1111">
        <f t="shared" si="255"/>
        <v>1.97747867706301E-2</v>
      </c>
      <c r="EA177" s="1111">
        <f>SUMIFS(NewEmisData!E:E, NewEmisData!$A:$A, $G177, NewEmisData!$B:$B, $A177, NewEmisData!$C:$C, $H177, NewEmisData!$D:$D, EA$6)</f>
        <v>1.97747867706301E-2</v>
      </c>
      <c r="EB177" s="1111">
        <f>SUMIFS(NewEmisData!F:F, NewEmisData!$A:$A, $G177, NewEmisData!$B:$B, $A177, NewEmisData!$C:$C, $H177, NewEmisData!$D:$D, EB$6)</f>
        <v>7.2363688705741003E-2</v>
      </c>
      <c r="EC177" s="1111">
        <f>SUMIFS(NewEmisData!G:G, NewEmisData!$A:$A, $G177, NewEmisData!$B:$B, $A177, NewEmisData!$C:$C, $H177, NewEmisData!$D:$D, EC$6)</f>
        <v>0.113967833470033</v>
      </c>
      <c r="ED177" s="1111">
        <f>SUMIFS(NewEmisData!H:H, NewEmisData!$A:$A, $G177, NewEmisData!$B:$B, $A177, NewEmisData!$C:$C, $H177, NewEmisData!$D:$D, ED$6)</f>
        <v>0.115112826964947</v>
      </c>
      <c r="EE177" s="1111">
        <f>SUMIFS(NewEmisData!I:I, NewEmisData!$A:$A, $G177, NewEmisData!$B:$B, $A177, NewEmisData!$C:$C, $H177, NewEmisData!$D:$D, EE$6)</f>
        <v>0.11539118025805099</v>
      </c>
      <c r="EF177" s="1111">
        <f>SUMIFS(NewEmisData!J:J, NewEmisData!$A:$A, $G177, NewEmisData!$B:$B, $A177, NewEmisData!$C:$C, $H177, NewEmisData!$D:$D, EF$6)</f>
        <v>0.115199325520795</v>
      </c>
      <c r="EG177" s="1111">
        <f>SUMIFS(NewEmisData!K:K, NewEmisData!$A:$A, $G177, NewEmisData!$B:$B, $A177, NewEmisData!$C:$C, $H177, NewEmisData!$D:$D, EG$6)</f>
        <v>0.115220036803385</v>
      </c>
      <c r="EH177" s="1111">
        <f>SUMIFS(NewEmisData!L:L, NewEmisData!$A:$A, $G177, NewEmisData!$B:$B, $A177, NewEmisData!$C:$C, $H177, NewEmisData!$D:$D, EH$6)</f>
        <v>0.115157957606922</v>
      </c>
      <c r="EI177" s="1111">
        <f>SUMIFS(NewEmisData!M:M, NewEmisData!$A:$A, $G177, NewEmisData!$B:$B, $A177, NewEmisData!$C:$C, $H177, NewEmisData!$D:$D, EI$6)</f>
        <v>0.115119875491087</v>
      </c>
      <c r="EJ177" s="1111">
        <f t="shared" si="256"/>
        <v>0.115119875491087</v>
      </c>
      <c r="EK177" s="1111">
        <f t="shared" si="257"/>
        <v>1227.122531812</v>
      </c>
      <c r="EL177" s="1111">
        <f t="shared" si="269"/>
        <v>1227.122531812</v>
      </c>
      <c r="EM177" s="1111">
        <f t="shared" si="270"/>
        <v>1223.38293869125</v>
      </c>
      <c r="EN177" s="1111">
        <f t="shared" si="271"/>
        <v>1491.9167744443</v>
      </c>
      <c r="EO177" s="1111">
        <f t="shared" si="272"/>
        <v>1439.6290263866099</v>
      </c>
      <c r="EP177" s="1111">
        <f t="shared" si="273"/>
        <v>1396.0303655681701</v>
      </c>
      <c r="EQ177" s="1111">
        <f t="shared" si="274"/>
        <v>1381.4572061837</v>
      </c>
      <c r="ER177" s="1111">
        <f t="shared" si="275"/>
        <v>1377.1647221724299</v>
      </c>
      <c r="ES177" s="1111">
        <f t="shared" si="276"/>
        <v>1376.2239115392599</v>
      </c>
      <c r="ET177" s="1111">
        <f t="shared" si="277"/>
        <v>1375.99238621115</v>
      </c>
      <c r="EU177" s="1111">
        <f t="shared" si="278"/>
        <v>1375.99238621115</v>
      </c>
      <c r="EV177" s="1111">
        <f t="shared" si="258"/>
        <v>8.0193608379791392</v>
      </c>
      <c r="EW177" s="1111">
        <f t="shared" si="259"/>
        <v>8.0193608379791392</v>
      </c>
      <c r="EX177" s="1111">
        <f t="shared" si="260"/>
        <v>4.1543590563126003</v>
      </c>
      <c r="EY177" s="1111">
        <f t="shared" si="261"/>
        <v>2.98133312137844</v>
      </c>
      <c r="EZ177" s="1111">
        <f t="shared" si="262"/>
        <v>1.7381068783510201</v>
      </c>
      <c r="FA177" s="1111">
        <f t="shared" si="263"/>
        <v>1.2226706736775499</v>
      </c>
      <c r="FB177" s="1111">
        <f t="shared" si="264"/>
        <v>1.0580964689305701</v>
      </c>
      <c r="FC177" s="1111">
        <f t="shared" si="265"/>
        <v>1.00772008015349</v>
      </c>
      <c r="FD177" s="1111">
        <f t="shared" si="266"/>
        <v>1.0008292130083001</v>
      </c>
      <c r="FE177" s="1111">
        <f t="shared" si="267"/>
        <v>0.99880738384490098</v>
      </c>
      <c r="FF177" s="1111">
        <f t="shared" si="268"/>
        <v>0.99880738384490098</v>
      </c>
      <c r="FG177" s="1111">
        <f t="shared" si="193"/>
        <v>3.0399158238526399E-2</v>
      </c>
      <c r="FH177" s="1111">
        <f t="shared" si="194"/>
        <v>3.0399158238526399E-2</v>
      </c>
      <c r="FI177" s="1111">
        <f t="shared" si="195"/>
        <v>2.9335551037600001E-2</v>
      </c>
      <c r="FJ177" s="1111">
        <f t="shared" si="196"/>
        <v>1.25441414050069E-2</v>
      </c>
      <c r="FK177" s="1111">
        <f t="shared" si="197"/>
        <v>1.2033715661617201E-2</v>
      </c>
      <c r="FL177" s="1111">
        <f t="shared" si="198"/>
        <v>1.1645627611560599E-2</v>
      </c>
      <c r="FM177" s="1111">
        <f t="shared" si="199"/>
        <v>1.15189928592382E-2</v>
      </c>
      <c r="FN177" s="1111">
        <f t="shared" si="200"/>
        <v>1.1481583994978299E-2</v>
      </c>
      <c r="FO177" s="1111">
        <f t="shared" si="201"/>
        <v>1.1473738052833899E-2</v>
      </c>
      <c r="FP177" s="1111">
        <f t="shared" si="202"/>
        <v>1.14718141652436E-2</v>
      </c>
      <c r="FQ177" s="1111">
        <f t="shared" si="203"/>
        <v>1.14718141652436E-2</v>
      </c>
      <c r="FR177" s="1111">
        <f t="shared" si="230"/>
        <v>0.75675018821525997</v>
      </c>
      <c r="FS177" s="1111">
        <f t="shared" si="231"/>
        <v>0.75675018821525997</v>
      </c>
      <c r="FT177" s="1111">
        <f t="shared" si="232"/>
        <v>0.40133452537918501</v>
      </c>
      <c r="FU177" s="1111">
        <f t="shared" si="233"/>
        <v>0.33506910840269499</v>
      </c>
      <c r="FV177" s="1111">
        <f t="shared" si="234"/>
        <v>0.263570196116162</v>
      </c>
      <c r="FW177" s="1111">
        <f t="shared" si="235"/>
        <v>0.239317173689682</v>
      </c>
      <c r="FX177" s="1111">
        <f t="shared" si="236"/>
        <v>0.23470430578816801</v>
      </c>
      <c r="FY177" s="1111">
        <f t="shared" si="237"/>
        <v>0.23334423625159001</v>
      </c>
      <c r="FZ177" s="1111">
        <f t="shared" si="238"/>
        <v>0.233332846550835</v>
      </c>
      <c r="GA177" s="1111">
        <f t="shared" si="239"/>
        <v>0.23333151026798801</v>
      </c>
      <c r="GB177" s="1111">
        <f t="shared" si="240"/>
        <v>0.23333151026798801</v>
      </c>
      <c r="GC177" s="1111">
        <f t="shared" si="279"/>
        <v>0.57853809313457705</v>
      </c>
      <c r="GD177" s="1111">
        <f t="shared" si="280"/>
        <v>0.57853809313457705</v>
      </c>
      <c r="GE177" s="1111">
        <f t="shared" si="281"/>
        <v>0.252003695301314</v>
      </c>
      <c r="GF177" s="1111">
        <f t="shared" si="282"/>
        <v>0.14009339529863701</v>
      </c>
      <c r="GG177" s="1111">
        <f t="shared" si="283"/>
        <v>7.5128307357895593E-2</v>
      </c>
      <c r="GH177" s="1111">
        <f t="shared" si="284"/>
        <v>5.3059643460613801E-2</v>
      </c>
      <c r="GI177" s="1111">
        <f t="shared" si="285"/>
        <v>4.8885273229585302E-2</v>
      </c>
      <c r="GJ177" s="1111">
        <f t="shared" si="286"/>
        <v>4.7651037372409798E-2</v>
      </c>
      <c r="GK177" s="1111">
        <f t="shared" si="287"/>
        <v>4.7643536740020302E-2</v>
      </c>
      <c r="GL177" s="1111">
        <f t="shared" si="288"/>
        <v>4.7642334168564497E-2</v>
      </c>
      <c r="GM177" s="1111">
        <f t="shared" si="289"/>
        <v>4.7642334168564497E-2</v>
      </c>
    </row>
    <row r="178" spans="1:195" x14ac:dyDescent="0.2">
      <c r="A178" s="1071" t="s">
        <v>186</v>
      </c>
      <c r="B178" s="1071" t="str">
        <f>Technologies!C118</f>
        <v>TMDSLC10</v>
      </c>
      <c r="C178" s="1071" t="str">
        <f>Technologies!D118</f>
        <v>Medium Duty Truck, Diesel, 2010</v>
      </c>
      <c r="D178" s="1071" t="str">
        <f>NewTech!D70</f>
        <v>bn-vmt, bn-vmt/a</v>
      </c>
      <c r="E178" s="1071" t="str">
        <f>NewTech!E71</f>
        <v>TMDSL</v>
      </c>
      <c r="F178" s="1071" t="str">
        <f>NewTech!F71</f>
        <v>TM</v>
      </c>
      <c r="G178" s="1110" t="s">
        <v>503</v>
      </c>
      <c r="H178" s="1110" t="s">
        <v>499</v>
      </c>
      <c r="I178" s="1112">
        <v>1</v>
      </c>
      <c r="J178" s="1111" t="str">
        <f t="shared" si="37"/>
        <v>Medium duty-DSL</v>
      </c>
      <c r="K178" s="1111">
        <f>SUMIFS(NewEmisData!E:E, NewEmisData!$A:$A, $G178, NewEmisData!$B:$B, $A178, NewEmisData!$C:$C, $H178, NewEmisData!$D:$D, K$6)</f>
        <v>1844.7083010230299</v>
      </c>
      <c r="L178" s="1111">
        <f>SUMIFS(NewEmisData!F:F, NewEmisData!$A:$A, $G178, NewEmisData!$B:$B, $A178, NewEmisData!$C:$C, $H178, NewEmisData!$D:$D, L$6)</f>
        <v>1832.6045194358301</v>
      </c>
      <c r="M178" s="1111">
        <f>SUMIFS(NewEmisData!G:G, NewEmisData!$A:$A, $G178, NewEmisData!$B:$B, $A178, NewEmisData!$C:$C, $H178, NewEmisData!$D:$D, M$6)</f>
        <v>1884.2537986570301</v>
      </c>
      <c r="N178" s="1111">
        <f>SUMIFS(NewEmisData!H:H, NewEmisData!$A:$A, $G178, NewEmisData!$B:$B, $A178, NewEmisData!$C:$C, $H178, NewEmisData!$D:$D, N$6)</f>
        <v>1818.5727784503399</v>
      </c>
      <c r="O178" s="1111">
        <f>SUMIFS(NewEmisData!I:I, NewEmisData!$A:$A, $G178, NewEmisData!$B:$B, $A178, NewEmisData!$C:$C, $H178, NewEmisData!$D:$D, O$6)</f>
        <v>1763.6996289860999</v>
      </c>
      <c r="P178" s="1111">
        <f>SUMIFS(NewEmisData!J:J, NewEmisData!$A:$A, $G178, NewEmisData!$B:$B, $A178, NewEmisData!$C:$C, $H178, NewEmisData!$D:$D, P$6)</f>
        <v>1745.38280930633</v>
      </c>
      <c r="Q178" s="1111">
        <f>SUMIFS(NewEmisData!K:K, NewEmisData!$A:$A, $G178, NewEmisData!$B:$B, $A178, NewEmisData!$C:$C, $H178, NewEmisData!$D:$D, Q$6)</f>
        <v>1739.98947678168</v>
      </c>
      <c r="R178" s="1111">
        <f>SUMIFS(NewEmisData!L:L, NewEmisData!$A:$A, $G178, NewEmisData!$B:$B, $A178, NewEmisData!$C:$C, $H178, NewEmisData!$D:$D, R$6)</f>
        <v>1738.81123596359</v>
      </c>
      <c r="S178" s="1111">
        <f>SUMIFS(NewEmisData!M:M, NewEmisData!$A:$A, $G178, NewEmisData!$B:$B, $A178, NewEmisData!$C:$C, $H178, NewEmisData!$D:$D, S$6)</f>
        <v>1738.5227113911701</v>
      </c>
      <c r="T178" s="1111">
        <f t="shared" si="290"/>
        <v>1738.5227113911701</v>
      </c>
      <c r="U178" s="1111">
        <f>SUMIFS(NewEmisData!E:E, NewEmisData!$A:$A, $G178, NewEmisData!$B:$B, $A178, NewEmisData!$C:$C, $H178, NewEmisData!$D:$D, U$6)</f>
        <v>11.3242694436207</v>
      </c>
      <c r="V178" s="1111">
        <f>SUMIFS(NewEmisData!F:F, NewEmisData!$A:$A, $G178, NewEmisData!$B:$B, $A178, NewEmisData!$C:$C, $H178, NewEmisData!$D:$D, V$6)</f>
        <v>5.2798482437774998</v>
      </c>
      <c r="W178" s="1111">
        <f>SUMIFS(NewEmisData!G:G, NewEmisData!$A:$A, $G178, NewEmisData!$B:$B, $A178, NewEmisData!$C:$C, $H178, NewEmisData!$D:$D, W$6)</f>
        <v>3.78642260339578</v>
      </c>
      <c r="X178" s="1111">
        <f>SUMIFS(NewEmisData!H:H, NewEmisData!$A:$A, $G178, NewEmisData!$B:$B, $A178, NewEmisData!$C:$C, $H178, NewEmisData!$D:$D, X$6)</f>
        <v>2.1972961679722198</v>
      </c>
      <c r="Y178" s="1111">
        <f>SUMIFS(NewEmisData!I:I, NewEmisData!$A:$A, $G178, NewEmisData!$B:$B, $A178, NewEmisData!$C:$C, $H178, NewEmisData!$D:$D, Y$6)</f>
        <v>1.5398620814352</v>
      </c>
      <c r="Z178" s="1111">
        <f>SUMIFS(NewEmisData!J:J, NewEmisData!$A:$A, $G178, NewEmisData!$B:$B, $A178, NewEmisData!$C:$C, $H178, NewEmisData!$D:$D, Z$6)</f>
        <v>1.33073738385153</v>
      </c>
      <c r="AA178" s="1111">
        <f>SUMIFS(NewEmisData!K:K, NewEmisData!$A:$A, $G178, NewEmisData!$B:$B, $A178, NewEmisData!$C:$C, $H178, NewEmisData!$D:$D, AA$6)</f>
        <v>1.2670046042829299</v>
      </c>
      <c r="AB178" s="1111">
        <f>SUMIFS(NewEmisData!L:L, NewEmisData!$A:$A, $G178, NewEmisData!$B:$B, $A178, NewEmisData!$C:$C, $H178, NewEmisData!$D:$D, AB$6)</f>
        <v>1.25837731661006</v>
      </c>
      <c r="AC178" s="1111">
        <f>SUMIFS(NewEmisData!M:M, NewEmisData!$A:$A, $G178, NewEmisData!$B:$B, $A178, NewEmisData!$C:$C, $H178, NewEmisData!$D:$D, AC$6)</f>
        <v>1.2558936064742501</v>
      </c>
      <c r="AD178" s="1111">
        <f t="shared" si="229"/>
        <v>1.2558936064742501</v>
      </c>
      <c r="AE178" s="1111">
        <f t="shared" si="241"/>
        <v>4.5365869728215401E-2</v>
      </c>
      <c r="AF178" s="1111">
        <f>SUMIFS(NewEmisData!E:E, NewEmisData!$A:$A, $G178, NewEmisData!$B:$B, $A178, NewEmisData!$C:$C, $H178, NewEmisData!$D:$D, AF$6)</f>
        <v>4.5365869728215401E-2</v>
      </c>
      <c r="AG178" s="1111">
        <f>SUMIFS(NewEmisData!F:F, NewEmisData!$A:$A, $G178, NewEmisData!$B:$B, $A178, NewEmisData!$C:$C, $H178, NewEmisData!$D:$D, AG$6)</f>
        <v>4.3660344033601299E-2</v>
      </c>
      <c r="AH178" s="1111">
        <f>SUMIFS(NewEmisData!G:G, NewEmisData!$A:$A, $G178, NewEmisData!$B:$B, $A178, NewEmisData!$C:$C, $H178, NewEmisData!$D:$D, AH$6)</f>
        <v>1.5842755870111001E-2</v>
      </c>
      <c r="AI178" s="1111">
        <f>SUMIFS(NewEmisData!H:H, NewEmisData!$A:$A, $G178, NewEmisData!$B:$B, $A178, NewEmisData!$C:$C, $H178, NewEmisData!$D:$D, AI$6)</f>
        <v>1.52011817179993E-2</v>
      </c>
      <c r="AJ178" s="1111">
        <f>SUMIFS(NewEmisData!I:I, NewEmisData!$A:$A, $G178, NewEmisData!$B:$B, $A178, NewEmisData!$C:$C, $H178, NewEmisData!$D:$D, AJ$6)</f>
        <v>1.47126837043844E-2</v>
      </c>
      <c r="AK178" s="1111">
        <f>SUMIFS(NewEmisData!J:J, NewEmisData!$A:$A, $G178, NewEmisData!$B:$B, $A178, NewEmisData!$C:$C, $H178, NewEmisData!$D:$D, AK$6)</f>
        <v>1.45535009771615E-2</v>
      </c>
      <c r="AL178" s="1111">
        <f>SUMIFS(NewEmisData!K:K, NewEmisData!$A:$A, $G178, NewEmisData!$B:$B, $A178, NewEmisData!$C:$C, $H178, NewEmisData!$D:$D, AL$6)</f>
        <v>1.4506508977964299E-2</v>
      </c>
      <c r="AM178" s="1111">
        <f>SUMIFS(NewEmisData!L:L, NewEmisData!$A:$A, $G178, NewEmisData!$B:$B, $A178, NewEmisData!$C:$C, $H178, NewEmisData!$D:$D, AM$6)</f>
        <v>1.44966873739067E-2</v>
      </c>
      <c r="AN178" s="1111">
        <f>SUMIFS(NewEmisData!M:M, NewEmisData!$A:$A, $G178, NewEmisData!$B:$B, $A178, NewEmisData!$C:$C, $H178, NewEmisData!$D:$D, AN$6)</f>
        <v>1.4494279129535799E-2</v>
      </c>
      <c r="AO178" s="1111">
        <f t="shared" si="242"/>
        <v>1.4494279129535799E-2</v>
      </c>
      <c r="AP178" s="1111">
        <f t="shared" si="243"/>
        <v>1.1349607828839201</v>
      </c>
      <c r="AQ178" s="1111">
        <f>SUMIFS(NewEmisData!E:E, NewEmisData!$A:$A, $G178, NewEmisData!$B:$B, $A178, NewEmisData!$C:$C, $H178, NewEmisData!$D:$D, AQ$6)</f>
        <v>1.1349607828839201</v>
      </c>
      <c r="AR178" s="1111">
        <f>SUMIFS(NewEmisData!F:F, NewEmisData!$A:$A, $G178, NewEmisData!$B:$B, $A178, NewEmisData!$C:$C, $H178, NewEmisData!$D:$D, AR$6)</f>
        <v>0.61030408012734905</v>
      </c>
      <c r="AS178" s="1111">
        <f>SUMIFS(NewEmisData!G:G, NewEmisData!$A:$A, $G178, NewEmisData!$B:$B, $A178, NewEmisData!$C:$C, $H178, NewEmisData!$D:$D, AS$6)</f>
        <v>0.44031388127967303</v>
      </c>
      <c r="AT178" s="1111">
        <f>SUMIFS(NewEmisData!H:H, NewEmisData!$A:$A, $G178, NewEmisData!$B:$B, $A178, NewEmisData!$C:$C, $H178, NewEmisData!$D:$D, AT$6)</f>
        <v>0.34801512923671002</v>
      </c>
      <c r="AU178" s="1111">
        <f>SUMIFS(NewEmisData!I:I, NewEmisData!$A:$A, $G178, NewEmisData!$B:$B, $A178, NewEmisData!$C:$C, $H178, NewEmisData!$D:$D, AU$6)</f>
        <v>0.316619673688259</v>
      </c>
      <c r="AV178" s="1111">
        <f>SUMIFS(NewEmisData!J:J, NewEmisData!$A:$A, $G178, NewEmisData!$B:$B, $A178, NewEmisData!$C:$C, $H178, NewEmisData!$D:$D, AV$6)</f>
        <v>0.310711543242081</v>
      </c>
      <c r="AW178" s="1111">
        <f>SUMIFS(NewEmisData!K:K, NewEmisData!$A:$A, $G178, NewEmisData!$B:$B, $A178, NewEmisData!$C:$C, $H178, NewEmisData!$D:$D, AW$6)</f>
        <v>0.30897246291541097</v>
      </c>
      <c r="AX178" s="1111">
        <f>SUMIFS(NewEmisData!L:L, NewEmisData!$A:$A, $G178, NewEmisData!$B:$B, $A178, NewEmisData!$C:$C, $H178, NewEmisData!$D:$D, AX$6)</f>
        <v>0.308957597755115</v>
      </c>
      <c r="AY178" s="1111">
        <f>SUMIFS(NewEmisData!M:M, NewEmisData!$A:$A, $G178, NewEmisData!$B:$B, $A178, NewEmisData!$C:$C, $H178, NewEmisData!$D:$D, AY$6)</f>
        <v>0.30895604079919098</v>
      </c>
      <c r="AZ178" s="1111">
        <f t="shared" si="244"/>
        <v>0.30895604079919098</v>
      </c>
      <c r="BA178" s="1111">
        <f t="shared" si="245"/>
        <v>0.82460782978682501</v>
      </c>
      <c r="BB178" s="1111">
        <f>SUMIFS(NewEmisData!E:E, NewEmisData!$A:$A, $G178, NewEmisData!$B:$B, $A178, NewEmisData!$C:$C, $H178, NewEmisData!$D:$D, BB$6)</f>
        <v>0.82460782978682501</v>
      </c>
      <c r="BC178" s="1111">
        <f>SUMIFS(NewEmisData!F:F, NewEmisData!$A:$A, $G178, NewEmisData!$B:$B, $A178, NewEmisData!$C:$C, $H178, NewEmisData!$D:$D, BC$6)</f>
        <v>0.34373570942234799</v>
      </c>
      <c r="BD178" s="1111">
        <f>SUMIFS(NewEmisData!G:G, NewEmisData!$A:$A, $G178, NewEmisData!$B:$B, $A178, NewEmisData!$C:$C, $H178, NewEmisData!$D:$D, BD$6)</f>
        <v>0.18121898411016099</v>
      </c>
      <c r="BE178" s="1111">
        <f>SUMIFS(NewEmisData!H:H, NewEmisData!$A:$A, $G178, NewEmisData!$B:$B, $A178, NewEmisData!$C:$C, $H178, NewEmisData!$D:$D, BE$6)</f>
        <v>9.7394815729633696E-2</v>
      </c>
      <c r="BF178" s="1111">
        <f>SUMIFS(NewEmisData!I:I, NewEmisData!$A:$A, $G178, NewEmisData!$B:$B, $A178, NewEmisData!$C:$C, $H178, NewEmisData!$D:$D, BF$6)</f>
        <v>6.8837534672911399E-2</v>
      </c>
      <c r="BG178" s="1111">
        <f>SUMIFS(NewEmisData!J:J, NewEmisData!$A:$A, $G178, NewEmisData!$B:$B, $A178, NewEmisData!$C:$C, $H178, NewEmisData!$D:$D, BG$6)</f>
        <v>6.3495189038770203E-2</v>
      </c>
      <c r="BH178" s="1111">
        <f>SUMIFS(NewEmisData!K:K, NewEmisData!$A:$A, $G178, NewEmisData!$B:$B, $A178, NewEmisData!$C:$C, $H178, NewEmisData!$D:$D, BH$6)</f>
        <v>6.1918142257759601E-2</v>
      </c>
      <c r="BI178" s="1111">
        <f>SUMIFS(NewEmisData!L:L, NewEmisData!$A:$A, $G178, NewEmisData!$B:$B, $A178, NewEmisData!$C:$C, $H178, NewEmisData!$D:$D, BI$6)</f>
        <v>6.1908718128838802E-2</v>
      </c>
      <c r="BJ178" s="1111">
        <f>SUMIFS(NewEmisData!M:M, NewEmisData!$A:$A, $G178, NewEmisData!$B:$B, $A178, NewEmisData!$C:$C, $H178, NewEmisData!$D:$D, BJ$6)</f>
        <v>6.1907262020399603E-2</v>
      </c>
      <c r="BK178" s="1111">
        <f t="shared" si="246"/>
        <v>6.1907262020399603E-2</v>
      </c>
      <c r="BL178" s="1111">
        <f t="shared" si="247"/>
        <v>4.8199473877118004</v>
      </c>
      <c r="BM178" s="1111">
        <f>SUMIFS(NewEmisData!E:E, NewEmisData!$A:$A, $G178, NewEmisData!$B:$B, $A178, NewEmisData!$C:$C, $H178, NewEmisData!$D:$D, BM$6)</f>
        <v>4.8199473877118004</v>
      </c>
      <c r="BN178" s="1111">
        <f>SUMIFS(NewEmisData!F:F, NewEmisData!$A:$A, $G178, NewEmisData!$B:$B, $A178, NewEmisData!$C:$C, $H178, NewEmisData!$D:$D, BN$6)</f>
        <v>2.13606006571157</v>
      </c>
      <c r="BO178" s="1111">
        <f>SUMIFS(NewEmisData!G:G, NewEmisData!$A:$A, $G178, NewEmisData!$B:$B, $A178, NewEmisData!$C:$C, $H178, NewEmisData!$D:$D, BO$6)</f>
        <v>1.4626606870508201</v>
      </c>
      <c r="BP178" s="1111">
        <f>SUMIFS(NewEmisData!H:H, NewEmisData!$A:$A, $G178, NewEmisData!$B:$B, $A178, NewEmisData!$C:$C, $H178, NewEmisData!$D:$D, BP$6)</f>
        <v>0.91632051356289601</v>
      </c>
      <c r="BQ178" s="1111">
        <f>SUMIFS(NewEmisData!I:I, NewEmisData!$A:$A, $G178, NewEmisData!$B:$B, $A178, NewEmisData!$C:$C, $H178, NewEmisData!$D:$D, BQ$6)</f>
        <v>0.74159278245313098</v>
      </c>
      <c r="BR178" s="1111">
        <f>SUMIFS(NewEmisData!J:J, NewEmisData!$A:$A, $G178, NewEmisData!$B:$B, $A178, NewEmisData!$C:$C, $H178, NewEmisData!$D:$D, BR$6)</f>
        <v>0.70121666030394803</v>
      </c>
      <c r="BS178" s="1111">
        <f>SUMIFS(NewEmisData!K:K, NewEmisData!$A:$A, $G178, NewEmisData!$B:$B, $A178, NewEmisData!$C:$C, $H178, NewEmisData!$D:$D, BS$6)</f>
        <v>0.69011658725035796</v>
      </c>
      <c r="BT178" s="1111">
        <f>SUMIFS(NewEmisData!L:L, NewEmisData!$A:$A, $G178, NewEmisData!$B:$B, $A178, NewEmisData!$C:$C, $H178, NewEmisData!$D:$D, BT$6)</f>
        <v>0.68991923636254204</v>
      </c>
      <c r="BU178" s="1111">
        <f>SUMIFS(NewEmisData!M:M, NewEmisData!$A:$A, $G178, NewEmisData!$B:$B, $A178, NewEmisData!$C:$C, $H178, NewEmisData!$D:$D, BU$6)</f>
        <v>0.68982544184786598</v>
      </c>
      <c r="BV178" s="1111">
        <f t="shared" si="248"/>
        <v>0.68982544184786598</v>
      </c>
      <c r="BW178" s="1111">
        <f t="shared" si="249"/>
        <v>2.0873450951181098</v>
      </c>
      <c r="BX178" s="1111">
        <f>SUMIFS(NewEmisData!E:E, NewEmisData!$A:$A, $G178, NewEmisData!$B:$B, $A178, NewEmisData!$C:$C, $H178, NewEmisData!$D:$D, BX$6)</f>
        <v>2.0873450951181098</v>
      </c>
      <c r="BY178" s="1111">
        <f>SUMIFS(NewEmisData!F:F, NewEmisData!$A:$A, $G178, NewEmisData!$B:$B, $A178, NewEmisData!$C:$C, $H178, NewEmisData!$D:$D, BY$6)</f>
        <v>0.82818205887879504</v>
      </c>
      <c r="BZ178" s="1111">
        <f>SUMIFS(NewEmisData!G:G, NewEmisData!$A:$A, $G178, NewEmisData!$B:$B, $A178, NewEmisData!$C:$C, $H178, NewEmisData!$D:$D, BZ$6)</f>
        <v>0.49677177359374097</v>
      </c>
      <c r="CA178" s="1111">
        <f>SUMIFS(NewEmisData!H:H, NewEmisData!$A:$A, $G178, NewEmisData!$B:$B, $A178, NewEmisData!$C:$C, $H178, NewEmisData!$D:$D, CA$6)</f>
        <v>0.255767592675607</v>
      </c>
      <c r="CB178" s="1111">
        <f>SUMIFS(NewEmisData!I:I, NewEmisData!$A:$A, $G178, NewEmisData!$B:$B, $A178, NewEmisData!$C:$C, $H178, NewEmisData!$D:$D, CB$6)</f>
        <v>0.18123851738744101</v>
      </c>
      <c r="CC178" s="1111">
        <f>SUMIFS(NewEmisData!J:J, NewEmisData!$A:$A, $G178, NewEmisData!$B:$B, $A178, NewEmisData!$C:$C, $H178, NewEmisData!$D:$D, CC$6)</f>
        <v>0.16339043238474099</v>
      </c>
      <c r="CD178" s="1111">
        <f>SUMIFS(NewEmisData!K:K, NewEmisData!$A:$A, $G178, NewEmisData!$B:$B, $A178, NewEmisData!$C:$C, $H178, NewEmisData!$D:$D, CD$6)</f>
        <v>0.15878537340132501</v>
      </c>
      <c r="CE178" s="1111">
        <f>SUMIFS(NewEmisData!L:L, NewEmisData!$A:$A, $G178, NewEmisData!$B:$B, $A178, NewEmisData!$C:$C, $H178, NewEmisData!$D:$D, CE$6)</f>
        <v>0.158704013950277</v>
      </c>
      <c r="CF178" s="1111">
        <f>SUMIFS(NewEmisData!M:M, NewEmisData!$A:$A, $G178, NewEmisData!$B:$B, $A178, NewEmisData!$C:$C, $H178, NewEmisData!$D:$D, CF$6)</f>
        <v>0.15866010461272401</v>
      </c>
      <c r="CG178" s="1111">
        <f t="shared" si="250"/>
        <v>0.15866010461272401</v>
      </c>
      <c r="CH178" s="1111">
        <f t="shared" si="251"/>
        <v>3.4721835377985802E-2</v>
      </c>
      <c r="CI178" s="1111">
        <f>SUMIFS(NewEmisData!E:E, NewEmisData!$A:$A, $G178, NewEmisData!$B:$B, $A178, NewEmisData!$C:$C, $H178, NewEmisData!$D:$D, CI$6)</f>
        <v>3.4721835377985802E-2</v>
      </c>
      <c r="CJ178" s="1111">
        <f>SUMIFS(NewEmisData!F:F, NewEmisData!$A:$A, $G178, NewEmisData!$B:$B, $A178, NewEmisData!$C:$C, $H178, NewEmisData!$D:$D, CJ$6)</f>
        <v>3.4721918500933702E-2</v>
      </c>
      <c r="CK178" s="1111">
        <f>SUMIFS(NewEmisData!G:G, NewEmisData!$A:$A, $G178, NewEmisData!$B:$B, $A178, NewEmisData!$C:$C, $H178, NewEmisData!$D:$D, CK$6)</f>
        <v>3.9607483836340801E-2</v>
      </c>
      <c r="CL178" s="1111">
        <f>SUMIFS(NewEmisData!H:H, NewEmisData!$A:$A, $G178, NewEmisData!$B:$B, $A178, NewEmisData!$C:$C, $H178, NewEmisData!$D:$D, CL$6)</f>
        <v>3.9607942764627597E-2</v>
      </c>
      <c r="CM178" s="1111">
        <f>SUMIFS(NewEmisData!I:I, NewEmisData!$A:$A, $G178, NewEmisData!$B:$B, $A178, NewEmisData!$C:$C, $H178, NewEmisData!$D:$D, CM$6)</f>
        <v>3.9608185476154502E-2</v>
      </c>
      <c r="CN178" s="1111">
        <f>SUMIFS(NewEmisData!J:J, NewEmisData!$A:$A, $G178, NewEmisData!$B:$B, $A178, NewEmisData!$C:$C, $H178, NewEmisData!$D:$D, CN$6)</f>
        <v>3.9608266206743202E-2</v>
      </c>
      <c r="CO178" s="1111">
        <f>SUMIFS(NewEmisData!K:K, NewEmisData!$A:$A, $G178, NewEmisData!$B:$B, $A178, NewEmisData!$C:$C, $H178, NewEmisData!$D:$D, CO$6)</f>
        <v>3.96082447188153E-2</v>
      </c>
      <c r="CP178" s="1111">
        <f>SUMIFS(NewEmisData!L:L, NewEmisData!$A:$A, $G178, NewEmisData!$B:$B, $A178, NewEmisData!$C:$C, $H178, NewEmisData!$D:$D, CP$6)</f>
        <v>3.96082633707312E-2</v>
      </c>
      <c r="CQ178" s="1111">
        <f>SUMIFS(NewEmisData!M:M, NewEmisData!$A:$A, $G178, NewEmisData!$B:$B, $A178, NewEmisData!$C:$C, $H178, NewEmisData!$D:$D, CQ$6)</f>
        <v>3.9608260132730701E-2</v>
      </c>
      <c r="CR178" s="1111">
        <f t="shared" si="252"/>
        <v>3.9608260132730701E-2</v>
      </c>
      <c r="CS178" s="1111">
        <f t="shared" si="253"/>
        <v>6.5007561655818502E-3</v>
      </c>
      <c r="CT178" s="1111">
        <f>SUMIFS(NewEmisData!E:E, NewEmisData!$A:$A, $G178, NewEmisData!$B:$B, $A178, NewEmisData!$C:$C, $H178, NewEmisData!$D:$D, CT$6)</f>
        <v>6.5007561655818502E-3</v>
      </c>
      <c r="CU178" s="1111">
        <f>SUMIFS(NewEmisData!F:F, NewEmisData!$A:$A, $G178, NewEmisData!$B:$B, $A178, NewEmisData!$C:$C, $H178, NewEmisData!$D:$D, CU$6)</f>
        <v>6.4232890684132399E-3</v>
      </c>
      <c r="CV178" s="1111">
        <f>SUMIFS(NewEmisData!G:G, NewEmisData!$A:$A, $G178, NewEmisData!$B:$B, $A178, NewEmisData!$C:$C, $H178, NewEmisData!$D:$D, CV$6)</f>
        <v>7.3982049149974903E-3</v>
      </c>
      <c r="CW178" s="1111">
        <f>SUMIFS(NewEmisData!H:H, NewEmisData!$A:$A, $G178, NewEmisData!$B:$B, $A178, NewEmisData!$C:$C, $H178, NewEmisData!$D:$D, CW$6)</f>
        <v>7.4088773394752599E-3</v>
      </c>
      <c r="CX178" s="1111">
        <f>SUMIFS(NewEmisData!I:I, NewEmisData!$A:$A, $G178, NewEmisData!$B:$B, $A178, NewEmisData!$C:$C, $H178, NewEmisData!$D:$D, CX$6)</f>
        <v>7.4094538759446396E-3</v>
      </c>
      <c r="CY178" s="1111">
        <f>SUMIFS(NewEmisData!J:J, NewEmisData!$A:$A, $G178, NewEmisData!$B:$B, $A178, NewEmisData!$C:$C, $H178, NewEmisData!$D:$D, CY$6)</f>
        <v>7.4045671468592096E-3</v>
      </c>
      <c r="CZ178" s="1111">
        <f>SUMIFS(NewEmisData!K:K, NewEmisData!$A:$A, $G178, NewEmisData!$B:$B, $A178, NewEmisData!$C:$C, $H178, NewEmisData!$D:$D, CZ$6)</f>
        <v>7.4007369137275699E-3</v>
      </c>
      <c r="DA178" s="1111">
        <f>SUMIFS(NewEmisData!L:L, NewEmisData!$A:$A, $G178, NewEmisData!$B:$B, $A178, NewEmisData!$C:$C, $H178, NewEmisData!$D:$D, DA$6)</f>
        <v>7.3993983540755204E-3</v>
      </c>
      <c r="DB178" s="1111">
        <f>SUMIFS(NewEmisData!M:M, NewEmisData!$A:$A, $G178, NewEmisData!$B:$B, $A178, NewEmisData!$C:$C, $H178, NewEmisData!$D:$D, DB$6)</f>
        <v>7.3984107449231598E-3</v>
      </c>
      <c r="DC178" s="1111">
        <f t="shared" si="254"/>
        <v>7.3984107449231598E-3</v>
      </c>
      <c r="DD178" s="1111"/>
      <c r="DE178" s="1111"/>
      <c r="DF178" s="1111"/>
      <c r="DG178" s="1111"/>
      <c r="DH178" s="1111"/>
      <c r="DI178" s="1111"/>
      <c r="DJ178" s="1111"/>
      <c r="DK178" s="1111"/>
      <c r="DL178" s="1111"/>
      <c r="DM178" s="1111"/>
      <c r="DN178" s="1111"/>
      <c r="DO178" s="1111"/>
      <c r="DP178" s="1111"/>
      <c r="DQ178" s="1111"/>
      <c r="DR178" s="1111"/>
      <c r="DS178" s="1111"/>
      <c r="DT178" s="1111"/>
      <c r="DU178" s="1111"/>
      <c r="DV178" s="1111"/>
      <c r="DW178" s="1111"/>
      <c r="DX178" s="1111"/>
      <c r="DY178" s="1111"/>
      <c r="DZ178" s="1111">
        <f t="shared" si="255"/>
        <v>4.41589904201058E-2</v>
      </c>
      <c r="EA178" s="1111">
        <f>SUMIFS(NewEmisData!E:E, NewEmisData!$A:$A, $G178, NewEmisData!$B:$B, $A178, NewEmisData!$C:$C, $H178, NewEmisData!$D:$D, EA$6)</f>
        <v>4.41589904201058E-2</v>
      </c>
      <c r="EB178" s="1111">
        <f>SUMIFS(NewEmisData!F:F, NewEmisData!$A:$A, $G178, NewEmisData!$B:$B, $A178, NewEmisData!$C:$C, $H178, NewEmisData!$D:$D, EB$6)</f>
        <v>0.113476815309018</v>
      </c>
      <c r="EC178" s="1111">
        <f>SUMIFS(NewEmisData!G:G, NewEmisData!$A:$A, $G178, NewEmisData!$B:$B, $A178, NewEmisData!$C:$C, $H178, NewEmisData!$D:$D, EC$6)</f>
        <v>0.148804284105474</v>
      </c>
      <c r="ED178" s="1111">
        <f>SUMIFS(NewEmisData!H:H, NewEmisData!$A:$A, $G178, NewEmisData!$B:$B, $A178, NewEmisData!$C:$C, $H178, NewEmisData!$D:$D, ED$6)</f>
        <v>0.149805777267462</v>
      </c>
      <c r="EE178" s="1111">
        <f>SUMIFS(NewEmisData!I:I, NewEmisData!$A:$A, $G178, NewEmisData!$B:$B, $A178, NewEmisData!$C:$C, $H178, NewEmisData!$D:$D, EE$6)</f>
        <v>0.14994983513978</v>
      </c>
      <c r="EF178" s="1111">
        <f>SUMIFS(NewEmisData!J:J, NewEmisData!$A:$A, $G178, NewEmisData!$B:$B, $A178, NewEmisData!$C:$C, $H178, NewEmisData!$D:$D, EF$6)</f>
        <v>0.14964505772550801</v>
      </c>
      <c r="EG178" s="1111">
        <f>SUMIFS(NewEmisData!K:K, NewEmisData!$A:$A, $G178, NewEmisData!$B:$B, $A178, NewEmisData!$C:$C, $H178, NewEmisData!$D:$D, EG$6)</f>
        <v>0.149643881204473</v>
      </c>
      <c r="EH178" s="1111">
        <f>SUMIFS(NewEmisData!L:L, NewEmisData!$A:$A, $G178, NewEmisData!$B:$B, $A178, NewEmisData!$C:$C, $H178, NewEmisData!$D:$D, EH$6)</f>
        <v>0.14957074940992099</v>
      </c>
      <c r="EI178" s="1111">
        <f>SUMIFS(NewEmisData!M:M, NewEmisData!$A:$A, $G178, NewEmisData!$B:$B, $A178, NewEmisData!$C:$C, $H178, NewEmisData!$D:$D, EI$6)</f>
        <v>0.149527028885417</v>
      </c>
      <c r="EJ178" s="1111">
        <f t="shared" si="256"/>
        <v>0.149527028885417</v>
      </c>
      <c r="EK178" s="1111">
        <f t="shared" si="257"/>
        <v>1844.7083010230299</v>
      </c>
      <c r="EL178" s="1111">
        <f t="shared" si="269"/>
        <v>1844.7083010230299</v>
      </c>
      <c r="EM178" s="1111">
        <f t="shared" si="270"/>
        <v>1832.6045194358301</v>
      </c>
      <c r="EN178" s="1111">
        <f t="shared" si="271"/>
        <v>1884.2537986570301</v>
      </c>
      <c r="EO178" s="1111">
        <f t="shared" si="272"/>
        <v>1818.5727784503399</v>
      </c>
      <c r="EP178" s="1111">
        <f t="shared" si="273"/>
        <v>1763.6996289860999</v>
      </c>
      <c r="EQ178" s="1111">
        <f t="shared" si="274"/>
        <v>1745.38280930633</v>
      </c>
      <c r="ER178" s="1111">
        <f t="shared" si="275"/>
        <v>1739.98947678168</v>
      </c>
      <c r="ES178" s="1111">
        <f t="shared" si="276"/>
        <v>1738.81123596359</v>
      </c>
      <c r="ET178" s="1111">
        <f t="shared" si="277"/>
        <v>1738.5227113911701</v>
      </c>
      <c r="EU178" s="1111">
        <f t="shared" si="278"/>
        <v>1738.5227113911701</v>
      </c>
      <c r="EV178" s="1111">
        <f t="shared" si="258"/>
        <v>11.3242694436207</v>
      </c>
      <c r="EW178" s="1111">
        <f t="shared" si="259"/>
        <v>11.3242694436207</v>
      </c>
      <c r="EX178" s="1111">
        <f t="shared" si="260"/>
        <v>5.2798482437774998</v>
      </c>
      <c r="EY178" s="1111">
        <f t="shared" si="261"/>
        <v>3.78642260339578</v>
      </c>
      <c r="EZ178" s="1111">
        <f t="shared" si="262"/>
        <v>2.1972961679722198</v>
      </c>
      <c r="FA178" s="1111">
        <f t="shared" si="263"/>
        <v>1.5398620814352</v>
      </c>
      <c r="FB178" s="1111">
        <f t="shared" si="264"/>
        <v>1.33073738385153</v>
      </c>
      <c r="FC178" s="1111">
        <f t="shared" si="265"/>
        <v>1.2670046042829299</v>
      </c>
      <c r="FD178" s="1111">
        <f t="shared" si="266"/>
        <v>1.25837731661006</v>
      </c>
      <c r="FE178" s="1111">
        <f t="shared" si="267"/>
        <v>1.2558936064742501</v>
      </c>
      <c r="FF178" s="1111">
        <f t="shared" si="268"/>
        <v>1.2558936064742501</v>
      </c>
      <c r="FG178" s="1111">
        <f t="shared" si="193"/>
        <v>4.5365869728215401E-2</v>
      </c>
      <c r="FH178" s="1111">
        <f t="shared" si="194"/>
        <v>4.5365869728215401E-2</v>
      </c>
      <c r="FI178" s="1111">
        <f t="shared" si="195"/>
        <v>4.3660344033601299E-2</v>
      </c>
      <c r="FJ178" s="1111">
        <f t="shared" si="196"/>
        <v>1.5842755870111001E-2</v>
      </c>
      <c r="FK178" s="1111">
        <f t="shared" si="197"/>
        <v>1.52011817179993E-2</v>
      </c>
      <c r="FL178" s="1111">
        <f t="shared" si="198"/>
        <v>1.47126837043844E-2</v>
      </c>
      <c r="FM178" s="1111">
        <f t="shared" si="199"/>
        <v>1.45535009771615E-2</v>
      </c>
      <c r="FN178" s="1111">
        <f t="shared" si="200"/>
        <v>1.4506508977964299E-2</v>
      </c>
      <c r="FO178" s="1111">
        <f t="shared" si="201"/>
        <v>1.44966873739067E-2</v>
      </c>
      <c r="FP178" s="1111">
        <f t="shared" si="202"/>
        <v>1.4494279129535799E-2</v>
      </c>
      <c r="FQ178" s="1111">
        <f t="shared" si="203"/>
        <v>1.4494279129535799E-2</v>
      </c>
      <c r="FR178" s="1111">
        <f t="shared" si="230"/>
        <v>1.1349607828839201</v>
      </c>
      <c r="FS178" s="1111">
        <f t="shared" si="231"/>
        <v>1.1349607828839201</v>
      </c>
      <c r="FT178" s="1111">
        <f t="shared" si="232"/>
        <v>0.61030408012734905</v>
      </c>
      <c r="FU178" s="1111">
        <f t="shared" si="233"/>
        <v>0.44031388127967303</v>
      </c>
      <c r="FV178" s="1111">
        <f t="shared" si="234"/>
        <v>0.34801512923671002</v>
      </c>
      <c r="FW178" s="1111">
        <f t="shared" si="235"/>
        <v>0.316619673688259</v>
      </c>
      <c r="FX178" s="1111">
        <f t="shared" si="236"/>
        <v>0.310711543242081</v>
      </c>
      <c r="FY178" s="1111">
        <f t="shared" si="237"/>
        <v>0.30897246291541097</v>
      </c>
      <c r="FZ178" s="1111">
        <f t="shared" si="238"/>
        <v>0.308957597755115</v>
      </c>
      <c r="GA178" s="1111">
        <f t="shared" si="239"/>
        <v>0.30895604079919098</v>
      </c>
      <c r="GB178" s="1111">
        <f t="shared" si="240"/>
        <v>0.30895604079919098</v>
      </c>
      <c r="GC178" s="1111">
        <f t="shared" si="279"/>
        <v>0.82460782978682501</v>
      </c>
      <c r="GD178" s="1111">
        <f t="shared" si="280"/>
        <v>0.82460782978682501</v>
      </c>
      <c r="GE178" s="1111">
        <f t="shared" si="281"/>
        <v>0.34373570942234799</v>
      </c>
      <c r="GF178" s="1111">
        <f t="shared" si="282"/>
        <v>0.18121898411016099</v>
      </c>
      <c r="GG178" s="1111">
        <f t="shared" si="283"/>
        <v>9.7394815729633696E-2</v>
      </c>
      <c r="GH178" s="1111">
        <f t="shared" si="284"/>
        <v>6.8837534672911399E-2</v>
      </c>
      <c r="GI178" s="1111">
        <f t="shared" si="285"/>
        <v>6.3495189038770203E-2</v>
      </c>
      <c r="GJ178" s="1111">
        <f t="shared" si="286"/>
        <v>6.1918142257759601E-2</v>
      </c>
      <c r="GK178" s="1111">
        <f t="shared" si="287"/>
        <v>6.1908718128838802E-2</v>
      </c>
      <c r="GL178" s="1111">
        <f t="shared" si="288"/>
        <v>6.1907262020399603E-2</v>
      </c>
      <c r="GM178" s="1111">
        <f t="shared" si="289"/>
        <v>6.1907262020399603E-2</v>
      </c>
    </row>
    <row r="179" spans="1:195" x14ac:dyDescent="0.2">
      <c r="A179" s="1071" t="s">
        <v>188</v>
      </c>
      <c r="B179" s="1071" t="str">
        <f>Technologies!C118</f>
        <v>TMDSLC10</v>
      </c>
      <c r="C179" s="1071" t="str">
        <f>Technologies!D118</f>
        <v>Medium Duty Truck, Diesel, 2010</v>
      </c>
      <c r="D179" s="1071" t="str">
        <f>NewTech!D70</f>
        <v>bn-vmt, bn-vmt/a</v>
      </c>
      <c r="E179" s="1071" t="str">
        <f>NewTech!E71</f>
        <v>TMDSL</v>
      </c>
      <c r="F179" s="1071" t="str">
        <f>NewTech!F71</f>
        <v>TM</v>
      </c>
      <c r="G179" s="1110" t="s">
        <v>503</v>
      </c>
      <c r="H179" s="1110" t="s">
        <v>499</v>
      </c>
      <c r="I179" s="1112">
        <v>1</v>
      </c>
      <c r="J179" s="1111" t="str">
        <f t="shared" si="37"/>
        <v>Medium duty-DSL</v>
      </c>
      <c r="K179" s="1111">
        <f>SUMIFS(NewEmisData!E:E, NewEmisData!$A:$A, $G179, NewEmisData!$B:$B, $A179, NewEmisData!$C:$C, $H179, NewEmisData!$D:$D, K$6)</f>
        <v>1359.24651399801</v>
      </c>
      <c r="L179" s="1111">
        <f>SUMIFS(NewEmisData!F:F, NewEmisData!$A:$A, $G179, NewEmisData!$B:$B, $A179, NewEmisData!$C:$C, $H179, NewEmisData!$D:$D, L$6)</f>
        <v>1349.4553811456799</v>
      </c>
      <c r="M179" s="1111">
        <f>SUMIFS(NewEmisData!G:G, NewEmisData!$A:$A, $G179, NewEmisData!$B:$B, $A179, NewEmisData!$C:$C, $H179, NewEmisData!$D:$D, M$6)</f>
        <v>1201.7753721342699</v>
      </c>
      <c r="N179" s="1111">
        <f>SUMIFS(NewEmisData!H:H, NewEmisData!$A:$A, $G179, NewEmisData!$B:$B, $A179, NewEmisData!$C:$C, $H179, NewEmisData!$D:$D, N$6)</f>
        <v>1159.4102608457299</v>
      </c>
      <c r="O179" s="1111">
        <f>SUMIFS(NewEmisData!I:I, NewEmisData!$A:$A, $G179, NewEmisData!$B:$B, $A179, NewEmisData!$C:$C, $H179, NewEmisData!$D:$D, O$6)</f>
        <v>1124.18143975774</v>
      </c>
      <c r="P179" s="1111">
        <f>SUMIFS(NewEmisData!J:J, NewEmisData!$A:$A, $G179, NewEmisData!$B:$B, $A179, NewEmisData!$C:$C, $H179, NewEmisData!$D:$D, P$6)</f>
        <v>1112.41123305204</v>
      </c>
      <c r="Q179" s="1111">
        <f>SUMIFS(NewEmisData!K:K, NewEmisData!$A:$A, $G179, NewEmisData!$B:$B, $A179, NewEmisData!$C:$C, $H179, NewEmisData!$D:$D, Q$6)</f>
        <v>1108.9495585776399</v>
      </c>
      <c r="R179" s="1111">
        <f>SUMIFS(NewEmisData!L:L, NewEmisData!$A:$A, $G179, NewEmisData!$B:$B, $A179, NewEmisData!$C:$C, $H179, NewEmisData!$D:$D, R$6)</f>
        <v>1108.1911650136201</v>
      </c>
      <c r="S179" s="1111">
        <f>SUMIFS(NewEmisData!M:M, NewEmisData!$A:$A, $G179, NewEmisData!$B:$B, $A179, NewEmisData!$C:$C, $H179, NewEmisData!$D:$D, S$6)</f>
        <v>1108.0051090873801</v>
      </c>
      <c r="T179" s="1111">
        <f t="shared" si="290"/>
        <v>1108.0051090873801</v>
      </c>
      <c r="U179" s="1111">
        <f>SUMIFS(NewEmisData!E:E, NewEmisData!$A:$A, $G179, NewEmisData!$B:$B, $A179, NewEmisData!$C:$C, $H179, NewEmisData!$D:$D, U$6)</f>
        <v>9.9935080505540999</v>
      </c>
      <c r="V179" s="1111">
        <f>SUMIFS(NewEmisData!F:F, NewEmisData!$A:$A, $G179, NewEmisData!$B:$B, $A179, NewEmisData!$C:$C, $H179, NewEmisData!$D:$D, V$6)</f>
        <v>5.4019505037215803</v>
      </c>
      <c r="W179" s="1111">
        <f>SUMIFS(NewEmisData!G:G, NewEmisData!$A:$A, $G179, NewEmisData!$B:$B, $A179, NewEmisData!$C:$C, $H179, NewEmisData!$D:$D, W$6)</f>
        <v>2.3680454032681002</v>
      </c>
      <c r="X179" s="1111">
        <f>SUMIFS(NewEmisData!H:H, NewEmisData!$A:$A, $G179, NewEmisData!$B:$B, $A179, NewEmisData!$C:$C, $H179, NewEmisData!$D:$D, X$6)</f>
        <v>1.37960112387871</v>
      </c>
      <c r="Y179" s="1111">
        <f>SUMIFS(NewEmisData!I:I, NewEmisData!$A:$A, $G179, NewEmisData!$B:$B, $A179, NewEmisData!$C:$C, $H179, NewEmisData!$D:$D, Y$6)</f>
        <v>0.96959264343873697</v>
      </c>
      <c r="Z179" s="1111">
        <f>SUMIFS(NewEmisData!J:J, NewEmisData!$A:$A, $G179, NewEmisData!$B:$B, $A179, NewEmisData!$C:$C, $H179, NewEmisData!$D:$D, Z$6)</f>
        <v>0.83872679442891696</v>
      </c>
      <c r="AA179" s="1111">
        <f>SUMIFS(NewEmisData!K:K, NewEmisData!$A:$A, $G179, NewEmisData!$B:$B, $A179, NewEmisData!$C:$C, $H179, NewEmisData!$D:$D, AA$6)</f>
        <v>0.79867865097523805</v>
      </c>
      <c r="AB179" s="1111">
        <f>SUMIFS(NewEmisData!L:L, NewEmisData!$A:$A, $G179, NewEmisData!$B:$B, $A179, NewEmisData!$C:$C, $H179, NewEmisData!$D:$D, AB$6)</f>
        <v>0.79322284274622901</v>
      </c>
      <c r="AC179" s="1111">
        <f>SUMIFS(NewEmisData!M:M, NewEmisData!$A:$A, $G179, NewEmisData!$B:$B, $A179, NewEmisData!$C:$C, $H179, NewEmisData!$D:$D, AC$6)</f>
        <v>0.79163411205103495</v>
      </c>
      <c r="AD179" s="1111">
        <f t="shared" si="229"/>
        <v>0.79163411205103495</v>
      </c>
      <c r="AE179" s="1111">
        <f t="shared" si="241"/>
        <v>3.2609020112497403E-2</v>
      </c>
      <c r="AF179" s="1111">
        <f>SUMIFS(NewEmisData!E:E, NewEmisData!$A:$A, $G179, NewEmisData!$B:$B, $A179, NewEmisData!$C:$C, $H179, NewEmisData!$D:$D, AF$6)</f>
        <v>3.2609020112497403E-2</v>
      </c>
      <c r="AG179" s="1111">
        <f>SUMIFS(NewEmisData!F:F, NewEmisData!$A:$A, $G179, NewEmisData!$B:$B, $A179, NewEmisData!$C:$C, $H179, NewEmisData!$D:$D, AG$6)</f>
        <v>3.17571573502895E-2</v>
      </c>
      <c r="AH179" s="1111">
        <f>SUMIFS(NewEmisData!G:G, NewEmisData!$A:$A, $G179, NewEmisData!$B:$B, $A179, NewEmisData!$C:$C, $H179, NewEmisData!$D:$D, AH$6)</f>
        <v>1.01046015527187E-2</v>
      </c>
      <c r="AI179" s="1111">
        <f>SUMIFS(NewEmisData!H:H, NewEmisData!$A:$A, $G179, NewEmisData!$B:$B, $A179, NewEmisData!$C:$C, $H179, NewEmisData!$D:$D, AI$6)</f>
        <v>9.6913827425881005E-3</v>
      </c>
      <c r="AJ179" s="1111">
        <f>SUMIFS(NewEmisData!I:I, NewEmisData!$A:$A, $G179, NewEmisData!$B:$B, $A179, NewEmisData!$C:$C, $H179, NewEmisData!$D:$D, AJ$6)</f>
        <v>9.3778737694311005E-3</v>
      </c>
      <c r="AK179" s="1111">
        <f>SUMIFS(NewEmisData!J:J, NewEmisData!$A:$A, $G179, NewEmisData!$B:$B, $A179, NewEmisData!$C:$C, $H179, NewEmisData!$D:$D, AK$6)</f>
        <v>9.2756075273223108E-3</v>
      </c>
      <c r="AL179" s="1111">
        <f>SUMIFS(NewEmisData!K:K, NewEmisData!$A:$A, $G179, NewEmisData!$B:$B, $A179, NewEmisData!$C:$C, $H179, NewEmisData!$D:$D, AL$6)</f>
        <v>9.2454491450441392E-3</v>
      </c>
      <c r="AM179" s="1111">
        <f>SUMIFS(NewEmisData!L:L, NewEmisData!$A:$A, $G179, NewEmisData!$B:$B, $A179, NewEmisData!$C:$C, $H179, NewEmisData!$D:$D, AM$6)</f>
        <v>9.2391217629996109E-3</v>
      </c>
      <c r="AN179" s="1111">
        <f>SUMIFS(NewEmisData!M:M, NewEmisData!$A:$A, $G179, NewEmisData!$B:$B, $A179, NewEmisData!$C:$C, $H179, NewEmisData!$D:$D, AN$6)</f>
        <v>9.2375739351750405E-3</v>
      </c>
      <c r="AO179" s="1111">
        <f t="shared" si="242"/>
        <v>9.2375739351750405E-3</v>
      </c>
      <c r="AP179" s="1111">
        <f t="shared" si="243"/>
        <v>0.92068922490925897</v>
      </c>
      <c r="AQ179" s="1111">
        <f>SUMIFS(NewEmisData!E:E, NewEmisData!$A:$A, $G179, NewEmisData!$B:$B, $A179, NewEmisData!$C:$C, $H179, NewEmisData!$D:$D, AQ$6)</f>
        <v>0.92068922490925897</v>
      </c>
      <c r="AR179" s="1111">
        <f>SUMIFS(NewEmisData!F:F, NewEmisData!$A:$A, $G179, NewEmisData!$B:$B, $A179, NewEmisData!$C:$C, $H179, NewEmisData!$D:$D, AR$6)</f>
        <v>0.49332051927640103</v>
      </c>
      <c r="AS179" s="1111">
        <f>SUMIFS(NewEmisData!G:G, NewEmisData!$A:$A, $G179, NewEmisData!$B:$B, $A179, NewEmisData!$C:$C, $H179, NewEmisData!$D:$D, AS$6)</f>
        <v>0.24551244923642301</v>
      </c>
      <c r="AT179" s="1111">
        <f>SUMIFS(NewEmisData!H:H, NewEmisData!$A:$A, $G179, NewEmisData!$B:$B, $A179, NewEmisData!$C:$C, $H179, NewEmisData!$D:$D, AT$6)</f>
        <v>0.19029699336139799</v>
      </c>
      <c r="AU179" s="1111">
        <f>SUMIFS(NewEmisData!I:I, NewEmisData!$A:$A, $G179, NewEmisData!$B:$B, $A179, NewEmisData!$C:$C, $H179, NewEmisData!$D:$D, AU$6)</f>
        <v>0.171654581016567</v>
      </c>
      <c r="AV179" s="1111">
        <f>SUMIFS(NewEmisData!J:J, NewEmisData!$A:$A, $G179, NewEmisData!$B:$B, $A179, NewEmisData!$C:$C, $H179, NewEmisData!$D:$D, AV$6)</f>
        <v>0.168061002565252</v>
      </c>
      <c r="AW179" s="1111">
        <f>SUMIFS(NewEmisData!K:K, NewEmisData!$A:$A, $G179, NewEmisData!$B:$B, $A179, NewEmisData!$C:$C, $H179, NewEmisData!$D:$D, AW$6)</f>
        <v>0.167001709815503</v>
      </c>
      <c r="AX179" s="1111">
        <f>SUMIFS(NewEmisData!L:L, NewEmisData!$A:$A, $G179, NewEmisData!$B:$B, $A179, NewEmisData!$C:$C, $H179, NewEmisData!$D:$D, AX$6)</f>
        <v>0.16699297497215901</v>
      </c>
      <c r="AY179" s="1111">
        <f>SUMIFS(NewEmisData!M:M, NewEmisData!$A:$A, $G179, NewEmisData!$B:$B, $A179, NewEmisData!$C:$C, $H179, NewEmisData!$D:$D, AY$6)</f>
        <v>0.16699184457612301</v>
      </c>
      <c r="AZ179" s="1111">
        <f t="shared" si="244"/>
        <v>0.16699184457612301</v>
      </c>
      <c r="BA179" s="1111">
        <f t="shared" si="245"/>
        <v>0.71010379978724403</v>
      </c>
      <c r="BB179" s="1111">
        <f>SUMIFS(NewEmisData!E:E, NewEmisData!$A:$A, $G179, NewEmisData!$B:$B, $A179, NewEmisData!$C:$C, $H179, NewEmisData!$D:$D, BB$6)</f>
        <v>0.71010379978724403</v>
      </c>
      <c r="BC179" s="1111">
        <f>SUMIFS(NewEmisData!F:F, NewEmisData!$A:$A, $G179, NewEmisData!$B:$B, $A179, NewEmisData!$C:$C, $H179, NewEmisData!$D:$D, BC$6)</f>
        <v>0.31539716063004603</v>
      </c>
      <c r="BD179" s="1111">
        <f>SUMIFS(NewEmisData!G:G, NewEmisData!$A:$A, $G179, NewEmisData!$B:$B, $A179, NewEmisData!$C:$C, $H179, NewEmisData!$D:$D, BD$6)</f>
        <v>0.10700307974279601</v>
      </c>
      <c r="BE179" s="1111">
        <f>SUMIFS(NewEmisData!H:H, NewEmisData!$A:$A, $G179, NewEmisData!$B:$B, $A179, NewEmisData!$C:$C, $H179, NewEmisData!$D:$D, BE$6)</f>
        <v>5.6773062835599797E-2</v>
      </c>
      <c r="BF179" s="1111">
        <f>SUMIFS(NewEmisData!I:I, NewEmisData!$A:$A, $G179, NewEmisData!$B:$B, $A179, NewEmisData!$C:$C, $H179, NewEmisData!$D:$D, BF$6)</f>
        <v>3.9792368333530698E-2</v>
      </c>
      <c r="BG179" s="1111">
        <f>SUMIFS(NewEmisData!J:J, NewEmisData!$A:$A, $G179, NewEmisData!$B:$B, $A179, NewEmisData!$C:$C, $H179, NewEmisData!$D:$D, BG$6)</f>
        <v>3.6534861023721103E-2</v>
      </c>
      <c r="BH179" s="1111">
        <f>SUMIFS(NewEmisData!K:K, NewEmisData!$A:$A, $G179, NewEmisData!$B:$B, $A179, NewEmisData!$C:$C, $H179, NewEmisData!$D:$D, BH$6)</f>
        <v>3.5572117087596597E-2</v>
      </c>
      <c r="BI179" s="1111">
        <f>SUMIFS(NewEmisData!L:L, NewEmisData!$A:$A, $G179, NewEmisData!$B:$B, $A179, NewEmisData!$C:$C, $H179, NewEmisData!$D:$D, BI$6)</f>
        <v>3.556620106866E-2</v>
      </c>
      <c r="BJ179" s="1111">
        <f>SUMIFS(NewEmisData!M:M, NewEmisData!$A:$A, $G179, NewEmisData!$B:$B, $A179, NewEmisData!$C:$C, $H179, NewEmisData!$D:$D, BJ$6)</f>
        <v>3.5565244855547698E-2</v>
      </c>
      <c r="BK179" s="1111">
        <f t="shared" si="246"/>
        <v>3.5565244855547698E-2</v>
      </c>
      <c r="BL179" s="1111">
        <f t="shared" si="247"/>
        <v>4.3150452160613399</v>
      </c>
      <c r="BM179" s="1111">
        <f>SUMIFS(NewEmisData!E:E, NewEmisData!$A:$A, $G179, NewEmisData!$B:$B, $A179, NewEmisData!$C:$C, $H179, NewEmisData!$D:$D, BM$6)</f>
        <v>4.3150452160613399</v>
      </c>
      <c r="BN179" s="1111">
        <f>SUMIFS(NewEmisData!F:F, NewEmisData!$A:$A, $G179, NewEmisData!$B:$B, $A179, NewEmisData!$C:$C, $H179, NewEmisData!$D:$D, BN$6)</f>
        <v>2.1245169733868399</v>
      </c>
      <c r="BO179" s="1111">
        <f>SUMIFS(NewEmisData!G:G, NewEmisData!$A:$A, $G179, NewEmisData!$B:$B, $A179, NewEmisData!$C:$C, $H179, NewEmisData!$D:$D, BO$6)</f>
        <v>0.94068181429637499</v>
      </c>
      <c r="BP179" s="1111">
        <f>SUMIFS(NewEmisData!H:H, NewEmisData!$A:$A, $G179, NewEmisData!$B:$B, $A179, NewEmisData!$C:$C, $H179, NewEmisData!$D:$D, BP$6)</f>
        <v>0.59128118339828695</v>
      </c>
      <c r="BQ179" s="1111">
        <f>SUMIFS(NewEmisData!I:I, NewEmisData!$A:$A, $G179, NewEmisData!$B:$B, $A179, NewEmisData!$C:$C, $H179, NewEmisData!$D:$D, BQ$6)</f>
        <v>0.47927194222425401</v>
      </c>
      <c r="BR179" s="1111">
        <f>SUMIFS(NewEmisData!J:J, NewEmisData!$A:$A, $G179, NewEmisData!$B:$B, $A179, NewEmisData!$C:$C, $H179, NewEmisData!$D:$D, BR$6)</f>
        <v>0.45341859187278799</v>
      </c>
      <c r="BS179" s="1111">
        <f>SUMIFS(NewEmisData!K:K, NewEmisData!$A:$A, $G179, NewEmisData!$B:$B, $A179, NewEmisData!$C:$C, $H179, NewEmisData!$D:$D, BS$6)</f>
        <v>0.446256256758017</v>
      </c>
      <c r="BT179" s="1111">
        <f>SUMIFS(NewEmisData!L:L, NewEmisData!$A:$A, $G179, NewEmisData!$B:$B, $A179, NewEmisData!$C:$C, $H179, NewEmisData!$D:$D, BT$6)</f>
        <v>0.44612206557733602</v>
      </c>
      <c r="BU179" s="1111">
        <f>SUMIFS(NewEmisData!M:M, NewEmisData!$A:$A, $G179, NewEmisData!$B:$B, $A179, NewEmisData!$C:$C, $H179, NewEmisData!$D:$D, BU$6)</f>
        <v>0.44605643597918299</v>
      </c>
      <c r="BV179" s="1111">
        <f t="shared" si="248"/>
        <v>0.44605643597918299</v>
      </c>
      <c r="BW179" s="1111">
        <f t="shared" si="249"/>
        <v>1.7526352760541399</v>
      </c>
      <c r="BX179" s="1111">
        <f>SUMIFS(NewEmisData!E:E, NewEmisData!$A:$A, $G179, NewEmisData!$B:$B, $A179, NewEmisData!$C:$C, $H179, NewEmisData!$D:$D, BX$6)</f>
        <v>1.7526352760541399</v>
      </c>
      <c r="BY179" s="1111">
        <f>SUMIFS(NewEmisData!F:F, NewEmisData!$A:$A, $G179, NewEmisData!$B:$B, $A179, NewEmisData!$C:$C, $H179, NewEmisData!$D:$D, BY$6)</f>
        <v>0.76319496140940501</v>
      </c>
      <c r="BZ179" s="1111">
        <f>SUMIFS(NewEmisData!G:G, NewEmisData!$A:$A, $G179, NewEmisData!$B:$B, $A179, NewEmisData!$C:$C, $H179, NewEmisData!$D:$D, BZ$6)</f>
        <v>0.28613534772152999</v>
      </c>
      <c r="CA179" s="1111">
        <f>SUMIFS(NewEmisData!H:H, NewEmisData!$A:$A, $G179, NewEmisData!$B:$B, $A179, NewEmisData!$C:$C, $H179, NewEmisData!$D:$D, CA$6)</f>
        <v>0.14791681955889299</v>
      </c>
      <c r="CB179" s="1111">
        <f>SUMIFS(NewEmisData!I:I, NewEmisData!$A:$A, $G179, NewEmisData!$B:$B, $A179, NewEmisData!$C:$C, $H179, NewEmisData!$D:$D, CB$6)</f>
        <v>0.105362725656792</v>
      </c>
      <c r="CC179" s="1111">
        <f>SUMIFS(NewEmisData!J:J, NewEmisData!$A:$A, $G179, NewEmisData!$B:$B, $A179, NewEmisData!$C:$C, $H179, NewEmisData!$D:$D, CC$6)</f>
        <v>9.5060988557020901E-2</v>
      </c>
      <c r="CD179" s="1111">
        <f>SUMIFS(NewEmisData!K:K, NewEmisData!$A:$A, $G179, NewEmisData!$B:$B, $A179, NewEmisData!$C:$C, $H179, NewEmisData!$D:$D, CD$6)</f>
        <v>9.2424289509125304E-2</v>
      </c>
      <c r="CE179" s="1111">
        <f>SUMIFS(NewEmisData!L:L, NewEmisData!$A:$A, $G179, NewEmisData!$B:$B, $A179, NewEmisData!$C:$C, $H179, NewEmisData!$D:$D, CE$6)</f>
        <v>9.23723223995183E-2</v>
      </c>
      <c r="CF179" s="1111">
        <f>SUMIFS(NewEmisData!M:M, NewEmisData!$A:$A, $G179, NewEmisData!$B:$B, $A179, NewEmisData!$C:$C, $H179, NewEmisData!$D:$D, CF$6)</f>
        <v>9.2343531240566795E-2</v>
      </c>
      <c r="CG179" s="1111">
        <f t="shared" si="250"/>
        <v>9.2343531240566795E-2</v>
      </c>
      <c r="CH179" s="1111">
        <f t="shared" si="251"/>
        <v>2.7055218991672101E-2</v>
      </c>
      <c r="CI179" s="1111">
        <f>SUMIFS(NewEmisData!E:E, NewEmisData!$A:$A, $G179, NewEmisData!$B:$B, $A179, NewEmisData!$C:$C, $H179, NewEmisData!$D:$D, CI$6)</f>
        <v>2.7055218991672101E-2</v>
      </c>
      <c r="CJ179" s="1111">
        <f>SUMIFS(NewEmisData!F:F, NewEmisData!$A:$A, $G179, NewEmisData!$B:$B, $A179, NewEmisData!$C:$C, $H179, NewEmisData!$D:$D, CJ$6)</f>
        <v>2.7097811202849698E-2</v>
      </c>
      <c r="CK179" s="1111">
        <f>SUMIFS(NewEmisData!G:G, NewEmisData!$A:$A, $G179, NewEmisData!$B:$B, $A179, NewEmisData!$C:$C, $H179, NewEmisData!$D:$D, CK$6)</f>
        <v>2.7499989724317601E-2</v>
      </c>
      <c r="CL179" s="1111">
        <f>SUMIFS(NewEmisData!H:H, NewEmisData!$A:$A, $G179, NewEmisData!$B:$B, $A179, NewEmisData!$C:$C, $H179, NewEmisData!$D:$D, CL$6)</f>
        <v>2.7501820283735001E-2</v>
      </c>
      <c r="CM179" s="1111">
        <f>SUMIFS(NewEmisData!I:I, NewEmisData!$A:$A, $G179, NewEmisData!$B:$B, $A179, NewEmisData!$C:$C, $H179, NewEmisData!$D:$D, CM$6)</f>
        <v>2.7502699986778598E-2</v>
      </c>
      <c r="CN179" s="1111">
        <f>SUMIFS(NewEmisData!J:J, NewEmisData!$A:$A, $G179, NewEmisData!$B:$B, $A179, NewEmisData!$C:$C, $H179, NewEmisData!$D:$D, CN$6)</f>
        <v>2.7503009963342099E-2</v>
      </c>
      <c r="CO179" s="1111">
        <f>SUMIFS(NewEmisData!K:K, NewEmisData!$A:$A, $G179, NewEmisData!$B:$B, $A179, NewEmisData!$C:$C, $H179, NewEmisData!$D:$D, CO$6)</f>
        <v>2.75030807344766E-2</v>
      </c>
      <c r="CP179" s="1111">
        <f>SUMIFS(NewEmisData!L:L, NewEmisData!$A:$A, $G179, NewEmisData!$B:$B, $A179, NewEmisData!$C:$C, $H179, NewEmisData!$D:$D, CP$6)</f>
        <v>2.75031193176942E-2</v>
      </c>
      <c r="CQ179" s="1111">
        <f>SUMIFS(NewEmisData!M:M, NewEmisData!$A:$A, $G179, NewEmisData!$B:$B, $A179, NewEmisData!$C:$C, $H179, NewEmisData!$D:$D, CQ$6)</f>
        <v>2.7503100293147099E-2</v>
      </c>
      <c r="CR179" s="1111">
        <f t="shared" si="252"/>
        <v>2.7503100293147099E-2</v>
      </c>
      <c r="CS179" s="1111">
        <f t="shared" si="253"/>
        <v>3.9349904375135403E-3</v>
      </c>
      <c r="CT179" s="1111">
        <f>SUMIFS(NewEmisData!E:E, NewEmisData!$A:$A, $G179, NewEmisData!$B:$B, $A179, NewEmisData!$C:$C, $H179, NewEmisData!$D:$D, CT$6)</f>
        <v>3.9349904375135403E-3</v>
      </c>
      <c r="CU179" s="1111">
        <f>SUMIFS(NewEmisData!F:F, NewEmisData!$A:$A, $G179, NewEmisData!$B:$B, $A179, NewEmisData!$C:$C, $H179, NewEmisData!$D:$D, CU$6)</f>
        <v>4.0144188046577697E-3</v>
      </c>
      <c r="CV179" s="1111">
        <f>SUMIFS(NewEmisData!G:G, NewEmisData!$A:$A, $G179, NewEmisData!$B:$B, $A179, NewEmisData!$C:$C, $H179, NewEmisData!$D:$D, CV$6)</f>
        <v>3.85532676774381E-3</v>
      </c>
      <c r="CW179" s="1111">
        <f>SUMIFS(NewEmisData!H:H, NewEmisData!$A:$A, $G179, NewEmisData!$B:$B, $A179, NewEmisData!$C:$C, $H179, NewEmisData!$D:$D, CW$6)</f>
        <v>3.86278277523287E-3</v>
      </c>
      <c r="CX179" s="1111">
        <f>SUMIFS(NewEmisData!I:I, NewEmisData!$A:$A, $G179, NewEmisData!$B:$B, $A179, NewEmisData!$C:$C, $H179, NewEmisData!$D:$D, CX$6)</f>
        <v>3.8631569663602201E-3</v>
      </c>
      <c r="CY179" s="1111">
        <f>SUMIFS(NewEmisData!J:J, NewEmisData!$A:$A, $G179, NewEmisData!$B:$B, $A179, NewEmisData!$C:$C, $H179, NewEmisData!$D:$D, CY$6)</f>
        <v>3.8597143652261199E-3</v>
      </c>
      <c r="CZ179" s="1111">
        <f>SUMIFS(NewEmisData!K:K, NewEmisData!$A:$A, $G179, NewEmisData!$B:$B, $A179, NewEmisData!$C:$C, $H179, NewEmisData!$D:$D, CZ$6)</f>
        <v>3.8570170955670299E-3</v>
      </c>
      <c r="DA179" s="1111">
        <f>SUMIFS(NewEmisData!L:L, NewEmisData!$A:$A, $G179, NewEmisData!$B:$B, $A179, NewEmisData!$C:$C, $H179, NewEmisData!$D:$D, DA$6)</f>
        <v>3.8560726634583298E-3</v>
      </c>
      <c r="DB179" s="1111">
        <f>SUMIFS(NewEmisData!M:M, NewEmisData!$A:$A, $G179, NewEmisData!$B:$B, $A179, NewEmisData!$C:$C, $H179, NewEmisData!$D:$D, DB$6)</f>
        <v>3.8553758260127901E-3</v>
      </c>
      <c r="DC179" s="1111">
        <f t="shared" si="254"/>
        <v>3.8553758260127901E-3</v>
      </c>
      <c r="DD179" s="1111"/>
      <c r="DE179" s="1111"/>
      <c r="DF179" s="1111"/>
      <c r="DG179" s="1111"/>
      <c r="DH179" s="1111"/>
      <c r="DI179" s="1111"/>
      <c r="DJ179" s="1111"/>
      <c r="DK179" s="1111"/>
      <c r="DL179" s="1111"/>
      <c r="DM179" s="1111"/>
      <c r="DN179" s="1111"/>
      <c r="DO179" s="1111"/>
      <c r="DP179" s="1111"/>
      <c r="DQ179" s="1111"/>
      <c r="DR179" s="1111"/>
      <c r="DS179" s="1111"/>
      <c r="DT179" s="1111"/>
      <c r="DU179" s="1111"/>
      <c r="DV179" s="1111"/>
      <c r="DW179" s="1111"/>
      <c r="DX179" s="1111"/>
      <c r="DY179" s="1111"/>
      <c r="DZ179" s="1111">
        <f t="shared" si="255"/>
        <v>1.6945041867018E-2</v>
      </c>
      <c r="EA179" s="1111">
        <f>SUMIFS(NewEmisData!E:E, NewEmisData!$A:$A, $G179, NewEmisData!$B:$B, $A179, NewEmisData!$C:$C, $H179, NewEmisData!$D:$D, EA$6)</f>
        <v>1.6945041867018E-2</v>
      </c>
      <c r="EB179" s="1111">
        <f>SUMIFS(NewEmisData!F:F, NewEmisData!$A:$A, $G179, NewEmisData!$B:$B, $A179, NewEmisData!$C:$C, $H179, NewEmisData!$D:$D, EB$6)</f>
        <v>7.8276884254222703E-2</v>
      </c>
      <c r="EC179" s="1111">
        <f>SUMIFS(NewEmisData!G:G, NewEmisData!$A:$A, $G179, NewEmisData!$B:$B, $A179, NewEmisData!$C:$C, $H179, NewEmisData!$D:$D, EC$6)</f>
        <v>8.4900351611377101E-2</v>
      </c>
      <c r="ED179" s="1111">
        <f>SUMIFS(NewEmisData!H:H, NewEmisData!$A:$A, $G179, NewEmisData!$B:$B, $A179, NewEmisData!$C:$C, $H179, NewEmisData!$D:$D, ED$6)</f>
        <v>8.5774709001773697E-2</v>
      </c>
      <c r="EE179" s="1111">
        <f>SUMIFS(NewEmisData!I:I, NewEmisData!$A:$A, $G179, NewEmisData!$B:$B, $A179, NewEmisData!$C:$C, $H179, NewEmisData!$D:$D, EE$6)</f>
        <v>8.5992272513838397E-2</v>
      </c>
      <c r="EF179" s="1111">
        <f>SUMIFS(NewEmisData!J:J, NewEmisData!$A:$A, $G179, NewEmisData!$B:$B, $A179, NewEmisData!$C:$C, $H179, NewEmisData!$D:$D, EF$6)</f>
        <v>8.5851695810059206E-2</v>
      </c>
      <c r="EG179" s="1111">
        <f>SUMIFS(NewEmisData!K:K, NewEmisData!$A:$A, $G179, NewEmisData!$B:$B, $A179, NewEmisData!$C:$C, $H179, NewEmisData!$D:$D, EG$6)</f>
        <v>8.5868499327711095E-2</v>
      </c>
      <c r="EH179" s="1111">
        <f>SUMIFS(NewEmisData!L:L, NewEmisData!$A:$A, $G179, NewEmisData!$B:$B, $A179, NewEmisData!$C:$C, $H179, NewEmisData!$D:$D, EH$6)</f>
        <v>8.5821898568060301E-2</v>
      </c>
      <c r="EI179" s="1111">
        <f>SUMIFS(NewEmisData!M:M, NewEmisData!$A:$A, $G179, NewEmisData!$B:$B, $A179, NewEmisData!$C:$C, $H179, NewEmisData!$D:$D, EI$6)</f>
        <v>8.5793172972528697E-2</v>
      </c>
      <c r="EJ179" s="1111">
        <f t="shared" si="256"/>
        <v>8.5793172972528697E-2</v>
      </c>
      <c r="EK179" s="1111">
        <f t="shared" si="257"/>
        <v>1359.24651399801</v>
      </c>
      <c r="EL179" s="1111">
        <f t="shared" si="269"/>
        <v>1359.24651399801</v>
      </c>
      <c r="EM179" s="1111">
        <f t="shared" si="270"/>
        <v>1349.4553811456799</v>
      </c>
      <c r="EN179" s="1111">
        <f t="shared" si="271"/>
        <v>1201.7753721342699</v>
      </c>
      <c r="EO179" s="1111">
        <f t="shared" si="272"/>
        <v>1159.4102608457299</v>
      </c>
      <c r="EP179" s="1111">
        <f t="shared" si="273"/>
        <v>1124.18143975774</v>
      </c>
      <c r="EQ179" s="1111">
        <f t="shared" si="274"/>
        <v>1112.41123305204</v>
      </c>
      <c r="ER179" s="1111">
        <f t="shared" si="275"/>
        <v>1108.9495585776399</v>
      </c>
      <c r="ES179" s="1111">
        <f t="shared" si="276"/>
        <v>1108.1911650136201</v>
      </c>
      <c r="ET179" s="1111">
        <f t="shared" si="277"/>
        <v>1108.0051090873801</v>
      </c>
      <c r="EU179" s="1111">
        <f t="shared" si="278"/>
        <v>1108.0051090873801</v>
      </c>
      <c r="EV179" s="1111">
        <f t="shared" si="258"/>
        <v>9.9935080505540999</v>
      </c>
      <c r="EW179" s="1111">
        <f t="shared" si="259"/>
        <v>9.9935080505540999</v>
      </c>
      <c r="EX179" s="1111">
        <f t="shared" si="260"/>
        <v>5.4019505037215803</v>
      </c>
      <c r="EY179" s="1111">
        <f t="shared" si="261"/>
        <v>2.3680454032681002</v>
      </c>
      <c r="EZ179" s="1111">
        <f t="shared" si="262"/>
        <v>1.37960112387871</v>
      </c>
      <c r="FA179" s="1111">
        <f t="shared" si="263"/>
        <v>0.96959264343873697</v>
      </c>
      <c r="FB179" s="1111">
        <f t="shared" si="264"/>
        <v>0.83872679442891696</v>
      </c>
      <c r="FC179" s="1111">
        <f t="shared" si="265"/>
        <v>0.79867865097523805</v>
      </c>
      <c r="FD179" s="1111">
        <f t="shared" si="266"/>
        <v>0.79322284274622901</v>
      </c>
      <c r="FE179" s="1111">
        <f t="shared" si="267"/>
        <v>0.79163411205103495</v>
      </c>
      <c r="FF179" s="1111">
        <f t="shared" si="268"/>
        <v>0.79163411205103495</v>
      </c>
      <c r="FG179" s="1111">
        <f t="shared" si="193"/>
        <v>3.2609020112497403E-2</v>
      </c>
      <c r="FH179" s="1111">
        <f t="shared" si="194"/>
        <v>3.2609020112497403E-2</v>
      </c>
      <c r="FI179" s="1111">
        <f t="shared" si="195"/>
        <v>3.17571573502895E-2</v>
      </c>
      <c r="FJ179" s="1111">
        <f t="shared" si="196"/>
        <v>1.01046015527187E-2</v>
      </c>
      <c r="FK179" s="1111">
        <f t="shared" si="197"/>
        <v>9.6913827425881005E-3</v>
      </c>
      <c r="FL179" s="1111">
        <f t="shared" si="198"/>
        <v>9.3778737694311005E-3</v>
      </c>
      <c r="FM179" s="1111">
        <f t="shared" si="199"/>
        <v>9.2756075273223108E-3</v>
      </c>
      <c r="FN179" s="1111">
        <f t="shared" si="200"/>
        <v>9.2454491450441392E-3</v>
      </c>
      <c r="FO179" s="1111">
        <f t="shared" si="201"/>
        <v>9.2391217629996109E-3</v>
      </c>
      <c r="FP179" s="1111">
        <f t="shared" si="202"/>
        <v>9.2375739351750405E-3</v>
      </c>
      <c r="FQ179" s="1111">
        <f t="shared" si="203"/>
        <v>9.2375739351750405E-3</v>
      </c>
      <c r="FR179" s="1111">
        <f t="shared" si="230"/>
        <v>0.92068922490925897</v>
      </c>
      <c r="FS179" s="1111">
        <f t="shared" si="231"/>
        <v>0.92068922490925897</v>
      </c>
      <c r="FT179" s="1111">
        <f t="shared" si="232"/>
        <v>0.49332051927640103</v>
      </c>
      <c r="FU179" s="1111">
        <f t="shared" si="233"/>
        <v>0.24551244923642301</v>
      </c>
      <c r="FV179" s="1111">
        <f t="shared" si="234"/>
        <v>0.19029699336139799</v>
      </c>
      <c r="FW179" s="1111">
        <f t="shared" si="235"/>
        <v>0.171654581016567</v>
      </c>
      <c r="FX179" s="1111">
        <f t="shared" si="236"/>
        <v>0.168061002565252</v>
      </c>
      <c r="FY179" s="1111">
        <f t="shared" si="237"/>
        <v>0.167001709815503</v>
      </c>
      <c r="FZ179" s="1111">
        <f t="shared" si="238"/>
        <v>0.16699297497215901</v>
      </c>
      <c r="GA179" s="1111">
        <f t="shared" si="239"/>
        <v>0.16699184457612301</v>
      </c>
      <c r="GB179" s="1111">
        <f t="shared" si="240"/>
        <v>0.16699184457612301</v>
      </c>
      <c r="GC179" s="1111">
        <f t="shared" si="279"/>
        <v>0.71010379978724403</v>
      </c>
      <c r="GD179" s="1111">
        <f t="shared" si="280"/>
        <v>0.71010379978724403</v>
      </c>
      <c r="GE179" s="1111">
        <f t="shared" si="281"/>
        <v>0.31539716063004603</v>
      </c>
      <c r="GF179" s="1111">
        <f t="shared" si="282"/>
        <v>0.10700307974279601</v>
      </c>
      <c r="GG179" s="1111">
        <f t="shared" si="283"/>
        <v>5.6773062835599797E-2</v>
      </c>
      <c r="GH179" s="1111">
        <f t="shared" si="284"/>
        <v>3.9792368333530698E-2</v>
      </c>
      <c r="GI179" s="1111">
        <f t="shared" si="285"/>
        <v>3.6534861023721103E-2</v>
      </c>
      <c r="GJ179" s="1111">
        <f t="shared" si="286"/>
        <v>3.5572117087596597E-2</v>
      </c>
      <c r="GK179" s="1111">
        <f t="shared" si="287"/>
        <v>3.556620106866E-2</v>
      </c>
      <c r="GL179" s="1111">
        <f t="shared" si="288"/>
        <v>3.5565244855547698E-2</v>
      </c>
      <c r="GM179" s="1111">
        <f t="shared" si="289"/>
        <v>3.5565244855547698E-2</v>
      </c>
    </row>
    <row r="180" spans="1:195" x14ac:dyDescent="0.2">
      <c r="A180" s="1071" t="s">
        <v>190</v>
      </c>
      <c r="B180" s="1071" t="str">
        <f>Technologies!C118</f>
        <v>TMDSLC10</v>
      </c>
      <c r="C180" s="1071" t="str">
        <f>Technologies!D118</f>
        <v>Medium Duty Truck, Diesel, 2010</v>
      </c>
      <c r="D180" s="1071" t="str">
        <f>NewTech!D70</f>
        <v>bn-vmt, bn-vmt/a</v>
      </c>
      <c r="E180" s="1071" t="str">
        <f>NewTech!E71</f>
        <v>TMDSL</v>
      </c>
      <c r="F180" s="1071" t="str">
        <f>NewTech!F71</f>
        <v>TM</v>
      </c>
      <c r="G180" s="1110" t="s">
        <v>503</v>
      </c>
      <c r="H180" s="1110" t="s">
        <v>499</v>
      </c>
      <c r="I180" s="1112">
        <v>1</v>
      </c>
      <c r="J180" s="1111" t="str">
        <f t="shared" si="37"/>
        <v>Medium duty-DSL</v>
      </c>
      <c r="K180" s="1111">
        <f>SUMIFS(NewEmisData!E:E, NewEmisData!$A:$A, $G180, NewEmisData!$B:$B, $A180, NewEmisData!$C:$C, $H180, NewEmisData!$D:$D, K$6)</f>
        <v>1336.71780257008</v>
      </c>
      <c r="L180" s="1111">
        <f>SUMIFS(NewEmisData!F:F, NewEmisData!$A:$A, $G180, NewEmisData!$B:$B, $A180, NewEmisData!$C:$C, $H180, NewEmisData!$D:$D, L$6)</f>
        <v>1334.1180611544301</v>
      </c>
      <c r="M180" s="1111">
        <f>SUMIFS(NewEmisData!G:G, NewEmisData!$A:$A, $G180, NewEmisData!$B:$B, $A180, NewEmisData!$C:$C, $H180, NewEmisData!$D:$D, M$6)</f>
        <v>1445.04089230315</v>
      </c>
      <c r="N180" s="1111">
        <f>SUMIFS(NewEmisData!H:H, NewEmisData!$A:$A, $G180, NewEmisData!$B:$B, $A180, NewEmisData!$C:$C, $H180, NewEmisData!$D:$D, N$6)</f>
        <v>1394.56782788027</v>
      </c>
      <c r="O180" s="1111">
        <f>SUMIFS(NewEmisData!I:I, NewEmisData!$A:$A, $G180, NewEmisData!$B:$B, $A180, NewEmisData!$C:$C, $H180, NewEmisData!$D:$D, O$6)</f>
        <v>1352.2640605745901</v>
      </c>
      <c r="P180" s="1111">
        <f>SUMIFS(NewEmisData!J:J, NewEmisData!$A:$A, $G180, NewEmisData!$B:$B, $A180, NewEmisData!$C:$C, $H180, NewEmisData!$D:$D, P$6)</f>
        <v>1337.95858730856</v>
      </c>
      <c r="Q180" s="1111">
        <f>SUMIFS(NewEmisData!K:K, NewEmisData!$A:$A, $G180, NewEmisData!$B:$B, $A180, NewEmisData!$C:$C, $H180, NewEmisData!$D:$D, Q$6)</f>
        <v>1333.6808792868501</v>
      </c>
      <c r="R180" s="1111">
        <f>SUMIFS(NewEmisData!L:L, NewEmisData!$A:$A, $G180, NewEmisData!$B:$B, $A180, NewEmisData!$C:$C, $H180, NewEmisData!$D:$D, R$6)</f>
        <v>1332.71889531121</v>
      </c>
      <c r="S180" s="1111">
        <f>SUMIFS(NewEmisData!M:M, NewEmisData!$A:$A, $G180, NewEmisData!$B:$B, $A180, NewEmisData!$C:$C, $H180, NewEmisData!$D:$D, S$6)</f>
        <v>1332.4669517233399</v>
      </c>
      <c r="T180" s="1111">
        <f t="shared" si="290"/>
        <v>1332.4669517233399</v>
      </c>
      <c r="U180" s="1111">
        <f>SUMIFS(NewEmisData!E:E, NewEmisData!$A:$A, $G180, NewEmisData!$B:$B, $A180, NewEmisData!$C:$C, $H180, NewEmisData!$D:$D, U$6)</f>
        <v>8.1159705197746597</v>
      </c>
      <c r="V180" s="1111">
        <f>SUMIFS(NewEmisData!F:F, NewEmisData!$A:$A, $G180, NewEmisData!$B:$B, $A180, NewEmisData!$C:$C, $H180, NewEmisData!$D:$D, V$6)</f>
        <v>4.1902678747381499</v>
      </c>
      <c r="W180" s="1111">
        <f>SUMIFS(NewEmisData!G:G, NewEmisData!$A:$A, $G180, NewEmisData!$B:$B, $A180, NewEmisData!$C:$C, $H180, NewEmisData!$D:$D, W$6)</f>
        <v>2.9831671777909299</v>
      </c>
      <c r="X180" s="1111">
        <f>SUMIFS(NewEmisData!H:H, NewEmisData!$A:$A, $G180, NewEmisData!$B:$B, $A180, NewEmisData!$C:$C, $H180, NewEmisData!$D:$D, X$6)</f>
        <v>1.79071707308598</v>
      </c>
      <c r="Y180" s="1111">
        <f>SUMIFS(NewEmisData!I:I, NewEmisData!$A:$A, $G180, NewEmisData!$B:$B, $A180, NewEmisData!$C:$C, $H180, NewEmisData!$D:$D, Y$6)</f>
        <v>1.29214834991715</v>
      </c>
      <c r="Z180" s="1111">
        <f>SUMIFS(NewEmisData!J:J, NewEmisData!$A:$A, $G180, NewEmisData!$B:$B, $A180, NewEmisData!$C:$C, $H180, NewEmisData!$D:$D, Z$6)</f>
        <v>1.1297597092685201</v>
      </c>
      <c r="AA180" s="1111">
        <f>SUMIFS(NewEmisData!K:K, NewEmisData!$A:$A, $G180, NewEmisData!$B:$B, $A180, NewEmisData!$C:$C, $H180, NewEmisData!$D:$D, AA$6)</f>
        <v>1.07869334628427</v>
      </c>
      <c r="AB180" s="1111">
        <f>SUMIFS(NewEmisData!L:L, NewEmisData!$A:$A, $G180, NewEmisData!$B:$B, $A180, NewEmisData!$C:$C, $H180, NewEmisData!$D:$D, AB$6)</f>
        <v>1.0710961293157399</v>
      </c>
      <c r="AC180" s="1111">
        <f>SUMIFS(NewEmisData!M:M, NewEmisData!$A:$A, $G180, NewEmisData!$B:$B, $A180, NewEmisData!$C:$C, $H180, NewEmisData!$D:$D, AC$6)</f>
        <v>1.06853485047457</v>
      </c>
      <c r="AD180" s="1111">
        <f t="shared" si="229"/>
        <v>1.06853485047457</v>
      </c>
      <c r="AE180" s="1111">
        <f t="shared" si="241"/>
        <v>3.2903787292919401E-2</v>
      </c>
      <c r="AF180" s="1111">
        <f>SUMIFS(NewEmisData!E:E, NewEmisData!$A:$A, $G180, NewEmisData!$B:$B, $A180, NewEmisData!$C:$C, $H180, NewEmisData!$D:$D, AF$6)</f>
        <v>3.2903787292919401E-2</v>
      </c>
      <c r="AG180" s="1111">
        <f>SUMIFS(NewEmisData!F:F, NewEmisData!$A:$A, $G180, NewEmisData!$B:$B, $A180, NewEmisData!$C:$C, $H180, NewEmisData!$D:$D, AG$6)</f>
        <v>3.1887226466035201E-2</v>
      </c>
      <c r="AH180" s="1111">
        <f>SUMIFS(NewEmisData!G:G, NewEmisData!$A:$A, $G180, NewEmisData!$B:$B, $A180, NewEmisData!$C:$C, $H180, NewEmisData!$D:$D, AH$6)</f>
        <v>1.2151036280147199E-2</v>
      </c>
      <c r="AI180" s="1111">
        <f>SUMIFS(NewEmisData!H:H, NewEmisData!$A:$A, $G180, NewEmisData!$B:$B, $A180, NewEmisData!$C:$C, $H180, NewEmisData!$D:$D, AI$6)</f>
        <v>1.16575948327503E-2</v>
      </c>
      <c r="AJ180" s="1111">
        <f>SUMIFS(NewEmisData!I:I, NewEmisData!$A:$A, $G180, NewEmisData!$B:$B, $A180, NewEmisData!$C:$C, $H180, NewEmisData!$D:$D, AJ$6)</f>
        <v>1.12807608208042E-2</v>
      </c>
      <c r="AK180" s="1111">
        <f>SUMIFS(NewEmisData!J:J, NewEmisData!$A:$A, $G180, NewEmisData!$B:$B, $A180, NewEmisData!$C:$C, $H180, NewEmisData!$D:$D, AK$6)</f>
        <v>1.11563832836782E-2</v>
      </c>
      <c r="AL180" s="1111">
        <f>SUMIFS(NewEmisData!K:K, NewEmisData!$A:$A, $G180, NewEmisData!$B:$B, $A180, NewEmisData!$C:$C, $H180, NewEmisData!$D:$D, AL$6)</f>
        <v>1.11190596779358E-2</v>
      </c>
      <c r="AM180" s="1111">
        <f>SUMIFS(NewEmisData!L:L, NewEmisData!$A:$A, $G180, NewEmisData!$B:$B, $A180, NewEmisData!$C:$C, $H180, NewEmisData!$D:$D, AM$6)</f>
        <v>1.1111041090770501E-2</v>
      </c>
      <c r="AN180" s="1111">
        <f>SUMIFS(NewEmisData!M:M, NewEmisData!$A:$A, $G180, NewEmisData!$B:$B, $A180, NewEmisData!$C:$C, $H180, NewEmisData!$D:$D, AN$6)</f>
        <v>1.11089391742305E-2</v>
      </c>
      <c r="AO180" s="1111">
        <f t="shared" si="242"/>
        <v>1.11089391742305E-2</v>
      </c>
      <c r="AP180" s="1111">
        <f t="shared" si="243"/>
        <v>0.75470063690720102</v>
      </c>
      <c r="AQ180" s="1111">
        <f>SUMIFS(NewEmisData!E:E, NewEmisData!$A:$A, $G180, NewEmisData!$B:$B, $A180, NewEmisData!$C:$C, $H180, NewEmisData!$D:$D, AQ$6)</f>
        <v>0.75470063690720102</v>
      </c>
      <c r="AR180" s="1111">
        <f>SUMIFS(NewEmisData!F:F, NewEmisData!$A:$A, $G180, NewEmisData!$B:$B, $A180, NewEmisData!$C:$C, $H180, NewEmisData!$D:$D, AR$6)</f>
        <v>0.41452815930639098</v>
      </c>
      <c r="AS180" s="1111">
        <f>SUMIFS(NewEmisData!G:G, NewEmisData!$A:$A, $G180, NewEmisData!$B:$B, $A180, NewEmisData!$C:$C, $H180, NewEmisData!$D:$D, AS$6)</f>
        <v>0.32175493237955199</v>
      </c>
      <c r="AT180" s="1111">
        <f>SUMIFS(NewEmisData!H:H, NewEmisData!$A:$A, $G180, NewEmisData!$B:$B, $A180, NewEmisData!$C:$C, $H180, NewEmisData!$D:$D, AT$6)</f>
        <v>0.25352921702854198</v>
      </c>
      <c r="AU180" s="1111">
        <f>SUMIFS(NewEmisData!I:I, NewEmisData!$A:$A, $G180, NewEmisData!$B:$B, $A180, NewEmisData!$C:$C, $H180, NewEmisData!$D:$D, AU$6)</f>
        <v>0.23028919647026699</v>
      </c>
      <c r="AV180" s="1111">
        <f>SUMIFS(NewEmisData!J:J, NewEmisData!$A:$A, $G180, NewEmisData!$B:$B, $A180, NewEmisData!$C:$C, $H180, NewEmisData!$D:$D, AV$6)</f>
        <v>0.22584791810744101</v>
      </c>
      <c r="AW180" s="1111">
        <f>SUMIFS(NewEmisData!K:K, NewEmisData!$A:$A, $G180, NewEmisData!$B:$B, $A180, NewEmisData!$C:$C, $H180, NewEmisData!$D:$D, AW$6)</f>
        <v>0.22452045938839199</v>
      </c>
      <c r="AX180" s="1111">
        <f>SUMIFS(NewEmisData!L:L, NewEmisData!$A:$A, $G180, NewEmisData!$B:$B, $A180, NewEmisData!$C:$C, $H180, NewEmisData!$D:$D, AX$6)</f>
        <v>0.22450852256822901</v>
      </c>
      <c r="AY180" s="1111">
        <f>SUMIFS(NewEmisData!M:M, NewEmisData!$A:$A, $G180, NewEmisData!$B:$B, $A180, NewEmisData!$C:$C, $H180, NewEmisData!$D:$D, AY$6)</f>
        <v>0.22450708090135699</v>
      </c>
      <c r="AZ180" s="1111">
        <f t="shared" si="244"/>
        <v>0.22450708090135699</v>
      </c>
      <c r="BA180" s="1111">
        <f t="shared" si="245"/>
        <v>0.55462986472983</v>
      </c>
      <c r="BB180" s="1111">
        <f>SUMIFS(NewEmisData!E:E, NewEmisData!$A:$A, $G180, NewEmisData!$B:$B, $A180, NewEmisData!$C:$C, $H180, NewEmisData!$D:$D, BB$6)</f>
        <v>0.55462986472983</v>
      </c>
      <c r="BC180" s="1111">
        <f>SUMIFS(NewEmisData!F:F, NewEmisData!$A:$A, $G180, NewEmisData!$B:$B, $A180, NewEmisData!$C:$C, $H180, NewEmisData!$D:$D, BC$6)</f>
        <v>0.24248413763726101</v>
      </c>
      <c r="BD180" s="1111">
        <f>SUMIFS(NewEmisData!G:G, NewEmisData!$A:$A, $G180, NewEmisData!$B:$B, $A180, NewEmisData!$C:$C, $H180, NewEmisData!$D:$D, BD$6)</f>
        <v>0.134184167736455</v>
      </c>
      <c r="BE180" s="1111">
        <f>SUMIFS(NewEmisData!H:H, NewEmisData!$A:$A, $G180, NewEmisData!$B:$B, $A180, NewEmisData!$C:$C, $H180, NewEmisData!$D:$D, BE$6)</f>
        <v>7.2197035661159606E-2</v>
      </c>
      <c r="BF180" s="1111">
        <f>SUMIFS(NewEmisData!I:I, NewEmisData!$A:$A, $G180, NewEmisData!$B:$B, $A180, NewEmisData!$C:$C, $H180, NewEmisData!$D:$D, BF$6)</f>
        <v>5.1049978127363498E-2</v>
      </c>
      <c r="BG180" s="1111">
        <f>SUMIFS(NewEmisData!J:J, NewEmisData!$A:$A, $G180, NewEmisData!$B:$B, $A180, NewEmisData!$C:$C, $H180, NewEmisData!$D:$D, BG$6)</f>
        <v>4.7030670986268203E-2</v>
      </c>
      <c r="BH180" s="1111">
        <f>SUMIFS(NewEmisData!K:K, NewEmisData!$A:$A, $G180, NewEmisData!$B:$B, $A180, NewEmisData!$C:$C, $H180, NewEmisData!$D:$D, BH$6)</f>
        <v>4.5825605278403299E-2</v>
      </c>
      <c r="BI180" s="1111">
        <f>SUMIFS(NewEmisData!L:L, NewEmisData!$A:$A, $G180, NewEmisData!$B:$B, $A180, NewEmisData!$C:$C, $H180, NewEmisData!$D:$D, BI$6)</f>
        <v>4.58177973162801E-2</v>
      </c>
      <c r="BJ180" s="1111">
        <f>SUMIFS(NewEmisData!M:M, NewEmisData!$A:$A, $G180, NewEmisData!$B:$B, $A180, NewEmisData!$C:$C, $H180, NewEmisData!$D:$D, BJ$6)</f>
        <v>4.5816229295905703E-2</v>
      </c>
      <c r="BK180" s="1111">
        <f t="shared" si="246"/>
        <v>4.5816229295905703E-2</v>
      </c>
      <c r="BL180" s="1111">
        <f t="shared" si="247"/>
        <v>3.60214748610194</v>
      </c>
      <c r="BM180" s="1111">
        <f>SUMIFS(NewEmisData!E:E, NewEmisData!$A:$A, $G180, NewEmisData!$B:$B, $A180, NewEmisData!$C:$C, $H180, NewEmisData!$D:$D, BM$6)</f>
        <v>3.60214748610194</v>
      </c>
      <c r="BN180" s="1111">
        <f>SUMIFS(NewEmisData!F:F, NewEmisData!$A:$A, $G180, NewEmisData!$B:$B, $A180, NewEmisData!$C:$C, $H180, NewEmisData!$D:$D, BN$6)</f>
        <v>1.77624524860446</v>
      </c>
      <c r="BO180" s="1111">
        <f>SUMIFS(NewEmisData!G:G, NewEmisData!$A:$A, $G180, NewEmisData!$B:$B, $A180, NewEmisData!$C:$C, $H180, NewEmisData!$D:$D, BO$6)</f>
        <v>1.1776035653010599</v>
      </c>
      <c r="BP180" s="1111">
        <f>SUMIFS(NewEmisData!H:H, NewEmisData!$A:$A, $G180, NewEmisData!$B:$B, $A180, NewEmisData!$C:$C, $H180, NewEmisData!$D:$D, BP$6)</f>
        <v>0.76085446661730005</v>
      </c>
      <c r="BQ180" s="1111">
        <f>SUMIFS(NewEmisData!I:I, NewEmisData!$A:$A, $G180, NewEmisData!$B:$B, $A180, NewEmisData!$C:$C, $H180, NewEmisData!$D:$D, BQ$6)</f>
        <v>0.62715484825252399</v>
      </c>
      <c r="BR180" s="1111">
        <f>SUMIFS(NewEmisData!J:J, NewEmisData!$A:$A, $G180, NewEmisData!$B:$B, $A180, NewEmisData!$C:$C, $H180, NewEmisData!$D:$D, BR$6)</f>
        <v>0.59561161426405995</v>
      </c>
      <c r="BS180" s="1111">
        <f>SUMIFS(NewEmisData!K:K, NewEmisData!$A:$A, $G180, NewEmisData!$B:$B, $A180, NewEmisData!$C:$C, $H180, NewEmisData!$D:$D, BS$6)</f>
        <v>0.586656365437488</v>
      </c>
      <c r="BT180" s="1111">
        <f>SUMIFS(NewEmisData!L:L, NewEmisData!$A:$A, $G180, NewEmisData!$B:$B, $A180, NewEmisData!$C:$C, $H180, NewEmisData!$D:$D, BT$6)</f>
        <v>0.58633071433356998</v>
      </c>
      <c r="BU180" s="1111">
        <f>SUMIFS(NewEmisData!M:M, NewEmisData!$A:$A, $G180, NewEmisData!$B:$B, $A180, NewEmisData!$C:$C, $H180, NewEmisData!$D:$D, BU$6)</f>
        <v>0.58613150489673305</v>
      </c>
      <c r="BV180" s="1111">
        <f t="shared" si="248"/>
        <v>0.58613150489673305</v>
      </c>
      <c r="BW180" s="1111">
        <f t="shared" si="249"/>
        <v>1.4585878276819899</v>
      </c>
      <c r="BX180" s="1111">
        <f>SUMIFS(NewEmisData!E:E, NewEmisData!$A:$A, $G180, NewEmisData!$B:$B, $A180, NewEmisData!$C:$C, $H180, NewEmisData!$D:$D, BX$6)</f>
        <v>1.4585878276819899</v>
      </c>
      <c r="BY180" s="1111">
        <f>SUMIFS(NewEmisData!F:F, NewEmisData!$A:$A, $G180, NewEmisData!$B:$B, $A180, NewEmisData!$C:$C, $H180, NewEmisData!$D:$D, BY$6)</f>
        <v>0.63111024641351499</v>
      </c>
      <c r="BZ180" s="1111">
        <f>SUMIFS(NewEmisData!G:G, NewEmisData!$A:$A, $G180, NewEmisData!$B:$B, $A180, NewEmisData!$C:$C, $H180, NewEmisData!$D:$D, BZ$6)</f>
        <v>0.39101466332213902</v>
      </c>
      <c r="CA180" s="1111">
        <f>SUMIFS(NewEmisData!H:H, NewEmisData!$A:$A, $G180, NewEmisData!$B:$B, $A180, NewEmisData!$C:$C, $H180, NewEmisData!$D:$D, CA$6)</f>
        <v>0.213477846209017</v>
      </c>
      <c r="CB180" s="1111">
        <f>SUMIFS(NewEmisData!I:I, NewEmisData!$A:$A, $G180, NewEmisData!$B:$B, $A180, NewEmisData!$C:$C, $H180, NewEmisData!$D:$D, CB$6)</f>
        <v>0.15780661931724599</v>
      </c>
      <c r="CC180" s="1111">
        <f>SUMIFS(NewEmisData!J:J, NewEmisData!$A:$A, $G180, NewEmisData!$B:$B, $A180, NewEmisData!$C:$C, $H180, NewEmisData!$D:$D, CC$6)</f>
        <v>0.14387801609152001</v>
      </c>
      <c r="CD180" s="1111">
        <f>SUMIFS(NewEmisData!K:K, NewEmisData!$A:$A, $G180, NewEmisData!$B:$B, $A180, NewEmisData!$C:$C, $H180, NewEmisData!$D:$D, CD$6)</f>
        <v>0.13989697938435799</v>
      </c>
      <c r="CE180" s="1111">
        <f>SUMIFS(NewEmisData!L:L, NewEmisData!$A:$A, $G180, NewEmisData!$B:$B, $A180, NewEmisData!$C:$C, $H180, NewEmisData!$D:$D, CE$6)</f>
        <v>0.139762763737699</v>
      </c>
      <c r="CF180" s="1111">
        <f>SUMIFS(NewEmisData!M:M, NewEmisData!$A:$A, $G180, NewEmisData!$B:$B, $A180, NewEmisData!$C:$C, $H180, NewEmisData!$D:$D, CF$6)</f>
        <v>0.139676136968958</v>
      </c>
      <c r="CG180" s="1111">
        <f t="shared" si="250"/>
        <v>0.139676136968958</v>
      </c>
      <c r="CH180" s="1111">
        <f t="shared" si="251"/>
        <v>2.6625022112881199E-2</v>
      </c>
      <c r="CI180" s="1111">
        <f>SUMIFS(NewEmisData!E:E, NewEmisData!$A:$A, $G180, NewEmisData!$B:$B, $A180, NewEmisData!$C:$C, $H180, NewEmisData!$D:$D, CI$6)</f>
        <v>2.6625022112881199E-2</v>
      </c>
      <c r="CJ180" s="1111">
        <f>SUMIFS(NewEmisData!F:F, NewEmisData!$A:$A, $G180, NewEmisData!$B:$B, $A180, NewEmisData!$C:$C, $H180, NewEmisData!$D:$D, CJ$6)</f>
        <v>2.66250927216873E-2</v>
      </c>
      <c r="CK180" s="1111">
        <f>SUMIFS(NewEmisData!G:G, NewEmisData!$A:$A, $G180, NewEmisData!$B:$B, $A180, NewEmisData!$C:$C, $H180, NewEmisData!$D:$D, CK$6)</f>
        <v>3.1310131148303597E-2</v>
      </c>
      <c r="CL180" s="1111">
        <f>SUMIFS(NewEmisData!H:H, NewEmisData!$A:$A, $G180, NewEmisData!$B:$B, $A180, NewEmisData!$C:$C, $H180, NewEmisData!$D:$D, CL$6)</f>
        <v>3.13110567850386E-2</v>
      </c>
      <c r="CM180" s="1111">
        <f>SUMIFS(NewEmisData!I:I, NewEmisData!$A:$A, $G180, NewEmisData!$B:$B, $A180, NewEmisData!$C:$C, $H180, NewEmisData!$D:$D, CM$6)</f>
        <v>3.1311503593969003E-2</v>
      </c>
      <c r="CN180" s="1111">
        <f>SUMIFS(NewEmisData!J:J, NewEmisData!$A:$A, $G180, NewEmisData!$B:$B, $A180, NewEmisData!$C:$C, $H180, NewEmisData!$D:$D, CN$6)</f>
        <v>3.1311654335670597E-2</v>
      </c>
      <c r="CO180" s="1111">
        <f>SUMIFS(NewEmisData!K:K, NewEmisData!$A:$A, $G180, NewEmisData!$B:$B, $A180, NewEmisData!$C:$C, $H180, NewEmisData!$D:$D, CO$6)</f>
        <v>3.1311703141941503E-2</v>
      </c>
      <c r="CP180" s="1111">
        <f>SUMIFS(NewEmisData!L:L, NewEmisData!$A:$A, $G180, NewEmisData!$B:$B, $A180, NewEmisData!$C:$C, $H180, NewEmisData!$D:$D, CP$6)</f>
        <v>3.1311701226839898E-2</v>
      </c>
      <c r="CQ180" s="1111">
        <f>SUMIFS(NewEmisData!M:M, NewEmisData!$A:$A, $G180, NewEmisData!$B:$B, $A180, NewEmisData!$C:$C, $H180, NewEmisData!$D:$D, CQ$6)</f>
        <v>3.1311724606097602E-2</v>
      </c>
      <c r="CR180" s="1111">
        <f t="shared" si="252"/>
        <v>3.1311724606097602E-2</v>
      </c>
      <c r="CS180" s="1111">
        <f t="shared" si="253"/>
        <v>4.2942881221194997E-3</v>
      </c>
      <c r="CT180" s="1111">
        <f>SUMIFS(NewEmisData!E:E, NewEmisData!$A:$A, $G180, NewEmisData!$B:$B, $A180, NewEmisData!$C:$C, $H180, NewEmisData!$D:$D, CT$6)</f>
        <v>4.2942881221194997E-3</v>
      </c>
      <c r="CU180" s="1111">
        <f>SUMIFS(NewEmisData!F:F, NewEmisData!$A:$A, $G180, NewEmisData!$B:$B, $A180, NewEmisData!$C:$C, $H180, NewEmisData!$D:$D, CU$6)</f>
        <v>4.52609306007902E-3</v>
      </c>
      <c r="CV180" s="1111">
        <f>SUMIFS(NewEmisData!G:G, NewEmisData!$A:$A, $G180, NewEmisData!$B:$B, $A180, NewEmisData!$C:$C, $H180, NewEmisData!$D:$D, CV$6)</f>
        <v>5.7549154829870204E-3</v>
      </c>
      <c r="CW180" s="1111">
        <f>SUMIFS(NewEmisData!H:H, NewEmisData!$A:$A, $G180, NewEmisData!$B:$B, $A180, NewEmisData!$C:$C, $H180, NewEmisData!$D:$D, CW$6)</f>
        <v>5.7792428030713902E-3</v>
      </c>
      <c r="CX180" s="1111">
        <f>SUMIFS(NewEmisData!I:I, NewEmisData!$A:$A, $G180, NewEmisData!$B:$B, $A180, NewEmisData!$C:$C, $H180, NewEmisData!$D:$D, CX$6)</f>
        <v>5.7801666189186297E-3</v>
      </c>
      <c r="CY180" s="1111">
        <f>SUMIFS(NewEmisData!J:J, NewEmisData!$A:$A, $G180, NewEmisData!$B:$B, $A180, NewEmisData!$C:$C, $H180, NewEmisData!$D:$D, CY$6)</f>
        <v>5.7687673444275804E-3</v>
      </c>
      <c r="CZ180" s="1111">
        <f>SUMIFS(NewEmisData!K:K, NewEmisData!$A:$A, $G180, NewEmisData!$B:$B, $A180, NewEmisData!$C:$C, $H180, NewEmisData!$D:$D, CZ$6)</f>
        <v>5.7598889247671798E-3</v>
      </c>
      <c r="DA180" s="1111">
        <f>SUMIFS(NewEmisData!L:L, NewEmisData!$A:$A, $G180, NewEmisData!$B:$B, $A180, NewEmisData!$C:$C, $H180, NewEmisData!$D:$D, DA$6)</f>
        <v>5.7567706696684201E-3</v>
      </c>
      <c r="DB180" s="1111">
        <f>SUMIFS(NewEmisData!M:M, NewEmisData!$A:$A, $G180, NewEmisData!$B:$B, $A180, NewEmisData!$C:$C, $H180, NewEmisData!$D:$D, DB$6)</f>
        <v>5.7544893575928197E-3</v>
      </c>
      <c r="DC180" s="1111">
        <f t="shared" si="254"/>
        <v>5.7544893575928197E-3</v>
      </c>
      <c r="DD180" s="1111"/>
      <c r="DE180" s="1111"/>
      <c r="DF180" s="1111"/>
      <c r="DG180" s="1111"/>
      <c r="DH180" s="1111"/>
      <c r="DI180" s="1111"/>
      <c r="DJ180" s="1111"/>
      <c r="DK180" s="1111"/>
      <c r="DL180" s="1111"/>
      <c r="DM180" s="1111"/>
      <c r="DN180" s="1111"/>
      <c r="DO180" s="1111"/>
      <c r="DP180" s="1111"/>
      <c r="DQ180" s="1111"/>
      <c r="DR180" s="1111"/>
      <c r="DS180" s="1111"/>
      <c r="DT180" s="1111"/>
      <c r="DU180" s="1111"/>
      <c r="DV180" s="1111"/>
      <c r="DW180" s="1111"/>
      <c r="DX180" s="1111"/>
      <c r="DY180" s="1111"/>
      <c r="DZ180" s="1111">
        <f t="shared" si="255"/>
        <v>3.1443183076475298E-2</v>
      </c>
      <c r="EA180" s="1111">
        <f>SUMIFS(NewEmisData!E:E, NewEmisData!$A:$A, $G180, NewEmisData!$B:$B, $A180, NewEmisData!$C:$C, $H180, NewEmisData!$D:$D, EA$6)</f>
        <v>3.1443183076475298E-2</v>
      </c>
      <c r="EB180" s="1111">
        <f>SUMIFS(NewEmisData!F:F, NewEmisData!$A:$A, $G180, NewEmisData!$B:$B, $A180, NewEmisData!$C:$C, $H180, NewEmisData!$D:$D, EB$6)</f>
        <v>9.3142408370314803E-2</v>
      </c>
      <c r="EC180" s="1111">
        <f>SUMIFS(NewEmisData!G:G, NewEmisData!$A:$A, $G180, NewEmisData!$B:$B, $A180, NewEmisData!$C:$C, $H180, NewEmisData!$D:$D, EC$6)</f>
        <v>0.12640906725248399</v>
      </c>
      <c r="ED180" s="1111">
        <f>SUMIFS(NewEmisData!H:H, NewEmisData!$A:$A, $G180, NewEmisData!$B:$B, $A180, NewEmisData!$C:$C, $H180, NewEmisData!$D:$D, ED$6)</f>
        <v>0.13167273257883699</v>
      </c>
      <c r="EE180" s="1111">
        <f>SUMIFS(NewEmisData!I:I, NewEmisData!$A:$A, $G180, NewEmisData!$B:$B, $A180, NewEmisData!$C:$C, $H180, NewEmisData!$D:$D, EE$6)</f>
        <v>0.133754957639485</v>
      </c>
      <c r="EF180" s="1111">
        <f>SUMIFS(NewEmisData!J:J, NewEmisData!$A:$A, $G180, NewEmisData!$B:$B, $A180, NewEmisData!$C:$C, $H180, NewEmisData!$D:$D, EF$6)</f>
        <v>0.13397825833520099</v>
      </c>
      <c r="EG180" s="1111">
        <f>SUMIFS(NewEmisData!K:K, NewEmisData!$A:$A, $G180, NewEmisData!$B:$B, $A180, NewEmisData!$C:$C, $H180, NewEmisData!$D:$D, EG$6)</f>
        <v>0.13422755831628899</v>
      </c>
      <c r="EH180" s="1111">
        <f>SUMIFS(NewEmisData!L:L, NewEmisData!$A:$A, $G180, NewEmisData!$B:$B, $A180, NewEmisData!$C:$C, $H180, NewEmisData!$D:$D, EH$6)</f>
        <v>0.134094847635195</v>
      </c>
      <c r="EI180" s="1111">
        <f>SUMIFS(NewEmisData!M:M, NewEmisData!$A:$A, $G180, NewEmisData!$B:$B, $A180, NewEmisData!$C:$C, $H180, NewEmisData!$D:$D, EI$6)</f>
        <v>0.13400465943828599</v>
      </c>
      <c r="EJ180" s="1111">
        <f t="shared" si="256"/>
        <v>0.13400465943828599</v>
      </c>
      <c r="EK180" s="1111">
        <f t="shared" si="257"/>
        <v>1336.71780257008</v>
      </c>
      <c r="EL180" s="1111">
        <f t="shared" si="269"/>
        <v>1336.71780257008</v>
      </c>
      <c r="EM180" s="1111">
        <f t="shared" si="270"/>
        <v>1334.1180611544301</v>
      </c>
      <c r="EN180" s="1111">
        <f t="shared" si="271"/>
        <v>1445.04089230315</v>
      </c>
      <c r="EO180" s="1111">
        <f t="shared" si="272"/>
        <v>1394.56782788027</v>
      </c>
      <c r="EP180" s="1111">
        <f t="shared" si="273"/>
        <v>1352.2640605745901</v>
      </c>
      <c r="EQ180" s="1111">
        <f t="shared" si="274"/>
        <v>1337.95858730856</v>
      </c>
      <c r="ER180" s="1111">
        <f t="shared" si="275"/>
        <v>1333.6808792868501</v>
      </c>
      <c r="ES180" s="1111">
        <f t="shared" si="276"/>
        <v>1332.71889531121</v>
      </c>
      <c r="ET180" s="1111">
        <f t="shared" si="277"/>
        <v>1332.4669517233399</v>
      </c>
      <c r="EU180" s="1111">
        <f t="shared" si="278"/>
        <v>1332.4669517233399</v>
      </c>
      <c r="EV180" s="1111">
        <f t="shared" si="258"/>
        <v>8.1159705197746597</v>
      </c>
      <c r="EW180" s="1111">
        <f t="shared" si="259"/>
        <v>8.1159705197746597</v>
      </c>
      <c r="EX180" s="1111">
        <f t="shared" si="260"/>
        <v>4.1902678747381499</v>
      </c>
      <c r="EY180" s="1111">
        <f t="shared" si="261"/>
        <v>2.9831671777909299</v>
      </c>
      <c r="EZ180" s="1111">
        <f t="shared" si="262"/>
        <v>1.79071707308598</v>
      </c>
      <c r="FA180" s="1111">
        <f t="shared" si="263"/>
        <v>1.29214834991715</v>
      </c>
      <c r="FB180" s="1111">
        <f t="shared" si="264"/>
        <v>1.1297597092685201</v>
      </c>
      <c r="FC180" s="1111">
        <f t="shared" si="265"/>
        <v>1.07869334628427</v>
      </c>
      <c r="FD180" s="1111">
        <f t="shared" si="266"/>
        <v>1.0710961293157399</v>
      </c>
      <c r="FE180" s="1111">
        <f t="shared" si="267"/>
        <v>1.06853485047457</v>
      </c>
      <c r="FF180" s="1111">
        <f t="shared" si="268"/>
        <v>1.06853485047457</v>
      </c>
      <c r="FG180" s="1111">
        <f t="shared" si="193"/>
        <v>3.2903787292919401E-2</v>
      </c>
      <c r="FH180" s="1111">
        <f t="shared" si="194"/>
        <v>3.2903787292919401E-2</v>
      </c>
      <c r="FI180" s="1111">
        <f t="shared" si="195"/>
        <v>3.1887226466035201E-2</v>
      </c>
      <c r="FJ180" s="1111">
        <f t="shared" si="196"/>
        <v>1.2151036280147199E-2</v>
      </c>
      <c r="FK180" s="1111">
        <f t="shared" si="197"/>
        <v>1.16575948327503E-2</v>
      </c>
      <c r="FL180" s="1111">
        <f t="shared" si="198"/>
        <v>1.12807608208042E-2</v>
      </c>
      <c r="FM180" s="1111">
        <f t="shared" si="199"/>
        <v>1.11563832836782E-2</v>
      </c>
      <c r="FN180" s="1111">
        <f t="shared" si="200"/>
        <v>1.11190596779358E-2</v>
      </c>
      <c r="FO180" s="1111">
        <f t="shared" si="201"/>
        <v>1.1111041090770501E-2</v>
      </c>
      <c r="FP180" s="1111">
        <f t="shared" si="202"/>
        <v>1.11089391742305E-2</v>
      </c>
      <c r="FQ180" s="1111">
        <f t="shared" si="203"/>
        <v>1.11089391742305E-2</v>
      </c>
      <c r="FR180" s="1111">
        <f t="shared" si="230"/>
        <v>0.75470063690720102</v>
      </c>
      <c r="FS180" s="1111">
        <f t="shared" si="231"/>
        <v>0.75470063690720102</v>
      </c>
      <c r="FT180" s="1111">
        <f t="shared" si="232"/>
        <v>0.41452815930639098</v>
      </c>
      <c r="FU180" s="1111">
        <f t="shared" si="233"/>
        <v>0.32175493237955199</v>
      </c>
      <c r="FV180" s="1111">
        <f t="shared" si="234"/>
        <v>0.25352921702854198</v>
      </c>
      <c r="FW180" s="1111">
        <f t="shared" si="235"/>
        <v>0.23028919647026699</v>
      </c>
      <c r="FX180" s="1111">
        <f t="shared" si="236"/>
        <v>0.22584791810744101</v>
      </c>
      <c r="FY180" s="1111">
        <f t="shared" si="237"/>
        <v>0.22452045938839199</v>
      </c>
      <c r="FZ180" s="1111">
        <f t="shared" si="238"/>
        <v>0.22450852256822901</v>
      </c>
      <c r="GA180" s="1111">
        <f t="shared" si="239"/>
        <v>0.22450708090135699</v>
      </c>
      <c r="GB180" s="1111">
        <f t="shared" si="240"/>
        <v>0.22450708090135699</v>
      </c>
      <c r="GC180" s="1111">
        <f t="shared" si="279"/>
        <v>0.55462986472983</v>
      </c>
      <c r="GD180" s="1111">
        <f t="shared" si="280"/>
        <v>0.55462986472983</v>
      </c>
      <c r="GE180" s="1111">
        <f t="shared" si="281"/>
        <v>0.24248413763726101</v>
      </c>
      <c r="GF180" s="1111">
        <f t="shared" si="282"/>
        <v>0.134184167736455</v>
      </c>
      <c r="GG180" s="1111">
        <f t="shared" si="283"/>
        <v>7.2197035661159606E-2</v>
      </c>
      <c r="GH180" s="1111">
        <f t="shared" si="284"/>
        <v>5.1049978127363498E-2</v>
      </c>
      <c r="GI180" s="1111">
        <f t="shared" si="285"/>
        <v>4.7030670986268203E-2</v>
      </c>
      <c r="GJ180" s="1111">
        <f t="shared" si="286"/>
        <v>4.5825605278403299E-2</v>
      </c>
      <c r="GK180" s="1111">
        <f t="shared" si="287"/>
        <v>4.58177973162801E-2</v>
      </c>
      <c r="GL180" s="1111">
        <f t="shared" si="288"/>
        <v>4.5816229295905703E-2</v>
      </c>
      <c r="GM180" s="1111">
        <f t="shared" si="289"/>
        <v>4.5816229295905703E-2</v>
      </c>
    </row>
    <row r="181" spans="1:195" x14ac:dyDescent="0.2">
      <c r="A181" s="1071" t="s">
        <v>182</v>
      </c>
      <c r="B181" s="1071" t="str">
        <f>Technologies!C119</f>
        <v>TMDSLC</v>
      </c>
      <c r="C181" s="1071" t="str">
        <f>Technologies!D119</f>
        <v>Medium Duty Truck, Conventional Diesel</v>
      </c>
      <c r="D181" s="1071" t="str">
        <f>NewTech!D71</f>
        <v>bn-vmt, bn-vmt/a</v>
      </c>
      <c r="E181" s="1071" t="str">
        <f>NewTech!E72</f>
        <v>TMDSL</v>
      </c>
      <c r="F181" s="1071" t="str">
        <f>NewTech!F72</f>
        <v>TM</v>
      </c>
      <c r="G181" s="1110" t="s">
        <v>503</v>
      </c>
      <c r="H181" s="1110" t="s">
        <v>499</v>
      </c>
      <c r="I181" s="1112">
        <v>1</v>
      </c>
      <c r="J181" s="1111" t="str">
        <f t="shared" si="37"/>
        <v>Medium duty-DSL</v>
      </c>
      <c r="K181" s="1111">
        <f>SUMIFS(NewEmisData!E:E, NewEmisData!$A:$A, $G181, NewEmisData!$B:$B, $A181, NewEmisData!$C:$C, $H181, NewEmisData!$D:$D, K$6)</f>
        <v>1391.2693302299499</v>
      </c>
      <c r="L181" s="1111">
        <f>SUMIFS(NewEmisData!F:F, NewEmisData!$A:$A, $G181, NewEmisData!$B:$B, $A181, NewEmisData!$C:$C, $H181, NewEmisData!$D:$D, L$6)</f>
        <v>1387.81700695984</v>
      </c>
      <c r="M181" s="1111">
        <f>SUMIFS(NewEmisData!G:G, NewEmisData!$A:$A, $G181, NewEmisData!$B:$B, $A181, NewEmisData!$C:$C, $H181, NewEmisData!$D:$D, M$6)</f>
        <v>1800.2870719201501</v>
      </c>
      <c r="N181" s="1111">
        <f>SUMIFS(NewEmisData!H:H, NewEmisData!$A:$A, $G181, NewEmisData!$B:$B, $A181, NewEmisData!$C:$C, $H181, NewEmisData!$D:$D, N$6)</f>
        <v>1737.4132368119399</v>
      </c>
      <c r="O181" s="1111">
        <f>SUMIFS(NewEmisData!I:I, NewEmisData!$A:$A, $G181, NewEmisData!$B:$B, $A181, NewEmisData!$C:$C, $H181, NewEmisData!$D:$D, O$6)</f>
        <v>1684.8867050016099</v>
      </c>
      <c r="P181" s="1111">
        <f>SUMIFS(NewEmisData!J:J, NewEmisData!$A:$A, $G181, NewEmisData!$B:$B, $A181, NewEmisData!$C:$C, $H181, NewEmisData!$D:$D, P$6)</f>
        <v>1667.30888418872</v>
      </c>
      <c r="Q181" s="1111">
        <f>SUMIFS(NewEmisData!K:K, NewEmisData!$A:$A, $G181, NewEmisData!$B:$B, $A181, NewEmisData!$C:$C, $H181, NewEmisData!$D:$D, Q$6)</f>
        <v>1662.1204635085701</v>
      </c>
      <c r="R181" s="1111">
        <f>SUMIFS(NewEmisData!L:L, NewEmisData!$A:$A, $G181, NewEmisData!$B:$B, $A181, NewEmisData!$C:$C, $H181, NewEmisData!$D:$D, R$6)</f>
        <v>1660.97957279301</v>
      </c>
      <c r="S181" s="1111">
        <f>SUMIFS(NewEmisData!M:M, NewEmisData!$A:$A, $G181, NewEmisData!$B:$B, $A181, NewEmisData!$C:$C, $H181, NewEmisData!$D:$D, S$6)</f>
        <v>1660.69684286644</v>
      </c>
      <c r="T181" s="1111">
        <f t="shared" si="290"/>
        <v>1660.69684286644</v>
      </c>
      <c r="U181" s="1111">
        <f>SUMIFS(NewEmisData!E:E, NewEmisData!$A:$A, $G181, NewEmisData!$B:$B, $A181, NewEmisData!$C:$C, $H181, NewEmisData!$D:$D, U$6)</f>
        <v>9.0067562467577496</v>
      </c>
      <c r="V181" s="1111">
        <f>SUMIFS(NewEmisData!F:F, NewEmisData!$A:$A, $G181, NewEmisData!$B:$B, $A181, NewEmisData!$C:$C, $H181, NewEmisData!$D:$D, V$6)</f>
        <v>4.6343833495392097</v>
      </c>
      <c r="W181" s="1111">
        <f>SUMIFS(NewEmisData!G:G, NewEmisData!$A:$A, $G181, NewEmisData!$B:$B, $A181, NewEmisData!$C:$C, $H181, NewEmisData!$D:$D, W$6)</f>
        <v>3.60142958602064</v>
      </c>
      <c r="X181" s="1111">
        <f>SUMIFS(NewEmisData!H:H, NewEmisData!$A:$A, $G181, NewEmisData!$B:$B, $A181, NewEmisData!$C:$C, $H181, NewEmisData!$D:$D, X$6)</f>
        <v>2.1043869634005898</v>
      </c>
      <c r="Y181" s="1111">
        <f>SUMIFS(NewEmisData!I:I, NewEmisData!$A:$A, $G181, NewEmisData!$B:$B, $A181, NewEmisData!$C:$C, $H181, NewEmisData!$D:$D, Y$6)</f>
        <v>1.48367214909245</v>
      </c>
      <c r="Z181" s="1111">
        <f>SUMIFS(NewEmisData!J:J, NewEmisData!$A:$A, $G181, NewEmisData!$B:$B, $A181, NewEmisData!$C:$C, $H181, NewEmisData!$D:$D, Z$6)</f>
        <v>1.28531680721516</v>
      </c>
      <c r="AA181" s="1111">
        <f>SUMIFS(NewEmisData!K:K, NewEmisData!$A:$A, $G181, NewEmisData!$B:$B, $A181, NewEmisData!$C:$C, $H181, NewEmisData!$D:$D, AA$6)</f>
        <v>1.2244614015544699</v>
      </c>
      <c r="AB181" s="1111">
        <f>SUMIFS(NewEmisData!L:L, NewEmisData!$A:$A, $G181, NewEmisData!$B:$B, $A181, NewEmisData!$C:$C, $H181, NewEmisData!$D:$D, AB$6)</f>
        <v>1.2160626918277799</v>
      </c>
      <c r="AC181" s="1111">
        <f>SUMIFS(NewEmisData!M:M, NewEmisData!$A:$A, $G181, NewEmisData!$B:$B, $A181, NewEmisData!$C:$C, $H181, NewEmisData!$D:$D, AC$6)</f>
        <v>1.2135584327019699</v>
      </c>
      <c r="AD181" s="1111">
        <f t="shared" si="229"/>
        <v>1.2135584327019699</v>
      </c>
      <c r="AE181" s="1111">
        <f t="shared" si="241"/>
        <v>3.4517378580972299E-2</v>
      </c>
      <c r="AF181" s="1111">
        <f>SUMIFS(NewEmisData!E:E, NewEmisData!$A:$A, $G181, NewEmisData!$B:$B, $A181, NewEmisData!$C:$C, $H181, NewEmisData!$D:$D, AF$6)</f>
        <v>3.4517378580972299E-2</v>
      </c>
      <c r="AG181" s="1111">
        <f>SUMIFS(NewEmisData!F:F, NewEmisData!$A:$A, $G181, NewEmisData!$B:$B, $A181, NewEmisData!$C:$C, $H181, NewEmisData!$D:$D, AG$6)</f>
        <v>3.32138510088891E-2</v>
      </c>
      <c r="AH181" s="1111">
        <f>SUMIFS(NewEmisData!G:G, NewEmisData!$A:$A, $G181, NewEmisData!$B:$B, $A181, NewEmisData!$C:$C, $H181, NewEmisData!$D:$D, AH$6)</f>
        <v>1.51370239918269E-2</v>
      </c>
      <c r="AI181" s="1111">
        <f>SUMIFS(NewEmisData!H:H, NewEmisData!$A:$A, $G181, NewEmisData!$B:$B, $A181, NewEmisData!$C:$C, $H181, NewEmisData!$D:$D, AI$6)</f>
        <v>1.4522910664903899E-2</v>
      </c>
      <c r="AJ181" s="1111">
        <f>SUMIFS(NewEmisData!I:I, NewEmisData!$A:$A, $G181, NewEmisData!$B:$B, $A181, NewEmisData!$C:$C, $H181, NewEmisData!$D:$D, AJ$6)</f>
        <v>1.4055280493155501E-2</v>
      </c>
      <c r="AK181" s="1111">
        <f>SUMIFS(NewEmisData!J:J, NewEmisData!$A:$A, $G181, NewEmisData!$B:$B, $A181, NewEmisData!$C:$C, $H181, NewEmisData!$D:$D, AK$6)</f>
        <v>1.39025233464321E-2</v>
      </c>
      <c r="AL181" s="1111">
        <f>SUMIFS(NewEmisData!K:K, NewEmisData!$A:$A, $G181, NewEmisData!$B:$B, $A181, NewEmisData!$C:$C, $H181, NewEmisData!$D:$D, AL$6)</f>
        <v>1.3857298595630599E-2</v>
      </c>
      <c r="AM181" s="1111">
        <f>SUMIFS(NewEmisData!L:L, NewEmisData!$A:$A, $G181, NewEmisData!$B:$B, $A181, NewEmisData!$C:$C, $H181, NewEmisData!$D:$D, AM$6)</f>
        <v>1.3847788543629599E-2</v>
      </c>
      <c r="AN181" s="1111">
        <f>SUMIFS(NewEmisData!M:M, NewEmisData!$A:$A, $G181, NewEmisData!$B:$B, $A181, NewEmisData!$C:$C, $H181, NewEmisData!$D:$D, AN$6)</f>
        <v>1.38454338903831E-2</v>
      </c>
      <c r="AO181" s="1111">
        <f t="shared" si="242"/>
        <v>1.38454338903831E-2</v>
      </c>
      <c r="AP181" s="1111">
        <f t="shared" si="243"/>
        <v>0.88280589948548305</v>
      </c>
      <c r="AQ181" s="1111">
        <f>SUMIFS(NewEmisData!E:E, NewEmisData!$A:$A, $G181, NewEmisData!$B:$B, $A181, NewEmisData!$C:$C, $H181, NewEmisData!$D:$D, AQ$6)</f>
        <v>0.88280589948548305</v>
      </c>
      <c r="AR181" s="1111">
        <f>SUMIFS(NewEmisData!F:F, NewEmisData!$A:$A, $G181, NewEmisData!$B:$B, $A181, NewEmisData!$C:$C, $H181, NewEmisData!$D:$D, AR$6)</f>
        <v>0.45831592934321902</v>
      </c>
      <c r="AS181" s="1111">
        <f>SUMIFS(NewEmisData!G:G, NewEmisData!$A:$A, $G181, NewEmisData!$B:$B, $A181, NewEmisData!$C:$C, $H181, NewEmisData!$D:$D, AS$6)</f>
        <v>0.43734131963468098</v>
      </c>
      <c r="AT181" s="1111">
        <f>SUMIFS(NewEmisData!H:H, NewEmisData!$A:$A, $G181, NewEmisData!$B:$B, $A181, NewEmisData!$C:$C, $H181, NewEmisData!$D:$D, AT$6)</f>
        <v>0.34967637389988199</v>
      </c>
      <c r="AU181" s="1111">
        <f>SUMIFS(NewEmisData!I:I, NewEmisData!$A:$A, $G181, NewEmisData!$B:$B, $A181, NewEmisData!$C:$C, $H181, NewEmisData!$D:$D, AU$6)</f>
        <v>0.31983162808126298</v>
      </c>
      <c r="AV181" s="1111">
        <f>SUMIFS(NewEmisData!J:J, NewEmisData!$A:$A, $G181, NewEmisData!$B:$B, $A181, NewEmisData!$C:$C, $H181, NewEmisData!$D:$D, AV$6)</f>
        <v>0.31421718315917302</v>
      </c>
      <c r="AW181" s="1111">
        <f>SUMIFS(NewEmisData!K:K, NewEmisData!$A:$A, $G181, NewEmisData!$B:$B, $A181, NewEmisData!$C:$C, $H181, NewEmisData!$D:$D, AW$6)</f>
        <v>0.31256016773955603</v>
      </c>
      <c r="AX181" s="1111">
        <f>SUMIFS(NewEmisData!L:L, NewEmisData!$A:$A, $G181, NewEmisData!$B:$B, $A181, NewEmisData!$C:$C, $H181, NewEmisData!$D:$D, AX$6)</f>
        <v>0.31254542006524799</v>
      </c>
      <c r="AY181" s="1111">
        <f>SUMIFS(NewEmisData!M:M, NewEmisData!$A:$A, $G181, NewEmisData!$B:$B, $A181, NewEmisData!$C:$C, $H181, NewEmisData!$D:$D, AY$6)</f>
        <v>0.31254401073163601</v>
      </c>
      <c r="AZ181" s="1111">
        <f t="shared" si="244"/>
        <v>0.31254401073163601</v>
      </c>
      <c r="BA181" s="1111">
        <f t="shared" si="245"/>
        <v>0.66102414887226102</v>
      </c>
      <c r="BB181" s="1111">
        <f>SUMIFS(NewEmisData!E:E, NewEmisData!$A:$A, $G181, NewEmisData!$B:$B, $A181, NewEmisData!$C:$C, $H181, NewEmisData!$D:$D, BB$6)</f>
        <v>0.66102414887226102</v>
      </c>
      <c r="BC181" s="1111">
        <f>SUMIFS(NewEmisData!F:F, NewEmisData!$A:$A, $G181, NewEmisData!$B:$B, $A181, NewEmisData!$C:$C, $H181, NewEmisData!$D:$D, BC$6)</f>
        <v>0.27087694461251399</v>
      </c>
      <c r="BD181" s="1111">
        <f>SUMIFS(NewEmisData!G:G, NewEmisData!$A:$A, $G181, NewEmisData!$B:$B, $A181, NewEmisData!$C:$C, $H181, NewEmisData!$D:$D, BD$6)</f>
        <v>0.174468170082518</v>
      </c>
      <c r="BE181" s="1111">
        <f>SUMIFS(NewEmisData!H:H, NewEmisData!$A:$A, $G181, NewEmisData!$B:$B, $A181, NewEmisData!$C:$C, $H181, NewEmisData!$D:$D, BE$6)</f>
        <v>9.4926362989927404E-2</v>
      </c>
      <c r="BF181" s="1111">
        <f>SUMIFS(NewEmisData!I:I, NewEmisData!$A:$A, $G181, NewEmisData!$B:$B, $A181, NewEmisData!$C:$C, $H181, NewEmisData!$D:$D, BF$6)</f>
        <v>6.7801817056445293E-2</v>
      </c>
      <c r="BG181" s="1111">
        <f>SUMIFS(NewEmisData!J:J, NewEmisData!$A:$A, $G181, NewEmisData!$B:$B, $A181, NewEmisData!$C:$C, $H181, NewEmisData!$D:$D, BG$6)</f>
        <v>6.2731413619129706E-2</v>
      </c>
      <c r="BH181" s="1111">
        <f>SUMIFS(NewEmisData!K:K, NewEmisData!$A:$A, $G181, NewEmisData!$B:$B, $A181, NewEmisData!$C:$C, $H181, NewEmisData!$D:$D, BH$6)</f>
        <v>6.1230033876524703E-2</v>
      </c>
      <c r="BI181" s="1111">
        <f>SUMIFS(NewEmisData!L:L, NewEmisData!$A:$A, $G181, NewEmisData!$B:$B, $A181, NewEmisData!$C:$C, $H181, NewEmisData!$D:$D, BI$6)</f>
        <v>6.1220848871463299E-2</v>
      </c>
      <c r="BJ181" s="1111">
        <f>SUMIFS(NewEmisData!M:M, NewEmisData!$A:$A, $G181, NewEmisData!$B:$B, $A181, NewEmisData!$C:$C, $H181, NewEmisData!$D:$D, BJ$6)</f>
        <v>6.1219393619074997E-2</v>
      </c>
      <c r="BK181" s="1111">
        <f t="shared" si="246"/>
        <v>6.1219393619074997E-2</v>
      </c>
      <c r="BL181" s="1111">
        <f t="shared" si="247"/>
        <v>4.1982176614759501</v>
      </c>
      <c r="BM181" s="1111">
        <f>SUMIFS(NewEmisData!E:E, NewEmisData!$A:$A, $G181, NewEmisData!$B:$B, $A181, NewEmisData!$C:$C, $H181, NewEmisData!$D:$D, BM$6)</f>
        <v>4.1982176614759501</v>
      </c>
      <c r="BN181" s="1111">
        <f>SUMIFS(NewEmisData!F:F, NewEmisData!$A:$A, $G181, NewEmisData!$B:$B, $A181, NewEmisData!$C:$C, $H181, NewEmisData!$D:$D, BN$6)</f>
        <v>1.9296051000849399</v>
      </c>
      <c r="BO181" s="1111">
        <f>SUMIFS(NewEmisData!G:G, NewEmisData!$A:$A, $G181, NewEmisData!$B:$B, $A181, NewEmisData!$C:$C, $H181, NewEmisData!$D:$D, BO$6)</f>
        <v>1.40672397416939</v>
      </c>
      <c r="BP181" s="1111">
        <f>SUMIFS(NewEmisData!H:H, NewEmisData!$A:$A, $G181, NewEmisData!$B:$B, $A181, NewEmisData!$C:$C, $H181, NewEmisData!$D:$D, BP$6)</f>
        <v>0.88467467852096004</v>
      </c>
      <c r="BQ181" s="1111">
        <f>SUMIFS(NewEmisData!I:I, NewEmisData!$A:$A, $G181, NewEmisData!$B:$B, $A181, NewEmisData!$C:$C, $H181, NewEmisData!$D:$D, BQ$6)</f>
        <v>0.71808621559357599</v>
      </c>
      <c r="BR181" s="1111">
        <f>SUMIFS(NewEmisData!J:J, NewEmisData!$A:$A, $G181, NewEmisData!$B:$B, $A181, NewEmisData!$C:$C, $H181, NewEmisData!$D:$D, BR$6)</f>
        <v>0.67933532556158505</v>
      </c>
      <c r="BS181" s="1111">
        <f>SUMIFS(NewEmisData!K:K, NewEmisData!$A:$A, $G181, NewEmisData!$B:$B, $A181, NewEmisData!$C:$C, $H181, NewEmisData!$D:$D, BS$6)</f>
        <v>0.66869245935522403</v>
      </c>
      <c r="BT181" s="1111">
        <f>SUMIFS(NewEmisData!L:L, NewEmisData!$A:$A, $G181, NewEmisData!$B:$B, $A181, NewEmisData!$C:$C, $H181, NewEmisData!$D:$D, BT$6)</f>
        <v>0.66846478756515504</v>
      </c>
      <c r="BU181" s="1111">
        <f>SUMIFS(NewEmisData!M:M, NewEmisData!$A:$A, $G181, NewEmisData!$B:$B, $A181, NewEmisData!$C:$C, $H181, NewEmisData!$D:$D, BU$6)</f>
        <v>0.66834592579461805</v>
      </c>
      <c r="BV181" s="1111">
        <f t="shared" si="248"/>
        <v>0.66834592579461805</v>
      </c>
      <c r="BW181" s="1111">
        <f t="shared" si="249"/>
        <v>1.6997416060402699</v>
      </c>
      <c r="BX181" s="1111">
        <f>SUMIFS(NewEmisData!E:E, NewEmisData!$A:$A, $G181, NewEmisData!$B:$B, $A181, NewEmisData!$C:$C, $H181, NewEmisData!$D:$D, BX$6)</f>
        <v>1.6997416060402699</v>
      </c>
      <c r="BY181" s="1111">
        <f>SUMIFS(NewEmisData!F:F, NewEmisData!$A:$A, $G181, NewEmisData!$B:$B, $A181, NewEmisData!$C:$C, $H181, NewEmisData!$D:$D, BY$6)</f>
        <v>0.68631415040974197</v>
      </c>
      <c r="BZ181" s="1111">
        <f>SUMIFS(NewEmisData!G:G, NewEmisData!$A:$A, $G181, NewEmisData!$B:$B, $A181, NewEmisData!$C:$C, $H181, NewEmisData!$D:$D, BZ$6)</f>
        <v>0.48115827096559399</v>
      </c>
      <c r="CA181" s="1111">
        <f>SUMIFS(NewEmisData!H:H, NewEmisData!$A:$A, $G181, NewEmisData!$B:$B, $A181, NewEmisData!$C:$C, $H181, NewEmisData!$D:$D, CA$6)</f>
        <v>0.25065156408387401</v>
      </c>
      <c r="CB181" s="1111">
        <f>SUMIFS(NewEmisData!I:I, NewEmisData!$A:$A, $G181, NewEmisData!$B:$B, $A181, NewEmisData!$C:$C, $H181, NewEmisData!$D:$D, CB$6)</f>
        <v>0.17921885955178801</v>
      </c>
      <c r="CC181" s="1111">
        <f>SUMIFS(NewEmisData!J:J, NewEmisData!$A:$A, $G181, NewEmisData!$B:$B, $A181, NewEmisData!$C:$C, $H181, NewEmisData!$D:$D, CC$6)</f>
        <v>0.16195369632512899</v>
      </c>
      <c r="CD181" s="1111">
        <f>SUMIFS(NewEmisData!K:K, NewEmisData!$A:$A, $G181, NewEmisData!$B:$B, $A181, NewEmisData!$C:$C, $H181, NewEmisData!$D:$D, CD$6)</f>
        <v>0.15740433242174701</v>
      </c>
      <c r="CE181" s="1111">
        <f>SUMIFS(NewEmisData!L:L, NewEmisData!$A:$A, $G181, NewEmisData!$B:$B, $A181, NewEmisData!$C:$C, $H181, NewEmisData!$D:$D, CE$6)</f>
        <v>0.157307785457242</v>
      </c>
      <c r="CF181" s="1111">
        <f>SUMIFS(NewEmisData!M:M, NewEmisData!$A:$A, $G181, NewEmisData!$B:$B, $A181, NewEmisData!$C:$C, $H181, NewEmisData!$D:$D, CF$6)</f>
        <v>0.15725203081084399</v>
      </c>
      <c r="CG181" s="1111">
        <f t="shared" si="250"/>
        <v>0.15725203081084399</v>
      </c>
      <c r="CH181" s="1111">
        <f t="shared" si="251"/>
        <v>2.7231476481759501E-2</v>
      </c>
      <c r="CI181" s="1111">
        <f>SUMIFS(NewEmisData!E:E, NewEmisData!$A:$A, $G181, NewEmisData!$B:$B, $A181, NewEmisData!$C:$C, $H181, NewEmisData!$D:$D, CI$6)</f>
        <v>2.7231476481759501E-2</v>
      </c>
      <c r="CJ181" s="1111">
        <f>SUMIFS(NewEmisData!F:F, NewEmisData!$A:$A, $G181, NewEmisData!$B:$B, $A181, NewEmisData!$C:$C, $H181, NewEmisData!$D:$D, CJ$6)</f>
        <v>2.7231505502351299E-2</v>
      </c>
      <c r="CK181" s="1111">
        <f>SUMIFS(NewEmisData!G:G, NewEmisData!$A:$A, $G181, NewEmisData!$B:$B, $A181, NewEmisData!$C:$C, $H181, NewEmisData!$D:$D, CK$6)</f>
        <v>3.75087111104635E-2</v>
      </c>
      <c r="CL181" s="1111">
        <f>SUMIFS(NewEmisData!H:H, NewEmisData!$A:$A, $G181, NewEmisData!$B:$B, $A181, NewEmisData!$C:$C, $H181, NewEmisData!$D:$D, CL$6)</f>
        <v>3.7508856064657703E-2</v>
      </c>
      <c r="CM181" s="1111">
        <f>SUMIFS(NewEmisData!I:I, NewEmisData!$A:$A, $G181, NewEmisData!$B:$B, $A181, NewEmisData!$C:$C, $H181, NewEmisData!$D:$D, CM$6)</f>
        <v>3.7508894115090098E-2</v>
      </c>
      <c r="CN181" s="1111">
        <f>SUMIFS(NewEmisData!J:J, NewEmisData!$A:$A, $G181, NewEmisData!$B:$B, $A181, NewEmisData!$C:$C, $H181, NewEmisData!$D:$D, CN$6)</f>
        <v>3.75089026268779E-2</v>
      </c>
      <c r="CO181" s="1111">
        <f>SUMIFS(NewEmisData!K:K, NewEmisData!$A:$A, $G181, NewEmisData!$B:$B, $A181, NewEmisData!$C:$C, $H181, NewEmisData!$D:$D, CO$6)</f>
        <v>3.7508908078082499E-2</v>
      </c>
      <c r="CP181" s="1111">
        <f>SUMIFS(NewEmisData!L:L, NewEmisData!$A:$A, $G181, NewEmisData!$B:$B, $A181, NewEmisData!$C:$C, $H181, NewEmisData!$D:$D, CP$6)</f>
        <v>3.7508933890185198E-2</v>
      </c>
      <c r="CQ181" s="1111">
        <f>SUMIFS(NewEmisData!M:M, NewEmisData!$A:$A, $G181, NewEmisData!$B:$B, $A181, NewEmisData!$C:$C, $H181, NewEmisData!$D:$D, CQ$6)</f>
        <v>3.7508933881412299E-2</v>
      </c>
      <c r="CR181" s="1111">
        <f t="shared" si="252"/>
        <v>3.7508933881412299E-2</v>
      </c>
      <c r="CS181" s="1111">
        <f t="shared" si="253"/>
        <v>4.4439718651325903E-3</v>
      </c>
      <c r="CT181" s="1111">
        <f>SUMIFS(NewEmisData!E:E, NewEmisData!$A:$A, $G181, NewEmisData!$B:$B, $A181, NewEmisData!$C:$C, $H181, NewEmisData!$D:$D, CT$6)</f>
        <v>4.4439718651325903E-3</v>
      </c>
      <c r="CU181" s="1111">
        <f>SUMIFS(NewEmisData!F:F, NewEmisData!$A:$A, $G181, NewEmisData!$B:$B, $A181, NewEmisData!$C:$C, $H181, NewEmisData!$D:$D, CU$6)</f>
        <v>4.4840826707910003E-3</v>
      </c>
      <c r="CV181" s="1111">
        <f>SUMIFS(NewEmisData!G:G, NewEmisData!$A:$A, $G181, NewEmisData!$B:$B, $A181, NewEmisData!$C:$C, $H181, NewEmisData!$D:$D, CV$6)</f>
        <v>7.1142816082060099E-3</v>
      </c>
      <c r="CW181" s="1111">
        <f>SUMIFS(NewEmisData!H:H, NewEmisData!$A:$A, $G181, NewEmisData!$B:$B, $A181, NewEmisData!$C:$C, $H181, NewEmisData!$D:$D, CW$6)</f>
        <v>7.1281607170090603E-3</v>
      </c>
      <c r="CX181" s="1111">
        <f>SUMIFS(NewEmisData!I:I, NewEmisData!$A:$A, $G181, NewEmisData!$B:$B, $A181, NewEmisData!$C:$C, $H181, NewEmisData!$D:$D, CX$6)</f>
        <v>7.1288471049868697E-3</v>
      </c>
      <c r="CY181" s="1111">
        <f>SUMIFS(NewEmisData!J:J, NewEmisData!$A:$A, $G181, NewEmisData!$B:$B, $A181, NewEmisData!$C:$C, $H181, NewEmisData!$D:$D, CY$6)</f>
        <v>7.1224443338730398E-3</v>
      </c>
      <c r="CZ181" s="1111">
        <f>SUMIFS(NewEmisData!K:K, NewEmisData!$A:$A, $G181, NewEmisData!$B:$B, $A181, NewEmisData!$C:$C, $H181, NewEmisData!$D:$D, CZ$6)</f>
        <v>7.1174224218484104E-3</v>
      </c>
      <c r="DA181" s="1111">
        <f>SUMIFS(NewEmisData!L:L, NewEmisData!$A:$A, $G181, NewEmisData!$B:$B, $A181, NewEmisData!$C:$C, $H181, NewEmisData!$D:$D, DA$6)</f>
        <v>7.1156639835745503E-3</v>
      </c>
      <c r="DB181" s="1111">
        <f>SUMIFS(NewEmisData!M:M, NewEmisData!$A:$A, $G181, NewEmisData!$B:$B, $A181, NewEmisData!$C:$C, $H181, NewEmisData!$D:$D, DB$6)</f>
        <v>7.1143751431365504E-3</v>
      </c>
      <c r="DC181" s="1111">
        <f t="shared" si="254"/>
        <v>7.1143751431365504E-3</v>
      </c>
      <c r="DD181" s="1111">
        <v>0.27590359730377301</v>
      </c>
      <c r="DE181" s="1111">
        <v>0.16653461328025448</v>
      </c>
      <c r="DF181" s="1111">
        <v>7.0634013441740542E-2</v>
      </c>
      <c r="DG181" s="1111">
        <v>1.3465185741622277E-2</v>
      </c>
      <c r="DH181" s="1111">
        <v>1.3335902123626415E-3</v>
      </c>
      <c r="DI181" s="1111">
        <v>1.3333236123730993E-3</v>
      </c>
      <c r="DJ181" s="1111">
        <v>1.3411440493973604E-3</v>
      </c>
      <c r="DK181" s="1111">
        <v>1.346119573497251E-3</v>
      </c>
      <c r="DL181" s="1111">
        <v>1.34972147341348E-3</v>
      </c>
      <c r="DM181" s="1111">
        <v>1.3526876874025272E-3</v>
      </c>
      <c r="DN181" s="1111">
        <v>1.3526876874025272E-3</v>
      </c>
      <c r="DO181" s="1111">
        <v>0.25015732774214966</v>
      </c>
      <c r="DP181" s="1111">
        <v>0.16091587537237781</v>
      </c>
      <c r="DQ181" s="1111">
        <v>6.8950819100028288E-2</v>
      </c>
      <c r="DR181" s="1111">
        <v>1.3786722456098304E-2</v>
      </c>
      <c r="DS181" s="1111">
        <v>2.3415945439152265E-3</v>
      </c>
      <c r="DT181" s="1111">
        <v>2.3424752868533771E-3</v>
      </c>
      <c r="DU181" s="1111">
        <v>2.3572496284837057E-3</v>
      </c>
      <c r="DV181" s="1111">
        <v>2.366615384585016E-3</v>
      </c>
      <c r="DW181" s="1111">
        <v>2.3732649800659884E-3</v>
      </c>
      <c r="DX181" s="1111">
        <v>2.3787745892213E-3</v>
      </c>
      <c r="DY181" s="1111">
        <v>2.3787745892213E-3</v>
      </c>
      <c r="DZ181" s="1111">
        <f t="shared" si="255"/>
        <v>2.2941775537169001E-2</v>
      </c>
      <c r="EA181" s="1111">
        <f>SUMIFS(NewEmisData!E:E, NewEmisData!$A:$A, $G181, NewEmisData!$B:$B, $A181, NewEmisData!$C:$C, $H181, NewEmisData!$D:$D, EA$6)</f>
        <v>2.2941775537169001E-2</v>
      </c>
      <c r="EB181" s="1111">
        <f>SUMIFS(NewEmisData!F:F, NewEmisData!$A:$A, $G181, NewEmisData!$B:$B, $A181, NewEmisData!$C:$C, $H181, NewEmisData!$D:$D, EB$6)</f>
        <v>9.3917723641563006E-2</v>
      </c>
      <c r="EC181" s="1111">
        <f>SUMIFS(NewEmisData!G:G, NewEmisData!$A:$A, $G181, NewEmisData!$B:$B, $A181, NewEmisData!$C:$C, $H181, NewEmisData!$D:$D, EC$6)</f>
        <v>0.146461478377578</v>
      </c>
      <c r="ED181" s="1111">
        <f>SUMIFS(NewEmisData!H:H, NewEmisData!$A:$A, $G181, NewEmisData!$B:$B, $A181, NewEmisData!$C:$C, $H181, NewEmisData!$D:$D, ED$6)</f>
        <v>0.14857043025063399</v>
      </c>
      <c r="EE181" s="1111">
        <f>SUMIFS(NewEmisData!I:I, NewEmisData!$A:$A, $G181, NewEmisData!$B:$B, $A181, NewEmisData!$C:$C, $H181, NewEmisData!$D:$D, EE$6)</f>
        <v>0.14921098409112099</v>
      </c>
      <c r="EF181" s="1111">
        <f>SUMIFS(NewEmisData!J:J, NewEmisData!$A:$A, $G181, NewEmisData!$B:$B, $A181, NewEmisData!$C:$C, $H181, NewEmisData!$D:$D, EF$6)</f>
        <v>0.14903391288637999</v>
      </c>
      <c r="EG181" s="1111">
        <f>SUMIFS(NewEmisData!K:K, NewEmisData!$A:$A, $G181, NewEmisData!$B:$B, $A181, NewEmisData!$C:$C, $H181, NewEmisData!$D:$D, EG$6)</f>
        <v>0.149096656781327</v>
      </c>
      <c r="EH181" s="1111">
        <f>SUMIFS(NewEmisData!L:L, NewEmisData!$A:$A, $G181, NewEmisData!$B:$B, $A181, NewEmisData!$C:$C, $H181, NewEmisData!$D:$D, EH$6)</f>
        <v>0.14900669844887601</v>
      </c>
      <c r="EI181" s="1111">
        <f>SUMIFS(NewEmisData!M:M, NewEmisData!$A:$A, $G181, NewEmisData!$B:$B, $A181, NewEmisData!$C:$C, $H181, NewEmisData!$D:$D, EI$6)</f>
        <v>0.14895012544389</v>
      </c>
      <c r="EJ181" s="1111">
        <f t="shared" si="256"/>
        <v>0.14895012544389</v>
      </c>
      <c r="EK181" s="1111">
        <f t="shared" si="257"/>
        <v>1391.2693302299499</v>
      </c>
      <c r="EL181" s="1111">
        <f t="shared" si="269"/>
        <v>1391.2693302299499</v>
      </c>
      <c r="EM181" s="1111">
        <f t="shared" si="270"/>
        <v>1387.81700695984</v>
      </c>
      <c r="EN181" s="1111">
        <f t="shared" si="271"/>
        <v>1800.2870719201501</v>
      </c>
      <c r="EO181" s="1111">
        <f t="shared" si="272"/>
        <v>1737.4132368119399</v>
      </c>
      <c r="EP181" s="1111">
        <f t="shared" si="273"/>
        <v>1684.8867050016099</v>
      </c>
      <c r="EQ181" s="1111">
        <f t="shared" si="274"/>
        <v>1667.30888418872</v>
      </c>
      <c r="ER181" s="1111">
        <f t="shared" si="275"/>
        <v>1662.1204635085701</v>
      </c>
      <c r="ES181" s="1111">
        <f t="shared" si="276"/>
        <v>1660.97957279301</v>
      </c>
      <c r="ET181" s="1111">
        <f t="shared" si="277"/>
        <v>1660.69684286644</v>
      </c>
      <c r="EU181" s="1111">
        <f t="shared" si="278"/>
        <v>1660.69684286644</v>
      </c>
      <c r="EV181" s="1111">
        <f t="shared" si="258"/>
        <v>9.0067562467577496</v>
      </c>
      <c r="EW181" s="1111">
        <f t="shared" si="259"/>
        <v>9.0067562467577496</v>
      </c>
      <c r="EX181" s="1111">
        <f t="shared" si="260"/>
        <v>4.6343833495392097</v>
      </c>
      <c r="EY181" s="1111">
        <f t="shared" si="261"/>
        <v>3.60142958602064</v>
      </c>
      <c r="EZ181" s="1111">
        <f t="shared" si="262"/>
        <v>2.1043869634005898</v>
      </c>
      <c r="FA181" s="1111">
        <f t="shared" si="263"/>
        <v>1.48367214909245</v>
      </c>
      <c r="FB181" s="1111">
        <f t="shared" si="264"/>
        <v>1.28531680721516</v>
      </c>
      <c r="FC181" s="1111">
        <f t="shared" si="265"/>
        <v>1.2244614015544699</v>
      </c>
      <c r="FD181" s="1111">
        <f t="shared" si="266"/>
        <v>1.2160626918277799</v>
      </c>
      <c r="FE181" s="1111">
        <f t="shared" si="267"/>
        <v>1.2135584327019699</v>
      </c>
      <c r="FF181" s="1111">
        <f t="shared" si="268"/>
        <v>1.2135584327019699</v>
      </c>
      <c r="FG181" s="1111">
        <f t="shared" si="193"/>
        <v>3.4517378580972299E-2</v>
      </c>
      <c r="FH181" s="1111">
        <f t="shared" si="194"/>
        <v>3.4517378580972299E-2</v>
      </c>
      <c r="FI181" s="1111">
        <f t="shared" si="195"/>
        <v>3.32138510088891E-2</v>
      </c>
      <c r="FJ181" s="1111">
        <f t="shared" si="196"/>
        <v>1.51370239918269E-2</v>
      </c>
      <c r="FK181" s="1111">
        <f t="shared" si="197"/>
        <v>1.4522910664903899E-2</v>
      </c>
      <c r="FL181" s="1111">
        <f t="shared" si="198"/>
        <v>1.4055280493155501E-2</v>
      </c>
      <c r="FM181" s="1111">
        <f t="shared" si="199"/>
        <v>1.39025233464321E-2</v>
      </c>
      <c r="FN181" s="1111">
        <f t="shared" si="200"/>
        <v>1.3857298595630599E-2</v>
      </c>
      <c r="FO181" s="1111">
        <f t="shared" si="201"/>
        <v>1.3847788543629599E-2</v>
      </c>
      <c r="FP181" s="1111">
        <f t="shared" si="202"/>
        <v>1.38454338903831E-2</v>
      </c>
      <c r="FQ181" s="1111">
        <f t="shared" si="203"/>
        <v>1.38454338903831E-2</v>
      </c>
      <c r="FR181" s="1111">
        <f t="shared" si="230"/>
        <v>0.88280589948548305</v>
      </c>
      <c r="FS181" s="1111">
        <f t="shared" si="231"/>
        <v>0.88280589948548305</v>
      </c>
      <c r="FT181" s="1111">
        <f t="shared" si="232"/>
        <v>0.45831592934321902</v>
      </c>
      <c r="FU181" s="1111">
        <f t="shared" si="233"/>
        <v>0.43734131963468098</v>
      </c>
      <c r="FV181" s="1111">
        <f t="shared" si="234"/>
        <v>0.34967637389988199</v>
      </c>
      <c r="FW181" s="1111">
        <f t="shared" si="235"/>
        <v>0.31983162808126298</v>
      </c>
      <c r="FX181" s="1111">
        <f t="shared" si="236"/>
        <v>0.31421718315917302</v>
      </c>
      <c r="FY181" s="1111">
        <f t="shared" si="237"/>
        <v>0.31256016773955603</v>
      </c>
      <c r="FZ181" s="1111">
        <f t="shared" si="238"/>
        <v>0.31254542006524799</v>
      </c>
      <c r="GA181" s="1111">
        <f t="shared" si="239"/>
        <v>0.31254401073163601</v>
      </c>
      <c r="GB181" s="1111">
        <f t="shared" si="240"/>
        <v>0.31254401073163601</v>
      </c>
      <c r="GC181" s="1111">
        <f t="shared" si="279"/>
        <v>0.66102414887226102</v>
      </c>
      <c r="GD181" s="1111">
        <f t="shared" si="280"/>
        <v>0.66102414887226102</v>
      </c>
      <c r="GE181" s="1111">
        <f t="shared" si="281"/>
        <v>0.27087694461251399</v>
      </c>
      <c r="GF181" s="1111">
        <f t="shared" si="282"/>
        <v>0.174468170082518</v>
      </c>
      <c r="GG181" s="1111">
        <f t="shared" si="283"/>
        <v>9.4926362989927404E-2</v>
      </c>
      <c r="GH181" s="1111">
        <f t="shared" si="284"/>
        <v>6.7801817056445293E-2</v>
      </c>
      <c r="GI181" s="1111">
        <f t="shared" si="285"/>
        <v>6.2731413619129706E-2</v>
      </c>
      <c r="GJ181" s="1111">
        <f t="shared" si="286"/>
        <v>6.1230033876524703E-2</v>
      </c>
      <c r="GK181" s="1111">
        <f t="shared" si="287"/>
        <v>6.1220848871463299E-2</v>
      </c>
      <c r="GL181" s="1111">
        <f t="shared" si="288"/>
        <v>6.1219393619074997E-2</v>
      </c>
      <c r="GM181" s="1111">
        <f t="shared" si="289"/>
        <v>6.1219393619074997E-2</v>
      </c>
    </row>
    <row r="182" spans="1:195" x14ac:dyDescent="0.2">
      <c r="A182" s="1071" t="s">
        <v>184</v>
      </c>
      <c r="B182" s="1071" t="str">
        <f>Technologies!C119</f>
        <v>TMDSLC</v>
      </c>
      <c r="C182" s="1071" t="str">
        <f>Technologies!D119</f>
        <v>Medium Duty Truck, Conventional Diesel</v>
      </c>
      <c r="D182" s="1071" t="str">
        <f>NewTech!D71</f>
        <v>bn-vmt, bn-vmt/a</v>
      </c>
      <c r="E182" s="1071" t="str">
        <f>NewTech!E72</f>
        <v>TMDSL</v>
      </c>
      <c r="F182" s="1071" t="str">
        <f>NewTech!F72</f>
        <v>TM</v>
      </c>
      <c r="G182" s="1110" t="s">
        <v>503</v>
      </c>
      <c r="H182" s="1110" t="s">
        <v>499</v>
      </c>
      <c r="I182" s="1112">
        <v>1</v>
      </c>
      <c r="J182" s="1111" t="str">
        <f t="shared" si="37"/>
        <v>Medium duty-DSL</v>
      </c>
      <c r="K182" s="1111">
        <f>SUMIFS(NewEmisData!E:E, NewEmisData!$A:$A, $G182, NewEmisData!$B:$B, $A182, NewEmisData!$C:$C, $H182, NewEmisData!$D:$D, K$6)</f>
        <v>1227.122531812</v>
      </c>
      <c r="L182" s="1111">
        <f>SUMIFS(NewEmisData!F:F, NewEmisData!$A:$A, $G182, NewEmisData!$B:$B, $A182, NewEmisData!$C:$C, $H182, NewEmisData!$D:$D, L$6)</f>
        <v>1223.38293869125</v>
      </c>
      <c r="M182" s="1111">
        <f>SUMIFS(NewEmisData!G:G, NewEmisData!$A:$A, $G182, NewEmisData!$B:$B, $A182, NewEmisData!$C:$C, $H182, NewEmisData!$D:$D, M$6)</f>
        <v>1491.9167744443</v>
      </c>
      <c r="N182" s="1111">
        <f>SUMIFS(NewEmisData!H:H, NewEmisData!$A:$A, $G182, NewEmisData!$B:$B, $A182, NewEmisData!$C:$C, $H182, NewEmisData!$D:$D, N$6)</f>
        <v>1439.6290263866099</v>
      </c>
      <c r="O182" s="1111">
        <f>SUMIFS(NewEmisData!I:I, NewEmisData!$A:$A, $G182, NewEmisData!$B:$B, $A182, NewEmisData!$C:$C, $H182, NewEmisData!$D:$D, O$6)</f>
        <v>1396.0303655681701</v>
      </c>
      <c r="P182" s="1111">
        <f>SUMIFS(NewEmisData!J:J, NewEmisData!$A:$A, $G182, NewEmisData!$B:$B, $A182, NewEmisData!$C:$C, $H182, NewEmisData!$D:$D, P$6)</f>
        <v>1381.4572061837</v>
      </c>
      <c r="Q182" s="1111">
        <f>SUMIFS(NewEmisData!K:K, NewEmisData!$A:$A, $G182, NewEmisData!$B:$B, $A182, NewEmisData!$C:$C, $H182, NewEmisData!$D:$D, Q$6)</f>
        <v>1377.1647221724299</v>
      </c>
      <c r="R182" s="1111">
        <f>SUMIFS(NewEmisData!L:L, NewEmisData!$A:$A, $G182, NewEmisData!$B:$B, $A182, NewEmisData!$C:$C, $H182, NewEmisData!$D:$D, R$6)</f>
        <v>1376.2239115392599</v>
      </c>
      <c r="S182" s="1111">
        <f>SUMIFS(NewEmisData!M:M, NewEmisData!$A:$A, $G182, NewEmisData!$B:$B, $A182, NewEmisData!$C:$C, $H182, NewEmisData!$D:$D, S$6)</f>
        <v>1375.99238621115</v>
      </c>
      <c r="T182" s="1111">
        <f t="shared" si="290"/>
        <v>1375.99238621115</v>
      </c>
      <c r="U182" s="1111">
        <f>SUMIFS(NewEmisData!E:E, NewEmisData!$A:$A, $G182, NewEmisData!$B:$B, $A182, NewEmisData!$C:$C, $H182, NewEmisData!$D:$D, U$6)</f>
        <v>8.0193608379791392</v>
      </c>
      <c r="V182" s="1111">
        <f>SUMIFS(NewEmisData!F:F, NewEmisData!$A:$A, $G182, NewEmisData!$B:$B, $A182, NewEmisData!$C:$C, $H182, NewEmisData!$D:$D, V$6)</f>
        <v>4.1543590563126003</v>
      </c>
      <c r="W182" s="1111">
        <f>SUMIFS(NewEmisData!G:G, NewEmisData!$A:$A, $G182, NewEmisData!$B:$B, $A182, NewEmisData!$C:$C, $H182, NewEmisData!$D:$D, W$6)</f>
        <v>2.98133312137844</v>
      </c>
      <c r="X182" s="1111">
        <f>SUMIFS(NewEmisData!H:H, NewEmisData!$A:$A, $G182, NewEmisData!$B:$B, $A182, NewEmisData!$C:$C, $H182, NewEmisData!$D:$D, X$6)</f>
        <v>1.7381068783510201</v>
      </c>
      <c r="Y182" s="1111">
        <f>SUMIFS(NewEmisData!I:I, NewEmisData!$A:$A, $G182, NewEmisData!$B:$B, $A182, NewEmisData!$C:$C, $H182, NewEmisData!$D:$D, Y$6)</f>
        <v>1.2226706736775499</v>
      </c>
      <c r="Z182" s="1111">
        <f>SUMIFS(NewEmisData!J:J, NewEmisData!$A:$A, $G182, NewEmisData!$B:$B, $A182, NewEmisData!$C:$C, $H182, NewEmisData!$D:$D, Z$6)</f>
        <v>1.0580964689305701</v>
      </c>
      <c r="AA182" s="1111">
        <f>SUMIFS(NewEmisData!K:K, NewEmisData!$A:$A, $G182, NewEmisData!$B:$B, $A182, NewEmisData!$C:$C, $H182, NewEmisData!$D:$D, AA$6)</f>
        <v>1.00772008015349</v>
      </c>
      <c r="AB182" s="1111">
        <f>SUMIFS(NewEmisData!L:L, NewEmisData!$A:$A, $G182, NewEmisData!$B:$B, $A182, NewEmisData!$C:$C, $H182, NewEmisData!$D:$D, AB$6)</f>
        <v>1.0008292130083001</v>
      </c>
      <c r="AC182" s="1111">
        <f>SUMIFS(NewEmisData!M:M, NewEmisData!$A:$A, $G182, NewEmisData!$B:$B, $A182, NewEmisData!$C:$C, $H182, NewEmisData!$D:$D, AC$6)</f>
        <v>0.99880738384490098</v>
      </c>
      <c r="AD182" s="1111">
        <f t="shared" si="229"/>
        <v>0.99880738384490098</v>
      </c>
      <c r="AE182" s="1111">
        <f t="shared" si="241"/>
        <v>3.0399158238526399E-2</v>
      </c>
      <c r="AF182" s="1111">
        <f>SUMIFS(NewEmisData!E:E, NewEmisData!$A:$A, $G182, NewEmisData!$B:$B, $A182, NewEmisData!$C:$C, $H182, NewEmisData!$D:$D, AF$6)</f>
        <v>3.0399158238526399E-2</v>
      </c>
      <c r="AG182" s="1111">
        <f>SUMIFS(NewEmisData!F:F, NewEmisData!$A:$A, $G182, NewEmisData!$B:$B, $A182, NewEmisData!$C:$C, $H182, NewEmisData!$D:$D, AG$6)</f>
        <v>2.9335551037600001E-2</v>
      </c>
      <c r="AH182" s="1111">
        <f>SUMIFS(NewEmisData!G:G, NewEmisData!$A:$A, $G182, NewEmisData!$B:$B, $A182, NewEmisData!$C:$C, $H182, NewEmisData!$D:$D, AH$6)</f>
        <v>1.25441414050069E-2</v>
      </c>
      <c r="AI182" s="1111">
        <f>SUMIFS(NewEmisData!H:H, NewEmisData!$A:$A, $G182, NewEmisData!$B:$B, $A182, NewEmisData!$C:$C, $H182, NewEmisData!$D:$D, AI$6)</f>
        <v>1.2033715661617201E-2</v>
      </c>
      <c r="AJ182" s="1111">
        <f>SUMIFS(NewEmisData!I:I, NewEmisData!$A:$A, $G182, NewEmisData!$B:$B, $A182, NewEmisData!$C:$C, $H182, NewEmisData!$D:$D, AJ$6)</f>
        <v>1.1645627611560599E-2</v>
      </c>
      <c r="AK182" s="1111">
        <f>SUMIFS(NewEmisData!J:J, NewEmisData!$A:$A, $G182, NewEmisData!$B:$B, $A182, NewEmisData!$C:$C, $H182, NewEmisData!$D:$D, AK$6)</f>
        <v>1.15189928592382E-2</v>
      </c>
      <c r="AL182" s="1111">
        <f>SUMIFS(NewEmisData!K:K, NewEmisData!$A:$A, $G182, NewEmisData!$B:$B, $A182, NewEmisData!$C:$C, $H182, NewEmisData!$D:$D, AL$6)</f>
        <v>1.1481583994978299E-2</v>
      </c>
      <c r="AM182" s="1111">
        <f>SUMIFS(NewEmisData!L:L, NewEmisData!$A:$A, $G182, NewEmisData!$B:$B, $A182, NewEmisData!$C:$C, $H182, NewEmisData!$D:$D, AM$6)</f>
        <v>1.1473738052833899E-2</v>
      </c>
      <c r="AN182" s="1111">
        <f>SUMIFS(NewEmisData!M:M, NewEmisData!$A:$A, $G182, NewEmisData!$B:$B, $A182, NewEmisData!$C:$C, $H182, NewEmisData!$D:$D, AN$6)</f>
        <v>1.14718141652436E-2</v>
      </c>
      <c r="AO182" s="1111">
        <f t="shared" si="242"/>
        <v>1.14718141652436E-2</v>
      </c>
      <c r="AP182" s="1111">
        <f t="shared" si="243"/>
        <v>0.75675018821525997</v>
      </c>
      <c r="AQ182" s="1111">
        <f>SUMIFS(NewEmisData!E:E, NewEmisData!$A:$A, $G182, NewEmisData!$B:$B, $A182, NewEmisData!$C:$C, $H182, NewEmisData!$D:$D, AQ$6)</f>
        <v>0.75675018821525997</v>
      </c>
      <c r="AR182" s="1111">
        <f>SUMIFS(NewEmisData!F:F, NewEmisData!$A:$A, $G182, NewEmisData!$B:$B, $A182, NewEmisData!$C:$C, $H182, NewEmisData!$D:$D, AR$6)</f>
        <v>0.40133452537918501</v>
      </c>
      <c r="AS182" s="1111">
        <f>SUMIFS(NewEmisData!G:G, NewEmisData!$A:$A, $G182, NewEmisData!$B:$B, $A182, NewEmisData!$C:$C, $H182, NewEmisData!$D:$D, AS$6)</f>
        <v>0.33506910840269499</v>
      </c>
      <c r="AT182" s="1111">
        <f>SUMIFS(NewEmisData!H:H, NewEmisData!$A:$A, $G182, NewEmisData!$B:$B, $A182, NewEmisData!$C:$C, $H182, NewEmisData!$D:$D, AT$6)</f>
        <v>0.263570196116162</v>
      </c>
      <c r="AU182" s="1111">
        <f>SUMIFS(NewEmisData!I:I, NewEmisData!$A:$A, $G182, NewEmisData!$B:$B, $A182, NewEmisData!$C:$C, $H182, NewEmisData!$D:$D, AU$6)</f>
        <v>0.239317173689682</v>
      </c>
      <c r="AV182" s="1111">
        <f>SUMIFS(NewEmisData!J:J, NewEmisData!$A:$A, $G182, NewEmisData!$B:$B, $A182, NewEmisData!$C:$C, $H182, NewEmisData!$D:$D, AV$6)</f>
        <v>0.23470430578816801</v>
      </c>
      <c r="AW182" s="1111">
        <f>SUMIFS(NewEmisData!K:K, NewEmisData!$A:$A, $G182, NewEmisData!$B:$B, $A182, NewEmisData!$C:$C, $H182, NewEmisData!$D:$D, AW$6)</f>
        <v>0.23334423625159001</v>
      </c>
      <c r="AX182" s="1111">
        <f>SUMIFS(NewEmisData!L:L, NewEmisData!$A:$A, $G182, NewEmisData!$B:$B, $A182, NewEmisData!$C:$C, $H182, NewEmisData!$D:$D, AX$6)</f>
        <v>0.233332846550835</v>
      </c>
      <c r="AY182" s="1111">
        <f>SUMIFS(NewEmisData!M:M, NewEmisData!$A:$A, $G182, NewEmisData!$B:$B, $A182, NewEmisData!$C:$C, $H182, NewEmisData!$D:$D, AY$6)</f>
        <v>0.23333151026798801</v>
      </c>
      <c r="AZ182" s="1111">
        <f t="shared" si="244"/>
        <v>0.23333151026798801</v>
      </c>
      <c r="BA182" s="1111">
        <f t="shared" si="245"/>
        <v>0.57853809313457705</v>
      </c>
      <c r="BB182" s="1111">
        <f>SUMIFS(NewEmisData!E:E, NewEmisData!$A:$A, $G182, NewEmisData!$B:$B, $A182, NewEmisData!$C:$C, $H182, NewEmisData!$D:$D, BB$6)</f>
        <v>0.57853809313457705</v>
      </c>
      <c r="BC182" s="1111">
        <f>SUMIFS(NewEmisData!F:F, NewEmisData!$A:$A, $G182, NewEmisData!$B:$B, $A182, NewEmisData!$C:$C, $H182, NewEmisData!$D:$D, BC$6)</f>
        <v>0.252003695301314</v>
      </c>
      <c r="BD182" s="1111">
        <f>SUMIFS(NewEmisData!G:G, NewEmisData!$A:$A, $G182, NewEmisData!$B:$B, $A182, NewEmisData!$C:$C, $H182, NewEmisData!$D:$D, BD$6)</f>
        <v>0.14009339529863701</v>
      </c>
      <c r="BE182" s="1111">
        <f>SUMIFS(NewEmisData!H:H, NewEmisData!$A:$A, $G182, NewEmisData!$B:$B, $A182, NewEmisData!$C:$C, $H182, NewEmisData!$D:$D, BE$6)</f>
        <v>7.5128307357895593E-2</v>
      </c>
      <c r="BF182" s="1111">
        <f>SUMIFS(NewEmisData!I:I, NewEmisData!$A:$A, $G182, NewEmisData!$B:$B, $A182, NewEmisData!$C:$C, $H182, NewEmisData!$D:$D, BF$6)</f>
        <v>5.3059643460613801E-2</v>
      </c>
      <c r="BG182" s="1111">
        <f>SUMIFS(NewEmisData!J:J, NewEmisData!$A:$A, $G182, NewEmisData!$B:$B, $A182, NewEmisData!$C:$C, $H182, NewEmisData!$D:$D, BG$6)</f>
        <v>4.8885273229585302E-2</v>
      </c>
      <c r="BH182" s="1111">
        <f>SUMIFS(NewEmisData!K:K, NewEmisData!$A:$A, $G182, NewEmisData!$B:$B, $A182, NewEmisData!$C:$C, $H182, NewEmisData!$D:$D, BH$6)</f>
        <v>4.7651037372409798E-2</v>
      </c>
      <c r="BI182" s="1111">
        <f>SUMIFS(NewEmisData!L:L, NewEmisData!$A:$A, $G182, NewEmisData!$B:$B, $A182, NewEmisData!$C:$C, $H182, NewEmisData!$D:$D, BI$6)</f>
        <v>4.7643536740020302E-2</v>
      </c>
      <c r="BJ182" s="1111">
        <f>SUMIFS(NewEmisData!M:M, NewEmisData!$A:$A, $G182, NewEmisData!$B:$B, $A182, NewEmisData!$C:$C, $H182, NewEmisData!$D:$D, BJ$6)</f>
        <v>4.7642334168564497E-2</v>
      </c>
      <c r="BK182" s="1111">
        <f t="shared" si="246"/>
        <v>4.7642334168564497E-2</v>
      </c>
      <c r="BL182" s="1111">
        <f t="shared" si="247"/>
        <v>3.66291528795528</v>
      </c>
      <c r="BM182" s="1111">
        <f>SUMIFS(NewEmisData!E:E, NewEmisData!$A:$A, $G182, NewEmisData!$B:$B, $A182, NewEmisData!$C:$C, $H182, NewEmisData!$D:$D, BM$6)</f>
        <v>3.66291528795528</v>
      </c>
      <c r="BN182" s="1111">
        <f>SUMIFS(NewEmisData!F:F, NewEmisData!$A:$A, $G182, NewEmisData!$B:$B, $A182, NewEmisData!$C:$C, $H182, NewEmisData!$D:$D, BN$6)</f>
        <v>1.81110834429754</v>
      </c>
      <c r="BO182" s="1111">
        <f>SUMIFS(NewEmisData!G:G, NewEmisData!$A:$A, $G182, NewEmisData!$B:$B, $A182, NewEmisData!$C:$C, $H182, NewEmisData!$D:$D, BO$6)</f>
        <v>1.17052618624317</v>
      </c>
      <c r="BP182" s="1111">
        <f>SUMIFS(NewEmisData!H:H, NewEmisData!$A:$A, $G182, NewEmisData!$B:$B, $A182, NewEmisData!$C:$C, $H182, NewEmisData!$D:$D, BP$6)</f>
        <v>0.73614531651374404</v>
      </c>
      <c r="BQ182" s="1111">
        <f>SUMIFS(NewEmisData!I:I, NewEmisData!$A:$A, $G182, NewEmisData!$B:$B, $A182, NewEmisData!$C:$C, $H182, NewEmisData!$D:$D, BQ$6)</f>
        <v>0.597052259804708</v>
      </c>
      <c r="BR182" s="1111">
        <f>SUMIFS(NewEmisData!J:J, NewEmisData!$A:$A, $G182, NewEmisData!$B:$B, $A182, NewEmisData!$C:$C, $H182, NewEmisData!$D:$D, BR$6)</f>
        <v>0.56487776147618596</v>
      </c>
      <c r="BS182" s="1111">
        <f>SUMIFS(NewEmisData!K:K, NewEmisData!$A:$A, $G182, NewEmisData!$B:$B, $A182, NewEmisData!$C:$C, $H182, NewEmisData!$D:$D, BS$6)</f>
        <v>0.55598119154160697</v>
      </c>
      <c r="BT182" s="1111">
        <f>SUMIFS(NewEmisData!L:L, NewEmisData!$A:$A, $G182, NewEmisData!$B:$B, $A182, NewEmisData!$C:$C, $H182, NewEmisData!$D:$D, BT$6)</f>
        <v>0.55580702712140895</v>
      </c>
      <c r="BU182" s="1111">
        <f>SUMIFS(NewEmisData!M:M, NewEmisData!$A:$A, $G182, NewEmisData!$B:$B, $A182, NewEmisData!$C:$C, $H182, NewEmisData!$D:$D, BU$6)</f>
        <v>0.55571945282790103</v>
      </c>
      <c r="BV182" s="1111">
        <f t="shared" si="248"/>
        <v>0.55571945282790103</v>
      </c>
      <c r="BW182" s="1111">
        <f t="shared" si="249"/>
        <v>1.43661852797596</v>
      </c>
      <c r="BX182" s="1111">
        <f>SUMIFS(NewEmisData!E:E, NewEmisData!$A:$A, $G182, NewEmisData!$B:$B, $A182, NewEmisData!$C:$C, $H182, NewEmisData!$D:$D, BX$6)</f>
        <v>1.43661852797596</v>
      </c>
      <c r="BY182" s="1111">
        <f>SUMIFS(NewEmisData!F:F, NewEmisData!$A:$A, $G182, NewEmisData!$B:$B, $A182, NewEmisData!$C:$C, $H182, NewEmisData!$D:$D, BY$6)</f>
        <v>0.62875879312815397</v>
      </c>
      <c r="BZ182" s="1111">
        <f>SUMIFS(NewEmisData!G:G, NewEmisData!$A:$A, $G182, NewEmisData!$B:$B, $A182, NewEmisData!$C:$C, $H182, NewEmisData!$D:$D, BZ$6)</f>
        <v>0.38012488858052901</v>
      </c>
      <c r="CA182" s="1111">
        <f>SUMIFS(NewEmisData!H:H, NewEmisData!$A:$A, $G182, NewEmisData!$B:$B, $A182, NewEmisData!$C:$C, $H182, NewEmisData!$D:$D, CA$6)</f>
        <v>0.19661280267353801</v>
      </c>
      <c r="CB182" s="1111">
        <f>SUMIFS(NewEmisData!I:I, NewEmisData!$A:$A, $G182, NewEmisData!$B:$B, $A182, NewEmisData!$C:$C, $H182, NewEmisData!$D:$D, CB$6)</f>
        <v>0.139914566708539</v>
      </c>
      <c r="CC182" s="1111">
        <f>SUMIFS(NewEmisData!J:J, NewEmisData!$A:$A, $G182, NewEmisData!$B:$B, $A182, NewEmisData!$C:$C, $H182, NewEmisData!$D:$D, CC$6)</f>
        <v>0.126251922379787</v>
      </c>
      <c r="CD182" s="1111">
        <f>SUMIFS(NewEmisData!K:K, NewEmisData!$A:$A, $G182, NewEmisData!$B:$B, $A182, NewEmisData!$C:$C, $H182, NewEmisData!$D:$D, CD$6)</f>
        <v>0.122717084606958</v>
      </c>
      <c r="CE182" s="1111">
        <f>SUMIFS(NewEmisData!L:L, NewEmisData!$A:$A, $G182, NewEmisData!$B:$B, $A182, NewEmisData!$C:$C, $H182, NewEmisData!$D:$D, CE$6)</f>
        <v>0.122648698331061</v>
      </c>
      <c r="CF182" s="1111">
        <f>SUMIFS(NewEmisData!M:M, NewEmisData!$A:$A, $G182, NewEmisData!$B:$B, $A182, NewEmisData!$C:$C, $H182, NewEmisData!$D:$D, CF$6)</f>
        <v>0.12261069478738</v>
      </c>
      <c r="CG182" s="1111">
        <f t="shared" si="250"/>
        <v>0.12261069478738</v>
      </c>
      <c r="CH182" s="1111">
        <f t="shared" si="251"/>
        <v>2.6039509433426099E-2</v>
      </c>
      <c r="CI182" s="1111">
        <f>SUMIFS(NewEmisData!E:E, NewEmisData!$A:$A, $G182, NewEmisData!$B:$B, $A182, NewEmisData!$C:$C, $H182, NewEmisData!$D:$D, CI$6)</f>
        <v>2.6039509433426099E-2</v>
      </c>
      <c r="CJ182" s="1111">
        <f>SUMIFS(NewEmisData!F:F, NewEmisData!$A:$A, $G182, NewEmisData!$B:$B, $A182, NewEmisData!$C:$C, $H182, NewEmisData!$D:$D, CJ$6)</f>
        <v>2.6040008346974602E-2</v>
      </c>
      <c r="CK182" s="1111">
        <f>SUMIFS(NewEmisData!G:G, NewEmisData!$A:$A, $G182, NewEmisData!$B:$B, $A182, NewEmisData!$C:$C, $H182, NewEmisData!$D:$D, CK$6)</f>
        <v>3.2995536073936203E-2</v>
      </c>
      <c r="CL182" s="1111">
        <f>SUMIFS(NewEmisData!H:H, NewEmisData!$A:$A, $G182, NewEmisData!$B:$B, $A182, NewEmisData!$C:$C, $H182, NewEmisData!$D:$D, CL$6)</f>
        <v>3.2996708039722003E-2</v>
      </c>
      <c r="CM182" s="1111">
        <f>SUMIFS(NewEmisData!I:I, NewEmisData!$A:$A, $G182, NewEmisData!$B:$B, $A182, NewEmisData!$C:$C, $H182, NewEmisData!$D:$D, CM$6)</f>
        <v>3.2997215949732303E-2</v>
      </c>
      <c r="CN182" s="1111">
        <f>SUMIFS(NewEmisData!J:J, NewEmisData!$A:$A, $G182, NewEmisData!$B:$B, $A182, NewEmisData!$C:$C, $H182, NewEmisData!$D:$D, CN$6)</f>
        <v>3.29974176943355E-2</v>
      </c>
      <c r="CO182" s="1111">
        <f>SUMIFS(NewEmisData!K:K, NewEmisData!$A:$A, $G182, NewEmisData!$B:$B, $A182, NewEmisData!$C:$C, $H182, NewEmisData!$D:$D, CO$6)</f>
        <v>3.2997465645541797E-2</v>
      </c>
      <c r="CP182" s="1111">
        <f>SUMIFS(NewEmisData!L:L, NewEmisData!$A:$A, $G182, NewEmisData!$B:$B, $A182, NewEmisData!$C:$C, $H182, NewEmisData!$D:$D, CP$6)</f>
        <v>3.29975034492105E-2</v>
      </c>
      <c r="CQ182" s="1111">
        <f>SUMIFS(NewEmisData!M:M, NewEmisData!$A:$A, $G182, NewEmisData!$B:$B, $A182, NewEmisData!$C:$C, $H182, NewEmisData!$D:$D, CQ$6)</f>
        <v>3.2997507472943201E-2</v>
      </c>
      <c r="CR182" s="1111">
        <f t="shared" si="252"/>
        <v>3.2997507472943201E-2</v>
      </c>
      <c r="CS182" s="1111">
        <f t="shared" si="253"/>
        <v>3.5409431722048901E-3</v>
      </c>
      <c r="CT182" s="1111">
        <f>SUMIFS(NewEmisData!E:E, NewEmisData!$A:$A, $G182, NewEmisData!$B:$B, $A182, NewEmisData!$C:$C, $H182, NewEmisData!$D:$D, CT$6)</f>
        <v>3.5409431722048901E-3</v>
      </c>
      <c r="CU182" s="1111">
        <f>SUMIFS(NewEmisData!F:F, NewEmisData!$A:$A, $G182, NewEmisData!$B:$B, $A182, NewEmisData!$C:$C, $H182, NewEmisData!$D:$D, CU$6)</f>
        <v>3.63890781693205E-3</v>
      </c>
      <c r="CV182" s="1111">
        <f>SUMIFS(NewEmisData!G:G, NewEmisData!$A:$A, $G182, NewEmisData!$B:$B, $A182, NewEmisData!$C:$C, $H182, NewEmisData!$D:$D, CV$6)</f>
        <v>5.4574768642476996E-3</v>
      </c>
      <c r="CW182" s="1111">
        <f>SUMIFS(NewEmisData!H:H, NewEmisData!$A:$A, $G182, NewEmisData!$B:$B, $A182, NewEmisData!$C:$C, $H182, NewEmisData!$D:$D, CW$6)</f>
        <v>5.4675414672760402E-3</v>
      </c>
      <c r="CX182" s="1111">
        <f>SUMIFS(NewEmisData!I:I, NewEmisData!$A:$A, $G182, NewEmisData!$B:$B, $A182, NewEmisData!$C:$C, $H182, NewEmisData!$D:$D, CX$6)</f>
        <v>5.4680384341553E-3</v>
      </c>
      <c r="CY182" s="1111">
        <f>SUMIFS(NewEmisData!J:J, NewEmisData!$A:$A, $G182, NewEmisData!$B:$B, $A182, NewEmisData!$C:$C, $H182, NewEmisData!$D:$D, CY$6)</f>
        <v>5.4634019579347104E-3</v>
      </c>
      <c r="CZ182" s="1111">
        <f>SUMIFS(NewEmisData!K:K, NewEmisData!$A:$A, $G182, NewEmisData!$B:$B, $A182, NewEmisData!$C:$C, $H182, NewEmisData!$D:$D, CZ$6)</f>
        <v>5.4597660152292298E-3</v>
      </c>
      <c r="DA182" s="1111">
        <f>SUMIFS(NewEmisData!L:L, NewEmisData!$A:$A, $G182, NewEmisData!$B:$B, $A182, NewEmisData!$C:$C, $H182, NewEmisData!$D:$D, DA$6)</f>
        <v>5.4584958414238298E-3</v>
      </c>
      <c r="DB182" s="1111">
        <f>SUMIFS(NewEmisData!M:M, NewEmisData!$A:$A, $G182, NewEmisData!$B:$B, $A182, NewEmisData!$C:$C, $H182, NewEmisData!$D:$D, DB$6)</f>
        <v>5.45755956631585E-3</v>
      </c>
      <c r="DC182" s="1111">
        <f t="shared" si="254"/>
        <v>5.45755956631585E-3</v>
      </c>
      <c r="DD182" s="1111"/>
      <c r="DE182" s="1111"/>
      <c r="DF182" s="1111"/>
      <c r="DG182" s="1111"/>
      <c r="DH182" s="1111"/>
      <c r="DI182" s="1111"/>
      <c r="DJ182" s="1111"/>
      <c r="DK182" s="1111"/>
      <c r="DL182" s="1111"/>
      <c r="DM182" s="1111"/>
      <c r="DN182" s="1111"/>
      <c r="DO182" s="1111"/>
      <c r="DP182" s="1111"/>
      <c r="DQ182" s="1111"/>
      <c r="DR182" s="1111"/>
      <c r="DS182" s="1111"/>
      <c r="DT182" s="1111"/>
      <c r="DU182" s="1111"/>
      <c r="DV182" s="1111"/>
      <c r="DW182" s="1111"/>
      <c r="DX182" s="1111"/>
      <c r="DY182" s="1111"/>
      <c r="DZ182" s="1111">
        <f t="shared" si="255"/>
        <v>1.97747867706301E-2</v>
      </c>
      <c r="EA182" s="1111">
        <f>SUMIFS(NewEmisData!E:E, NewEmisData!$A:$A, $G182, NewEmisData!$B:$B, $A182, NewEmisData!$C:$C, $H182, NewEmisData!$D:$D, EA$6)</f>
        <v>1.97747867706301E-2</v>
      </c>
      <c r="EB182" s="1111">
        <f>SUMIFS(NewEmisData!F:F, NewEmisData!$A:$A, $G182, NewEmisData!$B:$B, $A182, NewEmisData!$C:$C, $H182, NewEmisData!$D:$D, EB$6)</f>
        <v>7.2363688705741003E-2</v>
      </c>
      <c r="EC182" s="1111">
        <f>SUMIFS(NewEmisData!G:G, NewEmisData!$A:$A, $G182, NewEmisData!$B:$B, $A182, NewEmisData!$C:$C, $H182, NewEmisData!$D:$D, EC$6)</f>
        <v>0.113967833470033</v>
      </c>
      <c r="ED182" s="1111">
        <f>SUMIFS(NewEmisData!H:H, NewEmisData!$A:$A, $G182, NewEmisData!$B:$B, $A182, NewEmisData!$C:$C, $H182, NewEmisData!$D:$D, ED$6)</f>
        <v>0.115112826964947</v>
      </c>
      <c r="EE182" s="1111">
        <f>SUMIFS(NewEmisData!I:I, NewEmisData!$A:$A, $G182, NewEmisData!$B:$B, $A182, NewEmisData!$C:$C, $H182, NewEmisData!$D:$D, EE$6)</f>
        <v>0.11539118025805099</v>
      </c>
      <c r="EF182" s="1111">
        <f>SUMIFS(NewEmisData!J:J, NewEmisData!$A:$A, $G182, NewEmisData!$B:$B, $A182, NewEmisData!$C:$C, $H182, NewEmisData!$D:$D, EF$6)</f>
        <v>0.115199325520795</v>
      </c>
      <c r="EG182" s="1111">
        <f>SUMIFS(NewEmisData!K:K, NewEmisData!$A:$A, $G182, NewEmisData!$B:$B, $A182, NewEmisData!$C:$C, $H182, NewEmisData!$D:$D, EG$6)</f>
        <v>0.115220036803385</v>
      </c>
      <c r="EH182" s="1111">
        <f>SUMIFS(NewEmisData!L:L, NewEmisData!$A:$A, $G182, NewEmisData!$B:$B, $A182, NewEmisData!$C:$C, $H182, NewEmisData!$D:$D, EH$6)</f>
        <v>0.115157957606922</v>
      </c>
      <c r="EI182" s="1111">
        <f>SUMIFS(NewEmisData!M:M, NewEmisData!$A:$A, $G182, NewEmisData!$B:$B, $A182, NewEmisData!$C:$C, $H182, NewEmisData!$D:$D, EI$6)</f>
        <v>0.115119875491087</v>
      </c>
      <c r="EJ182" s="1111">
        <f t="shared" si="256"/>
        <v>0.115119875491087</v>
      </c>
      <c r="EK182" s="1111">
        <f t="shared" si="257"/>
        <v>1227.122531812</v>
      </c>
      <c r="EL182" s="1111">
        <f t="shared" si="269"/>
        <v>1227.122531812</v>
      </c>
      <c r="EM182" s="1111">
        <f t="shared" si="270"/>
        <v>1223.38293869125</v>
      </c>
      <c r="EN182" s="1111">
        <f t="shared" si="271"/>
        <v>1491.9167744443</v>
      </c>
      <c r="EO182" s="1111">
        <f t="shared" si="272"/>
        <v>1439.6290263866099</v>
      </c>
      <c r="EP182" s="1111">
        <f t="shared" si="273"/>
        <v>1396.0303655681701</v>
      </c>
      <c r="EQ182" s="1111">
        <f t="shared" si="274"/>
        <v>1381.4572061837</v>
      </c>
      <c r="ER182" s="1111">
        <f t="shared" si="275"/>
        <v>1377.1647221724299</v>
      </c>
      <c r="ES182" s="1111">
        <f t="shared" si="276"/>
        <v>1376.2239115392599</v>
      </c>
      <c r="ET182" s="1111">
        <f t="shared" si="277"/>
        <v>1375.99238621115</v>
      </c>
      <c r="EU182" s="1111">
        <f t="shared" si="278"/>
        <v>1375.99238621115</v>
      </c>
      <c r="EV182" s="1111">
        <f t="shared" si="258"/>
        <v>8.0193608379791392</v>
      </c>
      <c r="EW182" s="1111">
        <f t="shared" si="259"/>
        <v>8.0193608379791392</v>
      </c>
      <c r="EX182" s="1111">
        <f t="shared" si="260"/>
        <v>4.1543590563126003</v>
      </c>
      <c r="EY182" s="1111">
        <f t="shared" si="261"/>
        <v>2.98133312137844</v>
      </c>
      <c r="EZ182" s="1111">
        <f t="shared" si="262"/>
        <v>1.7381068783510201</v>
      </c>
      <c r="FA182" s="1111">
        <f t="shared" si="263"/>
        <v>1.2226706736775499</v>
      </c>
      <c r="FB182" s="1111">
        <f t="shared" si="264"/>
        <v>1.0580964689305701</v>
      </c>
      <c r="FC182" s="1111">
        <f t="shared" si="265"/>
        <v>1.00772008015349</v>
      </c>
      <c r="FD182" s="1111">
        <f t="shared" si="266"/>
        <v>1.0008292130083001</v>
      </c>
      <c r="FE182" s="1111">
        <f t="shared" si="267"/>
        <v>0.99880738384490098</v>
      </c>
      <c r="FF182" s="1111">
        <f t="shared" si="268"/>
        <v>0.99880738384490098</v>
      </c>
      <c r="FG182" s="1111">
        <f t="shared" ref="FG182:FG245" si="291">AE182</f>
        <v>3.0399158238526399E-2</v>
      </c>
      <c r="FH182" s="1111">
        <f t="shared" ref="FH182:FH245" si="292">AF182</f>
        <v>3.0399158238526399E-2</v>
      </c>
      <c r="FI182" s="1111">
        <f t="shared" ref="FI182:FI245" si="293">AG182</f>
        <v>2.9335551037600001E-2</v>
      </c>
      <c r="FJ182" s="1111">
        <f t="shared" ref="FJ182:FJ245" si="294">AH182</f>
        <v>1.25441414050069E-2</v>
      </c>
      <c r="FK182" s="1111">
        <f t="shared" ref="FK182:FK245" si="295">AI182</f>
        <v>1.2033715661617201E-2</v>
      </c>
      <c r="FL182" s="1111">
        <f t="shared" ref="FL182:FL245" si="296">AJ182</f>
        <v>1.1645627611560599E-2</v>
      </c>
      <c r="FM182" s="1111">
        <f t="shared" ref="FM182:FM245" si="297">AK182</f>
        <v>1.15189928592382E-2</v>
      </c>
      <c r="FN182" s="1111">
        <f t="shared" ref="FN182:FN245" si="298">AL182</f>
        <v>1.1481583994978299E-2</v>
      </c>
      <c r="FO182" s="1111">
        <f t="shared" ref="FO182:FO245" si="299">AM182</f>
        <v>1.1473738052833899E-2</v>
      </c>
      <c r="FP182" s="1111">
        <f t="shared" ref="FP182:FP245" si="300">AN182</f>
        <v>1.14718141652436E-2</v>
      </c>
      <c r="FQ182" s="1111">
        <f t="shared" ref="FQ182:FQ245" si="301">AO182</f>
        <v>1.14718141652436E-2</v>
      </c>
      <c r="FR182" s="1111">
        <f t="shared" si="230"/>
        <v>0.75675018821525997</v>
      </c>
      <c r="FS182" s="1111">
        <f t="shared" si="231"/>
        <v>0.75675018821525997</v>
      </c>
      <c r="FT182" s="1111">
        <f t="shared" si="232"/>
        <v>0.40133452537918501</v>
      </c>
      <c r="FU182" s="1111">
        <f t="shared" si="233"/>
        <v>0.33506910840269499</v>
      </c>
      <c r="FV182" s="1111">
        <f t="shared" si="234"/>
        <v>0.263570196116162</v>
      </c>
      <c r="FW182" s="1111">
        <f t="shared" si="235"/>
        <v>0.239317173689682</v>
      </c>
      <c r="FX182" s="1111">
        <f t="shared" si="236"/>
        <v>0.23470430578816801</v>
      </c>
      <c r="FY182" s="1111">
        <f t="shared" si="237"/>
        <v>0.23334423625159001</v>
      </c>
      <c r="FZ182" s="1111">
        <f t="shared" si="238"/>
        <v>0.233332846550835</v>
      </c>
      <c r="GA182" s="1111">
        <f t="shared" si="239"/>
        <v>0.23333151026798801</v>
      </c>
      <c r="GB182" s="1111">
        <f t="shared" si="240"/>
        <v>0.23333151026798801</v>
      </c>
      <c r="GC182" s="1111">
        <f t="shared" si="279"/>
        <v>0.57853809313457705</v>
      </c>
      <c r="GD182" s="1111">
        <f t="shared" si="280"/>
        <v>0.57853809313457705</v>
      </c>
      <c r="GE182" s="1111">
        <f t="shared" si="281"/>
        <v>0.252003695301314</v>
      </c>
      <c r="GF182" s="1111">
        <f t="shared" si="282"/>
        <v>0.14009339529863701</v>
      </c>
      <c r="GG182" s="1111">
        <f t="shared" si="283"/>
        <v>7.5128307357895593E-2</v>
      </c>
      <c r="GH182" s="1111">
        <f t="shared" si="284"/>
        <v>5.3059643460613801E-2</v>
      </c>
      <c r="GI182" s="1111">
        <f t="shared" si="285"/>
        <v>4.8885273229585302E-2</v>
      </c>
      <c r="GJ182" s="1111">
        <f t="shared" si="286"/>
        <v>4.7651037372409798E-2</v>
      </c>
      <c r="GK182" s="1111">
        <f t="shared" si="287"/>
        <v>4.7643536740020302E-2</v>
      </c>
      <c r="GL182" s="1111">
        <f t="shared" si="288"/>
        <v>4.7642334168564497E-2</v>
      </c>
      <c r="GM182" s="1111">
        <f t="shared" si="289"/>
        <v>4.7642334168564497E-2</v>
      </c>
    </row>
    <row r="183" spans="1:195" x14ac:dyDescent="0.2">
      <c r="A183" s="1071" t="s">
        <v>186</v>
      </c>
      <c r="B183" s="1071" t="str">
        <f>Technologies!C119</f>
        <v>TMDSLC</v>
      </c>
      <c r="C183" s="1071" t="str">
        <f>Technologies!D119</f>
        <v>Medium Duty Truck, Conventional Diesel</v>
      </c>
      <c r="D183" s="1071" t="str">
        <f>NewTech!D71</f>
        <v>bn-vmt, bn-vmt/a</v>
      </c>
      <c r="E183" s="1071" t="str">
        <f>NewTech!E72</f>
        <v>TMDSL</v>
      </c>
      <c r="F183" s="1071" t="str">
        <f>NewTech!F72</f>
        <v>TM</v>
      </c>
      <c r="G183" s="1110" t="s">
        <v>503</v>
      </c>
      <c r="H183" s="1110" t="s">
        <v>499</v>
      </c>
      <c r="I183" s="1112">
        <v>1</v>
      </c>
      <c r="J183" s="1111" t="str">
        <f t="shared" si="37"/>
        <v>Medium duty-DSL</v>
      </c>
      <c r="K183" s="1111">
        <f>SUMIFS(NewEmisData!E:E, NewEmisData!$A:$A, $G183, NewEmisData!$B:$B, $A183, NewEmisData!$C:$C, $H183, NewEmisData!$D:$D, K$6)</f>
        <v>1844.7083010230299</v>
      </c>
      <c r="L183" s="1111">
        <f>SUMIFS(NewEmisData!F:F, NewEmisData!$A:$A, $G183, NewEmisData!$B:$B, $A183, NewEmisData!$C:$C, $H183, NewEmisData!$D:$D, L$6)</f>
        <v>1832.6045194358301</v>
      </c>
      <c r="M183" s="1111">
        <f>SUMIFS(NewEmisData!G:G, NewEmisData!$A:$A, $G183, NewEmisData!$B:$B, $A183, NewEmisData!$C:$C, $H183, NewEmisData!$D:$D, M$6)</f>
        <v>1884.2537986570301</v>
      </c>
      <c r="N183" s="1111">
        <f>SUMIFS(NewEmisData!H:H, NewEmisData!$A:$A, $G183, NewEmisData!$B:$B, $A183, NewEmisData!$C:$C, $H183, NewEmisData!$D:$D, N$6)</f>
        <v>1818.5727784503399</v>
      </c>
      <c r="O183" s="1111">
        <f>SUMIFS(NewEmisData!I:I, NewEmisData!$A:$A, $G183, NewEmisData!$B:$B, $A183, NewEmisData!$C:$C, $H183, NewEmisData!$D:$D, O$6)</f>
        <v>1763.6996289860999</v>
      </c>
      <c r="P183" s="1111">
        <f>SUMIFS(NewEmisData!J:J, NewEmisData!$A:$A, $G183, NewEmisData!$B:$B, $A183, NewEmisData!$C:$C, $H183, NewEmisData!$D:$D, P$6)</f>
        <v>1745.38280930633</v>
      </c>
      <c r="Q183" s="1111">
        <f>SUMIFS(NewEmisData!K:K, NewEmisData!$A:$A, $G183, NewEmisData!$B:$B, $A183, NewEmisData!$C:$C, $H183, NewEmisData!$D:$D, Q$6)</f>
        <v>1739.98947678168</v>
      </c>
      <c r="R183" s="1111">
        <f>SUMIFS(NewEmisData!L:L, NewEmisData!$A:$A, $G183, NewEmisData!$B:$B, $A183, NewEmisData!$C:$C, $H183, NewEmisData!$D:$D, R$6)</f>
        <v>1738.81123596359</v>
      </c>
      <c r="S183" s="1111">
        <f>SUMIFS(NewEmisData!M:M, NewEmisData!$A:$A, $G183, NewEmisData!$B:$B, $A183, NewEmisData!$C:$C, $H183, NewEmisData!$D:$D, S$6)</f>
        <v>1738.5227113911701</v>
      </c>
      <c r="T183" s="1111">
        <f t="shared" si="290"/>
        <v>1738.5227113911701</v>
      </c>
      <c r="U183" s="1111">
        <f>SUMIFS(NewEmisData!E:E, NewEmisData!$A:$A, $G183, NewEmisData!$B:$B, $A183, NewEmisData!$C:$C, $H183, NewEmisData!$D:$D, U$6)</f>
        <v>11.3242694436207</v>
      </c>
      <c r="V183" s="1111">
        <f>SUMIFS(NewEmisData!F:F, NewEmisData!$A:$A, $G183, NewEmisData!$B:$B, $A183, NewEmisData!$C:$C, $H183, NewEmisData!$D:$D, V$6)</f>
        <v>5.2798482437774998</v>
      </c>
      <c r="W183" s="1111">
        <f>SUMIFS(NewEmisData!G:G, NewEmisData!$A:$A, $G183, NewEmisData!$B:$B, $A183, NewEmisData!$C:$C, $H183, NewEmisData!$D:$D, W$6)</f>
        <v>3.78642260339578</v>
      </c>
      <c r="X183" s="1111">
        <f>SUMIFS(NewEmisData!H:H, NewEmisData!$A:$A, $G183, NewEmisData!$B:$B, $A183, NewEmisData!$C:$C, $H183, NewEmisData!$D:$D, X$6)</f>
        <v>2.1972961679722198</v>
      </c>
      <c r="Y183" s="1111">
        <f>SUMIFS(NewEmisData!I:I, NewEmisData!$A:$A, $G183, NewEmisData!$B:$B, $A183, NewEmisData!$C:$C, $H183, NewEmisData!$D:$D, Y$6)</f>
        <v>1.5398620814352</v>
      </c>
      <c r="Z183" s="1111">
        <f>SUMIFS(NewEmisData!J:J, NewEmisData!$A:$A, $G183, NewEmisData!$B:$B, $A183, NewEmisData!$C:$C, $H183, NewEmisData!$D:$D, Z$6)</f>
        <v>1.33073738385153</v>
      </c>
      <c r="AA183" s="1111">
        <f>SUMIFS(NewEmisData!K:K, NewEmisData!$A:$A, $G183, NewEmisData!$B:$B, $A183, NewEmisData!$C:$C, $H183, NewEmisData!$D:$D, AA$6)</f>
        <v>1.2670046042829299</v>
      </c>
      <c r="AB183" s="1111">
        <f>SUMIFS(NewEmisData!L:L, NewEmisData!$A:$A, $G183, NewEmisData!$B:$B, $A183, NewEmisData!$C:$C, $H183, NewEmisData!$D:$D, AB$6)</f>
        <v>1.25837731661006</v>
      </c>
      <c r="AC183" s="1111">
        <f>SUMIFS(NewEmisData!M:M, NewEmisData!$A:$A, $G183, NewEmisData!$B:$B, $A183, NewEmisData!$C:$C, $H183, NewEmisData!$D:$D, AC$6)</f>
        <v>1.2558936064742501</v>
      </c>
      <c r="AD183" s="1111">
        <f t="shared" si="229"/>
        <v>1.2558936064742501</v>
      </c>
      <c r="AE183" s="1111">
        <f t="shared" si="241"/>
        <v>4.5365869728215401E-2</v>
      </c>
      <c r="AF183" s="1111">
        <f>SUMIFS(NewEmisData!E:E, NewEmisData!$A:$A, $G183, NewEmisData!$B:$B, $A183, NewEmisData!$C:$C, $H183, NewEmisData!$D:$D, AF$6)</f>
        <v>4.5365869728215401E-2</v>
      </c>
      <c r="AG183" s="1111">
        <f>SUMIFS(NewEmisData!F:F, NewEmisData!$A:$A, $G183, NewEmisData!$B:$B, $A183, NewEmisData!$C:$C, $H183, NewEmisData!$D:$D, AG$6)</f>
        <v>4.3660344033601299E-2</v>
      </c>
      <c r="AH183" s="1111">
        <f>SUMIFS(NewEmisData!G:G, NewEmisData!$A:$A, $G183, NewEmisData!$B:$B, $A183, NewEmisData!$C:$C, $H183, NewEmisData!$D:$D, AH$6)</f>
        <v>1.5842755870111001E-2</v>
      </c>
      <c r="AI183" s="1111">
        <f>SUMIFS(NewEmisData!H:H, NewEmisData!$A:$A, $G183, NewEmisData!$B:$B, $A183, NewEmisData!$C:$C, $H183, NewEmisData!$D:$D, AI$6)</f>
        <v>1.52011817179993E-2</v>
      </c>
      <c r="AJ183" s="1111">
        <f>SUMIFS(NewEmisData!I:I, NewEmisData!$A:$A, $G183, NewEmisData!$B:$B, $A183, NewEmisData!$C:$C, $H183, NewEmisData!$D:$D, AJ$6)</f>
        <v>1.47126837043844E-2</v>
      </c>
      <c r="AK183" s="1111">
        <f>SUMIFS(NewEmisData!J:J, NewEmisData!$A:$A, $G183, NewEmisData!$B:$B, $A183, NewEmisData!$C:$C, $H183, NewEmisData!$D:$D, AK$6)</f>
        <v>1.45535009771615E-2</v>
      </c>
      <c r="AL183" s="1111">
        <f>SUMIFS(NewEmisData!K:K, NewEmisData!$A:$A, $G183, NewEmisData!$B:$B, $A183, NewEmisData!$C:$C, $H183, NewEmisData!$D:$D, AL$6)</f>
        <v>1.4506508977964299E-2</v>
      </c>
      <c r="AM183" s="1111">
        <f>SUMIFS(NewEmisData!L:L, NewEmisData!$A:$A, $G183, NewEmisData!$B:$B, $A183, NewEmisData!$C:$C, $H183, NewEmisData!$D:$D, AM$6)</f>
        <v>1.44966873739067E-2</v>
      </c>
      <c r="AN183" s="1111">
        <f>SUMIFS(NewEmisData!M:M, NewEmisData!$A:$A, $G183, NewEmisData!$B:$B, $A183, NewEmisData!$C:$C, $H183, NewEmisData!$D:$D, AN$6)</f>
        <v>1.4494279129535799E-2</v>
      </c>
      <c r="AO183" s="1111">
        <f t="shared" si="242"/>
        <v>1.4494279129535799E-2</v>
      </c>
      <c r="AP183" s="1111">
        <f t="shared" si="243"/>
        <v>1.1349607828839201</v>
      </c>
      <c r="AQ183" s="1111">
        <f>SUMIFS(NewEmisData!E:E, NewEmisData!$A:$A, $G183, NewEmisData!$B:$B, $A183, NewEmisData!$C:$C, $H183, NewEmisData!$D:$D, AQ$6)</f>
        <v>1.1349607828839201</v>
      </c>
      <c r="AR183" s="1111">
        <f>SUMIFS(NewEmisData!F:F, NewEmisData!$A:$A, $G183, NewEmisData!$B:$B, $A183, NewEmisData!$C:$C, $H183, NewEmisData!$D:$D, AR$6)</f>
        <v>0.61030408012734905</v>
      </c>
      <c r="AS183" s="1111">
        <f>SUMIFS(NewEmisData!G:G, NewEmisData!$A:$A, $G183, NewEmisData!$B:$B, $A183, NewEmisData!$C:$C, $H183, NewEmisData!$D:$D, AS$6)</f>
        <v>0.44031388127967303</v>
      </c>
      <c r="AT183" s="1111">
        <f>SUMIFS(NewEmisData!H:H, NewEmisData!$A:$A, $G183, NewEmisData!$B:$B, $A183, NewEmisData!$C:$C, $H183, NewEmisData!$D:$D, AT$6)</f>
        <v>0.34801512923671002</v>
      </c>
      <c r="AU183" s="1111">
        <f>SUMIFS(NewEmisData!I:I, NewEmisData!$A:$A, $G183, NewEmisData!$B:$B, $A183, NewEmisData!$C:$C, $H183, NewEmisData!$D:$D, AU$6)</f>
        <v>0.316619673688259</v>
      </c>
      <c r="AV183" s="1111">
        <f>SUMIFS(NewEmisData!J:J, NewEmisData!$A:$A, $G183, NewEmisData!$B:$B, $A183, NewEmisData!$C:$C, $H183, NewEmisData!$D:$D, AV$6)</f>
        <v>0.310711543242081</v>
      </c>
      <c r="AW183" s="1111">
        <f>SUMIFS(NewEmisData!K:K, NewEmisData!$A:$A, $G183, NewEmisData!$B:$B, $A183, NewEmisData!$C:$C, $H183, NewEmisData!$D:$D, AW$6)</f>
        <v>0.30897246291541097</v>
      </c>
      <c r="AX183" s="1111">
        <f>SUMIFS(NewEmisData!L:L, NewEmisData!$A:$A, $G183, NewEmisData!$B:$B, $A183, NewEmisData!$C:$C, $H183, NewEmisData!$D:$D, AX$6)</f>
        <v>0.308957597755115</v>
      </c>
      <c r="AY183" s="1111">
        <f>SUMIFS(NewEmisData!M:M, NewEmisData!$A:$A, $G183, NewEmisData!$B:$B, $A183, NewEmisData!$C:$C, $H183, NewEmisData!$D:$D, AY$6)</f>
        <v>0.30895604079919098</v>
      </c>
      <c r="AZ183" s="1111">
        <f t="shared" si="244"/>
        <v>0.30895604079919098</v>
      </c>
      <c r="BA183" s="1111">
        <f t="shared" si="245"/>
        <v>0.82460782978682501</v>
      </c>
      <c r="BB183" s="1111">
        <f>SUMIFS(NewEmisData!E:E, NewEmisData!$A:$A, $G183, NewEmisData!$B:$B, $A183, NewEmisData!$C:$C, $H183, NewEmisData!$D:$D, BB$6)</f>
        <v>0.82460782978682501</v>
      </c>
      <c r="BC183" s="1111">
        <f>SUMIFS(NewEmisData!F:F, NewEmisData!$A:$A, $G183, NewEmisData!$B:$B, $A183, NewEmisData!$C:$C, $H183, NewEmisData!$D:$D, BC$6)</f>
        <v>0.34373570942234799</v>
      </c>
      <c r="BD183" s="1111">
        <f>SUMIFS(NewEmisData!G:G, NewEmisData!$A:$A, $G183, NewEmisData!$B:$B, $A183, NewEmisData!$C:$C, $H183, NewEmisData!$D:$D, BD$6)</f>
        <v>0.18121898411016099</v>
      </c>
      <c r="BE183" s="1111">
        <f>SUMIFS(NewEmisData!H:H, NewEmisData!$A:$A, $G183, NewEmisData!$B:$B, $A183, NewEmisData!$C:$C, $H183, NewEmisData!$D:$D, BE$6)</f>
        <v>9.7394815729633696E-2</v>
      </c>
      <c r="BF183" s="1111">
        <f>SUMIFS(NewEmisData!I:I, NewEmisData!$A:$A, $G183, NewEmisData!$B:$B, $A183, NewEmisData!$C:$C, $H183, NewEmisData!$D:$D, BF$6)</f>
        <v>6.8837534672911399E-2</v>
      </c>
      <c r="BG183" s="1111">
        <f>SUMIFS(NewEmisData!J:J, NewEmisData!$A:$A, $G183, NewEmisData!$B:$B, $A183, NewEmisData!$C:$C, $H183, NewEmisData!$D:$D, BG$6)</f>
        <v>6.3495189038770203E-2</v>
      </c>
      <c r="BH183" s="1111">
        <f>SUMIFS(NewEmisData!K:K, NewEmisData!$A:$A, $G183, NewEmisData!$B:$B, $A183, NewEmisData!$C:$C, $H183, NewEmisData!$D:$D, BH$6)</f>
        <v>6.1918142257759601E-2</v>
      </c>
      <c r="BI183" s="1111">
        <f>SUMIFS(NewEmisData!L:L, NewEmisData!$A:$A, $G183, NewEmisData!$B:$B, $A183, NewEmisData!$C:$C, $H183, NewEmisData!$D:$D, BI$6)</f>
        <v>6.1908718128838802E-2</v>
      </c>
      <c r="BJ183" s="1111">
        <f>SUMIFS(NewEmisData!M:M, NewEmisData!$A:$A, $G183, NewEmisData!$B:$B, $A183, NewEmisData!$C:$C, $H183, NewEmisData!$D:$D, BJ$6)</f>
        <v>6.1907262020399603E-2</v>
      </c>
      <c r="BK183" s="1111">
        <f t="shared" si="246"/>
        <v>6.1907262020399603E-2</v>
      </c>
      <c r="BL183" s="1111">
        <f t="shared" si="247"/>
        <v>4.8199473877118004</v>
      </c>
      <c r="BM183" s="1111">
        <f>SUMIFS(NewEmisData!E:E, NewEmisData!$A:$A, $G183, NewEmisData!$B:$B, $A183, NewEmisData!$C:$C, $H183, NewEmisData!$D:$D, BM$6)</f>
        <v>4.8199473877118004</v>
      </c>
      <c r="BN183" s="1111">
        <f>SUMIFS(NewEmisData!F:F, NewEmisData!$A:$A, $G183, NewEmisData!$B:$B, $A183, NewEmisData!$C:$C, $H183, NewEmisData!$D:$D, BN$6)</f>
        <v>2.13606006571157</v>
      </c>
      <c r="BO183" s="1111">
        <f>SUMIFS(NewEmisData!G:G, NewEmisData!$A:$A, $G183, NewEmisData!$B:$B, $A183, NewEmisData!$C:$C, $H183, NewEmisData!$D:$D, BO$6)</f>
        <v>1.4626606870508201</v>
      </c>
      <c r="BP183" s="1111">
        <f>SUMIFS(NewEmisData!H:H, NewEmisData!$A:$A, $G183, NewEmisData!$B:$B, $A183, NewEmisData!$C:$C, $H183, NewEmisData!$D:$D, BP$6)</f>
        <v>0.91632051356289601</v>
      </c>
      <c r="BQ183" s="1111">
        <f>SUMIFS(NewEmisData!I:I, NewEmisData!$A:$A, $G183, NewEmisData!$B:$B, $A183, NewEmisData!$C:$C, $H183, NewEmisData!$D:$D, BQ$6)</f>
        <v>0.74159278245313098</v>
      </c>
      <c r="BR183" s="1111">
        <f>SUMIFS(NewEmisData!J:J, NewEmisData!$A:$A, $G183, NewEmisData!$B:$B, $A183, NewEmisData!$C:$C, $H183, NewEmisData!$D:$D, BR$6)</f>
        <v>0.70121666030394803</v>
      </c>
      <c r="BS183" s="1111">
        <f>SUMIFS(NewEmisData!K:K, NewEmisData!$A:$A, $G183, NewEmisData!$B:$B, $A183, NewEmisData!$C:$C, $H183, NewEmisData!$D:$D, BS$6)</f>
        <v>0.69011658725035796</v>
      </c>
      <c r="BT183" s="1111">
        <f>SUMIFS(NewEmisData!L:L, NewEmisData!$A:$A, $G183, NewEmisData!$B:$B, $A183, NewEmisData!$C:$C, $H183, NewEmisData!$D:$D, BT$6)</f>
        <v>0.68991923636254204</v>
      </c>
      <c r="BU183" s="1111">
        <f>SUMIFS(NewEmisData!M:M, NewEmisData!$A:$A, $G183, NewEmisData!$B:$B, $A183, NewEmisData!$C:$C, $H183, NewEmisData!$D:$D, BU$6)</f>
        <v>0.68982544184786598</v>
      </c>
      <c r="BV183" s="1111">
        <f t="shared" si="248"/>
        <v>0.68982544184786598</v>
      </c>
      <c r="BW183" s="1111">
        <f t="shared" si="249"/>
        <v>2.0873450951181098</v>
      </c>
      <c r="BX183" s="1111">
        <f>SUMIFS(NewEmisData!E:E, NewEmisData!$A:$A, $G183, NewEmisData!$B:$B, $A183, NewEmisData!$C:$C, $H183, NewEmisData!$D:$D, BX$6)</f>
        <v>2.0873450951181098</v>
      </c>
      <c r="BY183" s="1111">
        <f>SUMIFS(NewEmisData!F:F, NewEmisData!$A:$A, $G183, NewEmisData!$B:$B, $A183, NewEmisData!$C:$C, $H183, NewEmisData!$D:$D, BY$6)</f>
        <v>0.82818205887879504</v>
      </c>
      <c r="BZ183" s="1111">
        <f>SUMIFS(NewEmisData!G:G, NewEmisData!$A:$A, $G183, NewEmisData!$B:$B, $A183, NewEmisData!$C:$C, $H183, NewEmisData!$D:$D, BZ$6)</f>
        <v>0.49677177359374097</v>
      </c>
      <c r="CA183" s="1111">
        <f>SUMIFS(NewEmisData!H:H, NewEmisData!$A:$A, $G183, NewEmisData!$B:$B, $A183, NewEmisData!$C:$C, $H183, NewEmisData!$D:$D, CA$6)</f>
        <v>0.255767592675607</v>
      </c>
      <c r="CB183" s="1111">
        <f>SUMIFS(NewEmisData!I:I, NewEmisData!$A:$A, $G183, NewEmisData!$B:$B, $A183, NewEmisData!$C:$C, $H183, NewEmisData!$D:$D, CB$6)</f>
        <v>0.18123851738744101</v>
      </c>
      <c r="CC183" s="1111">
        <f>SUMIFS(NewEmisData!J:J, NewEmisData!$A:$A, $G183, NewEmisData!$B:$B, $A183, NewEmisData!$C:$C, $H183, NewEmisData!$D:$D, CC$6)</f>
        <v>0.16339043238474099</v>
      </c>
      <c r="CD183" s="1111">
        <f>SUMIFS(NewEmisData!K:K, NewEmisData!$A:$A, $G183, NewEmisData!$B:$B, $A183, NewEmisData!$C:$C, $H183, NewEmisData!$D:$D, CD$6)</f>
        <v>0.15878537340132501</v>
      </c>
      <c r="CE183" s="1111">
        <f>SUMIFS(NewEmisData!L:L, NewEmisData!$A:$A, $G183, NewEmisData!$B:$B, $A183, NewEmisData!$C:$C, $H183, NewEmisData!$D:$D, CE$6)</f>
        <v>0.158704013950277</v>
      </c>
      <c r="CF183" s="1111">
        <f>SUMIFS(NewEmisData!M:M, NewEmisData!$A:$A, $G183, NewEmisData!$B:$B, $A183, NewEmisData!$C:$C, $H183, NewEmisData!$D:$D, CF$6)</f>
        <v>0.15866010461272401</v>
      </c>
      <c r="CG183" s="1111">
        <f t="shared" si="250"/>
        <v>0.15866010461272401</v>
      </c>
      <c r="CH183" s="1111">
        <f t="shared" si="251"/>
        <v>3.4721835377985802E-2</v>
      </c>
      <c r="CI183" s="1111">
        <f>SUMIFS(NewEmisData!E:E, NewEmisData!$A:$A, $G183, NewEmisData!$B:$B, $A183, NewEmisData!$C:$C, $H183, NewEmisData!$D:$D, CI$6)</f>
        <v>3.4721835377985802E-2</v>
      </c>
      <c r="CJ183" s="1111">
        <f>SUMIFS(NewEmisData!F:F, NewEmisData!$A:$A, $G183, NewEmisData!$B:$B, $A183, NewEmisData!$C:$C, $H183, NewEmisData!$D:$D, CJ$6)</f>
        <v>3.4721918500933702E-2</v>
      </c>
      <c r="CK183" s="1111">
        <f>SUMIFS(NewEmisData!G:G, NewEmisData!$A:$A, $G183, NewEmisData!$B:$B, $A183, NewEmisData!$C:$C, $H183, NewEmisData!$D:$D, CK$6)</f>
        <v>3.9607483836340801E-2</v>
      </c>
      <c r="CL183" s="1111">
        <f>SUMIFS(NewEmisData!H:H, NewEmisData!$A:$A, $G183, NewEmisData!$B:$B, $A183, NewEmisData!$C:$C, $H183, NewEmisData!$D:$D, CL$6)</f>
        <v>3.9607942764627597E-2</v>
      </c>
      <c r="CM183" s="1111">
        <f>SUMIFS(NewEmisData!I:I, NewEmisData!$A:$A, $G183, NewEmisData!$B:$B, $A183, NewEmisData!$C:$C, $H183, NewEmisData!$D:$D, CM$6)</f>
        <v>3.9608185476154502E-2</v>
      </c>
      <c r="CN183" s="1111">
        <f>SUMIFS(NewEmisData!J:J, NewEmisData!$A:$A, $G183, NewEmisData!$B:$B, $A183, NewEmisData!$C:$C, $H183, NewEmisData!$D:$D, CN$6)</f>
        <v>3.9608266206743202E-2</v>
      </c>
      <c r="CO183" s="1111">
        <f>SUMIFS(NewEmisData!K:K, NewEmisData!$A:$A, $G183, NewEmisData!$B:$B, $A183, NewEmisData!$C:$C, $H183, NewEmisData!$D:$D, CO$6)</f>
        <v>3.96082447188153E-2</v>
      </c>
      <c r="CP183" s="1111">
        <f>SUMIFS(NewEmisData!L:L, NewEmisData!$A:$A, $G183, NewEmisData!$B:$B, $A183, NewEmisData!$C:$C, $H183, NewEmisData!$D:$D, CP$6)</f>
        <v>3.96082633707312E-2</v>
      </c>
      <c r="CQ183" s="1111">
        <f>SUMIFS(NewEmisData!M:M, NewEmisData!$A:$A, $G183, NewEmisData!$B:$B, $A183, NewEmisData!$C:$C, $H183, NewEmisData!$D:$D, CQ$6)</f>
        <v>3.9608260132730701E-2</v>
      </c>
      <c r="CR183" s="1111">
        <f t="shared" si="252"/>
        <v>3.9608260132730701E-2</v>
      </c>
      <c r="CS183" s="1111">
        <f t="shared" si="253"/>
        <v>6.5007561655818502E-3</v>
      </c>
      <c r="CT183" s="1111">
        <f>SUMIFS(NewEmisData!E:E, NewEmisData!$A:$A, $G183, NewEmisData!$B:$B, $A183, NewEmisData!$C:$C, $H183, NewEmisData!$D:$D, CT$6)</f>
        <v>6.5007561655818502E-3</v>
      </c>
      <c r="CU183" s="1111">
        <f>SUMIFS(NewEmisData!F:F, NewEmisData!$A:$A, $G183, NewEmisData!$B:$B, $A183, NewEmisData!$C:$C, $H183, NewEmisData!$D:$D, CU$6)</f>
        <v>6.4232890684132399E-3</v>
      </c>
      <c r="CV183" s="1111">
        <f>SUMIFS(NewEmisData!G:G, NewEmisData!$A:$A, $G183, NewEmisData!$B:$B, $A183, NewEmisData!$C:$C, $H183, NewEmisData!$D:$D, CV$6)</f>
        <v>7.3982049149974903E-3</v>
      </c>
      <c r="CW183" s="1111">
        <f>SUMIFS(NewEmisData!H:H, NewEmisData!$A:$A, $G183, NewEmisData!$B:$B, $A183, NewEmisData!$C:$C, $H183, NewEmisData!$D:$D, CW$6)</f>
        <v>7.4088773394752599E-3</v>
      </c>
      <c r="CX183" s="1111">
        <f>SUMIFS(NewEmisData!I:I, NewEmisData!$A:$A, $G183, NewEmisData!$B:$B, $A183, NewEmisData!$C:$C, $H183, NewEmisData!$D:$D, CX$6)</f>
        <v>7.4094538759446396E-3</v>
      </c>
      <c r="CY183" s="1111">
        <f>SUMIFS(NewEmisData!J:J, NewEmisData!$A:$A, $G183, NewEmisData!$B:$B, $A183, NewEmisData!$C:$C, $H183, NewEmisData!$D:$D, CY$6)</f>
        <v>7.4045671468592096E-3</v>
      </c>
      <c r="CZ183" s="1111">
        <f>SUMIFS(NewEmisData!K:K, NewEmisData!$A:$A, $G183, NewEmisData!$B:$B, $A183, NewEmisData!$C:$C, $H183, NewEmisData!$D:$D, CZ$6)</f>
        <v>7.4007369137275699E-3</v>
      </c>
      <c r="DA183" s="1111">
        <f>SUMIFS(NewEmisData!L:L, NewEmisData!$A:$A, $G183, NewEmisData!$B:$B, $A183, NewEmisData!$C:$C, $H183, NewEmisData!$D:$D, DA$6)</f>
        <v>7.3993983540755204E-3</v>
      </c>
      <c r="DB183" s="1111">
        <f>SUMIFS(NewEmisData!M:M, NewEmisData!$A:$A, $G183, NewEmisData!$B:$B, $A183, NewEmisData!$C:$C, $H183, NewEmisData!$D:$D, DB$6)</f>
        <v>7.3984107449231598E-3</v>
      </c>
      <c r="DC183" s="1111">
        <f t="shared" si="254"/>
        <v>7.3984107449231598E-3</v>
      </c>
      <c r="DD183" s="1111"/>
      <c r="DE183" s="1111"/>
      <c r="DF183" s="1111"/>
      <c r="DG183" s="1111"/>
      <c r="DH183" s="1111"/>
      <c r="DI183" s="1111"/>
      <c r="DJ183" s="1111"/>
      <c r="DK183" s="1111"/>
      <c r="DL183" s="1111"/>
      <c r="DM183" s="1111"/>
      <c r="DN183" s="1111"/>
      <c r="DO183" s="1111"/>
      <c r="DP183" s="1111"/>
      <c r="DQ183" s="1111"/>
      <c r="DR183" s="1111"/>
      <c r="DS183" s="1111"/>
      <c r="DT183" s="1111"/>
      <c r="DU183" s="1111"/>
      <c r="DV183" s="1111"/>
      <c r="DW183" s="1111"/>
      <c r="DX183" s="1111"/>
      <c r="DY183" s="1111"/>
      <c r="DZ183" s="1111">
        <f t="shared" si="255"/>
        <v>4.41589904201058E-2</v>
      </c>
      <c r="EA183" s="1111">
        <f>SUMIFS(NewEmisData!E:E, NewEmisData!$A:$A, $G183, NewEmisData!$B:$B, $A183, NewEmisData!$C:$C, $H183, NewEmisData!$D:$D, EA$6)</f>
        <v>4.41589904201058E-2</v>
      </c>
      <c r="EB183" s="1111">
        <f>SUMIFS(NewEmisData!F:F, NewEmisData!$A:$A, $G183, NewEmisData!$B:$B, $A183, NewEmisData!$C:$C, $H183, NewEmisData!$D:$D, EB$6)</f>
        <v>0.113476815309018</v>
      </c>
      <c r="EC183" s="1111">
        <f>SUMIFS(NewEmisData!G:G, NewEmisData!$A:$A, $G183, NewEmisData!$B:$B, $A183, NewEmisData!$C:$C, $H183, NewEmisData!$D:$D, EC$6)</f>
        <v>0.148804284105474</v>
      </c>
      <c r="ED183" s="1111">
        <f>SUMIFS(NewEmisData!H:H, NewEmisData!$A:$A, $G183, NewEmisData!$B:$B, $A183, NewEmisData!$C:$C, $H183, NewEmisData!$D:$D, ED$6)</f>
        <v>0.149805777267462</v>
      </c>
      <c r="EE183" s="1111">
        <f>SUMIFS(NewEmisData!I:I, NewEmisData!$A:$A, $G183, NewEmisData!$B:$B, $A183, NewEmisData!$C:$C, $H183, NewEmisData!$D:$D, EE$6)</f>
        <v>0.14994983513978</v>
      </c>
      <c r="EF183" s="1111">
        <f>SUMIFS(NewEmisData!J:J, NewEmisData!$A:$A, $G183, NewEmisData!$B:$B, $A183, NewEmisData!$C:$C, $H183, NewEmisData!$D:$D, EF$6)</f>
        <v>0.14964505772550801</v>
      </c>
      <c r="EG183" s="1111">
        <f>SUMIFS(NewEmisData!K:K, NewEmisData!$A:$A, $G183, NewEmisData!$B:$B, $A183, NewEmisData!$C:$C, $H183, NewEmisData!$D:$D, EG$6)</f>
        <v>0.149643881204473</v>
      </c>
      <c r="EH183" s="1111">
        <f>SUMIFS(NewEmisData!L:L, NewEmisData!$A:$A, $G183, NewEmisData!$B:$B, $A183, NewEmisData!$C:$C, $H183, NewEmisData!$D:$D, EH$6)</f>
        <v>0.14957074940992099</v>
      </c>
      <c r="EI183" s="1111">
        <f>SUMIFS(NewEmisData!M:M, NewEmisData!$A:$A, $G183, NewEmisData!$B:$B, $A183, NewEmisData!$C:$C, $H183, NewEmisData!$D:$D, EI$6)</f>
        <v>0.149527028885417</v>
      </c>
      <c r="EJ183" s="1111">
        <f t="shared" si="256"/>
        <v>0.149527028885417</v>
      </c>
      <c r="EK183" s="1111">
        <f t="shared" si="257"/>
        <v>1844.7083010230299</v>
      </c>
      <c r="EL183" s="1111">
        <f t="shared" si="269"/>
        <v>1844.7083010230299</v>
      </c>
      <c r="EM183" s="1111">
        <f t="shared" si="270"/>
        <v>1832.6045194358301</v>
      </c>
      <c r="EN183" s="1111">
        <f t="shared" si="271"/>
        <v>1884.2537986570301</v>
      </c>
      <c r="EO183" s="1111">
        <f t="shared" si="272"/>
        <v>1818.5727784503399</v>
      </c>
      <c r="EP183" s="1111">
        <f t="shared" si="273"/>
        <v>1763.6996289860999</v>
      </c>
      <c r="EQ183" s="1111">
        <f t="shared" si="274"/>
        <v>1745.38280930633</v>
      </c>
      <c r="ER183" s="1111">
        <f t="shared" si="275"/>
        <v>1739.98947678168</v>
      </c>
      <c r="ES183" s="1111">
        <f t="shared" si="276"/>
        <v>1738.81123596359</v>
      </c>
      <c r="ET183" s="1111">
        <f t="shared" si="277"/>
        <v>1738.5227113911701</v>
      </c>
      <c r="EU183" s="1111">
        <f t="shared" si="278"/>
        <v>1738.5227113911701</v>
      </c>
      <c r="EV183" s="1111">
        <f t="shared" si="258"/>
        <v>11.3242694436207</v>
      </c>
      <c r="EW183" s="1111">
        <f t="shared" si="259"/>
        <v>11.3242694436207</v>
      </c>
      <c r="EX183" s="1111">
        <f t="shared" si="260"/>
        <v>5.2798482437774998</v>
      </c>
      <c r="EY183" s="1111">
        <f t="shared" si="261"/>
        <v>3.78642260339578</v>
      </c>
      <c r="EZ183" s="1111">
        <f t="shared" si="262"/>
        <v>2.1972961679722198</v>
      </c>
      <c r="FA183" s="1111">
        <f t="shared" si="263"/>
        <v>1.5398620814352</v>
      </c>
      <c r="FB183" s="1111">
        <f t="shared" si="264"/>
        <v>1.33073738385153</v>
      </c>
      <c r="FC183" s="1111">
        <f t="shared" si="265"/>
        <v>1.2670046042829299</v>
      </c>
      <c r="FD183" s="1111">
        <f t="shared" si="266"/>
        <v>1.25837731661006</v>
      </c>
      <c r="FE183" s="1111">
        <f t="shared" si="267"/>
        <v>1.2558936064742501</v>
      </c>
      <c r="FF183" s="1111">
        <f t="shared" si="268"/>
        <v>1.2558936064742501</v>
      </c>
      <c r="FG183" s="1111">
        <f t="shared" si="291"/>
        <v>4.5365869728215401E-2</v>
      </c>
      <c r="FH183" s="1111">
        <f t="shared" si="292"/>
        <v>4.5365869728215401E-2</v>
      </c>
      <c r="FI183" s="1111">
        <f t="shared" si="293"/>
        <v>4.3660344033601299E-2</v>
      </c>
      <c r="FJ183" s="1111">
        <f t="shared" si="294"/>
        <v>1.5842755870111001E-2</v>
      </c>
      <c r="FK183" s="1111">
        <f t="shared" si="295"/>
        <v>1.52011817179993E-2</v>
      </c>
      <c r="FL183" s="1111">
        <f t="shared" si="296"/>
        <v>1.47126837043844E-2</v>
      </c>
      <c r="FM183" s="1111">
        <f t="shared" si="297"/>
        <v>1.45535009771615E-2</v>
      </c>
      <c r="FN183" s="1111">
        <f t="shared" si="298"/>
        <v>1.4506508977964299E-2</v>
      </c>
      <c r="FO183" s="1111">
        <f t="shared" si="299"/>
        <v>1.44966873739067E-2</v>
      </c>
      <c r="FP183" s="1111">
        <f t="shared" si="300"/>
        <v>1.4494279129535799E-2</v>
      </c>
      <c r="FQ183" s="1111">
        <f t="shared" si="301"/>
        <v>1.4494279129535799E-2</v>
      </c>
      <c r="FR183" s="1111">
        <f t="shared" si="230"/>
        <v>1.1349607828839201</v>
      </c>
      <c r="FS183" s="1111">
        <f t="shared" si="231"/>
        <v>1.1349607828839201</v>
      </c>
      <c r="FT183" s="1111">
        <f t="shared" si="232"/>
        <v>0.61030408012734905</v>
      </c>
      <c r="FU183" s="1111">
        <f t="shared" si="233"/>
        <v>0.44031388127967303</v>
      </c>
      <c r="FV183" s="1111">
        <f t="shared" si="234"/>
        <v>0.34801512923671002</v>
      </c>
      <c r="FW183" s="1111">
        <f t="shared" si="235"/>
        <v>0.316619673688259</v>
      </c>
      <c r="FX183" s="1111">
        <f t="shared" si="236"/>
        <v>0.310711543242081</v>
      </c>
      <c r="FY183" s="1111">
        <f t="shared" si="237"/>
        <v>0.30897246291541097</v>
      </c>
      <c r="FZ183" s="1111">
        <f t="shared" si="238"/>
        <v>0.308957597755115</v>
      </c>
      <c r="GA183" s="1111">
        <f t="shared" si="239"/>
        <v>0.30895604079919098</v>
      </c>
      <c r="GB183" s="1111">
        <f t="shared" si="240"/>
        <v>0.30895604079919098</v>
      </c>
      <c r="GC183" s="1111">
        <f t="shared" si="279"/>
        <v>0.82460782978682501</v>
      </c>
      <c r="GD183" s="1111">
        <f t="shared" si="280"/>
        <v>0.82460782978682501</v>
      </c>
      <c r="GE183" s="1111">
        <f t="shared" si="281"/>
        <v>0.34373570942234799</v>
      </c>
      <c r="GF183" s="1111">
        <f t="shared" si="282"/>
        <v>0.18121898411016099</v>
      </c>
      <c r="GG183" s="1111">
        <f t="shared" si="283"/>
        <v>9.7394815729633696E-2</v>
      </c>
      <c r="GH183" s="1111">
        <f t="shared" si="284"/>
        <v>6.8837534672911399E-2</v>
      </c>
      <c r="GI183" s="1111">
        <f t="shared" si="285"/>
        <v>6.3495189038770203E-2</v>
      </c>
      <c r="GJ183" s="1111">
        <f t="shared" si="286"/>
        <v>6.1918142257759601E-2</v>
      </c>
      <c r="GK183" s="1111">
        <f t="shared" si="287"/>
        <v>6.1908718128838802E-2</v>
      </c>
      <c r="GL183" s="1111">
        <f t="shared" si="288"/>
        <v>6.1907262020399603E-2</v>
      </c>
      <c r="GM183" s="1111">
        <f t="shared" si="289"/>
        <v>6.1907262020399603E-2</v>
      </c>
    </row>
    <row r="184" spans="1:195" x14ac:dyDescent="0.2">
      <c r="A184" s="1071" t="s">
        <v>188</v>
      </c>
      <c r="B184" s="1071" t="str">
        <f>Technologies!C119</f>
        <v>TMDSLC</v>
      </c>
      <c r="C184" s="1071" t="str">
        <f>Technologies!D119</f>
        <v>Medium Duty Truck, Conventional Diesel</v>
      </c>
      <c r="D184" s="1071" t="str">
        <f>NewTech!D71</f>
        <v>bn-vmt, bn-vmt/a</v>
      </c>
      <c r="E184" s="1071" t="str">
        <f>NewTech!E72</f>
        <v>TMDSL</v>
      </c>
      <c r="F184" s="1071" t="str">
        <f>NewTech!F72</f>
        <v>TM</v>
      </c>
      <c r="G184" s="1110" t="s">
        <v>503</v>
      </c>
      <c r="H184" s="1110" t="s">
        <v>499</v>
      </c>
      <c r="I184" s="1112">
        <v>1</v>
      </c>
      <c r="J184" s="1111" t="str">
        <f t="shared" si="37"/>
        <v>Medium duty-DSL</v>
      </c>
      <c r="K184" s="1111">
        <f>SUMIFS(NewEmisData!E:E, NewEmisData!$A:$A, $G184, NewEmisData!$B:$B, $A184, NewEmisData!$C:$C, $H184, NewEmisData!$D:$D, K$6)</f>
        <v>1359.24651399801</v>
      </c>
      <c r="L184" s="1111">
        <f>SUMIFS(NewEmisData!F:F, NewEmisData!$A:$A, $G184, NewEmisData!$B:$B, $A184, NewEmisData!$C:$C, $H184, NewEmisData!$D:$D, L$6)</f>
        <v>1349.4553811456799</v>
      </c>
      <c r="M184" s="1111">
        <f>SUMIFS(NewEmisData!G:G, NewEmisData!$A:$A, $G184, NewEmisData!$B:$B, $A184, NewEmisData!$C:$C, $H184, NewEmisData!$D:$D, M$6)</f>
        <v>1201.7753721342699</v>
      </c>
      <c r="N184" s="1111">
        <f>SUMIFS(NewEmisData!H:H, NewEmisData!$A:$A, $G184, NewEmisData!$B:$B, $A184, NewEmisData!$C:$C, $H184, NewEmisData!$D:$D, N$6)</f>
        <v>1159.4102608457299</v>
      </c>
      <c r="O184" s="1111">
        <f>SUMIFS(NewEmisData!I:I, NewEmisData!$A:$A, $G184, NewEmisData!$B:$B, $A184, NewEmisData!$C:$C, $H184, NewEmisData!$D:$D, O$6)</f>
        <v>1124.18143975774</v>
      </c>
      <c r="P184" s="1111">
        <f>SUMIFS(NewEmisData!J:J, NewEmisData!$A:$A, $G184, NewEmisData!$B:$B, $A184, NewEmisData!$C:$C, $H184, NewEmisData!$D:$D, P$6)</f>
        <v>1112.41123305204</v>
      </c>
      <c r="Q184" s="1111">
        <f>SUMIFS(NewEmisData!K:K, NewEmisData!$A:$A, $G184, NewEmisData!$B:$B, $A184, NewEmisData!$C:$C, $H184, NewEmisData!$D:$D, Q$6)</f>
        <v>1108.9495585776399</v>
      </c>
      <c r="R184" s="1111">
        <f>SUMIFS(NewEmisData!L:L, NewEmisData!$A:$A, $G184, NewEmisData!$B:$B, $A184, NewEmisData!$C:$C, $H184, NewEmisData!$D:$D, R$6)</f>
        <v>1108.1911650136201</v>
      </c>
      <c r="S184" s="1111">
        <f>SUMIFS(NewEmisData!M:M, NewEmisData!$A:$A, $G184, NewEmisData!$B:$B, $A184, NewEmisData!$C:$C, $H184, NewEmisData!$D:$D, S$6)</f>
        <v>1108.0051090873801</v>
      </c>
      <c r="T184" s="1111">
        <f t="shared" si="290"/>
        <v>1108.0051090873801</v>
      </c>
      <c r="U184" s="1111">
        <f>SUMIFS(NewEmisData!E:E, NewEmisData!$A:$A, $G184, NewEmisData!$B:$B, $A184, NewEmisData!$C:$C, $H184, NewEmisData!$D:$D, U$6)</f>
        <v>9.9935080505540999</v>
      </c>
      <c r="V184" s="1111">
        <f>SUMIFS(NewEmisData!F:F, NewEmisData!$A:$A, $G184, NewEmisData!$B:$B, $A184, NewEmisData!$C:$C, $H184, NewEmisData!$D:$D, V$6)</f>
        <v>5.4019505037215803</v>
      </c>
      <c r="W184" s="1111">
        <f>SUMIFS(NewEmisData!G:G, NewEmisData!$A:$A, $G184, NewEmisData!$B:$B, $A184, NewEmisData!$C:$C, $H184, NewEmisData!$D:$D, W$6)</f>
        <v>2.3680454032681002</v>
      </c>
      <c r="X184" s="1111">
        <f>SUMIFS(NewEmisData!H:H, NewEmisData!$A:$A, $G184, NewEmisData!$B:$B, $A184, NewEmisData!$C:$C, $H184, NewEmisData!$D:$D, X$6)</f>
        <v>1.37960112387871</v>
      </c>
      <c r="Y184" s="1111">
        <f>SUMIFS(NewEmisData!I:I, NewEmisData!$A:$A, $G184, NewEmisData!$B:$B, $A184, NewEmisData!$C:$C, $H184, NewEmisData!$D:$D, Y$6)</f>
        <v>0.96959264343873697</v>
      </c>
      <c r="Z184" s="1111">
        <f>SUMIFS(NewEmisData!J:J, NewEmisData!$A:$A, $G184, NewEmisData!$B:$B, $A184, NewEmisData!$C:$C, $H184, NewEmisData!$D:$D, Z$6)</f>
        <v>0.83872679442891696</v>
      </c>
      <c r="AA184" s="1111">
        <f>SUMIFS(NewEmisData!K:K, NewEmisData!$A:$A, $G184, NewEmisData!$B:$B, $A184, NewEmisData!$C:$C, $H184, NewEmisData!$D:$D, AA$6)</f>
        <v>0.79867865097523805</v>
      </c>
      <c r="AB184" s="1111">
        <f>SUMIFS(NewEmisData!L:L, NewEmisData!$A:$A, $G184, NewEmisData!$B:$B, $A184, NewEmisData!$C:$C, $H184, NewEmisData!$D:$D, AB$6)</f>
        <v>0.79322284274622901</v>
      </c>
      <c r="AC184" s="1111">
        <f>SUMIFS(NewEmisData!M:M, NewEmisData!$A:$A, $G184, NewEmisData!$B:$B, $A184, NewEmisData!$C:$C, $H184, NewEmisData!$D:$D, AC$6)</f>
        <v>0.79163411205103495</v>
      </c>
      <c r="AD184" s="1111">
        <f t="shared" si="229"/>
        <v>0.79163411205103495</v>
      </c>
      <c r="AE184" s="1111">
        <f t="shared" si="241"/>
        <v>3.2609020112497403E-2</v>
      </c>
      <c r="AF184" s="1111">
        <f>SUMIFS(NewEmisData!E:E, NewEmisData!$A:$A, $G184, NewEmisData!$B:$B, $A184, NewEmisData!$C:$C, $H184, NewEmisData!$D:$D, AF$6)</f>
        <v>3.2609020112497403E-2</v>
      </c>
      <c r="AG184" s="1111">
        <f>SUMIFS(NewEmisData!F:F, NewEmisData!$A:$A, $G184, NewEmisData!$B:$B, $A184, NewEmisData!$C:$C, $H184, NewEmisData!$D:$D, AG$6)</f>
        <v>3.17571573502895E-2</v>
      </c>
      <c r="AH184" s="1111">
        <f>SUMIFS(NewEmisData!G:G, NewEmisData!$A:$A, $G184, NewEmisData!$B:$B, $A184, NewEmisData!$C:$C, $H184, NewEmisData!$D:$D, AH$6)</f>
        <v>1.01046015527187E-2</v>
      </c>
      <c r="AI184" s="1111">
        <f>SUMIFS(NewEmisData!H:H, NewEmisData!$A:$A, $G184, NewEmisData!$B:$B, $A184, NewEmisData!$C:$C, $H184, NewEmisData!$D:$D, AI$6)</f>
        <v>9.6913827425881005E-3</v>
      </c>
      <c r="AJ184" s="1111">
        <f>SUMIFS(NewEmisData!I:I, NewEmisData!$A:$A, $G184, NewEmisData!$B:$B, $A184, NewEmisData!$C:$C, $H184, NewEmisData!$D:$D, AJ$6)</f>
        <v>9.3778737694311005E-3</v>
      </c>
      <c r="AK184" s="1111">
        <f>SUMIFS(NewEmisData!J:J, NewEmisData!$A:$A, $G184, NewEmisData!$B:$B, $A184, NewEmisData!$C:$C, $H184, NewEmisData!$D:$D, AK$6)</f>
        <v>9.2756075273223108E-3</v>
      </c>
      <c r="AL184" s="1111">
        <f>SUMIFS(NewEmisData!K:K, NewEmisData!$A:$A, $G184, NewEmisData!$B:$B, $A184, NewEmisData!$C:$C, $H184, NewEmisData!$D:$D, AL$6)</f>
        <v>9.2454491450441392E-3</v>
      </c>
      <c r="AM184" s="1111">
        <f>SUMIFS(NewEmisData!L:L, NewEmisData!$A:$A, $G184, NewEmisData!$B:$B, $A184, NewEmisData!$C:$C, $H184, NewEmisData!$D:$D, AM$6)</f>
        <v>9.2391217629996109E-3</v>
      </c>
      <c r="AN184" s="1111">
        <f>SUMIFS(NewEmisData!M:M, NewEmisData!$A:$A, $G184, NewEmisData!$B:$B, $A184, NewEmisData!$C:$C, $H184, NewEmisData!$D:$D, AN$6)</f>
        <v>9.2375739351750405E-3</v>
      </c>
      <c r="AO184" s="1111">
        <f t="shared" si="242"/>
        <v>9.2375739351750405E-3</v>
      </c>
      <c r="AP184" s="1111">
        <f t="shared" si="243"/>
        <v>0.92068922490925897</v>
      </c>
      <c r="AQ184" s="1111">
        <f>SUMIFS(NewEmisData!E:E, NewEmisData!$A:$A, $G184, NewEmisData!$B:$B, $A184, NewEmisData!$C:$C, $H184, NewEmisData!$D:$D, AQ$6)</f>
        <v>0.92068922490925897</v>
      </c>
      <c r="AR184" s="1111">
        <f>SUMIFS(NewEmisData!F:F, NewEmisData!$A:$A, $G184, NewEmisData!$B:$B, $A184, NewEmisData!$C:$C, $H184, NewEmisData!$D:$D, AR$6)</f>
        <v>0.49332051927640103</v>
      </c>
      <c r="AS184" s="1111">
        <f>SUMIFS(NewEmisData!G:G, NewEmisData!$A:$A, $G184, NewEmisData!$B:$B, $A184, NewEmisData!$C:$C, $H184, NewEmisData!$D:$D, AS$6)</f>
        <v>0.24551244923642301</v>
      </c>
      <c r="AT184" s="1111">
        <f>SUMIFS(NewEmisData!H:H, NewEmisData!$A:$A, $G184, NewEmisData!$B:$B, $A184, NewEmisData!$C:$C, $H184, NewEmisData!$D:$D, AT$6)</f>
        <v>0.19029699336139799</v>
      </c>
      <c r="AU184" s="1111">
        <f>SUMIFS(NewEmisData!I:I, NewEmisData!$A:$A, $G184, NewEmisData!$B:$B, $A184, NewEmisData!$C:$C, $H184, NewEmisData!$D:$D, AU$6)</f>
        <v>0.171654581016567</v>
      </c>
      <c r="AV184" s="1111">
        <f>SUMIFS(NewEmisData!J:J, NewEmisData!$A:$A, $G184, NewEmisData!$B:$B, $A184, NewEmisData!$C:$C, $H184, NewEmisData!$D:$D, AV$6)</f>
        <v>0.168061002565252</v>
      </c>
      <c r="AW184" s="1111">
        <f>SUMIFS(NewEmisData!K:K, NewEmisData!$A:$A, $G184, NewEmisData!$B:$B, $A184, NewEmisData!$C:$C, $H184, NewEmisData!$D:$D, AW$6)</f>
        <v>0.167001709815503</v>
      </c>
      <c r="AX184" s="1111">
        <f>SUMIFS(NewEmisData!L:L, NewEmisData!$A:$A, $G184, NewEmisData!$B:$B, $A184, NewEmisData!$C:$C, $H184, NewEmisData!$D:$D, AX$6)</f>
        <v>0.16699297497215901</v>
      </c>
      <c r="AY184" s="1111">
        <f>SUMIFS(NewEmisData!M:M, NewEmisData!$A:$A, $G184, NewEmisData!$B:$B, $A184, NewEmisData!$C:$C, $H184, NewEmisData!$D:$D, AY$6)</f>
        <v>0.16699184457612301</v>
      </c>
      <c r="AZ184" s="1111">
        <f t="shared" si="244"/>
        <v>0.16699184457612301</v>
      </c>
      <c r="BA184" s="1111">
        <f t="shared" si="245"/>
        <v>0.71010379978724403</v>
      </c>
      <c r="BB184" s="1111">
        <f>SUMIFS(NewEmisData!E:E, NewEmisData!$A:$A, $G184, NewEmisData!$B:$B, $A184, NewEmisData!$C:$C, $H184, NewEmisData!$D:$D, BB$6)</f>
        <v>0.71010379978724403</v>
      </c>
      <c r="BC184" s="1111">
        <f>SUMIFS(NewEmisData!F:F, NewEmisData!$A:$A, $G184, NewEmisData!$B:$B, $A184, NewEmisData!$C:$C, $H184, NewEmisData!$D:$D, BC$6)</f>
        <v>0.31539716063004603</v>
      </c>
      <c r="BD184" s="1111">
        <f>SUMIFS(NewEmisData!G:G, NewEmisData!$A:$A, $G184, NewEmisData!$B:$B, $A184, NewEmisData!$C:$C, $H184, NewEmisData!$D:$D, BD$6)</f>
        <v>0.10700307974279601</v>
      </c>
      <c r="BE184" s="1111">
        <f>SUMIFS(NewEmisData!H:H, NewEmisData!$A:$A, $G184, NewEmisData!$B:$B, $A184, NewEmisData!$C:$C, $H184, NewEmisData!$D:$D, BE$6)</f>
        <v>5.6773062835599797E-2</v>
      </c>
      <c r="BF184" s="1111">
        <f>SUMIFS(NewEmisData!I:I, NewEmisData!$A:$A, $G184, NewEmisData!$B:$B, $A184, NewEmisData!$C:$C, $H184, NewEmisData!$D:$D, BF$6)</f>
        <v>3.9792368333530698E-2</v>
      </c>
      <c r="BG184" s="1111">
        <f>SUMIFS(NewEmisData!J:J, NewEmisData!$A:$A, $G184, NewEmisData!$B:$B, $A184, NewEmisData!$C:$C, $H184, NewEmisData!$D:$D, BG$6)</f>
        <v>3.6534861023721103E-2</v>
      </c>
      <c r="BH184" s="1111">
        <f>SUMIFS(NewEmisData!K:K, NewEmisData!$A:$A, $G184, NewEmisData!$B:$B, $A184, NewEmisData!$C:$C, $H184, NewEmisData!$D:$D, BH$6)</f>
        <v>3.5572117087596597E-2</v>
      </c>
      <c r="BI184" s="1111">
        <f>SUMIFS(NewEmisData!L:L, NewEmisData!$A:$A, $G184, NewEmisData!$B:$B, $A184, NewEmisData!$C:$C, $H184, NewEmisData!$D:$D, BI$6)</f>
        <v>3.556620106866E-2</v>
      </c>
      <c r="BJ184" s="1111">
        <f>SUMIFS(NewEmisData!M:M, NewEmisData!$A:$A, $G184, NewEmisData!$B:$B, $A184, NewEmisData!$C:$C, $H184, NewEmisData!$D:$D, BJ$6)</f>
        <v>3.5565244855547698E-2</v>
      </c>
      <c r="BK184" s="1111">
        <f t="shared" si="246"/>
        <v>3.5565244855547698E-2</v>
      </c>
      <c r="BL184" s="1111">
        <f t="shared" si="247"/>
        <v>4.3150452160613399</v>
      </c>
      <c r="BM184" s="1111">
        <f>SUMIFS(NewEmisData!E:E, NewEmisData!$A:$A, $G184, NewEmisData!$B:$B, $A184, NewEmisData!$C:$C, $H184, NewEmisData!$D:$D, BM$6)</f>
        <v>4.3150452160613399</v>
      </c>
      <c r="BN184" s="1111">
        <f>SUMIFS(NewEmisData!F:F, NewEmisData!$A:$A, $G184, NewEmisData!$B:$B, $A184, NewEmisData!$C:$C, $H184, NewEmisData!$D:$D, BN$6)</f>
        <v>2.1245169733868399</v>
      </c>
      <c r="BO184" s="1111">
        <f>SUMIFS(NewEmisData!G:G, NewEmisData!$A:$A, $G184, NewEmisData!$B:$B, $A184, NewEmisData!$C:$C, $H184, NewEmisData!$D:$D, BO$6)</f>
        <v>0.94068181429637499</v>
      </c>
      <c r="BP184" s="1111">
        <f>SUMIFS(NewEmisData!H:H, NewEmisData!$A:$A, $G184, NewEmisData!$B:$B, $A184, NewEmisData!$C:$C, $H184, NewEmisData!$D:$D, BP$6)</f>
        <v>0.59128118339828695</v>
      </c>
      <c r="BQ184" s="1111">
        <f>SUMIFS(NewEmisData!I:I, NewEmisData!$A:$A, $G184, NewEmisData!$B:$B, $A184, NewEmisData!$C:$C, $H184, NewEmisData!$D:$D, BQ$6)</f>
        <v>0.47927194222425401</v>
      </c>
      <c r="BR184" s="1111">
        <f>SUMIFS(NewEmisData!J:J, NewEmisData!$A:$A, $G184, NewEmisData!$B:$B, $A184, NewEmisData!$C:$C, $H184, NewEmisData!$D:$D, BR$6)</f>
        <v>0.45341859187278799</v>
      </c>
      <c r="BS184" s="1111">
        <f>SUMIFS(NewEmisData!K:K, NewEmisData!$A:$A, $G184, NewEmisData!$B:$B, $A184, NewEmisData!$C:$C, $H184, NewEmisData!$D:$D, BS$6)</f>
        <v>0.446256256758017</v>
      </c>
      <c r="BT184" s="1111">
        <f>SUMIFS(NewEmisData!L:L, NewEmisData!$A:$A, $G184, NewEmisData!$B:$B, $A184, NewEmisData!$C:$C, $H184, NewEmisData!$D:$D, BT$6)</f>
        <v>0.44612206557733602</v>
      </c>
      <c r="BU184" s="1111">
        <f>SUMIFS(NewEmisData!M:M, NewEmisData!$A:$A, $G184, NewEmisData!$B:$B, $A184, NewEmisData!$C:$C, $H184, NewEmisData!$D:$D, BU$6)</f>
        <v>0.44605643597918299</v>
      </c>
      <c r="BV184" s="1111">
        <f t="shared" si="248"/>
        <v>0.44605643597918299</v>
      </c>
      <c r="BW184" s="1111">
        <f t="shared" si="249"/>
        <v>1.7526352760541399</v>
      </c>
      <c r="BX184" s="1111">
        <f>SUMIFS(NewEmisData!E:E, NewEmisData!$A:$A, $G184, NewEmisData!$B:$B, $A184, NewEmisData!$C:$C, $H184, NewEmisData!$D:$D, BX$6)</f>
        <v>1.7526352760541399</v>
      </c>
      <c r="BY184" s="1111">
        <f>SUMIFS(NewEmisData!F:F, NewEmisData!$A:$A, $G184, NewEmisData!$B:$B, $A184, NewEmisData!$C:$C, $H184, NewEmisData!$D:$D, BY$6)</f>
        <v>0.76319496140940501</v>
      </c>
      <c r="BZ184" s="1111">
        <f>SUMIFS(NewEmisData!G:G, NewEmisData!$A:$A, $G184, NewEmisData!$B:$B, $A184, NewEmisData!$C:$C, $H184, NewEmisData!$D:$D, BZ$6)</f>
        <v>0.28613534772152999</v>
      </c>
      <c r="CA184" s="1111">
        <f>SUMIFS(NewEmisData!H:H, NewEmisData!$A:$A, $G184, NewEmisData!$B:$B, $A184, NewEmisData!$C:$C, $H184, NewEmisData!$D:$D, CA$6)</f>
        <v>0.14791681955889299</v>
      </c>
      <c r="CB184" s="1111">
        <f>SUMIFS(NewEmisData!I:I, NewEmisData!$A:$A, $G184, NewEmisData!$B:$B, $A184, NewEmisData!$C:$C, $H184, NewEmisData!$D:$D, CB$6)</f>
        <v>0.105362725656792</v>
      </c>
      <c r="CC184" s="1111">
        <f>SUMIFS(NewEmisData!J:J, NewEmisData!$A:$A, $G184, NewEmisData!$B:$B, $A184, NewEmisData!$C:$C, $H184, NewEmisData!$D:$D, CC$6)</f>
        <v>9.5060988557020901E-2</v>
      </c>
      <c r="CD184" s="1111">
        <f>SUMIFS(NewEmisData!K:K, NewEmisData!$A:$A, $G184, NewEmisData!$B:$B, $A184, NewEmisData!$C:$C, $H184, NewEmisData!$D:$D, CD$6)</f>
        <v>9.2424289509125304E-2</v>
      </c>
      <c r="CE184" s="1111">
        <f>SUMIFS(NewEmisData!L:L, NewEmisData!$A:$A, $G184, NewEmisData!$B:$B, $A184, NewEmisData!$C:$C, $H184, NewEmisData!$D:$D, CE$6)</f>
        <v>9.23723223995183E-2</v>
      </c>
      <c r="CF184" s="1111">
        <f>SUMIFS(NewEmisData!M:M, NewEmisData!$A:$A, $G184, NewEmisData!$B:$B, $A184, NewEmisData!$C:$C, $H184, NewEmisData!$D:$D, CF$6)</f>
        <v>9.2343531240566795E-2</v>
      </c>
      <c r="CG184" s="1111">
        <f t="shared" si="250"/>
        <v>9.2343531240566795E-2</v>
      </c>
      <c r="CH184" s="1111">
        <f t="shared" si="251"/>
        <v>2.7055218991672101E-2</v>
      </c>
      <c r="CI184" s="1111">
        <f>SUMIFS(NewEmisData!E:E, NewEmisData!$A:$A, $G184, NewEmisData!$B:$B, $A184, NewEmisData!$C:$C, $H184, NewEmisData!$D:$D, CI$6)</f>
        <v>2.7055218991672101E-2</v>
      </c>
      <c r="CJ184" s="1111">
        <f>SUMIFS(NewEmisData!F:F, NewEmisData!$A:$A, $G184, NewEmisData!$B:$B, $A184, NewEmisData!$C:$C, $H184, NewEmisData!$D:$D, CJ$6)</f>
        <v>2.7097811202849698E-2</v>
      </c>
      <c r="CK184" s="1111">
        <f>SUMIFS(NewEmisData!G:G, NewEmisData!$A:$A, $G184, NewEmisData!$B:$B, $A184, NewEmisData!$C:$C, $H184, NewEmisData!$D:$D, CK$6)</f>
        <v>2.7499989724317601E-2</v>
      </c>
      <c r="CL184" s="1111">
        <f>SUMIFS(NewEmisData!H:H, NewEmisData!$A:$A, $G184, NewEmisData!$B:$B, $A184, NewEmisData!$C:$C, $H184, NewEmisData!$D:$D, CL$6)</f>
        <v>2.7501820283735001E-2</v>
      </c>
      <c r="CM184" s="1111">
        <f>SUMIFS(NewEmisData!I:I, NewEmisData!$A:$A, $G184, NewEmisData!$B:$B, $A184, NewEmisData!$C:$C, $H184, NewEmisData!$D:$D, CM$6)</f>
        <v>2.7502699986778598E-2</v>
      </c>
      <c r="CN184" s="1111">
        <f>SUMIFS(NewEmisData!J:J, NewEmisData!$A:$A, $G184, NewEmisData!$B:$B, $A184, NewEmisData!$C:$C, $H184, NewEmisData!$D:$D, CN$6)</f>
        <v>2.7503009963342099E-2</v>
      </c>
      <c r="CO184" s="1111">
        <f>SUMIFS(NewEmisData!K:K, NewEmisData!$A:$A, $G184, NewEmisData!$B:$B, $A184, NewEmisData!$C:$C, $H184, NewEmisData!$D:$D, CO$6)</f>
        <v>2.75030807344766E-2</v>
      </c>
      <c r="CP184" s="1111">
        <f>SUMIFS(NewEmisData!L:L, NewEmisData!$A:$A, $G184, NewEmisData!$B:$B, $A184, NewEmisData!$C:$C, $H184, NewEmisData!$D:$D, CP$6)</f>
        <v>2.75031193176942E-2</v>
      </c>
      <c r="CQ184" s="1111">
        <f>SUMIFS(NewEmisData!M:M, NewEmisData!$A:$A, $G184, NewEmisData!$B:$B, $A184, NewEmisData!$C:$C, $H184, NewEmisData!$D:$D, CQ$6)</f>
        <v>2.7503100293147099E-2</v>
      </c>
      <c r="CR184" s="1111">
        <f t="shared" si="252"/>
        <v>2.7503100293147099E-2</v>
      </c>
      <c r="CS184" s="1111">
        <f t="shared" si="253"/>
        <v>3.9349904375135403E-3</v>
      </c>
      <c r="CT184" s="1111">
        <f>SUMIFS(NewEmisData!E:E, NewEmisData!$A:$A, $G184, NewEmisData!$B:$B, $A184, NewEmisData!$C:$C, $H184, NewEmisData!$D:$D, CT$6)</f>
        <v>3.9349904375135403E-3</v>
      </c>
      <c r="CU184" s="1111">
        <f>SUMIFS(NewEmisData!F:F, NewEmisData!$A:$A, $G184, NewEmisData!$B:$B, $A184, NewEmisData!$C:$C, $H184, NewEmisData!$D:$D, CU$6)</f>
        <v>4.0144188046577697E-3</v>
      </c>
      <c r="CV184" s="1111">
        <f>SUMIFS(NewEmisData!G:G, NewEmisData!$A:$A, $G184, NewEmisData!$B:$B, $A184, NewEmisData!$C:$C, $H184, NewEmisData!$D:$D, CV$6)</f>
        <v>3.85532676774381E-3</v>
      </c>
      <c r="CW184" s="1111">
        <f>SUMIFS(NewEmisData!H:H, NewEmisData!$A:$A, $G184, NewEmisData!$B:$B, $A184, NewEmisData!$C:$C, $H184, NewEmisData!$D:$D, CW$6)</f>
        <v>3.86278277523287E-3</v>
      </c>
      <c r="CX184" s="1111">
        <f>SUMIFS(NewEmisData!I:I, NewEmisData!$A:$A, $G184, NewEmisData!$B:$B, $A184, NewEmisData!$C:$C, $H184, NewEmisData!$D:$D, CX$6)</f>
        <v>3.8631569663602201E-3</v>
      </c>
      <c r="CY184" s="1111">
        <f>SUMIFS(NewEmisData!J:J, NewEmisData!$A:$A, $G184, NewEmisData!$B:$B, $A184, NewEmisData!$C:$C, $H184, NewEmisData!$D:$D, CY$6)</f>
        <v>3.8597143652261199E-3</v>
      </c>
      <c r="CZ184" s="1111">
        <f>SUMIFS(NewEmisData!K:K, NewEmisData!$A:$A, $G184, NewEmisData!$B:$B, $A184, NewEmisData!$C:$C, $H184, NewEmisData!$D:$D, CZ$6)</f>
        <v>3.8570170955670299E-3</v>
      </c>
      <c r="DA184" s="1111">
        <f>SUMIFS(NewEmisData!L:L, NewEmisData!$A:$A, $G184, NewEmisData!$B:$B, $A184, NewEmisData!$C:$C, $H184, NewEmisData!$D:$D, DA$6)</f>
        <v>3.8560726634583298E-3</v>
      </c>
      <c r="DB184" s="1111">
        <f>SUMIFS(NewEmisData!M:M, NewEmisData!$A:$A, $G184, NewEmisData!$B:$B, $A184, NewEmisData!$C:$C, $H184, NewEmisData!$D:$D, DB$6)</f>
        <v>3.8553758260127901E-3</v>
      </c>
      <c r="DC184" s="1111">
        <f t="shared" si="254"/>
        <v>3.8553758260127901E-3</v>
      </c>
      <c r="DD184" s="1111"/>
      <c r="DE184" s="1111"/>
      <c r="DF184" s="1111"/>
      <c r="DG184" s="1111"/>
      <c r="DH184" s="1111"/>
      <c r="DI184" s="1111"/>
      <c r="DJ184" s="1111"/>
      <c r="DK184" s="1111"/>
      <c r="DL184" s="1111"/>
      <c r="DM184" s="1111"/>
      <c r="DN184" s="1111"/>
      <c r="DO184" s="1111"/>
      <c r="DP184" s="1111"/>
      <c r="DQ184" s="1111"/>
      <c r="DR184" s="1111"/>
      <c r="DS184" s="1111"/>
      <c r="DT184" s="1111"/>
      <c r="DU184" s="1111"/>
      <c r="DV184" s="1111"/>
      <c r="DW184" s="1111"/>
      <c r="DX184" s="1111"/>
      <c r="DY184" s="1111"/>
      <c r="DZ184" s="1111">
        <f t="shared" si="255"/>
        <v>1.6945041867018E-2</v>
      </c>
      <c r="EA184" s="1111">
        <f>SUMIFS(NewEmisData!E:E, NewEmisData!$A:$A, $G184, NewEmisData!$B:$B, $A184, NewEmisData!$C:$C, $H184, NewEmisData!$D:$D, EA$6)</f>
        <v>1.6945041867018E-2</v>
      </c>
      <c r="EB184" s="1111">
        <f>SUMIFS(NewEmisData!F:F, NewEmisData!$A:$A, $G184, NewEmisData!$B:$B, $A184, NewEmisData!$C:$C, $H184, NewEmisData!$D:$D, EB$6)</f>
        <v>7.8276884254222703E-2</v>
      </c>
      <c r="EC184" s="1111">
        <f>SUMIFS(NewEmisData!G:G, NewEmisData!$A:$A, $G184, NewEmisData!$B:$B, $A184, NewEmisData!$C:$C, $H184, NewEmisData!$D:$D, EC$6)</f>
        <v>8.4900351611377101E-2</v>
      </c>
      <c r="ED184" s="1111">
        <f>SUMIFS(NewEmisData!H:H, NewEmisData!$A:$A, $G184, NewEmisData!$B:$B, $A184, NewEmisData!$C:$C, $H184, NewEmisData!$D:$D, ED$6)</f>
        <v>8.5774709001773697E-2</v>
      </c>
      <c r="EE184" s="1111">
        <f>SUMIFS(NewEmisData!I:I, NewEmisData!$A:$A, $G184, NewEmisData!$B:$B, $A184, NewEmisData!$C:$C, $H184, NewEmisData!$D:$D, EE$6)</f>
        <v>8.5992272513838397E-2</v>
      </c>
      <c r="EF184" s="1111">
        <f>SUMIFS(NewEmisData!J:J, NewEmisData!$A:$A, $G184, NewEmisData!$B:$B, $A184, NewEmisData!$C:$C, $H184, NewEmisData!$D:$D, EF$6)</f>
        <v>8.5851695810059206E-2</v>
      </c>
      <c r="EG184" s="1111">
        <f>SUMIFS(NewEmisData!K:K, NewEmisData!$A:$A, $G184, NewEmisData!$B:$B, $A184, NewEmisData!$C:$C, $H184, NewEmisData!$D:$D, EG$6)</f>
        <v>8.5868499327711095E-2</v>
      </c>
      <c r="EH184" s="1111">
        <f>SUMIFS(NewEmisData!L:L, NewEmisData!$A:$A, $G184, NewEmisData!$B:$B, $A184, NewEmisData!$C:$C, $H184, NewEmisData!$D:$D, EH$6)</f>
        <v>8.5821898568060301E-2</v>
      </c>
      <c r="EI184" s="1111">
        <f>SUMIFS(NewEmisData!M:M, NewEmisData!$A:$A, $G184, NewEmisData!$B:$B, $A184, NewEmisData!$C:$C, $H184, NewEmisData!$D:$D, EI$6)</f>
        <v>8.5793172972528697E-2</v>
      </c>
      <c r="EJ184" s="1111">
        <f t="shared" si="256"/>
        <v>8.5793172972528697E-2</v>
      </c>
      <c r="EK184" s="1111">
        <f t="shared" si="257"/>
        <v>1359.24651399801</v>
      </c>
      <c r="EL184" s="1111">
        <f t="shared" si="269"/>
        <v>1359.24651399801</v>
      </c>
      <c r="EM184" s="1111">
        <f t="shared" si="270"/>
        <v>1349.4553811456799</v>
      </c>
      <c r="EN184" s="1111">
        <f t="shared" si="271"/>
        <v>1201.7753721342699</v>
      </c>
      <c r="EO184" s="1111">
        <f t="shared" si="272"/>
        <v>1159.4102608457299</v>
      </c>
      <c r="EP184" s="1111">
        <f t="shared" si="273"/>
        <v>1124.18143975774</v>
      </c>
      <c r="EQ184" s="1111">
        <f t="shared" si="274"/>
        <v>1112.41123305204</v>
      </c>
      <c r="ER184" s="1111">
        <f t="shared" si="275"/>
        <v>1108.9495585776399</v>
      </c>
      <c r="ES184" s="1111">
        <f t="shared" si="276"/>
        <v>1108.1911650136201</v>
      </c>
      <c r="ET184" s="1111">
        <f t="shared" si="277"/>
        <v>1108.0051090873801</v>
      </c>
      <c r="EU184" s="1111">
        <f t="shared" si="278"/>
        <v>1108.0051090873801</v>
      </c>
      <c r="EV184" s="1111">
        <f t="shared" si="258"/>
        <v>9.9935080505540999</v>
      </c>
      <c r="EW184" s="1111">
        <f t="shared" si="259"/>
        <v>9.9935080505540999</v>
      </c>
      <c r="EX184" s="1111">
        <f t="shared" si="260"/>
        <v>5.4019505037215803</v>
      </c>
      <c r="EY184" s="1111">
        <f t="shared" si="261"/>
        <v>2.3680454032681002</v>
      </c>
      <c r="EZ184" s="1111">
        <f t="shared" si="262"/>
        <v>1.37960112387871</v>
      </c>
      <c r="FA184" s="1111">
        <f t="shared" si="263"/>
        <v>0.96959264343873697</v>
      </c>
      <c r="FB184" s="1111">
        <f t="shared" si="264"/>
        <v>0.83872679442891696</v>
      </c>
      <c r="FC184" s="1111">
        <f t="shared" si="265"/>
        <v>0.79867865097523805</v>
      </c>
      <c r="FD184" s="1111">
        <f t="shared" si="266"/>
        <v>0.79322284274622901</v>
      </c>
      <c r="FE184" s="1111">
        <f t="shared" si="267"/>
        <v>0.79163411205103495</v>
      </c>
      <c r="FF184" s="1111">
        <f t="shared" si="268"/>
        <v>0.79163411205103495</v>
      </c>
      <c r="FG184" s="1111">
        <f t="shared" si="291"/>
        <v>3.2609020112497403E-2</v>
      </c>
      <c r="FH184" s="1111">
        <f t="shared" si="292"/>
        <v>3.2609020112497403E-2</v>
      </c>
      <c r="FI184" s="1111">
        <f t="shared" si="293"/>
        <v>3.17571573502895E-2</v>
      </c>
      <c r="FJ184" s="1111">
        <f t="shared" si="294"/>
        <v>1.01046015527187E-2</v>
      </c>
      <c r="FK184" s="1111">
        <f t="shared" si="295"/>
        <v>9.6913827425881005E-3</v>
      </c>
      <c r="FL184" s="1111">
        <f t="shared" si="296"/>
        <v>9.3778737694311005E-3</v>
      </c>
      <c r="FM184" s="1111">
        <f t="shared" si="297"/>
        <v>9.2756075273223108E-3</v>
      </c>
      <c r="FN184" s="1111">
        <f t="shared" si="298"/>
        <v>9.2454491450441392E-3</v>
      </c>
      <c r="FO184" s="1111">
        <f t="shared" si="299"/>
        <v>9.2391217629996109E-3</v>
      </c>
      <c r="FP184" s="1111">
        <f t="shared" si="300"/>
        <v>9.2375739351750405E-3</v>
      </c>
      <c r="FQ184" s="1111">
        <f t="shared" si="301"/>
        <v>9.2375739351750405E-3</v>
      </c>
      <c r="FR184" s="1111">
        <f t="shared" si="230"/>
        <v>0.92068922490925897</v>
      </c>
      <c r="FS184" s="1111">
        <f t="shared" si="231"/>
        <v>0.92068922490925897</v>
      </c>
      <c r="FT184" s="1111">
        <f t="shared" si="232"/>
        <v>0.49332051927640103</v>
      </c>
      <c r="FU184" s="1111">
        <f t="shared" si="233"/>
        <v>0.24551244923642301</v>
      </c>
      <c r="FV184" s="1111">
        <f t="shared" si="234"/>
        <v>0.19029699336139799</v>
      </c>
      <c r="FW184" s="1111">
        <f t="shared" si="235"/>
        <v>0.171654581016567</v>
      </c>
      <c r="FX184" s="1111">
        <f t="shared" si="236"/>
        <v>0.168061002565252</v>
      </c>
      <c r="FY184" s="1111">
        <f t="shared" si="237"/>
        <v>0.167001709815503</v>
      </c>
      <c r="FZ184" s="1111">
        <f t="shared" si="238"/>
        <v>0.16699297497215901</v>
      </c>
      <c r="GA184" s="1111">
        <f t="shared" si="239"/>
        <v>0.16699184457612301</v>
      </c>
      <c r="GB184" s="1111">
        <f t="shared" si="240"/>
        <v>0.16699184457612301</v>
      </c>
      <c r="GC184" s="1111">
        <f t="shared" si="279"/>
        <v>0.71010379978724403</v>
      </c>
      <c r="GD184" s="1111">
        <f t="shared" si="280"/>
        <v>0.71010379978724403</v>
      </c>
      <c r="GE184" s="1111">
        <f t="shared" si="281"/>
        <v>0.31539716063004603</v>
      </c>
      <c r="GF184" s="1111">
        <f t="shared" si="282"/>
        <v>0.10700307974279601</v>
      </c>
      <c r="GG184" s="1111">
        <f t="shared" si="283"/>
        <v>5.6773062835599797E-2</v>
      </c>
      <c r="GH184" s="1111">
        <f t="shared" si="284"/>
        <v>3.9792368333530698E-2</v>
      </c>
      <c r="GI184" s="1111">
        <f t="shared" si="285"/>
        <v>3.6534861023721103E-2</v>
      </c>
      <c r="GJ184" s="1111">
        <f t="shared" si="286"/>
        <v>3.5572117087596597E-2</v>
      </c>
      <c r="GK184" s="1111">
        <f t="shared" si="287"/>
        <v>3.556620106866E-2</v>
      </c>
      <c r="GL184" s="1111">
        <f t="shared" si="288"/>
        <v>3.5565244855547698E-2</v>
      </c>
      <c r="GM184" s="1111">
        <f t="shared" si="289"/>
        <v>3.5565244855547698E-2</v>
      </c>
    </row>
    <row r="185" spans="1:195" x14ac:dyDescent="0.2">
      <c r="A185" s="1071" t="s">
        <v>190</v>
      </c>
      <c r="B185" s="1071" t="str">
        <f>Technologies!C119</f>
        <v>TMDSLC</v>
      </c>
      <c r="C185" s="1071" t="str">
        <f>Technologies!D119</f>
        <v>Medium Duty Truck, Conventional Diesel</v>
      </c>
      <c r="D185" s="1071" t="str">
        <f>NewTech!D71</f>
        <v>bn-vmt, bn-vmt/a</v>
      </c>
      <c r="E185" s="1071" t="str">
        <f>NewTech!E72</f>
        <v>TMDSL</v>
      </c>
      <c r="F185" s="1071" t="str">
        <f>NewTech!F72</f>
        <v>TM</v>
      </c>
      <c r="G185" s="1110" t="s">
        <v>503</v>
      </c>
      <c r="H185" s="1110" t="s">
        <v>499</v>
      </c>
      <c r="I185" s="1112">
        <v>1</v>
      </c>
      <c r="J185" s="1111" t="str">
        <f t="shared" si="37"/>
        <v>Medium duty-DSL</v>
      </c>
      <c r="K185" s="1111">
        <f>SUMIFS(NewEmisData!E:E, NewEmisData!$A:$A, $G185, NewEmisData!$B:$B, $A185, NewEmisData!$C:$C, $H185, NewEmisData!$D:$D, K$6)</f>
        <v>1336.71780257008</v>
      </c>
      <c r="L185" s="1111">
        <f>SUMIFS(NewEmisData!F:F, NewEmisData!$A:$A, $G185, NewEmisData!$B:$B, $A185, NewEmisData!$C:$C, $H185, NewEmisData!$D:$D, L$6)</f>
        <v>1334.1180611544301</v>
      </c>
      <c r="M185" s="1111">
        <f>SUMIFS(NewEmisData!G:G, NewEmisData!$A:$A, $G185, NewEmisData!$B:$B, $A185, NewEmisData!$C:$C, $H185, NewEmisData!$D:$D, M$6)</f>
        <v>1445.04089230315</v>
      </c>
      <c r="N185" s="1111">
        <f>SUMIFS(NewEmisData!H:H, NewEmisData!$A:$A, $G185, NewEmisData!$B:$B, $A185, NewEmisData!$C:$C, $H185, NewEmisData!$D:$D, N$6)</f>
        <v>1394.56782788027</v>
      </c>
      <c r="O185" s="1111">
        <f>SUMIFS(NewEmisData!I:I, NewEmisData!$A:$A, $G185, NewEmisData!$B:$B, $A185, NewEmisData!$C:$C, $H185, NewEmisData!$D:$D, O$6)</f>
        <v>1352.2640605745901</v>
      </c>
      <c r="P185" s="1111">
        <f>SUMIFS(NewEmisData!J:J, NewEmisData!$A:$A, $G185, NewEmisData!$B:$B, $A185, NewEmisData!$C:$C, $H185, NewEmisData!$D:$D, P$6)</f>
        <v>1337.95858730856</v>
      </c>
      <c r="Q185" s="1111">
        <f>SUMIFS(NewEmisData!K:K, NewEmisData!$A:$A, $G185, NewEmisData!$B:$B, $A185, NewEmisData!$C:$C, $H185, NewEmisData!$D:$D, Q$6)</f>
        <v>1333.6808792868501</v>
      </c>
      <c r="R185" s="1111">
        <f>SUMIFS(NewEmisData!L:L, NewEmisData!$A:$A, $G185, NewEmisData!$B:$B, $A185, NewEmisData!$C:$C, $H185, NewEmisData!$D:$D, R$6)</f>
        <v>1332.71889531121</v>
      </c>
      <c r="S185" s="1111">
        <f>SUMIFS(NewEmisData!M:M, NewEmisData!$A:$A, $G185, NewEmisData!$B:$B, $A185, NewEmisData!$C:$C, $H185, NewEmisData!$D:$D, S$6)</f>
        <v>1332.4669517233399</v>
      </c>
      <c r="T185" s="1111">
        <f t="shared" si="290"/>
        <v>1332.4669517233399</v>
      </c>
      <c r="U185" s="1111">
        <f>SUMIFS(NewEmisData!E:E, NewEmisData!$A:$A, $G185, NewEmisData!$B:$B, $A185, NewEmisData!$C:$C, $H185, NewEmisData!$D:$D, U$6)</f>
        <v>8.1159705197746597</v>
      </c>
      <c r="V185" s="1111">
        <f>SUMIFS(NewEmisData!F:F, NewEmisData!$A:$A, $G185, NewEmisData!$B:$B, $A185, NewEmisData!$C:$C, $H185, NewEmisData!$D:$D, V$6)</f>
        <v>4.1902678747381499</v>
      </c>
      <c r="W185" s="1111">
        <f>SUMIFS(NewEmisData!G:G, NewEmisData!$A:$A, $G185, NewEmisData!$B:$B, $A185, NewEmisData!$C:$C, $H185, NewEmisData!$D:$D, W$6)</f>
        <v>2.9831671777909299</v>
      </c>
      <c r="X185" s="1111">
        <f>SUMIFS(NewEmisData!H:H, NewEmisData!$A:$A, $G185, NewEmisData!$B:$B, $A185, NewEmisData!$C:$C, $H185, NewEmisData!$D:$D, X$6)</f>
        <v>1.79071707308598</v>
      </c>
      <c r="Y185" s="1111">
        <f>SUMIFS(NewEmisData!I:I, NewEmisData!$A:$A, $G185, NewEmisData!$B:$B, $A185, NewEmisData!$C:$C, $H185, NewEmisData!$D:$D, Y$6)</f>
        <v>1.29214834991715</v>
      </c>
      <c r="Z185" s="1111">
        <f>SUMIFS(NewEmisData!J:J, NewEmisData!$A:$A, $G185, NewEmisData!$B:$B, $A185, NewEmisData!$C:$C, $H185, NewEmisData!$D:$D, Z$6)</f>
        <v>1.1297597092685201</v>
      </c>
      <c r="AA185" s="1111">
        <f>SUMIFS(NewEmisData!K:K, NewEmisData!$A:$A, $G185, NewEmisData!$B:$B, $A185, NewEmisData!$C:$C, $H185, NewEmisData!$D:$D, AA$6)</f>
        <v>1.07869334628427</v>
      </c>
      <c r="AB185" s="1111">
        <f>SUMIFS(NewEmisData!L:L, NewEmisData!$A:$A, $G185, NewEmisData!$B:$B, $A185, NewEmisData!$C:$C, $H185, NewEmisData!$D:$D, AB$6)</f>
        <v>1.0710961293157399</v>
      </c>
      <c r="AC185" s="1111">
        <f>SUMIFS(NewEmisData!M:M, NewEmisData!$A:$A, $G185, NewEmisData!$B:$B, $A185, NewEmisData!$C:$C, $H185, NewEmisData!$D:$D, AC$6)</f>
        <v>1.06853485047457</v>
      </c>
      <c r="AD185" s="1111">
        <f t="shared" si="229"/>
        <v>1.06853485047457</v>
      </c>
      <c r="AE185" s="1111">
        <f t="shared" si="241"/>
        <v>3.2903787292919401E-2</v>
      </c>
      <c r="AF185" s="1111">
        <f>SUMIFS(NewEmisData!E:E, NewEmisData!$A:$A, $G185, NewEmisData!$B:$B, $A185, NewEmisData!$C:$C, $H185, NewEmisData!$D:$D, AF$6)</f>
        <v>3.2903787292919401E-2</v>
      </c>
      <c r="AG185" s="1111">
        <f>SUMIFS(NewEmisData!F:F, NewEmisData!$A:$A, $G185, NewEmisData!$B:$B, $A185, NewEmisData!$C:$C, $H185, NewEmisData!$D:$D, AG$6)</f>
        <v>3.1887226466035201E-2</v>
      </c>
      <c r="AH185" s="1111">
        <f>SUMIFS(NewEmisData!G:G, NewEmisData!$A:$A, $G185, NewEmisData!$B:$B, $A185, NewEmisData!$C:$C, $H185, NewEmisData!$D:$D, AH$6)</f>
        <v>1.2151036280147199E-2</v>
      </c>
      <c r="AI185" s="1111">
        <f>SUMIFS(NewEmisData!H:H, NewEmisData!$A:$A, $G185, NewEmisData!$B:$B, $A185, NewEmisData!$C:$C, $H185, NewEmisData!$D:$D, AI$6)</f>
        <v>1.16575948327503E-2</v>
      </c>
      <c r="AJ185" s="1111">
        <f>SUMIFS(NewEmisData!I:I, NewEmisData!$A:$A, $G185, NewEmisData!$B:$B, $A185, NewEmisData!$C:$C, $H185, NewEmisData!$D:$D, AJ$6)</f>
        <v>1.12807608208042E-2</v>
      </c>
      <c r="AK185" s="1111">
        <f>SUMIFS(NewEmisData!J:J, NewEmisData!$A:$A, $G185, NewEmisData!$B:$B, $A185, NewEmisData!$C:$C, $H185, NewEmisData!$D:$D, AK$6)</f>
        <v>1.11563832836782E-2</v>
      </c>
      <c r="AL185" s="1111">
        <f>SUMIFS(NewEmisData!K:K, NewEmisData!$A:$A, $G185, NewEmisData!$B:$B, $A185, NewEmisData!$C:$C, $H185, NewEmisData!$D:$D, AL$6)</f>
        <v>1.11190596779358E-2</v>
      </c>
      <c r="AM185" s="1111">
        <f>SUMIFS(NewEmisData!L:L, NewEmisData!$A:$A, $G185, NewEmisData!$B:$B, $A185, NewEmisData!$C:$C, $H185, NewEmisData!$D:$D, AM$6)</f>
        <v>1.1111041090770501E-2</v>
      </c>
      <c r="AN185" s="1111">
        <f>SUMIFS(NewEmisData!M:M, NewEmisData!$A:$A, $G185, NewEmisData!$B:$B, $A185, NewEmisData!$C:$C, $H185, NewEmisData!$D:$D, AN$6)</f>
        <v>1.11089391742305E-2</v>
      </c>
      <c r="AO185" s="1111">
        <f t="shared" si="242"/>
        <v>1.11089391742305E-2</v>
      </c>
      <c r="AP185" s="1111">
        <f t="shared" si="243"/>
        <v>0.75470063690720102</v>
      </c>
      <c r="AQ185" s="1111">
        <f>SUMIFS(NewEmisData!E:E, NewEmisData!$A:$A, $G185, NewEmisData!$B:$B, $A185, NewEmisData!$C:$C, $H185, NewEmisData!$D:$D, AQ$6)</f>
        <v>0.75470063690720102</v>
      </c>
      <c r="AR185" s="1111">
        <f>SUMIFS(NewEmisData!F:F, NewEmisData!$A:$A, $G185, NewEmisData!$B:$B, $A185, NewEmisData!$C:$C, $H185, NewEmisData!$D:$D, AR$6)</f>
        <v>0.41452815930639098</v>
      </c>
      <c r="AS185" s="1111">
        <f>SUMIFS(NewEmisData!G:G, NewEmisData!$A:$A, $G185, NewEmisData!$B:$B, $A185, NewEmisData!$C:$C, $H185, NewEmisData!$D:$D, AS$6)</f>
        <v>0.32175493237955199</v>
      </c>
      <c r="AT185" s="1111">
        <f>SUMIFS(NewEmisData!H:H, NewEmisData!$A:$A, $G185, NewEmisData!$B:$B, $A185, NewEmisData!$C:$C, $H185, NewEmisData!$D:$D, AT$6)</f>
        <v>0.25352921702854198</v>
      </c>
      <c r="AU185" s="1111">
        <f>SUMIFS(NewEmisData!I:I, NewEmisData!$A:$A, $G185, NewEmisData!$B:$B, $A185, NewEmisData!$C:$C, $H185, NewEmisData!$D:$D, AU$6)</f>
        <v>0.23028919647026699</v>
      </c>
      <c r="AV185" s="1111">
        <f>SUMIFS(NewEmisData!J:J, NewEmisData!$A:$A, $G185, NewEmisData!$B:$B, $A185, NewEmisData!$C:$C, $H185, NewEmisData!$D:$D, AV$6)</f>
        <v>0.22584791810744101</v>
      </c>
      <c r="AW185" s="1111">
        <f>SUMIFS(NewEmisData!K:K, NewEmisData!$A:$A, $G185, NewEmisData!$B:$B, $A185, NewEmisData!$C:$C, $H185, NewEmisData!$D:$D, AW$6)</f>
        <v>0.22452045938839199</v>
      </c>
      <c r="AX185" s="1111">
        <f>SUMIFS(NewEmisData!L:L, NewEmisData!$A:$A, $G185, NewEmisData!$B:$B, $A185, NewEmisData!$C:$C, $H185, NewEmisData!$D:$D, AX$6)</f>
        <v>0.22450852256822901</v>
      </c>
      <c r="AY185" s="1111">
        <f>SUMIFS(NewEmisData!M:M, NewEmisData!$A:$A, $G185, NewEmisData!$B:$B, $A185, NewEmisData!$C:$C, $H185, NewEmisData!$D:$D, AY$6)</f>
        <v>0.22450708090135699</v>
      </c>
      <c r="AZ185" s="1111">
        <f t="shared" si="244"/>
        <v>0.22450708090135699</v>
      </c>
      <c r="BA185" s="1111">
        <f t="shared" si="245"/>
        <v>0.55462986472983</v>
      </c>
      <c r="BB185" s="1111">
        <f>SUMIFS(NewEmisData!E:E, NewEmisData!$A:$A, $G185, NewEmisData!$B:$B, $A185, NewEmisData!$C:$C, $H185, NewEmisData!$D:$D, BB$6)</f>
        <v>0.55462986472983</v>
      </c>
      <c r="BC185" s="1111">
        <f>SUMIFS(NewEmisData!F:F, NewEmisData!$A:$A, $G185, NewEmisData!$B:$B, $A185, NewEmisData!$C:$C, $H185, NewEmisData!$D:$D, BC$6)</f>
        <v>0.24248413763726101</v>
      </c>
      <c r="BD185" s="1111">
        <f>SUMIFS(NewEmisData!G:G, NewEmisData!$A:$A, $G185, NewEmisData!$B:$B, $A185, NewEmisData!$C:$C, $H185, NewEmisData!$D:$D, BD$6)</f>
        <v>0.134184167736455</v>
      </c>
      <c r="BE185" s="1111">
        <f>SUMIFS(NewEmisData!H:H, NewEmisData!$A:$A, $G185, NewEmisData!$B:$B, $A185, NewEmisData!$C:$C, $H185, NewEmisData!$D:$D, BE$6)</f>
        <v>7.2197035661159606E-2</v>
      </c>
      <c r="BF185" s="1111">
        <f>SUMIFS(NewEmisData!I:I, NewEmisData!$A:$A, $G185, NewEmisData!$B:$B, $A185, NewEmisData!$C:$C, $H185, NewEmisData!$D:$D, BF$6)</f>
        <v>5.1049978127363498E-2</v>
      </c>
      <c r="BG185" s="1111">
        <f>SUMIFS(NewEmisData!J:J, NewEmisData!$A:$A, $G185, NewEmisData!$B:$B, $A185, NewEmisData!$C:$C, $H185, NewEmisData!$D:$D, BG$6)</f>
        <v>4.7030670986268203E-2</v>
      </c>
      <c r="BH185" s="1111">
        <f>SUMIFS(NewEmisData!K:K, NewEmisData!$A:$A, $G185, NewEmisData!$B:$B, $A185, NewEmisData!$C:$C, $H185, NewEmisData!$D:$D, BH$6)</f>
        <v>4.5825605278403299E-2</v>
      </c>
      <c r="BI185" s="1111">
        <f>SUMIFS(NewEmisData!L:L, NewEmisData!$A:$A, $G185, NewEmisData!$B:$B, $A185, NewEmisData!$C:$C, $H185, NewEmisData!$D:$D, BI$6)</f>
        <v>4.58177973162801E-2</v>
      </c>
      <c r="BJ185" s="1111">
        <f>SUMIFS(NewEmisData!M:M, NewEmisData!$A:$A, $G185, NewEmisData!$B:$B, $A185, NewEmisData!$C:$C, $H185, NewEmisData!$D:$D, BJ$6)</f>
        <v>4.5816229295905703E-2</v>
      </c>
      <c r="BK185" s="1111">
        <f t="shared" si="246"/>
        <v>4.5816229295905703E-2</v>
      </c>
      <c r="BL185" s="1111">
        <f t="shared" si="247"/>
        <v>3.60214748610194</v>
      </c>
      <c r="BM185" s="1111">
        <f>SUMIFS(NewEmisData!E:E, NewEmisData!$A:$A, $G185, NewEmisData!$B:$B, $A185, NewEmisData!$C:$C, $H185, NewEmisData!$D:$D, BM$6)</f>
        <v>3.60214748610194</v>
      </c>
      <c r="BN185" s="1111">
        <f>SUMIFS(NewEmisData!F:F, NewEmisData!$A:$A, $G185, NewEmisData!$B:$B, $A185, NewEmisData!$C:$C, $H185, NewEmisData!$D:$D, BN$6)</f>
        <v>1.77624524860446</v>
      </c>
      <c r="BO185" s="1111">
        <f>SUMIFS(NewEmisData!G:G, NewEmisData!$A:$A, $G185, NewEmisData!$B:$B, $A185, NewEmisData!$C:$C, $H185, NewEmisData!$D:$D, BO$6)</f>
        <v>1.1776035653010599</v>
      </c>
      <c r="BP185" s="1111">
        <f>SUMIFS(NewEmisData!H:H, NewEmisData!$A:$A, $G185, NewEmisData!$B:$B, $A185, NewEmisData!$C:$C, $H185, NewEmisData!$D:$D, BP$6)</f>
        <v>0.76085446661730005</v>
      </c>
      <c r="BQ185" s="1111">
        <f>SUMIFS(NewEmisData!I:I, NewEmisData!$A:$A, $G185, NewEmisData!$B:$B, $A185, NewEmisData!$C:$C, $H185, NewEmisData!$D:$D, BQ$6)</f>
        <v>0.62715484825252399</v>
      </c>
      <c r="BR185" s="1111">
        <f>SUMIFS(NewEmisData!J:J, NewEmisData!$A:$A, $G185, NewEmisData!$B:$B, $A185, NewEmisData!$C:$C, $H185, NewEmisData!$D:$D, BR$6)</f>
        <v>0.59561161426405995</v>
      </c>
      <c r="BS185" s="1111">
        <f>SUMIFS(NewEmisData!K:K, NewEmisData!$A:$A, $G185, NewEmisData!$B:$B, $A185, NewEmisData!$C:$C, $H185, NewEmisData!$D:$D, BS$6)</f>
        <v>0.586656365437488</v>
      </c>
      <c r="BT185" s="1111">
        <f>SUMIFS(NewEmisData!L:L, NewEmisData!$A:$A, $G185, NewEmisData!$B:$B, $A185, NewEmisData!$C:$C, $H185, NewEmisData!$D:$D, BT$6)</f>
        <v>0.58633071433356998</v>
      </c>
      <c r="BU185" s="1111">
        <f>SUMIFS(NewEmisData!M:M, NewEmisData!$A:$A, $G185, NewEmisData!$B:$B, $A185, NewEmisData!$C:$C, $H185, NewEmisData!$D:$D, BU$6)</f>
        <v>0.58613150489673305</v>
      </c>
      <c r="BV185" s="1111">
        <f t="shared" si="248"/>
        <v>0.58613150489673305</v>
      </c>
      <c r="BW185" s="1111">
        <f t="shared" si="249"/>
        <v>1.4585878276819899</v>
      </c>
      <c r="BX185" s="1111">
        <f>SUMIFS(NewEmisData!E:E, NewEmisData!$A:$A, $G185, NewEmisData!$B:$B, $A185, NewEmisData!$C:$C, $H185, NewEmisData!$D:$D, BX$6)</f>
        <v>1.4585878276819899</v>
      </c>
      <c r="BY185" s="1111">
        <f>SUMIFS(NewEmisData!F:F, NewEmisData!$A:$A, $G185, NewEmisData!$B:$B, $A185, NewEmisData!$C:$C, $H185, NewEmisData!$D:$D, BY$6)</f>
        <v>0.63111024641351499</v>
      </c>
      <c r="BZ185" s="1111">
        <f>SUMIFS(NewEmisData!G:G, NewEmisData!$A:$A, $G185, NewEmisData!$B:$B, $A185, NewEmisData!$C:$C, $H185, NewEmisData!$D:$D, BZ$6)</f>
        <v>0.39101466332213902</v>
      </c>
      <c r="CA185" s="1111">
        <f>SUMIFS(NewEmisData!H:H, NewEmisData!$A:$A, $G185, NewEmisData!$B:$B, $A185, NewEmisData!$C:$C, $H185, NewEmisData!$D:$D, CA$6)</f>
        <v>0.213477846209017</v>
      </c>
      <c r="CB185" s="1111">
        <f>SUMIFS(NewEmisData!I:I, NewEmisData!$A:$A, $G185, NewEmisData!$B:$B, $A185, NewEmisData!$C:$C, $H185, NewEmisData!$D:$D, CB$6)</f>
        <v>0.15780661931724599</v>
      </c>
      <c r="CC185" s="1111">
        <f>SUMIFS(NewEmisData!J:J, NewEmisData!$A:$A, $G185, NewEmisData!$B:$B, $A185, NewEmisData!$C:$C, $H185, NewEmisData!$D:$D, CC$6)</f>
        <v>0.14387801609152001</v>
      </c>
      <c r="CD185" s="1111">
        <f>SUMIFS(NewEmisData!K:K, NewEmisData!$A:$A, $G185, NewEmisData!$B:$B, $A185, NewEmisData!$C:$C, $H185, NewEmisData!$D:$D, CD$6)</f>
        <v>0.13989697938435799</v>
      </c>
      <c r="CE185" s="1111">
        <f>SUMIFS(NewEmisData!L:L, NewEmisData!$A:$A, $G185, NewEmisData!$B:$B, $A185, NewEmisData!$C:$C, $H185, NewEmisData!$D:$D, CE$6)</f>
        <v>0.139762763737699</v>
      </c>
      <c r="CF185" s="1111">
        <f>SUMIFS(NewEmisData!M:M, NewEmisData!$A:$A, $G185, NewEmisData!$B:$B, $A185, NewEmisData!$C:$C, $H185, NewEmisData!$D:$D, CF$6)</f>
        <v>0.139676136968958</v>
      </c>
      <c r="CG185" s="1111">
        <f t="shared" si="250"/>
        <v>0.139676136968958</v>
      </c>
      <c r="CH185" s="1111">
        <f t="shared" si="251"/>
        <v>2.6625022112881199E-2</v>
      </c>
      <c r="CI185" s="1111">
        <f>SUMIFS(NewEmisData!E:E, NewEmisData!$A:$A, $G185, NewEmisData!$B:$B, $A185, NewEmisData!$C:$C, $H185, NewEmisData!$D:$D, CI$6)</f>
        <v>2.6625022112881199E-2</v>
      </c>
      <c r="CJ185" s="1111">
        <f>SUMIFS(NewEmisData!F:F, NewEmisData!$A:$A, $G185, NewEmisData!$B:$B, $A185, NewEmisData!$C:$C, $H185, NewEmisData!$D:$D, CJ$6)</f>
        <v>2.66250927216873E-2</v>
      </c>
      <c r="CK185" s="1111">
        <f>SUMIFS(NewEmisData!G:G, NewEmisData!$A:$A, $G185, NewEmisData!$B:$B, $A185, NewEmisData!$C:$C, $H185, NewEmisData!$D:$D, CK$6)</f>
        <v>3.1310131148303597E-2</v>
      </c>
      <c r="CL185" s="1111">
        <f>SUMIFS(NewEmisData!H:H, NewEmisData!$A:$A, $G185, NewEmisData!$B:$B, $A185, NewEmisData!$C:$C, $H185, NewEmisData!$D:$D, CL$6)</f>
        <v>3.13110567850386E-2</v>
      </c>
      <c r="CM185" s="1111">
        <f>SUMIFS(NewEmisData!I:I, NewEmisData!$A:$A, $G185, NewEmisData!$B:$B, $A185, NewEmisData!$C:$C, $H185, NewEmisData!$D:$D, CM$6)</f>
        <v>3.1311503593969003E-2</v>
      </c>
      <c r="CN185" s="1111">
        <f>SUMIFS(NewEmisData!J:J, NewEmisData!$A:$A, $G185, NewEmisData!$B:$B, $A185, NewEmisData!$C:$C, $H185, NewEmisData!$D:$D, CN$6)</f>
        <v>3.1311654335670597E-2</v>
      </c>
      <c r="CO185" s="1111">
        <f>SUMIFS(NewEmisData!K:K, NewEmisData!$A:$A, $G185, NewEmisData!$B:$B, $A185, NewEmisData!$C:$C, $H185, NewEmisData!$D:$D, CO$6)</f>
        <v>3.1311703141941503E-2</v>
      </c>
      <c r="CP185" s="1111">
        <f>SUMIFS(NewEmisData!L:L, NewEmisData!$A:$A, $G185, NewEmisData!$B:$B, $A185, NewEmisData!$C:$C, $H185, NewEmisData!$D:$D, CP$6)</f>
        <v>3.1311701226839898E-2</v>
      </c>
      <c r="CQ185" s="1111">
        <f>SUMIFS(NewEmisData!M:M, NewEmisData!$A:$A, $G185, NewEmisData!$B:$B, $A185, NewEmisData!$C:$C, $H185, NewEmisData!$D:$D, CQ$6)</f>
        <v>3.1311724606097602E-2</v>
      </c>
      <c r="CR185" s="1111">
        <f t="shared" si="252"/>
        <v>3.1311724606097602E-2</v>
      </c>
      <c r="CS185" s="1111">
        <f t="shared" si="253"/>
        <v>4.2942881221194997E-3</v>
      </c>
      <c r="CT185" s="1111">
        <f>SUMIFS(NewEmisData!E:E, NewEmisData!$A:$A, $G185, NewEmisData!$B:$B, $A185, NewEmisData!$C:$C, $H185, NewEmisData!$D:$D, CT$6)</f>
        <v>4.2942881221194997E-3</v>
      </c>
      <c r="CU185" s="1111">
        <f>SUMIFS(NewEmisData!F:F, NewEmisData!$A:$A, $G185, NewEmisData!$B:$B, $A185, NewEmisData!$C:$C, $H185, NewEmisData!$D:$D, CU$6)</f>
        <v>4.52609306007902E-3</v>
      </c>
      <c r="CV185" s="1111">
        <f>SUMIFS(NewEmisData!G:G, NewEmisData!$A:$A, $G185, NewEmisData!$B:$B, $A185, NewEmisData!$C:$C, $H185, NewEmisData!$D:$D, CV$6)</f>
        <v>5.7549154829870204E-3</v>
      </c>
      <c r="CW185" s="1111">
        <f>SUMIFS(NewEmisData!H:H, NewEmisData!$A:$A, $G185, NewEmisData!$B:$B, $A185, NewEmisData!$C:$C, $H185, NewEmisData!$D:$D, CW$6)</f>
        <v>5.7792428030713902E-3</v>
      </c>
      <c r="CX185" s="1111">
        <f>SUMIFS(NewEmisData!I:I, NewEmisData!$A:$A, $G185, NewEmisData!$B:$B, $A185, NewEmisData!$C:$C, $H185, NewEmisData!$D:$D, CX$6)</f>
        <v>5.7801666189186297E-3</v>
      </c>
      <c r="CY185" s="1111">
        <f>SUMIFS(NewEmisData!J:J, NewEmisData!$A:$A, $G185, NewEmisData!$B:$B, $A185, NewEmisData!$C:$C, $H185, NewEmisData!$D:$D, CY$6)</f>
        <v>5.7687673444275804E-3</v>
      </c>
      <c r="CZ185" s="1111">
        <f>SUMIFS(NewEmisData!K:K, NewEmisData!$A:$A, $G185, NewEmisData!$B:$B, $A185, NewEmisData!$C:$C, $H185, NewEmisData!$D:$D, CZ$6)</f>
        <v>5.7598889247671798E-3</v>
      </c>
      <c r="DA185" s="1111">
        <f>SUMIFS(NewEmisData!L:L, NewEmisData!$A:$A, $G185, NewEmisData!$B:$B, $A185, NewEmisData!$C:$C, $H185, NewEmisData!$D:$D, DA$6)</f>
        <v>5.7567706696684201E-3</v>
      </c>
      <c r="DB185" s="1111">
        <f>SUMIFS(NewEmisData!M:M, NewEmisData!$A:$A, $G185, NewEmisData!$B:$B, $A185, NewEmisData!$C:$C, $H185, NewEmisData!$D:$D, DB$6)</f>
        <v>5.7544893575928197E-3</v>
      </c>
      <c r="DC185" s="1111">
        <f t="shared" si="254"/>
        <v>5.7544893575928197E-3</v>
      </c>
      <c r="DD185" s="1111"/>
      <c r="DE185" s="1111"/>
      <c r="DF185" s="1111"/>
      <c r="DG185" s="1111"/>
      <c r="DH185" s="1111"/>
      <c r="DI185" s="1111"/>
      <c r="DJ185" s="1111"/>
      <c r="DK185" s="1111"/>
      <c r="DL185" s="1111"/>
      <c r="DM185" s="1111"/>
      <c r="DN185" s="1111"/>
      <c r="DO185" s="1111"/>
      <c r="DP185" s="1111"/>
      <c r="DQ185" s="1111"/>
      <c r="DR185" s="1111"/>
      <c r="DS185" s="1111"/>
      <c r="DT185" s="1111"/>
      <c r="DU185" s="1111"/>
      <c r="DV185" s="1111"/>
      <c r="DW185" s="1111"/>
      <c r="DX185" s="1111"/>
      <c r="DY185" s="1111"/>
      <c r="DZ185" s="1111">
        <f t="shared" si="255"/>
        <v>3.1443183076475298E-2</v>
      </c>
      <c r="EA185" s="1111">
        <f>SUMIFS(NewEmisData!E:E, NewEmisData!$A:$A, $G185, NewEmisData!$B:$B, $A185, NewEmisData!$C:$C, $H185, NewEmisData!$D:$D, EA$6)</f>
        <v>3.1443183076475298E-2</v>
      </c>
      <c r="EB185" s="1111">
        <f>SUMIFS(NewEmisData!F:F, NewEmisData!$A:$A, $G185, NewEmisData!$B:$B, $A185, NewEmisData!$C:$C, $H185, NewEmisData!$D:$D, EB$6)</f>
        <v>9.3142408370314803E-2</v>
      </c>
      <c r="EC185" s="1111">
        <f>SUMIFS(NewEmisData!G:G, NewEmisData!$A:$A, $G185, NewEmisData!$B:$B, $A185, NewEmisData!$C:$C, $H185, NewEmisData!$D:$D, EC$6)</f>
        <v>0.12640906725248399</v>
      </c>
      <c r="ED185" s="1111">
        <f>SUMIFS(NewEmisData!H:H, NewEmisData!$A:$A, $G185, NewEmisData!$B:$B, $A185, NewEmisData!$C:$C, $H185, NewEmisData!$D:$D, ED$6)</f>
        <v>0.13167273257883699</v>
      </c>
      <c r="EE185" s="1111">
        <f>SUMIFS(NewEmisData!I:I, NewEmisData!$A:$A, $G185, NewEmisData!$B:$B, $A185, NewEmisData!$C:$C, $H185, NewEmisData!$D:$D, EE$6)</f>
        <v>0.133754957639485</v>
      </c>
      <c r="EF185" s="1111">
        <f>SUMIFS(NewEmisData!J:J, NewEmisData!$A:$A, $G185, NewEmisData!$B:$B, $A185, NewEmisData!$C:$C, $H185, NewEmisData!$D:$D, EF$6)</f>
        <v>0.13397825833520099</v>
      </c>
      <c r="EG185" s="1111">
        <f>SUMIFS(NewEmisData!K:K, NewEmisData!$A:$A, $G185, NewEmisData!$B:$B, $A185, NewEmisData!$C:$C, $H185, NewEmisData!$D:$D, EG$6)</f>
        <v>0.13422755831628899</v>
      </c>
      <c r="EH185" s="1111">
        <f>SUMIFS(NewEmisData!L:L, NewEmisData!$A:$A, $G185, NewEmisData!$B:$B, $A185, NewEmisData!$C:$C, $H185, NewEmisData!$D:$D, EH$6)</f>
        <v>0.134094847635195</v>
      </c>
      <c r="EI185" s="1111">
        <f>SUMIFS(NewEmisData!M:M, NewEmisData!$A:$A, $G185, NewEmisData!$B:$B, $A185, NewEmisData!$C:$C, $H185, NewEmisData!$D:$D, EI$6)</f>
        <v>0.13400465943828599</v>
      </c>
      <c r="EJ185" s="1111">
        <f t="shared" si="256"/>
        <v>0.13400465943828599</v>
      </c>
      <c r="EK185" s="1111">
        <f t="shared" si="257"/>
        <v>1336.71780257008</v>
      </c>
      <c r="EL185" s="1111">
        <f t="shared" si="269"/>
        <v>1336.71780257008</v>
      </c>
      <c r="EM185" s="1111">
        <f t="shared" si="270"/>
        <v>1334.1180611544301</v>
      </c>
      <c r="EN185" s="1111">
        <f t="shared" si="271"/>
        <v>1445.04089230315</v>
      </c>
      <c r="EO185" s="1111">
        <f t="shared" si="272"/>
        <v>1394.56782788027</v>
      </c>
      <c r="EP185" s="1111">
        <f t="shared" si="273"/>
        <v>1352.2640605745901</v>
      </c>
      <c r="EQ185" s="1111">
        <f t="shared" si="274"/>
        <v>1337.95858730856</v>
      </c>
      <c r="ER185" s="1111">
        <f t="shared" si="275"/>
        <v>1333.6808792868501</v>
      </c>
      <c r="ES185" s="1111">
        <f t="shared" si="276"/>
        <v>1332.71889531121</v>
      </c>
      <c r="ET185" s="1111">
        <f t="shared" si="277"/>
        <v>1332.4669517233399</v>
      </c>
      <c r="EU185" s="1111">
        <f t="shared" si="278"/>
        <v>1332.4669517233399</v>
      </c>
      <c r="EV185" s="1111">
        <f t="shared" si="258"/>
        <v>8.1159705197746597</v>
      </c>
      <c r="EW185" s="1111">
        <f t="shared" si="259"/>
        <v>8.1159705197746597</v>
      </c>
      <c r="EX185" s="1111">
        <f t="shared" si="260"/>
        <v>4.1902678747381499</v>
      </c>
      <c r="EY185" s="1111">
        <f t="shared" si="261"/>
        <v>2.9831671777909299</v>
      </c>
      <c r="EZ185" s="1111">
        <f t="shared" si="262"/>
        <v>1.79071707308598</v>
      </c>
      <c r="FA185" s="1111">
        <f t="shared" si="263"/>
        <v>1.29214834991715</v>
      </c>
      <c r="FB185" s="1111">
        <f t="shared" si="264"/>
        <v>1.1297597092685201</v>
      </c>
      <c r="FC185" s="1111">
        <f t="shared" si="265"/>
        <v>1.07869334628427</v>
      </c>
      <c r="FD185" s="1111">
        <f t="shared" si="266"/>
        <v>1.0710961293157399</v>
      </c>
      <c r="FE185" s="1111">
        <f t="shared" si="267"/>
        <v>1.06853485047457</v>
      </c>
      <c r="FF185" s="1111">
        <f t="shared" si="268"/>
        <v>1.06853485047457</v>
      </c>
      <c r="FG185" s="1111">
        <f t="shared" si="291"/>
        <v>3.2903787292919401E-2</v>
      </c>
      <c r="FH185" s="1111">
        <f t="shared" si="292"/>
        <v>3.2903787292919401E-2</v>
      </c>
      <c r="FI185" s="1111">
        <f t="shared" si="293"/>
        <v>3.1887226466035201E-2</v>
      </c>
      <c r="FJ185" s="1111">
        <f t="shared" si="294"/>
        <v>1.2151036280147199E-2</v>
      </c>
      <c r="FK185" s="1111">
        <f t="shared" si="295"/>
        <v>1.16575948327503E-2</v>
      </c>
      <c r="FL185" s="1111">
        <f t="shared" si="296"/>
        <v>1.12807608208042E-2</v>
      </c>
      <c r="FM185" s="1111">
        <f t="shared" si="297"/>
        <v>1.11563832836782E-2</v>
      </c>
      <c r="FN185" s="1111">
        <f t="shared" si="298"/>
        <v>1.11190596779358E-2</v>
      </c>
      <c r="FO185" s="1111">
        <f t="shared" si="299"/>
        <v>1.1111041090770501E-2</v>
      </c>
      <c r="FP185" s="1111">
        <f t="shared" si="300"/>
        <v>1.11089391742305E-2</v>
      </c>
      <c r="FQ185" s="1111">
        <f t="shared" si="301"/>
        <v>1.11089391742305E-2</v>
      </c>
      <c r="FR185" s="1111">
        <f t="shared" si="230"/>
        <v>0.75470063690720102</v>
      </c>
      <c r="FS185" s="1111">
        <f t="shared" si="231"/>
        <v>0.75470063690720102</v>
      </c>
      <c r="FT185" s="1111">
        <f t="shared" si="232"/>
        <v>0.41452815930639098</v>
      </c>
      <c r="FU185" s="1111">
        <f t="shared" si="233"/>
        <v>0.32175493237955199</v>
      </c>
      <c r="FV185" s="1111">
        <f t="shared" si="234"/>
        <v>0.25352921702854198</v>
      </c>
      <c r="FW185" s="1111">
        <f t="shared" si="235"/>
        <v>0.23028919647026699</v>
      </c>
      <c r="FX185" s="1111">
        <f t="shared" si="236"/>
        <v>0.22584791810744101</v>
      </c>
      <c r="FY185" s="1111">
        <f t="shared" si="237"/>
        <v>0.22452045938839199</v>
      </c>
      <c r="FZ185" s="1111">
        <f t="shared" si="238"/>
        <v>0.22450852256822901</v>
      </c>
      <c r="GA185" s="1111">
        <f t="shared" si="239"/>
        <v>0.22450708090135699</v>
      </c>
      <c r="GB185" s="1111">
        <f t="shared" si="240"/>
        <v>0.22450708090135699</v>
      </c>
      <c r="GC185" s="1111">
        <f t="shared" si="279"/>
        <v>0.55462986472983</v>
      </c>
      <c r="GD185" s="1111">
        <f t="shared" si="280"/>
        <v>0.55462986472983</v>
      </c>
      <c r="GE185" s="1111">
        <f t="shared" si="281"/>
        <v>0.24248413763726101</v>
      </c>
      <c r="GF185" s="1111">
        <f t="shared" si="282"/>
        <v>0.134184167736455</v>
      </c>
      <c r="GG185" s="1111">
        <f t="shared" si="283"/>
        <v>7.2197035661159606E-2</v>
      </c>
      <c r="GH185" s="1111">
        <f t="shared" si="284"/>
        <v>5.1049978127363498E-2</v>
      </c>
      <c r="GI185" s="1111">
        <f t="shared" si="285"/>
        <v>4.7030670986268203E-2</v>
      </c>
      <c r="GJ185" s="1111">
        <f t="shared" si="286"/>
        <v>4.5825605278403299E-2</v>
      </c>
      <c r="GK185" s="1111">
        <f t="shared" si="287"/>
        <v>4.58177973162801E-2</v>
      </c>
      <c r="GL185" s="1111">
        <f t="shared" si="288"/>
        <v>4.5816229295905703E-2</v>
      </c>
      <c r="GM185" s="1111">
        <f t="shared" si="289"/>
        <v>4.5816229295905703E-2</v>
      </c>
    </row>
    <row r="186" spans="1:195" x14ac:dyDescent="0.2">
      <c r="A186" s="1071" t="s">
        <v>182</v>
      </c>
      <c r="B186" s="1071" t="str">
        <f>Technologies!C120</f>
        <v>TMDSLIM</v>
      </c>
      <c r="C186" s="1071" t="str">
        <f>Technologies!D120</f>
        <v>Medium Duty Truck, Improved Diesel</v>
      </c>
      <c r="D186" s="1071" t="str">
        <f>NewTech!D72</f>
        <v>bn-vmt, bn-vmt/a</v>
      </c>
      <c r="E186" s="1071" t="str">
        <f>NewTech!E73</f>
        <v>TMDSL</v>
      </c>
      <c r="F186" s="1071" t="str">
        <f>NewTech!F73</f>
        <v>TM</v>
      </c>
      <c r="G186" s="1110" t="s">
        <v>503</v>
      </c>
      <c r="H186" s="1110" t="s">
        <v>499</v>
      </c>
      <c r="I186" s="1112">
        <v>1</v>
      </c>
      <c r="J186" s="1111" t="str">
        <f t="shared" si="37"/>
        <v>Medium duty-DSL</v>
      </c>
      <c r="K186" s="1111">
        <f>SUMIFS(NewEmisData!E:E, NewEmisData!$A:$A, $G186, NewEmisData!$B:$B, $A186, NewEmisData!$C:$C, $H186, NewEmisData!$D:$D, K$6)</f>
        <v>1391.2693302299499</v>
      </c>
      <c r="L186" s="1111">
        <f>SUMIFS(NewEmisData!F:F, NewEmisData!$A:$A, $G186, NewEmisData!$B:$B, $A186, NewEmisData!$C:$C, $H186, NewEmisData!$D:$D, L$6)</f>
        <v>1387.81700695984</v>
      </c>
      <c r="M186" s="1111">
        <f>SUMIFS(NewEmisData!G:G, NewEmisData!$A:$A, $G186, NewEmisData!$B:$B, $A186, NewEmisData!$C:$C, $H186, NewEmisData!$D:$D, M$6)</f>
        <v>1800.2870719201501</v>
      </c>
      <c r="N186" s="1111">
        <f>SUMIFS(NewEmisData!H:H, NewEmisData!$A:$A, $G186, NewEmisData!$B:$B, $A186, NewEmisData!$C:$C, $H186, NewEmisData!$D:$D, N$6)</f>
        <v>1737.4132368119399</v>
      </c>
      <c r="O186" s="1111">
        <f>SUMIFS(NewEmisData!I:I, NewEmisData!$A:$A, $G186, NewEmisData!$B:$B, $A186, NewEmisData!$C:$C, $H186, NewEmisData!$D:$D, O$6)</f>
        <v>1684.8867050016099</v>
      </c>
      <c r="P186" s="1111">
        <f>SUMIFS(NewEmisData!J:J, NewEmisData!$A:$A, $G186, NewEmisData!$B:$B, $A186, NewEmisData!$C:$C, $H186, NewEmisData!$D:$D, P$6)</f>
        <v>1667.30888418872</v>
      </c>
      <c r="Q186" s="1111">
        <f>SUMIFS(NewEmisData!K:K, NewEmisData!$A:$A, $G186, NewEmisData!$B:$B, $A186, NewEmisData!$C:$C, $H186, NewEmisData!$D:$D, Q$6)</f>
        <v>1662.1204635085701</v>
      </c>
      <c r="R186" s="1111">
        <f>SUMIFS(NewEmisData!L:L, NewEmisData!$A:$A, $G186, NewEmisData!$B:$B, $A186, NewEmisData!$C:$C, $H186, NewEmisData!$D:$D, R$6)</f>
        <v>1660.97957279301</v>
      </c>
      <c r="S186" s="1111">
        <f>SUMIFS(NewEmisData!M:M, NewEmisData!$A:$A, $G186, NewEmisData!$B:$B, $A186, NewEmisData!$C:$C, $H186, NewEmisData!$D:$D, S$6)</f>
        <v>1660.69684286644</v>
      </c>
      <c r="T186" s="1111">
        <f t="shared" si="290"/>
        <v>1660.69684286644</v>
      </c>
      <c r="U186" s="1111">
        <f>SUMIFS(NewEmisData!E:E, NewEmisData!$A:$A, $G186, NewEmisData!$B:$B, $A186, NewEmisData!$C:$C, $H186, NewEmisData!$D:$D, U$6)</f>
        <v>9.0067562467577496</v>
      </c>
      <c r="V186" s="1111">
        <f>SUMIFS(NewEmisData!F:F, NewEmisData!$A:$A, $G186, NewEmisData!$B:$B, $A186, NewEmisData!$C:$C, $H186, NewEmisData!$D:$D, V$6)</f>
        <v>4.6343833495392097</v>
      </c>
      <c r="W186" s="1111">
        <f>SUMIFS(NewEmisData!G:G, NewEmisData!$A:$A, $G186, NewEmisData!$B:$B, $A186, NewEmisData!$C:$C, $H186, NewEmisData!$D:$D, W$6)</f>
        <v>3.60142958602064</v>
      </c>
      <c r="X186" s="1111">
        <f>SUMIFS(NewEmisData!H:H, NewEmisData!$A:$A, $G186, NewEmisData!$B:$B, $A186, NewEmisData!$C:$C, $H186, NewEmisData!$D:$D, X$6)</f>
        <v>2.1043869634005898</v>
      </c>
      <c r="Y186" s="1111">
        <f>SUMIFS(NewEmisData!I:I, NewEmisData!$A:$A, $G186, NewEmisData!$B:$B, $A186, NewEmisData!$C:$C, $H186, NewEmisData!$D:$D, Y$6)</f>
        <v>1.48367214909245</v>
      </c>
      <c r="Z186" s="1111">
        <f>SUMIFS(NewEmisData!J:J, NewEmisData!$A:$A, $G186, NewEmisData!$B:$B, $A186, NewEmisData!$C:$C, $H186, NewEmisData!$D:$D, Z$6)</f>
        <v>1.28531680721516</v>
      </c>
      <c r="AA186" s="1111">
        <f>SUMIFS(NewEmisData!K:K, NewEmisData!$A:$A, $G186, NewEmisData!$B:$B, $A186, NewEmisData!$C:$C, $H186, NewEmisData!$D:$D, AA$6)</f>
        <v>1.2244614015544699</v>
      </c>
      <c r="AB186" s="1111">
        <f>SUMIFS(NewEmisData!L:L, NewEmisData!$A:$A, $G186, NewEmisData!$B:$B, $A186, NewEmisData!$C:$C, $H186, NewEmisData!$D:$D, AB$6)</f>
        <v>1.2160626918277799</v>
      </c>
      <c r="AC186" s="1111">
        <f>SUMIFS(NewEmisData!M:M, NewEmisData!$A:$A, $G186, NewEmisData!$B:$B, $A186, NewEmisData!$C:$C, $H186, NewEmisData!$D:$D, AC$6)</f>
        <v>1.2135584327019699</v>
      </c>
      <c r="AD186" s="1111">
        <f t="shared" si="229"/>
        <v>1.2135584327019699</v>
      </c>
      <c r="AE186" s="1111">
        <f t="shared" si="241"/>
        <v>3.4517378580972299E-2</v>
      </c>
      <c r="AF186" s="1111">
        <f>SUMIFS(NewEmisData!E:E, NewEmisData!$A:$A, $G186, NewEmisData!$B:$B, $A186, NewEmisData!$C:$C, $H186, NewEmisData!$D:$D, AF$6)</f>
        <v>3.4517378580972299E-2</v>
      </c>
      <c r="AG186" s="1111">
        <f>SUMIFS(NewEmisData!F:F, NewEmisData!$A:$A, $G186, NewEmisData!$B:$B, $A186, NewEmisData!$C:$C, $H186, NewEmisData!$D:$D, AG$6)</f>
        <v>3.32138510088891E-2</v>
      </c>
      <c r="AH186" s="1111">
        <f>SUMIFS(NewEmisData!G:G, NewEmisData!$A:$A, $G186, NewEmisData!$B:$B, $A186, NewEmisData!$C:$C, $H186, NewEmisData!$D:$D, AH$6)</f>
        <v>1.51370239918269E-2</v>
      </c>
      <c r="AI186" s="1111">
        <f>SUMIFS(NewEmisData!H:H, NewEmisData!$A:$A, $G186, NewEmisData!$B:$B, $A186, NewEmisData!$C:$C, $H186, NewEmisData!$D:$D, AI$6)</f>
        <v>1.4522910664903899E-2</v>
      </c>
      <c r="AJ186" s="1111">
        <f>SUMIFS(NewEmisData!I:I, NewEmisData!$A:$A, $G186, NewEmisData!$B:$B, $A186, NewEmisData!$C:$C, $H186, NewEmisData!$D:$D, AJ$6)</f>
        <v>1.4055280493155501E-2</v>
      </c>
      <c r="AK186" s="1111">
        <f>SUMIFS(NewEmisData!J:J, NewEmisData!$A:$A, $G186, NewEmisData!$B:$B, $A186, NewEmisData!$C:$C, $H186, NewEmisData!$D:$D, AK$6)</f>
        <v>1.39025233464321E-2</v>
      </c>
      <c r="AL186" s="1111">
        <f>SUMIFS(NewEmisData!K:K, NewEmisData!$A:$A, $G186, NewEmisData!$B:$B, $A186, NewEmisData!$C:$C, $H186, NewEmisData!$D:$D, AL$6)</f>
        <v>1.3857298595630599E-2</v>
      </c>
      <c r="AM186" s="1111">
        <f>SUMIFS(NewEmisData!L:L, NewEmisData!$A:$A, $G186, NewEmisData!$B:$B, $A186, NewEmisData!$C:$C, $H186, NewEmisData!$D:$D, AM$6)</f>
        <v>1.3847788543629599E-2</v>
      </c>
      <c r="AN186" s="1111">
        <f>SUMIFS(NewEmisData!M:M, NewEmisData!$A:$A, $G186, NewEmisData!$B:$B, $A186, NewEmisData!$C:$C, $H186, NewEmisData!$D:$D, AN$6)</f>
        <v>1.38454338903831E-2</v>
      </c>
      <c r="AO186" s="1111">
        <f t="shared" si="242"/>
        <v>1.38454338903831E-2</v>
      </c>
      <c r="AP186" s="1111">
        <f t="shared" si="243"/>
        <v>0.88280589948548305</v>
      </c>
      <c r="AQ186" s="1111">
        <f>SUMIFS(NewEmisData!E:E, NewEmisData!$A:$A, $G186, NewEmisData!$B:$B, $A186, NewEmisData!$C:$C, $H186, NewEmisData!$D:$D, AQ$6)</f>
        <v>0.88280589948548305</v>
      </c>
      <c r="AR186" s="1111">
        <f>SUMIFS(NewEmisData!F:F, NewEmisData!$A:$A, $G186, NewEmisData!$B:$B, $A186, NewEmisData!$C:$C, $H186, NewEmisData!$D:$D, AR$6)</f>
        <v>0.45831592934321902</v>
      </c>
      <c r="AS186" s="1111">
        <f>SUMIFS(NewEmisData!G:G, NewEmisData!$A:$A, $G186, NewEmisData!$B:$B, $A186, NewEmisData!$C:$C, $H186, NewEmisData!$D:$D, AS$6)</f>
        <v>0.43734131963468098</v>
      </c>
      <c r="AT186" s="1111">
        <f>SUMIFS(NewEmisData!H:H, NewEmisData!$A:$A, $G186, NewEmisData!$B:$B, $A186, NewEmisData!$C:$C, $H186, NewEmisData!$D:$D, AT$6)</f>
        <v>0.34967637389988199</v>
      </c>
      <c r="AU186" s="1111">
        <f>SUMIFS(NewEmisData!I:I, NewEmisData!$A:$A, $G186, NewEmisData!$B:$B, $A186, NewEmisData!$C:$C, $H186, NewEmisData!$D:$D, AU$6)</f>
        <v>0.31983162808126298</v>
      </c>
      <c r="AV186" s="1111">
        <f>SUMIFS(NewEmisData!J:J, NewEmisData!$A:$A, $G186, NewEmisData!$B:$B, $A186, NewEmisData!$C:$C, $H186, NewEmisData!$D:$D, AV$6)</f>
        <v>0.31421718315917302</v>
      </c>
      <c r="AW186" s="1111">
        <f>SUMIFS(NewEmisData!K:K, NewEmisData!$A:$A, $G186, NewEmisData!$B:$B, $A186, NewEmisData!$C:$C, $H186, NewEmisData!$D:$D, AW$6)</f>
        <v>0.31256016773955603</v>
      </c>
      <c r="AX186" s="1111">
        <f>SUMIFS(NewEmisData!L:L, NewEmisData!$A:$A, $G186, NewEmisData!$B:$B, $A186, NewEmisData!$C:$C, $H186, NewEmisData!$D:$D, AX$6)</f>
        <v>0.31254542006524799</v>
      </c>
      <c r="AY186" s="1111">
        <f>SUMIFS(NewEmisData!M:M, NewEmisData!$A:$A, $G186, NewEmisData!$B:$B, $A186, NewEmisData!$C:$C, $H186, NewEmisData!$D:$D, AY$6)</f>
        <v>0.31254401073163601</v>
      </c>
      <c r="AZ186" s="1111">
        <f t="shared" si="244"/>
        <v>0.31254401073163601</v>
      </c>
      <c r="BA186" s="1111">
        <f t="shared" si="245"/>
        <v>0.66102414887226102</v>
      </c>
      <c r="BB186" s="1111">
        <f>SUMIFS(NewEmisData!E:E, NewEmisData!$A:$A, $G186, NewEmisData!$B:$B, $A186, NewEmisData!$C:$C, $H186, NewEmisData!$D:$D, BB$6)</f>
        <v>0.66102414887226102</v>
      </c>
      <c r="BC186" s="1111">
        <f>SUMIFS(NewEmisData!F:F, NewEmisData!$A:$A, $G186, NewEmisData!$B:$B, $A186, NewEmisData!$C:$C, $H186, NewEmisData!$D:$D, BC$6)</f>
        <v>0.27087694461251399</v>
      </c>
      <c r="BD186" s="1111">
        <f>SUMIFS(NewEmisData!G:G, NewEmisData!$A:$A, $G186, NewEmisData!$B:$B, $A186, NewEmisData!$C:$C, $H186, NewEmisData!$D:$D, BD$6)</f>
        <v>0.174468170082518</v>
      </c>
      <c r="BE186" s="1111">
        <f>SUMIFS(NewEmisData!H:H, NewEmisData!$A:$A, $G186, NewEmisData!$B:$B, $A186, NewEmisData!$C:$C, $H186, NewEmisData!$D:$D, BE$6)</f>
        <v>9.4926362989927404E-2</v>
      </c>
      <c r="BF186" s="1111">
        <f>SUMIFS(NewEmisData!I:I, NewEmisData!$A:$A, $G186, NewEmisData!$B:$B, $A186, NewEmisData!$C:$C, $H186, NewEmisData!$D:$D, BF$6)</f>
        <v>6.7801817056445293E-2</v>
      </c>
      <c r="BG186" s="1111">
        <f>SUMIFS(NewEmisData!J:J, NewEmisData!$A:$A, $G186, NewEmisData!$B:$B, $A186, NewEmisData!$C:$C, $H186, NewEmisData!$D:$D, BG$6)</f>
        <v>6.2731413619129706E-2</v>
      </c>
      <c r="BH186" s="1111">
        <f>SUMIFS(NewEmisData!K:K, NewEmisData!$A:$A, $G186, NewEmisData!$B:$B, $A186, NewEmisData!$C:$C, $H186, NewEmisData!$D:$D, BH$6)</f>
        <v>6.1230033876524703E-2</v>
      </c>
      <c r="BI186" s="1111">
        <f>SUMIFS(NewEmisData!L:L, NewEmisData!$A:$A, $G186, NewEmisData!$B:$B, $A186, NewEmisData!$C:$C, $H186, NewEmisData!$D:$D, BI$6)</f>
        <v>6.1220848871463299E-2</v>
      </c>
      <c r="BJ186" s="1111">
        <f>SUMIFS(NewEmisData!M:M, NewEmisData!$A:$A, $G186, NewEmisData!$B:$B, $A186, NewEmisData!$C:$C, $H186, NewEmisData!$D:$D, BJ$6)</f>
        <v>6.1219393619074997E-2</v>
      </c>
      <c r="BK186" s="1111">
        <f t="shared" si="246"/>
        <v>6.1219393619074997E-2</v>
      </c>
      <c r="BL186" s="1111">
        <f t="shared" si="247"/>
        <v>4.1982176614759501</v>
      </c>
      <c r="BM186" s="1111">
        <f>SUMIFS(NewEmisData!E:E, NewEmisData!$A:$A, $G186, NewEmisData!$B:$B, $A186, NewEmisData!$C:$C, $H186, NewEmisData!$D:$D, BM$6)</f>
        <v>4.1982176614759501</v>
      </c>
      <c r="BN186" s="1111">
        <f>SUMIFS(NewEmisData!F:F, NewEmisData!$A:$A, $G186, NewEmisData!$B:$B, $A186, NewEmisData!$C:$C, $H186, NewEmisData!$D:$D, BN$6)</f>
        <v>1.9296051000849399</v>
      </c>
      <c r="BO186" s="1111">
        <f>SUMIFS(NewEmisData!G:G, NewEmisData!$A:$A, $G186, NewEmisData!$B:$B, $A186, NewEmisData!$C:$C, $H186, NewEmisData!$D:$D, BO$6)</f>
        <v>1.40672397416939</v>
      </c>
      <c r="BP186" s="1111">
        <f>SUMIFS(NewEmisData!H:H, NewEmisData!$A:$A, $G186, NewEmisData!$B:$B, $A186, NewEmisData!$C:$C, $H186, NewEmisData!$D:$D, BP$6)</f>
        <v>0.88467467852096004</v>
      </c>
      <c r="BQ186" s="1111">
        <f>SUMIFS(NewEmisData!I:I, NewEmisData!$A:$A, $G186, NewEmisData!$B:$B, $A186, NewEmisData!$C:$C, $H186, NewEmisData!$D:$D, BQ$6)</f>
        <v>0.71808621559357599</v>
      </c>
      <c r="BR186" s="1111">
        <f>SUMIFS(NewEmisData!J:J, NewEmisData!$A:$A, $G186, NewEmisData!$B:$B, $A186, NewEmisData!$C:$C, $H186, NewEmisData!$D:$D, BR$6)</f>
        <v>0.67933532556158505</v>
      </c>
      <c r="BS186" s="1111">
        <f>SUMIFS(NewEmisData!K:K, NewEmisData!$A:$A, $G186, NewEmisData!$B:$B, $A186, NewEmisData!$C:$C, $H186, NewEmisData!$D:$D, BS$6)</f>
        <v>0.66869245935522403</v>
      </c>
      <c r="BT186" s="1111">
        <f>SUMIFS(NewEmisData!L:L, NewEmisData!$A:$A, $G186, NewEmisData!$B:$B, $A186, NewEmisData!$C:$C, $H186, NewEmisData!$D:$D, BT$6)</f>
        <v>0.66846478756515504</v>
      </c>
      <c r="BU186" s="1111">
        <f>SUMIFS(NewEmisData!M:M, NewEmisData!$A:$A, $G186, NewEmisData!$B:$B, $A186, NewEmisData!$C:$C, $H186, NewEmisData!$D:$D, BU$6)</f>
        <v>0.66834592579461805</v>
      </c>
      <c r="BV186" s="1111">
        <f t="shared" si="248"/>
        <v>0.66834592579461805</v>
      </c>
      <c r="BW186" s="1111">
        <f t="shared" si="249"/>
        <v>1.6997416060402699</v>
      </c>
      <c r="BX186" s="1111">
        <f>SUMIFS(NewEmisData!E:E, NewEmisData!$A:$A, $G186, NewEmisData!$B:$B, $A186, NewEmisData!$C:$C, $H186, NewEmisData!$D:$D, BX$6)</f>
        <v>1.6997416060402699</v>
      </c>
      <c r="BY186" s="1111">
        <f>SUMIFS(NewEmisData!F:F, NewEmisData!$A:$A, $G186, NewEmisData!$B:$B, $A186, NewEmisData!$C:$C, $H186, NewEmisData!$D:$D, BY$6)</f>
        <v>0.68631415040974197</v>
      </c>
      <c r="BZ186" s="1111">
        <f>SUMIFS(NewEmisData!G:G, NewEmisData!$A:$A, $G186, NewEmisData!$B:$B, $A186, NewEmisData!$C:$C, $H186, NewEmisData!$D:$D, BZ$6)</f>
        <v>0.48115827096559399</v>
      </c>
      <c r="CA186" s="1111">
        <f>SUMIFS(NewEmisData!H:H, NewEmisData!$A:$A, $G186, NewEmisData!$B:$B, $A186, NewEmisData!$C:$C, $H186, NewEmisData!$D:$D, CA$6)</f>
        <v>0.25065156408387401</v>
      </c>
      <c r="CB186" s="1111">
        <f>SUMIFS(NewEmisData!I:I, NewEmisData!$A:$A, $G186, NewEmisData!$B:$B, $A186, NewEmisData!$C:$C, $H186, NewEmisData!$D:$D, CB$6)</f>
        <v>0.17921885955178801</v>
      </c>
      <c r="CC186" s="1111">
        <f>SUMIFS(NewEmisData!J:J, NewEmisData!$A:$A, $G186, NewEmisData!$B:$B, $A186, NewEmisData!$C:$C, $H186, NewEmisData!$D:$D, CC$6)</f>
        <v>0.16195369632512899</v>
      </c>
      <c r="CD186" s="1111">
        <f>SUMIFS(NewEmisData!K:K, NewEmisData!$A:$A, $G186, NewEmisData!$B:$B, $A186, NewEmisData!$C:$C, $H186, NewEmisData!$D:$D, CD$6)</f>
        <v>0.15740433242174701</v>
      </c>
      <c r="CE186" s="1111">
        <f>SUMIFS(NewEmisData!L:L, NewEmisData!$A:$A, $G186, NewEmisData!$B:$B, $A186, NewEmisData!$C:$C, $H186, NewEmisData!$D:$D, CE$6)</f>
        <v>0.157307785457242</v>
      </c>
      <c r="CF186" s="1111">
        <f>SUMIFS(NewEmisData!M:M, NewEmisData!$A:$A, $G186, NewEmisData!$B:$B, $A186, NewEmisData!$C:$C, $H186, NewEmisData!$D:$D, CF$6)</f>
        <v>0.15725203081084399</v>
      </c>
      <c r="CG186" s="1111">
        <f t="shared" si="250"/>
        <v>0.15725203081084399</v>
      </c>
      <c r="CH186" s="1111">
        <f t="shared" si="251"/>
        <v>2.7231476481759501E-2</v>
      </c>
      <c r="CI186" s="1111">
        <f>SUMIFS(NewEmisData!E:E, NewEmisData!$A:$A, $G186, NewEmisData!$B:$B, $A186, NewEmisData!$C:$C, $H186, NewEmisData!$D:$D, CI$6)</f>
        <v>2.7231476481759501E-2</v>
      </c>
      <c r="CJ186" s="1111">
        <f>SUMIFS(NewEmisData!F:F, NewEmisData!$A:$A, $G186, NewEmisData!$B:$B, $A186, NewEmisData!$C:$C, $H186, NewEmisData!$D:$D, CJ$6)</f>
        <v>2.7231505502351299E-2</v>
      </c>
      <c r="CK186" s="1111">
        <f>SUMIFS(NewEmisData!G:G, NewEmisData!$A:$A, $G186, NewEmisData!$B:$B, $A186, NewEmisData!$C:$C, $H186, NewEmisData!$D:$D, CK$6)</f>
        <v>3.75087111104635E-2</v>
      </c>
      <c r="CL186" s="1111">
        <f>SUMIFS(NewEmisData!H:H, NewEmisData!$A:$A, $G186, NewEmisData!$B:$B, $A186, NewEmisData!$C:$C, $H186, NewEmisData!$D:$D, CL$6)</f>
        <v>3.7508856064657703E-2</v>
      </c>
      <c r="CM186" s="1111">
        <f>SUMIFS(NewEmisData!I:I, NewEmisData!$A:$A, $G186, NewEmisData!$B:$B, $A186, NewEmisData!$C:$C, $H186, NewEmisData!$D:$D, CM$6)</f>
        <v>3.7508894115090098E-2</v>
      </c>
      <c r="CN186" s="1111">
        <f>SUMIFS(NewEmisData!J:J, NewEmisData!$A:$A, $G186, NewEmisData!$B:$B, $A186, NewEmisData!$C:$C, $H186, NewEmisData!$D:$D, CN$6)</f>
        <v>3.75089026268779E-2</v>
      </c>
      <c r="CO186" s="1111">
        <f>SUMIFS(NewEmisData!K:K, NewEmisData!$A:$A, $G186, NewEmisData!$B:$B, $A186, NewEmisData!$C:$C, $H186, NewEmisData!$D:$D, CO$6)</f>
        <v>3.7508908078082499E-2</v>
      </c>
      <c r="CP186" s="1111">
        <f>SUMIFS(NewEmisData!L:L, NewEmisData!$A:$A, $G186, NewEmisData!$B:$B, $A186, NewEmisData!$C:$C, $H186, NewEmisData!$D:$D, CP$6)</f>
        <v>3.7508933890185198E-2</v>
      </c>
      <c r="CQ186" s="1111">
        <f>SUMIFS(NewEmisData!M:M, NewEmisData!$A:$A, $G186, NewEmisData!$B:$B, $A186, NewEmisData!$C:$C, $H186, NewEmisData!$D:$D, CQ$6)</f>
        <v>3.7508933881412299E-2</v>
      </c>
      <c r="CR186" s="1111">
        <f t="shared" si="252"/>
        <v>3.7508933881412299E-2</v>
      </c>
      <c r="CS186" s="1111">
        <f t="shared" si="253"/>
        <v>4.4439718651325903E-3</v>
      </c>
      <c r="CT186" s="1111">
        <f>SUMIFS(NewEmisData!E:E, NewEmisData!$A:$A, $G186, NewEmisData!$B:$B, $A186, NewEmisData!$C:$C, $H186, NewEmisData!$D:$D, CT$6)</f>
        <v>4.4439718651325903E-3</v>
      </c>
      <c r="CU186" s="1111">
        <f>SUMIFS(NewEmisData!F:F, NewEmisData!$A:$A, $G186, NewEmisData!$B:$B, $A186, NewEmisData!$C:$C, $H186, NewEmisData!$D:$D, CU$6)</f>
        <v>4.4840826707910003E-3</v>
      </c>
      <c r="CV186" s="1111">
        <f>SUMIFS(NewEmisData!G:G, NewEmisData!$A:$A, $G186, NewEmisData!$B:$B, $A186, NewEmisData!$C:$C, $H186, NewEmisData!$D:$D, CV$6)</f>
        <v>7.1142816082060099E-3</v>
      </c>
      <c r="CW186" s="1111">
        <f>SUMIFS(NewEmisData!H:H, NewEmisData!$A:$A, $G186, NewEmisData!$B:$B, $A186, NewEmisData!$C:$C, $H186, NewEmisData!$D:$D, CW$6)</f>
        <v>7.1281607170090603E-3</v>
      </c>
      <c r="CX186" s="1111">
        <f>SUMIFS(NewEmisData!I:I, NewEmisData!$A:$A, $G186, NewEmisData!$B:$B, $A186, NewEmisData!$C:$C, $H186, NewEmisData!$D:$D, CX$6)</f>
        <v>7.1288471049868697E-3</v>
      </c>
      <c r="CY186" s="1111">
        <f>SUMIFS(NewEmisData!J:J, NewEmisData!$A:$A, $G186, NewEmisData!$B:$B, $A186, NewEmisData!$C:$C, $H186, NewEmisData!$D:$D, CY$6)</f>
        <v>7.1224443338730398E-3</v>
      </c>
      <c r="CZ186" s="1111">
        <f>SUMIFS(NewEmisData!K:K, NewEmisData!$A:$A, $G186, NewEmisData!$B:$B, $A186, NewEmisData!$C:$C, $H186, NewEmisData!$D:$D, CZ$6)</f>
        <v>7.1174224218484104E-3</v>
      </c>
      <c r="DA186" s="1111">
        <f>SUMIFS(NewEmisData!L:L, NewEmisData!$A:$A, $G186, NewEmisData!$B:$B, $A186, NewEmisData!$C:$C, $H186, NewEmisData!$D:$D, DA$6)</f>
        <v>7.1156639835745503E-3</v>
      </c>
      <c r="DB186" s="1111">
        <f>SUMIFS(NewEmisData!M:M, NewEmisData!$A:$A, $G186, NewEmisData!$B:$B, $A186, NewEmisData!$C:$C, $H186, NewEmisData!$D:$D, DB$6)</f>
        <v>7.1143751431365504E-3</v>
      </c>
      <c r="DC186" s="1111">
        <f t="shared" si="254"/>
        <v>7.1143751431365504E-3</v>
      </c>
      <c r="DD186" s="1111">
        <v>0.27590359730377301</v>
      </c>
      <c r="DE186" s="1111">
        <v>0.16653461328025448</v>
      </c>
      <c r="DF186" s="1111">
        <v>7.0634013441740542E-2</v>
      </c>
      <c r="DG186" s="1111">
        <v>1.3465185741622277E-2</v>
      </c>
      <c r="DH186" s="1111">
        <v>1.3335902123626415E-3</v>
      </c>
      <c r="DI186" s="1111">
        <v>1.3333236123730993E-3</v>
      </c>
      <c r="DJ186" s="1111">
        <v>1.3411440493973604E-3</v>
      </c>
      <c r="DK186" s="1111">
        <v>1.346119573497251E-3</v>
      </c>
      <c r="DL186" s="1111">
        <v>1.34972147341348E-3</v>
      </c>
      <c r="DM186" s="1111">
        <v>1.3526876874025272E-3</v>
      </c>
      <c r="DN186" s="1111">
        <v>1.3526876874025272E-3</v>
      </c>
      <c r="DO186" s="1111">
        <v>0.25015732774214966</v>
      </c>
      <c r="DP186" s="1111">
        <v>0.16091587537237781</v>
      </c>
      <c r="DQ186" s="1111">
        <v>6.8950819100028288E-2</v>
      </c>
      <c r="DR186" s="1111">
        <v>1.3786722456098304E-2</v>
      </c>
      <c r="DS186" s="1111">
        <v>2.3415945439152265E-3</v>
      </c>
      <c r="DT186" s="1111">
        <v>2.3424752868533771E-3</v>
      </c>
      <c r="DU186" s="1111">
        <v>2.3572496284837057E-3</v>
      </c>
      <c r="DV186" s="1111">
        <v>2.366615384585016E-3</v>
      </c>
      <c r="DW186" s="1111">
        <v>2.3732649800659884E-3</v>
      </c>
      <c r="DX186" s="1111">
        <v>2.3787745892213E-3</v>
      </c>
      <c r="DY186" s="1111">
        <v>2.3787745892213E-3</v>
      </c>
      <c r="DZ186" s="1111">
        <f t="shared" si="255"/>
        <v>2.2941775537169001E-2</v>
      </c>
      <c r="EA186" s="1111">
        <f>SUMIFS(NewEmisData!E:E, NewEmisData!$A:$A, $G186, NewEmisData!$B:$B, $A186, NewEmisData!$C:$C, $H186, NewEmisData!$D:$D, EA$6)</f>
        <v>2.2941775537169001E-2</v>
      </c>
      <c r="EB186" s="1111">
        <f>SUMIFS(NewEmisData!F:F, NewEmisData!$A:$A, $G186, NewEmisData!$B:$B, $A186, NewEmisData!$C:$C, $H186, NewEmisData!$D:$D, EB$6)</f>
        <v>9.3917723641563006E-2</v>
      </c>
      <c r="EC186" s="1111">
        <f>SUMIFS(NewEmisData!G:G, NewEmisData!$A:$A, $G186, NewEmisData!$B:$B, $A186, NewEmisData!$C:$C, $H186, NewEmisData!$D:$D, EC$6)</f>
        <v>0.146461478377578</v>
      </c>
      <c r="ED186" s="1111">
        <f>SUMIFS(NewEmisData!H:H, NewEmisData!$A:$A, $G186, NewEmisData!$B:$B, $A186, NewEmisData!$C:$C, $H186, NewEmisData!$D:$D, ED$6)</f>
        <v>0.14857043025063399</v>
      </c>
      <c r="EE186" s="1111">
        <f>SUMIFS(NewEmisData!I:I, NewEmisData!$A:$A, $G186, NewEmisData!$B:$B, $A186, NewEmisData!$C:$C, $H186, NewEmisData!$D:$D, EE$6)</f>
        <v>0.14921098409112099</v>
      </c>
      <c r="EF186" s="1111">
        <f>SUMIFS(NewEmisData!J:J, NewEmisData!$A:$A, $G186, NewEmisData!$B:$B, $A186, NewEmisData!$C:$C, $H186, NewEmisData!$D:$D, EF$6)</f>
        <v>0.14903391288637999</v>
      </c>
      <c r="EG186" s="1111">
        <f>SUMIFS(NewEmisData!K:K, NewEmisData!$A:$A, $G186, NewEmisData!$B:$B, $A186, NewEmisData!$C:$C, $H186, NewEmisData!$D:$D, EG$6)</f>
        <v>0.149096656781327</v>
      </c>
      <c r="EH186" s="1111">
        <f>SUMIFS(NewEmisData!L:L, NewEmisData!$A:$A, $G186, NewEmisData!$B:$B, $A186, NewEmisData!$C:$C, $H186, NewEmisData!$D:$D, EH$6)</f>
        <v>0.14900669844887601</v>
      </c>
      <c r="EI186" s="1111">
        <f>SUMIFS(NewEmisData!M:M, NewEmisData!$A:$A, $G186, NewEmisData!$B:$B, $A186, NewEmisData!$C:$C, $H186, NewEmisData!$D:$D, EI$6)</f>
        <v>0.14895012544389</v>
      </c>
      <c r="EJ186" s="1111">
        <f t="shared" si="256"/>
        <v>0.14895012544389</v>
      </c>
      <c r="EK186" s="1111">
        <f t="shared" si="257"/>
        <v>1391.2693302299499</v>
      </c>
      <c r="EL186" s="1111">
        <f t="shared" si="269"/>
        <v>1391.2693302299499</v>
      </c>
      <c r="EM186" s="1111">
        <f t="shared" si="270"/>
        <v>1387.81700695984</v>
      </c>
      <c r="EN186" s="1111">
        <f t="shared" si="271"/>
        <v>1800.2870719201501</v>
      </c>
      <c r="EO186" s="1111">
        <f t="shared" si="272"/>
        <v>1737.4132368119399</v>
      </c>
      <c r="EP186" s="1111">
        <f t="shared" si="273"/>
        <v>1684.8867050016099</v>
      </c>
      <c r="EQ186" s="1111">
        <f t="shared" si="274"/>
        <v>1667.30888418872</v>
      </c>
      <c r="ER186" s="1111">
        <f t="shared" si="275"/>
        <v>1662.1204635085701</v>
      </c>
      <c r="ES186" s="1111">
        <f t="shared" si="276"/>
        <v>1660.97957279301</v>
      </c>
      <c r="ET186" s="1111">
        <f t="shared" si="277"/>
        <v>1660.69684286644</v>
      </c>
      <c r="EU186" s="1111">
        <f t="shared" si="278"/>
        <v>1660.69684286644</v>
      </c>
      <c r="EV186" s="1111">
        <f t="shared" si="258"/>
        <v>9.0067562467577496</v>
      </c>
      <c r="EW186" s="1111">
        <f t="shared" si="259"/>
        <v>9.0067562467577496</v>
      </c>
      <c r="EX186" s="1111">
        <f t="shared" si="260"/>
        <v>4.6343833495392097</v>
      </c>
      <c r="EY186" s="1111">
        <f t="shared" si="261"/>
        <v>3.60142958602064</v>
      </c>
      <c r="EZ186" s="1111">
        <f t="shared" si="262"/>
        <v>2.1043869634005898</v>
      </c>
      <c r="FA186" s="1111">
        <f t="shared" si="263"/>
        <v>1.48367214909245</v>
      </c>
      <c r="FB186" s="1111">
        <f t="shared" si="264"/>
        <v>1.28531680721516</v>
      </c>
      <c r="FC186" s="1111">
        <f t="shared" si="265"/>
        <v>1.2244614015544699</v>
      </c>
      <c r="FD186" s="1111">
        <f t="shared" si="266"/>
        <v>1.2160626918277799</v>
      </c>
      <c r="FE186" s="1111">
        <f t="shared" si="267"/>
        <v>1.2135584327019699</v>
      </c>
      <c r="FF186" s="1111">
        <f t="shared" si="268"/>
        <v>1.2135584327019699</v>
      </c>
      <c r="FG186" s="1111">
        <f t="shared" si="291"/>
        <v>3.4517378580972299E-2</v>
      </c>
      <c r="FH186" s="1111">
        <f t="shared" si="292"/>
        <v>3.4517378580972299E-2</v>
      </c>
      <c r="FI186" s="1111">
        <f t="shared" si="293"/>
        <v>3.32138510088891E-2</v>
      </c>
      <c r="FJ186" s="1111">
        <f t="shared" si="294"/>
        <v>1.51370239918269E-2</v>
      </c>
      <c r="FK186" s="1111">
        <f t="shared" si="295"/>
        <v>1.4522910664903899E-2</v>
      </c>
      <c r="FL186" s="1111">
        <f t="shared" si="296"/>
        <v>1.4055280493155501E-2</v>
      </c>
      <c r="FM186" s="1111">
        <f t="shared" si="297"/>
        <v>1.39025233464321E-2</v>
      </c>
      <c r="FN186" s="1111">
        <f t="shared" si="298"/>
        <v>1.3857298595630599E-2</v>
      </c>
      <c r="FO186" s="1111">
        <f t="shared" si="299"/>
        <v>1.3847788543629599E-2</v>
      </c>
      <c r="FP186" s="1111">
        <f t="shared" si="300"/>
        <v>1.38454338903831E-2</v>
      </c>
      <c r="FQ186" s="1111">
        <f t="shared" si="301"/>
        <v>1.38454338903831E-2</v>
      </c>
      <c r="FR186" s="1111">
        <f t="shared" si="230"/>
        <v>0.88280589948548305</v>
      </c>
      <c r="FS186" s="1111">
        <f t="shared" si="231"/>
        <v>0.88280589948548305</v>
      </c>
      <c r="FT186" s="1111">
        <f t="shared" si="232"/>
        <v>0.45831592934321902</v>
      </c>
      <c r="FU186" s="1111">
        <f t="shared" si="233"/>
        <v>0.43734131963468098</v>
      </c>
      <c r="FV186" s="1111">
        <f t="shared" si="234"/>
        <v>0.34967637389988199</v>
      </c>
      <c r="FW186" s="1111">
        <f t="shared" si="235"/>
        <v>0.31983162808126298</v>
      </c>
      <c r="FX186" s="1111">
        <f t="shared" si="236"/>
        <v>0.31421718315917302</v>
      </c>
      <c r="FY186" s="1111">
        <f t="shared" si="237"/>
        <v>0.31256016773955603</v>
      </c>
      <c r="FZ186" s="1111">
        <f t="shared" si="238"/>
        <v>0.31254542006524799</v>
      </c>
      <c r="GA186" s="1111">
        <f t="shared" si="239"/>
        <v>0.31254401073163601</v>
      </c>
      <c r="GB186" s="1111">
        <f t="shared" si="240"/>
        <v>0.31254401073163601</v>
      </c>
      <c r="GC186" s="1111">
        <f t="shared" si="279"/>
        <v>0.66102414887226102</v>
      </c>
      <c r="GD186" s="1111">
        <f t="shared" si="280"/>
        <v>0.66102414887226102</v>
      </c>
      <c r="GE186" s="1111">
        <f t="shared" si="281"/>
        <v>0.27087694461251399</v>
      </c>
      <c r="GF186" s="1111">
        <f t="shared" si="282"/>
        <v>0.174468170082518</v>
      </c>
      <c r="GG186" s="1111">
        <f t="shared" si="283"/>
        <v>9.4926362989927404E-2</v>
      </c>
      <c r="GH186" s="1111">
        <f t="shared" si="284"/>
        <v>6.7801817056445293E-2</v>
      </c>
      <c r="GI186" s="1111">
        <f t="shared" si="285"/>
        <v>6.2731413619129706E-2</v>
      </c>
      <c r="GJ186" s="1111">
        <f t="shared" si="286"/>
        <v>6.1230033876524703E-2</v>
      </c>
      <c r="GK186" s="1111">
        <f t="shared" si="287"/>
        <v>6.1220848871463299E-2</v>
      </c>
      <c r="GL186" s="1111">
        <f t="shared" si="288"/>
        <v>6.1219393619074997E-2</v>
      </c>
      <c r="GM186" s="1111">
        <f t="shared" si="289"/>
        <v>6.1219393619074997E-2</v>
      </c>
    </row>
    <row r="187" spans="1:195" x14ac:dyDescent="0.2">
      <c r="A187" s="1071" t="s">
        <v>184</v>
      </c>
      <c r="B187" s="1071" t="str">
        <f>Technologies!C120</f>
        <v>TMDSLIM</v>
      </c>
      <c r="C187" s="1071" t="str">
        <f>Technologies!D120</f>
        <v>Medium Duty Truck, Improved Diesel</v>
      </c>
      <c r="D187" s="1071" t="str">
        <f>NewTech!D72</f>
        <v>bn-vmt, bn-vmt/a</v>
      </c>
      <c r="E187" s="1071" t="str">
        <f>NewTech!E73</f>
        <v>TMDSL</v>
      </c>
      <c r="F187" s="1071" t="str">
        <f>NewTech!F73</f>
        <v>TM</v>
      </c>
      <c r="G187" s="1110" t="s">
        <v>503</v>
      </c>
      <c r="H187" s="1110" t="s">
        <v>499</v>
      </c>
      <c r="I187" s="1112">
        <v>1</v>
      </c>
      <c r="J187" s="1111" t="str">
        <f t="shared" si="37"/>
        <v>Medium duty-DSL</v>
      </c>
      <c r="K187" s="1111">
        <f>SUMIFS(NewEmisData!E:E, NewEmisData!$A:$A, $G187, NewEmisData!$B:$B, $A187, NewEmisData!$C:$C, $H187, NewEmisData!$D:$D, K$6)</f>
        <v>1227.122531812</v>
      </c>
      <c r="L187" s="1111">
        <f>SUMIFS(NewEmisData!F:F, NewEmisData!$A:$A, $G187, NewEmisData!$B:$B, $A187, NewEmisData!$C:$C, $H187, NewEmisData!$D:$D, L$6)</f>
        <v>1223.38293869125</v>
      </c>
      <c r="M187" s="1111">
        <f>SUMIFS(NewEmisData!G:G, NewEmisData!$A:$A, $G187, NewEmisData!$B:$B, $A187, NewEmisData!$C:$C, $H187, NewEmisData!$D:$D, M$6)</f>
        <v>1491.9167744443</v>
      </c>
      <c r="N187" s="1111">
        <f>SUMIFS(NewEmisData!H:H, NewEmisData!$A:$A, $G187, NewEmisData!$B:$B, $A187, NewEmisData!$C:$C, $H187, NewEmisData!$D:$D, N$6)</f>
        <v>1439.6290263866099</v>
      </c>
      <c r="O187" s="1111">
        <f>SUMIFS(NewEmisData!I:I, NewEmisData!$A:$A, $G187, NewEmisData!$B:$B, $A187, NewEmisData!$C:$C, $H187, NewEmisData!$D:$D, O$6)</f>
        <v>1396.0303655681701</v>
      </c>
      <c r="P187" s="1111">
        <f>SUMIFS(NewEmisData!J:J, NewEmisData!$A:$A, $G187, NewEmisData!$B:$B, $A187, NewEmisData!$C:$C, $H187, NewEmisData!$D:$D, P$6)</f>
        <v>1381.4572061837</v>
      </c>
      <c r="Q187" s="1111">
        <f>SUMIFS(NewEmisData!K:K, NewEmisData!$A:$A, $G187, NewEmisData!$B:$B, $A187, NewEmisData!$C:$C, $H187, NewEmisData!$D:$D, Q$6)</f>
        <v>1377.1647221724299</v>
      </c>
      <c r="R187" s="1111">
        <f>SUMIFS(NewEmisData!L:L, NewEmisData!$A:$A, $G187, NewEmisData!$B:$B, $A187, NewEmisData!$C:$C, $H187, NewEmisData!$D:$D, R$6)</f>
        <v>1376.2239115392599</v>
      </c>
      <c r="S187" s="1111">
        <f>SUMIFS(NewEmisData!M:M, NewEmisData!$A:$A, $G187, NewEmisData!$B:$B, $A187, NewEmisData!$C:$C, $H187, NewEmisData!$D:$D, S$6)</f>
        <v>1375.99238621115</v>
      </c>
      <c r="T187" s="1111">
        <f t="shared" si="290"/>
        <v>1375.99238621115</v>
      </c>
      <c r="U187" s="1111">
        <f>SUMIFS(NewEmisData!E:E, NewEmisData!$A:$A, $G187, NewEmisData!$B:$B, $A187, NewEmisData!$C:$C, $H187, NewEmisData!$D:$D, U$6)</f>
        <v>8.0193608379791392</v>
      </c>
      <c r="V187" s="1111">
        <f>SUMIFS(NewEmisData!F:F, NewEmisData!$A:$A, $G187, NewEmisData!$B:$B, $A187, NewEmisData!$C:$C, $H187, NewEmisData!$D:$D, V$6)</f>
        <v>4.1543590563126003</v>
      </c>
      <c r="W187" s="1111">
        <f>SUMIFS(NewEmisData!G:G, NewEmisData!$A:$A, $G187, NewEmisData!$B:$B, $A187, NewEmisData!$C:$C, $H187, NewEmisData!$D:$D, W$6)</f>
        <v>2.98133312137844</v>
      </c>
      <c r="X187" s="1111">
        <f>SUMIFS(NewEmisData!H:H, NewEmisData!$A:$A, $G187, NewEmisData!$B:$B, $A187, NewEmisData!$C:$C, $H187, NewEmisData!$D:$D, X$6)</f>
        <v>1.7381068783510201</v>
      </c>
      <c r="Y187" s="1111">
        <f>SUMIFS(NewEmisData!I:I, NewEmisData!$A:$A, $G187, NewEmisData!$B:$B, $A187, NewEmisData!$C:$C, $H187, NewEmisData!$D:$D, Y$6)</f>
        <v>1.2226706736775499</v>
      </c>
      <c r="Z187" s="1111">
        <f>SUMIFS(NewEmisData!J:J, NewEmisData!$A:$A, $G187, NewEmisData!$B:$B, $A187, NewEmisData!$C:$C, $H187, NewEmisData!$D:$D, Z$6)</f>
        <v>1.0580964689305701</v>
      </c>
      <c r="AA187" s="1111">
        <f>SUMIFS(NewEmisData!K:K, NewEmisData!$A:$A, $G187, NewEmisData!$B:$B, $A187, NewEmisData!$C:$C, $H187, NewEmisData!$D:$D, AA$6)</f>
        <v>1.00772008015349</v>
      </c>
      <c r="AB187" s="1111">
        <f>SUMIFS(NewEmisData!L:L, NewEmisData!$A:$A, $G187, NewEmisData!$B:$B, $A187, NewEmisData!$C:$C, $H187, NewEmisData!$D:$D, AB$6)</f>
        <v>1.0008292130083001</v>
      </c>
      <c r="AC187" s="1111">
        <f>SUMIFS(NewEmisData!M:M, NewEmisData!$A:$A, $G187, NewEmisData!$B:$B, $A187, NewEmisData!$C:$C, $H187, NewEmisData!$D:$D, AC$6)</f>
        <v>0.99880738384490098</v>
      </c>
      <c r="AD187" s="1111">
        <f t="shared" si="229"/>
        <v>0.99880738384490098</v>
      </c>
      <c r="AE187" s="1111">
        <f t="shared" si="241"/>
        <v>3.0399158238526399E-2</v>
      </c>
      <c r="AF187" s="1111">
        <f>SUMIFS(NewEmisData!E:E, NewEmisData!$A:$A, $G187, NewEmisData!$B:$B, $A187, NewEmisData!$C:$C, $H187, NewEmisData!$D:$D, AF$6)</f>
        <v>3.0399158238526399E-2</v>
      </c>
      <c r="AG187" s="1111">
        <f>SUMIFS(NewEmisData!F:F, NewEmisData!$A:$A, $G187, NewEmisData!$B:$B, $A187, NewEmisData!$C:$C, $H187, NewEmisData!$D:$D, AG$6)</f>
        <v>2.9335551037600001E-2</v>
      </c>
      <c r="AH187" s="1111">
        <f>SUMIFS(NewEmisData!G:G, NewEmisData!$A:$A, $G187, NewEmisData!$B:$B, $A187, NewEmisData!$C:$C, $H187, NewEmisData!$D:$D, AH$6)</f>
        <v>1.25441414050069E-2</v>
      </c>
      <c r="AI187" s="1111">
        <f>SUMIFS(NewEmisData!H:H, NewEmisData!$A:$A, $G187, NewEmisData!$B:$B, $A187, NewEmisData!$C:$C, $H187, NewEmisData!$D:$D, AI$6)</f>
        <v>1.2033715661617201E-2</v>
      </c>
      <c r="AJ187" s="1111">
        <f>SUMIFS(NewEmisData!I:I, NewEmisData!$A:$A, $G187, NewEmisData!$B:$B, $A187, NewEmisData!$C:$C, $H187, NewEmisData!$D:$D, AJ$6)</f>
        <v>1.1645627611560599E-2</v>
      </c>
      <c r="AK187" s="1111">
        <f>SUMIFS(NewEmisData!J:J, NewEmisData!$A:$A, $G187, NewEmisData!$B:$B, $A187, NewEmisData!$C:$C, $H187, NewEmisData!$D:$D, AK$6)</f>
        <v>1.15189928592382E-2</v>
      </c>
      <c r="AL187" s="1111">
        <f>SUMIFS(NewEmisData!K:K, NewEmisData!$A:$A, $G187, NewEmisData!$B:$B, $A187, NewEmisData!$C:$C, $H187, NewEmisData!$D:$D, AL$6)</f>
        <v>1.1481583994978299E-2</v>
      </c>
      <c r="AM187" s="1111">
        <f>SUMIFS(NewEmisData!L:L, NewEmisData!$A:$A, $G187, NewEmisData!$B:$B, $A187, NewEmisData!$C:$C, $H187, NewEmisData!$D:$D, AM$6)</f>
        <v>1.1473738052833899E-2</v>
      </c>
      <c r="AN187" s="1111">
        <f>SUMIFS(NewEmisData!M:M, NewEmisData!$A:$A, $G187, NewEmisData!$B:$B, $A187, NewEmisData!$C:$C, $H187, NewEmisData!$D:$D, AN$6)</f>
        <v>1.14718141652436E-2</v>
      </c>
      <c r="AO187" s="1111">
        <f t="shared" si="242"/>
        <v>1.14718141652436E-2</v>
      </c>
      <c r="AP187" s="1111">
        <f t="shared" si="243"/>
        <v>0.75675018821525997</v>
      </c>
      <c r="AQ187" s="1111">
        <f>SUMIFS(NewEmisData!E:E, NewEmisData!$A:$A, $G187, NewEmisData!$B:$B, $A187, NewEmisData!$C:$C, $H187, NewEmisData!$D:$D, AQ$6)</f>
        <v>0.75675018821525997</v>
      </c>
      <c r="AR187" s="1111">
        <f>SUMIFS(NewEmisData!F:F, NewEmisData!$A:$A, $G187, NewEmisData!$B:$B, $A187, NewEmisData!$C:$C, $H187, NewEmisData!$D:$D, AR$6)</f>
        <v>0.40133452537918501</v>
      </c>
      <c r="AS187" s="1111">
        <f>SUMIFS(NewEmisData!G:G, NewEmisData!$A:$A, $G187, NewEmisData!$B:$B, $A187, NewEmisData!$C:$C, $H187, NewEmisData!$D:$D, AS$6)</f>
        <v>0.33506910840269499</v>
      </c>
      <c r="AT187" s="1111">
        <f>SUMIFS(NewEmisData!H:H, NewEmisData!$A:$A, $G187, NewEmisData!$B:$B, $A187, NewEmisData!$C:$C, $H187, NewEmisData!$D:$D, AT$6)</f>
        <v>0.263570196116162</v>
      </c>
      <c r="AU187" s="1111">
        <f>SUMIFS(NewEmisData!I:I, NewEmisData!$A:$A, $G187, NewEmisData!$B:$B, $A187, NewEmisData!$C:$C, $H187, NewEmisData!$D:$D, AU$6)</f>
        <v>0.239317173689682</v>
      </c>
      <c r="AV187" s="1111">
        <f>SUMIFS(NewEmisData!J:J, NewEmisData!$A:$A, $G187, NewEmisData!$B:$B, $A187, NewEmisData!$C:$C, $H187, NewEmisData!$D:$D, AV$6)</f>
        <v>0.23470430578816801</v>
      </c>
      <c r="AW187" s="1111">
        <f>SUMIFS(NewEmisData!K:K, NewEmisData!$A:$A, $G187, NewEmisData!$B:$B, $A187, NewEmisData!$C:$C, $H187, NewEmisData!$D:$D, AW$6)</f>
        <v>0.23334423625159001</v>
      </c>
      <c r="AX187" s="1111">
        <f>SUMIFS(NewEmisData!L:L, NewEmisData!$A:$A, $G187, NewEmisData!$B:$B, $A187, NewEmisData!$C:$C, $H187, NewEmisData!$D:$D, AX$6)</f>
        <v>0.233332846550835</v>
      </c>
      <c r="AY187" s="1111">
        <f>SUMIFS(NewEmisData!M:M, NewEmisData!$A:$A, $G187, NewEmisData!$B:$B, $A187, NewEmisData!$C:$C, $H187, NewEmisData!$D:$D, AY$6)</f>
        <v>0.23333151026798801</v>
      </c>
      <c r="AZ187" s="1111">
        <f t="shared" si="244"/>
        <v>0.23333151026798801</v>
      </c>
      <c r="BA187" s="1111">
        <f t="shared" si="245"/>
        <v>0.57853809313457705</v>
      </c>
      <c r="BB187" s="1111">
        <f>SUMIFS(NewEmisData!E:E, NewEmisData!$A:$A, $G187, NewEmisData!$B:$B, $A187, NewEmisData!$C:$C, $H187, NewEmisData!$D:$D, BB$6)</f>
        <v>0.57853809313457705</v>
      </c>
      <c r="BC187" s="1111">
        <f>SUMIFS(NewEmisData!F:F, NewEmisData!$A:$A, $G187, NewEmisData!$B:$B, $A187, NewEmisData!$C:$C, $H187, NewEmisData!$D:$D, BC$6)</f>
        <v>0.252003695301314</v>
      </c>
      <c r="BD187" s="1111">
        <f>SUMIFS(NewEmisData!G:G, NewEmisData!$A:$A, $G187, NewEmisData!$B:$B, $A187, NewEmisData!$C:$C, $H187, NewEmisData!$D:$D, BD$6)</f>
        <v>0.14009339529863701</v>
      </c>
      <c r="BE187" s="1111">
        <f>SUMIFS(NewEmisData!H:H, NewEmisData!$A:$A, $G187, NewEmisData!$B:$B, $A187, NewEmisData!$C:$C, $H187, NewEmisData!$D:$D, BE$6)</f>
        <v>7.5128307357895593E-2</v>
      </c>
      <c r="BF187" s="1111">
        <f>SUMIFS(NewEmisData!I:I, NewEmisData!$A:$A, $G187, NewEmisData!$B:$B, $A187, NewEmisData!$C:$C, $H187, NewEmisData!$D:$D, BF$6)</f>
        <v>5.3059643460613801E-2</v>
      </c>
      <c r="BG187" s="1111">
        <f>SUMIFS(NewEmisData!J:J, NewEmisData!$A:$A, $G187, NewEmisData!$B:$B, $A187, NewEmisData!$C:$C, $H187, NewEmisData!$D:$D, BG$6)</f>
        <v>4.8885273229585302E-2</v>
      </c>
      <c r="BH187" s="1111">
        <f>SUMIFS(NewEmisData!K:K, NewEmisData!$A:$A, $G187, NewEmisData!$B:$B, $A187, NewEmisData!$C:$C, $H187, NewEmisData!$D:$D, BH$6)</f>
        <v>4.7651037372409798E-2</v>
      </c>
      <c r="BI187" s="1111">
        <f>SUMIFS(NewEmisData!L:L, NewEmisData!$A:$A, $G187, NewEmisData!$B:$B, $A187, NewEmisData!$C:$C, $H187, NewEmisData!$D:$D, BI$6)</f>
        <v>4.7643536740020302E-2</v>
      </c>
      <c r="BJ187" s="1111">
        <f>SUMIFS(NewEmisData!M:M, NewEmisData!$A:$A, $G187, NewEmisData!$B:$B, $A187, NewEmisData!$C:$C, $H187, NewEmisData!$D:$D, BJ$6)</f>
        <v>4.7642334168564497E-2</v>
      </c>
      <c r="BK187" s="1111">
        <f t="shared" si="246"/>
        <v>4.7642334168564497E-2</v>
      </c>
      <c r="BL187" s="1111">
        <f t="shared" si="247"/>
        <v>3.66291528795528</v>
      </c>
      <c r="BM187" s="1111">
        <f>SUMIFS(NewEmisData!E:E, NewEmisData!$A:$A, $G187, NewEmisData!$B:$B, $A187, NewEmisData!$C:$C, $H187, NewEmisData!$D:$D, BM$6)</f>
        <v>3.66291528795528</v>
      </c>
      <c r="BN187" s="1111">
        <f>SUMIFS(NewEmisData!F:F, NewEmisData!$A:$A, $G187, NewEmisData!$B:$B, $A187, NewEmisData!$C:$C, $H187, NewEmisData!$D:$D, BN$6)</f>
        <v>1.81110834429754</v>
      </c>
      <c r="BO187" s="1111">
        <f>SUMIFS(NewEmisData!G:G, NewEmisData!$A:$A, $G187, NewEmisData!$B:$B, $A187, NewEmisData!$C:$C, $H187, NewEmisData!$D:$D, BO$6)</f>
        <v>1.17052618624317</v>
      </c>
      <c r="BP187" s="1111">
        <f>SUMIFS(NewEmisData!H:H, NewEmisData!$A:$A, $G187, NewEmisData!$B:$B, $A187, NewEmisData!$C:$C, $H187, NewEmisData!$D:$D, BP$6)</f>
        <v>0.73614531651374404</v>
      </c>
      <c r="BQ187" s="1111">
        <f>SUMIFS(NewEmisData!I:I, NewEmisData!$A:$A, $G187, NewEmisData!$B:$B, $A187, NewEmisData!$C:$C, $H187, NewEmisData!$D:$D, BQ$6)</f>
        <v>0.597052259804708</v>
      </c>
      <c r="BR187" s="1111">
        <f>SUMIFS(NewEmisData!J:J, NewEmisData!$A:$A, $G187, NewEmisData!$B:$B, $A187, NewEmisData!$C:$C, $H187, NewEmisData!$D:$D, BR$6)</f>
        <v>0.56487776147618596</v>
      </c>
      <c r="BS187" s="1111">
        <f>SUMIFS(NewEmisData!K:K, NewEmisData!$A:$A, $G187, NewEmisData!$B:$B, $A187, NewEmisData!$C:$C, $H187, NewEmisData!$D:$D, BS$6)</f>
        <v>0.55598119154160697</v>
      </c>
      <c r="BT187" s="1111">
        <f>SUMIFS(NewEmisData!L:L, NewEmisData!$A:$A, $G187, NewEmisData!$B:$B, $A187, NewEmisData!$C:$C, $H187, NewEmisData!$D:$D, BT$6)</f>
        <v>0.55580702712140895</v>
      </c>
      <c r="BU187" s="1111">
        <f>SUMIFS(NewEmisData!M:M, NewEmisData!$A:$A, $G187, NewEmisData!$B:$B, $A187, NewEmisData!$C:$C, $H187, NewEmisData!$D:$D, BU$6)</f>
        <v>0.55571945282790103</v>
      </c>
      <c r="BV187" s="1111">
        <f t="shared" si="248"/>
        <v>0.55571945282790103</v>
      </c>
      <c r="BW187" s="1111">
        <f t="shared" si="249"/>
        <v>1.43661852797596</v>
      </c>
      <c r="BX187" s="1111">
        <f>SUMIFS(NewEmisData!E:E, NewEmisData!$A:$A, $G187, NewEmisData!$B:$B, $A187, NewEmisData!$C:$C, $H187, NewEmisData!$D:$D, BX$6)</f>
        <v>1.43661852797596</v>
      </c>
      <c r="BY187" s="1111">
        <f>SUMIFS(NewEmisData!F:F, NewEmisData!$A:$A, $G187, NewEmisData!$B:$B, $A187, NewEmisData!$C:$C, $H187, NewEmisData!$D:$D, BY$6)</f>
        <v>0.62875879312815397</v>
      </c>
      <c r="BZ187" s="1111">
        <f>SUMIFS(NewEmisData!G:G, NewEmisData!$A:$A, $G187, NewEmisData!$B:$B, $A187, NewEmisData!$C:$C, $H187, NewEmisData!$D:$D, BZ$6)</f>
        <v>0.38012488858052901</v>
      </c>
      <c r="CA187" s="1111">
        <f>SUMIFS(NewEmisData!H:H, NewEmisData!$A:$A, $G187, NewEmisData!$B:$B, $A187, NewEmisData!$C:$C, $H187, NewEmisData!$D:$D, CA$6)</f>
        <v>0.19661280267353801</v>
      </c>
      <c r="CB187" s="1111">
        <f>SUMIFS(NewEmisData!I:I, NewEmisData!$A:$A, $G187, NewEmisData!$B:$B, $A187, NewEmisData!$C:$C, $H187, NewEmisData!$D:$D, CB$6)</f>
        <v>0.139914566708539</v>
      </c>
      <c r="CC187" s="1111">
        <f>SUMIFS(NewEmisData!J:J, NewEmisData!$A:$A, $G187, NewEmisData!$B:$B, $A187, NewEmisData!$C:$C, $H187, NewEmisData!$D:$D, CC$6)</f>
        <v>0.126251922379787</v>
      </c>
      <c r="CD187" s="1111">
        <f>SUMIFS(NewEmisData!K:K, NewEmisData!$A:$A, $G187, NewEmisData!$B:$B, $A187, NewEmisData!$C:$C, $H187, NewEmisData!$D:$D, CD$6)</f>
        <v>0.122717084606958</v>
      </c>
      <c r="CE187" s="1111">
        <f>SUMIFS(NewEmisData!L:L, NewEmisData!$A:$A, $G187, NewEmisData!$B:$B, $A187, NewEmisData!$C:$C, $H187, NewEmisData!$D:$D, CE$6)</f>
        <v>0.122648698331061</v>
      </c>
      <c r="CF187" s="1111">
        <f>SUMIFS(NewEmisData!M:M, NewEmisData!$A:$A, $G187, NewEmisData!$B:$B, $A187, NewEmisData!$C:$C, $H187, NewEmisData!$D:$D, CF$6)</f>
        <v>0.12261069478738</v>
      </c>
      <c r="CG187" s="1111">
        <f t="shared" si="250"/>
        <v>0.12261069478738</v>
      </c>
      <c r="CH187" s="1111">
        <f t="shared" si="251"/>
        <v>2.6039509433426099E-2</v>
      </c>
      <c r="CI187" s="1111">
        <f>SUMIFS(NewEmisData!E:E, NewEmisData!$A:$A, $G187, NewEmisData!$B:$B, $A187, NewEmisData!$C:$C, $H187, NewEmisData!$D:$D, CI$6)</f>
        <v>2.6039509433426099E-2</v>
      </c>
      <c r="CJ187" s="1111">
        <f>SUMIFS(NewEmisData!F:F, NewEmisData!$A:$A, $G187, NewEmisData!$B:$B, $A187, NewEmisData!$C:$C, $H187, NewEmisData!$D:$D, CJ$6)</f>
        <v>2.6040008346974602E-2</v>
      </c>
      <c r="CK187" s="1111">
        <f>SUMIFS(NewEmisData!G:G, NewEmisData!$A:$A, $G187, NewEmisData!$B:$B, $A187, NewEmisData!$C:$C, $H187, NewEmisData!$D:$D, CK$6)</f>
        <v>3.2995536073936203E-2</v>
      </c>
      <c r="CL187" s="1111">
        <f>SUMIFS(NewEmisData!H:H, NewEmisData!$A:$A, $G187, NewEmisData!$B:$B, $A187, NewEmisData!$C:$C, $H187, NewEmisData!$D:$D, CL$6)</f>
        <v>3.2996708039722003E-2</v>
      </c>
      <c r="CM187" s="1111">
        <f>SUMIFS(NewEmisData!I:I, NewEmisData!$A:$A, $G187, NewEmisData!$B:$B, $A187, NewEmisData!$C:$C, $H187, NewEmisData!$D:$D, CM$6)</f>
        <v>3.2997215949732303E-2</v>
      </c>
      <c r="CN187" s="1111">
        <f>SUMIFS(NewEmisData!J:J, NewEmisData!$A:$A, $G187, NewEmisData!$B:$B, $A187, NewEmisData!$C:$C, $H187, NewEmisData!$D:$D, CN$6)</f>
        <v>3.29974176943355E-2</v>
      </c>
      <c r="CO187" s="1111">
        <f>SUMIFS(NewEmisData!K:K, NewEmisData!$A:$A, $G187, NewEmisData!$B:$B, $A187, NewEmisData!$C:$C, $H187, NewEmisData!$D:$D, CO$6)</f>
        <v>3.2997465645541797E-2</v>
      </c>
      <c r="CP187" s="1111">
        <f>SUMIFS(NewEmisData!L:L, NewEmisData!$A:$A, $G187, NewEmisData!$B:$B, $A187, NewEmisData!$C:$C, $H187, NewEmisData!$D:$D, CP$6)</f>
        <v>3.29975034492105E-2</v>
      </c>
      <c r="CQ187" s="1111">
        <f>SUMIFS(NewEmisData!M:M, NewEmisData!$A:$A, $G187, NewEmisData!$B:$B, $A187, NewEmisData!$C:$C, $H187, NewEmisData!$D:$D, CQ$6)</f>
        <v>3.2997507472943201E-2</v>
      </c>
      <c r="CR187" s="1111">
        <f t="shared" si="252"/>
        <v>3.2997507472943201E-2</v>
      </c>
      <c r="CS187" s="1111">
        <f t="shared" si="253"/>
        <v>3.5409431722048901E-3</v>
      </c>
      <c r="CT187" s="1111">
        <f>SUMIFS(NewEmisData!E:E, NewEmisData!$A:$A, $G187, NewEmisData!$B:$B, $A187, NewEmisData!$C:$C, $H187, NewEmisData!$D:$D, CT$6)</f>
        <v>3.5409431722048901E-3</v>
      </c>
      <c r="CU187" s="1111">
        <f>SUMIFS(NewEmisData!F:F, NewEmisData!$A:$A, $G187, NewEmisData!$B:$B, $A187, NewEmisData!$C:$C, $H187, NewEmisData!$D:$D, CU$6)</f>
        <v>3.63890781693205E-3</v>
      </c>
      <c r="CV187" s="1111">
        <f>SUMIFS(NewEmisData!G:G, NewEmisData!$A:$A, $G187, NewEmisData!$B:$B, $A187, NewEmisData!$C:$C, $H187, NewEmisData!$D:$D, CV$6)</f>
        <v>5.4574768642476996E-3</v>
      </c>
      <c r="CW187" s="1111">
        <f>SUMIFS(NewEmisData!H:H, NewEmisData!$A:$A, $G187, NewEmisData!$B:$B, $A187, NewEmisData!$C:$C, $H187, NewEmisData!$D:$D, CW$6)</f>
        <v>5.4675414672760402E-3</v>
      </c>
      <c r="CX187" s="1111">
        <f>SUMIFS(NewEmisData!I:I, NewEmisData!$A:$A, $G187, NewEmisData!$B:$B, $A187, NewEmisData!$C:$C, $H187, NewEmisData!$D:$D, CX$6)</f>
        <v>5.4680384341553E-3</v>
      </c>
      <c r="CY187" s="1111">
        <f>SUMIFS(NewEmisData!J:J, NewEmisData!$A:$A, $G187, NewEmisData!$B:$B, $A187, NewEmisData!$C:$C, $H187, NewEmisData!$D:$D, CY$6)</f>
        <v>5.4634019579347104E-3</v>
      </c>
      <c r="CZ187" s="1111">
        <f>SUMIFS(NewEmisData!K:K, NewEmisData!$A:$A, $G187, NewEmisData!$B:$B, $A187, NewEmisData!$C:$C, $H187, NewEmisData!$D:$D, CZ$6)</f>
        <v>5.4597660152292298E-3</v>
      </c>
      <c r="DA187" s="1111">
        <f>SUMIFS(NewEmisData!L:L, NewEmisData!$A:$A, $G187, NewEmisData!$B:$B, $A187, NewEmisData!$C:$C, $H187, NewEmisData!$D:$D, DA$6)</f>
        <v>5.4584958414238298E-3</v>
      </c>
      <c r="DB187" s="1111">
        <f>SUMIFS(NewEmisData!M:M, NewEmisData!$A:$A, $G187, NewEmisData!$B:$B, $A187, NewEmisData!$C:$C, $H187, NewEmisData!$D:$D, DB$6)</f>
        <v>5.45755956631585E-3</v>
      </c>
      <c r="DC187" s="1111">
        <f t="shared" si="254"/>
        <v>5.45755956631585E-3</v>
      </c>
      <c r="DD187" s="1111"/>
      <c r="DE187" s="1111"/>
      <c r="DF187" s="1111"/>
      <c r="DG187" s="1111"/>
      <c r="DH187" s="1111"/>
      <c r="DI187" s="1111"/>
      <c r="DJ187" s="1111"/>
      <c r="DK187" s="1111"/>
      <c r="DL187" s="1111"/>
      <c r="DM187" s="1111"/>
      <c r="DN187" s="1111"/>
      <c r="DO187" s="1111"/>
      <c r="DP187" s="1111"/>
      <c r="DQ187" s="1111"/>
      <c r="DR187" s="1111"/>
      <c r="DS187" s="1111"/>
      <c r="DT187" s="1111"/>
      <c r="DU187" s="1111"/>
      <c r="DV187" s="1111"/>
      <c r="DW187" s="1111"/>
      <c r="DX187" s="1111"/>
      <c r="DY187" s="1111"/>
      <c r="DZ187" s="1111">
        <f t="shared" si="255"/>
        <v>1.97747867706301E-2</v>
      </c>
      <c r="EA187" s="1111">
        <f>SUMIFS(NewEmisData!E:E, NewEmisData!$A:$A, $G187, NewEmisData!$B:$B, $A187, NewEmisData!$C:$C, $H187, NewEmisData!$D:$D, EA$6)</f>
        <v>1.97747867706301E-2</v>
      </c>
      <c r="EB187" s="1111">
        <f>SUMIFS(NewEmisData!F:F, NewEmisData!$A:$A, $G187, NewEmisData!$B:$B, $A187, NewEmisData!$C:$C, $H187, NewEmisData!$D:$D, EB$6)</f>
        <v>7.2363688705741003E-2</v>
      </c>
      <c r="EC187" s="1111">
        <f>SUMIFS(NewEmisData!G:G, NewEmisData!$A:$A, $G187, NewEmisData!$B:$B, $A187, NewEmisData!$C:$C, $H187, NewEmisData!$D:$D, EC$6)</f>
        <v>0.113967833470033</v>
      </c>
      <c r="ED187" s="1111">
        <f>SUMIFS(NewEmisData!H:H, NewEmisData!$A:$A, $G187, NewEmisData!$B:$B, $A187, NewEmisData!$C:$C, $H187, NewEmisData!$D:$D, ED$6)</f>
        <v>0.115112826964947</v>
      </c>
      <c r="EE187" s="1111">
        <f>SUMIFS(NewEmisData!I:I, NewEmisData!$A:$A, $G187, NewEmisData!$B:$B, $A187, NewEmisData!$C:$C, $H187, NewEmisData!$D:$D, EE$6)</f>
        <v>0.11539118025805099</v>
      </c>
      <c r="EF187" s="1111">
        <f>SUMIFS(NewEmisData!J:J, NewEmisData!$A:$A, $G187, NewEmisData!$B:$B, $A187, NewEmisData!$C:$C, $H187, NewEmisData!$D:$D, EF$6)</f>
        <v>0.115199325520795</v>
      </c>
      <c r="EG187" s="1111">
        <f>SUMIFS(NewEmisData!K:K, NewEmisData!$A:$A, $G187, NewEmisData!$B:$B, $A187, NewEmisData!$C:$C, $H187, NewEmisData!$D:$D, EG$6)</f>
        <v>0.115220036803385</v>
      </c>
      <c r="EH187" s="1111">
        <f>SUMIFS(NewEmisData!L:L, NewEmisData!$A:$A, $G187, NewEmisData!$B:$B, $A187, NewEmisData!$C:$C, $H187, NewEmisData!$D:$D, EH$6)</f>
        <v>0.115157957606922</v>
      </c>
      <c r="EI187" s="1111">
        <f>SUMIFS(NewEmisData!M:M, NewEmisData!$A:$A, $G187, NewEmisData!$B:$B, $A187, NewEmisData!$C:$C, $H187, NewEmisData!$D:$D, EI$6)</f>
        <v>0.115119875491087</v>
      </c>
      <c r="EJ187" s="1111">
        <f t="shared" si="256"/>
        <v>0.115119875491087</v>
      </c>
      <c r="EK187" s="1111">
        <f t="shared" si="257"/>
        <v>1227.122531812</v>
      </c>
      <c r="EL187" s="1111">
        <f t="shared" si="269"/>
        <v>1227.122531812</v>
      </c>
      <c r="EM187" s="1111">
        <f t="shared" si="270"/>
        <v>1223.38293869125</v>
      </c>
      <c r="EN187" s="1111">
        <f t="shared" si="271"/>
        <v>1491.9167744443</v>
      </c>
      <c r="EO187" s="1111">
        <f t="shared" si="272"/>
        <v>1439.6290263866099</v>
      </c>
      <c r="EP187" s="1111">
        <f t="shared" si="273"/>
        <v>1396.0303655681701</v>
      </c>
      <c r="EQ187" s="1111">
        <f t="shared" si="274"/>
        <v>1381.4572061837</v>
      </c>
      <c r="ER187" s="1111">
        <f t="shared" si="275"/>
        <v>1377.1647221724299</v>
      </c>
      <c r="ES187" s="1111">
        <f t="shared" si="276"/>
        <v>1376.2239115392599</v>
      </c>
      <c r="ET187" s="1111">
        <f t="shared" si="277"/>
        <v>1375.99238621115</v>
      </c>
      <c r="EU187" s="1111">
        <f t="shared" si="278"/>
        <v>1375.99238621115</v>
      </c>
      <c r="EV187" s="1111">
        <f t="shared" si="258"/>
        <v>8.0193608379791392</v>
      </c>
      <c r="EW187" s="1111">
        <f t="shared" si="259"/>
        <v>8.0193608379791392</v>
      </c>
      <c r="EX187" s="1111">
        <f t="shared" si="260"/>
        <v>4.1543590563126003</v>
      </c>
      <c r="EY187" s="1111">
        <f t="shared" si="261"/>
        <v>2.98133312137844</v>
      </c>
      <c r="EZ187" s="1111">
        <f t="shared" si="262"/>
        <v>1.7381068783510201</v>
      </c>
      <c r="FA187" s="1111">
        <f t="shared" si="263"/>
        <v>1.2226706736775499</v>
      </c>
      <c r="FB187" s="1111">
        <f t="shared" si="264"/>
        <v>1.0580964689305701</v>
      </c>
      <c r="FC187" s="1111">
        <f t="shared" si="265"/>
        <v>1.00772008015349</v>
      </c>
      <c r="FD187" s="1111">
        <f t="shared" si="266"/>
        <v>1.0008292130083001</v>
      </c>
      <c r="FE187" s="1111">
        <f t="shared" si="267"/>
        <v>0.99880738384490098</v>
      </c>
      <c r="FF187" s="1111">
        <f t="shared" si="268"/>
        <v>0.99880738384490098</v>
      </c>
      <c r="FG187" s="1111">
        <f t="shared" si="291"/>
        <v>3.0399158238526399E-2</v>
      </c>
      <c r="FH187" s="1111">
        <f t="shared" si="292"/>
        <v>3.0399158238526399E-2</v>
      </c>
      <c r="FI187" s="1111">
        <f t="shared" si="293"/>
        <v>2.9335551037600001E-2</v>
      </c>
      <c r="FJ187" s="1111">
        <f t="shared" si="294"/>
        <v>1.25441414050069E-2</v>
      </c>
      <c r="FK187" s="1111">
        <f t="shared" si="295"/>
        <v>1.2033715661617201E-2</v>
      </c>
      <c r="FL187" s="1111">
        <f t="shared" si="296"/>
        <v>1.1645627611560599E-2</v>
      </c>
      <c r="FM187" s="1111">
        <f t="shared" si="297"/>
        <v>1.15189928592382E-2</v>
      </c>
      <c r="FN187" s="1111">
        <f t="shared" si="298"/>
        <v>1.1481583994978299E-2</v>
      </c>
      <c r="FO187" s="1111">
        <f t="shared" si="299"/>
        <v>1.1473738052833899E-2</v>
      </c>
      <c r="FP187" s="1111">
        <f t="shared" si="300"/>
        <v>1.14718141652436E-2</v>
      </c>
      <c r="FQ187" s="1111">
        <f t="shared" si="301"/>
        <v>1.14718141652436E-2</v>
      </c>
      <c r="FR187" s="1111">
        <f t="shared" si="230"/>
        <v>0.75675018821525997</v>
      </c>
      <c r="FS187" s="1111">
        <f t="shared" si="231"/>
        <v>0.75675018821525997</v>
      </c>
      <c r="FT187" s="1111">
        <f t="shared" si="232"/>
        <v>0.40133452537918501</v>
      </c>
      <c r="FU187" s="1111">
        <f t="shared" si="233"/>
        <v>0.33506910840269499</v>
      </c>
      <c r="FV187" s="1111">
        <f t="shared" si="234"/>
        <v>0.263570196116162</v>
      </c>
      <c r="FW187" s="1111">
        <f t="shared" si="235"/>
        <v>0.239317173689682</v>
      </c>
      <c r="FX187" s="1111">
        <f t="shared" si="236"/>
        <v>0.23470430578816801</v>
      </c>
      <c r="FY187" s="1111">
        <f t="shared" si="237"/>
        <v>0.23334423625159001</v>
      </c>
      <c r="FZ187" s="1111">
        <f t="shared" si="238"/>
        <v>0.233332846550835</v>
      </c>
      <c r="GA187" s="1111">
        <f t="shared" si="239"/>
        <v>0.23333151026798801</v>
      </c>
      <c r="GB187" s="1111">
        <f t="shared" si="240"/>
        <v>0.23333151026798801</v>
      </c>
      <c r="GC187" s="1111">
        <f t="shared" si="279"/>
        <v>0.57853809313457705</v>
      </c>
      <c r="GD187" s="1111">
        <f t="shared" si="280"/>
        <v>0.57853809313457705</v>
      </c>
      <c r="GE187" s="1111">
        <f t="shared" si="281"/>
        <v>0.252003695301314</v>
      </c>
      <c r="GF187" s="1111">
        <f t="shared" si="282"/>
        <v>0.14009339529863701</v>
      </c>
      <c r="GG187" s="1111">
        <f t="shared" si="283"/>
        <v>7.5128307357895593E-2</v>
      </c>
      <c r="GH187" s="1111">
        <f t="shared" si="284"/>
        <v>5.3059643460613801E-2</v>
      </c>
      <c r="GI187" s="1111">
        <f t="shared" si="285"/>
        <v>4.8885273229585302E-2</v>
      </c>
      <c r="GJ187" s="1111">
        <f t="shared" si="286"/>
        <v>4.7651037372409798E-2</v>
      </c>
      <c r="GK187" s="1111">
        <f t="shared" si="287"/>
        <v>4.7643536740020302E-2</v>
      </c>
      <c r="GL187" s="1111">
        <f t="shared" si="288"/>
        <v>4.7642334168564497E-2</v>
      </c>
      <c r="GM187" s="1111">
        <f t="shared" si="289"/>
        <v>4.7642334168564497E-2</v>
      </c>
    </row>
    <row r="188" spans="1:195" x14ac:dyDescent="0.2">
      <c r="A188" s="1071" t="s">
        <v>186</v>
      </c>
      <c r="B188" s="1071" t="str">
        <f>Technologies!C120</f>
        <v>TMDSLIM</v>
      </c>
      <c r="C188" s="1071" t="str">
        <f>Technologies!D120</f>
        <v>Medium Duty Truck, Improved Diesel</v>
      </c>
      <c r="D188" s="1071" t="str">
        <f>NewTech!D72</f>
        <v>bn-vmt, bn-vmt/a</v>
      </c>
      <c r="E188" s="1071" t="str">
        <f>NewTech!E73</f>
        <v>TMDSL</v>
      </c>
      <c r="F188" s="1071" t="str">
        <f>NewTech!F73</f>
        <v>TM</v>
      </c>
      <c r="G188" s="1110" t="s">
        <v>503</v>
      </c>
      <c r="H188" s="1110" t="s">
        <v>499</v>
      </c>
      <c r="I188" s="1112">
        <v>1</v>
      </c>
      <c r="J188" s="1111" t="str">
        <f t="shared" si="37"/>
        <v>Medium duty-DSL</v>
      </c>
      <c r="K188" s="1111">
        <f>SUMIFS(NewEmisData!E:E, NewEmisData!$A:$A, $G188, NewEmisData!$B:$B, $A188, NewEmisData!$C:$C, $H188, NewEmisData!$D:$D, K$6)</f>
        <v>1844.7083010230299</v>
      </c>
      <c r="L188" s="1111">
        <f>SUMIFS(NewEmisData!F:F, NewEmisData!$A:$A, $G188, NewEmisData!$B:$B, $A188, NewEmisData!$C:$C, $H188, NewEmisData!$D:$D, L$6)</f>
        <v>1832.6045194358301</v>
      </c>
      <c r="M188" s="1111">
        <f>SUMIFS(NewEmisData!G:G, NewEmisData!$A:$A, $G188, NewEmisData!$B:$B, $A188, NewEmisData!$C:$C, $H188, NewEmisData!$D:$D, M$6)</f>
        <v>1884.2537986570301</v>
      </c>
      <c r="N188" s="1111">
        <f>SUMIFS(NewEmisData!H:H, NewEmisData!$A:$A, $G188, NewEmisData!$B:$B, $A188, NewEmisData!$C:$C, $H188, NewEmisData!$D:$D, N$6)</f>
        <v>1818.5727784503399</v>
      </c>
      <c r="O188" s="1111">
        <f>SUMIFS(NewEmisData!I:I, NewEmisData!$A:$A, $G188, NewEmisData!$B:$B, $A188, NewEmisData!$C:$C, $H188, NewEmisData!$D:$D, O$6)</f>
        <v>1763.6996289860999</v>
      </c>
      <c r="P188" s="1111">
        <f>SUMIFS(NewEmisData!J:J, NewEmisData!$A:$A, $G188, NewEmisData!$B:$B, $A188, NewEmisData!$C:$C, $H188, NewEmisData!$D:$D, P$6)</f>
        <v>1745.38280930633</v>
      </c>
      <c r="Q188" s="1111">
        <f>SUMIFS(NewEmisData!K:K, NewEmisData!$A:$A, $G188, NewEmisData!$B:$B, $A188, NewEmisData!$C:$C, $H188, NewEmisData!$D:$D, Q$6)</f>
        <v>1739.98947678168</v>
      </c>
      <c r="R188" s="1111">
        <f>SUMIFS(NewEmisData!L:L, NewEmisData!$A:$A, $G188, NewEmisData!$B:$B, $A188, NewEmisData!$C:$C, $H188, NewEmisData!$D:$D, R$6)</f>
        <v>1738.81123596359</v>
      </c>
      <c r="S188" s="1111">
        <f>SUMIFS(NewEmisData!M:M, NewEmisData!$A:$A, $G188, NewEmisData!$B:$B, $A188, NewEmisData!$C:$C, $H188, NewEmisData!$D:$D, S$6)</f>
        <v>1738.5227113911701</v>
      </c>
      <c r="T188" s="1111">
        <f t="shared" si="290"/>
        <v>1738.5227113911701</v>
      </c>
      <c r="U188" s="1111">
        <f>SUMIFS(NewEmisData!E:E, NewEmisData!$A:$A, $G188, NewEmisData!$B:$B, $A188, NewEmisData!$C:$C, $H188, NewEmisData!$D:$D, U$6)</f>
        <v>11.3242694436207</v>
      </c>
      <c r="V188" s="1111">
        <f>SUMIFS(NewEmisData!F:F, NewEmisData!$A:$A, $G188, NewEmisData!$B:$B, $A188, NewEmisData!$C:$C, $H188, NewEmisData!$D:$D, V$6)</f>
        <v>5.2798482437774998</v>
      </c>
      <c r="W188" s="1111">
        <f>SUMIFS(NewEmisData!G:G, NewEmisData!$A:$A, $G188, NewEmisData!$B:$B, $A188, NewEmisData!$C:$C, $H188, NewEmisData!$D:$D, W$6)</f>
        <v>3.78642260339578</v>
      </c>
      <c r="X188" s="1111">
        <f>SUMIFS(NewEmisData!H:H, NewEmisData!$A:$A, $G188, NewEmisData!$B:$B, $A188, NewEmisData!$C:$C, $H188, NewEmisData!$D:$D, X$6)</f>
        <v>2.1972961679722198</v>
      </c>
      <c r="Y188" s="1111">
        <f>SUMIFS(NewEmisData!I:I, NewEmisData!$A:$A, $G188, NewEmisData!$B:$B, $A188, NewEmisData!$C:$C, $H188, NewEmisData!$D:$D, Y$6)</f>
        <v>1.5398620814352</v>
      </c>
      <c r="Z188" s="1111">
        <f>SUMIFS(NewEmisData!J:J, NewEmisData!$A:$A, $G188, NewEmisData!$B:$B, $A188, NewEmisData!$C:$C, $H188, NewEmisData!$D:$D, Z$6)</f>
        <v>1.33073738385153</v>
      </c>
      <c r="AA188" s="1111">
        <f>SUMIFS(NewEmisData!K:K, NewEmisData!$A:$A, $G188, NewEmisData!$B:$B, $A188, NewEmisData!$C:$C, $H188, NewEmisData!$D:$D, AA$6)</f>
        <v>1.2670046042829299</v>
      </c>
      <c r="AB188" s="1111">
        <f>SUMIFS(NewEmisData!L:L, NewEmisData!$A:$A, $G188, NewEmisData!$B:$B, $A188, NewEmisData!$C:$C, $H188, NewEmisData!$D:$D, AB$6)</f>
        <v>1.25837731661006</v>
      </c>
      <c r="AC188" s="1111">
        <f>SUMIFS(NewEmisData!M:M, NewEmisData!$A:$A, $G188, NewEmisData!$B:$B, $A188, NewEmisData!$C:$C, $H188, NewEmisData!$D:$D, AC$6)</f>
        <v>1.2558936064742501</v>
      </c>
      <c r="AD188" s="1111">
        <f t="shared" si="229"/>
        <v>1.2558936064742501</v>
      </c>
      <c r="AE188" s="1111">
        <f t="shared" si="241"/>
        <v>4.5365869728215401E-2</v>
      </c>
      <c r="AF188" s="1111">
        <f>SUMIFS(NewEmisData!E:E, NewEmisData!$A:$A, $G188, NewEmisData!$B:$B, $A188, NewEmisData!$C:$C, $H188, NewEmisData!$D:$D, AF$6)</f>
        <v>4.5365869728215401E-2</v>
      </c>
      <c r="AG188" s="1111">
        <f>SUMIFS(NewEmisData!F:F, NewEmisData!$A:$A, $G188, NewEmisData!$B:$B, $A188, NewEmisData!$C:$C, $H188, NewEmisData!$D:$D, AG$6)</f>
        <v>4.3660344033601299E-2</v>
      </c>
      <c r="AH188" s="1111">
        <f>SUMIFS(NewEmisData!G:G, NewEmisData!$A:$A, $G188, NewEmisData!$B:$B, $A188, NewEmisData!$C:$C, $H188, NewEmisData!$D:$D, AH$6)</f>
        <v>1.5842755870111001E-2</v>
      </c>
      <c r="AI188" s="1111">
        <f>SUMIFS(NewEmisData!H:H, NewEmisData!$A:$A, $G188, NewEmisData!$B:$B, $A188, NewEmisData!$C:$C, $H188, NewEmisData!$D:$D, AI$6)</f>
        <v>1.52011817179993E-2</v>
      </c>
      <c r="AJ188" s="1111">
        <f>SUMIFS(NewEmisData!I:I, NewEmisData!$A:$A, $G188, NewEmisData!$B:$B, $A188, NewEmisData!$C:$C, $H188, NewEmisData!$D:$D, AJ$6)</f>
        <v>1.47126837043844E-2</v>
      </c>
      <c r="AK188" s="1111">
        <f>SUMIFS(NewEmisData!J:J, NewEmisData!$A:$A, $G188, NewEmisData!$B:$B, $A188, NewEmisData!$C:$C, $H188, NewEmisData!$D:$D, AK$6)</f>
        <v>1.45535009771615E-2</v>
      </c>
      <c r="AL188" s="1111">
        <f>SUMIFS(NewEmisData!K:K, NewEmisData!$A:$A, $G188, NewEmisData!$B:$B, $A188, NewEmisData!$C:$C, $H188, NewEmisData!$D:$D, AL$6)</f>
        <v>1.4506508977964299E-2</v>
      </c>
      <c r="AM188" s="1111">
        <f>SUMIFS(NewEmisData!L:L, NewEmisData!$A:$A, $G188, NewEmisData!$B:$B, $A188, NewEmisData!$C:$C, $H188, NewEmisData!$D:$D, AM$6)</f>
        <v>1.44966873739067E-2</v>
      </c>
      <c r="AN188" s="1111">
        <f>SUMIFS(NewEmisData!M:M, NewEmisData!$A:$A, $G188, NewEmisData!$B:$B, $A188, NewEmisData!$C:$C, $H188, NewEmisData!$D:$D, AN$6)</f>
        <v>1.4494279129535799E-2</v>
      </c>
      <c r="AO188" s="1111">
        <f t="shared" si="242"/>
        <v>1.4494279129535799E-2</v>
      </c>
      <c r="AP188" s="1111">
        <f t="shared" si="243"/>
        <v>1.1349607828839201</v>
      </c>
      <c r="AQ188" s="1111">
        <f>SUMIFS(NewEmisData!E:E, NewEmisData!$A:$A, $G188, NewEmisData!$B:$B, $A188, NewEmisData!$C:$C, $H188, NewEmisData!$D:$D, AQ$6)</f>
        <v>1.1349607828839201</v>
      </c>
      <c r="AR188" s="1111">
        <f>SUMIFS(NewEmisData!F:F, NewEmisData!$A:$A, $G188, NewEmisData!$B:$B, $A188, NewEmisData!$C:$C, $H188, NewEmisData!$D:$D, AR$6)</f>
        <v>0.61030408012734905</v>
      </c>
      <c r="AS188" s="1111">
        <f>SUMIFS(NewEmisData!G:G, NewEmisData!$A:$A, $G188, NewEmisData!$B:$B, $A188, NewEmisData!$C:$C, $H188, NewEmisData!$D:$D, AS$6)</f>
        <v>0.44031388127967303</v>
      </c>
      <c r="AT188" s="1111">
        <f>SUMIFS(NewEmisData!H:H, NewEmisData!$A:$A, $G188, NewEmisData!$B:$B, $A188, NewEmisData!$C:$C, $H188, NewEmisData!$D:$D, AT$6)</f>
        <v>0.34801512923671002</v>
      </c>
      <c r="AU188" s="1111">
        <f>SUMIFS(NewEmisData!I:I, NewEmisData!$A:$A, $G188, NewEmisData!$B:$B, $A188, NewEmisData!$C:$C, $H188, NewEmisData!$D:$D, AU$6)</f>
        <v>0.316619673688259</v>
      </c>
      <c r="AV188" s="1111">
        <f>SUMIFS(NewEmisData!J:J, NewEmisData!$A:$A, $G188, NewEmisData!$B:$B, $A188, NewEmisData!$C:$C, $H188, NewEmisData!$D:$D, AV$6)</f>
        <v>0.310711543242081</v>
      </c>
      <c r="AW188" s="1111">
        <f>SUMIFS(NewEmisData!K:K, NewEmisData!$A:$A, $G188, NewEmisData!$B:$B, $A188, NewEmisData!$C:$C, $H188, NewEmisData!$D:$D, AW$6)</f>
        <v>0.30897246291541097</v>
      </c>
      <c r="AX188" s="1111">
        <f>SUMIFS(NewEmisData!L:L, NewEmisData!$A:$A, $G188, NewEmisData!$B:$B, $A188, NewEmisData!$C:$C, $H188, NewEmisData!$D:$D, AX$6)</f>
        <v>0.308957597755115</v>
      </c>
      <c r="AY188" s="1111">
        <f>SUMIFS(NewEmisData!M:M, NewEmisData!$A:$A, $G188, NewEmisData!$B:$B, $A188, NewEmisData!$C:$C, $H188, NewEmisData!$D:$D, AY$6)</f>
        <v>0.30895604079919098</v>
      </c>
      <c r="AZ188" s="1111">
        <f t="shared" si="244"/>
        <v>0.30895604079919098</v>
      </c>
      <c r="BA188" s="1111">
        <f t="shared" si="245"/>
        <v>0.82460782978682501</v>
      </c>
      <c r="BB188" s="1111">
        <f>SUMIFS(NewEmisData!E:E, NewEmisData!$A:$A, $G188, NewEmisData!$B:$B, $A188, NewEmisData!$C:$C, $H188, NewEmisData!$D:$D, BB$6)</f>
        <v>0.82460782978682501</v>
      </c>
      <c r="BC188" s="1111">
        <f>SUMIFS(NewEmisData!F:F, NewEmisData!$A:$A, $G188, NewEmisData!$B:$B, $A188, NewEmisData!$C:$C, $H188, NewEmisData!$D:$D, BC$6)</f>
        <v>0.34373570942234799</v>
      </c>
      <c r="BD188" s="1111">
        <f>SUMIFS(NewEmisData!G:G, NewEmisData!$A:$A, $G188, NewEmisData!$B:$B, $A188, NewEmisData!$C:$C, $H188, NewEmisData!$D:$D, BD$6)</f>
        <v>0.18121898411016099</v>
      </c>
      <c r="BE188" s="1111">
        <f>SUMIFS(NewEmisData!H:H, NewEmisData!$A:$A, $G188, NewEmisData!$B:$B, $A188, NewEmisData!$C:$C, $H188, NewEmisData!$D:$D, BE$6)</f>
        <v>9.7394815729633696E-2</v>
      </c>
      <c r="BF188" s="1111">
        <f>SUMIFS(NewEmisData!I:I, NewEmisData!$A:$A, $G188, NewEmisData!$B:$B, $A188, NewEmisData!$C:$C, $H188, NewEmisData!$D:$D, BF$6)</f>
        <v>6.8837534672911399E-2</v>
      </c>
      <c r="BG188" s="1111">
        <f>SUMIFS(NewEmisData!J:J, NewEmisData!$A:$A, $G188, NewEmisData!$B:$B, $A188, NewEmisData!$C:$C, $H188, NewEmisData!$D:$D, BG$6)</f>
        <v>6.3495189038770203E-2</v>
      </c>
      <c r="BH188" s="1111">
        <f>SUMIFS(NewEmisData!K:K, NewEmisData!$A:$A, $G188, NewEmisData!$B:$B, $A188, NewEmisData!$C:$C, $H188, NewEmisData!$D:$D, BH$6)</f>
        <v>6.1918142257759601E-2</v>
      </c>
      <c r="BI188" s="1111">
        <f>SUMIFS(NewEmisData!L:L, NewEmisData!$A:$A, $G188, NewEmisData!$B:$B, $A188, NewEmisData!$C:$C, $H188, NewEmisData!$D:$D, BI$6)</f>
        <v>6.1908718128838802E-2</v>
      </c>
      <c r="BJ188" s="1111">
        <f>SUMIFS(NewEmisData!M:M, NewEmisData!$A:$A, $G188, NewEmisData!$B:$B, $A188, NewEmisData!$C:$C, $H188, NewEmisData!$D:$D, BJ$6)</f>
        <v>6.1907262020399603E-2</v>
      </c>
      <c r="BK188" s="1111">
        <f t="shared" si="246"/>
        <v>6.1907262020399603E-2</v>
      </c>
      <c r="BL188" s="1111">
        <f t="shared" si="247"/>
        <v>4.8199473877118004</v>
      </c>
      <c r="BM188" s="1111">
        <f>SUMIFS(NewEmisData!E:E, NewEmisData!$A:$A, $G188, NewEmisData!$B:$B, $A188, NewEmisData!$C:$C, $H188, NewEmisData!$D:$D, BM$6)</f>
        <v>4.8199473877118004</v>
      </c>
      <c r="BN188" s="1111">
        <f>SUMIFS(NewEmisData!F:F, NewEmisData!$A:$A, $G188, NewEmisData!$B:$B, $A188, NewEmisData!$C:$C, $H188, NewEmisData!$D:$D, BN$6)</f>
        <v>2.13606006571157</v>
      </c>
      <c r="BO188" s="1111">
        <f>SUMIFS(NewEmisData!G:G, NewEmisData!$A:$A, $G188, NewEmisData!$B:$B, $A188, NewEmisData!$C:$C, $H188, NewEmisData!$D:$D, BO$6)</f>
        <v>1.4626606870508201</v>
      </c>
      <c r="BP188" s="1111">
        <f>SUMIFS(NewEmisData!H:H, NewEmisData!$A:$A, $G188, NewEmisData!$B:$B, $A188, NewEmisData!$C:$C, $H188, NewEmisData!$D:$D, BP$6)</f>
        <v>0.91632051356289601</v>
      </c>
      <c r="BQ188" s="1111">
        <f>SUMIFS(NewEmisData!I:I, NewEmisData!$A:$A, $G188, NewEmisData!$B:$B, $A188, NewEmisData!$C:$C, $H188, NewEmisData!$D:$D, BQ$6)</f>
        <v>0.74159278245313098</v>
      </c>
      <c r="BR188" s="1111">
        <f>SUMIFS(NewEmisData!J:J, NewEmisData!$A:$A, $G188, NewEmisData!$B:$B, $A188, NewEmisData!$C:$C, $H188, NewEmisData!$D:$D, BR$6)</f>
        <v>0.70121666030394803</v>
      </c>
      <c r="BS188" s="1111">
        <f>SUMIFS(NewEmisData!K:K, NewEmisData!$A:$A, $G188, NewEmisData!$B:$B, $A188, NewEmisData!$C:$C, $H188, NewEmisData!$D:$D, BS$6)</f>
        <v>0.69011658725035796</v>
      </c>
      <c r="BT188" s="1111">
        <f>SUMIFS(NewEmisData!L:L, NewEmisData!$A:$A, $G188, NewEmisData!$B:$B, $A188, NewEmisData!$C:$C, $H188, NewEmisData!$D:$D, BT$6)</f>
        <v>0.68991923636254204</v>
      </c>
      <c r="BU188" s="1111">
        <f>SUMIFS(NewEmisData!M:M, NewEmisData!$A:$A, $G188, NewEmisData!$B:$B, $A188, NewEmisData!$C:$C, $H188, NewEmisData!$D:$D, BU$6)</f>
        <v>0.68982544184786598</v>
      </c>
      <c r="BV188" s="1111">
        <f t="shared" si="248"/>
        <v>0.68982544184786598</v>
      </c>
      <c r="BW188" s="1111">
        <f t="shared" si="249"/>
        <v>2.0873450951181098</v>
      </c>
      <c r="BX188" s="1111">
        <f>SUMIFS(NewEmisData!E:E, NewEmisData!$A:$A, $G188, NewEmisData!$B:$B, $A188, NewEmisData!$C:$C, $H188, NewEmisData!$D:$D, BX$6)</f>
        <v>2.0873450951181098</v>
      </c>
      <c r="BY188" s="1111">
        <f>SUMIFS(NewEmisData!F:F, NewEmisData!$A:$A, $G188, NewEmisData!$B:$B, $A188, NewEmisData!$C:$C, $H188, NewEmisData!$D:$D, BY$6)</f>
        <v>0.82818205887879504</v>
      </c>
      <c r="BZ188" s="1111">
        <f>SUMIFS(NewEmisData!G:G, NewEmisData!$A:$A, $G188, NewEmisData!$B:$B, $A188, NewEmisData!$C:$C, $H188, NewEmisData!$D:$D, BZ$6)</f>
        <v>0.49677177359374097</v>
      </c>
      <c r="CA188" s="1111">
        <f>SUMIFS(NewEmisData!H:H, NewEmisData!$A:$A, $G188, NewEmisData!$B:$B, $A188, NewEmisData!$C:$C, $H188, NewEmisData!$D:$D, CA$6)</f>
        <v>0.255767592675607</v>
      </c>
      <c r="CB188" s="1111">
        <f>SUMIFS(NewEmisData!I:I, NewEmisData!$A:$A, $G188, NewEmisData!$B:$B, $A188, NewEmisData!$C:$C, $H188, NewEmisData!$D:$D, CB$6)</f>
        <v>0.18123851738744101</v>
      </c>
      <c r="CC188" s="1111">
        <f>SUMIFS(NewEmisData!J:J, NewEmisData!$A:$A, $G188, NewEmisData!$B:$B, $A188, NewEmisData!$C:$C, $H188, NewEmisData!$D:$D, CC$6)</f>
        <v>0.16339043238474099</v>
      </c>
      <c r="CD188" s="1111">
        <f>SUMIFS(NewEmisData!K:K, NewEmisData!$A:$A, $G188, NewEmisData!$B:$B, $A188, NewEmisData!$C:$C, $H188, NewEmisData!$D:$D, CD$6)</f>
        <v>0.15878537340132501</v>
      </c>
      <c r="CE188" s="1111">
        <f>SUMIFS(NewEmisData!L:L, NewEmisData!$A:$A, $G188, NewEmisData!$B:$B, $A188, NewEmisData!$C:$C, $H188, NewEmisData!$D:$D, CE$6)</f>
        <v>0.158704013950277</v>
      </c>
      <c r="CF188" s="1111">
        <f>SUMIFS(NewEmisData!M:M, NewEmisData!$A:$A, $G188, NewEmisData!$B:$B, $A188, NewEmisData!$C:$C, $H188, NewEmisData!$D:$D, CF$6)</f>
        <v>0.15866010461272401</v>
      </c>
      <c r="CG188" s="1111">
        <f t="shared" si="250"/>
        <v>0.15866010461272401</v>
      </c>
      <c r="CH188" s="1111">
        <f t="shared" si="251"/>
        <v>3.4721835377985802E-2</v>
      </c>
      <c r="CI188" s="1111">
        <f>SUMIFS(NewEmisData!E:E, NewEmisData!$A:$A, $G188, NewEmisData!$B:$B, $A188, NewEmisData!$C:$C, $H188, NewEmisData!$D:$D, CI$6)</f>
        <v>3.4721835377985802E-2</v>
      </c>
      <c r="CJ188" s="1111">
        <f>SUMIFS(NewEmisData!F:F, NewEmisData!$A:$A, $G188, NewEmisData!$B:$B, $A188, NewEmisData!$C:$C, $H188, NewEmisData!$D:$D, CJ$6)</f>
        <v>3.4721918500933702E-2</v>
      </c>
      <c r="CK188" s="1111">
        <f>SUMIFS(NewEmisData!G:G, NewEmisData!$A:$A, $G188, NewEmisData!$B:$B, $A188, NewEmisData!$C:$C, $H188, NewEmisData!$D:$D, CK$6)</f>
        <v>3.9607483836340801E-2</v>
      </c>
      <c r="CL188" s="1111">
        <f>SUMIFS(NewEmisData!H:H, NewEmisData!$A:$A, $G188, NewEmisData!$B:$B, $A188, NewEmisData!$C:$C, $H188, NewEmisData!$D:$D, CL$6)</f>
        <v>3.9607942764627597E-2</v>
      </c>
      <c r="CM188" s="1111">
        <f>SUMIFS(NewEmisData!I:I, NewEmisData!$A:$A, $G188, NewEmisData!$B:$B, $A188, NewEmisData!$C:$C, $H188, NewEmisData!$D:$D, CM$6)</f>
        <v>3.9608185476154502E-2</v>
      </c>
      <c r="CN188" s="1111">
        <f>SUMIFS(NewEmisData!J:J, NewEmisData!$A:$A, $G188, NewEmisData!$B:$B, $A188, NewEmisData!$C:$C, $H188, NewEmisData!$D:$D, CN$6)</f>
        <v>3.9608266206743202E-2</v>
      </c>
      <c r="CO188" s="1111">
        <f>SUMIFS(NewEmisData!K:K, NewEmisData!$A:$A, $G188, NewEmisData!$B:$B, $A188, NewEmisData!$C:$C, $H188, NewEmisData!$D:$D, CO$6)</f>
        <v>3.96082447188153E-2</v>
      </c>
      <c r="CP188" s="1111">
        <f>SUMIFS(NewEmisData!L:L, NewEmisData!$A:$A, $G188, NewEmisData!$B:$B, $A188, NewEmisData!$C:$C, $H188, NewEmisData!$D:$D, CP$6)</f>
        <v>3.96082633707312E-2</v>
      </c>
      <c r="CQ188" s="1111">
        <f>SUMIFS(NewEmisData!M:M, NewEmisData!$A:$A, $G188, NewEmisData!$B:$B, $A188, NewEmisData!$C:$C, $H188, NewEmisData!$D:$D, CQ$6)</f>
        <v>3.9608260132730701E-2</v>
      </c>
      <c r="CR188" s="1111">
        <f t="shared" si="252"/>
        <v>3.9608260132730701E-2</v>
      </c>
      <c r="CS188" s="1111">
        <f t="shared" si="253"/>
        <v>6.5007561655818502E-3</v>
      </c>
      <c r="CT188" s="1111">
        <f>SUMIFS(NewEmisData!E:E, NewEmisData!$A:$A, $G188, NewEmisData!$B:$B, $A188, NewEmisData!$C:$C, $H188, NewEmisData!$D:$D, CT$6)</f>
        <v>6.5007561655818502E-3</v>
      </c>
      <c r="CU188" s="1111">
        <f>SUMIFS(NewEmisData!F:F, NewEmisData!$A:$A, $G188, NewEmisData!$B:$B, $A188, NewEmisData!$C:$C, $H188, NewEmisData!$D:$D, CU$6)</f>
        <v>6.4232890684132399E-3</v>
      </c>
      <c r="CV188" s="1111">
        <f>SUMIFS(NewEmisData!G:G, NewEmisData!$A:$A, $G188, NewEmisData!$B:$B, $A188, NewEmisData!$C:$C, $H188, NewEmisData!$D:$D, CV$6)</f>
        <v>7.3982049149974903E-3</v>
      </c>
      <c r="CW188" s="1111">
        <f>SUMIFS(NewEmisData!H:H, NewEmisData!$A:$A, $G188, NewEmisData!$B:$B, $A188, NewEmisData!$C:$C, $H188, NewEmisData!$D:$D, CW$6)</f>
        <v>7.4088773394752599E-3</v>
      </c>
      <c r="CX188" s="1111">
        <f>SUMIFS(NewEmisData!I:I, NewEmisData!$A:$A, $G188, NewEmisData!$B:$B, $A188, NewEmisData!$C:$C, $H188, NewEmisData!$D:$D, CX$6)</f>
        <v>7.4094538759446396E-3</v>
      </c>
      <c r="CY188" s="1111">
        <f>SUMIFS(NewEmisData!J:J, NewEmisData!$A:$A, $G188, NewEmisData!$B:$B, $A188, NewEmisData!$C:$C, $H188, NewEmisData!$D:$D, CY$6)</f>
        <v>7.4045671468592096E-3</v>
      </c>
      <c r="CZ188" s="1111">
        <f>SUMIFS(NewEmisData!K:K, NewEmisData!$A:$A, $G188, NewEmisData!$B:$B, $A188, NewEmisData!$C:$C, $H188, NewEmisData!$D:$D, CZ$6)</f>
        <v>7.4007369137275699E-3</v>
      </c>
      <c r="DA188" s="1111">
        <f>SUMIFS(NewEmisData!L:L, NewEmisData!$A:$A, $G188, NewEmisData!$B:$B, $A188, NewEmisData!$C:$C, $H188, NewEmisData!$D:$D, DA$6)</f>
        <v>7.3993983540755204E-3</v>
      </c>
      <c r="DB188" s="1111">
        <f>SUMIFS(NewEmisData!M:M, NewEmisData!$A:$A, $G188, NewEmisData!$B:$B, $A188, NewEmisData!$C:$C, $H188, NewEmisData!$D:$D, DB$6)</f>
        <v>7.3984107449231598E-3</v>
      </c>
      <c r="DC188" s="1111">
        <f t="shared" si="254"/>
        <v>7.3984107449231598E-3</v>
      </c>
      <c r="DD188" s="1111"/>
      <c r="DE188" s="1111"/>
      <c r="DF188" s="1111"/>
      <c r="DG188" s="1111"/>
      <c r="DH188" s="1111"/>
      <c r="DI188" s="1111"/>
      <c r="DJ188" s="1111"/>
      <c r="DK188" s="1111"/>
      <c r="DL188" s="1111"/>
      <c r="DM188" s="1111"/>
      <c r="DN188" s="1111"/>
      <c r="DO188" s="1111"/>
      <c r="DP188" s="1111"/>
      <c r="DQ188" s="1111"/>
      <c r="DR188" s="1111"/>
      <c r="DS188" s="1111"/>
      <c r="DT188" s="1111"/>
      <c r="DU188" s="1111"/>
      <c r="DV188" s="1111"/>
      <c r="DW188" s="1111"/>
      <c r="DX188" s="1111"/>
      <c r="DY188" s="1111"/>
      <c r="DZ188" s="1111">
        <f t="shared" si="255"/>
        <v>4.41589904201058E-2</v>
      </c>
      <c r="EA188" s="1111">
        <f>SUMIFS(NewEmisData!E:E, NewEmisData!$A:$A, $G188, NewEmisData!$B:$B, $A188, NewEmisData!$C:$C, $H188, NewEmisData!$D:$D, EA$6)</f>
        <v>4.41589904201058E-2</v>
      </c>
      <c r="EB188" s="1111">
        <f>SUMIFS(NewEmisData!F:F, NewEmisData!$A:$A, $G188, NewEmisData!$B:$B, $A188, NewEmisData!$C:$C, $H188, NewEmisData!$D:$D, EB$6)</f>
        <v>0.113476815309018</v>
      </c>
      <c r="EC188" s="1111">
        <f>SUMIFS(NewEmisData!G:G, NewEmisData!$A:$A, $G188, NewEmisData!$B:$B, $A188, NewEmisData!$C:$C, $H188, NewEmisData!$D:$D, EC$6)</f>
        <v>0.148804284105474</v>
      </c>
      <c r="ED188" s="1111">
        <f>SUMIFS(NewEmisData!H:H, NewEmisData!$A:$A, $G188, NewEmisData!$B:$B, $A188, NewEmisData!$C:$C, $H188, NewEmisData!$D:$D, ED$6)</f>
        <v>0.149805777267462</v>
      </c>
      <c r="EE188" s="1111">
        <f>SUMIFS(NewEmisData!I:I, NewEmisData!$A:$A, $G188, NewEmisData!$B:$B, $A188, NewEmisData!$C:$C, $H188, NewEmisData!$D:$D, EE$6)</f>
        <v>0.14994983513978</v>
      </c>
      <c r="EF188" s="1111">
        <f>SUMIFS(NewEmisData!J:J, NewEmisData!$A:$A, $G188, NewEmisData!$B:$B, $A188, NewEmisData!$C:$C, $H188, NewEmisData!$D:$D, EF$6)</f>
        <v>0.14964505772550801</v>
      </c>
      <c r="EG188" s="1111">
        <f>SUMIFS(NewEmisData!K:K, NewEmisData!$A:$A, $G188, NewEmisData!$B:$B, $A188, NewEmisData!$C:$C, $H188, NewEmisData!$D:$D, EG$6)</f>
        <v>0.149643881204473</v>
      </c>
      <c r="EH188" s="1111">
        <f>SUMIFS(NewEmisData!L:L, NewEmisData!$A:$A, $G188, NewEmisData!$B:$B, $A188, NewEmisData!$C:$C, $H188, NewEmisData!$D:$D, EH$6)</f>
        <v>0.14957074940992099</v>
      </c>
      <c r="EI188" s="1111">
        <f>SUMIFS(NewEmisData!M:M, NewEmisData!$A:$A, $G188, NewEmisData!$B:$B, $A188, NewEmisData!$C:$C, $H188, NewEmisData!$D:$D, EI$6)</f>
        <v>0.149527028885417</v>
      </c>
      <c r="EJ188" s="1111">
        <f t="shared" si="256"/>
        <v>0.149527028885417</v>
      </c>
      <c r="EK188" s="1111">
        <f t="shared" si="257"/>
        <v>1844.7083010230299</v>
      </c>
      <c r="EL188" s="1111">
        <f t="shared" si="269"/>
        <v>1844.7083010230299</v>
      </c>
      <c r="EM188" s="1111">
        <f t="shared" si="270"/>
        <v>1832.6045194358301</v>
      </c>
      <c r="EN188" s="1111">
        <f t="shared" si="271"/>
        <v>1884.2537986570301</v>
      </c>
      <c r="EO188" s="1111">
        <f t="shared" si="272"/>
        <v>1818.5727784503399</v>
      </c>
      <c r="EP188" s="1111">
        <f t="shared" si="273"/>
        <v>1763.6996289860999</v>
      </c>
      <c r="EQ188" s="1111">
        <f t="shared" si="274"/>
        <v>1745.38280930633</v>
      </c>
      <c r="ER188" s="1111">
        <f t="shared" si="275"/>
        <v>1739.98947678168</v>
      </c>
      <c r="ES188" s="1111">
        <f t="shared" si="276"/>
        <v>1738.81123596359</v>
      </c>
      <c r="ET188" s="1111">
        <f t="shared" si="277"/>
        <v>1738.5227113911701</v>
      </c>
      <c r="EU188" s="1111">
        <f t="shared" si="278"/>
        <v>1738.5227113911701</v>
      </c>
      <c r="EV188" s="1111">
        <f t="shared" si="258"/>
        <v>11.3242694436207</v>
      </c>
      <c r="EW188" s="1111">
        <f t="shared" si="259"/>
        <v>11.3242694436207</v>
      </c>
      <c r="EX188" s="1111">
        <f t="shared" si="260"/>
        <v>5.2798482437774998</v>
      </c>
      <c r="EY188" s="1111">
        <f t="shared" si="261"/>
        <v>3.78642260339578</v>
      </c>
      <c r="EZ188" s="1111">
        <f t="shared" si="262"/>
        <v>2.1972961679722198</v>
      </c>
      <c r="FA188" s="1111">
        <f t="shared" si="263"/>
        <v>1.5398620814352</v>
      </c>
      <c r="FB188" s="1111">
        <f t="shared" si="264"/>
        <v>1.33073738385153</v>
      </c>
      <c r="FC188" s="1111">
        <f t="shared" si="265"/>
        <v>1.2670046042829299</v>
      </c>
      <c r="FD188" s="1111">
        <f t="shared" si="266"/>
        <v>1.25837731661006</v>
      </c>
      <c r="FE188" s="1111">
        <f t="shared" si="267"/>
        <v>1.2558936064742501</v>
      </c>
      <c r="FF188" s="1111">
        <f t="shared" si="268"/>
        <v>1.2558936064742501</v>
      </c>
      <c r="FG188" s="1111">
        <f t="shared" si="291"/>
        <v>4.5365869728215401E-2</v>
      </c>
      <c r="FH188" s="1111">
        <f t="shared" si="292"/>
        <v>4.5365869728215401E-2</v>
      </c>
      <c r="FI188" s="1111">
        <f t="shared" si="293"/>
        <v>4.3660344033601299E-2</v>
      </c>
      <c r="FJ188" s="1111">
        <f t="shared" si="294"/>
        <v>1.5842755870111001E-2</v>
      </c>
      <c r="FK188" s="1111">
        <f t="shared" si="295"/>
        <v>1.52011817179993E-2</v>
      </c>
      <c r="FL188" s="1111">
        <f t="shared" si="296"/>
        <v>1.47126837043844E-2</v>
      </c>
      <c r="FM188" s="1111">
        <f t="shared" si="297"/>
        <v>1.45535009771615E-2</v>
      </c>
      <c r="FN188" s="1111">
        <f t="shared" si="298"/>
        <v>1.4506508977964299E-2</v>
      </c>
      <c r="FO188" s="1111">
        <f t="shared" si="299"/>
        <v>1.44966873739067E-2</v>
      </c>
      <c r="FP188" s="1111">
        <f t="shared" si="300"/>
        <v>1.4494279129535799E-2</v>
      </c>
      <c r="FQ188" s="1111">
        <f t="shared" si="301"/>
        <v>1.4494279129535799E-2</v>
      </c>
      <c r="FR188" s="1111">
        <f t="shared" si="230"/>
        <v>1.1349607828839201</v>
      </c>
      <c r="FS188" s="1111">
        <f t="shared" si="231"/>
        <v>1.1349607828839201</v>
      </c>
      <c r="FT188" s="1111">
        <f t="shared" si="232"/>
        <v>0.61030408012734905</v>
      </c>
      <c r="FU188" s="1111">
        <f t="shared" si="233"/>
        <v>0.44031388127967303</v>
      </c>
      <c r="FV188" s="1111">
        <f t="shared" si="234"/>
        <v>0.34801512923671002</v>
      </c>
      <c r="FW188" s="1111">
        <f t="shared" si="235"/>
        <v>0.316619673688259</v>
      </c>
      <c r="FX188" s="1111">
        <f t="shared" si="236"/>
        <v>0.310711543242081</v>
      </c>
      <c r="FY188" s="1111">
        <f t="shared" si="237"/>
        <v>0.30897246291541097</v>
      </c>
      <c r="FZ188" s="1111">
        <f t="shared" si="238"/>
        <v>0.308957597755115</v>
      </c>
      <c r="GA188" s="1111">
        <f t="shared" si="239"/>
        <v>0.30895604079919098</v>
      </c>
      <c r="GB188" s="1111">
        <f t="shared" si="240"/>
        <v>0.30895604079919098</v>
      </c>
      <c r="GC188" s="1111">
        <f t="shared" si="279"/>
        <v>0.82460782978682501</v>
      </c>
      <c r="GD188" s="1111">
        <f t="shared" si="280"/>
        <v>0.82460782978682501</v>
      </c>
      <c r="GE188" s="1111">
        <f t="shared" si="281"/>
        <v>0.34373570942234799</v>
      </c>
      <c r="GF188" s="1111">
        <f t="shared" si="282"/>
        <v>0.18121898411016099</v>
      </c>
      <c r="GG188" s="1111">
        <f t="shared" si="283"/>
        <v>9.7394815729633696E-2</v>
      </c>
      <c r="GH188" s="1111">
        <f t="shared" si="284"/>
        <v>6.8837534672911399E-2</v>
      </c>
      <c r="GI188" s="1111">
        <f t="shared" si="285"/>
        <v>6.3495189038770203E-2</v>
      </c>
      <c r="GJ188" s="1111">
        <f t="shared" si="286"/>
        <v>6.1918142257759601E-2</v>
      </c>
      <c r="GK188" s="1111">
        <f t="shared" si="287"/>
        <v>6.1908718128838802E-2</v>
      </c>
      <c r="GL188" s="1111">
        <f t="shared" si="288"/>
        <v>6.1907262020399603E-2</v>
      </c>
      <c r="GM188" s="1111">
        <f t="shared" si="289"/>
        <v>6.1907262020399603E-2</v>
      </c>
    </row>
    <row r="189" spans="1:195" x14ac:dyDescent="0.2">
      <c r="A189" s="1071" t="s">
        <v>188</v>
      </c>
      <c r="B189" s="1071" t="str">
        <f>Technologies!C120</f>
        <v>TMDSLIM</v>
      </c>
      <c r="C189" s="1071" t="str">
        <f>Technologies!D120</f>
        <v>Medium Duty Truck, Improved Diesel</v>
      </c>
      <c r="D189" s="1071" t="str">
        <f>NewTech!D72</f>
        <v>bn-vmt, bn-vmt/a</v>
      </c>
      <c r="E189" s="1071" t="str">
        <f>NewTech!E73</f>
        <v>TMDSL</v>
      </c>
      <c r="F189" s="1071" t="str">
        <f>NewTech!F73</f>
        <v>TM</v>
      </c>
      <c r="G189" s="1110" t="s">
        <v>503</v>
      </c>
      <c r="H189" s="1110" t="s">
        <v>499</v>
      </c>
      <c r="I189" s="1112">
        <v>1</v>
      </c>
      <c r="J189" s="1111" t="str">
        <f t="shared" si="37"/>
        <v>Medium duty-DSL</v>
      </c>
      <c r="K189" s="1111">
        <f>SUMIFS(NewEmisData!E:E, NewEmisData!$A:$A, $G189, NewEmisData!$B:$B, $A189, NewEmisData!$C:$C, $H189, NewEmisData!$D:$D, K$6)</f>
        <v>1359.24651399801</v>
      </c>
      <c r="L189" s="1111">
        <f>SUMIFS(NewEmisData!F:F, NewEmisData!$A:$A, $G189, NewEmisData!$B:$B, $A189, NewEmisData!$C:$C, $H189, NewEmisData!$D:$D, L$6)</f>
        <v>1349.4553811456799</v>
      </c>
      <c r="M189" s="1111">
        <f>SUMIFS(NewEmisData!G:G, NewEmisData!$A:$A, $G189, NewEmisData!$B:$B, $A189, NewEmisData!$C:$C, $H189, NewEmisData!$D:$D, M$6)</f>
        <v>1201.7753721342699</v>
      </c>
      <c r="N189" s="1111">
        <f>SUMIFS(NewEmisData!H:H, NewEmisData!$A:$A, $G189, NewEmisData!$B:$B, $A189, NewEmisData!$C:$C, $H189, NewEmisData!$D:$D, N$6)</f>
        <v>1159.4102608457299</v>
      </c>
      <c r="O189" s="1111">
        <f>SUMIFS(NewEmisData!I:I, NewEmisData!$A:$A, $G189, NewEmisData!$B:$B, $A189, NewEmisData!$C:$C, $H189, NewEmisData!$D:$D, O$6)</f>
        <v>1124.18143975774</v>
      </c>
      <c r="P189" s="1111">
        <f>SUMIFS(NewEmisData!J:J, NewEmisData!$A:$A, $G189, NewEmisData!$B:$B, $A189, NewEmisData!$C:$C, $H189, NewEmisData!$D:$D, P$6)</f>
        <v>1112.41123305204</v>
      </c>
      <c r="Q189" s="1111">
        <f>SUMIFS(NewEmisData!K:K, NewEmisData!$A:$A, $G189, NewEmisData!$B:$B, $A189, NewEmisData!$C:$C, $H189, NewEmisData!$D:$D, Q$6)</f>
        <v>1108.9495585776399</v>
      </c>
      <c r="R189" s="1111">
        <f>SUMIFS(NewEmisData!L:L, NewEmisData!$A:$A, $G189, NewEmisData!$B:$B, $A189, NewEmisData!$C:$C, $H189, NewEmisData!$D:$D, R$6)</f>
        <v>1108.1911650136201</v>
      </c>
      <c r="S189" s="1111">
        <f>SUMIFS(NewEmisData!M:M, NewEmisData!$A:$A, $G189, NewEmisData!$B:$B, $A189, NewEmisData!$C:$C, $H189, NewEmisData!$D:$D, S$6)</f>
        <v>1108.0051090873801</v>
      </c>
      <c r="T189" s="1111">
        <f t="shared" si="290"/>
        <v>1108.0051090873801</v>
      </c>
      <c r="U189" s="1111">
        <f>SUMIFS(NewEmisData!E:E, NewEmisData!$A:$A, $G189, NewEmisData!$B:$B, $A189, NewEmisData!$C:$C, $H189, NewEmisData!$D:$D, U$6)</f>
        <v>9.9935080505540999</v>
      </c>
      <c r="V189" s="1111">
        <f>SUMIFS(NewEmisData!F:F, NewEmisData!$A:$A, $G189, NewEmisData!$B:$B, $A189, NewEmisData!$C:$C, $H189, NewEmisData!$D:$D, V$6)</f>
        <v>5.4019505037215803</v>
      </c>
      <c r="W189" s="1111">
        <f>SUMIFS(NewEmisData!G:G, NewEmisData!$A:$A, $G189, NewEmisData!$B:$B, $A189, NewEmisData!$C:$C, $H189, NewEmisData!$D:$D, W$6)</f>
        <v>2.3680454032681002</v>
      </c>
      <c r="X189" s="1111">
        <f>SUMIFS(NewEmisData!H:H, NewEmisData!$A:$A, $G189, NewEmisData!$B:$B, $A189, NewEmisData!$C:$C, $H189, NewEmisData!$D:$D, X$6)</f>
        <v>1.37960112387871</v>
      </c>
      <c r="Y189" s="1111">
        <f>SUMIFS(NewEmisData!I:I, NewEmisData!$A:$A, $G189, NewEmisData!$B:$B, $A189, NewEmisData!$C:$C, $H189, NewEmisData!$D:$D, Y$6)</f>
        <v>0.96959264343873697</v>
      </c>
      <c r="Z189" s="1111">
        <f>SUMIFS(NewEmisData!J:J, NewEmisData!$A:$A, $G189, NewEmisData!$B:$B, $A189, NewEmisData!$C:$C, $H189, NewEmisData!$D:$D, Z$6)</f>
        <v>0.83872679442891696</v>
      </c>
      <c r="AA189" s="1111">
        <f>SUMIFS(NewEmisData!K:K, NewEmisData!$A:$A, $G189, NewEmisData!$B:$B, $A189, NewEmisData!$C:$C, $H189, NewEmisData!$D:$D, AA$6)</f>
        <v>0.79867865097523805</v>
      </c>
      <c r="AB189" s="1111">
        <f>SUMIFS(NewEmisData!L:L, NewEmisData!$A:$A, $G189, NewEmisData!$B:$B, $A189, NewEmisData!$C:$C, $H189, NewEmisData!$D:$D, AB$6)</f>
        <v>0.79322284274622901</v>
      </c>
      <c r="AC189" s="1111">
        <f>SUMIFS(NewEmisData!M:M, NewEmisData!$A:$A, $G189, NewEmisData!$B:$B, $A189, NewEmisData!$C:$C, $H189, NewEmisData!$D:$D, AC$6)</f>
        <v>0.79163411205103495</v>
      </c>
      <c r="AD189" s="1111">
        <f t="shared" si="229"/>
        <v>0.79163411205103495</v>
      </c>
      <c r="AE189" s="1111">
        <f t="shared" si="241"/>
        <v>3.2609020112497403E-2</v>
      </c>
      <c r="AF189" s="1111">
        <f>SUMIFS(NewEmisData!E:E, NewEmisData!$A:$A, $G189, NewEmisData!$B:$B, $A189, NewEmisData!$C:$C, $H189, NewEmisData!$D:$D, AF$6)</f>
        <v>3.2609020112497403E-2</v>
      </c>
      <c r="AG189" s="1111">
        <f>SUMIFS(NewEmisData!F:F, NewEmisData!$A:$A, $G189, NewEmisData!$B:$B, $A189, NewEmisData!$C:$C, $H189, NewEmisData!$D:$D, AG$6)</f>
        <v>3.17571573502895E-2</v>
      </c>
      <c r="AH189" s="1111">
        <f>SUMIFS(NewEmisData!G:G, NewEmisData!$A:$A, $G189, NewEmisData!$B:$B, $A189, NewEmisData!$C:$C, $H189, NewEmisData!$D:$D, AH$6)</f>
        <v>1.01046015527187E-2</v>
      </c>
      <c r="AI189" s="1111">
        <f>SUMIFS(NewEmisData!H:H, NewEmisData!$A:$A, $G189, NewEmisData!$B:$B, $A189, NewEmisData!$C:$C, $H189, NewEmisData!$D:$D, AI$6)</f>
        <v>9.6913827425881005E-3</v>
      </c>
      <c r="AJ189" s="1111">
        <f>SUMIFS(NewEmisData!I:I, NewEmisData!$A:$A, $G189, NewEmisData!$B:$B, $A189, NewEmisData!$C:$C, $H189, NewEmisData!$D:$D, AJ$6)</f>
        <v>9.3778737694311005E-3</v>
      </c>
      <c r="AK189" s="1111">
        <f>SUMIFS(NewEmisData!J:J, NewEmisData!$A:$A, $G189, NewEmisData!$B:$B, $A189, NewEmisData!$C:$C, $H189, NewEmisData!$D:$D, AK$6)</f>
        <v>9.2756075273223108E-3</v>
      </c>
      <c r="AL189" s="1111">
        <f>SUMIFS(NewEmisData!K:K, NewEmisData!$A:$A, $G189, NewEmisData!$B:$B, $A189, NewEmisData!$C:$C, $H189, NewEmisData!$D:$D, AL$6)</f>
        <v>9.2454491450441392E-3</v>
      </c>
      <c r="AM189" s="1111">
        <f>SUMIFS(NewEmisData!L:L, NewEmisData!$A:$A, $G189, NewEmisData!$B:$B, $A189, NewEmisData!$C:$C, $H189, NewEmisData!$D:$D, AM$6)</f>
        <v>9.2391217629996109E-3</v>
      </c>
      <c r="AN189" s="1111">
        <f>SUMIFS(NewEmisData!M:M, NewEmisData!$A:$A, $G189, NewEmisData!$B:$B, $A189, NewEmisData!$C:$C, $H189, NewEmisData!$D:$D, AN$6)</f>
        <v>9.2375739351750405E-3</v>
      </c>
      <c r="AO189" s="1111">
        <f t="shared" si="242"/>
        <v>9.2375739351750405E-3</v>
      </c>
      <c r="AP189" s="1111">
        <f t="shared" si="243"/>
        <v>0.92068922490925897</v>
      </c>
      <c r="AQ189" s="1111">
        <f>SUMIFS(NewEmisData!E:E, NewEmisData!$A:$A, $G189, NewEmisData!$B:$B, $A189, NewEmisData!$C:$C, $H189, NewEmisData!$D:$D, AQ$6)</f>
        <v>0.92068922490925897</v>
      </c>
      <c r="AR189" s="1111">
        <f>SUMIFS(NewEmisData!F:F, NewEmisData!$A:$A, $G189, NewEmisData!$B:$B, $A189, NewEmisData!$C:$C, $H189, NewEmisData!$D:$D, AR$6)</f>
        <v>0.49332051927640103</v>
      </c>
      <c r="AS189" s="1111">
        <f>SUMIFS(NewEmisData!G:G, NewEmisData!$A:$A, $G189, NewEmisData!$B:$B, $A189, NewEmisData!$C:$C, $H189, NewEmisData!$D:$D, AS$6)</f>
        <v>0.24551244923642301</v>
      </c>
      <c r="AT189" s="1111">
        <f>SUMIFS(NewEmisData!H:H, NewEmisData!$A:$A, $G189, NewEmisData!$B:$B, $A189, NewEmisData!$C:$C, $H189, NewEmisData!$D:$D, AT$6)</f>
        <v>0.19029699336139799</v>
      </c>
      <c r="AU189" s="1111">
        <f>SUMIFS(NewEmisData!I:I, NewEmisData!$A:$A, $G189, NewEmisData!$B:$B, $A189, NewEmisData!$C:$C, $H189, NewEmisData!$D:$D, AU$6)</f>
        <v>0.171654581016567</v>
      </c>
      <c r="AV189" s="1111">
        <f>SUMIFS(NewEmisData!J:J, NewEmisData!$A:$A, $G189, NewEmisData!$B:$B, $A189, NewEmisData!$C:$C, $H189, NewEmisData!$D:$D, AV$6)</f>
        <v>0.168061002565252</v>
      </c>
      <c r="AW189" s="1111">
        <f>SUMIFS(NewEmisData!K:K, NewEmisData!$A:$A, $G189, NewEmisData!$B:$B, $A189, NewEmisData!$C:$C, $H189, NewEmisData!$D:$D, AW$6)</f>
        <v>0.167001709815503</v>
      </c>
      <c r="AX189" s="1111">
        <f>SUMIFS(NewEmisData!L:L, NewEmisData!$A:$A, $G189, NewEmisData!$B:$B, $A189, NewEmisData!$C:$C, $H189, NewEmisData!$D:$D, AX$6)</f>
        <v>0.16699297497215901</v>
      </c>
      <c r="AY189" s="1111">
        <f>SUMIFS(NewEmisData!M:M, NewEmisData!$A:$A, $G189, NewEmisData!$B:$B, $A189, NewEmisData!$C:$C, $H189, NewEmisData!$D:$D, AY$6)</f>
        <v>0.16699184457612301</v>
      </c>
      <c r="AZ189" s="1111">
        <f t="shared" si="244"/>
        <v>0.16699184457612301</v>
      </c>
      <c r="BA189" s="1111">
        <f t="shared" si="245"/>
        <v>0.71010379978724403</v>
      </c>
      <c r="BB189" s="1111">
        <f>SUMIFS(NewEmisData!E:E, NewEmisData!$A:$A, $G189, NewEmisData!$B:$B, $A189, NewEmisData!$C:$C, $H189, NewEmisData!$D:$D, BB$6)</f>
        <v>0.71010379978724403</v>
      </c>
      <c r="BC189" s="1111">
        <f>SUMIFS(NewEmisData!F:F, NewEmisData!$A:$A, $G189, NewEmisData!$B:$B, $A189, NewEmisData!$C:$C, $H189, NewEmisData!$D:$D, BC$6)</f>
        <v>0.31539716063004603</v>
      </c>
      <c r="BD189" s="1111">
        <f>SUMIFS(NewEmisData!G:G, NewEmisData!$A:$A, $G189, NewEmisData!$B:$B, $A189, NewEmisData!$C:$C, $H189, NewEmisData!$D:$D, BD$6)</f>
        <v>0.10700307974279601</v>
      </c>
      <c r="BE189" s="1111">
        <f>SUMIFS(NewEmisData!H:H, NewEmisData!$A:$A, $G189, NewEmisData!$B:$B, $A189, NewEmisData!$C:$C, $H189, NewEmisData!$D:$D, BE$6)</f>
        <v>5.6773062835599797E-2</v>
      </c>
      <c r="BF189" s="1111">
        <f>SUMIFS(NewEmisData!I:I, NewEmisData!$A:$A, $G189, NewEmisData!$B:$B, $A189, NewEmisData!$C:$C, $H189, NewEmisData!$D:$D, BF$6)</f>
        <v>3.9792368333530698E-2</v>
      </c>
      <c r="BG189" s="1111">
        <f>SUMIFS(NewEmisData!J:J, NewEmisData!$A:$A, $G189, NewEmisData!$B:$B, $A189, NewEmisData!$C:$C, $H189, NewEmisData!$D:$D, BG$6)</f>
        <v>3.6534861023721103E-2</v>
      </c>
      <c r="BH189" s="1111">
        <f>SUMIFS(NewEmisData!K:K, NewEmisData!$A:$A, $G189, NewEmisData!$B:$B, $A189, NewEmisData!$C:$C, $H189, NewEmisData!$D:$D, BH$6)</f>
        <v>3.5572117087596597E-2</v>
      </c>
      <c r="BI189" s="1111">
        <f>SUMIFS(NewEmisData!L:L, NewEmisData!$A:$A, $G189, NewEmisData!$B:$B, $A189, NewEmisData!$C:$C, $H189, NewEmisData!$D:$D, BI$6)</f>
        <v>3.556620106866E-2</v>
      </c>
      <c r="BJ189" s="1111">
        <f>SUMIFS(NewEmisData!M:M, NewEmisData!$A:$A, $G189, NewEmisData!$B:$B, $A189, NewEmisData!$C:$C, $H189, NewEmisData!$D:$D, BJ$6)</f>
        <v>3.5565244855547698E-2</v>
      </c>
      <c r="BK189" s="1111">
        <f t="shared" si="246"/>
        <v>3.5565244855547698E-2</v>
      </c>
      <c r="BL189" s="1111">
        <f t="shared" si="247"/>
        <v>4.3150452160613399</v>
      </c>
      <c r="BM189" s="1111">
        <f>SUMIFS(NewEmisData!E:E, NewEmisData!$A:$A, $G189, NewEmisData!$B:$B, $A189, NewEmisData!$C:$C, $H189, NewEmisData!$D:$D, BM$6)</f>
        <v>4.3150452160613399</v>
      </c>
      <c r="BN189" s="1111">
        <f>SUMIFS(NewEmisData!F:F, NewEmisData!$A:$A, $G189, NewEmisData!$B:$B, $A189, NewEmisData!$C:$C, $H189, NewEmisData!$D:$D, BN$6)</f>
        <v>2.1245169733868399</v>
      </c>
      <c r="BO189" s="1111">
        <f>SUMIFS(NewEmisData!G:G, NewEmisData!$A:$A, $G189, NewEmisData!$B:$B, $A189, NewEmisData!$C:$C, $H189, NewEmisData!$D:$D, BO$6)</f>
        <v>0.94068181429637499</v>
      </c>
      <c r="BP189" s="1111">
        <f>SUMIFS(NewEmisData!H:H, NewEmisData!$A:$A, $G189, NewEmisData!$B:$B, $A189, NewEmisData!$C:$C, $H189, NewEmisData!$D:$D, BP$6)</f>
        <v>0.59128118339828695</v>
      </c>
      <c r="BQ189" s="1111">
        <f>SUMIFS(NewEmisData!I:I, NewEmisData!$A:$A, $G189, NewEmisData!$B:$B, $A189, NewEmisData!$C:$C, $H189, NewEmisData!$D:$D, BQ$6)</f>
        <v>0.47927194222425401</v>
      </c>
      <c r="BR189" s="1111">
        <f>SUMIFS(NewEmisData!J:J, NewEmisData!$A:$A, $G189, NewEmisData!$B:$B, $A189, NewEmisData!$C:$C, $H189, NewEmisData!$D:$D, BR$6)</f>
        <v>0.45341859187278799</v>
      </c>
      <c r="BS189" s="1111">
        <f>SUMIFS(NewEmisData!K:K, NewEmisData!$A:$A, $G189, NewEmisData!$B:$B, $A189, NewEmisData!$C:$C, $H189, NewEmisData!$D:$D, BS$6)</f>
        <v>0.446256256758017</v>
      </c>
      <c r="BT189" s="1111">
        <f>SUMIFS(NewEmisData!L:L, NewEmisData!$A:$A, $G189, NewEmisData!$B:$B, $A189, NewEmisData!$C:$C, $H189, NewEmisData!$D:$D, BT$6)</f>
        <v>0.44612206557733602</v>
      </c>
      <c r="BU189" s="1111">
        <f>SUMIFS(NewEmisData!M:M, NewEmisData!$A:$A, $G189, NewEmisData!$B:$B, $A189, NewEmisData!$C:$C, $H189, NewEmisData!$D:$D, BU$6)</f>
        <v>0.44605643597918299</v>
      </c>
      <c r="BV189" s="1111">
        <f t="shared" si="248"/>
        <v>0.44605643597918299</v>
      </c>
      <c r="BW189" s="1111">
        <f t="shared" si="249"/>
        <v>1.7526352760541399</v>
      </c>
      <c r="BX189" s="1111">
        <f>SUMIFS(NewEmisData!E:E, NewEmisData!$A:$A, $G189, NewEmisData!$B:$B, $A189, NewEmisData!$C:$C, $H189, NewEmisData!$D:$D, BX$6)</f>
        <v>1.7526352760541399</v>
      </c>
      <c r="BY189" s="1111">
        <f>SUMIFS(NewEmisData!F:F, NewEmisData!$A:$A, $G189, NewEmisData!$B:$B, $A189, NewEmisData!$C:$C, $H189, NewEmisData!$D:$D, BY$6)</f>
        <v>0.76319496140940501</v>
      </c>
      <c r="BZ189" s="1111">
        <f>SUMIFS(NewEmisData!G:G, NewEmisData!$A:$A, $G189, NewEmisData!$B:$B, $A189, NewEmisData!$C:$C, $H189, NewEmisData!$D:$D, BZ$6)</f>
        <v>0.28613534772152999</v>
      </c>
      <c r="CA189" s="1111">
        <f>SUMIFS(NewEmisData!H:H, NewEmisData!$A:$A, $G189, NewEmisData!$B:$B, $A189, NewEmisData!$C:$C, $H189, NewEmisData!$D:$D, CA$6)</f>
        <v>0.14791681955889299</v>
      </c>
      <c r="CB189" s="1111">
        <f>SUMIFS(NewEmisData!I:I, NewEmisData!$A:$A, $G189, NewEmisData!$B:$B, $A189, NewEmisData!$C:$C, $H189, NewEmisData!$D:$D, CB$6)</f>
        <v>0.105362725656792</v>
      </c>
      <c r="CC189" s="1111">
        <f>SUMIFS(NewEmisData!J:J, NewEmisData!$A:$A, $G189, NewEmisData!$B:$B, $A189, NewEmisData!$C:$C, $H189, NewEmisData!$D:$D, CC$6)</f>
        <v>9.5060988557020901E-2</v>
      </c>
      <c r="CD189" s="1111">
        <f>SUMIFS(NewEmisData!K:K, NewEmisData!$A:$A, $G189, NewEmisData!$B:$B, $A189, NewEmisData!$C:$C, $H189, NewEmisData!$D:$D, CD$6)</f>
        <v>9.2424289509125304E-2</v>
      </c>
      <c r="CE189" s="1111">
        <f>SUMIFS(NewEmisData!L:L, NewEmisData!$A:$A, $G189, NewEmisData!$B:$B, $A189, NewEmisData!$C:$C, $H189, NewEmisData!$D:$D, CE$6)</f>
        <v>9.23723223995183E-2</v>
      </c>
      <c r="CF189" s="1111">
        <f>SUMIFS(NewEmisData!M:M, NewEmisData!$A:$A, $G189, NewEmisData!$B:$B, $A189, NewEmisData!$C:$C, $H189, NewEmisData!$D:$D, CF$6)</f>
        <v>9.2343531240566795E-2</v>
      </c>
      <c r="CG189" s="1111">
        <f t="shared" si="250"/>
        <v>9.2343531240566795E-2</v>
      </c>
      <c r="CH189" s="1111">
        <f t="shared" si="251"/>
        <v>2.7055218991672101E-2</v>
      </c>
      <c r="CI189" s="1111">
        <f>SUMIFS(NewEmisData!E:E, NewEmisData!$A:$A, $G189, NewEmisData!$B:$B, $A189, NewEmisData!$C:$C, $H189, NewEmisData!$D:$D, CI$6)</f>
        <v>2.7055218991672101E-2</v>
      </c>
      <c r="CJ189" s="1111">
        <f>SUMIFS(NewEmisData!F:F, NewEmisData!$A:$A, $G189, NewEmisData!$B:$B, $A189, NewEmisData!$C:$C, $H189, NewEmisData!$D:$D, CJ$6)</f>
        <v>2.7097811202849698E-2</v>
      </c>
      <c r="CK189" s="1111">
        <f>SUMIFS(NewEmisData!G:G, NewEmisData!$A:$A, $G189, NewEmisData!$B:$B, $A189, NewEmisData!$C:$C, $H189, NewEmisData!$D:$D, CK$6)</f>
        <v>2.7499989724317601E-2</v>
      </c>
      <c r="CL189" s="1111">
        <f>SUMIFS(NewEmisData!H:H, NewEmisData!$A:$A, $G189, NewEmisData!$B:$B, $A189, NewEmisData!$C:$C, $H189, NewEmisData!$D:$D, CL$6)</f>
        <v>2.7501820283735001E-2</v>
      </c>
      <c r="CM189" s="1111">
        <f>SUMIFS(NewEmisData!I:I, NewEmisData!$A:$A, $G189, NewEmisData!$B:$B, $A189, NewEmisData!$C:$C, $H189, NewEmisData!$D:$D, CM$6)</f>
        <v>2.7502699986778598E-2</v>
      </c>
      <c r="CN189" s="1111">
        <f>SUMIFS(NewEmisData!J:J, NewEmisData!$A:$A, $G189, NewEmisData!$B:$B, $A189, NewEmisData!$C:$C, $H189, NewEmisData!$D:$D, CN$6)</f>
        <v>2.7503009963342099E-2</v>
      </c>
      <c r="CO189" s="1111">
        <f>SUMIFS(NewEmisData!K:K, NewEmisData!$A:$A, $G189, NewEmisData!$B:$B, $A189, NewEmisData!$C:$C, $H189, NewEmisData!$D:$D, CO$6)</f>
        <v>2.75030807344766E-2</v>
      </c>
      <c r="CP189" s="1111">
        <f>SUMIFS(NewEmisData!L:L, NewEmisData!$A:$A, $G189, NewEmisData!$B:$B, $A189, NewEmisData!$C:$C, $H189, NewEmisData!$D:$D, CP$6)</f>
        <v>2.75031193176942E-2</v>
      </c>
      <c r="CQ189" s="1111">
        <f>SUMIFS(NewEmisData!M:M, NewEmisData!$A:$A, $G189, NewEmisData!$B:$B, $A189, NewEmisData!$C:$C, $H189, NewEmisData!$D:$D, CQ$6)</f>
        <v>2.7503100293147099E-2</v>
      </c>
      <c r="CR189" s="1111">
        <f t="shared" si="252"/>
        <v>2.7503100293147099E-2</v>
      </c>
      <c r="CS189" s="1111">
        <f t="shared" si="253"/>
        <v>3.9349904375135403E-3</v>
      </c>
      <c r="CT189" s="1111">
        <f>SUMIFS(NewEmisData!E:E, NewEmisData!$A:$A, $G189, NewEmisData!$B:$B, $A189, NewEmisData!$C:$C, $H189, NewEmisData!$D:$D, CT$6)</f>
        <v>3.9349904375135403E-3</v>
      </c>
      <c r="CU189" s="1111">
        <f>SUMIFS(NewEmisData!F:F, NewEmisData!$A:$A, $G189, NewEmisData!$B:$B, $A189, NewEmisData!$C:$C, $H189, NewEmisData!$D:$D, CU$6)</f>
        <v>4.0144188046577697E-3</v>
      </c>
      <c r="CV189" s="1111">
        <f>SUMIFS(NewEmisData!G:G, NewEmisData!$A:$A, $G189, NewEmisData!$B:$B, $A189, NewEmisData!$C:$C, $H189, NewEmisData!$D:$D, CV$6)</f>
        <v>3.85532676774381E-3</v>
      </c>
      <c r="CW189" s="1111">
        <f>SUMIFS(NewEmisData!H:H, NewEmisData!$A:$A, $G189, NewEmisData!$B:$B, $A189, NewEmisData!$C:$C, $H189, NewEmisData!$D:$D, CW$6)</f>
        <v>3.86278277523287E-3</v>
      </c>
      <c r="CX189" s="1111">
        <f>SUMIFS(NewEmisData!I:I, NewEmisData!$A:$A, $G189, NewEmisData!$B:$B, $A189, NewEmisData!$C:$C, $H189, NewEmisData!$D:$D, CX$6)</f>
        <v>3.8631569663602201E-3</v>
      </c>
      <c r="CY189" s="1111">
        <f>SUMIFS(NewEmisData!J:J, NewEmisData!$A:$A, $G189, NewEmisData!$B:$B, $A189, NewEmisData!$C:$C, $H189, NewEmisData!$D:$D, CY$6)</f>
        <v>3.8597143652261199E-3</v>
      </c>
      <c r="CZ189" s="1111">
        <f>SUMIFS(NewEmisData!K:K, NewEmisData!$A:$A, $G189, NewEmisData!$B:$B, $A189, NewEmisData!$C:$C, $H189, NewEmisData!$D:$D, CZ$6)</f>
        <v>3.8570170955670299E-3</v>
      </c>
      <c r="DA189" s="1111">
        <f>SUMIFS(NewEmisData!L:L, NewEmisData!$A:$A, $G189, NewEmisData!$B:$B, $A189, NewEmisData!$C:$C, $H189, NewEmisData!$D:$D, DA$6)</f>
        <v>3.8560726634583298E-3</v>
      </c>
      <c r="DB189" s="1111">
        <f>SUMIFS(NewEmisData!M:M, NewEmisData!$A:$A, $G189, NewEmisData!$B:$B, $A189, NewEmisData!$C:$C, $H189, NewEmisData!$D:$D, DB$6)</f>
        <v>3.8553758260127901E-3</v>
      </c>
      <c r="DC189" s="1111">
        <f t="shared" si="254"/>
        <v>3.8553758260127901E-3</v>
      </c>
      <c r="DD189" s="1111"/>
      <c r="DE189" s="1111"/>
      <c r="DF189" s="1111"/>
      <c r="DG189" s="1111"/>
      <c r="DH189" s="1111"/>
      <c r="DI189" s="1111"/>
      <c r="DJ189" s="1111"/>
      <c r="DK189" s="1111"/>
      <c r="DL189" s="1111"/>
      <c r="DM189" s="1111"/>
      <c r="DN189" s="1111"/>
      <c r="DO189" s="1111"/>
      <c r="DP189" s="1111"/>
      <c r="DQ189" s="1111"/>
      <c r="DR189" s="1111"/>
      <c r="DS189" s="1111"/>
      <c r="DT189" s="1111"/>
      <c r="DU189" s="1111"/>
      <c r="DV189" s="1111"/>
      <c r="DW189" s="1111"/>
      <c r="DX189" s="1111"/>
      <c r="DY189" s="1111"/>
      <c r="DZ189" s="1111">
        <f t="shared" si="255"/>
        <v>1.6945041867018E-2</v>
      </c>
      <c r="EA189" s="1111">
        <f>SUMIFS(NewEmisData!E:E, NewEmisData!$A:$A, $G189, NewEmisData!$B:$B, $A189, NewEmisData!$C:$C, $H189, NewEmisData!$D:$D, EA$6)</f>
        <v>1.6945041867018E-2</v>
      </c>
      <c r="EB189" s="1111">
        <f>SUMIFS(NewEmisData!F:F, NewEmisData!$A:$A, $G189, NewEmisData!$B:$B, $A189, NewEmisData!$C:$C, $H189, NewEmisData!$D:$D, EB$6)</f>
        <v>7.8276884254222703E-2</v>
      </c>
      <c r="EC189" s="1111">
        <f>SUMIFS(NewEmisData!G:G, NewEmisData!$A:$A, $G189, NewEmisData!$B:$B, $A189, NewEmisData!$C:$C, $H189, NewEmisData!$D:$D, EC$6)</f>
        <v>8.4900351611377101E-2</v>
      </c>
      <c r="ED189" s="1111">
        <f>SUMIFS(NewEmisData!H:H, NewEmisData!$A:$A, $G189, NewEmisData!$B:$B, $A189, NewEmisData!$C:$C, $H189, NewEmisData!$D:$D, ED$6)</f>
        <v>8.5774709001773697E-2</v>
      </c>
      <c r="EE189" s="1111">
        <f>SUMIFS(NewEmisData!I:I, NewEmisData!$A:$A, $G189, NewEmisData!$B:$B, $A189, NewEmisData!$C:$C, $H189, NewEmisData!$D:$D, EE$6)</f>
        <v>8.5992272513838397E-2</v>
      </c>
      <c r="EF189" s="1111">
        <f>SUMIFS(NewEmisData!J:J, NewEmisData!$A:$A, $G189, NewEmisData!$B:$B, $A189, NewEmisData!$C:$C, $H189, NewEmisData!$D:$D, EF$6)</f>
        <v>8.5851695810059206E-2</v>
      </c>
      <c r="EG189" s="1111">
        <f>SUMIFS(NewEmisData!K:K, NewEmisData!$A:$A, $G189, NewEmisData!$B:$B, $A189, NewEmisData!$C:$C, $H189, NewEmisData!$D:$D, EG$6)</f>
        <v>8.5868499327711095E-2</v>
      </c>
      <c r="EH189" s="1111">
        <f>SUMIFS(NewEmisData!L:L, NewEmisData!$A:$A, $G189, NewEmisData!$B:$B, $A189, NewEmisData!$C:$C, $H189, NewEmisData!$D:$D, EH$6)</f>
        <v>8.5821898568060301E-2</v>
      </c>
      <c r="EI189" s="1111">
        <f>SUMIFS(NewEmisData!M:M, NewEmisData!$A:$A, $G189, NewEmisData!$B:$B, $A189, NewEmisData!$C:$C, $H189, NewEmisData!$D:$D, EI$6)</f>
        <v>8.5793172972528697E-2</v>
      </c>
      <c r="EJ189" s="1111">
        <f t="shared" si="256"/>
        <v>8.5793172972528697E-2</v>
      </c>
      <c r="EK189" s="1111">
        <f t="shared" si="257"/>
        <v>1359.24651399801</v>
      </c>
      <c r="EL189" s="1111">
        <f t="shared" si="269"/>
        <v>1359.24651399801</v>
      </c>
      <c r="EM189" s="1111">
        <f t="shared" si="270"/>
        <v>1349.4553811456799</v>
      </c>
      <c r="EN189" s="1111">
        <f t="shared" si="271"/>
        <v>1201.7753721342699</v>
      </c>
      <c r="EO189" s="1111">
        <f t="shared" si="272"/>
        <v>1159.4102608457299</v>
      </c>
      <c r="EP189" s="1111">
        <f t="shared" si="273"/>
        <v>1124.18143975774</v>
      </c>
      <c r="EQ189" s="1111">
        <f t="shared" si="274"/>
        <v>1112.41123305204</v>
      </c>
      <c r="ER189" s="1111">
        <f t="shared" si="275"/>
        <v>1108.9495585776399</v>
      </c>
      <c r="ES189" s="1111">
        <f t="shared" si="276"/>
        <v>1108.1911650136201</v>
      </c>
      <c r="ET189" s="1111">
        <f t="shared" si="277"/>
        <v>1108.0051090873801</v>
      </c>
      <c r="EU189" s="1111">
        <f t="shared" si="278"/>
        <v>1108.0051090873801</v>
      </c>
      <c r="EV189" s="1111">
        <f t="shared" si="258"/>
        <v>9.9935080505540999</v>
      </c>
      <c r="EW189" s="1111">
        <f t="shared" si="259"/>
        <v>9.9935080505540999</v>
      </c>
      <c r="EX189" s="1111">
        <f t="shared" si="260"/>
        <v>5.4019505037215803</v>
      </c>
      <c r="EY189" s="1111">
        <f t="shared" si="261"/>
        <v>2.3680454032681002</v>
      </c>
      <c r="EZ189" s="1111">
        <f t="shared" si="262"/>
        <v>1.37960112387871</v>
      </c>
      <c r="FA189" s="1111">
        <f t="shared" si="263"/>
        <v>0.96959264343873697</v>
      </c>
      <c r="FB189" s="1111">
        <f t="shared" si="264"/>
        <v>0.83872679442891696</v>
      </c>
      <c r="FC189" s="1111">
        <f t="shared" si="265"/>
        <v>0.79867865097523805</v>
      </c>
      <c r="FD189" s="1111">
        <f t="shared" si="266"/>
        <v>0.79322284274622901</v>
      </c>
      <c r="FE189" s="1111">
        <f t="shared" si="267"/>
        <v>0.79163411205103495</v>
      </c>
      <c r="FF189" s="1111">
        <f t="shared" si="268"/>
        <v>0.79163411205103495</v>
      </c>
      <c r="FG189" s="1111">
        <f t="shared" si="291"/>
        <v>3.2609020112497403E-2</v>
      </c>
      <c r="FH189" s="1111">
        <f t="shared" si="292"/>
        <v>3.2609020112497403E-2</v>
      </c>
      <c r="FI189" s="1111">
        <f t="shared" si="293"/>
        <v>3.17571573502895E-2</v>
      </c>
      <c r="FJ189" s="1111">
        <f t="shared" si="294"/>
        <v>1.01046015527187E-2</v>
      </c>
      <c r="FK189" s="1111">
        <f t="shared" si="295"/>
        <v>9.6913827425881005E-3</v>
      </c>
      <c r="FL189" s="1111">
        <f t="shared" si="296"/>
        <v>9.3778737694311005E-3</v>
      </c>
      <c r="FM189" s="1111">
        <f t="shared" si="297"/>
        <v>9.2756075273223108E-3</v>
      </c>
      <c r="FN189" s="1111">
        <f t="shared" si="298"/>
        <v>9.2454491450441392E-3</v>
      </c>
      <c r="FO189" s="1111">
        <f t="shared" si="299"/>
        <v>9.2391217629996109E-3</v>
      </c>
      <c r="FP189" s="1111">
        <f t="shared" si="300"/>
        <v>9.2375739351750405E-3</v>
      </c>
      <c r="FQ189" s="1111">
        <f t="shared" si="301"/>
        <v>9.2375739351750405E-3</v>
      </c>
      <c r="FR189" s="1111">
        <f t="shared" si="230"/>
        <v>0.92068922490925897</v>
      </c>
      <c r="FS189" s="1111">
        <f t="shared" si="231"/>
        <v>0.92068922490925897</v>
      </c>
      <c r="FT189" s="1111">
        <f t="shared" si="232"/>
        <v>0.49332051927640103</v>
      </c>
      <c r="FU189" s="1111">
        <f t="shared" si="233"/>
        <v>0.24551244923642301</v>
      </c>
      <c r="FV189" s="1111">
        <f t="shared" si="234"/>
        <v>0.19029699336139799</v>
      </c>
      <c r="FW189" s="1111">
        <f t="shared" si="235"/>
        <v>0.171654581016567</v>
      </c>
      <c r="FX189" s="1111">
        <f t="shared" si="236"/>
        <v>0.168061002565252</v>
      </c>
      <c r="FY189" s="1111">
        <f t="shared" si="237"/>
        <v>0.167001709815503</v>
      </c>
      <c r="FZ189" s="1111">
        <f t="shared" si="238"/>
        <v>0.16699297497215901</v>
      </c>
      <c r="GA189" s="1111">
        <f t="shared" si="239"/>
        <v>0.16699184457612301</v>
      </c>
      <c r="GB189" s="1111">
        <f t="shared" si="240"/>
        <v>0.16699184457612301</v>
      </c>
      <c r="GC189" s="1111">
        <f t="shared" si="279"/>
        <v>0.71010379978724403</v>
      </c>
      <c r="GD189" s="1111">
        <f t="shared" si="280"/>
        <v>0.71010379978724403</v>
      </c>
      <c r="GE189" s="1111">
        <f t="shared" si="281"/>
        <v>0.31539716063004603</v>
      </c>
      <c r="GF189" s="1111">
        <f t="shared" si="282"/>
        <v>0.10700307974279601</v>
      </c>
      <c r="GG189" s="1111">
        <f t="shared" si="283"/>
        <v>5.6773062835599797E-2</v>
      </c>
      <c r="GH189" s="1111">
        <f t="shared" si="284"/>
        <v>3.9792368333530698E-2</v>
      </c>
      <c r="GI189" s="1111">
        <f t="shared" si="285"/>
        <v>3.6534861023721103E-2</v>
      </c>
      <c r="GJ189" s="1111">
        <f t="shared" si="286"/>
        <v>3.5572117087596597E-2</v>
      </c>
      <c r="GK189" s="1111">
        <f t="shared" si="287"/>
        <v>3.556620106866E-2</v>
      </c>
      <c r="GL189" s="1111">
        <f t="shared" si="288"/>
        <v>3.5565244855547698E-2</v>
      </c>
      <c r="GM189" s="1111">
        <f t="shared" si="289"/>
        <v>3.5565244855547698E-2</v>
      </c>
    </row>
    <row r="190" spans="1:195" x14ac:dyDescent="0.2">
      <c r="A190" s="1071" t="s">
        <v>190</v>
      </c>
      <c r="B190" s="1071" t="str">
        <f>Technologies!C120</f>
        <v>TMDSLIM</v>
      </c>
      <c r="C190" s="1071" t="str">
        <f>Technologies!D120</f>
        <v>Medium Duty Truck, Improved Diesel</v>
      </c>
      <c r="D190" s="1071" t="str">
        <f>NewTech!D72</f>
        <v>bn-vmt, bn-vmt/a</v>
      </c>
      <c r="E190" s="1071" t="str">
        <f>NewTech!E73</f>
        <v>TMDSL</v>
      </c>
      <c r="F190" s="1071" t="str">
        <f>NewTech!F73</f>
        <v>TM</v>
      </c>
      <c r="G190" s="1110" t="s">
        <v>503</v>
      </c>
      <c r="H190" s="1110" t="s">
        <v>499</v>
      </c>
      <c r="I190" s="1112">
        <v>1</v>
      </c>
      <c r="J190" s="1111" t="str">
        <f t="shared" si="37"/>
        <v>Medium duty-DSL</v>
      </c>
      <c r="K190" s="1111">
        <f>SUMIFS(NewEmisData!E:E, NewEmisData!$A:$A, $G190, NewEmisData!$B:$B, $A190, NewEmisData!$C:$C, $H190, NewEmisData!$D:$D, K$6)</f>
        <v>1336.71780257008</v>
      </c>
      <c r="L190" s="1111">
        <f>SUMIFS(NewEmisData!F:F, NewEmisData!$A:$A, $G190, NewEmisData!$B:$B, $A190, NewEmisData!$C:$C, $H190, NewEmisData!$D:$D, L$6)</f>
        <v>1334.1180611544301</v>
      </c>
      <c r="M190" s="1111">
        <f>SUMIFS(NewEmisData!G:G, NewEmisData!$A:$A, $G190, NewEmisData!$B:$B, $A190, NewEmisData!$C:$C, $H190, NewEmisData!$D:$D, M$6)</f>
        <v>1445.04089230315</v>
      </c>
      <c r="N190" s="1111">
        <f>SUMIFS(NewEmisData!H:H, NewEmisData!$A:$A, $G190, NewEmisData!$B:$B, $A190, NewEmisData!$C:$C, $H190, NewEmisData!$D:$D, N$6)</f>
        <v>1394.56782788027</v>
      </c>
      <c r="O190" s="1111">
        <f>SUMIFS(NewEmisData!I:I, NewEmisData!$A:$A, $G190, NewEmisData!$B:$B, $A190, NewEmisData!$C:$C, $H190, NewEmisData!$D:$D, O$6)</f>
        <v>1352.2640605745901</v>
      </c>
      <c r="P190" s="1111">
        <f>SUMIFS(NewEmisData!J:J, NewEmisData!$A:$A, $G190, NewEmisData!$B:$B, $A190, NewEmisData!$C:$C, $H190, NewEmisData!$D:$D, P$6)</f>
        <v>1337.95858730856</v>
      </c>
      <c r="Q190" s="1111">
        <f>SUMIFS(NewEmisData!K:K, NewEmisData!$A:$A, $G190, NewEmisData!$B:$B, $A190, NewEmisData!$C:$C, $H190, NewEmisData!$D:$D, Q$6)</f>
        <v>1333.6808792868501</v>
      </c>
      <c r="R190" s="1111">
        <f>SUMIFS(NewEmisData!L:L, NewEmisData!$A:$A, $G190, NewEmisData!$B:$B, $A190, NewEmisData!$C:$C, $H190, NewEmisData!$D:$D, R$6)</f>
        <v>1332.71889531121</v>
      </c>
      <c r="S190" s="1111">
        <f>SUMIFS(NewEmisData!M:M, NewEmisData!$A:$A, $G190, NewEmisData!$B:$B, $A190, NewEmisData!$C:$C, $H190, NewEmisData!$D:$D, S$6)</f>
        <v>1332.4669517233399</v>
      </c>
      <c r="T190" s="1111">
        <f t="shared" si="290"/>
        <v>1332.4669517233399</v>
      </c>
      <c r="U190" s="1111">
        <f>SUMIFS(NewEmisData!E:E, NewEmisData!$A:$A, $G190, NewEmisData!$B:$B, $A190, NewEmisData!$C:$C, $H190, NewEmisData!$D:$D, U$6)</f>
        <v>8.1159705197746597</v>
      </c>
      <c r="V190" s="1111">
        <f>SUMIFS(NewEmisData!F:F, NewEmisData!$A:$A, $G190, NewEmisData!$B:$B, $A190, NewEmisData!$C:$C, $H190, NewEmisData!$D:$D, V$6)</f>
        <v>4.1902678747381499</v>
      </c>
      <c r="W190" s="1111">
        <f>SUMIFS(NewEmisData!G:G, NewEmisData!$A:$A, $G190, NewEmisData!$B:$B, $A190, NewEmisData!$C:$C, $H190, NewEmisData!$D:$D, W$6)</f>
        <v>2.9831671777909299</v>
      </c>
      <c r="X190" s="1111">
        <f>SUMIFS(NewEmisData!H:H, NewEmisData!$A:$A, $G190, NewEmisData!$B:$B, $A190, NewEmisData!$C:$C, $H190, NewEmisData!$D:$D, X$6)</f>
        <v>1.79071707308598</v>
      </c>
      <c r="Y190" s="1111">
        <f>SUMIFS(NewEmisData!I:I, NewEmisData!$A:$A, $G190, NewEmisData!$B:$B, $A190, NewEmisData!$C:$C, $H190, NewEmisData!$D:$D, Y$6)</f>
        <v>1.29214834991715</v>
      </c>
      <c r="Z190" s="1111">
        <f>SUMIFS(NewEmisData!J:J, NewEmisData!$A:$A, $G190, NewEmisData!$B:$B, $A190, NewEmisData!$C:$C, $H190, NewEmisData!$D:$D, Z$6)</f>
        <v>1.1297597092685201</v>
      </c>
      <c r="AA190" s="1111">
        <f>SUMIFS(NewEmisData!K:K, NewEmisData!$A:$A, $G190, NewEmisData!$B:$B, $A190, NewEmisData!$C:$C, $H190, NewEmisData!$D:$D, AA$6)</f>
        <v>1.07869334628427</v>
      </c>
      <c r="AB190" s="1111">
        <f>SUMIFS(NewEmisData!L:L, NewEmisData!$A:$A, $G190, NewEmisData!$B:$B, $A190, NewEmisData!$C:$C, $H190, NewEmisData!$D:$D, AB$6)</f>
        <v>1.0710961293157399</v>
      </c>
      <c r="AC190" s="1111">
        <f>SUMIFS(NewEmisData!M:M, NewEmisData!$A:$A, $G190, NewEmisData!$B:$B, $A190, NewEmisData!$C:$C, $H190, NewEmisData!$D:$D, AC$6)</f>
        <v>1.06853485047457</v>
      </c>
      <c r="AD190" s="1111">
        <f t="shared" si="229"/>
        <v>1.06853485047457</v>
      </c>
      <c r="AE190" s="1111">
        <f t="shared" si="241"/>
        <v>3.2903787292919401E-2</v>
      </c>
      <c r="AF190" s="1111">
        <f>SUMIFS(NewEmisData!E:E, NewEmisData!$A:$A, $G190, NewEmisData!$B:$B, $A190, NewEmisData!$C:$C, $H190, NewEmisData!$D:$D, AF$6)</f>
        <v>3.2903787292919401E-2</v>
      </c>
      <c r="AG190" s="1111">
        <f>SUMIFS(NewEmisData!F:F, NewEmisData!$A:$A, $G190, NewEmisData!$B:$B, $A190, NewEmisData!$C:$C, $H190, NewEmisData!$D:$D, AG$6)</f>
        <v>3.1887226466035201E-2</v>
      </c>
      <c r="AH190" s="1111">
        <f>SUMIFS(NewEmisData!G:G, NewEmisData!$A:$A, $G190, NewEmisData!$B:$B, $A190, NewEmisData!$C:$C, $H190, NewEmisData!$D:$D, AH$6)</f>
        <v>1.2151036280147199E-2</v>
      </c>
      <c r="AI190" s="1111">
        <f>SUMIFS(NewEmisData!H:H, NewEmisData!$A:$A, $G190, NewEmisData!$B:$B, $A190, NewEmisData!$C:$C, $H190, NewEmisData!$D:$D, AI$6)</f>
        <v>1.16575948327503E-2</v>
      </c>
      <c r="AJ190" s="1111">
        <f>SUMIFS(NewEmisData!I:I, NewEmisData!$A:$A, $G190, NewEmisData!$B:$B, $A190, NewEmisData!$C:$C, $H190, NewEmisData!$D:$D, AJ$6)</f>
        <v>1.12807608208042E-2</v>
      </c>
      <c r="AK190" s="1111">
        <f>SUMIFS(NewEmisData!J:J, NewEmisData!$A:$A, $G190, NewEmisData!$B:$B, $A190, NewEmisData!$C:$C, $H190, NewEmisData!$D:$D, AK$6)</f>
        <v>1.11563832836782E-2</v>
      </c>
      <c r="AL190" s="1111">
        <f>SUMIFS(NewEmisData!K:K, NewEmisData!$A:$A, $G190, NewEmisData!$B:$B, $A190, NewEmisData!$C:$C, $H190, NewEmisData!$D:$D, AL$6)</f>
        <v>1.11190596779358E-2</v>
      </c>
      <c r="AM190" s="1111">
        <f>SUMIFS(NewEmisData!L:L, NewEmisData!$A:$A, $G190, NewEmisData!$B:$B, $A190, NewEmisData!$C:$C, $H190, NewEmisData!$D:$D, AM$6)</f>
        <v>1.1111041090770501E-2</v>
      </c>
      <c r="AN190" s="1111">
        <f>SUMIFS(NewEmisData!M:M, NewEmisData!$A:$A, $G190, NewEmisData!$B:$B, $A190, NewEmisData!$C:$C, $H190, NewEmisData!$D:$D, AN$6)</f>
        <v>1.11089391742305E-2</v>
      </c>
      <c r="AO190" s="1111">
        <f t="shared" si="242"/>
        <v>1.11089391742305E-2</v>
      </c>
      <c r="AP190" s="1111">
        <f t="shared" si="243"/>
        <v>0.75470063690720102</v>
      </c>
      <c r="AQ190" s="1111">
        <f>SUMIFS(NewEmisData!E:E, NewEmisData!$A:$A, $G190, NewEmisData!$B:$B, $A190, NewEmisData!$C:$C, $H190, NewEmisData!$D:$D, AQ$6)</f>
        <v>0.75470063690720102</v>
      </c>
      <c r="AR190" s="1111">
        <f>SUMIFS(NewEmisData!F:F, NewEmisData!$A:$A, $G190, NewEmisData!$B:$B, $A190, NewEmisData!$C:$C, $H190, NewEmisData!$D:$D, AR$6)</f>
        <v>0.41452815930639098</v>
      </c>
      <c r="AS190" s="1111">
        <f>SUMIFS(NewEmisData!G:G, NewEmisData!$A:$A, $G190, NewEmisData!$B:$B, $A190, NewEmisData!$C:$C, $H190, NewEmisData!$D:$D, AS$6)</f>
        <v>0.32175493237955199</v>
      </c>
      <c r="AT190" s="1111">
        <f>SUMIFS(NewEmisData!H:H, NewEmisData!$A:$A, $G190, NewEmisData!$B:$B, $A190, NewEmisData!$C:$C, $H190, NewEmisData!$D:$D, AT$6)</f>
        <v>0.25352921702854198</v>
      </c>
      <c r="AU190" s="1111">
        <f>SUMIFS(NewEmisData!I:I, NewEmisData!$A:$A, $G190, NewEmisData!$B:$B, $A190, NewEmisData!$C:$C, $H190, NewEmisData!$D:$D, AU$6)</f>
        <v>0.23028919647026699</v>
      </c>
      <c r="AV190" s="1111">
        <f>SUMIFS(NewEmisData!J:J, NewEmisData!$A:$A, $G190, NewEmisData!$B:$B, $A190, NewEmisData!$C:$C, $H190, NewEmisData!$D:$D, AV$6)</f>
        <v>0.22584791810744101</v>
      </c>
      <c r="AW190" s="1111">
        <f>SUMIFS(NewEmisData!K:K, NewEmisData!$A:$A, $G190, NewEmisData!$B:$B, $A190, NewEmisData!$C:$C, $H190, NewEmisData!$D:$D, AW$6)</f>
        <v>0.22452045938839199</v>
      </c>
      <c r="AX190" s="1111">
        <f>SUMIFS(NewEmisData!L:L, NewEmisData!$A:$A, $G190, NewEmisData!$B:$B, $A190, NewEmisData!$C:$C, $H190, NewEmisData!$D:$D, AX$6)</f>
        <v>0.22450852256822901</v>
      </c>
      <c r="AY190" s="1111">
        <f>SUMIFS(NewEmisData!M:M, NewEmisData!$A:$A, $G190, NewEmisData!$B:$B, $A190, NewEmisData!$C:$C, $H190, NewEmisData!$D:$D, AY$6)</f>
        <v>0.22450708090135699</v>
      </c>
      <c r="AZ190" s="1111">
        <f t="shared" si="244"/>
        <v>0.22450708090135699</v>
      </c>
      <c r="BA190" s="1111">
        <f t="shared" si="245"/>
        <v>0.55462986472983</v>
      </c>
      <c r="BB190" s="1111">
        <f>SUMIFS(NewEmisData!E:E, NewEmisData!$A:$A, $G190, NewEmisData!$B:$B, $A190, NewEmisData!$C:$C, $H190, NewEmisData!$D:$D, BB$6)</f>
        <v>0.55462986472983</v>
      </c>
      <c r="BC190" s="1111">
        <f>SUMIFS(NewEmisData!F:F, NewEmisData!$A:$A, $G190, NewEmisData!$B:$B, $A190, NewEmisData!$C:$C, $H190, NewEmisData!$D:$D, BC$6)</f>
        <v>0.24248413763726101</v>
      </c>
      <c r="BD190" s="1111">
        <f>SUMIFS(NewEmisData!G:G, NewEmisData!$A:$A, $G190, NewEmisData!$B:$B, $A190, NewEmisData!$C:$C, $H190, NewEmisData!$D:$D, BD$6)</f>
        <v>0.134184167736455</v>
      </c>
      <c r="BE190" s="1111">
        <f>SUMIFS(NewEmisData!H:H, NewEmisData!$A:$A, $G190, NewEmisData!$B:$B, $A190, NewEmisData!$C:$C, $H190, NewEmisData!$D:$D, BE$6)</f>
        <v>7.2197035661159606E-2</v>
      </c>
      <c r="BF190" s="1111">
        <f>SUMIFS(NewEmisData!I:I, NewEmisData!$A:$A, $G190, NewEmisData!$B:$B, $A190, NewEmisData!$C:$C, $H190, NewEmisData!$D:$D, BF$6)</f>
        <v>5.1049978127363498E-2</v>
      </c>
      <c r="BG190" s="1111">
        <f>SUMIFS(NewEmisData!J:J, NewEmisData!$A:$A, $G190, NewEmisData!$B:$B, $A190, NewEmisData!$C:$C, $H190, NewEmisData!$D:$D, BG$6)</f>
        <v>4.7030670986268203E-2</v>
      </c>
      <c r="BH190" s="1111">
        <f>SUMIFS(NewEmisData!K:K, NewEmisData!$A:$A, $G190, NewEmisData!$B:$B, $A190, NewEmisData!$C:$C, $H190, NewEmisData!$D:$D, BH$6)</f>
        <v>4.5825605278403299E-2</v>
      </c>
      <c r="BI190" s="1111">
        <f>SUMIFS(NewEmisData!L:L, NewEmisData!$A:$A, $G190, NewEmisData!$B:$B, $A190, NewEmisData!$C:$C, $H190, NewEmisData!$D:$D, BI$6)</f>
        <v>4.58177973162801E-2</v>
      </c>
      <c r="BJ190" s="1111">
        <f>SUMIFS(NewEmisData!M:M, NewEmisData!$A:$A, $G190, NewEmisData!$B:$B, $A190, NewEmisData!$C:$C, $H190, NewEmisData!$D:$D, BJ$6)</f>
        <v>4.5816229295905703E-2</v>
      </c>
      <c r="BK190" s="1111">
        <f t="shared" si="246"/>
        <v>4.5816229295905703E-2</v>
      </c>
      <c r="BL190" s="1111">
        <f t="shared" si="247"/>
        <v>3.60214748610194</v>
      </c>
      <c r="BM190" s="1111">
        <f>SUMIFS(NewEmisData!E:E, NewEmisData!$A:$A, $G190, NewEmisData!$B:$B, $A190, NewEmisData!$C:$C, $H190, NewEmisData!$D:$D, BM$6)</f>
        <v>3.60214748610194</v>
      </c>
      <c r="BN190" s="1111">
        <f>SUMIFS(NewEmisData!F:F, NewEmisData!$A:$A, $G190, NewEmisData!$B:$B, $A190, NewEmisData!$C:$C, $H190, NewEmisData!$D:$D, BN$6)</f>
        <v>1.77624524860446</v>
      </c>
      <c r="BO190" s="1111">
        <f>SUMIFS(NewEmisData!G:G, NewEmisData!$A:$A, $G190, NewEmisData!$B:$B, $A190, NewEmisData!$C:$C, $H190, NewEmisData!$D:$D, BO$6)</f>
        <v>1.1776035653010599</v>
      </c>
      <c r="BP190" s="1111">
        <f>SUMIFS(NewEmisData!H:H, NewEmisData!$A:$A, $G190, NewEmisData!$B:$B, $A190, NewEmisData!$C:$C, $H190, NewEmisData!$D:$D, BP$6)</f>
        <v>0.76085446661730005</v>
      </c>
      <c r="BQ190" s="1111">
        <f>SUMIFS(NewEmisData!I:I, NewEmisData!$A:$A, $G190, NewEmisData!$B:$B, $A190, NewEmisData!$C:$C, $H190, NewEmisData!$D:$D, BQ$6)</f>
        <v>0.62715484825252399</v>
      </c>
      <c r="BR190" s="1111">
        <f>SUMIFS(NewEmisData!J:J, NewEmisData!$A:$A, $G190, NewEmisData!$B:$B, $A190, NewEmisData!$C:$C, $H190, NewEmisData!$D:$D, BR$6)</f>
        <v>0.59561161426405995</v>
      </c>
      <c r="BS190" s="1111">
        <f>SUMIFS(NewEmisData!K:K, NewEmisData!$A:$A, $G190, NewEmisData!$B:$B, $A190, NewEmisData!$C:$C, $H190, NewEmisData!$D:$D, BS$6)</f>
        <v>0.586656365437488</v>
      </c>
      <c r="BT190" s="1111">
        <f>SUMIFS(NewEmisData!L:L, NewEmisData!$A:$A, $G190, NewEmisData!$B:$B, $A190, NewEmisData!$C:$C, $H190, NewEmisData!$D:$D, BT$6)</f>
        <v>0.58633071433356998</v>
      </c>
      <c r="BU190" s="1111">
        <f>SUMIFS(NewEmisData!M:M, NewEmisData!$A:$A, $G190, NewEmisData!$B:$B, $A190, NewEmisData!$C:$C, $H190, NewEmisData!$D:$D, BU$6)</f>
        <v>0.58613150489673305</v>
      </c>
      <c r="BV190" s="1111">
        <f t="shared" si="248"/>
        <v>0.58613150489673305</v>
      </c>
      <c r="BW190" s="1111">
        <f t="shared" si="249"/>
        <v>1.4585878276819899</v>
      </c>
      <c r="BX190" s="1111">
        <f>SUMIFS(NewEmisData!E:E, NewEmisData!$A:$A, $G190, NewEmisData!$B:$B, $A190, NewEmisData!$C:$C, $H190, NewEmisData!$D:$D, BX$6)</f>
        <v>1.4585878276819899</v>
      </c>
      <c r="BY190" s="1111">
        <f>SUMIFS(NewEmisData!F:F, NewEmisData!$A:$A, $G190, NewEmisData!$B:$B, $A190, NewEmisData!$C:$C, $H190, NewEmisData!$D:$D, BY$6)</f>
        <v>0.63111024641351499</v>
      </c>
      <c r="BZ190" s="1111">
        <f>SUMIFS(NewEmisData!G:G, NewEmisData!$A:$A, $G190, NewEmisData!$B:$B, $A190, NewEmisData!$C:$C, $H190, NewEmisData!$D:$D, BZ$6)</f>
        <v>0.39101466332213902</v>
      </c>
      <c r="CA190" s="1111">
        <f>SUMIFS(NewEmisData!H:H, NewEmisData!$A:$A, $G190, NewEmisData!$B:$B, $A190, NewEmisData!$C:$C, $H190, NewEmisData!$D:$D, CA$6)</f>
        <v>0.213477846209017</v>
      </c>
      <c r="CB190" s="1111">
        <f>SUMIFS(NewEmisData!I:I, NewEmisData!$A:$A, $G190, NewEmisData!$B:$B, $A190, NewEmisData!$C:$C, $H190, NewEmisData!$D:$D, CB$6)</f>
        <v>0.15780661931724599</v>
      </c>
      <c r="CC190" s="1111">
        <f>SUMIFS(NewEmisData!J:J, NewEmisData!$A:$A, $G190, NewEmisData!$B:$B, $A190, NewEmisData!$C:$C, $H190, NewEmisData!$D:$D, CC$6)</f>
        <v>0.14387801609152001</v>
      </c>
      <c r="CD190" s="1111">
        <f>SUMIFS(NewEmisData!K:K, NewEmisData!$A:$A, $G190, NewEmisData!$B:$B, $A190, NewEmisData!$C:$C, $H190, NewEmisData!$D:$D, CD$6)</f>
        <v>0.13989697938435799</v>
      </c>
      <c r="CE190" s="1111">
        <f>SUMIFS(NewEmisData!L:L, NewEmisData!$A:$A, $G190, NewEmisData!$B:$B, $A190, NewEmisData!$C:$C, $H190, NewEmisData!$D:$D, CE$6)</f>
        <v>0.139762763737699</v>
      </c>
      <c r="CF190" s="1111">
        <f>SUMIFS(NewEmisData!M:M, NewEmisData!$A:$A, $G190, NewEmisData!$B:$B, $A190, NewEmisData!$C:$C, $H190, NewEmisData!$D:$D, CF$6)</f>
        <v>0.139676136968958</v>
      </c>
      <c r="CG190" s="1111">
        <f t="shared" si="250"/>
        <v>0.139676136968958</v>
      </c>
      <c r="CH190" s="1111">
        <f t="shared" si="251"/>
        <v>2.6625022112881199E-2</v>
      </c>
      <c r="CI190" s="1111">
        <f>SUMIFS(NewEmisData!E:E, NewEmisData!$A:$A, $G190, NewEmisData!$B:$B, $A190, NewEmisData!$C:$C, $H190, NewEmisData!$D:$D, CI$6)</f>
        <v>2.6625022112881199E-2</v>
      </c>
      <c r="CJ190" s="1111">
        <f>SUMIFS(NewEmisData!F:F, NewEmisData!$A:$A, $G190, NewEmisData!$B:$B, $A190, NewEmisData!$C:$C, $H190, NewEmisData!$D:$D, CJ$6)</f>
        <v>2.66250927216873E-2</v>
      </c>
      <c r="CK190" s="1111">
        <f>SUMIFS(NewEmisData!G:G, NewEmisData!$A:$A, $G190, NewEmisData!$B:$B, $A190, NewEmisData!$C:$C, $H190, NewEmisData!$D:$D, CK$6)</f>
        <v>3.1310131148303597E-2</v>
      </c>
      <c r="CL190" s="1111">
        <f>SUMIFS(NewEmisData!H:H, NewEmisData!$A:$A, $G190, NewEmisData!$B:$B, $A190, NewEmisData!$C:$C, $H190, NewEmisData!$D:$D, CL$6)</f>
        <v>3.13110567850386E-2</v>
      </c>
      <c r="CM190" s="1111">
        <f>SUMIFS(NewEmisData!I:I, NewEmisData!$A:$A, $G190, NewEmisData!$B:$B, $A190, NewEmisData!$C:$C, $H190, NewEmisData!$D:$D, CM$6)</f>
        <v>3.1311503593969003E-2</v>
      </c>
      <c r="CN190" s="1111">
        <f>SUMIFS(NewEmisData!J:J, NewEmisData!$A:$A, $G190, NewEmisData!$B:$B, $A190, NewEmisData!$C:$C, $H190, NewEmisData!$D:$D, CN$6)</f>
        <v>3.1311654335670597E-2</v>
      </c>
      <c r="CO190" s="1111">
        <f>SUMIFS(NewEmisData!K:K, NewEmisData!$A:$A, $G190, NewEmisData!$B:$B, $A190, NewEmisData!$C:$C, $H190, NewEmisData!$D:$D, CO$6)</f>
        <v>3.1311703141941503E-2</v>
      </c>
      <c r="CP190" s="1111">
        <f>SUMIFS(NewEmisData!L:L, NewEmisData!$A:$A, $G190, NewEmisData!$B:$B, $A190, NewEmisData!$C:$C, $H190, NewEmisData!$D:$D, CP$6)</f>
        <v>3.1311701226839898E-2</v>
      </c>
      <c r="CQ190" s="1111">
        <f>SUMIFS(NewEmisData!M:M, NewEmisData!$A:$A, $G190, NewEmisData!$B:$B, $A190, NewEmisData!$C:$C, $H190, NewEmisData!$D:$D, CQ$6)</f>
        <v>3.1311724606097602E-2</v>
      </c>
      <c r="CR190" s="1111">
        <f t="shared" si="252"/>
        <v>3.1311724606097602E-2</v>
      </c>
      <c r="CS190" s="1111">
        <f t="shared" si="253"/>
        <v>4.2942881221194997E-3</v>
      </c>
      <c r="CT190" s="1111">
        <f>SUMIFS(NewEmisData!E:E, NewEmisData!$A:$A, $G190, NewEmisData!$B:$B, $A190, NewEmisData!$C:$C, $H190, NewEmisData!$D:$D, CT$6)</f>
        <v>4.2942881221194997E-3</v>
      </c>
      <c r="CU190" s="1111">
        <f>SUMIFS(NewEmisData!F:F, NewEmisData!$A:$A, $G190, NewEmisData!$B:$B, $A190, NewEmisData!$C:$C, $H190, NewEmisData!$D:$D, CU$6)</f>
        <v>4.52609306007902E-3</v>
      </c>
      <c r="CV190" s="1111">
        <f>SUMIFS(NewEmisData!G:G, NewEmisData!$A:$A, $G190, NewEmisData!$B:$B, $A190, NewEmisData!$C:$C, $H190, NewEmisData!$D:$D, CV$6)</f>
        <v>5.7549154829870204E-3</v>
      </c>
      <c r="CW190" s="1111">
        <f>SUMIFS(NewEmisData!H:H, NewEmisData!$A:$A, $G190, NewEmisData!$B:$B, $A190, NewEmisData!$C:$C, $H190, NewEmisData!$D:$D, CW$6)</f>
        <v>5.7792428030713902E-3</v>
      </c>
      <c r="CX190" s="1111">
        <f>SUMIFS(NewEmisData!I:I, NewEmisData!$A:$A, $G190, NewEmisData!$B:$B, $A190, NewEmisData!$C:$C, $H190, NewEmisData!$D:$D, CX$6)</f>
        <v>5.7801666189186297E-3</v>
      </c>
      <c r="CY190" s="1111">
        <f>SUMIFS(NewEmisData!J:J, NewEmisData!$A:$A, $G190, NewEmisData!$B:$B, $A190, NewEmisData!$C:$C, $H190, NewEmisData!$D:$D, CY$6)</f>
        <v>5.7687673444275804E-3</v>
      </c>
      <c r="CZ190" s="1111">
        <f>SUMIFS(NewEmisData!K:K, NewEmisData!$A:$A, $G190, NewEmisData!$B:$B, $A190, NewEmisData!$C:$C, $H190, NewEmisData!$D:$D, CZ$6)</f>
        <v>5.7598889247671798E-3</v>
      </c>
      <c r="DA190" s="1111">
        <f>SUMIFS(NewEmisData!L:L, NewEmisData!$A:$A, $G190, NewEmisData!$B:$B, $A190, NewEmisData!$C:$C, $H190, NewEmisData!$D:$D, DA$6)</f>
        <v>5.7567706696684201E-3</v>
      </c>
      <c r="DB190" s="1111">
        <f>SUMIFS(NewEmisData!M:M, NewEmisData!$A:$A, $G190, NewEmisData!$B:$B, $A190, NewEmisData!$C:$C, $H190, NewEmisData!$D:$D, DB$6)</f>
        <v>5.7544893575928197E-3</v>
      </c>
      <c r="DC190" s="1111">
        <f t="shared" si="254"/>
        <v>5.7544893575928197E-3</v>
      </c>
      <c r="DD190" s="1111"/>
      <c r="DE190" s="1111"/>
      <c r="DF190" s="1111"/>
      <c r="DG190" s="1111"/>
      <c r="DH190" s="1111"/>
      <c r="DI190" s="1111"/>
      <c r="DJ190" s="1111"/>
      <c r="DK190" s="1111"/>
      <c r="DL190" s="1111"/>
      <c r="DM190" s="1111"/>
      <c r="DN190" s="1111"/>
      <c r="DO190" s="1111"/>
      <c r="DP190" s="1111"/>
      <c r="DQ190" s="1111"/>
      <c r="DR190" s="1111"/>
      <c r="DS190" s="1111"/>
      <c r="DT190" s="1111"/>
      <c r="DU190" s="1111"/>
      <c r="DV190" s="1111"/>
      <c r="DW190" s="1111"/>
      <c r="DX190" s="1111"/>
      <c r="DY190" s="1111"/>
      <c r="DZ190" s="1111">
        <f t="shared" si="255"/>
        <v>3.1443183076475298E-2</v>
      </c>
      <c r="EA190" s="1111">
        <f>SUMIFS(NewEmisData!E:E, NewEmisData!$A:$A, $G190, NewEmisData!$B:$B, $A190, NewEmisData!$C:$C, $H190, NewEmisData!$D:$D, EA$6)</f>
        <v>3.1443183076475298E-2</v>
      </c>
      <c r="EB190" s="1111">
        <f>SUMIFS(NewEmisData!F:F, NewEmisData!$A:$A, $G190, NewEmisData!$B:$B, $A190, NewEmisData!$C:$C, $H190, NewEmisData!$D:$D, EB$6)</f>
        <v>9.3142408370314803E-2</v>
      </c>
      <c r="EC190" s="1111">
        <f>SUMIFS(NewEmisData!G:G, NewEmisData!$A:$A, $G190, NewEmisData!$B:$B, $A190, NewEmisData!$C:$C, $H190, NewEmisData!$D:$D, EC$6)</f>
        <v>0.12640906725248399</v>
      </c>
      <c r="ED190" s="1111">
        <f>SUMIFS(NewEmisData!H:H, NewEmisData!$A:$A, $G190, NewEmisData!$B:$B, $A190, NewEmisData!$C:$C, $H190, NewEmisData!$D:$D, ED$6)</f>
        <v>0.13167273257883699</v>
      </c>
      <c r="EE190" s="1111">
        <f>SUMIFS(NewEmisData!I:I, NewEmisData!$A:$A, $G190, NewEmisData!$B:$B, $A190, NewEmisData!$C:$C, $H190, NewEmisData!$D:$D, EE$6)</f>
        <v>0.133754957639485</v>
      </c>
      <c r="EF190" s="1111">
        <f>SUMIFS(NewEmisData!J:J, NewEmisData!$A:$A, $G190, NewEmisData!$B:$B, $A190, NewEmisData!$C:$C, $H190, NewEmisData!$D:$D, EF$6)</f>
        <v>0.13397825833520099</v>
      </c>
      <c r="EG190" s="1111">
        <f>SUMIFS(NewEmisData!K:K, NewEmisData!$A:$A, $G190, NewEmisData!$B:$B, $A190, NewEmisData!$C:$C, $H190, NewEmisData!$D:$D, EG$6)</f>
        <v>0.13422755831628899</v>
      </c>
      <c r="EH190" s="1111">
        <f>SUMIFS(NewEmisData!L:L, NewEmisData!$A:$A, $G190, NewEmisData!$B:$B, $A190, NewEmisData!$C:$C, $H190, NewEmisData!$D:$D, EH$6)</f>
        <v>0.134094847635195</v>
      </c>
      <c r="EI190" s="1111">
        <f>SUMIFS(NewEmisData!M:M, NewEmisData!$A:$A, $G190, NewEmisData!$B:$B, $A190, NewEmisData!$C:$C, $H190, NewEmisData!$D:$D, EI$6)</f>
        <v>0.13400465943828599</v>
      </c>
      <c r="EJ190" s="1111">
        <f t="shared" si="256"/>
        <v>0.13400465943828599</v>
      </c>
      <c r="EK190" s="1111">
        <f t="shared" si="257"/>
        <v>1336.71780257008</v>
      </c>
      <c r="EL190" s="1111">
        <f t="shared" si="269"/>
        <v>1336.71780257008</v>
      </c>
      <c r="EM190" s="1111">
        <f t="shared" si="270"/>
        <v>1334.1180611544301</v>
      </c>
      <c r="EN190" s="1111">
        <f t="shared" si="271"/>
        <v>1445.04089230315</v>
      </c>
      <c r="EO190" s="1111">
        <f t="shared" si="272"/>
        <v>1394.56782788027</v>
      </c>
      <c r="EP190" s="1111">
        <f t="shared" si="273"/>
        <v>1352.2640605745901</v>
      </c>
      <c r="EQ190" s="1111">
        <f t="shared" si="274"/>
        <v>1337.95858730856</v>
      </c>
      <c r="ER190" s="1111">
        <f t="shared" si="275"/>
        <v>1333.6808792868501</v>
      </c>
      <c r="ES190" s="1111">
        <f t="shared" si="276"/>
        <v>1332.71889531121</v>
      </c>
      <c r="ET190" s="1111">
        <f t="shared" si="277"/>
        <v>1332.4669517233399</v>
      </c>
      <c r="EU190" s="1111">
        <f t="shared" si="278"/>
        <v>1332.4669517233399</v>
      </c>
      <c r="EV190" s="1111">
        <f t="shared" si="258"/>
        <v>8.1159705197746597</v>
      </c>
      <c r="EW190" s="1111">
        <f t="shared" si="259"/>
        <v>8.1159705197746597</v>
      </c>
      <c r="EX190" s="1111">
        <f t="shared" si="260"/>
        <v>4.1902678747381499</v>
      </c>
      <c r="EY190" s="1111">
        <f t="shared" si="261"/>
        <v>2.9831671777909299</v>
      </c>
      <c r="EZ190" s="1111">
        <f t="shared" si="262"/>
        <v>1.79071707308598</v>
      </c>
      <c r="FA190" s="1111">
        <f t="shared" si="263"/>
        <v>1.29214834991715</v>
      </c>
      <c r="FB190" s="1111">
        <f t="shared" si="264"/>
        <v>1.1297597092685201</v>
      </c>
      <c r="FC190" s="1111">
        <f t="shared" si="265"/>
        <v>1.07869334628427</v>
      </c>
      <c r="FD190" s="1111">
        <f t="shared" si="266"/>
        <v>1.0710961293157399</v>
      </c>
      <c r="FE190" s="1111">
        <f t="shared" si="267"/>
        <v>1.06853485047457</v>
      </c>
      <c r="FF190" s="1111">
        <f t="shared" si="268"/>
        <v>1.06853485047457</v>
      </c>
      <c r="FG190" s="1111">
        <f t="shared" si="291"/>
        <v>3.2903787292919401E-2</v>
      </c>
      <c r="FH190" s="1111">
        <f t="shared" si="292"/>
        <v>3.2903787292919401E-2</v>
      </c>
      <c r="FI190" s="1111">
        <f t="shared" si="293"/>
        <v>3.1887226466035201E-2</v>
      </c>
      <c r="FJ190" s="1111">
        <f t="shared" si="294"/>
        <v>1.2151036280147199E-2</v>
      </c>
      <c r="FK190" s="1111">
        <f t="shared" si="295"/>
        <v>1.16575948327503E-2</v>
      </c>
      <c r="FL190" s="1111">
        <f t="shared" si="296"/>
        <v>1.12807608208042E-2</v>
      </c>
      <c r="FM190" s="1111">
        <f t="shared" si="297"/>
        <v>1.11563832836782E-2</v>
      </c>
      <c r="FN190" s="1111">
        <f t="shared" si="298"/>
        <v>1.11190596779358E-2</v>
      </c>
      <c r="FO190" s="1111">
        <f t="shared" si="299"/>
        <v>1.1111041090770501E-2</v>
      </c>
      <c r="FP190" s="1111">
        <f t="shared" si="300"/>
        <v>1.11089391742305E-2</v>
      </c>
      <c r="FQ190" s="1111">
        <f t="shared" si="301"/>
        <v>1.11089391742305E-2</v>
      </c>
      <c r="FR190" s="1111">
        <f t="shared" si="230"/>
        <v>0.75470063690720102</v>
      </c>
      <c r="FS190" s="1111">
        <f t="shared" si="231"/>
        <v>0.75470063690720102</v>
      </c>
      <c r="FT190" s="1111">
        <f t="shared" si="232"/>
        <v>0.41452815930639098</v>
      </c>
      <c r="FU190" s="1111">
        <f t="shared" si="233"/>
        <v>0.32175493237955199</v>
      </c>
      <c r="FV190" s="1111">
        <f t="shared" si="234"/>
        <v>0.25352921702854198</v>
      </c>
      <c r="FW190" s="1111">
        <f t="shared" si="235"/>
        <v>0.23028919647026699</v>
      </c>
      <c r="FX190" s="1111">
        <f t="shared" si="236"/>
        <v>0.22584791810744101</v>
      </c>
      <c r="FY190" s="1111">
        <f t="shared" si="237"/>
        <v>0.22452045938839199</v>
      </c>
      <c r="FZ190" s="1111">
        <f t="shared" si="238"/>
        <v>0.22450852256822901</v>
      </c>
      <c r="GA190" s="1111">
        <f t="shared" si="239"/>
        <v>0.22450708090135699</v>
      </c>
      <c r="GB190" s="1111">
        <f t="shared" si="240"/>
        <v>0.22450708090135699</v>
      </c>
      <c r="GC190" s="1111">
        <f t="shared" si="279"/>
        <v>0.55462986472983</v>
      </c>
      <c r="GD190" s="1111">
        <f t="shared" si="280"/>
        <v>0.55462986472983</v>
      </c>
      <c r="GE190" s="1111">
        <f t="shared" si="281"/>
        <v>0.24248413763726101</v>
      </c>
      <c r="GF190" s="1111">
        <f t="shared" si="282"/>
        <v>0.134184167736455</v>
      </c>
      <c r="GG190" s="1111">
        <f t="shared" si="283"/>
        <v>7.2197035661159606E-2</v>
      </c>
      <c r="GH190" s="1111">
        <f t="shared" si="284"/>
        <v>5.1049978127363498E-2</v>
      </c>
      <c r="GI190" s="1111">
        <f t="shared" si="285"/>
        <v>4.7030670986268203E-2</v>
      </c>
      <c r="GJ190" s="1111">
        <f t="shared" si="286"/>
        <v>4.5825605278403299E-2</v>
      </c>
      <c r="GK190" s="1111">
        <f t="shared" si="287"/>
        <v>4.58177973162801E-2</v>
      </c>
      <c r="GL190" s="1111">
        <f t="shared" si="288"/>
        <v>4.5816229295905703E-2</v>
      </c>
      <c r="GM190" s="1111">
        <f t="shared" si="289"/>
        <v>4.5816229295905703E-2</v>
      </c>
    </row>
    <row r="191" spans="1:195" x14ac:dyDescent="0.2">
      <c r="A191" s="1071" t="s">
        <v>182</v>
      </c>
      <c r="B191" s="1071" t="str">
        <f>Technologies!C121</f>
        <v>TMDSLADV</v>
      </c>
      <c r="C191" s="1071" t="str">
        <f>Technologies!D121</f>
        <v>Medium Duty Truck, Advanced Diesel</v>
      </c>
      <c r="D191" s="1071" t="str">
        <f>NewTech!D73</f>
        <v>bn-vmt, bn-vmt/a</v>
      </c>
      <c r="E191" s="1071" t="str">
        <f>NewTech!E74</f>
        <v>TMDSL</v>
      </c>
      <c r="F191" s="1071" t="str">
        <f>NewTech!F74</f>
        <v>TM</v>
      </c>
      <c r="G191" s="1110" t="s">
        <v>503</v>
      </c>
      <c r="H191" s="1110" t="s">
        <v>499</v>
      </c>
      <c r="I191" s="1112">
        <v>1</v>
      </c>
      <c r="J191" s="1111" t="str">
        <f t="shared" si="37"/>
        <v>Medium duty-DSL</v>
      </c>
      <c r="K191" s="1111">
        <f>SUMIFS(NewEmisData!E:E, NewEmisData!$A:$A, $G191, NewEmisData!$B:$B, $A191, NewEmisData!$C:$C, $H191, NewEmisData!$D:$D, K$6)</f>
        <v>1391.2693302299499</v>
      </c>
      <c r="L191" s="1111">
        <f>SUMIFS(NewEmisData!F:F, NewEmisData!$A:$A, $G191, NewEmisData!$B:$B, $A191, NewEmisData!$C:$C, $H191, NewEmisData!$D:$D, L$6)</f>
        <v>1387.81700695984</v>
      </c>
      <c r="M191" s="1111">
        <f>SUMIFS(NewEmisData!G:G, NewEmisData!$A:$A, $G191, NewEmisData!$B:$B, $A191, NewEmisData!$C:$C, $H191, NewEmisData!$D:$D, M$6)</f>
        <v>1800.2870719201501</v>
      </c>
      <c r="N191" s="1111">
        <f>SUMIFS(NewEmisData!H:H, NewEmisData!$A:$A, $G191, NewEmisData!$B:$B, $A191, NewEmisData!$C:$C, $H191, NewEmisData!$D:$D, N$6)</f>
        <v>1737.4132368119399</v>
      </c>
      <c r="O191" s="1111">
        <f>SUMIFS(NewEmisData!I:I, NewEmisData!$A:$A, $G191, NewEmisData!$B:$B, $A191, NewEmisData!$C:$C, $H191, NewEmisData!$D:$D, O$6)</f>
        <v>1684.8867050016099</v>
      </c>
      <c r="P191" s="1111">
        <f>SUMIFS(NewEmisData!J:J, NewEmisData!$A:$A, $G191, NewEmisData!$B:$B, $A191, NewEmisData!$C:$C, $H191, NewEmisData!$D:$D, P$6)</f>
        <v>1667.30888418872</v>
      </c>
      <c r="Q191" s="1111">
        <f>SUMIFS(NewEmisData!K:K, NewEmisData!$A:$A, $G191, NewEmisData!$B:$B, $A191, NewEmisData!$C:$C, $H191, NewEmisData!$D:$D, Q$6)</f>
        <v>1662.1204635085701</v>
      </c>
      <c r="R191" s="1111">
        <f>SUMIFS(NewEmisData!L:L, NewEmisData!$A:$A, $G191, NewEmisData!$B:$B, $A191, NewEmisData!$C:$C, $H191, NewEmisData!$D:$D, R$6)</f>
        <v>1660.97957279301</v>
      </c>
      <c r="S191" s="1111">
        <f>SUMIFS(NewEmisData!M:M, NewEmisData!$A:$A, $G191, NewEmisData!$B:$B, $A191, NewEmisData!$C:$C, $H191, NewEmisData!$D:$D, S$6)</f>
        <v>1660.69684286644</v>
      </c>
      <c r="T191" s="1111">
        <f t="shared" si="290"/>
        <v>1660.69684286644</v>
      </c>
      <c r="U191" s="1111">
        <f>SUMIFS(NewEmisData!E:E, NewEmisData!$A:$A, $G191, NewEmisData!$B:$B, $A191, NewEmisData!$C:$C, $H191, NewEmisData!$D:$D, U$6)</f>
        <v>9.0067562467577496</v>
      </c>
      <c r="V191" s="1111">
        <f>SUMIFS(NewEmisData!F:F, NewEmisData!$A:$A, $G191, NewEmisData!$B:$B, $A191, NewEmisData!$C:$C, $H191, NewEmisData!$D:$D, V$6)</f>
        <v>4.6343833495392097</v>
      </c>
      <c r="W191" s="1111">
        <f>SUMIFS(NewEmisData!G:G, NewEmisData!$A:$A, $G191, NewEmisData!$B:$B, $A191, NewEmisData!$C:$C, $H191, NewEmisData!$D:$D, W$6)</f>
        <v>3.60142958602064</v>
      </c>
      <c r="X191" s="1111">
        <f>SUMIFS(NewEmisData!H:H, NewEmisData!$A:$A, $G191, NewEmisData!$B:$B, $A191, NewEmisData!$C:$C, $H191, NewEmisData!$D:$D, X$6)</f>
        <v>2.1043869634005898</v>
      </c>
      <c r="Y191" s="1111">
        <f>SUMIFS(NewEmisData!I:I, NewEmisData!$A:$A, $G191, NewEmisData!$B:$B, $A191, NewEmisData!$C:$C, $H191, NewEmisData!$D:$D, Y$6)</f>
        <v>1.48367214909245</v>
      </c>
      <c r="Z191" s="1111">
        <f>SUMIFS(NewEmisData!J:J, NewEmisData!$A:$A, $G191, NewEmisData!$B:$B, $A191, NewEmisData!$C:$C, $H191, NewEmisData!$D:$D, Z$6)</f>
        <v>1.28531680721516</v>
      </c>
      <c r="AA191" s="1111">
        <f>SUMIFS(NewEmisData!K:K, NewEmisData!$A:$A, $G191, NewEmisData!$B:$B, $A191, NewEmisData!$C:$C, $H191, NewEmisData!$D:$D, AA$6)</f>
        <v>1.2244614015544699</v>
      </c>
      <c r="AB191" s="1111">
        <f>SUMIFS(NewEmisData!L:L, NewEmisData!$A:$A, $G191, NewEmisData!$B:$B, $A191, NewEmisData!$C:$C, $H191, NewEmisData!$D:$D, AB$6)</f>
        <v>1.2160626918277799</v>
      </c>
      <c r="AC191" s="1111">
        <f>SUMIFS(NewEmisData!M:M, NewEmisData!$A:$A, $G191, NewEmisData!$B:$B, $A191, NewEmisData!$C:$C, $H191, NewEmisData!$D:$D, AC$6)</f>
        <v>1.2135584327019699</v>
      </c>
      <c r="AD191" s="1111">
        <f t="shared" si="229"/>
        <v>1.2135584327019699</v>
      </c>
      <c r="AE191" s="1111">
        <f t="shared" si="241"/>
        <v>3.4517378580972299E-2</v>
      </c>
      <c r="AF191" s="1111">
        <f>SUMIFS(NewEmisData!E:E, NewEmisData!$A:$A, $G191, NewEmisData!$B:$B, $A191, NewEmisData!$C:$C, $H191, NewEmisData!$D:$D, AF$6)</f>
        <v>3.4517378580972299E-2</v>
      </c>
      <c r="AG191" s="1111">
        <f>SUMIFS(NewEmisData!F:F, NewEmisData!$A:$A, $G191, NewEmisData!$B:$B, $A191, NewEmisData!$C:$C, $H191, NewEmisData!$D:$D, AG$6)</f>
        <v>3.32138510088891E-2</v>
      </c>
      <c r="AH191" s="1111">
        <f>SUMIFS(NewEmisData!G:G, NewEmisData!$A:$A, $G191, NewEmisData!$B:$B, $A191, NewEmisData!$C:$C, $H191, NewEmisData!$D:$D, AH$6)</f>
        <v>1.51370239918269E-2</v>
      </c>
      <c r="AI191" s="1111">
        <f>SUMIFS(NewEmisData!H:H, NewEmisData!$A:$A, $G191, NewEmisData!$B:$B, $A191, NewEmisData!$C:$C, $H191, NewEmisData!$D:$D, AI$6)</f>
        <v>1.4522910664903899E-2</v>
      </c>
      <c r="AJ191" s="1111">
        <f>SUMIFS(NewEmisData!I:I, NewEmisData!$A:$A, $G191, NewEmisData!$B:$B, $A191, NewEmisData!$C:$C, $H191, NewEmisData!$D:$D, AJ$6)</f>
        <v>1.4055280493155501E-2</v>
      </c>
      <c r="AK191" s="1111">
        <f>SUMIFS(NewEmisData!J:J, NewEmisData!$A:$A, $G191, NewEmisData!$B:$B, $A191, NewEmisData!$C:$C, $H191, NewEmisData!$D:$D, AK$6)</f>
        <v>1.39025233464321E-2</v>
      </c>
      <c r="AL191" s="1111">
        <f>SUMIFS(NewEmisData!K:K, NewEmisData!$A:$A, $G191, NewEmisData!$B:$B, $A191, NewEmisData!$C:$C, $H191, NewEmisData!$D:$D, AL$6)</f>
        <v>1.3857298595630599E-2</v>
      </c>
      <c r="AM191" s="1111">
        <f>SUMIFS(NewEmisData!L:L, NewEmisData!$A:$A, $G191, NewEmisData!$B:$B, $A191, NewEmisData!$C:$C, $H191, NewEmisData!$D:$D, AM$6)</f>
        <v>1.3847788543629599E-2</v>
      </c>
      <c r="AN191" s="1111">
        <f>SUMIFS(NewEmisData!M:M, NewEmisData!$A:$A, $G191, NewEmisData!$B:$B, $A191, NewEmisData!$C:$C, $H191, NewEmisData!$D:$D, AN$6)</f>
        <v>1.38454338903831E-2</v>
      </c>
      <c r="AO191" s="1111">
        <f t="shared" si="242"/>
        <v>1.38454338903831E-2</v>
      </c>
      <c r="AP191" s="1111">
        <f t="shared" si="243"/>
        <v>0.88280589948548305</v>
      </c>
      <c r="AQ191" s="1111">
        <f>SUMIFS(NewEmisData!E:E, NewEmisData!$A:$A, $G191, NewEmisData!$B:$B, $A191, NewEmisData!$C:$C, $H191, NewEmisData!$D:$D, AQ$6)</f>
        <v>0.88280589948548305</v>
      </c>
      <c r="AR191" s="1111">
        <f>SUMIFS(NewEmisData!F:F, NewEmisData!$A:$A, $G191, NewEmisData!$B:$B, $A191, NewEmisData!$C:$C, $H191, NewEmisData!$D:$D, AR$6)</f>
        <v>0.45831592934321902</v>
      </c>
      <c r="AS191" s="1111">
        <f>SUMIFS(NewEmisData!G:G, NewEmisData!$A:$A, $G191, NewEmisData!$B:$B, $A191, NewEmisData!$C:$C, $H191, NewEmisData!$D:$D, AS$6)</f>
        <v>0.43734131963468098</v>
      </c>
      <c r="AT191" s="1111">
        <f>SUMIFS(NewEmisData!H:H, NewEmisData!$A:$A, $G191, NewEmisData!$B:$B, $A191, NewEmisData!$C:$C, $H191, NewEmisData!$D:$D, AT$6)</f>
        <v>0.34967637389988199</v>
      </c>
      <c r="AU191" s="1111">
        <f>SUMIFS(NewEmisData!I:I, NewEmisData!$A:$A, $G191, NewEmisData!$B:$B, $A191, NewEmisData!$C:$C, $H191, NewEmisData!$D:$D, AU$6)</f>
        <v>0.31983162808126298</v>
      </c>
      <c r="AV191" s="1111">
        <f>SUMIFS(NewEmisData!J:J, NewEmisData!$A:$A, $G191, NewEmisData!$B:$B, $A191, NewEmisData!$C:$C, $H191, NewEmisData!$D:$D, AV$6)</f>
        <v>0.31421718315917302</v>
      </c>
      <c r="AW191" s="1111">
        <f>SUMIFS(NewEmisData!K:K, NewEmisData!$A:$A, $G191, NewEmisData!$B:$B, $A191, NewEmisData!$C:$C, $H191, NewEmisData!$D:$D, AW$6)</f>
        <v>0.31256016773955603</v>
      </c>
      <c r="AX191" s="1111">
        <f>SUMIFS(NewEmisData!L:L, NewEmisData!$A:$A, $G191, NewEmisData!$B:$B, $A191, NewEmisData!$C:$C, $H191, NewEmisData!$D:$D, AX$6)</f>
        <v>0.31254542006524799</v>
      </c>
      <c r="AY191" s="1111">
        <f>SUMIFS(NewEmisData!M:M, NewEmisData!$A:$A, $G191, NewEmisData!$B:$B, $A191, NewEmisData!$C:$C, $H191, NewEmisData!$D:$D, AY$6)</f>
        <v>0.31254401073163601</v>
      </c>
      <c r="AZ191" s="1111">
        <f t="shared" si="244"/>
        <v>0.31254401073163601</v>
      </c>
      <c r="BA191" s="1111">
        <f t="shared" si="245"/>
        <v>0.66102414887226102</v>
      </c>
      <c r="BB191" s="1111">
        <f>SUMIFS(NewEmisData!E:E, NewEmisData!$A:$A, $G191, NewEmisData!$B:$B, $A191, NewEmisData!$C:$C, $H191, NewEmisData!$D:$D, BB$6)</f>
        <v>0.66102414887226102</v>
      </c>
      <c r="BC191" s="1111">
        <f>SUMIFS(NewEmisData!F:F, NewEmisData!$A:$A, $G191, NewEmisData!$B:$B, $A191, NewEmisData!$C:$C, $H191, NewEmisData!$D:$D, BC$6)</f>
        <v>0.27087694461251399</v>
      </c>
      <c r="BD191" s="1111">
        <f>SUMIFS(NewEmisData!G:G, NewEmisData!$A:$A, $G191, NewEmisData!$B:$B, $A191, NewEmisData!$C:$C, $H191, NewEmisData!$D:$D, BD$6)</f>
        <v>0.174468170082518</v>
      </c>
      <c r="BE191" s="1111">
        <f>SUMIFS(NewEmisData!H:H, NewEmisData!$A:$A, $G191, NewEmisData!$B:$B, $A191, NewEmisData!$C:$C, $H191, NewEmisData!$D:$D, BE$6)</f>
        <v>9.4926362989927404E-2</v>
      </c>
      <c r="BF191" s="1111">
        <f>SUMIFS(NewEmisData!I:I, NewEmisData!$A:$A, $G191, NewEmisData!$B:$B, $A191, NewEmisData!$C:$C, $H191, NewEmisData!$D:$D, BF$6)</f>
        <v>6.7801817056445293E-2</v>
      </c>
      <c r="BG191" s="1111">
        <f>SUMIFS(NewEmisData!J:J, NewEmisData!$A:$A, $G191, NewEmisData!$B:$B, $A191, NewEmisData!$C:$C, $H191, NewEmisData!$D:$D, BG$6)</f>
        <v>6.2731413619129706E-2</v>
      </c>
      <c r="BH191" s="1111">
        <f>SUMIFS(NewEmisData!K:K, NewEmisData!$A:$A, $G191, NewEmisData!$B:$B, $A191, NewEmisData!$C:$C, $H191, NewEmisData!$D:$D, BH$6)</f>
        <v>6.1230033876524703E-2</v>
      </c>
      <c r="BI191" s="1111">
        <f>SUMIFS(NewEmisData!L:L, NewEmisData!$A:$A, $G191, NewEmisData!$B:$B, $A191, NewEmisData!$C:$C, $H191, NewEmisData!$D:$D, BI$6)</f>
        <v>6.1220848871463299E-2</v>
      </c>
      <c r="BJ191" s="1111">
        <f>SUMIFS(NewEmisData!M:M, NewEmisData!$A:$A, $G191, NewEmisData!$B:$B, $A191, NewEmisData!$C:$C, $H191, NewEmisData!$D:$D, BJ$6)</f>
        <v>6.1219393619074997E-2</v>
      </c>
      <c r="BK191" s="1111">
        <f t="shared" si="246"/>
        <v>6.1219393619074997E-2</v>
      </c>
      <c r="BL191" s="1111">
        <f t="shared" si="247"/>
        <v>4.1982176614759501</v>
      </c>
      <c r="BM191" s="1111">
        <f>SUMIFS(NewEmisData!E:E, NewEmisData!$A:$A, $G191, NewEmisData!$B:$B, $A191, NewEmisData!$C:$C, $H191, NewEmisData!$D:$D, BM$6)</f>
        <v>4.1982176614759501</v>
      </c>
      <c r="BN191" s="1111">
        <f>SUMIFS(NewEmisData!F:F, NewEmisData!$A:$A, $G191, NewEmisData!$B:$B, $A191, NewEmisData!$C:$C, $H191, NewEmisData!$D:$D, BN$6)</f>
        <v>1.9296051000849399</v>
      </c>
      <c r="BO191" s="1111">
        <f>SUMIFS(NewEmisData!G:G, NewEmisData!$A:$A, $G191, NewEmisData!$B:$B, $A191, NewEmisData!$C:$C, $H191, NewEmisData!$D:$D, BO$6)</f>
        <v>1.40672397416939</v>
      </c>
      <c r="BP191" s="1111">
        <f>SUMIFS(NewEmisData!H:H, NewEmisData!$A:$A, $G191, NewEmisData!$B:$B, $A191, NewEmisData!$C:$C, $H191, NewEmisData!$D:$D, BP$6)</f>
        <v>0.88467467852096004</v>
      </c>
      <c r="BQ191" s="1111">
        <f>SUMIFS(NewEmisData!I:I, NewEmisData!$A:$A, $G191, NewEmisData!$B:$B, $A191, NewEmisData!$C:$C, $H191, NewEmisData!$D:$D, BQ$6)</f>
        <v>0.71808621559357599</v>
      </c>
      <c r="BR191" s="1111">
        <f>SUMIFS(NewEmisData!J:J, NewEmisData!$A:$A, $G191, NewEmisData!$B:$B, $A191, NewEmisData!$C:$C, $H191, NewEmisData!$D:$D, BR$6)</f>
        <v>0.67933532556158505</v>
      </c>
      <c r="BS191" s="1111">
        <f>SUMIFS(NewEmisData!K:K, NewEmisData!$A:$A, $G191, NewEmisData!$B:$B, $A191, NewEmisData!$C:$C, $H191, NewEmisData!$D:$D, BS$6)</f>
        <v>0.66869245935522403</v>
      </c>
      <c r="BT191" s="1111">
        <f>SUMIFS(NewEmisData!L:L, NewEmisData!$A:$A, $G191, NewEmisData!$B:$B, $A191, NewEmisData!$C:$C, $H191, NewEmisData!$D:$D, BT$6)</f>
        <v>0.66846478756515504</v>
      </c>
      <c r="BU191" s="1111">
        <f>SUMIFS(NewEmisData!M:M, NewEmisData!$A:$A, $G191, NewEmisData!$B:$B, $A191, NewEmisData!$C:$C, $H191, NewEmisData!$D:$D, BU$6)</f>
        <v>0.66834592579461805</v>
      </c>
      <c r="BV191" s="1111">
        <f t="shared" si="248"/>
        <v>0.66834592579461805</v>
      </c>
      <c r="BW191" s="1111">
        <f t="shared" si="249"/>
        <v>1.6997416060402699</v>
      </c>
      <c r="BX191" s="1111">
        <f>SUMIFS(NewEmisData!E:E, NewEmisData!$A:$A, $G191, NewEmisData!$B:$B, $A191, NewEmisData!$C:$C, $H191, NewEmisData!$D:$D, BX$6)</f>
        <v>1.6997416060402699</v>
      </c>
      <c r="BY191" s="1111">
        <f>SUMIFS(NewEmisData!F:F, NewEmisData!$A:$A, $G191, NewEmisData!$B:$B, $A191, NewEmisData!$C:$C, $H191, NewEmisData!$D:$D, BY$6)</f>
        <v>0.68631415040974197</v>
      </c>
      <c r="BZ191" s="1111">
        <f>SUMIFS(NewEmisData!G:G, NewEmisData!$A:$A, $G191, NewEmisData!$B:$B, $A191, NewEmisData!$C:$C, $H191, NewEmisData!$D:$D, BZ$6)</f>
        <v>0.48115827096559399</v>
      </c>
      <c r="CA191" s="1111">
        <f>SUMIFS(NewEmisData!H:H, NewEmisData!$A:$A, $G191, NewEmisData!$B:$B, $A191, NewEmisData!$C:$C, $H191, NewEmisData!$D:$D, CA$6)</f>
        <v>0.25065156408387401</v>
      </c>
      <c r="CB191" s="1111">
        <f>SUMIFS(NewEmisData!I:I, NewEmisData!$A:$A, $G191, NewEmisData!$B:$B, $A191, NewEmisData!$C:$C, $H191, NewEmisData!$D:$D, CB$6)</f>
        <v>0.17921885955178801</v>
      </c>
      <c r="CC191" s="1111">
        <f>SUMIFS(NewEmisData!J:J, NewEmisData!$A:$A, $G191, NewEmisData!$B:$B, $A191, NewEmisData!$C:$C, $H191, NewEmisData!$D:$D, CC$6)</f>
        <v>0.16195369632512899</v>
      </c>
      <c r="CD191" s="1111">
        <f>SUMIFS(NewEmisData!K:K, NewEmisData!$A:$A, $G191, NewEmisData!$B:$B, $A191, NewEmisData!$C:$C, $H191, NewEmisData!$D:$D, CD$6)</f>
        <v>0.15740433242174701</v>
      </c>
      <c r="CE191" s="1111">
        <f>SUMIFS(NewEmisData!L:L, NewEmisData!$A:$A, $G191, NewEmisData!$B:$B, $A191, NewEmisData!$C:$C, $H191, NewEmisData!$D:$D, CE$6)</f>
        <v>0.157307785457242</v>
      </c>
      <c r="CF191" s="1111">
        <f>SUMIFS(NewEmisData!M:M, NewEmisData!$A:$A, $G191, NewEmisData!$B:$B, $A191, NewEmisData!$C:$C, $H191, NewEmisData!$D:$D, CF$6)</f>
        <v>0.15725203081084399</v>
      </c>
      <c r="CG191" s="1111">
        <f t="shared" si="250"/>
        <v>0.15725203081084399</v>
      </c>
      <c r="CH191" s="1111">
        <f t="shared" si="251"/>
        <v>2.7231476481759501E-2</v>
      </c>
      <c r="CI191" s="1111">
        <f>SUMIFS(NewEmisData!E:E, NewEmisData!$A:$A, $G191, NewEmisData!$B:$B, $A191, NewEmisData!$C:$C, $H191, NewEmisData!$D:$D, CI$6)</f>
        <v>2.7231476481759501E-2</v>
      </c>
      <c r="CJ191" s="1111">
        <f>SUMIFS(NewEmisData!F:F, NewEmisData!$A:$A, $G191, NewEmisData!$B:$B, $A191, NewEmisData!$C:$C, $H191, NewEmisData!$D:$D, CJ$6)</f>
        <v>2.7231505502351299E-2</v>
      </c>
      <c r="CK191" s="1111">
        <f>SUMIFS(NewEmisData!G:G, NewEmisData!$A:$A, $G191, NewEmisData!$B:$B, $A191, NewEmisData!$C:$C, $H191, NewEmisData!$D:$D, CK$6)</f>
        <v>3.75087111104635E-2</v>
      </c>
      <c r="CL191" s="1111">
        <f>SUMIFS(NewEmisData!H:H, NewEmisData!$A:$A, $G191, NewEmisData!$B:$B, $A191, NewEmisData!$C:$C, $H191, NewEmisData!$D:$D, CL$6)</f>
        <v>3.7508856064657703E-2</v>
      </c>
      <c r="CM191" s="1111">
        <f>SUMIFS(NewEmisData!I:I, NewEmisData!$A:$A, $G191, NewEmisData!$B:$B, $A191, NewEmisData!$C:$C, $H191, NewEmisData!$D:$D, CM$6)</f>
        <v>3.7508894115090098E-2</v>
      </c>
      <c r="CN191" s="1111">
        <f>SUMIFS(NewEmisData!J:J, NewEmisData!$A:$A, $G191, NewEmisData!$B:$B, $A191, NewEmisData!$C:$C, $H191, NewEmisData!$D:$D, CN$6)</f>
        <v>3.75089026268779E-2</v>
      </c>
      <c r="CO191" s="1111">
        <f>SUMIFS(NewEmisData!K:K, NewEmisData!$A:$A, $G191, NewEmisData!$B:$B, $A191, NewEmisData!$C:$C, $H191, NewEmisData!$D:$D, CO$6)</f>
        <v>3.7508908078082499E-2</v>
      </c>
      <c r="CP191" s="1111">
        <f>SUMIFS(NewEmisData!L:L, NewEmisData!$A:$A, $G191, NewEmisData!$B:$B, $A191, NewEmisData!$C:$C, $H191, NewEmisData!$D:$D, CP$6)</f>
        <v>3.7508933890185198E-2</v>
      </c>
      <c r="CQ191" s="1111">
        <f>SUMIFS(NewEmisData!M:M, NewEmisData!$A:$A, $G191, NewEmisData!$B:$B, $A191, NewEmisData!$C:$C, $H191, NewEmisData!$D:$D, CQ$6)</f>
        <v>3.7508933881412299E-2</v>
      </c>
      <c r="CR191" s="1111">
        <f t="shared" si="252"/>
        <v>3.7508933881412299E-2</v>
      </c>
      <c r="CS191" s="1111">
        <f t="shared" si="253"/>
        <v>4.4439718651325903E-3</v>
      </c>
      <c r="CT191" s="1111">
        <f>SUMIFS(NewEmisData!E:E, NewEmisData!$A:$A, $G191, NewEmisData!$B:$B, $A191, NewEmisData!$C:$C, $H191, NewEmisData!$D:$D, CT$6)</f>
        <v>4.4439718651325903E-3</v>
      </c>
      <c r="CU191" s="1111">
        <f>SUMIFS(NewEmisData!F:F, NewEmisData!$A:$A, $G191, NewEmisData!$B:$B, $A191, NewEmisData!$C:$C, $H191, NewEmisData!$D:$D, CU$6)</f>
        <v>4.4840826707910003E-3</v>
      </c>
      <c r="CV191" s="1111">
        <f>SUMIFS(NewEmisData!G:G, NewEmisData!$A:$A, $G191, NewEmisData!$B:$B, $A191, NewEmisData!$C:$C, $H191, NewEmisData!$D:$D, CV$6)</f>
        <v>7.1142816082060099E-3</v>
      </c>
      <c r="CW191" s="1111">
        <f>SUMIFS(NewEmisData!H:H, NewEmisData!$A:$A, $G191, NewEmisData!$B:$B, $A191, NewEmisData!$C:$C, $H191, NewEmisData!$D:$D, CW$6)</f>
        <v>7.1281607170090603E-3</v>
      </c>
      <c r="CX191" s="1111">
        <f>SUMIFS(NewEmisData!I:I, NewEmisData!$A:$A, $G191, NewEmisData!$B:$B, $A191, NewEmisData!$C:$C, $H191, NewEmisData!$D:$D, CX$6)</f>
        <v>7.1288471049868697E-3</v>
      </c>
      <c r="CY191" s="1111">
        <f>SUMIFS(NewEmisData!J:J, NewEmisData!$A:$A, $G191, NewEmisData!$B:$B, $A191, NewEmisData!$C:$C, $H191, NewEmisData!$D:$D, CY$6)</f>
        <v>7.1224443338730398E-3</v>
      </c>
      <c r="CZ191" s="1111">
        <f>SUMIFS(NewEmisData!K:K, NewEmisData!$A:$A, $G191, NewEmisData!$B:$B, $A191, NewEmisData!$C:$C, $H191, NewEmisData!$D:$D, CZ$6)</f>
        <v>7.1174224218484104E-3</v>
      </c>
      <c r="DA191" s="1111">
        <f>SUMIFS(NewEmisData!L:L, NewEmisData!$A:$A, $G191, NewEmisData!$B:$B, $A191, NewEmisData!$C:$C, $H191, NewEmisData!$D:$D, DA$6)</f>
        <v>7.1156639835745503E-3</v>
      </c>
      <c r="DB191" s="1111">
        <f>SUMIFS(NewEmisData!M:M, NewEmisData!$A:$A, $G191, NewEmisData!$B:$B, $A191, NewEmisData!$C:$C, $H191, NewEmisData!$D:$D, DB$6)</f>
        <v>7.1143751431365504E-3</v>
      </c>
      <c r="DC191" s="1111">
        <f t="shared" si="254"/>
        <v>7.1143751431365504E-3</v>
      </c>
      <c r="DD191" s="1111">
        <v>0.27590359730377301</v>
      </c>
      <c r="DE191" s="1111">
        <v>0.16653461328025448</v>
      </c>
      <c r="DF191" s="1111">
        <v>7.0634013441740542E-2</v>
      </c>
      <c r="DG191" s="1111">
        <v>1.3465185741622277E-2</v>
      </c>
      <c r="DH191" s="1111">
        <v>1.3335902123626415E-3</v>
      </c>
      <c r="DI191" s="1111">
        <v>1.3333236123730993E-3</v>
      </c>
      <c r="DJ191" s="1111">
        <v>1.3411440493973604E-3</v>
      </c>
      <c r="DK191" s="1111">
        <v>1.346119573497251E-3</v>
      </c>
      <c r="DL191" s="1111">
        <v>1.34972147341348E-3</v>
      </c>
      <c r="DM191" s="1111">
        <v>1.3526876874025272E-3</v>
      </c>
      <c r="DN191" s="1111">
        <v>1.3526876874025272E-3</v>
      </c>
      <c r="DO191" s="1111">
        <v>0.25015732774214966</v>
      </c>
      <c r="DP191" s="1111">
        <v>0.16091587537237781</v>
      </c>
      <c r="DQ191" s="1111">
        <v>6.8950819100028288E-2</v>
      </c>
      <c r="DR191" s="1111">
        <v>1.3786722456098304E-2</v>
      </c>
      <c r="DS191" s="1111">
        <v>2.3415945439152265E-3</v>
      </c>
      <c r="DT191" s="1111">
        <v>2.3424752868533771E-3</v>
      </c>
      <c r="DU191" s="1111">
        <v>2.3572496284837057E-3</v>
      </c>
      <c r="DV191" s="1111">
        <v>2.366615384585016E-3</v>
      </c>
      <c r="DW191" s="1111">
        <v>2.3732649800659884E-3</v>
      </c>
      <c r="DX191" s="1111">
        <v>2.3787745892213E-3</v>
      </c>
      <c r="DY191" s="1111">
        <v>2.3787745892213E-3</v>
      </c>
      <c r="DZ191" s="1111">
        <f t="shared" si="255"/>
        <v>2.2941775537169001E-2</v>
      </c>
      <c r="EA191" s="1111">
        <f>SUMIFS(NewEmisData!E:E, NewEmisData!$A:$A, $G191, NewEmisData!$B:$B, $A191, NewEmisData!$C:$C, $H191, NewEmisData!$D:$D, EA$6)</f>
        <v>2.2941775537169001E-2</v>
      </c>
      <c r="EB191" s="1111">
        <f>SUMIFS(NewEmisData!F:F, NewEmisData!$A:$A, $G191, NewEmisData!$B:$B, $A191, NewEmisData!$C:$C, $H191, NewEmisData!$D:$D, EB$6)</f>
        <v>9.3917723641563006E-2</v>
      </c>
      <c r="EC191" s="1111">
        <f>SUMIFS(NewEmisData!G:G, NewEmisData!$A:$A, $G191, NewEmisData!$B:$B, $A191, NewEmisData!$C:$C, $H191, NewEmisData!$D:$D, EC$6)</f>
        <v>0.146461478377578</v>
      </c>
      <c r="ED191" s="1111">
        <f>SUMIFS(NewEmisData!H:H, NewEmisData!$A:$A, $G191, NewEmisData!$B:$B, $A191, NewEmisData!$C:$C, $H191, NewEmisData!$D:$D, ED$6)</f>
        <v>0.14857043025063399</v>
      </c>
      <c r="EE191" s="1111">
        <f>SUMIFS(NewEmisData!I:I, NewEmisData!$A:$A, $G191, NewEmisData!$B:$B, $A191, NewEmisData!$C:$C, $H191, NewEmisData!$D:$D, EE$6)</f>
        <v>0.14921098409112099</v>
      </c>
      <c r="EF191" s="1111">
        <f>SUMIFS(NewEmisData!J:J, NewEmisData!$A:$A, $G191, NewEmisData!$B:$B, $A191, NewEmisData!$C:$C, $H191, NewEmisData!$D:$D, EF$6)</f>
        <v>0.14903391288637999</v>
      </c>
      <c r="EG191" s="1111">
        <f>SUMIFS(NewEmisData!K:K, NewEmisData!$A:$A, $G191, NewEmisData!$B:$B, $A191, NewEmisData!$C:$C, $H191, NewEmisData!$D:$D, EG$6)</f>
        <v>0.149096656781327</v>
      </c>
      <c r="EH191" s="1111">
        <f>SUMIFS(NewEmisData!L:L, NewEmisData!$A:$A, $G191, NewEmisData!$B:$B, $A191, NewEmisData!$C:$C, $H191, NewEmisData!$D:$D, EH$6)</f>
        <v>0.14900669844887601</v>
      </c>
      <c r="EI191" s="1111">
        <f>SUMIFS(NewEmisData!M:M, NewEmisData!$A:$A, $G191, NewEmisData!$B:$B, $A191, NewEmisData!$C:$C, $H191, NewEmisData!$D:$D, EI$6)</f>
        <v>0.14895012544389</v>
      </c>
      <c r="EJ191" s="1111">
        <f t="shared" si="256"/>
        <v>0.14895012544389</v>
      </c>
      <c r="EK191" s="1111">
        <f t="shared" si="257"/>
        <v>1391.2693302299499</v>
      </c>
      <c r="EL191" s="1111">
        <f t="shared" si="269"/>
        <v>1391.2693302299499</v>
      </c>
      <c r="EM191" s="1111">
        <f t="shared" si="270"/>
        <v>1387.81700695984</v>
      </c>
      <c r="EN191" s="1111">
        <f t="shared" si="271"/>
        <v>1800.2870719201501</v>
      </c>
      <c r="EO191" s="1111">
        <f t="shared" si="272"/>
        <v>1737.4132368119399</v>
      </c>
      <c r="EP191" s="1111">
        <f t="shared" si="273"/>
        <v>1684.8867050016099</v>
      </c>
      <c r="EQ191" s="1111">
        <f t="shared" si="274"/>
        <v>1667.30888418872</v>
      </c>
      <c r="ER191" s="1111">
        <f t="shared" si="275"/>
        <v>1662.1204635085701</v>
      </c>
      <c r="ES191" s="1111">
        <f t="shared" si="276"/>
        <v>1660.97957279301</v>
      </c>
      <c r="ET191" s="1111">
        <f t="shared" si="277"/>
        <v>1660.69684286644</v>
      </c>
      <c r="EU191" s="1111">
        <f t="shared" si="278"/>
        <v>1660.69684286644</v>
      </c>
      <c r="EV191" s="1111">
        <f t="shared" si="258"/>
        <v>9.0067562467577496</v>
      </c>
      <c r="EW191" s="1111">
        <f t="shared" si="259"/>
        <v>9.0067562467577496</v>
      </c>
      <c r="EX191" s="1111">
        <f t="shared" si="260"/>
        <v>4.6343833495392097</v>
      </c>
      <c r="EY191" s="1111">
        <f t="shared" si="261"/>
        <v>3.60142958602064</v>
      </c>
      <c r="EZ191" s="1111">
        <f t="shared" si="262"/>
        <v>2.1043869634005898</v>
      </c>
      <c r="FA191" s="1111">
        <f t="shared" si="263"/>
        <v>1.48367214909245</v>
      </c>
      <c r="FB191" s="1111">
        <f t="shared" si="264"/>
        <v>1.28531680721516</v>
      </c>
      <c r="FC191" s="1111">
        <f t="shared" si="265"/>
        <v>1.2244614015544699</v>
      </c>
      <c r="FD191" s="1111">
        <f t="shared" si="266"/>
        <v>1.2160626918277799</v>
      </c>
      <c r="FE191" s="1111">
        <f t="shared" si="267"/>
        <v>1.2135584327019699</v>
      </c>
      <c r="FF191" s="1111">
        <f t="shared" si="268"/>
        <v>1.2135584327019699</v>
      </c>
      <c r="FG191" s="1111">
        <f t="shared" si="291"/>
        <v>3.4517378580972299E-2</v>
      </c>
      <c r="FH191" s="1111">
        <f t="shared" si="292"/>
        <v>3.4517378580972299E-2</v>
      </c>
      <c r="FI191" s="1111">
        <f t="shared" si="293"/>
        <v>3.32138510088891E-2</v>
      </c>
      <c r="FJ191" s="1111">
        <f t="shared" si="294"/>
        <v>1.51370239918269E-2</v>
      </c>
      <c r="FK191" s="1111">
        <f t="shared" si="295"/>
        <v>1.4522910664903899E-2</v>
      </c>
      <c r="FL191" s="1111">
        <f t="shared" si="296"/>
        <v>1.4055280493155501E-2</v>
      </c>
      <c r="FM191" s="1111">
        <f t="shared" si="297"/>
        <v>1.39025233464321E-2</v>
      </c>
      <c r="FN191" s="1111">
        <f t="shared" si="298"/>
        <v>1.3857298595630599E-2</v>
      </c>
      <c r="FO191" s="1111">
        <f t="shared" si="299"/>
        <v>1.3847788543629599E-2</v>
      </c>
      <c r="FP191" s="1111">
        <f t="shared" si="300"/>
        <v>1.38454338903831E-2</v>
      </c>
      <c r="FQ191" s="1111">
        <f t="shared" si="301"/>
        <v>1.38454338903831E-2</v>
      </c>
      <c r="FR191" s="1111">
        <f t="shared" si="230"/>
        <v>0.88280589948548305</v>
      </c>
      <c r="FS191" s="1111">
        <f t="shared" si="231"/>
        <v>0.88280589948548305</v>
      </c>
      <c r="FT191" s="1111">
        <f t="shared" si="232"/>
        <v>0.45831592934321902</v>
      </c>
      <c r="FU191" s="1111">
        <f t="shared" si="233"/>
        <v>0.43734131963468098</v>
      </c>
      <c r="FV191" s="1111">
        <f t="shared" si="234"/>
        <v>0.34967637389988199</v>
      </c>
      <c r="FW191" s="1111">
        <f t="shared" si="235"/>
        <v>0.31983162808126298</v>
      </c>
      <c r="FX191" s="1111">
        <f t="shared" si="236"/>
        <v>0.31421718315917302</v>
      </c>
      <c r="FY191" s="1111">
        <f t="shared" si="237"/>
        <v>0.31256016773955603</v>
      </c>
      <c r="FZ191" s="1111">
        <f t="shared" si="238"/>
        <v>0.31254542006524799</v>
      </c>
      <c r="GA191" s="1111">
        <f t="shared" si="239"/>
        <v>0.31254401073163601</v>
      </c>
      <c r="GB191" s="1111">
        <f t="shared" si="240"/>
        <v>0.31254401073163601</v>
      </c>
      <c r="GC191" s="1111">
        <f t="shared" si="279"/>
        <v>0.66102414887226102</v>
      </c>
      <c r="GD191" s="1111">
        <f t="shared" si="280"/>
        <v>0.66102414887226102</v>
      </c>
      <c r="GE191" s="1111">
        <f t="shared" si="281"/>
        <v>0.27087694461251399</v>
      </c>
      <c r="GF191" s="1111">
        <f t="shared" si="282"/>
        <v>0.174468170082518</v>
      </c>
      <c r="GG191" s="1111">
        <f t="shared" si="283"/>
        <v>9.4926362989927404E-2</v>
      </c>
      <c r="GH191" s="1111">
        <f t="shared" si="284"/>
        <v>6.7801817056445293E-2</v>
      </c>
      <c r="GI191" s="1111">
        <f t="shared" si="285"/>
        <v>6.2731413619129706E-2</v>
      </c>
      <c r="GJ191" s="1111">
        <f t="shared" si="286"/>
        <v>6.1230033876524703E-2</v>
      </c>
      <c r="GK191" s="1111">
        <f t="shared" si="287"/>
        <v>6.1220848871463299E-2</v>
      </c>
      <c r="GL191" s="1111">
        <f t="shared" si="288"/>
        <v>6.1219393619074997E-2</v>
      </c>
      <c r="GM191" s="1111">
        <f t="shared" si="289"/>
        <v>6.1219393619074997E-2</v>
      </c>
    </row>
    <row r="192" spans="1:195" x14ac:dyDescent="0.2">
      <c r="A192" s="1071" t="s">
        <v>184</v>
      </c>
      <c r="B192" s="1071" t="str">
        <f>Technologies!C121</f>
        <v>TMDSLADV</v>
      </c>
      <c r="C192" s="1071" t="str">
        <f>Technologies!D121</f>
        <v>Medium Duty Truck, Advanced Diesel</v>
      </c>
      <c r="D192" s="1071" t="str">
        <f>NewTech!D73</f>
        <v>bn-vmt, bn-vmt/a</v>
      </c>
      <c r="E192" s="1071" t="str">
        <f>NewTech!E74</f>
        <v>TMDSL</v>
      </c>
      <c r="F192" s="1071" t="str">
        <f>NewTech!F74</f>
        <v>TM</v>
      </c>
      <c r="G192" s="1110" t="s">
        <v>503</v>
      </c>
      <c r="H192" s="1110" t="s">
        <v>499</v>
      </c>
      <c r="I192" s="1112">
        <v>1</v>
      </c>
      <c r="J192" s="1111" t="str">
        <f t="shared" si="37"/>
        <v>Medium duty-DSL</v>
      </c>
      <c r="K192" s="1111">
        <f>SUMIFS(NewEmisData!E:E, NewEmisData!$A:$A, $G192, NewEmisData!$B:$B, $A192, NewEmisData!$C:$C, $H192, NewEmisData!$D:$D, K$6)</f>
        <v>1227.122531812</v>
      </c>
      <c r="L192" s="1111">
        <f>SUMIFS(NewEmisData!F:F, NewEmisData!$A:$A, $G192, NewEmisData!$B:$B, $A192, NewEmisData!$C:$C, $H192, NewEmisData!$D:$D, L$6)</f>
        <v>1223.38293869125</v>
      </c>
      <c r="M192" s="1111">
        <f>SUMIFS(NewEmisData!G:G, NewEmisData!$A:$A, $G192, NewEmisData!$B:$B, $A192, NewEmisData!$C:$C, $H192, NewEmisData!$D:$D, M$6)</f>
        <v>1491.9167744443</v>
      </c>
      <c r="N192" s="1111">
        <f>SUMIFS(NewEmisData!H:H, NewEmisData!$A:$A, $G192, NewEmisData!$B:$B, $A192, NewEmisData!$C:$C, $H192, NewEmisData!$D:$D, N$6)</f>
        <v>1439.6290263866099</v>
      </c>
      <c r="O192" s="1111">
        <f>SUMIFS(NewEmisData!I:I, NewEmisData!$A:$A, $G192, NewEmisData!$B:$B, $A192, NewEmisData!$C:$C, $H192, NewEmisData!$D:$D, O$6)</f>
        <v>1396.0303655681701</v>
      </c>
      <c r="P192" s="1111">
        <f>SUMIFS(NewEmisData!J:J, NewEmisData!$A:$A, $G192, NewEmisData!$B:$B, $A192, NewEmisData!$C:$C, $H192, NewEmisData!$D:$D, P$6)</f>
        <v>1381.4572061837</v>
      </c>
      <c r="Q192" s="1111">
        <f>SUMIFS(NewEmisData!K:K, NewEmisData!$A:$A, $G192, NewEmisData!$B:$B, $A192, NewEmisData!$C:$C, $H192, NewEmisData!$D:$D, Q$6)</f>
        <v>1377.1647221724299</v>
      </c>
      <c r="R192" s="1111">
        <f>SUMIFS(NewEmisData!L:L, NewEmisData!$A:$A, $G192, NewEmisData!$B:$B, $A192, NewEmisData!$C:$C, $H192, NewEmisData!$D:$D, R$6)</f>
        <v>1376.2239115392599</v>
      </c>
      <c r="S192" s="1111">
        <f>SUMIFS(NewEmisData!M:M, NewEmisData!$A:$A, $G192, NewEmisData!$B:$B, $A192, NewEmisData!$C:$C, $H192, NewEmisData!$D:$D, S$6)</f>
        <v>1375.99238621115</v>
      </c>
      <c r="T192" s="1111">
        <f t="shared" si="290"/>
        <v>1375.99238621115</v>
      </c>
      <c r="U192" s="1111">
        <f>SUMIFS(NewEmisData!E:E, NewEmisData!$A:$A, $G192, NewEmisData!$B:$B, $A192, NewEmisData!$C:$C, $H192, NewEmisData!$D:$D, U$6)</f>
        <v>8.0193608379791392</v>
      </c>
      <c r="V192" s="1111">
        <f>SUMIFS(NewEmisData!F:F, NewEmisData!$A:$A, $G192, NewEmisData!$B:$B, $A192, NewEmisData!$C:$C, $H192, NewEmisData!$D:$D, V$6)</f>
        <v>4.1543590563126003</v>
      </c>
      <c r="W192" s="1111">
        <f>SUMIFS(NewEmisData!G:G, NewEmisData!$A:$A, $G192, NewEmisData!$B:$B, $A192, NewEmisData!$C:$C, $H192, NewEmisData!$D:$D, W$6)</f>
        <v>2.98133312137844</v>
      </c>
      <c r="X192" s="1111">
        <f>SUMIFS(NewEmisData!H:H, NewEmisData!$A:$A, $G192, NewEmisData!$B:$B, $A192, NewEmisData!$C:$C, $H192, NewEmisData!$D:$D, X$6)</f>
        <v>1.7381068783510201</v>
      </c>
      <c r="Y192" s="1111">
        <f>SUMIFS(NewEmisData!I:I, NewEmisData!$A:$A, $G192, NewEmisData!$B:$B, $A192, NewEmisData!$C:$C, $H192, NewEmisData!$D:$D, Y$6)</f>
        <v>1.2226706736775499</v>
      </c>
      <c r="Z192" s="1111">
        <f>SUMIFS(NewEmisData!J:J, NewEmisData!$A:$A, $G192, NewEmisData!$B:$B, $A192, NewEmisData!$C:$C, $H192, NewEmisData!$D:$D, Z$6)</f>
        <v>1.0580964689305701</v>
      </c>
      <c r="AA192" s="1111">
        <f>SUMIFS(NewEmisData!K:K, NewEmisData!$A:$A, $G192, NewEmisData!$B:$B, $A192, NewEmisData!$C:$C, $H192, NewEmisData!$D:$D, AA$6)</f>
        <v>1.00772008015349</v>
      </c>
      <c r="AB192" s="1111">
        <f>SUMIFS(NewEmisData!L:L, NewEmisData!$A:$A, $G192, NewEmisData!$B:$B, $A192, NewEmisData!$C:$C, $H192, NewEmisData!$D:$D, AB$6)</f>
        <v>1.0008292130083001</v>
      </c>
      <c r="AC192" s="1111">
        <f>SUMIFS(NewEmisData!M:M, NewEmisData!$A:$A, $G192, NewEmisData!$B:$B, $A192, NewEmisData!$C:$C, $H192, NewEmisData!$D:$D, AC$6)</f>
        <v>0.99880738384490098</v>
      </c>
      <c r="AD192" s="1111">
        <f t="shared" si="229"/>
        <v>0.99880738384490098</v>
      </c>
      <c r="AE192" s="1111">
        <f t="shared" si="241"/>
        <v>3.0399158238526399E-2</v>
      </c>
      <c r="AF192" s="1111">
        <f>SUMIFS(NewEmisData!E:E, NewEmisData!$A:$A, $G192, NewEmisData!$B:$B, $A192, NewEmisData!$C:$C, $H192, NewEmisData!$D:$D, AF$6)</f>
        <v>3.0399158238526399E-2</v>
      </c>
      <c r="AG192" s="1111">
        <f>SUMIFS(NewEmisData!F:F, NewEmisData!$A:$A, $G192, NewEmisData!$B:$B, $A192, NewEmisData!$C:$C, $H192, NewEmisData!$D:$D, AG$6)</f>
        <v>2.9335551037600001E-2</v>
      </c>
      <c r="AH192" s="1111">
        <f>SUMIFS(NewEmisData!G:G, NewEmisData!$A:$A, $G192, NewEmisData!$B:$B, $A192, NewEmisData!$C:$C, $H192, NewEmisData!$D:$D, AH$6)</f>
        <v>1.25441414050069E-2</v>
      </c>
      <c r="AI192" s="1111">
        <f>SUMIFS(NewEmisData!H:H, NewEmisData!$A:$A, $G192, NewEmisData!$B:$B, $A192, NewEmisData!$C:$C, $H192, NewEmisData!$D:$D, AI$6)</f>
        <v>1.2033715661617201E-2</v>
      </c>
      <c r="AJ192" s="1111">
        <f>SUMIFS(NewEmisData!I:I, NewEmisData!$A:$A, $G192, NewEmisData!$B:$B, $A192, NewEmisData!$C:$C, $H192, NewEmisData!$D:$D, AJ$6)</f>
        <v>1.1645627611560599E-2</v>
      </c>
      <c r="AK192" s="1111">
        <f>SUMIFS(NewEmisData!J:J, NewEmisData!$A:$A, $G192, NewEmisData!$B:$B, $A192, NewEmisData!$C:$C, $H192, NewEmisData!$D:$D, AK$6)</f>
        <v>1.15189928592382E-2</v>
      </c>
      <c r="AL192" s="1111">
        <f>SUMIFS(NewEmisData!K:K, NewEmisData!$A:$A, $G192, NewEmisData!$B:$B, $A192, NewEmisData!$C:$C, $H192, NewEmisData!$D:$D, AL$6)</f>
        <v>1.1481583994978299E-2</v>
      </c>
      <c r="AM192" s="1111">
        <f>SUMIFS(NewEmisData!L:L, NewEmisData!$A:$A, $G192, NewEmisData!$B:$B, $A192, NewEmisData!$C:$C, $H192, NewEmisData!$D:$D, AM$6)</f>
        <v>1.1473738052833899E-2</v>
      </c>
      <c r="AN192" s="1111">
        <f>SUMIFS(NewEmisData!M:M, NewEmisData!$A:$A, $G192, NewEmisData!$B:$B, $A192, NewEmisData!$C:$C, $H192, NewEmisData!$D:$D, AN$6)</f>
        <v>1.14718141652436E-2</v>
      </c>
      <c r="AO192" s="1111">
        <f t="shared" si="242"/>
        <v>1.14718141652436E-2</v>
      </c>
      <c r="AP192" s="1111">
        <f t="shared" si="243"/>
        <v>0.75675018821525997</v>
      </c>
      <c r="AQ192" s="1111">
        <f>SUMIFS(NewEmisData!E:E, NewEmisData!$A:$A, $G192, NewEmisData!$B:$B, $A192, NewEmisData!$C:$C, $H192, NewEmisData!$D:$D, AQ$6)</f>
        <v>0.75675018821525997</v>
      </c>
      <c r="AR192" s="1111">
        <f>SUMIFS(NewEmisData!F:F, NewEmisData!$A:$A, $G192, NewEmisData!$B:$B, $A192, NewEmisData!$C:$C, $H192, NewEmisData!$D:$D, AR$6)</f>
        <v>0.40133452537918501</v>
      </c>
      <c r="AS192" s="1111">
        <f>SUMIFS(NewEmisData!G:G, NewEmisData!$A:$A, $G192, NewEmisData!$B:$B, $A192, NewEmisData!$C:$C, $H192, NewEmisData!$D:$D, AS$6)</f>
        <v>0.33506910840269499</v>
      </c>
      <c r="AT192" s="1111">
        <f>SUMIFS(NewEmisData!H:H, NewEmisData!$A:$A, $G192, NewEmisData!$B:$B, $A192, NewEmisData!$C:$C, $H192, NewEmisData!$D:$D, AT$6)</f>
        <v>0.263570196116162</v>
      </c>
      <c r="AU192" s="1111">
        <f>SUMIFS(NewEmisData!I:I, NewEmisData!$A:$A, $G192, NewEmisData!$B:$B, $A192, NewEmisData!$C:$C, $H192, NewEmisData!$D:$D, AU$6)</f>
        <v>0.239317173689682</v>
      </c>
      <c r="AV192" s="1111">
        <f>SUMIFS(NewEmisData!J:J, NewEmisData!$A:$A, $G192, NewEmisData!$B:$B, $A192, NewEmisData!$C:$C, $H192, NewEmisData!$D:$D, AV$6)</f>
        <v>0.23470430578816801</v>
      </c>
      <c r="AW192" s="1111">
        <f>SUMIFS(NewEmisData!K:K, NewEmisData!$A:$A, $G192, NewEmisData!$B:$B, $A192, NewEmisData!$C:$C, $H192, NewEmisData!$D:$D, AW$6)</f>
        <v>0.23334423625159001</v>
      </c>
      <c r="AX192" s="1111">
        <f>SUMIFS(NewEmisData!L:L, NewEmisData!$A:$A, $G192, NewEmisData!$B:$B, $A192, NewEmisData!$C:$C, $H192, NewEmisData!$D:$D, AX$6)</f>
        <v>0.233332846550835</v>
      </c>
      <c r="AY192" s="1111">
        <f>SUMIFS(NewEmisData!M:M, NewEmisData!$A:$A, $G192, NewEmisData!$B:$B, $A192, NewEmisData!$C:$C, $H192, NewEmisData!$D:$D, AY$6)</f>
        <v>0.23333151026798801</v>
      </c>
      <c r="AZ192" s="1111">
        <f t="shared" si="244"/>
        <v>0.23333151026798801</v>
      </c>
      <c r="BA192" s="1111">
        <f t="shared" si="245"/>
        <v>0.57853809313457705</v>
      </c>
      <c r="BB192" s="1111">
        <f>SUMIFS(NewEmisData!E:E, NewEmisData!$A:$A, $G192, NewEmisData!$B:$B, $A192, NewEmisData!$C:$C, $H192, NewEmisData!$D:$D, BB$6)</f>
        <v>0.57853809313457705</v>
      </c>
      <c r="BC192" s="1111">
        <f>SUMIFS(NewEmisData!F:F, NewEmisData!$A:$A, $G192, NewEmisData!$B:$B, $A192, NewEmisData!$C:$C, $H192, NewEmisData!$D:$D, BC$6)</f>
        <v>0.252003695301314</v>
      </c>
      <c r="BD192" s="1111">
        <f>SUMIFS(NewEmisData!G:G, NewEmisData!$A:$A, $G192, NewEmisData!$B:$B, $A192, NewEmisData!$C:$C, $H192, NewEmisData!$D:$D, BD$6)</f>
        <v>0.14009339529863701</v>
      </c>
      <c r="BE192" s="1111">
        <f>SUMIFS(NewEmisData!H:H, NewEmisData!$A:$A, $G192, NewEmisData!$B:$B, $A192, NewEmisData!$C:$C, $H192, NewEmisData!$D:$D, BE$6)</f>
        <v>7.5128307357895593E-2</v>
      </c>
      <c r="BF192" s="1111">
        <f>SUMIFS(NewEmisData!I:I, NewEmisData!$A:$A, $G192, NewEmisData!$B:$B, $A192, NewEmisData!$C:$C, $H192, NewEmisData!$D:$D, BF$6)</f>
        <v>5.3059643460613801E-2</v>
      </c>
      <c r="BG192" s="1111">
        <f>SUMIFS(NewEmisData!J:J, NewEmisData!$A:$A, $G192, NewEmisData!$B:$B, $A192, NewEmisData!$C:$C, $H192, NewEmisData!$D:$D, BG$6)</f>
        <v>4.8885273229585302E-2</v>
      </c>
      <c r="BH192" s="1111">
        <f>SUMIFS(NewEmisData!K:K, NewEmisData!$A:$A, $G192, NewEmisData!$B:$B, $A192, NewEmisData!$C:$C, $H192, NewEmisData!$D:$D, BH$6)</f>
        <v>4.7651037372409798E-2</v>
      </c>
      <c r="BI192" s="1111">
        <f>SUMIFS(NewEmisData!L:L, NewEmisData!$A:$A, $G192, NewEmisData!$B:$B, $A192, NewEmisData!$C:$C, $H192, NewEmisData!$D:$D, BI$6)</f>
        <v>4.7643536740020302E-2</v>
      </c>
      <c r="BJ192" s="1111">
        <f>SUMIFS(NewEmisData!M:M, NewEmisData!$A:$A, $G192, NewEmisData!$B:$B, $A192, NewEmisData!$C:$C, $H192, NewEmisData!$D:$D, BJ$6)</f>
        <v>4.7642334168564497E-2</v>
      </c>
      <c r="BK192" s="1111">
        <f t="shared" si="246"/>
        <v>4.7642334168564497E-2</v>
      </c>
      <c r="BL192" s="1111">
        <f t="shared" si="247"/>
        <v>3.66291528795528</v>
      </c>
      <c r="BM192" s="1111">
        <f>SUMIFS(NewEmisData!E:E, NewEmisData!$A:$A, $G192, NewEmisData!$B:$B, $A192, NewEmisData!$C:$C, $H192, NewEmisData!$D:$D, BM$6)</f>
        <v>3.66291528795528</v>
      </c>
      <c r="BN192" s="1111">
        <f>SUMIFS(NewEmisData!F:F, NewEmisData!$A:$A, $G192, NewEmisData!$B:$B, $A192, NewEmisData!$C:$C, $H192, NewEmisData!$D:$D, BN$6)</f>
        <v>1.81110834429754</v>
      </c>
      <c r="BO192" s="1111">
        <f>SUMIFS(NewEmisData!G:G, NewEmisData!$A:$A, $G192, NewEmisData!$B:$B, $A192, NewEmisData!$C:$C, $H192, NewEmisData!$D:$D, BO$6)</f>
        <v>1.17052618624317</v>
      </c>
      <c r="BP192" s="1111">
        <f>SUMIFS(NewEmisData!H:H, NewEmisData!$A:$A, $G192, NewEmisData!$B:$B, $A192, NewEmisData!$C:$C, $H192, NewEmisData!$D:$D, BP$6)</f>
        <v>0.73614531651374404</v>
      </c>
      <c r="BQ192" s="1111">
        <f>SUMIFS(NewEmisData!I:I, NewEmisData!$A:$A, $G192, NewEmisData!$B:$B, $A192, NewEmisData!$C:$C, $H192, NewEmisData!$D:$D, BQ$6)</f>
        <v>0.597052259804708</v>
      </c>
      <c r="BR192" s="1111">
        <f>SUMIFS(NewEmisData!J:J, NewEmisData!$A:$A, $G192, NewEmisData!$B:$B, $A192, NewEmisData!$C:$C, $H192, NewEmisData!$D:$D, BR$6)</f>
        <v>0.56487776147618596</v>
      </c>
      <c r="BS192" s="1111">
        <f>SUMIFS(NewEmisData!K:K, NewEmisData!$A:$A, $G192, NewEmisData!$B:$B, $A192, NewEmisData!$C:$C, $H192, NewEmisData!$D:$D, BS$6)</f>
        <v>0.55598119154160697</v>
      </c>
      <c r="BT192" s="1111">
        <f>SUMIFS(NewEmisData!L:L, NewEmisData!$A:$A, $G192, NewEmisData!$B:$B, $A192, NewEmisData!$C:$C, $H192, NewEmisData!$D:$D, BT$6)</f>
        <v>0.55580702712140895</v>
      </c>
      <c r="BU192" s="1111">
        <f>SUMIFS(NewEmisData!M:M, NewEmisData!$A:$A, $G192, NewEmisData!$B:$B, $A192, NewEmisData!$C:$C, $H192, NewEmisData!$D:$D, BU$6)</f>
        <v>0.55571945282790103</v>
      </c>
      <c r="BV192" s="1111">
        <f t="shared" si="248"/>
        <v>0.55571945282790103</v>
      </c>
      <c r="BW192" s="1111">
        <f t="shared" si="249"/>
        <v>1.43661852797596</v>
      </c>
      <c r="BX192" s="1111">
        <f>SUMIFS(NewEmisData!E:E, NewEmisData!$A:$A, $G192, NewEmisData!$B:$B, $A192, NewEmisData!$C:$C, $H192, NewEmisData!$D:$D, BX$6)</f>
        <v>1.43661852797596</v>
      </c>
      <c r="BY192" s="1111">
        <f>SUMIFS(NewEmisData!F:F, NewEmisData!$A:$A, $G192, NewEmisData!$B:$B, $A192, NewEmisData!$C:$C, $H192, NewEmisData!$D:$D, BY$6)</f>
        <v>0.62875879312815397</v>
      </c>
      <c r="BZ192" s="1111">
        <f>SUMIFS(NewEmisData!G:G, NewEmisData!$A:$A, $G192, NewEmisData!$B:$B, $A192, NewEmisData!$C:$C, $H192, NewEmisData!$D:$D, BZ$6)</f>
        <v>0.38012488858052901</v>
      </c>
      <c r="CA192" s="1111">
        <f>SUMIFS(NewEmisData!H:H, NewEmisData!$A:$A, $G192, NewEmisData!$B:$B, $A192, NewEmisData!$C:$C, $H192, NewEmisData!$D:$D, CA$6)</f>
        <v>0.19661280267353801</v>
      </c>
      <c r="CB192" s="1111">
        <f>SUMIFS(NewEmisData!I:I, NewEmisData!$A:$A, $G192, NewEmisData!$B:$B, $A192, NewEmisData!$C:$C, $H192, NewEmisData!$D:$D, CB$6)</f>
        <v>0.139914566708539</v>
      </c>
      <c r="CC192" s="1111">
        <f>SUMIFS(NewEmisData!J:J, NewEmisData!$A:$A, $G192, NewEmisData!$B:$B, $A192, NewEmisData!$C:$C, $H192, NewEmisData!$D:$D, CC$6)</f>
        <v>0.126251922379787</v>
      </c>
      <c r="CD192" s="1111">
        <f>SUMIFS(NewEmisData!K:K, NewEmisData!$A:$A, $G192, NewEmisData!$B:$B, $A192, NewEmisData!$C:$C, $H192, NewEmisData!$D:$D, CD$6)</f>
        <v>0.122717084606958</v>
      </c>
      <c r="CE192" s="1111">
        <f>SUMIFS(NewEmisData!L:L, NewEmisData!$A:$A, $G192, NewEmisData!$B:$B, $A192, NewEmisData!$C:$C, $H192, NewEmisData!$D:$D, CE$6)</f>
        <v>0.122648698331061</v>
      </c>
      <c r="CF192" s="1111">
        <f>SUMIFS(NewEmisData!M:M, NewEmisData!$A:$A, $G192, NewEmisData!$B:$B, $A192, NewEmisData!$C:$C, $H192, NewEmisData!$D:$D, CF$6)</f>
        <v>0.12261069478738</v>
      </c>
      <c r="CG192" s="1111">
        <f t="shared" si="250"/>
        <v>0.12261069478738</v>
      </c>
      <c r="CH192" s="1111">
        <f t="shared" si="251"/>
        <v>2.6039509433426099E-2</v>
      </c>
      <c r="CI192" s="1111">
        <f>SUMIFS(NewEmisData!E:E, NewEmisData!$A:$A, $G192, NewEmisData!$B:$B, $A192, NewEmisData!$C:$C, $H192, NewEmisData!$D:$D, CI$6)</f>
        <v>2.6039509433426099E-2</v>
      </c>
      <c r="CJ192" s="1111">
        <f>SUMIFS(NewEmisData!F:F, NewEmisData!$A:$A, $G192, NewEmisData!$B:$B, $A192, NewEmisData!$C:$C, $H192, NewEmisData!$D:$D, CJ$6)</f>
        <v>2.6040008346974602E-2</v>
      </c>
      <c r="CK192" s="1111">
        <f>SUMIFS(NewEmisData!G:G, NewEmisData!$A:$A, $G192, NewEmisData!$B:$B, $A192, NewEmisData!$C:$C, $H192, NewEmisData!$D:$D, CK$6)</f>
        <v>3.2995536073936203E-2</v>
      </c>
      <c r="CL192" s="1111">
        <f>SUMIFS(NewEmisData!H:H, NewEmisData!$A:$A, $G192, NewEmisData!$B:$B, $A192, NewEmisData!$C:$C, $H192, NewEmisData!$D:$D, CL$6)</f>
        <v>3.2996708039722003E-2</v>
      </c>
      <c r="CM192" s="1111">
        <f>SUMIFS(NewEmisData!I:I, NewEmisData!$A:$A, $G192, NewEmisData!$B:$B, $A192, NewEmisData!$C:$C, $H192, NewEmisData!$D:$D, CM$6)</f>
        <v>3.2997215949732303E-2</v>
      </c>
      <c r="CN192" s="1111">
        <f>SUMIFS(NewEmisData!J:J, NewEmisData!$A:$A, $G192, NewEmisData!$B:$B, $A192, NewEmisData!$C:$C, $H192, NewEmisData!$D:$D, CN$6)</f>
        <v>3.29974176943355E-2</v>
      </c>
      <c r="CO192" s="1111">
        <f>SUMIFS(NewEmisData!K:K, NewEmisData!$A:$A, $G192, NewEmisData!$B:$B, $A192, NewEmisData!$C:$C, $H192, NewEmisData!$D:$D, CO$6)</f>
        <v>3.2997465645541797E-2</v>
      </c>
      <c r="CP192" s="1111">
        <f>SUMIFS(NewEmisData!L:L, NewEmisData!$A:$A, $G192, NewEmisData!$B:$B, $A192, NewEmisData!$C:$C, $H192, NewEmisData!$D:$D, CP$6)</f>
        <v>3.29975034492105E-2</v>
      </c>
      <c r="CQ192" s="1111">
        <f>SUMIFS(NewEmisData!M:M, NewEmisData!$A:$A, $G192, NewEmisData!$B:$B, $A192, NewEmisData!$C:$C, $H192, NewEmisData!$D:$D, CQ$6)</f>
        <v>3.2997507472943201E-2</v>
      </c>
      <c r="CR192" s="1111">
        <f t="shared" si="252"/>
        <v>3.2997507472943201E-2</v>
      </c>
      <c r="CS192" s="1111">
        <f t="shared" si="253"/>
        <v>3.5409431722048901E-3</v>
      </c>
      <c r="CT192" s="1111">
        <f>SUMIFS(NewEmisData!E:E, NewEmisData!$A:$A, $G192, NewEmisData!$B:$B, $A192, NewEmisData!$C:$C, $H192, NewEmisData!$D:$D, CT$6)</f>
        <v>3.5409431722048901E-3</v>
      </c>
      <c r="CU192" s="1111">
        <f>SUMIFS(NewEmisData!F:F, NewEmisData!$A:$A, $G192, NewEmisData!$B:$B, $A192, NewEmisData!$C:$C, $H192, NewEmisData!$D:$D, CU$6)</f>
        <v>3.63890781693205E-3</v>
      </c>
      <c r="CV192" s="1111">
        <f>SUMIFS(NewEmisData!G:G, NewEmisData!$A:$A, $G192, NewEmisData!$B:$B, $A192, NewEmisData!$C:$C, $H192, NewEmisData!$D:$D, CV$6)</f>
        <v>5.4574768642476996E-3</v>
      </c>
      <c r="CW192" s="1111">
        <f>SUMIFS(NewEmisData!H:H, NewEmisData!$A:$A, $G192, NewEmisData!$B:$B, $A192, NewEmisData!$C:$C, $H192, NewEmisData!$D:$D, CW$6)</f>
        <v>5.4675414672760402E-3</v>
      </c>
      <c r="CX192" s="1111">
        <f>SUMIFS(NewEmisData!I:I, NewEmisData!$A:$A, $G192, NewEmisData!$B:$B, $A192, NewEmisData!$C:$C, $H192, NewEmisData!$D:$D, CX$6)</f>
        <v>5.4680384341553E-3</v>
      </c>
      <c r="CY192" s="1111">
        <f>SUMIFS(NewEmisData!J:J, NewEmisData!$A:$A, $G192, NewEmisData!$B:$B, $A192, NewEmisData!$C:$C, $H192, NewEmisData!$D:$D, CY$6)</f>
        <v>5.4634019579347104E-3</v>
      </c>
      <c r="CZ192" s="1111">
        <f>SUMIFS(NewEmisData!K:K, NewEmisData!$A:$A, $G192, NewEmisData!$B:$B, $A192, NewEmisData!$C:$C, $H192, NewEmisData!$D:$D, CZ$6)</f>
        <v>5.4597660152292298E-3</v>
      </c>
      <c r="DA192" s="1111">
        <f>SUMIFS(NewEmisData!L:L, NewEmisData!$A:$A, $G192, NewEmisData!$B:$B, $A192, NewEmisData!$C:$C, $H192, NewEmisData!$D:$D, DA$6)</f>
        <v>5.4584958414238298E-3</v>
      </c>
      <c r="DB192" s="1111">
        <f>SUMIFS(NewEmisData!M:M, NewEmisData!$A:$A, $G192, NewEmisData!$B:$B, $A192, NewEmisData!$C:$C, $H192, NewEmisData!$D:$D, DB$6)</f>
        <v>5.45755956631585E-3</v>
      </c>
      <c r="DC192" s="1111">
        <f t="shared" si="254"/>
        <v>5.45755956631585E-3</v>
      </c>
      <c r="DD192" s="1111"/>
      <c r="DE192" s="1111"/>
      <c r="DF192" s="1111"/>
      <c r="DG192" s="1111"/>
      <c r="DH192" s="1111"/>
      <c r="DI192" s="1111"/>
      <c r="DJ192" s="1111"/>
      <c r="DK192" s="1111"/>
      <c r="DL192" s="1111"/>
      <c r="DM192" s="1111"/>
      <c r="DN192" s="1111"/>
      <c r="DO192" s="1111"/>
      <c r="DP192" s="1111"/>
      <c r="DQ192" s="1111"/>
      <c r="DR192" s="1111"/>
      <c r="DS192" s="1111"/>
      <c r="DT192" s="1111"/>
      <c r="DU192" s="1111"/>
      <c r="DV192" s="1111"/>
      <c r="DW192" s="1111"/>
      <c r="DX192" s="1111"/>
      <c r="DY192" s="1111"/>
      <c r="DZ192" s="1111">
        <f t="shared" si="255"/>
        <v>1.97747867706301E-2</v>
      </c>
      <c r="EA192" s="1111">
        <f>SUMIFS(NewEmisData!E:E, NewEmisData!$A:$A, $G192, NewEmisData!$B:$B, $A192, NewEmisData!$C:$C, $H192, NewEmisData!$D:$D, EA$6)</f>
        <v>1.97747867706301E-2</v>
      </c>
      <c r="EB192" s="1111">
        <f>SUMIFS(NewEmisData!F:F, NewEmisData!$A:$A, $G192, NewEmisData!$B:$B, $A192, NewEmisData!$C:$C, $H192, NewEmisData!$D:$D, EB$6)</f>
        <v>7.2363688705741003E-2</v>
      </c>
      <c r="EC192" s="1111">
        <f>SUMIFS(NewEmisData!G:G, NewEmisData!$A:$A, $G192, NewEmisData!$B:$B, $A192, NewEmisData!$C:$C, $H192, NewEmisData!$D:$D, EC$6)</f>
        <v>0.113967833470033</v>
      </c>
      <c r="ED192" s="1111">
        <f>SUMIFS(NewEmisData!H:H, NewEmisData!$A:$A, $G192, NewEmisData!$B:$B, $A192, NewEmisData!$C:$C, $H192, NewEmisData!$D:$D, ED$6)</f>
        <v>0.115112826964947</v>
      </c>
      <c r="EE192" s="1111">
        <f>SUMIFS(NewEmisData!I:I, NewEmisData!$A:$A, $G192, NewEmisData!$B:$B, $A192, NewEmisData!$C:$C, $H192, NewEmisData!$D:$D, EE$6)</f>
        <v>0.11539118025805099</v>
      </c>
      <c r="EF192" s="1111">
        <f>SUMIFS(NewEmisData!J:J, NewEmisData!$A:$A, $G192, NewEmisData!$B:$B, $A192, NewEmisData!$C:$C, $H192, NewEmisData!$D:$D, EF$6)</f>
        <v>0.115199325520795</v>
      </c>
      <c r="EG192" s="1111">
        <f>SUMIFS(NewEmisData!K:K, NewEmisData!$A:$A, $G192, NewEmisData!$B:$B, $A192, NewEmisData!$C:$C, $H192, NewEmisData!$D:$D, EG$6)</f>
        <v>0.115220036803385</v>
      </c>
      <c r="EH192" s="1111">
        <f>SUMIFS(NewEmisData!L:L, NewEmisData!$A:$A, $G192, NewEmisData!$B:$B, $A192, NewEmisData!$C:$C, $H192, NewEmisData!$D:$D, EH$6)</f>
        <v>0.115157957606922</v>
      </c>
      <c r="EI192" s="1111">
        <f>SUMIFS(NewEmisData!M:M, NewEmisData!$A:$A, $G192, NewEmisData!$B:$B, $A192, NewEmisData!$C:$C, $H192, NewEmisData!$D:$D, EI$6)</f>
        <v>0.115119875491087</v>
      </c>
      <c r="EJ192" s="1111">
        <f t="shared" si="256"/>
        <v>0.115119875491087</v>
      </c>
      <c r="EK192" s="1111">
        <f t="shared" si="257"/>
        <v>1227.122531812</v>
      </c>
      <c r="EL192" s="1111">
        <f t="shared" si="269"/>
        <v>1227.122531812</v>
      </c>
      <c r="EM192" s="1111">
        <f t="shared" si="270"/>
        <v>1223.38293869125</v>
      </c>
      <c r="EN192" s="1111">
        <f t="shared" si="271"/>
        <v>1491.9167744443</v>
      </c>
      <c r="EO192" s="1111">
        <f t="shared" si="272"/>
        <v>1439.6290263866099</v>
      </c>
      <c r="EP192" s="1111">
        <f t="shared" si="273"/>
        <v>1396.0303655681701</v>
      </c>
      <c r="EQ192" s="1111">
        <f t="shared" si="274"/>
        <v>1381.4572061837</v>
      </c>
      <c r="ER192" s="1111">
        <f t="shared" si="275"/>
        <v>1377.1647221724299</v>
      </c>
      <c r="ES192" s="1111">
        <f t="shared" si="276"/>
        <v>1376.2239115392599</v>
      </c>
      <c r="ET192" s="1111">
        <f t="shared" si="277"/>
        <v>1375.99238621115</v>
      </c>
      <c r="EU192" s="1111">
        <f t="shared" si="278"/>
        <v>1375.99238621115</v>
      </c>
      <c r="EV192" s="1111">
        <f t="shared" si="258"/>
        <v>8.0193608379791392</v>
      </c>
      <c r="EW192" s="1111">
        <f t="shared" si="259"/>
        <v>8.0193608379791392</v>
      </c>
      <c r="EX192" s="1111">
        <f t="shared" si="260"/>
        <v>4.1543590563126003</v>
      </c>
      <c r="EY192" s="1111">
        <f t="shared" si="261"/>
        <v>2.98133312137844</v>
      </c>
      <c r="EZ192" s="1111">
        <f t="shared" si="262"/>
        <v>1.7381068783510201</v>
      </c>
      <c r="FA192" s="1111">
        <f t="shared" si="263"/>
        <v>1.2226706736775499</v>
      </c>
      <c r="FB192" s="1111">
        <f t="shared" si="264"/>
        <v>1.0580964689305701</v>
      </c>
      <c r="FC192" s="1111">
        <f t="shared" si="265"/>
        <v>1.00772008015349</v>
      </c>
      <c r="FD192" s="1111">
        <f t="shared" si="266"/>
        <v>1.0008292130083001</v>
      </c>
      <c r="FE192" s="1111">
        <f t="shared" si="267"/>
        <v>0.99880738384490098</v>
      </c>
      <c r="FF192" s="1111">
        <f t="shared" si="268"/>
        <v>0.99880738384490098</v>
      </c>
      <c r="FG192" s="1111">
        <f t="shared" si="291"/>
        <v>3.0399158238526399E-2</v>
      </c>
      <c r="FH192" s="1111">
        <f t="shared" si="292"/>
        <v>3.0399158238526399E-2</v>
      </c>
      <c r="FI192" s="1111">
        <f t="shared" si="293"/>
        <v>2.9335551037600001E-2</v>
      </c>
      <c r="FJ192" s="1111">
        <f t="shared" si="294"/>
        <v>1.25441414050069E-2</v>
      </c>
      <c r="FK192" s="1111">
        <f t="shared" si="295"/>
        <v>1.2033715661617201E-2</v>
      </c>
      <c r="FL192" s="1111">
        <f t="shared" si="296"/>
        <v>1.1645627611560599E-2</v>
      </c>
      <c r="FM192" s="1111">
        <f t="shared" si="297"/>
        <v>1.15189928592382E-2</v>
      </c>
      <c r="FN192" s="1111">
        <f t="shared" si="298"/>
        <v>1.1481583994978299E-2</v>
      </c>
      <c r="FO192" s="1111">
        <f t="shared" si="299"/>
        <v>1.1473738052833899E-2</v>
      </c>
      <c r="FP192" s="1111">
        <f t="shared" si="300"/>
        <v>1.14718141652436E-2</v>
      </c>
      <c r="FQ192" s="1111">
        <f t="shared" si="301"/>
        <v>1.14718141652436E-2</v>
      </c>
      <c r="FR192" s="1111">
        <f t="shared" si="230"/>
        <v>0.75675018821525997</v>
      </c>
      <c r="FS192" s="1111">
        <f t="shared" si="231"/>
        <v>0.75675018821525997</v>
      </c>
      <c r="FT192" s="1111">
        <f t="shared" si="232"/>
        <v>0.40133452537918501</v>
      </c>
      <c r="FU192" s="1111">
        <f t="shared" si="233"/>
        <v>0.33506910840269499</v>
      </c>
      <c r="FV192" s="1111">
        <f t="shared" si="234"/>
        <v>0.263570196116162</v>
      </c>
      <c r="FW192" s="1111">
        <f t="shared" si="235"/>
        <v>0.239317173689682</v>
      </c>
      <c r="FX192" s="1111">
        <f t="shared" si="236"/>
        <v>0.23470430578816801</v>
      </c>
      <c r="FY192" s="1111">
        <f t="shared" si="237"/>
        <v>0.23334423625159001</v>
      </c>
      <c r="FZ192" s="1111">
        <f t="shared" si="238"/>
        <v>0.233332846550835</v>
      </c>
      <c r="GA192" s="1111">
        <f t="shared" si="239"/>
        <v>0.23333151026798801</v>
      </c>
      <c r="GB192" s="1111">
        <f t="shared" si="240"/>
        <v>0.23333151026798801</v>
      </c>
      <c r="GC192" s="1111">
        <f t="shared" si="279"/>
        <v>0.57853809313457705</v>
      </c>
      <c r="GD192" s="1111">
        <f t="shared" si="280"/>
        <v>0.57853809313457705</v>
      </c>
      <c r="GE192" s="1111">
        <f t="shared" si="281"/>
        <v>0.252003695301314</v>
      </c>
      <c r="GF192" s="1111">
        <f t="shared" si="282"/>
        <v>0.14009339529863701</v>
      </c>
      <c r="GG192" s="1111">
        <f t="shared" si="283"/>
        <v>7.5128307357895593E-2</v>
      </c>
      <c r="GH192" s="1111">
        <f t="shared" si="284"/>
        <v>5.3059643460613801E-2</v>
      </c>
      <c r="GI192" s="1111">
        <f t="shared" si="285"/>
        <v>4.8885273229585302E-2</v>
      </c>
      <c r="GJ192" s="1111">
        <f t="shared" si="286"/>
        <v>4.7651037372409798E-2</v>
      </c>
      <c r="GK192" s="1111">
        <f t="shared" si="287"/>
        <v>4.7643536740020302E-2</v>
      </c>
      <c r="GL192" s="1111">
        <f t="shared" si="288"/>
        <v>4.7642334168564497E-2</v>
      </c>
      <c r="GM192" s="1111">
        <f t="shared" si="289"/>
        <v>4.7642334168564497E-2</v>
      </c>
    </row>
    <row r="193" spans="1:195" x14ac:dyDescent="0.2">
      <c r="A193" s="1071" t="s">
        <v>186</v>
      </c>
      <c r="B193" s="1071" t="str">
        <f>Technologies!C121</f>
        <v>TMDSLADV</v>
      </c>
      <c r="C193" s="1071" t="str">
        <f>Technologies!D121</f>
        <v>Medium Duty Truck, Advanced Diesel</v>
      </c>
      <c r="D193" s="1071" t="str">
        <f>NewTech!D73</f>
        <v>bn-vmt, bn-vmt/a</v>
      </c>
      <c r="E193" s="1071" t="str">
        <f>NewTech!E74</f>
        <v>TMDSL</v>
      </c>
      <c r="F193" s="1071" t="str">
        <f>NewTech!F74</f>
        <v>TM</v>
      </c>
      <c r="G193" s="1110" t="s">
        <v>503</v>
      </c>
      <c r="H193" s="1110" t="s">
        <v>499</v>
      </c>
      <c r="I193" s="1112">
        <v>1</v>
      </c>
      <c r="J193" s="1111" t="str">
        <f t="shared" si="37"/>
        <v>Medium duty-DSL</v>
      </c>
      <c r="K193" s="1111">
        <f>SUMIFS(NewEmisData!E:E, NewEmisData!$A:$A, $G193, NewEmisData!$B:$B, $A193, NewEmisData!$C:$C, $H193, NewEmisData!$D:$D, K$6)</f>
        <v>1844.7083010230299</v>
      </c>
      <c r="L193" s="1111">
        <f>SUMIFS(NewEmisData!F:F, NewEmisData!$A:$A, $G193, NewEmisData!$B:$B, $A193, NewEmisData!$C:$C, $H193, NewEmisData!$D:$D, L$6)</f>
        <v>1832.6045194358301</v>
      </c>
      <c r="M193" s="1111">
        <f>SUMIFS(NewEmisData!G:G, NewEmisData!$A:$A, $G193, NewEmisData!$B:$B, $A193, NewEmisData!$C:$C, $H193, NewEmisData!$D:$D, M$6)</f>
        <v>1884.2537986570301</v>
      </c>
      <c r="N193" s="1111">
        <f>SUMIFS(NewEmisData!H:H, NewEmisData!$A:$A, $G193, NewEmisData!$B:$B, $A193, NewEmisData!$C:$C, $H193, NewEmisData!$D:$D, N$6)</f>
        <v>1818.5727784503399</v>
      </c>
      <c r="O193" s="1111">
        <f>SUMIFS(NewEmisData!I:I, NewEmisData!$A:$A, $G193, NewEmisData!$B:$B, $A193, NewEmisData!$C:$C, $H193, NewEmisData!$D:$D, O$6)</f>
        <v>1763.6996289860999</v>
      </c>
      <c r="P193" s="1111">
        <f>SUMIFS(NewEmisData!J:J, NewEmisData!$A:$A, $G193, NewEmisData!$B:$B, $A193, NewEmisData!$C:$C, $H193, NewEmisData!$D:$D, P$6)</f>
        <v>1745.38280930633</v>
      </c>
      <c r="Q193" s="1111">
        <f>SUMIFS(NewEmisData!K:K, NewEmisData!$A:$A, $G193, NewEmisData!$B:$B, $A193, NewEmisData!$C:$C, $H193, NewEmisData!$D:$D, Q$6)</f>
        <v>1739.98947678168</v>
      </c>
      <c r="R193" s="1111">
        <f>SUMIFS(NewEmisData!L:L, NewEmisData!$A:$A, $G193, NewEmisData!$B:$B, $A193, NewEmisData!$C:$C, $H193, NewEmisData!$D:$D, R$6)</f>
        <v>1738.81123596359</v>
      </c>
      <c r="S193" s="1111">
        <f>SUMIFS(NewEmisData!M:M, NewEmisData!$A:$A, $G193, NewEmisData!$B:$B, $A193, NewEmisData!$C:$C, $H193, NewEmisData!$D:$D, S$6)</f>
        <v>1738.5227113911701</v>
      </c>
      <c r="T193" s="1111">
        <f t="shared" si="290"/>
        <v>1738.5227113911701</v>
      </c>
      <c r="U193" s="1111">
        <f>SUMIFS(NewEmisData!E:E, NewEmisData!$A:$A, $G193, NewEmisData!$B:$B, $A193, NewEmisData!$C:$C, $H193, NewEmisData!$D:$D, U$6)</f>
        <v>11.3242694436207</v>
      </c>
      <c r="V193" s="1111">
        <f>SUMIFS(NewEmisData!F:F, NewEmisData!$A:$A, $G193, NewEmisData!$B:$B, $A193, NewEmisData!$C:$C, $H193, NewEmisData!$D:$D, V$6)</f>
        <v>5.2798482437774998</v>
      </c>
      <c r="W193" s="1111">
        <f>SUMIFS(NewEmisData!G:G, NewEmisData!$A:$A, $G193, NewEmisData!$B:$B, $A193, NewEmisData!$C:$C, $H193, NewEmisData!$D:$D, W$6)</f>
        <v>3.78642260339578</v>
      </c>
      <c r="X193" s="1111">
        <f>SUMIFS(NewEmisData!H:H, NewEmisData!$A:$A, $G193, NewEmisData!$B:$B, $A193, NewEmisData!$C:$C, $H193, NewEmisData!$D:$D, X$6)</f>
        <v>2.1972961679722198</v>
      </c>
      <c r="Y193" s="1111">
        <f>SUMIFS(NewEmisData!I:I, NewEmisData!$A:$A, $G193, NewEmisData!$B:$B, $A193, NewEmisData!$C:$C, $H193, NewEmisData!$D:$D, Y$6)</f>
        <v>1.5398620814352</v>
      </c>
      <c r="Z193" s="1111">
        <f>SUMIFS(NewEmisData!J:J, NewEmisData!$A:$A, $G193, NewEmisData!$B:$B, $A193, NewEmisData!$C:$C, $H193, NewEmisData!$D:$D, Z$6)</f>
        <v>1.33073738385153</v>
      </c>
      <c r="AA193" s="1111">
        <f>SUMIFS(NewEmisData!K:K, NewEmisData!$A:$A, $G193, NewEmisData!$B:$B, $A193, NewEmisData!$C:$C, $H193, NewEmisData!$D:$D, AA$6)</f>
        <v>1.2670046042829299</v>
      </c>
      <c r="AB193" s="1111">
        <f>SUMIFS(NewEmisData!L:L, NewEmisData!$A:$A, $G193, NewEmisData!$B:$B, $A193, NewEmisData!$C:$C, $H193, NewEmisData!$D:$D, AB$6)</f>
        <v>1.25837731661006</v>
      </c>
      <c r="AC193" s="1111">
        <f>SUMIFS(NewEmisData!M:M, NewEmisData!$A:$A, $G193, NewEmisData!$B:$B, $A193, NewEmisData!$C:$C, $H193, NewEmisData!$D:$D, AC$6)</f>
        <v>1.2558936064742501</v>
      </c>
      <c r="AD193" s="1111">
        <f t="shared" si="229"/>
        <v>1.2558936064742501</v>
      </c>
      <c r="AE193" s="1111">
        <f t="shared" si="241"/>
        <v>4.5365869728215401E-2</v>
      </c>
      <c r="AF193" s="1111">
        <f>SUMIFS(NewEmisData!E:E, NewEmisData!$A:$A, $G193, NewEmisData!$B:$B, $A193, NewEmisData!$C:$C, $H193, NewEmisData!$D:$D, AF$6)</f>
        <v>4.5365869728215401E-2</v>
      </c>
      <c r="AG193" s="1111">
        <f>SUMIFS(NewEmisData!F:F, NewEmisData!$A:$A, $G193, NewEmisData!$B:$B, $A193, NewEmisData!$C:$C, $H193, NewEmisData!$D:$D, AG$6)</f>
        <v>4.3660344033601299E-2</v>
      </c>
      <c r="AH193" s="1111">
        <f>SUMIFS(NewEmisData!G:G, NewEmisData!$A:$A, $G193, NewEmisData!$B:$B, $A193, NewEmisData!$C:$C, $H193, NewEmisData!$D:$D, AH$6)</f>
        <v>1.5842755870111001E-2</v>
      </c>
      <c r="AI193" s="1111">
        <f>SUMIFS(NewEmisData!H:H, NewEmisData!$A:$A, $G193, NewEmisData!$B:$B, $A193, NewEmisData!$C:$C, $H193, NewEmisData!$D:$D, AI$6)</f>
        <v>1.52011817179993E-2</v>
      </c>
      <c r="AJ193" s="1111">
        <f>SUMIFS(NewEmisData!I:I, NewEmisData!$A:$A, $G193, NewEmisData!$B:$B, $A193, NewEmisData!$C:$C, $H193, NewEmisData!$D:$D, AJ$6)</f>
        <v>1.47126837043844E-2</v>
      </c>
      <c r="AK193" s="1111">
        <f>SUMIFS(NewEmisData!J:J, NewEmisData!$A:$A, $G193, NewEmisData!$B:$B, $A193, NewEmisData!$C:$C, $H193, NewEmisData!$D:$D, AK$6)</f>
        <v>1.45535009771615E-2</v>
      </c>
      <c r="AL193" s="1111">
        <f>SUMIFS(NewEmisData!K:K, NewEmisData!$A:$A, $G193, NewEmisData!$B:$B, $A193, NewEmisData!$C:$C, $H193, NewEmisData!$D:$D, AL$6)</f>
        <v>1.4506508977964299E-2</v>
      </c>
      <c r="AM193" s="1111">
        <f>SUMIFS(NewEmisData!L:L, NewEmisData!$A:$A, $G193, NewEmisData!$B:$B, $A193, NewEmisData!$C:$C, $H193, NewEmisData!$D:$D, AM$6)</f>
        <v>1.44966873739067E-2</v>
      </c>
      <c r="AN193" s="1111">
        <f>SUMIFS(NewEmisData!M:M, NewEmisData!$A:$A, $G193, NewEmisData!$B:$B, $A193, NewEmisData!$C:$C, $H193, NewEmisData!$D:$D, AN$6)</f>
        <v>1.4494279129535799E-2</v>
      </c>
      <c r="AO193" s="1111">
        <f t="shared" si="242"/>
        <v>1.4494279129535799E-2</v>
      </c>
      <c r="AP193" s="1111">
        <f t="shared" si="243"/>
        <v>1.1349607828839201</v>
      </c>
      <c r="AQ193" s="1111">
        <f>SUMIFS(NewEmisData!E:E, NewEmisData!$A:$A, $G193, NewEmisData!$B:$B, $A193, NewEmisData!$C:$C, $H193, NewEmisData!$D:$D, AQ$6)</f>
        <v>1.1349607828839201</v>
      </c>
      <c r="AR193" s="1111">
        <f>SUMIFS(NewEmisData!F:F, NewEmisData!$A:$A, $G193, NewEmisData!$B:$B, $A193, NewEmisData!$C:$C, $H193, NewEmisData!$D:$D, AR$6)</f>
        <v>0.61030408012734905</v>
      </c>
      <c r="AS193" s="1111">
        <f>SUMIFS(NewEmisData!G:G, NewEmisData!$A:$A, $G193, NewEmisData!$B:$B, $A193, NewEmisData!$C:$C, $H193, NewEmisData!$D:$D, AS$6)</f>
        <v>0.44031388127967303</v>
      </c>
      <c r="AT193" s="1111">
        <f>SUMIFS(NewEmisData!H:H, NewEmisData!$A:$A, $G193, NewEmisData!$B:$B, $A193, NewEmisData!$C:$C, $H193, NewEmisData!$D:$D, AT$6)</f>
        <v>0.34801512923671002</v>
      </c>
      <c r="AU193" s="1111">
        <f>SUMIFS(NewEmisData!I:I, NewEmisData!$A:$A, $G193, NewEmisData!$B:$B, $A193, NewEmisData!$C:$C, $H193, NewEmisData!$D:$D, AU$6)</f>
        <v>0.316619673688259</v>
      </c>
      <c r="AV193" s="1111">
        <f>SUMIFS(NewEmisData!J:J, NewEmisData!$A:$A, $G193, NewEmisData!$B:$B, $A193, NewEmisData!$C:$C, $H193, NewEmisData!$D:$D, AV$6)</f>
        <v>0.310711543242081</v>
      </c>
      <c r="AW193" s="1111">
        <f>SUMIFS(NewEmisData!K:K, NewEmisData!$A:$A, $G193, NewEmisData!$B:$B, $A193, NewEmisData!$C:$C, $H193, NewEmisData!$D:$D, AW$6)</f>
        <v>0.30897246291541097</v>
      </c>
      <c r="AX193" s="1111">
        <f>SUMIFS(NewEmisData!L:L, NewEmisData!$A:$A, $G193, NewEmisData!$B:$B, $A193, NewEmisData!$C:$C, $H193, NewEmisData!$D:$D, AX$6)</f>
        <v>0.308957597755115</v>
      </c>
      <c r="AY193" s="1111">
        <f>SUMIFS(NewEmisData!M:M, NewEmisData!$A:$A, $G193, NewEmisData!$B:$B, $A193, NewEmisData!$C:$C, $H193, NewEmisData!$D:$D, AY$6)</f>
        <v>0.30895604079919098</v>
      </c>
      <c r="AZ193" s="1111">
        <f t="shared" si="244"/>
        <v>0.30895604079919098</v>
      </c>
      <c r="BA193" s="1111">
        <f t="shared" si="245"/>
        <v>0.82460782978682501</v>
      </c>
      <c r="BB193" s="1111">
        <f>SUMIFS(NewEmisData!E:E, NewEmisData!$A:$A, $G193, NewEmisData!$B:$B, $A193, NewEmisData!$C:$C, $H193, NewEmisData!$D:$D, BB$6)</f>
        <v>0.82460782978682501</v>
      </c>
      <c r="BC193" s="1111">
        <f>SUMIFS(NewEmisData!F:F, NewEmisData!$A:$A, $G193, NewEmisData!$B:$B, $A193, NewEmisData!$C:$C, $H193, NewEmisData!$D:$D, BC$6)</f>
        <v>0.34373570942234799</v>
      </c>
      <c r="BD193" s="1111">
        <f>SUMIFS(NewEmisData!G:G, NewEmisData!$A:$A, $G193, NewEmisData!$B:$B, $A193, NewEmisData!$C:$C, $H193, NewEmisData!$D:$D, BD$6)</f>
        <v>0.18121898411016099</v>
      </c>
      <c r="BE193" s="1111">
        <f>SUMIFS(NewEmisData!H:H, NewEmisData!$A:$A, $G193, NewEmisData!$B:$B, $A193, NewEmisData!$C:$C, $H193, NewEmisData!$D:$D, BE$6)</f>
        <v>9.7394815729633696E-2</v>
      </c>
      <c r="BF193" s="1111">
        <f>SUMIFS(NewEmisData!I:I, NewEmisData!$A:$A, $G193, NewEmisData!$B:$B, $A193, NewEmisData!$C:$C, $H193, NewEmisData!$D:$D, BF$6)</f>
        <v>6.8837534672911399E-2</v>
      </c>
      <c r="BG193" s="1111">
        <f>SUMIFS(NewEmisData!J:J, NewEmisData!$A:$A, $G193, NewEmisData!$B:$B, $A193, NewEmisData!$C:$C, $H193, NewEmisData!$D:$D, BG$6)</f>
        <v>6.3495189038770203E-2</v>
      </c>
      <c r="BH193" s="1111">
        <f>SUMIFS(NewEmisData!K:K, NewEmisData!$A:$A, $G193, NewEmisData!$B:$B, $A193, NewEmisData!$C:$C, $H193, NewEmisData!$D:$D, BH$6)</f>
        <v>6.1918142257759601E-2</v>
      </c>
      <c r="BI193" s="1111">
        <f>SUMIFS(NewEmisData!L:L, NewEmisData!$A:$A, $G193, NewEmisData!$B:$B, $A193, NewEmisData!$C:$C, $H193, NewEmisData!$D:$D, BI$6)</f>
        <v>6.1908718128838802E-2</v>
      </c>
      <c r="BJ193" s="1111">
        <f>SUMIFS(NewEmisData!M:M, NewEmisData!$A:$A, $G193, NewEmisData!$B:$B, $A193, NewEmisData!$C:$C, $H193, NewEmisData!$D:$D, BJ$6)</f>
        <v>6.1907262020399603E-2</v>
      </c>
      <c r="BK193" s="1111">
        <f t="shared" si="246"/>
        <v>6.1907262020399603E-2</v>
      </c>
      <c r="BL193" s="1111">
        <f t="shared" si="247"/>
        <v>4.8199473877118004</v>
      </c>
      <c r="BM193" s="1111">
        <f>SUMIFS(NewEmisData!E:E, NewEmisData!$A:$A, $G193, NewEmisData!$B:$B, $A193, NewEmisData!$C:$C, $H193, NewEmisData!$D:$D, BM$6)</f>
        <v>4.8199473877118004</v>
      </c>
      <c r="BN193" s="1111">
        <f>SUMIFS(NewEmisData!F:F, NewEmisData!$A:$A, $G193, NewEmisData!$B:$B, $A193, NewEmisData!$C:$C, $H193, NewEmisData!$D:$D, BN$6)</f>
        <v>2.13606006571157</v>
      </c>
      <c r="BO193" s="1111">
        <f>SUMIFS(NewEmisData!G:G, NewEmisData!$A:$A, $G193, NewEmisData!$B:$B, $A193, NewEmisData!$C:$C, $H193, NewEmisData!$D:$D, BO$6)</f>
        <v>1.4626606870508201</v>
      </c>
      <c r="BP193" s="1111">
        <f>SUMIFS(NewEmisData!H:H, NewEmisData!$A:$A, $G193, NewEmisData!$B:$B, $A193, NewEmisData!$C:$C, $H193, NewEmisData!$D:$D, BP$6)</f>
        <v>0.91632051356289601</v>
      </c>
      <c r="BQ193" s="1111">
        <f>SUMIFS(NewEmisData!I:I, NewEmisData!$A:$A, $G193, NewEmisData!$B:$B, $A193, NewEmisData!$C:$C, $H193, NewEmisData!$D:$D, BQ$6)</f>
        <v>0.74159278245313098</v>
      </c>
      <c r="BR193" s="1111">
        <f>SUMIFS(NewEmisData!J:J, NewEmisData!$A:$A, $G193, NewEmisData!$B:$B, $A193, NewEmisData!$C:$C, $H193, NewEmisData!$D:$D, BR$6)</f>
        <v>0.70121666030394803</v>
      </c>
      <c r="BS193" s="1111">
        <f>SUMIFS(NewEmisData!K:K, NewEmisData!$A:$A, $G193, NewEmisData!$B:$B, $A193, NewEmisData!$C:$C, $H193, NewEmisData!$D:$D, BS$6)</f>
        <v>0.69011658725035796</v>
      </c>
      <c r="BT193" s="1111">
        <f>SUMIFS(NewEmisData!L:L, NewEmisData!$A:$A, $G193, NewEmisData!$B:$B, $A193, NewEmisData!$C:$C, $H193, NewEmisData!$D:$D, BT$6)</f>
        <v>0.68991923636254204</v>
      </c>
      <c r="BU193" s="1111">
        <f>SUMIFS(NewEmisData!M:M, NewEmisData!$A:$A, $G193, NewEmisData!$B:$B, $A193, NewEmisData!$C:$C, $H193, NewEmisData!$D:$D, BU$6)</f>
        <v>0.68982544184786598</v>
      </c>
      <c r="BV193" s="1111">
        <f t="shared" si="248"/>
        <v>0.68982544184786598</v>
      </c>
      <c r="BW193" s="1111">
        <f t="shared" si="249"/>
        <v>2.0873450951181098</v>
      </c>
      <c r="BX193" s="1111">
        <f>SUMIFS(NewEmisData!E:E, NewEmisData!$A:$A, $G193, NewEmisData!$B:$B, $A193, NewEmisData!$C:$C, $H193, NewEmisData!$D:$D, BX$6)</f>
        <v>2.0873450951181098</v>
      </c>
      <c r="BY193" s="1111">
        <f>SUMIFS(NewEmisData!F:F, NewEmisData!$A:$A, $G193, NewEmisData!$B:$B, $A193, NewEmisData!$C:$C, $H193, NewEmisData!$D:$D, BY$6)</f>
        <v>0.82818205887879504</v>
      </c>
      <c r="BZ193" s="1111">
        <f>SUMIFS(NewEmisData!G:G, NewEmisData!$A:$A, $G193, NewEmisData!$B:$B, $A193, NewEmisData!$C:$C, $H193, NewEmisData!$D:$D, BZ$6)</f>
        <v>0.49677177359374097</v>
      </c>
      <c r="CA193" s="1111">
        <f>SUMIFS(NewEmisData!H:H, NewEmisData!$A:$A, $G193, NewEmisData!$B:$B, $A193, NewEmisData!$C:$C, $H193, NewEmisData!$D:$D, CA$6)</f>
        <v>0.255767592675607</v>
      </c>
      <c r="CB193" s="1111">
        <f>SUMIFS(NewEmisData!I:I, NewEmisData!$A:$A, $G193, NewEmisData!$B:$B, $A193, NewEmisData!$C:$C, $H193, NewEmisData!$D:$D, CB$6)</f>
        <v>0.18123851738744101</v>
      </c>
      <c r="CC193" s="1111">
        <f>SUMIFS(NewEmisData!J:J, NewEmisData!$A:$A, $G193, NewEmisData!$B:$B, $A193, NewEmisData!$C:$C, $H193, NewEmisData!$D:$D, CC$6)</f>
        <v>0.16339043238474099</v>
      </c>
      <c r="CD193" s="1111">
        <f>SUMIFS(NewEmisData!K:K, NewEmisData!$A:$A, $G193, NewEmisData!$B:$B, $A193, NewEmisData!$C:$C, $H193, NewEmisData!$D:$D, CD$6)</f>
        <v>0.15878537340132501</v>
      </c>
      <c r="CE193" s="1111">
        <f>SUMIFS(NewEmisData!L:L, NewEmisData!$A:$A, $G193, NewEmisData!$B:$B, $A193, NewEmisData!$C:$C, $H193, NewEmisData!$D:$D, CE$6)</f>
        <v>0.158704013950277</v>
      </c>
      <c r="CF193" s="1111">
        <f>SUMIFS(NewEmisData!M:M, NewEmisData!$A:$A, $G193, NewEmisData!$B:$B, $A193, NewEmisData!$C:$C, $H193, NewEmisData!$D:$D, CF$6)</f>
        <v>0.15866010461272401</v>
      </c>
      <c r="CG193" s="1111">
        <f t="shared" si="250"/>
        <v>0.15866010461272401</v>
      </c>
      <c r="CH193" s="1111">
        <f t="shared" si="251"/>
        <v>3.4721835377985802E-2</v>
      </c>
      <c r="CI193" s="1111">
        <f>SUMIFS(NewEmisData!E:E, NewEmisData!$A:$A, $G193, NewEmisData!$B:$B, $A193, NewEmisData!$C:$C, $H193, NewEmisData!$D:$D, CI$6)</f>
        <v>3.4721835377985802E-2</v>
      </c>
      <c r="CJ193" s="1111">
        <f>SUMIFS(NewEmisData!F:F, NewEmisData!$A:$A, $G193, NewEmisData!$B:$B, $A193, NewEmisData!$C:$C, $H193, NewEmisData!$D:$D, CJ$6)</f>
        <v>3.4721918500933702E-2</v>
      </c>
      <c r="CK193" s="1111">
        <f>SUMIFS(NewEmisData!G:G, NewEmisData!$A:$A, $G193, NewEmisData!$B:$B, $A193, NewEmisData!$C:$C, $H193, NewEmisData!$D:$D, CK$6)</f>
        <v>3.9607483836340801E-2</v>
      </c>
      <c r="CL193" s="1111">
        <f>SUMIFS(NewEmisData!H:H, NewEmisData!$A:$A, $G193, NewEmisData!$B:$B, $A193, NewEmisData!$C:$C, $H193, NewEmisData!$D:$D, CL$6)</f>
        <v>3.9607942764627597E-2</v>
      </c>
      <c r="CM193" s="1111">
        <f>SUMIFS(NewEmisData!I:I, NewEmisData!$A:$A, $G193, NewEmisData!$B:$B, $A193, NewEmisData!$C:$C, $H193, NewEmisData!$D:$D, CM$6)</f>
        <v>3.9608185476154502E-2</v>
      </c>
      <c r="CN193" s="1111">
        <f>SUMIFS(NewEmisData!J:J, NewEmisData!$A:$A, $G193, NewEmisData!$B:$B, $A193, NewEmisData!$C:$C, $H193, NewEmisData!$D:$D, CN$6)</f>
        <v>3.9608266206743202E-2</v>
      </c>
      <c r="CO193" s="1111">
        <f>SUMIFS(NewEmisData!K:K, NewEmisData!$A:$A, $G193, NewEmisData!$B:$B, $A193, NewEmisData!$C:$C, $H193, NewEmisData!$D:$D, CO$6)</f>
        <v>3.96082447188153E-2</v>
      </c>
      <c r="CP193" s="1111">
        <f>SUMIFS(NewEmisData!L:L, NewEmisData!$A:$A, $G193, NewEmisData!$B:$B, $A193, NewEmisData!$C:$C, $H193, NewEmisData!$D:$D, CP$6)</f>
        <v>3.96082633707312E-2</v>
      </c>
      <c r="CQ193" s="1111">
        <f>SUMIFS(NewEmisData!M:M, NewEmisData!$A:$A, $G193, NewEmisData!$B:$B, $A193, NewEmisData!$C:$C, $H193, NewEmisData!$D:$D, CQ$6)</f>
        <v>3.9608260132730701E-2</v>
      </c>
      <c r="CR193" s="1111">
        <f t="shared" si="252"/>
        <v>3.9608260132730701E-2</v>
      </c>
      <c r="CS193" s="1111">
        <f t="shared" si="253"/>
        <v>6.5007561655818502E-3</v>
      </c>
      <c r="CT193" s="1111">
        <f>SUMIFS(NewEmisData!E:E, NewEmisData!$A:$A, $G193, NewEmisData!$B:$B, $A193, NewEmisData!$C:$C, $H193, NewEmisData!$D:$D, CT$6)</f>
        <v>6.5007561655818502E-3</v>
      </c>
      <c r="CU193" s="1111">
        <f>SUMIFS(NewEmisData!F:F, NewEmisData!$A:$A, $G193, NewEmisData!$B:$B, $A193, NewEmisData!$C:$C, $H193, NewEmisData!$D:$D, CU$6)</f>
        <v>6.4232890684132399E-3</v>
      </c>
      <c r="CV193" s="1111">
        <f>SUMIFS(NewEmisData!G:G, NewEmisData!$A:$A, $G193, NewEmisData!$B:$B, $A193, NewEmisData!$C:$C, $H193, NewEmisData!$D:$D, CV$6)</f>
        <v>7.3982049149974903E-3</v>
      </c>
      <c r="CW193" s="1111">
        <f>SUMIFS(NewEmisData!H:H, NewEmisData!$A:$A, $G193, NewEmisData!$B:$B, $A193, NewEmisData!$C:$C, $H193, NewEmisData!$D:$D, CW$6)</f>
        <v>7.4088773394752599E-3</v>
      </c>
      <c r="CX193" s="1111">
        <f>SUMIFS(NewEmisData!I:I, NewEmisData!$A:$A, $G193, NewEmisData!$B:$B, $A193, NewEmisData!$C:$C, $H193, NewEmisData!$D:$D, CX$6)</f>
        <v>7.4094538759446396E-3</v>
      </c>
      <c r="CY193" s="1111">
        <f>SUMIFS(NewEmisData!J:J, NewEmisData!$A:$A, $G193, NewEmisData!$B:$B, $A193, NewEmisData!$C:$C, $H193, NewEmisData!$D:$D, CY$6)</f>
        <v>7.4045671468592096E-3</v>
      </c>
      <c r="CZ193" s="1111">
        <f>SUMIFS(NewEmisData!K:K, NewEmisData!$A:$A, $G193, NewEmisData!$B:$B, $A193, NewEmisData!$C:$C, $H193, NewEmisData!$D:$D, CZ$6)</f>
        <v>7.4007369137275699E-3</v>
      </c>
      <c r="DA193" s="1111">
        <f>SUMIFS(NewEmisData!L:L, NewEmisData!$A:$A, $G193, NewEmisData!$B:$B, $A193, NewEmisData!$C:$C, $H193, NewEmisData!$D:$D, DA$6)</f>
        <v>7.3993983540755204E-3</v>
      </c>
      <c r="DB193" s="1111">
        <f>SUMIFS(NewEmisData!M:M, NewEmisData!$A:$A, $G193, NewEmisData!$B:$B, $A193, NewEmisData!$C:$C, $H193, NewEmisData!$D:$D, DB$6)</f>
        <v>7.3984107449231598E-3</v>
      </c>
      <c r="DC193" s="1111">
        <f t="shared" si="254"/>
        <v>7.3984107449231598E-3</v>
      </c>
      <c r="DD193" s="1111"/>
      <c r="DE193" s="1111"/>
      <c r="DF193" s="1111"/>
      <c r="DG193" s="1111"/>
      <c r="DH193" s="1111"/>
      <c r="DI193" s="1111"/>
      <c r="DJ193" s="1111"/>
      <c r="DK193" s="1111"/>
      <c r="DL193" s="1111"/>
      <c r="DM193" s="1111"/>
      <c r="DN193" s="1111"/>
      <c r="DO193" s="1111"/>
      <c r="DP193" s="1111"/>
      <c r="DQ193" s="1111"/>
      <c r="DR193" s="1111"/>
      <c r="DS193" s="1111"/>
      <c r="DT193" s="1111"/>
      <c r="DU193" s="1111"/>
      <c r="DV193" s="1111"/>
      <c r="DW193" s="1111"/>
      <c r="DX193" s="1111"/>
      <c r="DY193" s="1111"/>
      <c r="DZ193" s="1111">
        <f t="shared" si="255"/>
        <v>4.41589904201058E-2</v>
      </c>
      <c r="EA193" s="1111">
        <f>SUMIFS(NewEmisData!E:E, NewEmisData!$A:$A, $G193, NewEmisData!$B:$B, $A193, NewEmisData!$C:$C, $H193, NewEmisData!$D:$D, EA$6)</f>
        <v>4.41589904201058E-2</v>
      </c>
      <c r="EB193" s="1111">
        <f>SUMIFS(NewEmisData!F:F, NewEmisData!$A:$A, $G193, NewEmisData!$B:$B, $A193, NewEmisData!$C:$C, $H193, NewEmisData!$D:$D, EB$6)</f>
        <v>0.113476815309018</v>
      </c>
      <c r="EC193" s="1111">
        <f>SUMIFS(NewEmisData!G:G, NewEmisData!$A:$A, $G193, NewEmisData!$B:$B, $A193, NewEmisData!$C:$C, $H193, NewEmisData!$D:$D, EC$6)</f>
        <v>0.148804284105474</v>
      </c>
      <c r="ED193" s="1111">
        <f>SUMIFS(NewEmisData!H:H, NewEmisData!$A:$A, $G193, NewEmisData!$B:$B, $A193, NewEmisData!$C:$C, $H193, NewEmisData!$D:$D, ED$6)</f>
        <v>0.149805777267462</v>
      </c>
      <c r="EE193" s="1111">
        <f>SUMIFS(NewEmisData!I:I, NewEmisData!$A:$A, $G193, NewEmisData!$B:$B, $A193, NewEmisData!$C:$C, $H193, NewEmisData!$D:$D, EE$6)</f>
        <v>0.14994983513978</v>
      </c>
      <c r="EF193" s="1111">
        <f>SUMIFS(NewEmisData!J:J, NewEmisData!$A:$A, $G193, NewEmisData!$B:$B, $A193, NewEmisData!$C:$C, $H193, NewEmisData!$D:$D, EF$6)</f>
        <v>0.14964505772550801</v>
      </c>
      <c r="EG193" s="1111">
        <f>SUMIFS(NewEmisData!K:K, NewEmisData!$A:$A, $G193, NewEmisData!$B:$B, $A193, NewEmisData!$C:$C, $H193, NewEmisData!$D:$D, EG$6)</f>
        <v>0.149643881204473</v>
      </c>
      <c r="EH193" s="1111">
        <f>SUMIFS(NewEmisData!L:L, NewEmisData!$A:$A, $G193, NewEmisData!$B:$B, $A193, NewEmisData!$C:$C, $H193, NewEmisData!$D:$D, EH$6)</f>
        <v>0.14957074940992099</v>
      </c>
      <c r="EI193" s="1111">
        <f>SUMIFS(NewEmisData!M:M, NewEmisData!$A:$A, $G193, NewEmisData!$B:$B, $A193, NewEmisData!$C:$C, $H193, NewEmisData!$D:$D, EI$6)</f>
        <v>0.149527028885417</v>
      </c>
      <c r="EJ193" s="1111">
        <f t="shared" si="256"/>
        <v>0.149527028885417</v>
      </c>
      <c r="EK193" s="1111">
        <f t="shared" si="257"/>
        <v>1844.7083010230299</v>
      </c>
      <c r="EL193" s="1111">
        <f t="shared" si="269"/>
        <v>1844.7083010230299</v>
      </c>
      <c r="EM193" s="1111">
        <f t="shared" si="270"/>
        <v>1832.6045194358301</v>
      </c>
      <c r="EN193" s="1111">
        <f t="shared" si="271"/>
        <v>1884.2537986570301</v>
      </c>
      <c r="EO193" s="1111">
        <f t="shared" si="272"/>
        <v>1818.5727784503399</v>
      </c>
      <c r="EP193" s="1111">
        <f t="shared" si="273"/>
        <v>1763.6996289860999</v>
      </c>
      <c r="EQ193" s="1111">
        <f t="shared" si="274"/>
        <v>1745.38280930633</v>
      </c>
      <c r="ER193" s="1111">
        <f t="shared" si="275"/>
        <v>1739.98947678168</v>
      </c>
      <c r="ES193" s="1111">
        <f t="shared" si="276"/>
        <v>1738.81123596359</v>
      </c>
      <c r="ET193" s="1111">
        <f t="shared" si="277"/>
        <v>1738.5227113911701</v>
      </c>
      <c r="EU193" s="1111">
        <f t="shared" si="278"/>
        <v>1738.5227113911701</v>
      </c>
      <c r="EV193" s="1111">
        <f t="shared" si="258"/>
        <v>11.3242694436207</v>
      </c>
      <c r="EW193" s="1111">
        <f t="shared" si="259"/>
        <v>11.3242694436207</v>
      </c>
      <c r="EX193" s="1111">
        <f t="shared" si="260"/>
        <v>5.2798482437774998</v>
      </c>
      <c r="EY193" s="1111">
        <f t="shared" si="261"/>
        <v>3.78642260339578</v>
      </c>
      <c r="EZ193" s="1111">
        <f t="shared" si="262"/>
        <v>2.1972961679722198</v>
      </c>
      <c r="FA193" s="1111">
        <f t="shared" si="263"/>
        <v>1.5398620814352</v>
      </c>
      <c r="FB193" s="1111">
        <f t="shared" si="264"/>
        <v>1.33073738385153</v>
      </c>
      <c r="FC193" s="1111">
        <f t="shared" si="265"/>
        <v>1.2670046042829299</v>
      </c>
      <c r="FD193" s="1111">
        <f t="shared" si="266"/>
        <v>1.25837731661006</v>
      </c>
      <c r="FE193" s="1111">
        <f t="shared" si="267"/>
        <v>1.2558936064742501</v>
      </c>
      <c r="FF193" s="1111">
        <f t="shared" si="268"/>
        <v>1.2558936064742501</v>
      </c>
      <c r="FG193" s="1111">
        <f t="shared" si="291"/>
        <v>4.5365869728215401E-2</v>
      </c>
      <c r="FH193" s="1111">
        <f t="shared" si="292"/>
        <v>4.5365869728215401E-2</v>
      </c>
      <c r="FI193" s="1111">
        <f t="shared" si="293"/>
        <v>4.3660344033601299E-2</v>
      </c>
      <c r="FJ193" s="1111">
        <f t="shared" si="294"/>
        <v>1.5842755870111001E-2</v>
      </c>
      <c r="FK193" s="1111">
        <f t="shared" si="295"/>
        <v>1.52011817179993E-2</v>
      </c>
      <c r="FL193" s="1111">
        <f t="shared" si="296"/>
        <v>1.47126837043844E-2</v>
      </c>
      <c r="FM193" s="1111">
        <f t="shared" si="297"/>
        <v>1.45535009771615E-2</v>
      </c>
      <c r="FN193" s="1111">
        <f t="shared" si="298"/>
        <v>1.4506508977964299E-2</v>
      </c>
      <c r="FO193" s="1111">
        <f t="shared" si="299"/>
        <v>1.44966873739067E-2</v>
      </c>
      <c r="FP193" s="1111">
        <f t="shared" si="300"/>
        <v>1.4494279129535799E-2</v>
      </c>
      <c r="FQ193" s="1111">
        <f t="shared" si="301"/>
        <v>1.4494279129535799E-2</v>
      </c>
      <c r="FR193" s="1111">
        <f t="shared" si="230"/>
        <v>1.1349607828839201</v>
      </c>
      <c r="FS193" s="1111">
        <f t="shared" si="231"/>
        <v>1.1349607828839201</v>
      </c>
      <c r="FT193" s="1111">
        <f t="shared" si="232"/>
        <v>0.61030408012734905</v>
      </c>
      <c r="FU193" s="1111">
        <f t="shared" si="233"/>
        <v>0.44031388127967303</v>
      </c>
      <c r="FV193" s="1111">
        <f t="shared" si="234"/>
        <v>0.34801512923671002</v>
      </c>
      <c r="FW193" s="1111">
        <f t="shared" si="235"/>
        <v>0.316619673688259</v>
      </c>
      <c r="FX193" s="1111">
        <f t="shared" si="236"/>
        <v>0.310711543242081</v>
      </c>
      <c r="FY193" s="1111">
        <f t="shared" si="237"/>
        <v>0.30897246291541097</v>
      </c>
      <c r="FZ193" s="1111">
        <f t="shared" si="238"/>
        <v>0.308957597755115</v>
      </c>
      <c r="GA193" s="1111">
        <f t="shared" si="239"/>
        <v>0.30895604079919098</v>
      </c>
      <c r="GB193" s="1111">
        <f t="shared" si="240"/>
        <v>0.30895604079919098</v>
      </c>
      <c r="GC193" s="1111">
        <f t="shared" si="279"/>
        <v>0.82460782978682501</v>
      </c>
      <c r="GD193" s="1111">
        <f t="shared" si="280"/>
        <v>0.82460782978682501</v>
      </c>
      <c r="GE193" s="1111">
        <f t="shared" si="281"/>
        <v>0.34373570942234799</v>
      </c>
      <c r="GF193" s="1111">
        <f t="shared" si="282"/>
        <v>0.18121898411016099</v>
      </c>
      <c r="GG193" s="1111">
        <f t="shared" si="283"/>
        <v>9.7394815729633696E-2</v>
      </c>
      <c r="GH193" s="1111">
        <f t="shared" si="284"/>
        <v>6.8837534672911399E-2</v>
      </c>
      <c r="GI193" s="1111">
        <f t="shared" si="285"/>
        <v>6.3495189038770203E-2</v>
      </c>
      <c r="GJ193" s="1111">
        <f t="shared" si="286"/>
        <v>6.1918142257759601E-2</v>
      </c>
      <c r="GK193" s="1111">
        <f t="shared" si="287"/>
        <v>6.1908718128838802E-2</v>
      </c>
      <c r="GL193" s="1111">
        <f t="shared" si="288"/>
        <v>6.1907262020399603E-2</v>
      </c>
      <c r="GM193" s="1111">
        <f t="shared" si="289"/>
        <v>6.1907262020399603E-2</v>
      </c>
    </row>
    <row r="194" spans="1:195" x14ac:dyDescent="0.2">
      <c r="A194" s="1071" t="s">
        <v>188</v>
      </c>
      <c r="B194" s="1071" t="str">
        <f>Technologies!C121</f>
        <v>TMDSLADV</v>
      </c>
      <c r="C194" s="1071" t="str">
        <f>Technologies!D121</f>
        <v>Medium Duty Truck, Advanced Diesel</v>
      </c>
      <c r="D194" s="1071" t="str">
        <f>NewTech!D73</f>
        <v>bn-vmt, bn-vmt/a</v>
      </c>
      <c r="E194" s="1071" t="str">
        <f>NewTech!E74</f>
        <v>TMDSL</v>
      </c>
      <c r="F194" s="1071" t="str">
        <f>NewTech!F74</f>
        <v>TM</v>
      </c>
      <c r="G194" s="1110" t="s">
        <v>503</v>
      </c>
      <c r="H194" s="1110" t="s">
        <v>499</v>
      </c>
      <c r="I194" s="1112">
        <v>1</v>
      </c>
      <c r="J194" s="1111" t="str">
        <f t="shared" si="37"/>
        <v>Medium duty-DSL</v>
      </c>
      <c r="K194" s="1111">
        <f>SUMIFS(NewEmisData!E:E, NewEmisData!$A:$A, $G194, NewEmisData!$B:$B, $A194, NewEmisData!$C:$C, $H194, NewEmisData!$D:$D, K$6)</f>
        <v>1359.24651399801</v>
      </c>
      <c r="L194" s="1111">
        <f>SUMIFS(NewEmisData!F:F, NewEmisData!$A:$A, $G194, NewEmisData!$B:$B, $A194, NewEmisData!$C:$C, $H194, NewEmisData!$D:$D, L$6)</f>
        <v>1349.4553811456799</v>
      </c>
      <c r="M194" s="1111">
        <f>SUMIFS(NewEmisData!G:G, NewEmisData!$A:$A, $G194, NewEmisData!$B:$B, $A194, NewEmisData!$C:$C, $H194, NewEmisData!$D:$D, M$6)</f>
        <v>1201.7753721342699</v>
      </c>
      <c r="N194" s="1111">
        <f>SUMIFS(NewEmisData!H:H, NewEmisData!$A:$A, $G194, NewEmisData!$B:$B, $A194, NewEmisData!$C:$C, $H194, NewEmisData!$D:$D, N$6)</f>
        <v>1159.4102608457299</v>
      </c>
      <c r="O194" s="1111">
        <f>SUMIFS(NewEmisData!I:I, NewEmisData!$A:$A, $G194, NewEmisData!$B:$B, $A194, NewEmisData!$C:$C, $H194, NewEmisData!$D:$D, O$6)</f>
        <v>1124.18143975774</v>
      </c>
      <c r="P194" s="1111">
        <f>SUMIFS(NewEmisData!J:J, NewEmisData!$A:$A, $G194, NewEmisData!$B:$B, $A194, NewEmisData!$C:$C, $H194, NewEmisData!$D:$D, P$6)</f>
        <v>1112.41123305204</v>
      </c>
      <c r="Q194" s="1111">
        <f>SUMIFS(NewEmisData!K:K, NewEmisData!$A:$A, $G194, NewEmisData!$B:$B, $A194, NewEmisData!$C:$C, $H194, NewEmisData!$D:$D, Q$6)</f>
        <v>1108.9495585776399</v>
      </c>
      <c r="R194" s="1111">
        <f>SUMIFS(NewEmisData!L:L, NewEmisData!$A:$A, $G194, NewEmisData!$B:$B, $A194, NewEmisData!$C:$C, $H194, NewEmisData!$D:$D, R$6)</f>
        <v>1108.1911650136201</v>
      </c>
      <c r="S194" s="1111">
        <f>SUMIFS(NewEmisData!M:M, NewEmisData!$A:$A, $G194, NewEmisData!$B:$B, $A194, NewEmisData!$C:$C, $H194, NewEmisData!$D:$D, S$6)</f>
        <v>1108.0051090873801</v>
      </c>
      <c r="T194" s="1111">
        <f t="shared" si="290"/>
        <v>1108.0051090873801</v>
      </c>
      <c r="U194" s="1111">
        <f>SUMIFS(NewEmisData!E:E, NewEmisData!$A:$A, $G194, NewEmisData!$B:$B, $A194, NewEmisData!$C:$C, $H194, NewEmisData!$D:$D, U$6)</f>
        <v>9.9935080505540999</v>
      </c>
      <c r="V194" s="1111">
        <f>SUMIFS(NewEmisData!F:F, NewEmisData!$A:$A, $G194, NewEmisData!$B:$B, $A194, NewEmisData!$C:$C, $H194, NewEmisData!$D:$D, V$6)</f>
        <v>5.4019505037215803</v>
      </c>
      <c r="W194" s="1111">
        <f>SUMIFS(NewEmisData!G:G, NewEmisData!$A:$A, $G194, NewEmisData!$B:$B, $A194, NewEmisData!$C:$C, $H194, NewEmisData!$D:$D, W$6)</f>
        <v>2.3680454032681002</v>
      </c>
      <c r="X194" s="1111">
        <f>SUMIFS(NewEmisData!H:H, NewEmisData!$A:$A, $G194, NewEmisData!$B:$B, $A194, NewEmisData!$C:$C, $H194, NewEmisData!$D:$D, X$6)</f>
        <v>1.37960112387871</v>
      </c>
      <c r="Y194" s="1111">
        <f>SUMIFS(NewEmisData!I:I, NewEmisData!$A:$A, $G194, NewEmisData!$B:$B, $A194, NewEmisData!$C:$C, $H194, NewEmisData!$D:$D, Y$6)</f>
        <v>0.96959264343873697</v>
      </c>
      <c r="Z194" s="1111">
        <f>SUMIFS(NewEmisData!J:J, NewEmisData!$A:$A, $G194, NewEmisData!$B:$B, $A194, NewEmisData!$C:$C, $H194, NewEmisData!$D:$D, Z$6)</f>
        <v>0.83872679442891696</v>
      </c>
      <c r="AA194" s="1111">
        <f>SUMIFS(NewEmisData!K:K, NewEmisData!$A:$A, $G194, NewEmisData!$B:$B, $A194, NewEmisData!$C:$C, $H194, NewEmisData!$D:$D, AA$6)</f>
        <v>0.79867865097523805</v>
      </c>
      <c r="AB194" s="1111">
        <f>SUMIFS(NewEmisData!L:L, NewEmisData!$A:$A, $G194, NewEmisData!$B:$B, $A194, NewEmisData!$C:$C, $H194, NewEmisData!$D:$D, AB$6)</f>
        <v>0.79322284274622901</v>
      </c>
      <c r="AC194" s="1111">
        <f>SUMIFS(NewEmisData!M:M, NewEmisData!$A:$A, $G194, NewEmisData!$B:$B, $A194, NewEmisData!$C:$C, $H194, NewEmisData!$D:$D, AC$6)</f>
        <v>0.79163411205103495</v>
      </c>
      <c r="AD194" s="1111">
        <f t="shared" si="229"/>
        <v>0.79163411205103495</v>
      </c>
      <c r="AE194" s="1111">
        <f t="shared" si="241"/>
        <v>3.2609020112497403E-2</v>
      </c>
      <c r="AF194" s="1111">
        <f>SUMIFS(NewEmisData!E:E, NewEmisData!$A:$A, $G194, NewEmisData!$B:$B, $A194, NewEmisData!$C:$C, $H194, NewEmisData!$D:$D, AF$6)</f>
        <v>3.2609020112497403E-2</v>
      </c>
      <c r="AG194" s="1111">
        <f>SUMIFS(NewEmisData!F:F, NewEmisData!$A:$A, $G194, NewEmisData!$B:$B, $A194, NewEmisData!$C:$C, $H194, NewEmisData!$D:$D, AG$6)</f>
        <v>3.17571573502895E-2</v>
      </c>
      <c r="AH194" s="1111">
        <f>SUMIFS(NewEmisData!G:G, NewEmisData!$A:$A, $G194, NewEmisData!$B:$B, $A194, NewEmisData!$C:$C, $H194, NewEmisData!$D:$D, AH$6)</f>
        <v>1.01046015527187E-2</v>
      </c>
      <c r="AI194" s="1111">
        <f>SUMIFS(NewEmisData!H:H, NewEmisData!$A:$A, $G194, NewEmisData!$B:$B, $A194, NewEmisData!$C:$C, $H194, NewEmisData!$D:$D, AI$6)</f>
        <v>9.6913827425881005E-3</v>
      </c>
      <c r="AJ194" s="1111">
        <f>SUMIFS(NewEmisData!I:I, NewEmisData!$A:$A, $G194, NewEmisData!$B:$B, $A194, NewEmisData!$C:$C, $H194, NewEmisData!$D:$D, AJ$6)</f>
        <v>9.3778737694311005E-3</v>
      </c>
      <c r="AK194" s="1111">
        <f>SUMIFS(NewEmisData!J:J, NewEmisData!$A:$A, $G194, NewEmisData!$B:$B, $A194, NewEmisData!$C:$C, $H194, NewEmisData!$D:$D, AK$6)</f>
        <v>9.2756075273223108E-3</v>
      </c>
      <c r="AL194" s="1111">
        <f>SUMIFS(NewEmisData!K:K, NewEmisData!$A:$A, $G194, NewEmisData!$B:$B, $A194, NewEmisData!$C:$C, $H194, NewEmisData!$D:$D, AL$6)</f>
        <v>9.2454491450441392E-3</v>
      </c>
      <c r="AM194" s="1111">
        <f>SUMIFS(NewEmisData!L:L, NewEmisData!$A:$A, $G194, NewEmisData!$B:$B, $A194, NewEmisData!$C:$C, $H194, NewEmisData!$D:$D, AM$6)</f>
        <v>9.2391217629996109E-3</v>
      </c>
      <c r="AN194" s="1111">
        <f>SUMIFS(NewEmisData!M:M, NewEmisData!$A:$A, $G194, NewEmisData!$B:$B, $A194, NewEmisData!$C:$C, $H194, NewEmisData!$D:$D, AN$6)</f>
        <v>9.2375739351750405E-3</v>
      </c>
      <c r="AO194" s="1111">
        <f t="shared" si="242"/>
        <v>9.2375739351750405E-3</v>
      </c>
      <c r="AP194" s="1111">
        <f t="shared" si="243"/>
        <v>0.92068922490925897</v>
      </c>
      <c r="AQ194" s="1111">
        <f>SUMIFS(NewEmisData!E:E, NewEmisData!$A:$A, $G194, NewEmisData!$B:$B, $A194, NewEmisData!$C:$C, $H194, NewEmisData!$D:$D, AQ$6)</f>
        <v>0.92068922490925897</v>
      </c>
      <c r="AR194" s="1111">
        <f>SUMIFS(NewEmisData!F:F, NewEmisData!$A:$A, $G194, NewEmisData!$B:$B, $A194, NewEmisData!$C:$C, $H194, NewEmisData!$D:$D, AR$6)</f>
        <v>0.49332051927640103</v>
      </c>
      <c r="AS194" s="1111">
        <f>SUMIFS(NewEmisData!G:G, NewEmisData!$A:$A, $G194, NewEmisData!$B:$B, $A194, NewEmisData!$C:$C, $H194, NewEmisData!$D:$D, AS$6)</f>
        <v>0.24551244923642301</v>
      </c>
      <c r="AT194" s="1111">
        <f>SUMIFS(NewEmisData!H:H, NewEmisData!$A:$A, $G194, NewEmisData!$B:$B, $A194, NewEmisData!$C:$C, $H194, NewEmisData!$D:$D, AT$6)</f>
        <v>0.19029699336139799</v>
      </c>
      <c r="AU194" s="1111">
        <f>SUMIFS(NewEmisData!I:I, NewEmisData!$A:$A, $G194, NewEmisData!$B:$B, $A194, NewEmisData!$C:$C, $H194, NewEmisData!$D:$D, AU$6)</f>
        <v>0.171654581016567</v>
      </c>
      <c r="AV194" s="1111">
        <f>SUMIFS(NewEmisData!J:J, NewEmisData!$A:$A, $G194, NewEmisData!$B:$B, $A194, NewEmisData!$C:$C, $H194, NewEmisData!$D:$D, AV$6)</f>
        <v>0.168061002565252</v>
      </c>
      <c r="AW194" s="1111">
        <f>SUMIFS(NewEmisData!K:K, NewEmisData!$A:$A, $G194, NewEmisData!$B:$B, $A194, NewEmisData!$C:$C, $H194, NewEmisData!$D:$D, AW$6)</f>
        <v>0.167001709815503</v>
      </c>
      <c r="AX194" s="1111">
        <f>SUMIFS(NewEmisData!L:L, NewEmisData!$A:$A, $G194, NewEmisData!$B:$B, $A194, NewEmisData!$C:$C, $H194, NewEmisData!$D:$D, AX$6)</f>
        <v>0.16699297497215901</v>
      </c>
      <c r="AY194" s="1111">
        <f>SUMIFS(NewEmisData!M:M, NewEmisData!$A:$A, $G194, NewEmisData!$B:$B, $A194, NewEmisData!$C:$C, $H194, NewEmisData!$D:$D, AY$6)</f>
        <v>0.16699184457612301</v>
      </c>
      <c r="AZ194" s="1111">
        <f t="shared" si="244"/>
        <v>0.16699184457612301</v>
      </c>
      <c r="BA194" s="1111">
        <f t="shared" si="245"/>
        <v>0.71010379978724403</v>
      </c>
      <c r="BB194" s="1111">
        <f>SUMIFS(NewEmisData!E:E, NewEmisData!$A:$A, $G194, NewEmisData!$B:$B, $A194, NewEmisData!$C:$C, $H194, NewEmisData!$D:$D, BB$6)</f>
        <v>0.71010379978724403</v>
      </c>
      <c r="BC194" s="1111">
        <f>SUMIFS(NewEmisData!F:F, NewEmisData!$A:$A, $G194, NewEmisData!$B:$B, $A194, NewEmisData!$C:$C, $H194, NewEmisData!$D:$D, BC$6)</f>
        <v>0.31539716063004603</v>
      </c>
      <c r="BD194" s="1111">
        <f>SUMIFS(NewEmisData!G:G, NewEmisData!$A:$A, $G194, NewEmisData!$B:$B, $A194, NewEmisData!$C:$C, $H194, NewEmisData!$D:$D, BD$6)</f>
        <v>0.10700307974279601</v>
      </c>
      <c r="BE194" s="1111">
        <f>SUMIFS(NewEmisData!H:H, NewEmisData!$A:$A, $G194, NewEmisData!$B:$B, $A194, NewEmisData!$C:$C, $H194, NewEmisData!$D:$D, BE$6)</f>
        <v>5.6773062835599797E-2</v>
      </c>
      <c r="BF194" s="1111">
        <f>SUMIFS(NewEmisData!I:I, NewEmisData!$A:$A, $G194, NewEmisData!$B:$B, $A194, NewEmisData!$C:$C, $H194, NewEmisData!$D:$D, BF$6)</f>
        <v>3.9792368333530698E-2</v>
      </c>
      <c r="BG194" s="1111">
        <f>SUMIFS(NewEmisData!J:J, NewEmisData!$A:$A, $G194, NewEmisData!$B:$B, $A194, NewEmisData!$C:$C, $H194, NewEmisData!$D:$D, BG$6)</f>
        <v>3.6534861023721103E-2</v>
      </c>
      <c r="BH194" s="1111">
        <f>SUMIFS(NewEmisData!K:K, NewEmisData!$A:$A, $G194, NewEmisData!$B:$B, $A194, NewEmisData!$C:$C, $H194, NewEmisData!$D:$D, BH$6)</f>
        <v>3.5572117087596597E-2</v>
      </c>
      <c r="BI194" s="1111">
        <f>SUMIFS(NewEmisData!L:L, NewEmisData!$A:$A, $G194, NewEmisData!$B:$B, $A194, NewEmisData!$C:$C, $H194, NewEmisData!$D:$D, BI$6)</f>
        <v>3.556620106866E-2</v>
      </c>
      <c r="BJ194" s="1111">
        <f>SUMIFS(NewEmisData!M:M, NewEmisData!$A:$A, $G194, NewEmisData!$B:$B, $A194, NewEmisData!$C:$C, $H194, NewEmisData!$D:$D, BJ$6)</f>
        <v>3.5565244855547698E-2</v>
      </c>
      <c r="BK194" s="1111">
        <f t="shared" si="246"/>
        <v>3.5565244855547698E-2</v>
      </c>
      <c r="BL194" s="1111">
        <f t="shared" si="247"/>
        <v>4.3150452160613399</v>
      </c>
      <c r="BM194" s="1111">
        <f>SUMIFS(NewEmisData!E:E, NewEmisData!$A:$A, $G194, NewEmisData!$B:$B, $A194, NewEmisData!$C:$C, $H194, NewEmisData!$D:$D, BM$6)</f>
        <v>4.3150452160613399</v>
      </c>
      <c r="BN194" s="1111">
        <f>SUMIFS(NewEmisData!F:F, NewEmisData!$A:$A, $G194, NewEmisData!$B:$B, $A194, NewEmisData!$C:$C, $H194, NewEmisData!$D:$D, BN$6)</f>
        <v>2.1245169733868399</v>
      </c>
      <c r="BO194" s="1111">
        <f>SUMIFS(NewEmisData!G:G, NewEmisData!$A:$A, $G194, NewEmisData!$B:$B, $A194, NewEmisData!$C:$C, $H194, NewEmisData!$D:$D, BO$6)</f>
        <v>0.94068181429637499</v>
      </c>
      <c r="BP194" s="1111">
        <f>SUMIFS(NewEmisData!H:H, NewEmisData!$A:$A, $G194, NewEmisData!$B:$B, $A194, NewEmisData!$C:$C, $H194, NewEmisData!$D:$D, BP$6)</f>
        <v>0.59128118339828695</v>
      </c>
      <c r="BQ194" s="1111">
        <f>SUMIFS(NewEmisData!I:I, NewEmisData!$A:$A, $G194, NewEmisData!$B:$B, $A194, NewEmisData!$C:$C, $H194, NewEmisData!$D:$D, BQ$6)</f>
        <v>0.47927194222425401</v>
      </c>
      <c r="BR194" s="1111">
        <f>SUMIFS(NewEmisData!J:J, NewEmisData!$A:$A, $G194, NewEmisData!$B:$B, $A194, NewEmisData!$C:$C, $H194, NewEmisData!$D:$D, BR$6)</f>
        <v>0.45341859187278799</v>
      </c>
      <c r="BS194" s="1111">
        <f>SUMIFS(NewEmisData!K:K, NewEmisData!$A:$A, $G194, NewEmisData!$B:$B, $A194, NewEmisData!$C:$C, $H194, NewEmisData!$D:$D, BS$6)</f>
        <v>0.446256256758017</v>
      </c>
      <c r="BT194" s="1111">
        <f>SUMIFS(NewEmisData!L:L, NewEmisData!$A:$A, $G194, NewEmisData!$B:$B, $A194, NewEmisData!$C:$C, $H194, NewEmisData!$D:$D, BT$6)</f>
        <v>0.44612206557733602</v>
      </c>
      <c r="BU194" s="1111">
        <f>SUMIFS(NewEmisData!M:M, NewEmisData!$A:$A, $G194, NewEmisData!$B:$B, $A194, NewEmisData!$C:$C, $H194, NewEmisData!$D:$D, BU$6)</f>
        <v>0.44605643597918299</v>
      </c>
      <c r="BV194" s="1111">
        <f t="shared" si="248"/>
        <v>0.44605643597918299</v>
      </c>
      <c r="BW194" s="1111">
        <f t="shared" si="249"/>
        <v>1.7526352760541399</v>
      </c>
      <c r="BX194" s="1111">
        <f>SUMIFS(NewEmisData!E:E, NewEmisData!$A:$A, $G194, NewEmisData!$B:$B, $A194, NewEmisData!$C:$C, $H194, NewEmisData!$D:$D, BX$6)</f>
        <v>1.7526352760541399</v>
      </c>
      <c r="BY194" s="1111">
        <f>SUMIFS(NewEmisData!F:F, NewEmisData!$A:$A, $G194, NewEmisData!$B:$B, $A194, NewEmisData!$C:$C, $H194, NewEmisData!$D:$D, BY$6)</f>
        <v>0.76319496140940501</v>
      </c>
      <c r="BZ194" s="1111">
        <f>SUMIFS(NewEmisData!G:G, NewEmisData!$A:$A, $G194, NewEmisData!$B:$B, $A194, NewEmisData!$C:$C, $H194, NewEmisData!$D:$D, BZ$6)</f>
        <v>0.28613534772152999</v>
      </c>
      <c r="CA194" s="1111">
        <f>SUMIFS(NewEmisData!H:H, NewEmisData!$A:$A, $G194, NewEmisData!$B:$B, $A194, NewEmisData!$C:$C, $H194, NewEmisData!$D:$D, CA$6)</f>
        <v>0.14791681955889299</v>
      </c>
      <c r="CB194" s="1111">
        <f>SUMIFS(NewEmisData!I:I, NewEmisData!$A:$A, $G194, NewEmisData!$B:$B, $A194, NewEmisData!$C:$C, $H194, NewEmisData!$D:$D, CB$6)</f>
        <v>0.105362725656792</v>
      </c>
      <c r="CC194" s="1111">
        <f>SUMIFS(NewEmisData!J:J, NewEmisData!$A:$A, $G194, NewEmisData!$B:$B, $A194, NewEmisData!$C:$C, $H194, NewEmisData!$D:$D, CC$6)</f>
        <v>9.5060988557020901E-2</v>
      </c>
      <c r="CD194" s="1111">
        <f>SUMIFS(NewEmisData!K:K, NewEmisData!$A:$A, $G194, NewEmisData!$B:$B, $A194, NewEmisData!$C:$C, $H194, NewEmisData!$D:$D, CD$6)</f>
        <v>9.2424289509125304E-2</v>
      </c>
      <c r="CE194" s="1111">
        <f>SUMIFS(NewEmisData!L:L, NewEmisData!$A:$A, $G194, NewEmisData!$B:$B, $A194, NewEmisData!$C:$C, $H194, NewEmisData!$D:$D, CE$6)</f>
        <v>9.23723223995183E-2</v>
      </c>
      <c r="CF194" s="1111">
        <f>SUMIFS(NewEmisData!M:M, NewEmisData!$A:$A, $G194, NewEmisData!$B:$B, $A194, NewEmisData!$C:$C, $H194, NewEmisData!$D:$D, CF$6)</f>
        <v>9.2343531240566795E-2</v>
      </c>
      <c r="CG194" s="1111">
        <f t="shared" si="250"/>
        <v>9.2343531240566795E-2</v>
      </c>
      <c r="CH194" s="1111">
        <f t="shared" si="251"/>
        <v>2.7055218991672101E-2</v>
      </c>
      <c r="CI194" s="1111">
        <f>SUMIFS(NewEmisData!E:E, NewEmisData!$A:$A, $G194, NewEmisData!$B:$B, $A194, NewEmisData!$C:$C, $H194, NewEmisData!$D:$D, CI$6)</f>
        <v>2.7055218991672101E-2</v>
      </c>
      <c r="CJ194" s="1111">
        <f>SUMIFS(NewEmisData!F:F, NewEmisData!$A:$A, $G194, NewEmisData!$B:$B, $A194, NewEmisData!$C:$C, $H194, NewEmisData!$D:$D, CJ$6)</f>
        <v>2.7097811202849698E-2</v>
      </c>
      <c r="CK194" s="1111">
        <f>SUMIFS(NewEmisData!G:G, NewEmisData!$A:$A, $G194, NewEmisData!$B:$B, $A194, NewEmisData!$C:$C, $H194, NewEmisData!$D:$D, CK$6)</f>
        <v>2.7499989724317601E-2</v>
      </c>
      <c r="CL194" s="1111">
        <f>SUMIFS(NewEmisData!H:H, NewEmisData!$A:$A, $G194, NewEmisData!$B:$B, $A194, NewEmisData!$C:$C, $H194, NewEmisData!$D:$D, CL$6)</f>
        <v>2.7501820283735001E-2</v>
      </c>
      <c r="CM194" s="1111">
        <f>SUMIFS(NewEmisData!I:I, NewEmisData!$A:$A, $G194, NewEmisData!$B:$B, $A194, NewEmisData!$C:$C, $H194, NewEmisData!$D:$D, CM$6)</f>
        <v>2.7502699986778598E-2</v>
      </c>
      <c r="CN194" s="1111">
        <f>SUMIFS(NewEmisData!J:J, NewEmisData!$A:$A, $G194, NewEmisData!$B:$B, $A194, NewEmisData!$C:$C, $H194, NewEmisData!$D:$D, CN$6)</f>
        <v>2.7503009963342099E-2</v>
      </c>
      <c r="CO194" s="1111">
        <f>SUMIFS(NewEmisData!K:K, NewEmisData!$A:$A, $G194, NewEmisData!$B:$B, $A194, NewEmisData!$C:$C, $H194, NewEmisData!$D:$D, CO$6)</f>
        <v>2.75030807344766E-2</v>
      </c>
      <c r="CP194" s="1111">
        <f>SUMIFS(NewEmisData!L:L, NewEmisData!$A:$A, $G194, NewEmisData!$B:$B, $A194, NewEmisData!$C:$C, $H194, NewEmisData!$D:$D, CP$6)</f>
        <v>2.75031193176942E-2</v>
      </c>
      <c r="CQ194" s="1111">
        <f>SUMIFS(NewEmisData!M:M, NewEmisData!$A:$A, $G194, NewEmisData!$B:$B, $A194, NewEmisData!$C:$C, $H194, NewEmisData!$D:$D, CQ$6)</f>
        <v>2.7503100293147099E-2</v>
      </c>
      <c r="CR194" s="1111">
        <f t="shared" si="252"/>
        <v>2.7503100293147099E-2</v>
      </c>
      <c r="CS194" s="1111">
        <f t="shared" si="253"/>
        <v>3.9349904375135403E-3</v>
      </c>
      <c r="CT194" s="1111">
        <f>SUMIFS(NewEmisData!E:E, NewEmisData!$A:$A, $G194, NewEmisData!$B:$B, $A194, NewEmisData!$C:$C, $H194, NewEmisData!$D:$D, CT$6)</f>
        <v>3.9349904375135403E-3</v>
      </c>
      <c r="CU194" s="1111">
        <f>SUMIFS(NewEmisData!F:F, NewEmisData!$A:$A, $G194, NewEmisData!$B:$B, $A194, NewEmisData!$C:$C, $H194, NewEmisData!$D:$D, CU$6)</f>
        <v>4.0144188046577697E-3</v>
      </c>
      <c r="CV194" s="1111">
        <f>SUMIFS(NewEmisData!G:G, NewEmisData!$A:$A, $G194, NewEmisData!$B:$B, $A194, NewEmisData!$C:$C, $H194, NewEmisData!$D:$D, CV$6)</f>
        <v>3.85532676774381E-3</v>
      </c>
      <c r="CW194" s="1111">
        <f>SUMIFS(NewEmisData!H:H, NewEmisData!$A:$A, $G194, NewEmisData!$B:$B, $A194, NewEmisData!$C:$C, $H194, NewEmisData!$D:$D, CW$6)</f>
        <v>3.86278277523287E-3</v>
      </c>
      <c r="CX194" s="1111">
        <f>SUMIFS(NewEmisData!I:I, NewEmisData!$A:$A, $G194, NewEmisData!$B:$B, $A194, NewEmisData!$C:$C, $H194, NewEmisData!$D:$D, CX$6)</f>
        <v>3.8631569663602201E-3</v>
      </c>
      <c r="CY194" s="1111">
        <f>SUMIFS(NewEmisData!J:J, NewEmisData!$A:$A, $G194, NewEmisData!$B:$B, $A194, NewEmisData!$C:$C, $H194, NewEmisData!$D:$D, CY$6)</f>
        <v>3.8597143652261199E-3</v>
      </c>
      <c r="CZ194" s="1111">
        <f>SUMIFS(NewEmisData!K:K, NewEmisData!$A:$A, $G194, NewEmisData!$B:$B, $A194, NewEmisData!$C:$C, $H194, NewEmisData!$D:$D, CZ$6)</f>
        <v>3.8570170955670299E-3</v>
      </c>
      <c r="DA194" s="1111">
        <f>SUMIFS(NewEmisData!L:L, NewEmisData!$A:$A, $G194, NewEmisData!$B:$B, $A194, NewEmisData!$C:$C, $H194, NewEmisData!$D:$D, DA$6)</f>
        <v>3.8560726634583298E-3</v>
      </c>
      <c r="DB194" s="1111">
        <f>SUMIFS(NewEmisData!M:M, NewEmisData!$A:$A, $G194, NewEmisData!$B:$B, $A194, NewEmisData!$C:$C, $H194, NewEmisData!$D:$D, DB$6)</f>
        <v>3.8553758260127901E-3</v>
      </c>
      <c r="DC194" s="1111">
        <f t="shared" si="254"/>
        <v>3.8553758260127901E-3</v>
      </c>
      <c r="DD194" s="1111"/>
      <c r="DE194" s="1111"/>
      <c r="DF194" s="1111"/>
      <c r="DG194" s="1111"/>
      <c r="DH194" s="1111"/>
      <c r="DI194" s="1111"/>
      <c r="DJ194" s="1111"/>
      <c r="DK194" s="1111"/>
      <c r="DL194" s="1111"/>
      <c r="DM194" s="1111"/>
      <c r="DN194" s="1111"/>
      <c r="DO194" s="1111"/>
      <c r="DP194" s="1111"/>
      <c r="DQ194" s="1111"/>
      <c r="DR194" s="1111"/>
      <c r="DS194" s="1111"/>
      <c r="DT194" s="1111"/>
      <c r="DU194" s="1111"/>
      <c r="DV194" s="1111"/>
      <c r="DW194" s="1111"/>
      <c r="DX194" s="1111"/>
      <c r="DY194" s="1111"/>
      <c r="DZ194" s="1111">
        <f t="shared" si="255"/>
        <v>1.6945041867018E-2</v>
      </c>
      <c r="EA194" s="1111">
        <f>SUMIFS(NewEmisData!E:E, NewEmisData!$A:$A, $G194, NewEmisData!$B:$B, $A194, NewEmisData!$C:$C, $H194, NewEmisData!$D:$D, EA$6)</f>
        <v>1.6945041867018E-2</v>
      </c>
      <c r="EB194" s="1111">
        <f>SUMIFS(NewEmisData!F:F, NewEmisData!$A:$A, $G194, NewEmisData!$B:$B, $A194, NewEmisData!$C:$C, $H194, NewEmisData!$D:$D, EB$6)</f>
        <v>7.8276884254222703E-2</v>
      </c>
      <c r="EC194" s="1111">
        <f>SUMIFS(NewEmisData!G:G, NewEmisData!$A:$A, $G194, NewEmisData!$B:$B, $A194, NewEmisData!$C:$C, $H194, NewEmisData!$D:$D, EC$6)</f>
        <v>8.4900351611377101E-2</v>
      </c>
      <c r="ED194" s="1111">
        <f>SUMIFS(NewEmisData!H:H, NewEmisData!$A:$A, $G194, NewEmisData!$B:$B, $A194, NewEmisData!$C:$C, $H194, NewEmisData!$D:$D, ED$6)</f>
        <v>8.5774709001773697E-2</v>
      </c>
      <c r="EE194" s="1111">
        <f>SUMIFS(NewEmisData!I:I, NewEmisData!$A:$A, $G194, NewEmisData!$B:$B, $A194, NewEmisData!$C:$C, $H194, NewEmisData!$D:$D, EE$6)</f>
        <v>8.5992272513838397E-2</v>
      </c>
      <c r="EF194" s="1111">
        <f>SUMIFS(NewEmisData!J:J, NewEmisData!$A:$A, $G194, NewEmisData!$B:$B, $A194, NewEmisData!$C:$C, $H194, NewEmisData!$D:$D, EF$6)</f>
        <v>8.5851695810059206E-2</v>
      </c>
      <c r="EG194" s="1111">
        <f>SUMIFS(NewEmisData!K:K, NewEmisData!$A:$A, $G194, NewEmisData!$B:$B, $A194, NewEmisData!$C:$C, $H194, NewEmisData!$D:$D, EG$6)</f>
        <v>8.5868499327711095E-2</v>
      </c>
      <c r="EH194" s="1111">
        <f>SUMIFS(NewEmisData!L:L, NewEmisData!$A:$A, $G194, NewEmisData!$B:$B, $A194, NewEmisData!$C:$C, $H194, NewEmisData!$D:$D, EH$6)</f>
        <v>8.5821898568060301E-2</v>
      </c>
      <c r="EI194" s="1111">
        <f>SUMIFS(NewEmisData!M:M, NewEmisData!$A:$A, $G194, NewEmisData!$B:$B, $A194, NewEmisData!$C:$C, $H194, NewEmisData!$D:$D, EI$6)</f>
        <v>8.5793172972528697E-2</v>
      </c>
      <c r="EJ194" s="1111">
        <f t="shared" si="256"/>
        <v>8.5793172972528697E-2</v>
      </c>
      <c r="EK194" s="1111">
        <f t="shared" si="257"/>
        <v>1359.24651399801</v>
      </c>
      <c r="EL194" s="1111">
        <f t="shared" si="269"/>
        <v>1359.24651399801</v>
      </c>
      <c r="EM194" s="1111">
        <f t="shared" si="270"/>
        <v>1349.4553811456799</v>
      </c>
      <c r="EN194" s="1111">
        <f t="shared" si="271"/>
        <v>1201.7753721342699</v>
      </c>
      <c r="EO194" s="1111">
        <f t="shared" si="272"/>
        <v>1159.4102608457299</v>
      </c>
      <c r="EP194" s="1111">
        <f t="shared" si="273"/>
        <v>1124.18143975774</v>
      </c>
      <c r="EQ194" s="1111">
        <f t="shared" si="274"/>
        <v>1112.41123305204</v>
      </c>
      <c r="ER194" s="1111">
        <f t="shared" si="275"/>
        <v>1108.9495585776399</v>
      </c>
      <c r="ES194" s="1111">
        <f t="shared" si="276"/>
        <v>1108.1911650136201</v>
      </c>
      <c r="ET194" s="1111">
        <f t="shared" si="277"/>
        <v>1108.0051090873801</v>
      </c>
      <c r="EU194" s="1111">
        <f t="shared" si="278"/>
        <v>1108.0051090873801</v>
      </c>
      <c r="EV194" s="1111">
        <f t="shared" si="258"/>
        <v>9.9935080505540999</v>
      </c>
      <c r="EW194" s="1111">
        <f t="shared" si="259"/>
        <v>9.9935080505540999</v>
      </c>
      <c r="EX194" s="1111">
        <f t="shared" si="260"/>
        <v>5.4019505037215803</v>
      </c>
      <c r="EY194" s="1111">
        <f t="shared" si="261"/>
        <v>2.3680454032681002</v>
      </c>
      <c r="EZ194" s="1111">
        <f t="shared" si="262"/>
        <v>1.37960112387871</v>
      </c>
      <c r="FA194" s="1111">
        <f t="shared" si="263"/>
        <v>0.96959264343873697</v>
      </c>
      <c r="FB194" s="1111">
        <f t="shared" si="264"/>
        <v>0.83872679442891696</v>
      </c>
      <c r="FC194" s="1111">
        <f t="shared" si="265"/>
        <v>0.79867865097523805</v>
      </c>
      <c r="FD194" s="1111">
        <f t="shared" si="266"/>
        <v>0.79322284274622901</v>
      </c>
      <c r="FE194" s="1111">
        <f t="shared" si="267"/>
        <v>0.79163411205103495</v>
      </c>
      <c r="FF194" s="1111">
        <f t="shared" si="268"/>
        <v>0.79163411205103495</v>
      </c>
      <c r="FG194" s="1111">
        <f t="shared" si="291"/>
        <v>3.2609020112497403E-2</v>
      </c>
      <c r="FH194" s="1111">
        <f t="shared" si="292"/>
        <v>3.2609020112497403E-2</v>
      </c>
      <c r="FI194" s="1111">
        <f t="shared" si="293"/>
        <v>3.17571573502895E-2</v>
      </c>
      <c r="FJ194" s="1111">
        <f t="shared" si="294"/>
        <v>1.01046015527187E-2</v>
      </c>
      <c r="FK194" s="1111">
        <f t="shared" si="295"/>
        <v>9.6913827425881005E-3</v>
      </c>
      <c r="FL194" s="1111">
        <f t="shared" si="296"/>
        <v>9.3778737694311005E-3</v>
      </c>
      <c r="FM194" s="1111">
        <f t="shared" si="297"/>
        <v>9.2756075273223108E-3</v>
      </c>
      <c r="FN194" s="1111">
        <f t="shared" si="298"/>
        <v>9.2454491450441392E-3</v>
      </c>
      <c r="FO194" s="1111">
        <f t="shared" si="299"/>
        <v>9.2391217629996109E-3</v>
      </c>
      <c r="FP194" s="1111">
        <f t="shared" si="300"/>
        <v>9.2375739351750405E-3</v>
      </c>
      <c r="FQ194" s="1111">
        <f t="shared" si="301"/>
        <v>9.2375739351750405E-3</v>
      </c>
      <c r="FR194" s="1111">
        <f t="shared" si="230"/>
        <v>0.92068922490925897</v>
      </c>
      <c r="FS194" s="1111">
        <f t="shared" si="231"/>
        <v>0.92068922490925897</v>
      </c>
      <c r="FT194" s="1111">
        <f t="shared" si="232"/>
        <v>0.49332051927640103</v>
      </c>
      <c r="FU194" s="1111">
        <f t="shared" si="233"/>
        <v>0.24551244923642301</v>
      </c>
      <c r="FV194" s="1111">
        <f t="shared" si="234"/>
        <v>0.19029699336139799</v>
      </c>
      <c r="FW194" s="1111">
        <f t="shared" si="235"/>
        <v>0.171654581016567</v>
      </c>
      <c r="FX194" s="1111">
        <f t="shared" si="236"/>
        <v>0.168061002565252</v>
      </c>
      <c r="FY194" s="1111">
        <f t="shared" si="237"/>
        <v>0.167001709815503</v>
      </c>
      <c r="FZ194" s="1111">
        <f t="shared" si="238"/>
        <v>0.16699297497215901</v>
      </c>
      <c r="GA194" s="1111">
        <f t="shared" si="239"/>
        <v>0.16699184457612301</v>
      </c>
      <c r="GB194" s="1111">
        <f t="shared" si="240"/>
        <v>0.16699184457612301</v>
      </c>
      <c r="GC194" s="1111">
        <f t="shared" si="279"/>
        <v>0.71010379978724403</v>
      </c>
      <c r="GD194" s="1111">
        <f t="shared" si="280"/>
        <v>0.71010379978724403</v>
      </c>
      <c r="GE194" s="1111">
        <f t="shared" si="281"/>
        <v>0.31539716063004603</v>
      </c>
      <c r="GF194" s="1111">
        <f t="shared" si="282"/>
        <v>0.10700307974279601</v>
      </c>
      <c r="GG194" s="1111">
        <f t="shared" si="283"/>
        <v>5.6773062835599797E-2</v>
      </c>
      <c r="GH194" s="1111">
        <f t="shared" si="284"/>
        <v>3.9792368333530698E-2</v>
      </c>
      <c r="GI194" s="1111">
        <f t="shared" si="285"/>
        <v>3.6534861023721103E-2</v>
      </c>
      <c r="GJ194" s="1111">
        <f t="shared" si="286"/>
        <v>3.5572117087596597E-2</v>
      </c>
      <c r="GK194" s="1111">
        <f t="shared" si="287"/>
        <v>3.556620106866E-2</v>
      </c>
      <c r="GL194" s="1111">
        <f t="shared" si="288"/>
        <v>3.5565244855547698E-2</v>
      </c>
      <c r="GM194" s="1111">
        <f t="shared" si="289"/>
        <v>3.5565244855547698E-2</v>
      </c>
    </row>
    <row r="195" spans="1:195" x14ac:dyDescent="0.2">
      <c r="A195" s="1071" t="s">
        <v>190</v>
      </c>
      <c r="B195" s="1071" t="str">
        <f>Technologies!C121</f>
        <v>TMDSLADV</v>
      </c>
      <c r="C195" s="1071" t="str">
        <f>Technologies!D121</f>
        <v>Medium Duty Truck, Advanced Diesel</v>
      </c>
      <c r="D195" s="1071" t="str">
        <f>NewTech!D73</f>
        <v>bn-vmt, bn-vmt/a</v>
      </c>
      <c r="E195" s="1071" t="str">
        <f>NewTech!E74</f>
        <v>TMDSL</v>
      </c>
      <c r="F195" s="1071" t="str">
        <f>NewTech!F74</f>
        <v>TM</v>
      </c>
      <c r="G195" s="1110" t="s">
        <v>503</v>
      </c>
      <c r="H195" s="1110" t="s">
        <v>499</v>
      </c>
      <c r="I195" s="1112">
        <v>1</v>
      </c>
      <c r="J195" s="1111" t="str">
        <f t="shared" si="37"/>
        <v>Medium duty-DSL</v>
      </c>
      <c r="K195" s="1111">
        <f>SUMIFS(NewEmisData!E:E, NewEmisData!$A:$A, $G195, NewEmisData!$B:$B, $A195, NewEmisData!$C:$C, $H195, NewEmisData!$D:$D, K$6)</f>
        <v>1336.71780257008</v>
      </c>
      <c r="L195" s="1111">
        <f>SUMIFS(NewEmisData!F:F, NewEmisData!$A:$A, $G195, NewEmisData!$B:$B, $A195, NewEmisData!$C:$C, $H195, NewEmisData!$D:$D, L$6)</f>
        <v>1334.1180611544301</v>
      </c>
      <c r="M195" s="1111">
        <f>SUMIFS(NewEmisData!G:G, NewEmisData!$A:$A, $G195, NewEmisData!$B:$B, $A195, NewEmisData!$C:$C, $H195, NewEmisData!$D:$D, M$6)</f>
        <v>1445.04089230315</v>
      </c>
      <c r="N195" s="1111">
        <f>SUMIFS(NewEmisData!H:H, NewEmisData!$A:$A, $G195, NewEmisData!$B:$B, $A195, NewEmisData!$C:$C, $H195, NewEmisData!$D:$D, N$6)</f>
        <v>1394.56782788027</v>
      </c>
      <c r="O195" s="1111">
        <f>SUMIFS(NewEmisData!I:I, NewEmisData!$A:$A, $G195, NewEmisData!$B:$B, $A195, NewEmisData!$C:$C, $H195, NewEmisData!$D:$D, O$6)</f>
        <v>1352.2640605745901</v>
      </c>
      <c r="P195" s="1111">
        <f>SUMIFS(NewEmisData!J:J, NewEmisData!$A:$A, $G195, NewEmisData!$B:$B, $A195, NewEmisData!$C:$C, $H195, NewEmisData!$D:$D, P$6)</f>
        <v>1337.95858730856</v>
      </c>
      <c r="Q195" s="1111">
        <f>SUMIFS(NewEmisData!K:K, NewEmisData!$A:$A, $G195, NewEmisData!$B:$B, $A195, NewEmisData!$C:$C, $H195, NewEmisData!$D:$D, Q$6)</f>
        <v>1333.6808792868501</v>
      </c>
      <c r="R195" s="1111">
        <f>SUMIFS(NewEmisData!L:L, NewEmisData!$A:$A, $G195, NewEmisData!$B:$B, $A195, NewEmisData!$C:$C, $H195, NewEmisData!$D:$D, R$6)</f>
        <v>1332.71889531121</v>
      </c>
      <c r="S195" s="1111">
        <f>SUMIFS(NewEmisData!M:M, NewEmisData!$A:$A, $G195, NewEmisData!$B:$B, $A195, NewEmisData!$C:$C, $H195, NewEmisData!$D:$D, S$6)</f>
        <v>1332.4669517233399</v>
      </c>
      <c r="T195" s="1111">
        <f t="shared" si="290"/>
        <v>1332.4669517233399</v>
      </c>
      <c r="U195" s="1111">
        <f>SUMIFS(NewEmisData!E:E, NewEmisData!$A:$A, $G195, NewEmisData!$B:$B, $A195, NewEmisData!$C:$C, $H195, NewEmisData!$D:$D, U$6)</f>
        <v>8.1159705197746597</v>
      </c>
      <c r="V195" s="1111">
        <f>SUMIFS(NewEmisData!F:F, NewEmisData!$A:$A, $G195, NewEmisData!$B:$B, $A195, NewEmisData!$C:$C, $H195, NewEmisData!$D:$D, V$6)</f>
        <v>4.1902678747381499</v>
      </c>
      <c r="W195" s="1111">
        <f>SUMIFS(NewEmisData!G:G, NewEmisData!$A:$A, $G195, NewEmisData!$B:$B, $A195, NewEmisData!$C:$C, $H195, NewEmisData!$D:$D, W$6)</f>
        <v>2.9831671777909299</v>
      </c>
      <c r="X195" s="1111">
        <f>SUMIFS(NewEmisData!H:H, NewEmisData!$A:$A, $G195, NewEmisData!$B:$B, $A195, NewEmisData!$C:$C, $H195, NewEmisData!$D:$D, X$6)</f>
        <v>1.79071707308598</v>
      </c>
      <c r="Y195" s="1111">
        <f>SUMIFS(NewEmisData!I:I, NewEmisData!$A:$A, $G195, NewEmisData!$B:$B, $A195, NewEmisData!$C:$C, $H195, NewEmisData!$D:$D, Y$6)</f>
        <v>1.29214834991715</v>
      </c>
      <c r="Z195" s="1111">
        <f>SUMIFS(NewEmisData!J:J, NewEmisData!$A:$A, $G195, NewEmisData!$B:$B, $A195, NewEmisData!$C:$C, $H195, NewEmisData!$D:$D, Z$6)</f>
        <v>1.1297597092685201</v>
      </c>
      <c r="AA195" s="1111">
        <f>SUMIFS(NewEmisData!K:K, NewEmisData!$A:$A, $G195, NewEmisData!$B:$B, $A195, NewEmisData!$C:$C, $H195, NewEmisData!$D:$D, AA$6)</f>
        <v>1.07869334628427</v>
      </c>
      <c r="AB195" s="1111">
        <f>SUMIFS(NewEmisData!L:L, NewEmisData!$A:$A, $G195, NewEmisData!$B:$B, $A195, NewEmisData!$C:$C, $H195, NewEmisData!$D:$D, AB$6)</f>
        <v>1.0710961293157399</v>
      </c>
      <c r="AC195" s="1111">
        <f>SUMIFS(NewEmisData!M:M, NewEmisData!$A:$A, $G195, NewEmisData!$B:$B, $A195, NewEmisData!$C:$C, $H195, NewEmisData!$D:$D, AC$6)</f>
        <v>1.06853485047457</v>
      </c>
      <c r="AD195" s="1111">
        <f t="shared" si="229"/>
        <v>1.06853485047457</v>
      </c>
      <c r="AE195" s="1111">
        <f t="shared" si="241"/>
        <v>3.2903787292919401E-2</v>
      </c>
      <c r="AF195" s="1111">
        <f>SUMIFS(NewEmisData!E:E, NewEmisData!$A:$A, $G195, NewEmisData!$B:$B, $A195, NewEmisData!$C:$C, $H195, NewEmisData!$D:$D, AF$6)</f>
        <v>3.2903787292919401E-2</v>
      </c>
      <c r="AG195" s="1111">
        <f>SUMIFS(NewEmisData!F:F, NewEmisData!$A:$A, $G195, NewEmisData!$B:$B, $A195, NewEmisData!$C:$C, $H195, NewEmisData!$D:$D, AG$6)</f>
        <v>3.1887226466035201E-2</v>
      </c>
      <c r="AH195" s="1111">
        <f>SUMIFS(NewEmisData!G:G, NewEmisData!$A:$A, $G195, NewEmisData!$B:$B, $A195, NewEmisData!$C:$C, $H195, NewEmisData!$D:$D, AH$6)</f>
        <v>1.2151036280147199E-2</v>
      </c>
      <c r="AI195" s="1111">
        <f>SUMIFS(NewEmisData!H:H, NewEmisData!$A:$A, $G195, NewEmisData!$B:$B, $A195, NewEmisData!$C:$C, $H195, NewEmisData!$D:$D, AI$6)</f>
        <v>1.16575948327503E-2</v>
      </c>
      <c r="AJ195" s="1111">
        <f>SUMIFS(NewEmisData!I:I, NewEmisData!$A:$A, $G195, NewEmisData!$B:$B, $A195, NewEmisData!$C:$C, $H195, NewEmisData!$D:$D, AJ$6)</f>
        <v>1.12807608208042E-2</v>
      </c>
      <c r="AK195" s="1111">
        <f>SUMIFS(NewEmisData!J:J, NewEmisData!$A:$A, $G195, NewEmisData!$B:$B, $A195, NewEmisData!$C:$C, $H195, NewEmisData!$D:$D, AK$6)</f>
        <v>1.11563832836782E-2</v>
      </c>
      <c r="AL195" s="1111">
        <f>SUMIFS(NewEmisData!K:K, NewEmisData!$A:$A, $G195, NewEmisData!$B:$B, $A195, NewEmisData!$C:$C, $H195, NewEmisData!$D:$D, AL$6)</f>
        <v>1.11190596779358E-2</v>
      </c>
      <c r="AM195" s="1111">
        <f>SUMIFS(NewEmisData!L:L, NewEmisData!$A:$A, $G195, NewEmisData!$B:$B, $A195, NewEmisData!$C:$C, $H195, NewEmisData!$D:$D, AM$6)</f>
        <v>1.1111041090770501E-2</v>
      </c>
      <c r="AN195" s="1111">
        <f>SUMIFS(NewEmisData!M:M, NewEmisData!$A:$A, $G195, NewEmisData!$B:$B, $A195, NewEmisData!$C:$C, $H195, NewEmisData!$D:$D, AN$6)</f>
        <v>1.11089391742305E-2</v>
      </c>
      <c r="AO195" s="1111">
        <f t="shared" si="242"/>
        <v>1.11089391742305E-2</v>
      </c>
      <c r="AP195" s="1111">
        <f t="shared" si="243"/>
        <v>0.75470063690720102</v>
      </c>
      <c r="AQ195" s="1111">
        <f>SUMIFS(NewEmisData!E:E, NewEmisData!$A:$A, $G195, NewEmisData!$B:$B, $A195, NewEmisData!$C:$C, $H195, NewEmisData!$D:$D, AQ$6)</f>
        <v>0.75470063690720102</v>
      </c>
      <c r="AR195" s="1111">
        <f>SUMIFS(NewEmisData!F:F, NewEmisData!$A:$A, $G195, NewEmisData!$B:$B, $A195, NewEmisData!$C:$C, $H195, NewEmisData!$D:$D, AR$6)</f>
        <v>0.41452815930639098</v>
      </c>
      <c r="AS195" s="1111">
        <f>SUMIFS(NewEmisData!G:G, NewEmisData!$A:$A, $G195, NewEmisData!$B:$B, $A195, NewEmisData!$C:$C, $H195, NewEmisData!$D:$D, AS$6)</f>
        <v>0.32175493237955199</v>
      </c>
      <c r="AT195" s="1111">
        <f>SUMIFS(NewEmisData!H:H, NewEmisData!$A:$A, $G195, NewEmisData!$B:$B, $A195, NewEmisData!$C:$C, $H195, NewEmisData!$D:$D, AT$6)</f>
        <v>0.25352921702854198</v>
      </c>
      <c r="AU195" s="1111">
        <f>SUMIFS(NewEmisData!I:I, NewEmisData!$A:$A, $G195, NewEmisData!$B:$B, $A195, NewEmisData!$C:$C, $H195, NewEmisData!$D:$D, AU$6)</f>
        <v>0.23028919647026699</v>
      </c>
      <c r="AV195" s="1111">
        <f>SUMIFS(NewEmisData!J:J, NewEmisData!$A:$A, $G195, NewEmisData!$B:$B, $A195, NewEmisData!$C:$C, $H195, NewEmisData!$D:$D, AV$6)</f>
        <v>0.22584791810744101</v>
      </c>
      <c r="AW195" s="1111">
        <f>SUMIFS(NewEmisData!K:K, NewEmisData!$A:$A, $G195, NewEmisData!$B:$B, $A195, NewEmisData!$C:$C, $H195, NewEmisData!$D:$D, AW$6)</f>
        <v>0.22452045938839199</v>
      </c>
      <c r="AX195" s="1111">
        <f>SUMIFS(NewEmisData!L:L, NewEmisData!$A:$A, $G195, NewEmisData!$B:$B, $A195, NewEmisData!$C:$C, $H195, NewEmisData!$D:$D, AX$6)</f>
        <v>0.22450852256822901</v>
      </c>
      <c r="AY195" s="1111">
        <f>SUMIFS(NewEmisData!M:M, NewEmisData!$A:$A, $G195, NewEmisData!$B:$B, $A195, NewEmisData!$C:$C, $H195, NewEmisData!$D:$D, AY$6)</f>
        <v>0.22450708090135699</v>
      </c>
      <c r="AZ195" s="1111">
        <f t="shared" si="244"/>
        <v>0.22450708090135699</v>
      </c>
      <c r="BA195" s="1111">
        <f t="shared" si="245"/>
        <v>0.55462986472983</v>
      </c>
      <c r="BB195" s="1111">
        <f>SUMIFS(NewEmisData!E:E, NewEmisData!$A:$A, $G195, NewEmisData!$B:$B, $A195, NewEmisData!$C:$C, $H195, NewEmisData!$D:$D, BB$6)</f>
        <v>0.55462986472983</v>
      </c>
      <c r="BC195" s="1111">
        <f>SUMIFS(NewEmisData!F:F, NewEmisData!$A:$A, $G195, NewEmisData!$B:$B, $A195, NewEmisData!$C:$C, $H195, NewEmisData!$D:$D, BC$6)</f>
        <v>0.24248413763726101</v>
      </c>
      <c r="BD195" s="1111">
        <f>SUMIFS(NewEmisData!G:G, NewEmisData!$A:$A, $G195, NewEmisData!$B:$B, $A195, NewEmisData!$C:$C, $H195, NewEmisData!$D:$D, BD$6)</f>
        <v>0.134184167736455</v>
      </c>
      <c r="BE195" s="1111">
        <f>SUMIFS(NewEmisData!H:H, NewEmisData!$A:$A, $G195, NewEmisData!$B:$B, $A195, NewEmisData!$C:$C, $H195, NewEmisData!$D:$D, BE$6)</f>
        <v>7.2197035661159606E-2</v>
      </c>
      <c r="BF195" s="1111">
        <f>SUMIFS(NewEmisData!I:I, NewEmisData!$A:$A, $G195, NewEmisData!$B:$B, $A195, NewEmisData!$C:$C, $H195, NewEmisData!$D:$D, BF$6)</f>
        <v>5.1049978127363498E-2</v>
      </c>
      <c r="BG195" s="1111">
        <f>SUMIFS(NewEmisData!J:J, NewEmisData!$A:$A, $G195, NewEmisData!$B:$B, $A195, NewEmisData!$C:$C, $H195, NewEmisData!$D:$D, BG$6)</f>
        <v>4.7030670986268203E-2</v>
      </c>
      <c r="BH195" s="1111">
        <f>SUMIFS(NewEmisData!K:K, NewEmisData!$A:$A, $G195, NewEmisData!$B:$B, $A195, NewEmisData!$C:$C, $H195, NewEmisData!$D:$D, BH$6)</f>
        <v>4.5825605278403299E-2</v>
      </c>
      <c r="BI195" s="1111">
        <f>SUMIFS(NewEmisData!L:L, NewEmisData!$A:$A, $G195, NewEmisData!$B:$B, $A195, NewEmisData!$C:$C, $H195, NewEmisData!$D:$D, BI$6)</f>
        <v>4.58177973162801E-2</v>
      </c>
      <c r="BJ195" s="1111">
        <f>SUMIFS(NewEmisData!M:M, NewEmisData!$A:$A, $G195, NewEmisData!$B:$B, $A195, NewEmisData!$C:$C, $H195, NewEmisData!$D:$D, BJ$6)</f>
        <v>4.5816229295905703E-2</v>
      </c>
      <c r="BK195" s="1111">
        <f t="shared" si="246"/>
        <v>4.5816229295905703E-2</v>
      </c>
      <c r="BL195" s="1111">
        <f t="shared" si="247"/>
        <v>3.60214748610194</v>
      </c>
      <c r="BM195" s="1111">
        <f>SUMIFS(NewEmisData!E:E, NewEmisData!$A:$A, $G195, NewEmisData!$B:$B, $A195, NewEmisData!$C:$C, $H195, NewEmisData!$D:$D, BM$6)</f>
        <v>3.60214748610194</v>
      </c>
      <c r="BN195" s="1111">
        <f>SUMIFS(NewEmisData!F:F, NewEmisData!$A:$A, $G195, NewEmisData!$B:$B, $A195, NewEmisData!$C:$C, $H195, NewEmisData!$D:$D, BN$6)</f>
        <v>1.77624524860446</v>
      </c>
      <c r="BO195" s="1111">
        <f>SUMIFS(NewEmisData!G:G, NewEmisData!$A:$A, $G195, NewEmisData!$B:$B, $A195, NewEmisData!$C:$C, $H195, NewEmisData!$D:$D, BO$6)</f>
        <v>1.1776035653010599</v>
      </c>
      <c r="BP195" s="1111">
        <f>SUMIFS(NewEmisData!H:H, NewEmisData!$A:$A, $G195, NewEmisData!$B:$B, $A195, NewEmisData!$C:$C, $H195, NewEmisData!$D:$D, BP$6)</f>
        <v>0.76085446661730005</v>
      </c>
      <c r="BQ195" s="1111">
        <f>SUMIFS(NewEmisData!I:I, NewEmisData!$A:$A, $G195, NewEmisData!$B:$B, $A195, NewEmisData!$C:$C, $H195, NewEmisData!$D:$D, BQ$6)</f>
        <v>0.62715484825252399</v>
      </c>
      <c r="BR195" s="1111">
        <f>SUMIFS(NewEmisData!J:J, NewEmisData!$A:$A, $G195, NewEmisData!$B:$B, $A195, NewEmisData!$C:$C, $H195, NewEmisData!$D:$D, BR$6)</f>
        <v>0.59561161426405995</v>
      </c>
      <c r="BS195" s="1111">
        <f>SUMIFS(NewEmisData!K:K, NewEmisData!$A:$A, $G195, NewEmisData!$B:$B, $A195, NewEmisData!$C:$C, $H195, NewEmisData!$D:$D, BS$6)</f>
        <v>0.586656365437488</v>
      </c>
      <c r="BT195" s="1111">
        <f>SUMIFS(NewEmisData!L:L, NewEmisData!$A:$A, $G195, NewEmisData!$B:$B, $A195, NewEmisData!$C:$C, $H195, NewEmisData!$D:$D, BT$6)</f>
        <v>0.58633071433356998</v>
      </c>
      <c r="BU195" s="1111">
        <f>SUMIFS(NewEmisData!M:M, NewEmisData!$A:$A, $G195, NewEmisData!$B:$B, $A195, NewEmisData!$C:$C, $H195, NewEmisData!$D:$D, BU$6)</f>
        <v>0.58613150489673305</v>
      </c>
      <c r="BV195" s="1111">
        <f t="shared" si="248"/>
        <v>0.58613150489673305</v>
      </c>
      <c r="BW195" s="1111">
        <f t="shared" si="249"/>
        <v>1.4585878276819899</v>
      </c>
      <c r="BX195" s="1111">
        <f>SUMIFS(NewEmisData!E:E, NewEmisData!$A:$A, $G195, NewEmisData!$B:$B, $A195, NewEmisData!$C:$C, $H195, NewEmisData!$D:$D, BX$6)</f>
        <v>1.4585878276819899</v>
      </c>
      <c r="BY195" s="1111">
        <f>SUMIFS(NewEmisData!F:F, NewEmisData!$A:$A, $G195, NewEmisData!$B:$B, $A195, NewEmisData!$C:$C, $H195, NewEmisData!$D:$D, BY$6)</f>
        <v>0.63111024641351499</v>
      </c>
      <c r="BZ195" s="1111">
        <f>SUMIFS(NewEmisData!G:G, NewEmisData!$A:$A, $G195, NewEmisData!$B:$B, $A195, NewEmisData!$C:$C, $H195, NewEmisData!$D:$D, BZ$6)</f>
        <v>0.39101466332213902</v>
      </c>
      <c r="CA195" s="1111">
        <f>SUMIFS(NewEmisData!H:H, NewEmisData!$A:$A, $G195, NewEmisData!$B:$B, $A195, NewEmisData!$C:$C, $H195, NewEmisData!$D:$D, CA$6)</f>
        <v>0.213477846209017</v>
      </c>
      <c r="CB195" s="1111">
        <f>SUMIFS(NewEmisData!I:I, NewEmisData!$A:$A, $G195, NewEmisData!$B:$B, $A195, NewEmisData!$C:$C, $H195, NewEmisData!$D:$D, CB$6)</f>
        <v>0.15780661931724599</v>
      </c>
      <c r="CC195" s="1111">
        <f>SUMIFS(NewEmisData!J:J, NewEmisData!$A:$A, $G195, NewEmisData!$B:$B, $A195, NewEmisData!$C:$C, $H195, NewEmisData!$D:$D, CC$6)</f>
        <v>0.14387801609152001</v>
      </c>
      <c r="CD195" s="1111">
        <f>SUMIFS(NewEmisData!K:K, NewEmisData!$A:$A, $G195, NewEmisData!$B:$B, $A195, NewEmisData!$C:$C, $H195, NewEmisData!$D:$D, CD$6)</f>
        <v>0.13989697938435799</v>
      </c>
      <c r="CE195" s="1111">
        <f>SUMIFS(NewEmisData!L:L, NewEmisData!$A:$A, $G195, NewEmisData!$B:$B, $A195, NewEmisData!$C:$C, $H195, NewEmisData!$D:$D, CE$6)</f>
        <v>0.139762763737699</v>
      </c>
      <c r="CF195" s="1111">
        <f>SUMIFS(NewEmisData!M:M, NewEmisData!$A:$A, $G195, NewEmisData!$B:$B, $A195, NewEmisData!$C:$C, $H195, NewEmisData!$D:$D, CF$6)</f>
        <v>0.139676136968958</v>
      </c>
      <c r="CG195" s="1111">
        <f t="shared" si="250"/>
        <v>0.139676136968958</v>
      </c>
      <c r="CH195" s="1111">
        <f t="shared" si="251"/>
        <v>2.6625022112881199E-2</v>
      </c>
      <c r="CI195" s="1111">
        <f>SUMIFS(NewEmisData!E:E, NewEmisData!$A:$A, $G195, NewEmisData!$B:$B, $A195, NewEmisData!$C:$C, $H195, NewEmisData!$D:$D, CI$6)</f>
        <v>2.6625022112881199E-2</v>
      </c>
      <c r="CJ195" s="1111">
        <f>SUMIFS(NewEmisData!F:F, NewEmisData!$A:$A, $G195, NewEmisData!$B:$B, $A195, NewEmisData!$C:$C, $H195, NewEmisData!$D:$D, CJ$6)</f>
        <v>2.66250927216873E-2</v>
      </c>
      <c r="CK195" s="1111">
        <f>SUMIFS(NewEmisData!G:G, NewEmisData!$A:$A, $G195, NewEmisData!$B:$B, $A195, NewEmisData!$C:$C, $H195, NewEmisData!$D:$D, CK$6)</f>
        <v>3.1310131148303597E-2</v>
      </c>
      <c r="CL195" s="1111">
        <f>SUMIFS(NewEmisData!H:H, NewEmisData!$A:$A, $G195, NewEmisData!$B:$B, $A195, NewEmisData!$C:$C, $H195, NewEmisData!$D:$D, CL$6)</f>
        <v>3.13110567850386E-2</v>
      </c>
      <c r="CM195" s="1111">
        <f>SUMIFS(NewEmisData!I:I, NewEmisData!$A:$A, $G195, NewEmisData!$B:$B, $A195, NewEmisData!$C:$C, $H195, NewEmisData!$D:$D, CM$6)</f>
        <v>3.1311503593969003E-2</v>
      </c>
      <c r="CN195" s="1111">
        <f>SUMIFS(NewEmisData!J:J, NewEmisData!$A:$A, $G195, NewEmisData!$B:$B, $A195, NewEmisData!$C:$C, $H195, NewEmisData!$D:$D, CN$6)</f>
        <v>3.1311654335670597E-2</v>
      </c>
      <c r="CO195" s="1111">
        <f>SUMIFS(NewEmisData!K:K, NewEmisData!$A:$A, $G195, NewEmisData!$B:$B, $A195, NewEmisData!$C:$C, $H195, NewEmisData!$D:$D, CO$6)</f>
        <v>3.1311703141941503E-2</v>
      </c>
      <c r="CP195" s="1111">
        <f>SUMIFS(NewEmisData!L:L, NewEmisData!$A:$A, $G195, NewEmisData!$B:$B, $A195, NewEmisData!$C:$C, $H195, NewEmisData!$D:$D, CP$6)</f>
        <v>3.1311701226839898E-2</v>
      </c>
      <c r="CQ195" s="1111">
        <f>SUMIFS(NewEmisData!M:M, NewEmisData!$A:$A, $G195, NewEmisData!$B:$B, $A195, NewEmisData!$C:$C, $H195, NewEmisData!$D:$D, CQ$6)</f>
        <v>3.1311724606097602E-2</v>
      </c>
      <c r="CR195" s="1111">
        <f t="shared" si="252"/>
        <v>3.1311724606097602E-2</v>
      </c>
      <c r="CS195" s="1111">
        <f t="shared" si="253"/>
        <v>4.2942881221194997E-3</v>
      </c>
      <c r="CT195" s="1111">
        <f>SUMIFS(NewEmisData!E:E, NewEmisData!$A:$A, $G195, NewEmisData!$B:$B, $A195, NewEmisData!$C:$C, $H195, NewEmisData!$D:$D, CT$6)</f>
        <v>4.2942881221194997E-3</v>
      </c>
      <c r="CU195" s="1111">
        <f>SUMIFS(NewEmisData!F:F, NewEmisData!$A:$A, $G195, NewEmisData!$B:$B, $A195, NewEmisData!$C:$C, $H195, NewEmisData!$D:$D, CU$6)</f>
        <v>4.52609306007902E-3</v>
      </c>
      <c r="CV195" s="1111">
        <f>SUMIFS(NewEmisData!G:G, NewEmisData!$A:$A, $G195, NewEmisData!$B:$B, $A195, NewEmisData!$C:$C, $H195, NewEmisData!$D:$D, CV$6)</f>
        <v>5.7549154829870204E-3</v>
      </c>
      <c r="CW195" s="1111">
        <f>SUMIFS(NewEmisData!H:H, NewEmisData!$A:$A, $G195, NewEmisData!$B:$B, $A195, NewEmisData!$C:$C, $H195, NewEmisData!$D:$D, CW$6)</f>
        <v>5.7792428030713902E-3</v>
      </c>
      <c r="CX195" s="1111">
        <f>SUMIFS(NewEmisData!I:I, NewEmisData!$A:$A, $G195, NewEmisData!$B:$B, $A195, NewEmisData!$C:$C, $H195, NewEmisData!$D:$D, CX$6)</f>
        <v>5.7801666189186297E-3</v>
      </c>
      <c r="CY195" s="1111">
        <f>SUMIFS(NewEmisData!J:J, NewEmisData!$A:$A, $G195, NewEmisData!$B:$B, $A195, NewEmisData!$C:$C, $H195, NewEmisData!$D:$D, CY$6)</f>
        <v>5.7687673444275804E-3</v>
      </c>
      <c r="CZ195" s="1111">
        <f>SUMIFS(NewEmisData!K:K, NewEmisData!$A:$A, $G195, NewEmisData!$B:$B, $A195, NewEmisData!$C:$C, $H195, NewEmisData!$D:$D, CZ$6)</f>
        <v>5.7598889247671798E-3</v>
      </c>
      <c r="DA195" s="1111">
        <f>SUMIFS(NewEmisData!L:L, NewEmisData!$A:$A, $G195, NewEmisData!$B:$B, $A195, NewEmisData!$C:$C, $H195, NewEmisData!$D:$D, DA$6)</f>
        <v>5.7567706696684201E-3</v>
      </c>
      <c r="DB195" s="1111">
        <f>SUMIFS(NewEmisData!M:M, NewEmisData!$A:$A, $G195, NewEmisData!$B:$B, $A195, NewEmisData!$C:$C, $H195, NewEmisData!$D:$D, DB$6)</f>
        <v>5.7544893575928197E-3</v>
      </c>
      <c r="DC195" s="1111">
        <f t="shared" si="254"/>
        <v>5.7544893575928197E-3</v>
      </c>
      <c r="DD195" s="1111"/>
      <c r="DE195" s="1111"/>
      <c r="DF195" s="1111"/>
      <c r="DG195" s="1111"/>
      <c r="DH195" s="1111"/>
      <c r="DI195" s="1111"/>
      <c r="DJ195" s="1111"/>
      <c r="DK195" s="1111"/>
      <c r="DL195" s="1111"/>
      <c r="DM195" s="1111"/>
      <c r="DN195" s="1111"/>
      <c r="DO195" s="1111"/>
      <c r="DP195" s="1111"/>
      <c r="DQ195" s="1111"/>
      <c r="DR195" s="1111"/>
      <c r="DS195" s="1111"/>
      <c r="DT195" s="1111"/>
      <c r="DU195" s="1111"/>
      <c r="DV195" s="1111"/>
      <c r="DW195" s="1111"/>
      <c r="DX195" s="1111"/>
      <c r="DY195" s="1111"/>
      <c r="DZ195" s="1111">
        <f t="shared" si="255"/>
        <v>3.1443183076475298E-2</v>
      </c>
      <c r="EA195" s="1111">
        <f>SUMIFS(NewEmisData!E:E, NewEmisData!$A:$A, $G195, NewEmisData!$B:$B, $A195, NewEmisData!$C:$C, $H195, NewEmisData!$D:$D, EA$6)</f>
        <v>3.1443183076475298E-2</v>
      </c>
      <c r="EB195" s="1111">
        <f>SUMIFS(NewEmisData!F:F, NewEmisData!$A:$A, $G195, NewEmisData!$B:$B, $A195, NewEmisData!$C:$C, $H195, NewEmisData!$D:$D, EB$6)</f>
        <v>9.3142408370314803E-2</v>
      </c>
      <c r="EC195" s="1111">
        <f>SUMIFS(NewEmisData!G:G, NewEmisData!$A:$A, $G195, NewEmisData!$B:$B, $A195, NewEmisData!$C:$C, $H195, NewEmisData!$D:$D, EC$6)</f>
        <v>0.12640906725248399</v>
      </c>
      <c r="ED195" s="1111">
        <f>SUMIFS(NewEmisData!H:H, NewEmisData!$A:$A, $G195, NewEmisData!$B:$B, $A195, NewEmisData!$C:$C, $H195, NewEmisData!$D:$D, ED$6)</f>
        <v>0.13167273257883699</v>
      </c>
      <c r="EE195" s="1111">
        <f>SUMIFS(NewEmisData!I:I, NewEmisData!$A:$A, $G195, NewEmisData!$B:$B, $A195, NewEmisData!$C:$C, $H195, NewEmisData!$D:$D, EE$6)</f>
        <v>0.133754957639485</v>
      </c>
      <c r="EF195" s="1111">
        <f>SUMIFS(NewEmisData!J:J, NewEmisData!$A:$A, $G195, NewEmisData!$B:$B, $A195, NewEmisData!$C:$C, $H195, NewEmisData!$D:$D, EF$6)</f>
        <v>0.13397825833520099</v>
      </c>
      <c r="EG195" s="1111">
        <f>SUMIFS(NewEmisData!K:K, NewEmisData!$A:$A, $G195, NewEmisData!$B:$B, $A195, NewEmisData!$C:$C, $H195, NewEmisData!$D:$D, EG$6)</f>
        <v>0.13422755831628899</v>
      </c>
      <c r="EH195" s="1111">
        <f>SUMIFS(NewEmisData!L:L, NewEmisData!$A:$A, $G195, NewEmisData!$B:$B, $A195, NewEmisData!$C:$C, $H195, NewEmisData!$D:$D, EH$6)</f>
        <v>0.134094847635195</v>
      </c>
      <c r="EI195" s="1111">
        <f>SUMIFS(NewEmisData!M:M, NewEmisData!$A:$A, $G195, NewEmisData!$B:$B, $A195, NewEmisData!$C:$C, $H195, NewEmisData!$D:$D, EI$6)</f>
        <v>0.13400465943828599</v>
      </c>
      <c r="EJ195" s="1111">
        <f t="shared" si="256"/>
        <v>0.13400465943828599</v>
      </c>
      <c r="EK195" s="1111">
        <f t="shared" si="257"/>
        <v>1336.71780257008</v>
      </c>
      <c r="EL195" s="1111">
        <f t="shared" si="269"/>
        <v>1336.71780257008</v>
      </c>
      <c r="EM195" s="1111">
        <f t="shared" si="270"/>
        <v>1334.1180611544301</v>
      </c>
      <c r="EN195" s="1111">
        <f t="shared" si="271"/>
        <v>1445.04089230315</v>
      </c>
      <c r="EO195" s="1111">
        <f t="shared" si="272"/>
        <v>1394.56782788027</v>
      </c>
      <c r="EP195" s="1111">
        <f t="shared" si="273"/>
        <v>1352.2640605745901</v>
      </c>
      <c r="EQ195" s="1111">
        <f t="shared" si="274"/>
        <v>1337.95858730856</v>
      </c>
      <c r="ER195" s="1111">
        <f t="shared" si="275"/>
        <v>1333.6808792868501</v>
      </c>
      <c r="ES195" s="1111">
        <f t="shared" si="276"/>
        <v>1332.71889531121</v>
      </c>
      <c r="ET195" s="1111">
        <f t="shared" si="277"/>
        <v>1332.4669517233399</v>
      </c>
      <c r="EU195" s="1111">
        <f t="shared" si="278"/>
        <v>1332.4669517233399</v>
      </c>
      <c r="EV195" s="1111">
        <f t="shared" si="258"/>
        <v>8.1159705197746597</v>
      </c>
      <c r="EW195" s="1111">
        <f t="shared" si="259"/>
        <v>8.1159705197746597</v>
      </c>
      <c r="EX195" s="1111">
        <f t="shared" si="260"/>
        <v>4.1902678747381499</v>
      </c>
      <c r="EY195" s="1111">
        <f t="shared" si="261"/>
        <v>2.9831671777909299</v>
      </c>
      <c r="EZ195" s="1111">
        <f t="shared" si="262"/>
        <v>1.79071707308598</v>
      </c>
      <c r="FA195" s="1111">
        <f t="shared" si="263"/>
        <v>1.29214834991715</v>
      </c>
      <c r="FB195" s="1111">
        <f t="shared" si="264"/>
        <v>1.1297597092685201</v>
      </c>
      <c r="FC195" s="1111">
        <f t="shared" si="265"/>
        <v>1.07869334628427</v>
      </c>
      <c r="FD195" s="1111">
        <f t="shared" si="266"/>
        <v>1.0710961293157399</v>
      </c>
      <c r="FE195" s="1111">
        <f t="shared" si="267"/>
        <v>1.06853485047457</v>
      </c>
      <c r="FF195" s="1111">
        <f t="shared" si="268"/>
        <v>1.06853485047457</v>
      </c>
      <c r="FG195" s="1111">
        <f t="shared" si="291"/>
        <v>3.2903787292919401E-2</v>
      </c>
      <c r="FH195" s="1111">
        <f t="shared" si="292"/>
        <v>3.2903787292919401E-2</v>
      </c>
      <c r="FI195" s="1111">
        <f t="shared" si="293"/>
        <v>3.1887226466035201E-2</v>
      </c>
      <c r="FJ195" s="1111">
        <f t="shared" si="294"/>
        <v>1.2151036280147199E-2</v>
      </c>
      <c r="FK195" s="1111">
        <f t="shared" si="295"/>
        <v>1.16575948327503E-2</v>
      </c>
      <c r="FL195" s="1111">
        <f t="shared" si="296"/>
        <v>1.12807608208042E-2</v>
      </c>
      <c r="FM195" s="1111">
        <f t="shared" si="297"/>
        <v>1.11563832836782E-2</v>
      </c>
      <c r="FN195" s="1111">
        <f t="shared" si="298"/>
        <v>1.11190596779358E-2</v>
      </c>
      <c r="FO195" s="1111">
        <f t="shared" si="299"/>
        <v>1.1111041090770501E-2</v>
      </c>
      <c r="FP195" s="1111">
        <f t="shared" si="300"/>
        <v>1.11089391742305E-2</v>
      </c>
      <c r="FQ195" s="1111">
        <f t="shared" si="301"/>
        <v>1.11089391742305E-2</v>
      </c>
      <c r="FR195" s="1111">
        <f t="shared" si="230"/>
        <v>0.75470063690720102</v>
      </c>
      <c r="FS195" s="1111">
        <f t="shared" si="231"/>
        <v>0.75470063690720102</v>
      </c>
      <c r="FT195" s="1111">
        <f t="shared" si="232"/>
        <v>0.41452815930639098</v>
      </c>
      <c r="FU195" s="1111">
        <f t="shared" si="233"/>
        <v>0.32175493237955199</v>
      </c>
      <c r="FV195" s="1111">
        <f t="shared" si="234"/>
        <v>0.25352921702854198</v>
      </c>
      <c r="FW195" s="1111">
        <f t="shared" si="235"/>
        <v>0.23028919647026699</v>
      </c>
      <c r="FX195" s="1111">
        <f t="shared" si="236"/>
        <v>0.22584791810744101</v>
      </c>
      <c r="FY195" s="1111">
        <f t="shared" si="237"/>
        <v>0.22452045938839199</v>
      </c>
      <c r="FZ195" s="1111">
        <f t="shared" si="238"/>
        <v>0.22450852256822901</v>
      </c>
      <c r="GA195" s="1111">
        <f t="shared" si="239"/>
        <v>0.22450708090135699</v>
      </c>
      <c r="GB195" s="1111">
        <f t="shared" si="240"/>
        <v>0.22450708090135699</v>
      </c>
      <c r="GC195" s="1111">
        <f t="shared" si="279"/>
        <v>0.55462986472983</v>
      </c>
      <c r="GD195" s="1111">
        <f t="shared" si="280"/>
        <v>0.55462986472983</v>
      </c>
      <c r="GE195" s="1111">
        <f t="shared" si="281"/>
        <v>0.24248413763726101</v>
      </c>
      <c r="GF195" s="1111">
        <f t="shared" si="282"/>
        <v>0.134184167736455</v>
      </c>
      <c r="GG195" s="1111">
        <f t="shared" si="283"/>
        <v>7.2197035661159606E-2</v>
      </c>
      <c r="GH195" s="1111">
        <f t="shared" si="284"/>
        <v>5.1049978127363498E-2</v>
      </c>
      <c r="GI195" s="1111">
        <f t="shared" si="285"/>
        <v>4.7030670986268203E-2</v>
      </c>
      <c r="GJ195" s="1111">
        <f t="shared" si="286"/>
        <v>4.5825605278403299E-2</v>
      </c>
      <c r="GK195" s="1111">
        <f t="shared" si="287"/>
        <v>4.58177973162801E-2</v>
      </c>
      <c r="GL195" s="1111">
        <f t="shared" si="288"/>
        <v>4.5816229295905703E-2</v>
      </c>
      <c r="GM195" s="1111">
        <f t="shared" si="289"/>
        <v>4.5816229295905703E-2</v>
      </c>
    </row>
    <row r="196" spans="1:195" x14ac:dyDescent="0.2">
      <c r="A196" s="1071" t="s">
        <v>182</v>
      </c>
      <c r="B196" s="1071" t="str">
        <f>Technologies!C122</f>
        <v>TMDSLAH</v>
      </c>
      <c r="C196" s="1071" t="str">
        <f>Technologies!D122</f>
        <v>Medium Duty Truck, Advanced Hybrid Diesel</v>
      </c>
      <c r="D196" s="1071" t="str">
        <f>NewTech!D74</f>
        <v>bn-vmt, bn-vmt/a</v>
      </c>
      <c r="E196" s="1071" t="str">
        <f>NewTech!E75</f>
        <v>TMDSL</v>
      </c>
      <c r="F196" s="1071" t="str">
        <f>NewTech!F75</f>
        <v>TM</v>
      </c>
      <c r="G196" s="1110" t="s">
        <v>503</v>
      </c>
      <c r="H196" s="1110" t="s">
        <v>499</v>
      </c>
      <c r="I196" s="1112">
        <v>1</v>
      </c>
      <c r="J196" s="1111" t="str">
        <f t="shared" si="37"/>
        <v>Medium duty-DSL</v>
      </c>
      <c r="K196" s="1111">
        <f>SUMIFS(NewEmisData!E:E, NewEmisData!$A:$A, $G196, NewEmisData!$B:$B, $A196, NewEmisData!$C:$C, $H196, NewEmisData!$D:$D, K$6)</f>
        <v>1391.2693302299499</v>
      </c>
      <c r="L196" s="1111">
        <f>SUMIFS(NewEmisData!F:F, NewEmisData!$A:$A, $G196, NewEmisData!$B:$B, $A196, NewEmisData!$C:$C, $H196, NewEmisData!$D:$D, L$6)</f>
        <v>1387.81700695984</v>
      </c>
      <c r="M196" s="1111">
        <f>SUMIFS(NewEmisData!G:G, NewEmisData!$A:$A, $G196, NewEmisData!$B:$B, $A196, NewEmisData!$C:$C, $H196, NewEmisData!$D:$D, M$6)</f>
        <v>1800.2870719201501</v>
      </c>
      <c r="N196" s="1111">
        <f>SUMIFS(NewEmisData!H:H, NewEmisData!$A:$A, $G196, NewEmisData!$B:$B, $A196, NewEmisData!$C:$C, $H196, NewEmisData!$D:$D, N$6)</f>
        <v>1737.4132368119399</v>
      </c>
      <c r="O196" s="1111">
        <f>SUMIFS(NewEmisData!I:I, NewEmisData!$A:$A, $G196, NewEmisData!$B:$B, $A196, NewEmisData!$C:$C, $H196, NewEmisData!$D:$D, O$6)</f>
        <v>1684.8867050016099</v>
      </c>
      <c r="P196" s="1111">
        <f>SUMIFS(NewEmisData!J:J, NewEmisData!$A:$A, $G196, NewEmisData!$B:$B, $A196, NewEmisData!$C:$C, $H196, NewEmisData!$D:$D, P$6)</f>
        <v>1667.30888418872</v>
      </c>
      <c r="Q196" s="1111">
        <f>SUMIFS(NewEmisData!K:K, NewEmisData!$A:$A, $G196, NewEmisData!$B:$B, $A196, NewEmisData!$C:$C, $H196, NewEmisData!$D:$D, Q$6)</f>
        <v>1662.1204635085701</v>
      </c>
      <c r="R196" s="1111">
        <f>SUMIFS(NewEmisData!L:L, NewEmisData!$A:$A, $G196, NewEmisData!$B:$B, $A196, NewEmisData!$C:$C, $H196, NewEmisData!$D:$D, R$6)</f>
        <v>1660.97957279301</v>
      </c>
      <c r="S196" s="1111">
        <f>SUMIFS(NewEmisData!M:M, NewEmisData!$A:$A, $G196, NewEmisData!$B:$B, $A196, NewEmisData!$C:$C, $H196, NewEmisData!$D:$D, S$6)</f>
        <v>1660.69684286644</v>
      </c>
      <c r="T196" s="1111">
        <f t="shared" si="290"/>
        <v>1660.69684286644</v>
      </c>
      <c r="U196" s="1111">
        <f>SUMIFS(NewEmisData!E:E, NewEmisData!$A:$A, $G196, NewEmisData!$B:$B, $A196, NewEmisData!$C:$C, $H196, NewEmisData!$D:$D, U$6)</f>
        <v>9.0067562467577496</v>
      </c>
      <c r="V196" s="1111">
        <f>SUMIFS(NewEmisData!F:F, NewEmisData!$A:$A, $G196, NewEmisData!$B:$B, $A196, NewEmisData!$C:$C, $H196, NewEmisData!$D:$D, V$6)</f>
        <v>4.6343833495392097</v>
      </c>
      <c r="W196" s="1111">
        <f>SUMIFS(NewEmisData!G:G, NewEmisData!$A:$A, $G196, NewEmisData!$B:$B, $A196, NewEmisData!$C:$C, $H196, NewEmisData!$D:$D, W$6)</f>
        <v>3.60142958602064</v>
      </c>
      <c r="X196" s="1111">
        <f>SUMIFS(NewEmisData!H:H, NewEmisData!$A:$A, $G196, NewEmisData!$B:$B, $A196, NewEmisData!$C:$C, $H196, NewEmisData!$D:$D, X$6)</f>
        <v>2.1043869634005898</v>
      </c>
      <c r="Y196" s="1111">
        <f>SUMIFS(NewEmisData!I:I, NewEmisData!$A:$A, $G196, NewEmisData!$B:$B, $A196, NewEmisData!$C:$C, $H196, NewEmisData!$D:$D, Y$6)</f>
        <v>1.48367214909245</v>
      </c>
      <c r="Z196" s="1111">
        <f>SUMIFS(NewEmisData!J:J, NewEmisData!$A:$A, $G196, NewEmisData!$B:$B, $A196, NewEmisData!$C:$C, $H196, NewEmisData!$D:$D, Z$6)</f>
        <v>1.28531680721516</v>
      </c>
      <c r="AA196" s="1111">
        <f>SUMIFS(NewEmisData!K:K, NewEmisData!$A:$A, $G196, NewEmisData!$B:$B, $A196, NewEmisData!$C:$C, $H196, NewEmisData!$D:$D, AA$6)</f>
        <v>1.2244614015544699</v>
      </c>
      <c r="AB196" s="1111">
        <f>SUMIFS(NewEmisData!L:L, NewEmisData!$A:$A, $G196, NewEmisData!$B:$B, $A196, NewEmisData!$C:$C, $H196, NewEmisData!$D:$D, AB$6)</f>
        <v>1.2160626918277799</v>
      </c>
      <c r="AC196" s="1111">
        <f>SUMIFS(NewEmisData!M:M, NewEmisData!$A:$A, $G196, NewEmisData!$B:$B, $A196, NewEmisData!$C:$C, $H196, NewEmisData!$D:$D, AC$6)</f>
        <v>1.2135584327019699</v>
      </c>
      <c r="AD196" s="1111">
        <f t="shared" si="229"/>
        <v>1.2135584327019699</v>
      </c>
      <c r="AE196" s="1111">
        <f t="shared" si="241"/>
        <v>3.4517378580972299E-2</v>
      </c>
      <c r="AF196" s="1111">
        <f>SUMIFS(NewEmisData!E:E, NewEmisData!$A:$A, $G196, NewEmisData!$B:$B, $A196, NewEmisData!$C:$C, $H196, NewEmisData!$D:$D, AF$6)</f>
        <v>3.4517378580972299E-2</v>
      </c>
      <c r="AG196" s="1111">
        <f>SUMIFS(NewEmisData!F:F, NewEmisData!$A:$A, $G196, NewEmisData!$B:$B, $A196, NewEmisData!$C:$C, $H196, NewEmisData!$D:$D, AG$6)</f>
        <v>3.32138510088891E-2</v>
      </c>
      <c r="AH196" s="1111">
        <f>SUMIFS(NewEmisData!G:G, NewEmisData!$A:$A, $G196, NewEmisData!$B:$B, $A196, NewEmisData!$C:$C, $H196, NewEmisData!$D:$D, AH$6)</f>
        <v>1.51370239918269E-2</v>
      </c>
      <c r="AI196" s="1111">
        <f>SUMIFS(NewEmisData!H:H, NewEmisData!$A:$A, $G196, NewEmisData!$B:$B, $A196, NewEmisData!$C:$C, $H196, NewEmisData!$D:$D, AI$6)</f>
        <v>1.4522910664903899E-2</v>
      </c>
      <c r="AJ196" s="1111">
        <f>SUMIFS(NewEmisData!I:I, NewEmisData!$A:$A, $G196, NewEmisData!$B:$B, $A196, NewEmisData!$C:$C, $H196, NewEmisData!$D:$D, AJ$6)</f>
        <v>1.4055280493155501E-2</v>
      </c>
      <c r="AK196" s="1111">
        <f>SUMIFS(NewEmisData!J:J, NewEmisData!$A:$A, $G196, NewEmisData!$B:$B, $A196, NewEmisData!$C:$C, $H196, NewEmisData!$D:$D, AK$6)</f>
        <v>1.39025233464321E-2</v>
      </c>
      <c r="AL196" s="1111">
        <f>SUMIFS(NewEmisData!K:K, NewEmisData!$A:$A, $G196, NewEmisData!$B:$B, $A196, NewEmisData!$C:$C, $H196, NewEmisData!$D:$D, AL$6)</f>
        <v>1.3857298595630599E-2</v>
      </c>
      <c r="AM196" s="1111">
        <f>SUMIFS(NewEmisData!L:L, NewEmisData!$A:$A, $G196, NewEmisData!$B:$B, $A196, NewEmisData!$C:$C, $H196, NewEmisData!$D:$D, AM$6)</f>
        <v>1.3847788543629599E-2</v>
      </c>
      <c r="AN196" s="1111">
        <f>SUMIFS(NewEmisData!M:M, NewEmisData!$A:$A, $G196, NewEmisData!$B:$B, $A196, NewEmisData!$C:$C, $H196, NewEmisData!$D:$D, AN$6)</f>
        <v>1.38454338903831E-2</v>
      </c>
      <c r="AO196" s="1111">
        <f t="shared" si="242"/>
        <v>1.38454338903831E-2</v>
      </c>
      <c r="AP196" s="1111">
        <f t="shared" si="243"/>
        <v>0.88280589948548305</v>
      </c>
      <c r="AQ196" s="1111">
        <f>SUMIFS(NewEmisData!E:E, NewEmisData!$A:$A, $G196, NewEmisData!$B:$B, $A196, NewEmisData!$C:$C, $H196, NewEmisData!$D:$D, AQ$6)</f>
        <v>0.88280589948548305</v>
      </c>
      <c r="AR196" s="1111">
        <f>SUMIFS(NewEmisData!F:F, NewEmisData!$A:$A, $G196, NewEmisData!$B:$B, $A196, NewEmisData!$C:$C, $H196, NewEmisData!$D:$D, AR$6)</f>
        <v>0.45831592934321902</v>
      </c>
      <c r="AS196" s="1111">
        <f>SUMIFS(NewEmisData!G:G, NewEmisData!$A:$A, $G196, NewEmisData!$B:$B, $A196, NewEmisData!$C:$C, $H196, NewEmisData!$D:$D, AS$6)</f>
        <v>0.43734131963468098</v>
      </c>
      <c r="AT196" s="1111">
        <f>SUMIFS(NewEmisData!H:H, NewEmisData!$A:$A, $G196, NewEmisData!$B:$B, $A196, NewEmisData!$C:$C, $H196, NewEmisData!$D:$D, AT$6)</f>
        <v>0.34967637389988199</v>
      </c>
      <c r="AU196" s="1111">
        <f>SUMIFS(NewEmisData!I:I, NewEmisData!$A:$A, $G196, NewEmisData!$B:$B, $A196, NewEmisData!$C:$C, $H196, NewEmisData!$D:$D, AU$6)</f>
        <v>0.31983162808126298</v>
      </c>
      <c r="AV196" s="1111">
        <f>SUMIFS(NewEmisData!J:J, NewEmisData!$A:$A, $G196, NewEmisData!$B:$B, $A196, NewEmisData!$C:$C, $H196, NewEmisData!$D:$D, AV$6)</f>
        <v>0.31421718315917302</v>
      </c>
      <c r="AW196" s="1111">
        <f>SUMIFS(NewEmisData!K:K, NewEmisData!$A:$A, $G196, NewEmisData!$B:$B, $A196, NewEmisData!$C:$C, $H196, NewEmisData!$D:$D, AW$6)</f>
        <v>0.31256016773955603</v>
      </c>
      <c r="AX196" s="1111">
        <f>SUMIFS(NewEmisData!L:L, NewEmisData!$A:$A, $G196, NewEmisData!$B:$B, $A196, NewEmisData!$C:$C, $H196, NewEmisData!$D:$D, AX$6)</f>
        <v>0.31254542006524799</v>
      </c>
      <c r="AY196" s="1111">
        <f>SUMIFS(NewEmisData!M:M, NewEmisData!$A:$A, $G196, NewEmisData!$B:$B, $A196, NewEmisData!$C:$C, $H196, NewEmisData!$D:$D, AY$6)</f>
        <v>0.31254401073163601</v>
      </c>
      <c r="AZ196" s="1111">
        <f t="shared" si="244"/>
        <v>0.31254401073163601</v>
      </c>
      <c r="BA196" s="1111">
        <f t="shared" si="245"/>
        <v>0.66102414887226102</v>
      </c>
      <c r="BB196" s="1111">
        <f>SUMIFS(NewEmisData!E:E, NewEmisData!$A:$A, $G196, NewEmisData!$B:$B, $A196, NewEmisData!$C:$C, $H196, NewEmisData!$D:$D, BB$6)</f>
        <v>0.66102414887226102</v>
      </c>
      <c r="BC196" s="1111">
        <f>SUMIFS(NewEmisData!F:F, NewEmisData!$A:$A, $G196, NewEmisData!$B:$B, $A196, NewEmisData!$C:$C, $H196, NewEmisData!$D:$D, BC$6)</f>
        <v>0.27087694461251399</v>
      </c>
      <c r="BD196" s="1111">
        <f>SUMIFS(NewEmisData!G:G, NewEmisData!$A:$A, $G196, NewEmisData!$B:$B, $A196, NewEmisData!$C:$C, $H196, NewEmisData!$D:$D, BD$6)</f>
        <v>0.174468170082518</v>
      </c>
      <c r="BE196" s="1111">
        <f>SUMIFS(NewEmisData!H:H, NewEmisData!$A:$A, $G196, NewEmisData!$B:$B, $A196, NewEmisData!$C:$C, $H196, NewEmisData!$D:$D, BE$6)</f>
        <v>9.4926362989927404E-2</v>
      </c>
      <c r="BF196" s="1111">
        <f>SUMIFS(NewEmisData!I:I, NewEmisData!$A:$A, $G196, NewEmisData!$B:$B, $A196, NewEmisData!$C:$C, $H196, NewEmisData!$D:$D, BF$6)</f>
        <v>6.7801817056445293E-2</v>
      </c>
      <c r="BG196" s="1111">
        <f>SUMIFS(NewEmisData!J:J, NewEmisData!$A:$A, $G196, NewEmisData!$B:$B, $A196, NewEmisData!$C:$C, $H196, NewEmisData!$D:$D, BG$6)</f>
        <v>6.2731413619129706E-2</v>
      </c>
      <c r="BH196" s="1111">
        <f>SUMIFS(NewEmisData!K:K, NewEmisData!$A:$A, $G196, NewEmisData!$B:$B, $A196, NewEmisData!$C:$C, $H196, NewEmisData!$D:$D, BH$6)</f>
        <v>6.1230033876524703E-2</v>
      </c>
      <c r="BI196" s="1111">
        <f>SUMIFS(NewEmisData!L:L, NewEmisData!$A:$A, $G196, NewEmisData!$B:$B, $A196, NewEmisData!$C:$C, $H196, NewEmisData!$D:$D, BI$6)</f>
        <v>6.1220848871463299E-2</v>
      </c>
      <c r="BJ196" s="1111">
        <f>SUMIFS(NewEmisData!M:M, NewEmisData!$A:$A, $G196, NewEmisData!$B:$B, $A196, NewEmisData!$C:$C, $H196, NewEmisData!$D:$D, BJ$6)</f>
        <v>6.1219393619074997E-2</v>
      </c>
      <c r="BK196" s="1111">
        <f t="shared" si="246"/>
        <v>6.1219393619074997E-2</v>
      </c>
      <c r="BL196" s="1111">
        <f t="shared" si="247"/>
        <v>4.1982176614759501</v>
      </c>
      <c r="BM196" s="1111">
        <f>SUMIFS(NewEmisData!E:E, NewEmisData!$A:$A, $G196, NewEmisData!$B:$B, $A196, NewEmisData!$C:$C, $H196, NewEmisData!$D:$D, BM$6)</f>
        <v>4.1982176614759501</v>
      </c>
      <c r="BN196" s="1111">
        <f>SUMIFS(NewEmisData!F:F, NewEmisData!$A:$A, $G196, NewEmisData!$B:$B, $A196, NewEmisData!$C:$C, $H196, NewEmisData!$D:$D, BN$6)</f>
        <v>1.9296051000849399</v>
      </c>
      <c r="BO196" s="1111">
        <f>SUMIFS(NewEmisData!G:G, NewEmisData!$A:$A, $G196, NewEmisData!$B:$B, $A196, NewEmisData!$C:$C, $H196, NewEmisData!$D:$D, BO$6)</f>
        <v>1.40672397416939</v>
      </c>
      <c r="BP196" s="1111">
        <f>SUMIFS(NewEmisData!H:H, NewEmisData!$A:$A, $G196, NewEmisData!$B:$B, $A196, NewEmisData!$C:$C, $H196, NewEmisData!$D:$D, BP$6)</f>
        <v>0.88467467852096004</v>
      </c>
      <c r="BQ196" s="1111">
        <f>SUMIFS(NewEmisData!I:I, NewEmisData!$A:$A, $G196, NewEmisData!$B:$B, $A196, NewEmisData!$C:$C, $H196, NewEmisData!$D:$D, BQ$6)</f>
        <v>0.71808621559357599</v>
      </c>
      <c r="BR196" s="1111">
        <f>SUMIFS(NewEmisData!J:J, NewEmisData!$A:$A, $G196, NewEmisData!$B:$B, $A196, NewEmisData!$C:$C, $H196, NewEmisData!$D:$D, BR$6)</f>
        <v>0.67933532556158505</v>
      </c>
      <c r="BS196" s="1111">
        <f>SUMIFS(NewEmisData!K:K, NewEmisData!$A:$A, $G196, NewEmisData!$B:$B, $A196, NewEmisData!$C:$C, $H196, NewEmisData!$D:$D, BS$6)</f>
        <v>0.66869245935522403</v>
      </c>
      <c r="BT196" s="1111">
        <f>SUMIFS(NewEmisData!L:L, NewEmisData!$A:$A, $G196, NewEmisData!$B:$B, $A196, NewEmisData!$C:$C, $H196, NewEmisData!$D:$D, BT$6)</f>
        <v>0.66846478756515504</v>
      </c>
      <c r="BU196" s="1111">
        <f>SUMIFS(NewEmisData!M:M, NewEmisData!$A:$A, $G196, NewEmisData!$B:$B, $A196, NewEmisData!$C:$C, $H196, NewEmisData!$D:$D, BU$6)</f>
        <v>0.66834592579461805</v>
      </c>
      <c r="BV196" s="1111">
        <f t="shared" si="248"/>
        <v>0.66834592579461805</v>
      </c>
      <c r="BW196" s="1111">
        <f t="shared" si="249"/>
        <v>1.6997416060402699</v>
      </c>
      <c r="BX196" s="1111">
        <f>SUMIFS(NewEmisData!E:E, NewEmisData!$A:$A, $G196, NewEmisData!$B:$B, $A196, NewEmisData!$C:$C, $H196, NewEmisData!$D:$D, BX$6)</f>
        <v>1.6997416060402699</v>
      </c>
      <c r="BY196" s="1111">
        <f>SUMIFS(NewEmisData!F:F, NewEmisData!$A:$A, $G196, NewEmisData!$B:$B, $A196, NewEmisData!$C:$C, $H196, NewEmisData!$D:$D, BY$6)</f>
        <v>0.68631415040974197</v>
      </c>
      <c r="BZ196" s="1111">
        <f>SUMIFS(NewEmisData!G:G, NewEmisData!$A:$A, $G196, NewEmisData!$B:$B, $A196, NewEmisData!$C:$C, $H196, NewEmisData!$D:$D, BZ$6)</f>
        <v>0.48115827096559399</v>
      </c>
      <c r="CA196" s="1111">
        <f>SUMIFS(NewEmisData!H:H, NewEmisData!$A:$A, $G196, NewEmisData!$B:$B, $A196, NewEmisData!$C:$C, $H196, NewEmisData!$D:$D, CA$6)</f>
        <v>0.25065156408387401</v>
      </c>
      <c r="CB196" s="1111">
        <f>SUMIFS(NewEmisData!I:I, NewEmisData!$A:$A, $G196, NewEmisData!$B:$B, $A196, NewEmisData!$C:$C, $H196, NewEmisData!$D:$D, CB$6)</f>
        <v>0.17921885955178801</v>
      </c>
      <c r="CC196" s="1111">
        <f>SUMIFS(NewEmisData!J:J, NewEmisData!$A:$A, $G196, NewEmisData!$B:$B, $A196, NewEmisData!$C:$C, $H196, NewEmisData!$D:$D, CC$6)</f>
        <v>0.16195369632512899</v>
      </c>
      <c r="CD196" s="1111">
        <f>SUMIFS(NewEmisData!K:K, NewEmisData!$A:$A, $G196, NewEmisData!$B:$B, $A196, NewEmisData!$C:$C, $H196, NewEmisData!$D:$D, CD$6)</f>
        <v>0.15740433242174701</v>
      </c>
      <c r="CE196" s="1111">
        <f>SUMIFS(NewEmisData!L:L, NewEmisData!$A:$A, $G196, NewEmisData!$B:$B, $A196, NewEmisData!$C:$C, $H196, NewEmisData!$D:$D, CE$6)</f>
        <v>0.157307785457242</v>
      </c>
      <c r="CF196" s="1111">
        <f>SUMIFS(NewEmisData!M:M, NewEmisData!$A:$A, $G196, NewEmisData!$B:$B, $A196, NewEmisData!$C:$C, $H196, NewEmisData!$D:$D, CF$6)</f>
        <v>0.15725203081084399</v>
      </c>
      <c r="CG196" s="1111">
        <f t="shared" si="250"/>
        <v>0.15725203081084399</v>
      </c>
      <c r="CH196" s="1111">
        <f t="shared" si="251"/>
        <v>2.7231476481759501E-2</v>
      </c>
      <c r="CI196" s="1111">
        <f>SUMIFS(NewEmisData!E:E, NewEmisData!$A:$A, $G196, NewEmisData!$B:$B, $A196, NewEmisData!$C:$C, $H196, NewEmisData!$D:$D, CI$6)</f>
        <v>2.7231476481759501E-2</v>
      </c>
      <c r="CJ196" s="1111">
        <f>SUMIFS(NewEmisData!F:F, NewEmisData!$A:$A, $G196, NewEmisData!$B:$B, $A196, NewEmisData!$C:$C, $H196, NewEmisData!$D:$D, CJ$6)</f>
        <v>2.7231505502351299E-2</v>
      </c>
      <c r="CK196" s="1111">
        <f>SUMIFS(NewEmisData!G:G, NewEmisData!$A:$A, $G196, NewEmisData!$B:$B, $A196, NewEmisData!$C:$C, $H196, NewEmisData!$D:$D, CK$6)</f>
        <v>3.75087111104635E-2</v>
      </c>
      <c r="CL196" s="1111">
        <f>SUMIFS(NewEmisData!H:H, NewEmisData!$A:$A, $G196, NewEmisData!$B:$B, $A196, NewEmisData!$C:$C, $H196, NewEmisData!$D:$D, CL$6)</f>
        <v>3.7508856064657703E-2</v>
      </c>
      <c r="CM196" s="1111">
        <f>SUMIFS(NewEmisData!I:I, NewEmisData!$A:$A, $G196, NewEmisData!$B:$B, $A196, NewEmisData!$C:$C, $H196, NewEmisData!$D:$D, CM$6)</f>
        <v>3.7508894115090098E-2</v>
      </c>
      <c r="CN196" s="1111">
        <f>SUMIFS(NewEmisData!J:J, NewEmisData!$A:$A, $G196, NewEmisData!$B:$B, $A196, NewEmisData!$C:$C, $H196, NewEmisData!$D:$D, CN$6)</f>
        <v>3.75089026268779E-2</v>
      </c>
      <c r="CO196" s="1111">
        <f>SUMIFS(NewEmisData!K:K, NewEmisData!$A:$A, $G196, NewEmisData!$B:$B, $A196, NewEmisData!$C:$C, $H196, NewEmisData!$D:$D, CO$6)</f>
        <v>3.7508908078082499E-2</v>
      </c>
      <c r="CP196" s="1111">
        <f>SUMIFS(NewEmisData!L:L, NewEmisData!$A:$A, $G196, NewEmisData!$B:$B, $A196, NewEmisData!$C:$C, $H196, NewEmisData!$D:$D, CP$6)</f>
        <v>3.7508933890185198E-2</v>
      </c>
      <c r="CQ196" s="1111">
        <f>SUMIFS(NewEmisData!M:M, NewEmisData!$A:$A, $G196, NewEmisData!$B:$B, $A196, NewEmisData!$C:$C, $H196, NewEmisData!$D:$D, CQ$6)</f>
        <v>3.7508933881412299E-2</v>
      </c>
      <c r="CR196" s="1111">
        <f t="shared" si="252"/>
        <v>3.7508933881412299E-2</v>
      </c>
      <c r="CS196" s="1111">
        <f t="shared" si="253"/>
        <v>4.4439718651325903E-3</v>
      </c>
      <c r="CT196" s="1111">
        <f>SUMIFS(NewEmisData!E:E, NewEmisData!$A:$A, $G196, NewEmisData!$B:$B, $A196, NewEmisData!$C:$C, $H196, NewEmisData!$D:$D, CT$6)</f>
        <v>4.4439718651325903E-3</v>
      </c>
      <c r="CU196" s="1111">
        <f>SUMIFS(NewEmisData!F:F, NewEmisData!$A:$A, $G196, NewEmisData!$B:$B, $A196, NewEmisData!$C:$C, $H196, NewEmisData!$D:$D, CU$6)</f>
        <v>4.4840826707910003E-3</v>
      </c>
      <c r="CV196" s="1111">
        <f>SUMIFS(NewEmisData!G:G, NewEmisData!$A:$A, $G196, NewEmisData!$B:$B, $A196, NewEmisData!$C:$C, $H196, NewEmisData!$D:$D, CV$6)</f>
        <v>7.1142816082060099E-3</v>
      </c>
      <c r="CW196" s="1111">
        <f>SUMIFS(NewEmisData!H:H, NewEmisData!$A:$A, $G196, NewEmisData!$B:$B, $A196, NewEmisData!$C:$C, $H196, NewEmisData!$D:$D, CW$6)</f>
        <v>7.1281607170090603E-3</v>
      </c>
      <c r="CX196" s="1111">
        <f>SUMIFS(NewEmisData!I:I, NewEmisData!$A:$A, $G196, NewEmisData!$B:$B, $A196, NewEmisData!$C:$C, $H196, NewEmisData!$D:$D, CX$6)</f>
        <v>7.1288471049868697E-3</v>
      </c>
      <c r="CY196" s="1111">
        <f>SUMIFS(NewEmisData!J:J, NewEmisData!$A:$A, $G196, NewEmisData!$B:$B, $A196, NewEmisData!$C:$C, $H196, NewEmisData!$D:$D, CY$6)</f>
        <v>7.1224443338730398E-3</v>
      </c>
      <c r="CZ196" s="1111">
        <f>SUMIFS(NewEmisData!K:K, NewEmisData!$A:$A, $G196, NewEmisData!$B:$B, $A196, NewEmisData!$C:$C, $H196, NewEmisData!$D:$D, CZ$6)</f>
        <v>7.1174224218484104E-3</v>
      </c>
      <c r="DA196" s="1111">
        <f>SUMIFS(NewEmisData!L:L, NewEmisData!$A:$A, $G196, NewEmisData!$B:$B, $A196, NewEmisData!$C:$C, $H196, NewEmisData!$D:$D, DA$6)</f>
        <v>7.1156639835745503E-3</v>
      </c>
      <c r="DB196" s="1111">
        <f>SUMIFS(NewEmisData!M:M, NewEmisData!$A:$A, $G196, NewEmisData!$B:$B, $A196, NewEmisData!$C:$C, $H196, NewEmisData!$D:$D, DB$6)</f>
        <v>7.1143751431365504E-3</v>
      </c>
      <c r="DC196" s="1111">
        <f t="shared" si="254"/>
        <v>7.1143751431365504E-3</v>
      </c>
      <c r="DD196" s="1111">
        <v>0.27590359730377301</v>
      </c>
      <c r="DE196" s="1111">
        <v>0.16653461328025448</v>
      </c>
      <c r="DF196" s="1111">
        <v>7.0634013441740542E-2</v>
      </c>
      <c r="DG196" s="1111">
        <v>1.3465185741622277E-2</v>
      </c>
      <c r="DH196" s="1111">
        <v>1.3335902123626415E-3</v>
      </c>
      <c r="DI196" s="1111">
        <v>1.3333236123730993E-3</v>
      </c>
      <c r="DJ196" s="1111">
        <v>1.3411440493973604E-3</v>
      </c>
      <c r="DK196" s="1111">
        <v>1.346119573497251E-3</v>
      </c>
      <c r="DL196" s="1111">
        <v>1.34972147341348E-3</v>
      </c>
      <c r="DM196" s="1111">
        <v>1.3526876874025272E-3</v>
      </c>
      <c r="DN196" s="1111">
        <v>1.3526876874025272E-3</v>
      </c>
      <c r="DO196" s="1111">
        <v>0.25015732774214966</v>
      </c>
      <c r="DP196" s="1111">
        <v>0.16091587537237781</v>
      </c>
      <c r="DQ196" s="1111">
        <v>6.8950819100028288E-2</v>
      </c>
      <c r="DR196" s="1111">
        <v>1.3786722456098304E-2</v>
      </c>
      <c r="DS196" s="1111">
        <v>2.3415945439152265E-3</v>
      </c>
      <c r="DT196" s="1111">
        <v>2.3424752868533771E-3</v>
      </c>
      <c r="DU196" s="1111">
        <v>2.3572496284837057E-3</v>
      </c>
      <c r="DV196" s="1111">
        <v>2.366615384585016E-3</v>
      </c>
      <c r="DW196" s="1111">
        <v>2.3732649800659884E-3</v>
      </c>
      <c r="DX196" s="1111">
        <v>2.3787745892213E-3</v>
      </c>
      <c r="DY196" s="1111">
        <v>2.3787745892213E-3</v>
      </c>
      <c r="DZ196" s="1111">
        <f t="shared" si="255"/>
        <v>2.2941775537169001E-2</v>
      </c>
      <c r="EA196" s="1111">
        <f>SUMIFS(NewEmisData!E:E, NewEmisData!$A:$A, $G196, NewEmisData!$B:$B, $A196, NewEmisData!$C:$C, $H196, NewEmisData!$D:$D, EA$6)</f>
        <v>2.2941775537169001E-2</v>
      </c>
      <c r="EB196" s="1111">
        <f>SUMIFS(NewEmisData!F:F, NewEmisData!$A:$A, $G196, NewEmisData!$B:$B, $A196, NewEmisData!$C:$C, $H196, NewEmisData!$D:$D, EB$6)</f>
        <v>9.3917723641563006E-2</v>
      </c>
      <c r="EC196" s="1111">
        <f>SUMIFS(NewEmisData!G:G, NewEmisData!$A:$A, $G196, NewEmisData!$B:$B, $A196, NewEmisData!$C:$C, $H196, NewEmisData!$D:$D, EC$6)</f>
        <v>0.146461478377578</v>
      </c>
      <c r="ED196" s="1111">
        <f>SUMIFS(NewEmisData!H:H, NewEmisData!$A:$A, $G196, NewEmisData!$B:$B, $A196, NewEmisData!$C:$C, $H196, NewEmisData!$D:$D, ED$6)</f>
        <v>0.14857043025063399</v>
      </c>
      <c r="EE196" s="1111">
        <f>SUMIFS(NewEmisData!I:I, NewEmisData!$A:$A, $G196, NewEmisData!$B:$B, $A196, NewEmisData!$C:$C, $H196, NewEmisData!$D:$D, EE$6)</f>
        <v>0.14921098409112099</v>
      </c>
      <c r="EF196" s="1111">
        <f>SUMIFS(NewEmisData!J:J, NewEmisData!$A:$A, $G196, NewEmisData!$B:$B, $A196, NewEmisData!$C:$C, $H196, NewEmisData!$D:$D, EF$6)</f>
        <v>0.14903391288637999</v>
      </c>
      <c r="EG196" s="1111">
        <f>SUMIFS(NewEmisData!K:K, NewEmisData!$A:$A, $G196, NewEmisData!$B:$B, $A196, NewEmisData!$C:$C, $H196, NewEmisData!$D:$D, EG$6)</f>
        <v>0.149096656781327</v>
      </c>
      <c r="EH196" s="1111">
        <f>SUMIFS(NewEmisData!L:L, NewEmisData!$A:$A, $G196, NewEmisData!$B:$B, $A196, NewEmisData!$C:$C, $H196, NewEmisData!$D:$D, EH$6)</f>
        <v>0.14900669844887601</v>
      </c>
      <c r="EI196" s="1111">
        <f>SUMIFS(NewEmisData!M:M, NewEmisData!$A:$A, $G196, NewEmisData!$B:$B, $A196, NewEmisData!$C:$C, $H196, NewEmisData!$D:$D, EI$6)</f>
        <v>0.14895012544389</v>
      </c>
      <c r="EJ196" s="1111">
        <f t="shared" si="256"/>
        <v>0.14895012544389</v>
      </c>
      <c r="EK196" s="1111">
        <f t="shared" si="257"/>
        <v>1391.2693302299499</v>
      </c>
      <c r="EL196" s="1111">
        <f t="shared" si="269"/>
        <v>1391.2693302299499</v>
      </c>
      <c r="EM196" s="1111">
        <f t="shared" si="270"/>
        <v>1387.81700695984</v>
      </c>
      <c r="EN196" s="1111">
        <f t="shared" si="271"/>
        <v>1800.2870719201501</v>
      </c>
      <c r="EO196" s="1111">
        <f t="shared" si="272"/>
        <v>1737.4132368119399</v>
      </c>
      <c r="EP196" s="1111">
        <f t="shared" si="273"/>
        <v>1684.8867050016099</v>
      </c>
      <c r="EQ196" s="1111">
        <f t="shared" si="274"/>
        <v>1667.30888418872</v>
      </c>
      <c r="ER196" s="1111">
        <f t="shared" si="275"/>
        <v>1662.1204635085701</v>
      </c>
      <c r="ES196" s="1111">
        <f t="shared" si="276"/>
        <v>1660.97957279301</v>
      </c>
      <c r="ET196" s="1111">
        <f t="shared" si="277"/>
        <v>1660.69684286644</v>
      </c>
      <c r="EU196" s="1111">
        <f t="shared" si="278"/>
        <v>1660.69684286644</v>
      </c>
      <c r="EV196" s="1111">
        <f t="shared" si="258"/>
        <v>9.0067562467577496</v>
      </c>
      <c r="EW196" s="1111">
        <f t="shared" si="259"/>
        <v>9.0067562467577496</v>
      </c>
      <c r="EX196" s="1111">
        <f t="shared" si="260"/>
        <v>4.6343833495392097</v>
      </c>
      <c r="EY196" s="1111">
        <f t="shared" si="261"/>
        <v>3.60142958602064</v>
      </c>
      <c r="EZ196" s="1111">
        <f t="shared" si="262"/>
        <v>2.1043869634005898</v>
      </c>
      <c r="FA196" s="1111">
        <f t="shared" si="263"/>
        <v>1.48367214909245</v>
      </c>
      <c r="FB196" s="1111">
        <f t="shared" si="264"/>
        <v>1.28531680721516</v>
      </c>
      <c r="FC196" s="1111">
        <f t="shared" si="265"/>
        <v>1.2244614015544699</v>
      </c>
      <c r="FD196" s="1111">
        <f t="shared" si="266"/>
        <v>1.2160626918277799</v>
      </c>
      <c r="FE196" s="1111">
        <f t="shared" si="267"/>
        <v>1.2135584327019699</v>
      </c>
      <c r="FF196" s="1111">
        <f t="shared" si="268"/>
        <v>1.2135584327019699</v>
      </c>
      <c r="FG196" s="1111">
        <f t="shared" si="291"/>
        <v>3.4517378580972299E-2</v>
      </c>
      <c r="FH196" s="1111">
        <f t="shared" si="292"/>
        <v>3.4517378580972299E-2</v>
      </c>
      <c r="FI196" s="1111">
        <f t="shared" si="293"/>
        <v>3.32138510088891E-2</v>
      </c>
      <c r="FJ196" s="1111">
        <f t="shared" si="294"/>
        <v>1.51370239918269E-2</v>
      </c>
      <c r="FK196" s="1111">
        <f t="shared" si="295"/>
        <v>1.4522910664903899E-2</v>
      </c>
      <c r="FL196" s="1111">
        <f t="shared" si="296"/>
        <v>1.4055280493155501E-2</v>
      </c>
      <c r="FM196" s="1111">
        <f t="shared" si="297"/>
        <v>1.39025233464321E-2</v>
      </c>
      <c r="FN196" s="1111">
        <f t="shared" si="298"/>
        <v>1.3857298595630599E-2</v>
      </c>
      <c r="FO196" s="1111">
        <f t="shared" si="299"/>
        <v>1.3847788543629599E-2</v>
      </c>
      <c r="FP196" s="1111">
        <f t="shared" si="300"/>
        <v>1.38454338903831E-2</v>
      </c>
      <c r="FQ196" s="1111">
        <f t="shared" si="301"/>
        <v>1.38454338903831E-2</v>
      </c>
      <c r="FR196" s="1111">
        <f t="shared" si="230"/>
        <v>0.88280589948548305</v>
      </c>
      <c r="FS196" s="1111">
        <f t="shared" si="231"/>
        <v>0.88280589948548305</v>
      </c>
      <c r="FT196" s="1111">
        <f t="shared" si="232"/>
        <v>0.45831592934321902</v>
      </c>
      <c r="FU196" s="1111">
        <f t="shared" si="233"/>
        <v>0.43734131963468098</v>
      </c>
      <c r="FV196" s="1111">
        <f t="shared" si="234"/>
        <v>0.34967637389988199</v>
      </c>
      <c r="FW196" s="1111">
        <f t="shared" si="235"/>
        <v>0.31983162808126298</v>
      </c>
      <c r="FX196" s="1111">
        <f t="shared" si="236"/>
        <v>0.31421718315917302</v>
      </c>
      <c r="FY196" s="1111">
        <f t="shared" si="237"/>
        <v>0.31256016773955603</v>
      </c>
      <c r="FZ196" s="1111">
        <f t="shared" si="238"/>
        <v>0.31254542006524799</v>
      </c>
      <c r="GA196" s="1111">
        <f t="shared" si="239"/>
        <v>0.31254401073163601</v>
      </c>
      <c r="GB196" s="1111">
        <f t="shared" si="240"/>
        <v>0.31254401073163601</v>
      </c>
      <c r="GC196" s="1111">
        <f t="shared" si="279"/>
        <v>0.66102414887226102</v>
      </c>
      <c r="GD196" s="1111">
        <f t="shared" si="280"/>
        <v>0.66102414887226102</v>
      </c>
      <c r="GE196" s="1111">
        <f t="shared" si="281"/>
        <v>0.27087694461251399</v>
      </c>
      <c r="GF196" s="1111">
        <f t="shared" si="282"/>
        <v>0.174468170082518</v>
      </c>
      <c r="GG196" s="1111">
        <f t="shared" si="283"/>
        <v>9.4926362989927404E-2</v>
      </c>
      <c r="GH196" s="1111">
        <f t="shared" si="284"/>
        <v>6.7801817056445293E-2</v>
      </c>
      <c r="GI196" s="1111">
        <f t="shared" si="285"/>
        <v>6.2731413619129706E-2</v>
      </c>
      <c r="GJ196" s="1111">
        <f t="shared" si="286"/>
        <v>6.1230033876524703E-2</v>
      </c>
      <c r="GK196" s="1111">
        <f t="shared" si="287"/>
        <v>6.1220848871463299E-2</v>
      </c>
      <c r="GL196" s="1111">
        <f t="shared" si="288"/>
        <v>6.1219393619074997E-2</v>
      </c>
      <c r="GM196" s="1111">
        <f t="shared" si="289"/>
        <v>6.1219393619074997E-2</v>
      </c>
    </row>
    <row r="197" spans="1:195" x14ac:dyDescent="0.2">
      <c r="A197" s="1071" t="s">
        <v>184</v>
      </c>
      <c r="B197" s="1071" t="str">
        <f>Technologies!C122</f>
        <v>TMDSLAH</v>
      </c>
      <c r="C197" s="1071" t="str">
        <f>Technologies!D122</f>
        <v>Medium Duty Truck, Advanced Hybrid Diesel</v>
      </c>
      <c r="D197" s="1071" t="str">
        <f>NewTech!D74</f>
        <v>bn-vmt, bn-vmt/a</v>
      </c>
      <c r="E197" s="1071" t="str">
        <f>NewTech!E75</f>
        <v>TMDSL</v>
      </c>
      <c r="F197" s="1071" t="str">
        <f>NewTech!F75</f>
        <v>TM</v>
      </c>
      <c r="G197" s="1110" t="s">
        <v>503</v>
      </c>
      <c r="H197" s="1110" t="s">
        <v>499</v>
      </c>
      <c r="I197" s="1112">
        <v>1</v>
      </c>
      <c r="J197" s="1111" t="str">
        <f t="shared" si="37"/>
        <v>Medium duty-DSL</v>
      </c>
      <c r="K197" s="1111">
        <f>SUMIFS(NewEmisData!E:E, NewEmisData!$A:$A, $G197, NewEmisData!$B:$B, $A197, NewEmisData!$C:$C, $H197, NewEmisData!$D:$D, K$6)</f>
        <v>1227.122531812</v>
      </c>
      <c r="L197" s="1111">
        <f>SUMIFS(NewEmisData!F:F, NewEmisData!$A:$A, $G197, NewEmisData!$B:$B, $A197, NewEmisData!$C:$C, $H197, NewEmisData!$D:$D, L$6)</f>
        <v>1223.38293869125</v>
      </c>
      <c r="M197" s="1111">
        <f>SUMIFS(NewEmisData!G:G, NewEmisData!$A:$A, $G197, NewEmisData!$B:$B, $A197, NewEmisData!$C:$C, $H197, NewEmisData!$D:$D, M$6)</f>
        <v>1491.9167744443</v>
      </c>
      <c r="N197" s="1111">
        <f>SUMIFS(NewEmisData!H:H, NewEmisData!$A:$A, $G197, NewEmisData!$B:$B, $A197, NewEmisData!$C:$C, $H197, NewEmisData!$D:$D, N$6)</f>
        <v>1439.6290263866099</v>
      </c>
      <c r="O197" s="1111">
        <f>SUMIFS(NewEmisData!I:I, NewEmisData!$A:$A, $G197, NewEmisData!$B:$B, $A197, NewEmisData!$C:$C, $H197, NewEmisData!$D:$D, O$6)</f>
        <v>1396.0303655681701</v>
      </c>
      <c r="P197" s="1111">
        <f>SUMIFS(NewEmisData!J:J, NewEmisData!$A:$A, $G197, NewEmisData!$B:$B, $A197, NewEmisData!$C:$C, $H197, NewEmisData!$D:$D, P$6)</f>
        <v>1381.4572061837</v>
      </c>
      <c r="Q197" s="1111">
        <f>SUMIFS(NewEmisData!K:K, NewEmisData!$A:$A, $G197, NewEmisData!$B:$B, $A197, NewEmisData!$C:$C, $H197, NewEmisData!$D:$D, Q$6)</f>
        <v>1377.1647221724299</v>
      </c>
      <c r="R197" s="1111">
        <f>SUMIFS(NewEmisData!L:L, NewEmisData!$A:$A, $G197, NewEmisData!$B:$B, $A197, NewEmisData!$C:$C, $H197, NewEmisData!$D:$D, R$6)</f>
        <v>1376.2239115392599</v>
      </c>
      <c r="S197" s="1111">
        <f>SUMIFS(NewEmisData!M:M, NewEmisData!$A:$A, $G197, NewEmisData!$B:$B, $A197, NewEmisData!$C:$C, $H197, NewEmisData!$D:$D, S$6)</f>
        <v>1375.99238621115</v>
      </c>
      <c r="T197" s="1111">
        <f t="shared" si="290"/>
        <v>1375.99238621115</v>
      </c>
      <c r="U197" s="1111">
        <f>SUMIFS(NewEmisData!E:E, NewEmisData!$A:$A, $G197, NewEmisData!$B:$B, $A197, NewEmisData!$C:$C, $H197, NewEmisData!$D:$D, U$6)</f>
        <v>8.0193608379791392</v>
      </c>
      <c r="V197" s="1111">
        <f>SUMIFS(NewEmisData!F:F, NewEmisData!$A:$A, $G197, NewEmisData!$B:$B, $A197, NewEmisData!$C:$C, $H197, NewEmisData!$D:$D, V$6)</f>
        <v>4.1543590563126003</v>
      </c>
      <c r="W197" s="1111">
        <f>SUMIFS(NewEmisData!G:G, NewEmisData!$A:$A, $G197, NewEmisData!$B:$B, $A197, NewEmisData!$C:$C, $H197, NewEmisData!$D:$D, W$6)</f>
        <v>2.98133312137844</v>
      </c>
      <c r="X197" s="1111">
        <f>SUMIFS(NewEmisData!H:H, NewEmisData!$A:$A, $G197, NewEmisData!$B:$B, $A197, NewEmisData!$C:$C, $H197, NewEmisData!$D:$D, X$6)</f>
        <v>1.7381068783510201</v>
      </c>
      <c r="Y197" s="1111">
        <f>SUMIFS(NewEmisData!I:I, NewEmisData!$A:$A, $G197, NewEmisData!$B:$B, $A197, NewEmisData!$C:$C, $H197, NewEmisData!$D:$D, Y$6)</f>
        <v>1.2226706736775499</v>
      </c>
      <c r="Z197" s="1111">
        <f>SUMIFS(NewEmisData!J:J, NewEmisData!$A:$A, $G197, NewEmisData!$B:$B, $A197, NewEmisData!$C:$C, $H197, NewEmisData!$D:$D, Z$6)</f>
        <v>1.0580964689305701</v>
      </c>
      <c r="AA197" s="1111">
        <f>SUMIFS(NewEmisData!K:K, NewEmisData!$A:$A, $G197, NewEmisData!$B:$B, $A197, NewEmisData!$C:$C, $H197, NewEmisData!$D:$D, AA$6)</f>
        <v>1.00772008015349</v>
      </c>
      <c r="AB197" s="1111">
        <f>SUMIFS(NewEmisData!L:L, NewEmisData!$A:$A, $G197, NewEmisData!$B:$B, $A197, NewEmisData!$C:$C, $H197, NewEmisData!$D:$D, AB$6)</f>
        <v>1.0008292130083001</v>
      </c>
      <c r="AC197" s="1111">
        <f>SUMIFS(NewEmisData!M:M, NewEmisData!$A:$A, $G197, NewEmisData!$B:$B, $A197, NewEmisData!$C:$C, $H197, NewEmisData!$D:$D, AC$6)</f>
        <v>0.99880738384490098</v>
      </c>
      <c r="AD197" s="1111">
        <f t="shared" si="229"/>
        <v>0.99880738384490098</v>
      </c>
      <c r="AE197" s="1111">
        <f t="shared" si="241"/>
        <v>3.0399158238526399E-2</v>
      </c>
      <c r="AF197" s="1111">
        <f>SUMIFS(NewEmisData!E:E, NewEmisData!$A:$A, $G197, NewEmisData!$B:$B, $A197, NewEmisData!$C:$C, $H197, NewEmisData!$D:$D, AF$6)</f>
        <v>3.0399158238526399E-2</v>
      </c>
      <c r="AG197" s="1111">
        <f>SUMIFS(NewEmisData!F:F, NewEmisData!$A:$A, $G197, NewEmisData!$B:$B, $A197, NewEmisData!$C:$C, $H197, NewEmisData!$D:$D, AG$6)</f>
        <v>2.9335551037600001E-2</v>
      </c>
      <c r="AH197" s="1111">
        <f>SUMIFS(NewEmisData!G:G, NewEmisData!$A:$A, $G197, NewEmisData!$B:$B, $A197, NewEmisData!$C:$C, $H197, NewEmisData!$D:$D, AH$6)</f>
        <v>1.25441414050069E-2</v>
      </c>
      <c r="AI197" s="1111">
        <f>SUMIFS(NewEmisData!H:H, NewEmisData!$A:$A, $G197, NewEmisData!$B:$B, $A197, NewEmisData!$C:$C, $H197, NewEmisData!$D:$D, AI$6)</f>
        <v>1.2033715661617201E-2</v>
      </c>
      <c r="AJ197" s="1111">
        <f>SUMIFS(NewEmisData!I:I, NewEmisData!$A:$A, $G197, NewEmisData!$B:$B, $A197, NewEmisData!$C:$C, $H197, NewEmisData!$D:$D, AJ$6)</f>
        <v>1.1645627611560599E-2</v>
      </c>
      <c r="AK197" s="1111">
        <f>SUMIFS(NewEmisData!J:J, NewEmisData!$A:$A, $G197, NewEmisData!$B:$B, $A197, NewEmisData!$C:$C, $H197, NewEmisData!$D:$D, AK$6)</f>
        <v>1.15189928592382E-2</v>
      </c>
      <c r="AL197" s="1111">
        <f>SUMIFS(NewEmisData!K:K, NewEmisData!$A:$A, $G197, NewEmisData!$B:$B, $A197, NewEmisData!$C:$C, $H197, NewEmisData!$D:$D, AL$6)</f>
        <v>1.1481583994978299E-2</v>
      </c>
      <c r="AM197" s="1111">
        <f>SUMIFS(NewEmisData!L:L, NewEmisData!$A:$A, $G197, NewEmisData!$B:$B, $A197, NewEmisData!$C:$C, $H197, NewEmisData!$D:$D, AM$6)</f>
        <v>1.1473738052833899E-2</v>
      </c>
      <c r="AN197" s="1111">
        <f>SUMIFS(NewEmisData!M:M, NewEmisData!$A:$A, $G197, NewEmisData!$B:$B, $A197, NewEmisData!$C:$C, $H197, NewEmisData!$D:$D, AN$6)</f>
        <v>1.14718141652436E-2</v>
      </c>
      <c r="AO197" s="1111">
        <f t="shared" si="242"/>
        <v>1.14718141652436E-2</v>
      </c>
      <c r="AP197" s="1111">
        <f t="shared" si="243"/>
        <v>0.75675018821525997</v>
      </c>
      <c r="AQ197" s="1111">
        <f>SUMIFS(NewEmisData!E:E, NewEmisData!$A:$A, $G197, NewEmisData!$B:$B, $A197, NewEmisData!$C:$C, $H197, NewEmisData!$D:$D, AQ$6)</f>
        <v>0.75675018821525997</v>
      </c>
      <c r="AR197" s="1111">
        <f>SUMIFS(NewEmisData!F:F, NewEmisData!$A:$A, $G197, NewEmisData!$B:$B, $A197, NewEmisData!$C:$C, $H197, NewEmisData!$D:$D, AR$6)</f>
        <v>0.40133452537918501</v>
      </c>
      <c r="AS197" s="1111">
        <f>SUMIFS(NewEmisData!G:G, NewEmisData!$A:$A, $G197, NewEmisData!$B:$B, $A197, NewEmisData!$C:$C, $H197, NewEmisData!$D:$D, AS$6)</f>
        <v>0.33506910840269499</v>
      </c>
      <c r="AT197" s="1111">
        <f>SUMIFS(NewEmisData!H:H, NewEmisData!$A:$A, $G197, NewEmisData!$B:$B, $A197, NewEmisData!$C:$C, $H197, NewEmisData!$D:$D, AT$6)</f>
        <v>0.263570196116162</v>
      </c>
      <c r="AU197" s="1111">
        <f>SUMIFS(NewEmisData!I:I, NewEmisData!$A:$A, $G197, NewEmisData!$B:$B, $A197, NewEmisData!$C:$C, $H197, NewEmisData!$D:$D, AU$6)</f>
        <v>0.239317173689682</v>
      </c>
      <c r="AV197" s="1111">
        <f>SUMIFS(NewEmisData!J:J, NewEmisData!$A:$A, $G197, NewEmisData!$B:$B, $A197, NewEmisData!$C:$C, $H197, NewEmisData!$D:$D, AV$6)</f>
        <v>0.23470430578816801</v>
      </c>
      <c r="AW197" s="1111">
        <f>SUMIFS(NewEmisData!K:K, NewEmisData!$A:$A, $G197, NewEmisData!$B:$B, $A197, NewEmisData!$C:$C, $H197, NewEmisData!$D:$D, AW$6)</f>
        <v>0.23334423625159001</v>
      </c>
      <c r="AX197" s="1111">
        <f>SUMIFS(NewEmisData!L:L, NewEmisData!$A:$A, $G197, NewEmisData!$B:$B, $A197, NewEmisData!$C:$C, $H197, NewEmisData!$D:$D, AX$6)</f>
        <v>0.233332846550835</v>
      </c>
      <c r="AY197" s="1111">
        <f>SUMIFS(NewEmisData!M:M, NewEmisData!$A:$A, $G197, NewEmisData!$B:$B, $A197, NewEmisData!$C:$C, $H197, NewEmisData!$D:$D, AY$6)</f>
        <v>0.23333151026798801</v>
      </c>
      <c r="AZ197" s="1111">
        <f t="shared" si="244"/>
        <v>0.23333151026798801</v>
      </c>
      <c r="BA197" s="1111">
        <f t="shared" si="245"/>
        <v>0.57853809313457705</v>
      </c>
      <c r="BB197" s="1111">
        <f>SUMIFS(NewEmisData!E:E, NewEmisData!$A:$A, $G197, NewEmisData!$B:$B, $A197, NewEmisData!$C:$C, $H197, NewEmisData!$D:$D, BB$6)</f>
        <v>0.57853809313457705</v>
      </c>
      <c r="BC197" s="1111">
        <f>SUMIFS(NewEmisData!F:F, NewEmisData!$A:$A, $G197, NewEmisData!$B:$B, $A197, NewEmisData!$C:$C, $H197, NewEmisData!$D:$D, BC$6)</f>
        <v>0.252003695301314</v>
      </c>
      <c r="BD197" s="1111">
        <f>SUMIFS(NewEmisData!G:G, NewEmisData!$A:$A, $G197, NewEmisData!$B:$B, $A197, NewEmisData!$C:$C, $H197, NewEmisData!$D:$D, BD$6)</f>
        <v>0.14009339529863701</v>
      </c>
      <c r="BE197" s="1111">
        <f>SUMIFS(NewEmisData!H:H, NewEmisData!$A:$A, $G197, NewEmisData!$B:$B, $A197, NewEmisData!$C:$C, $H197, NewEmisData!$D:$D, BE$6)</f>
        <v>7.5128307357895593E-2</v>
      </c>
      <c r="BF197" s="1111">
        <f>SUMIFS(NewEmisData!I:I, NewEmisData!$A:$A, $G197, NewEmisData!$B:$B, $A197, NewEmisData!$C:$C, $H197, NewEmisData!$D:$D, BF$6)</f>
        <v>5.3059643460613801E-2</v>
      </c>
      <c r="BG197" s="1111">
        <f>SUMIFS(NewEmisData!J:J, NewEmisData!$A:$A, $G197, NewEmisData!$B:$B, $A197, NewEmisData!$C:$C, $H197, NewEmisData!$D:$D, BG$6)</f>
        <v>4.8885273229585302E-2</v>
      </c>
      <c r="BH197" s="1111">
        <f>SUMIFS(NewEmisData!K:K, NewEmisData!$A:$A, $G197, NewEmisData!$B:$B, $A197, NewEmisData!$C:$C, $H197, NewEmisData!$D:$D, BH$6)</f>
        <v>4.7651037372409798E-2</v>
      </c>
      <c r="BI197" s="1111">
        <f>SUMIFS(NewEmisData!L:L, NewEmisData!$A:$A, $G197, NewEmisData!$B:$B, $A197, NewEmisData!$C:$C, $H197, NewEmisData!$D:$D, BI$6)</f>
        <v>4.7643536740020302E-2</v>
      </c>
      <c r="BJ197" s="1111">
        <f>SUMIFS(NewEmisData!M:M, NewEmisData!$A:$A, $G197, NewEmisData!$B:$B, $A197, NewEmisData!$C:$C, $H197, NewEmisData!$D:$D, BJ$6)</f>
        <v>4.7642334168564497E-2</v>
      </c>
      <c r="BK197" s="1111">
        <f t="shared" si="246"/>
        <v>4.7642334168564497E-2</v>
      </c>
      <c r="BL197" s="1111">
        <f t="shared" si="247"/>
        <v>3.66291528795528</v>
      </c>
      <c r="BM197" s="1111">
        <f>SUMIFS(NewEmisData!E:E, NewEmisData!$A:$A, $G197, NewEmisData!$B:$B, $A197, NewEmisData!$C:$C, $H197, NewEmisData!$D:$D, BM$6)</f>
        <v>3.66291528795528</v>
      </c>
      <c r="BN197" s="1111">
        <f>SUMIFS(NewEmisData!F:F, NewEmisData!$A:$A, $G197, NewEmisData!$B:$B, $A197, NewEmisData!$C:$C, $H197, NewEmisData!$D:$D, BN$6)</f>
        <v>1.81110834429754</v>
      </c>
      <c r="BO197" s="1111">
        <f>SUMIFS(NewEmisData!G:G, NewEmisData!$A:$A, $G197, NewEmisData!$B:$B, $A197, NewEmisData!$C:$C, $H197, NewEmisData!$D:$D, BO$6)</f>
        <v>1.17052618624317</v>
      </c>
      <c r="BP197" s="1111">
        <f>SUMIFS(NewEmisData!H:H, NewEmisData!$A:$A, $G197, NewEmisData!$B:$B, $A197, NewEmisData!$C:$C, $H197, NewEmisData!$D:$D, BP$6)</f>
        <v>0.73614531651374404</v>
      </c>
      <c r="BQ197" s="1111">
        <f>SUMIFS(NewEmisData!I:I, NewEmisData!$A:$A, $G197, NewEmisData!$B:$B, $A197, NewEmisData!$C:$C, $H197, NewEmisData!$D:$D, BQ$6)</f>
        <v>0.597052259804708</v>
      </c>
      <c r="BR197" s="1111">
        <f>SUMIFS(NewEmisData!J:J, NewEmisData!$A:$A, $G197, NewEmisData!$B:$B, $A197, NewEmisData!$C:$C, $H197, NewEmisData!$D:$D, BR$6)</f>
        <v>0.56487776147618596</v>
      </c>
      <c r="BS197" s="1111">
        <f>SUMIFS(NewEmisData!K:K, NewEmisData!$A:$A, $G197, NewEmisData!$B:$B, $A197, NewEmisData!$C:$C, $H197, NewEmisData!$D:$D, BS$6)</f>
        <v>0.55598119154160697</v>
      </c>
      <c r="BT197" s="1111">
        <f>SUMIFS(NewEmisData!L:L, NewEmisData!$A:$A, $G197, NewEmisData!$B:$B, $A197, NewEmisData!$C:$C, $H197, NewEmisData!$D:$D, BT$6)</f>
        <v>0.55580702712140895</v>
      </c>
      <c r="BU197" s="1111">
        <f>SUMIFS(NewEmisData!M:M, NewEmisData!$A:$A, $G197, NewEmisData!$B:$B, $A197, NewEmisData!$C:$C, $H197, NewEmisData!$D:$D, BU$6)</f>
        <v>0.55571945282790103</v>
      </c>
      <c r="BV197" s="1111">
        <f t="shared" si="248"/>
        <v>0.55571945282790103</v>
      </c>
      <c r="BW197" s="1111">
        <f t="shared" si="249"/>
        <v>1.43661852797596</v>
      </c>
      <c r="BX197" s="1111">
        <f>SUMIFS(NewEmisData!E:E, NewEmisData!$A:$A, $G197, NewEmisData!$B:$B, $A197, NewEmisData!$C:$C, $H197, NewEmisData!$D:$D, BX$6)</f>
        <v>1.43661852797596</v>
      </c>
      <c r="BY197" s="1111">
        <f>SUMIFS(NewEmisData!F:F, NewEmisData!$A:$A, $G197, NewEmisData!$B:$B, $A197, NewEmisData!$C:$C, $H197, NewEmisData!$D:$D, BY$6)</f>
        <v>0.62875879312815397</v>
      </c>
      <c r="BZ197" s="1111">
        <f>SUMIFS(NewEmisData!G:G, NewEmisData!$A:$A, $G197, NewEmisData!$B:$B, $A197, NewEmisData!$C:$C, $H197, NewEmisData!$D:$D, BZ$6)</f>
        <v>0.38012488858052901</v>
      </c>
      <c r="CA197" s="1111">
        <f>SUMIFS(NewEmisData!H:H, NewEmisData!$A:$A, $G197, NewEmisData!$B:$B, $A197, NewEmisData!$C:$C, $H197, NewEmisData!$D:$D, CA$6)</f>
        <v>0.19661280267353801</v>
      </c>
      <c r="CB197" s="1111">
        <f>SUMIFS(NewEmisData!I:I, NewEmisData!$A:$A, $G197, NewEmisData!$B:$B, $A197, NewEmisData!$C:$C, $H197, NewEmisData!$D:$D, CB$6)</f>
        <v>0.139914566708539</v>
      </c>
      <c r="CC197" s="1111">
        <f>SUMIFS(NewEmisData!J:J, NewEmisData!$A:$A, $G197, NewEmisData!$B:$B, $A197, NewEmisData!$C:$C, $H197, NewEmisData!$D:$D, CC$6)</f>
        <v>0.126251922379787</v>
      </c>
      <c r="CD197" s="1111">
        <f>SUMIFS(NewEmisData!K:K, NewEmisData!$A:$A, $G197, NewEmisData!$B:$B, $A197, NewEmisData!$C:$C, $H197, NewEmisData!$D:$D, CD$6)</f>
        <v>0.122717084606958</v>
      </c>
      <c r="CE197" s="1111">
        <f>SUMIFS(NewEmisData!L:L, NewEmisData!$A:$A, $G197, NewEmisData!$B:$B, $A197, NewEmisData!$C:$C, $H197, NewEmisData!$D:$D, CE$6)</f>
        <v>0.122648698331061</v>
      </c>
      <c r="CF197" s="1111">
        <f>SUMIFS(NewEmisData!M:M, NewEmisData!$A:$A, $G197, NewEmisData!$B:$B, $A197, NewEmisData!$C:$C, $H197, NewEmisData!$D:$D, CF$6)</f>
        <v>0.12261069478738</v>
      </c>
      <c r="CG197" s="1111">
        <f t="shared" si="250"/>
        <v>0.12261069478738</v>
      </c>
      <c r="CH197" s="1111">
        <f t="shared" si="251"/>
        <v>2.6039509433426099E-2</v>
      </c>
      <c r="CI197" s="1111">
        <f>SUMIFS(NewEmisData!E:E, NewEmisData!$A:$A, $G197, NewEmisData!$B:$B, $A197, NewEmisData!$C:$C, $H197, NewEmisData!$D:$D, CI$6)</f>
        <v>2.6039509433426099E-2</v>
      </c>
      <c r="CJ197" s="1111">
        <f>SUMIFS(NewEmisData!F:F, NewEmisData!$A:$A, $G197, NewEmisData!$B:$B, $A197, NewEmisData!$C:$C, $H197, NewEmisData!$D:$D, CJ$6)</f>
        <v>2.6040008346974602E-2</v>
      </c>
      <c r="CK197" s="1111">
        <f>SUMIFS(NewEmisData!G:G, NewEmisData!$A:$A, $G197, NewEmisData!$B:$B, $A197, NewEmisData!$C:$C, $H197, NewEmisData!$D:$D, CK$6)</f>
        <v>3.2995536073936203E-2</v>
      </c>
      <c r="CL197" s="1111">
        <f>SUMIFS(NewEmisData!H:H, NewEmisData!$A:$A, $G197, NewEmisData!$B:$B, $A197, NewEmisData!$C:$C, $H197, NewEmisData!$D:$D, CL$6)</f>
        <v>3.2996708039722003E-2</v>
      </c>
      <c r="CM197" s="1111">
        <f>SUMIFS(NewEmisData!I:I, NewEmisData!$A:$A, $G197, NewEmisData!$B:$B, $A197, NewEmisData!$C:$C, $H197, NewEmisData!$D:$D, CM$6)</f>
        <v>3.2997215949732303E-2</v>
      </c>
      <c r="CN197" s="1111">
        <f>SUMIFS(NewEmisData!J:J, NewEmisData!$A:$A, $G197, NewEmisData!$B:$B, $A197, NewEmisData!$C:$C, $H197, NewEmisData!$D:$D, CN$6)</f>
        <v>3.29974176943355E-2</v>
      </c>
      <c r="CO197" s="1111">
        <f>SUMIFS(NewEmisData!K:K, NewEmisData!$A:$A, $G197, NewEmisData!$B:$B, $A197, NewEmisData!$C:$C, $H197, NewEmisData!$D:$D, CO$6)</f>
        <v>3.2997465645541797E-2</v>
      </c>
      <c r="CP197" s="1111">
        <f>SUMIFS(NewEmisData!L:L, NewEmisData!$A:$A, $G197, NewEmisData!$B:$B, $A197, NewEmisData!$C:$C, $H197, NewEmisData!$D:$D, CP$6)</f>
        <v>3.29975034492105E-2</v>
      </c>
      <c r="CQ197" s="1111">
        <f>SUMIFS(NewEmisData!M:M, NewEmisData!$A:$A, $G197, NewEmisData!$B:$B, $A197, NewEmisData!$C:$C, $H197, NewEmisData!$D:$D, CQ$6)</f>
        <v>3.2997507472943201E-2</v>
      </c>
      <c r="CR197" s="1111">
        <f t="shared" si="252"/>
        <v>3.2997507472943201E-2</v>
      </c>
      <c r="CS197" s="1111">
        <f t="shared" si="253"/>
        <v>3.5409431722048901E-3</v>
      </c>
      <c r="CT197" s="1111">
        <f>SUMIFS(NewEmisData!E:E, NewEmisData!$A:$A, $G197, NewEmisData!$B:$B, $A197, NewEmisData!$C:$C, $H197, NewEmisData!$D:$D, CT$6)</f>
        <v>3.5409431722048901E-3</v>
      </c>
      <c r="CU197" s="1111">
        <f>SUMIFS(NewEmisData!F:F, NewEmisData!$A:$A, $G197, NewEmisData!$B:$B, $A197, NewEmisData!$C:$C, $H197, NewEmisData!$D:$D, CU$6)</f>
        <v>3.63890781693205E-3</v>
      </c>
      <c r="CV197" s="1111">
        <f>SUMIFS(NewEmisData!G:G, NewEmisData!$A:$A, $G197, NewEmisData!$B:$B, $A197, NewEmisData!$C:$C, $H197, NewEmisData!$D:$D, CV$6)</f>
        <v>5.4574768642476996E-3</v>
      </c>
      <c r="CW197" s="1111">
        <f>SUMIFS(NewEmisData!H:H, NewEmisData!$A:$A, $G197, NewEmisData!$B:$B, $A197, NewEmisData!$C:$C, $H197, NewEmisData!$D:$D, CW$6)</f>
        <v>5.4675414672760402E-3</v>
      </c>
      <c r="CX197" s="1111">
        <f>SUMIFS(NewEmisData!I:I, NewEmisData!$A:$A, $G197, NewEmisData!$B:$B, $A197, NewEmisData!$C:$C, $H197, NewEmisData!$D:$D, CX$6)</f>
        <v>5.4680384341553E-3</v>
      </c>
      <c r="CY197" s="1111">
        <f>SUMIFS(NewEmisData!J:J, NewEmisData!$A:$A, $G197, NewEmisData!$B:$B, $A197, NewEmisData!$C:$C, $H197, NewEmisData!$D:$D, CY$6)</f>
        <v>5.4634019579347104E-3</v>
      </c>
      <c r="CZ197" s="1111">
        <f>SUMIFS(NewEmisData!K:K, NewEmisData!$A:$A, $G197, NewEmisData!$B:$B, $A197, NewEmisData!$C:$C, $H197, NewEmisData!$D:$D, CZ$6)</f>
        <v>5.4597660152292298E-3</v>
      </c>
      <c r="DA197" s="1111">
        <f>SUMIFS(NewEmisData!L:L, NewEmisData!$A:$A, $G197, NewEmisData!$B:$B, $A197, NewEmisData!$C:$C, $H197, NewEmisData!$D:$D, DA$6)</f>
        <v>5.4584958414238298E-3</v>
      </c>
      <c r="DB197" s="1111">
        <f>SUMIFS(NewEmisData!M:M, NewEmisData!$A:$A, $G197, NewEmisData!$B:$B, $A197, NewEmisData!$C:$C, $H197, NewEmisData!$D:$D, DB$6)</f>
        <v>5.45755956631585E-3</v>
      </c>
      <c r="DC197" s="1111">
        <f t="shared" si="254"/>
        <v>5.45755956631585E-3</v>
      </c>
      <c r="DD197" s="1111"/>
      <c r="DE197" s="1111"/>
      <c r="DF197" s="1111"/>
      <c r="DG197" s="1111"/>
      <c r="DH197" s="1111"/>
      <c r="DI197" s="1111"/>
      <c r="DJ197" s="1111"/>
      <c r="DK197" s="1111"/>
      <c r="DL197" s="1111"/>
      <c r="DM197" s="1111"/>
      <c r="DN197" s="1111"/>
      <c r="DO197" s="1111"/>
      <c r="DP197" s="1111"/>
      <c r="DQ197" s="1111"/>
      <c r="DR197" s="1111"/>
      <c r="DS197" s="1111"/>
      <c r="DT197" s="1111"/>
      <c r="DU197" s="1111"/>
      <c r="DV197" s="1111"/>
      <c r="DW197" s="1111"/>
      <c r="DX197" s="1111"/>
      <c r="DY197" s="1111"/>
      <c r="DZ197" s="1111">
        <f t="shared" si="255"/>
        <v>1.97747867706301E-2</v>
      </c>
      <c r="EA197" s="1111">
        <f>SUMIFS(NewEmisData!E:E, NewEmisData!$A:$A, $G197, NewEmisData!$B:$B, $A197, NewEmisData!$C:$C, $H197, NewEmisData!$D:$D, EA$6)</f>
        <v>1.97747867706301E-2</v>
      </c>
      <c r="EB197" s="1111">
        <f>SUMIFS(NewEmisData!F:F, NewEmisData!$A:$A, $G197, NewEmisData!$B:$B, $A197, NewEmisData!$C:$C, $H197, NewEmisData!$D:$D, EB$6)</f>
        <v>7.2363688705741003E-2</v>
      </c>
      <c r="EC197" s="1111">
        <f>SUMIFS(NewEmisData!G:G, NewEmisData!$A:$A, $G197, NewEmisData!$B:$B, $A197, NewEmisData!$C:$C, $H197, NewEmisData!$D:$D, EC$6)</f>
        <v>0.113967833470033</v>
      </c>
      <c r="ED197" s="1111">
        <f>SUMIFS(NewEmisData!H:H, NewEmisData!$A:$A, $G197, NewEmisData!$B:$B, $A197, NewEmisData!$C:$C, $H197, NewEmisData!$D:$D, ED$6)</f>
        <v>0.115112826964947</v>
      </c>
      <c r="EE197" s="1111">
        <f>SUMIFS(NewEmisData!I:I, NewEmisData!$A:$A, $G197, NewEmisData!$B:$B, $A197, NewEmisData!$C:$C, $H197, NewEmisData!$D:$D, EE$6)</f>
        <v>0.11539118025805099</v>
      </c>
      <c r="EF197" s="1111">
        <f>SUMIFS(NewEmisData!J:J, NewEmisData!$A:$A, $G197, NewEmisData!$B:$B, $A197, NewEmisData!$C:$C, $H197, NewEmisData!$D:$D, EF$6)</f>
        <v>0.115199325520795</v>
      </c>
      <c r="EG197" s="1111">
        <f>SUMIFS(NewEmisData!K:K, NewEmisData!$A:$A, $G197, NewEmisData!$B:$B, $A197, NewEmisData!$C:$C, $H197, NewEmisData!$D:$D, EG$6)</f>
        <v>0.115220036803385</v>
      </c>
      <c r="EH197" s="1111">
        <f>SUMIFS(NewEmisData!L:L, NewEmisData!$A:$A, $G197, NewEmisData!$B:$B, $A197, NewEmisData!$C:$C, $H197, NewEmisData!$D:$D, EH$6)</f>
        <v>0.115157957606922</v>
      </c>
      <c r="EI197" s="1111">
        <f>SUMIFS(NewEmisData!M:M, NewEmisData!$A:$A, $G197, NewEmisData!$B:$B, $A197, NewEmisData!$C:$C, $H197, NewEmisData!$D:$D, EI$6)</f>
        <v>0.115119875491087</v>
      </c>
      <c r="EJ197" s="1111">
        <f t="shared" si="256"/>
        <v>0.115119875491087</v>
      </c>
      <c r="EK197" s="1111">
        <f t="shared" si="257"/>
        <v>1227.122531812</v>
      </c>
      <c r="EL197" s="1111">
        <f t="shared" si="269"/>
        <v>1227.122531812</v>
      </c>
      <c r="EM197" s="1111">
        <f t="shared" si="270"/>
        <v>1223.38293869125</v>
      </c>
      <c r="EN197" s="1111">
        <f t="shared" si="271"/>
        <v>1491.9167744443</v>
      </c>
      <c r="EO197" s="1111">
        <f t="shared" si="272"/>
        <v>1439.6290263866099</v>
      </c>
      <c r="EP197" s="1111">
        <f t="shared" si="273"/>
        <v>1396.0303655681701</v>
      </c>
      <c r="EQ197" s="1111">
        <f t="shared" si="274"/>
        <v>1381.4572061837</v>
      </c>
      <c r="ER197" s="1111">
        <f t="shared" si="275"/>
        <v>1377.1647221724299</v>
      </c>
      <c r="ES197" s="1111">
        <f t="shared" si="276"/>
        <v>1376.2239115392599</v>
      </c>
      <c r="ET197" s="1111">
        <f t="shared" si="277"/>
        <v>1375.99238621115</v>
      </c>
      <c r="EU197" s="1111">
        <f t="shared" si="278"/>
        <v>1375.99238621115</v>
      </c>
      <c r="EV197" s="1111">
        <f t="shared" si="258"/>
        <v>8.0193608379791392</v>
      </c>
      <c r="EW197" s="1111">
        <f t="shared" si="259"/>
        <v>8.0193608379791392</v>
      </c>
      <c r="EX197" s="1111">
        <f t="shared" si="260"/>
        <v>4.1543590563126003</v>
      </c>
      <c r="EY197" s="1111">
        <f t="shared" si="261"/>
        <v>2.98133312137844</v>
      </c>
      <c r="EZ197" s="1111">
        <f t="shared" si="262"/>
        <v>1.7381068783510201</v>
      </c>
      <c r="FA197" s="1111">
        <f t="shared" si="263"/>
        <v>1.2226706736775499</v>
      </c>
      <c r="FB197" s="1111">
        <f t="shared" si="264"/>
        <v>1.0580964689305701</v>
      </c>
      <c r="FC197" s="1111">
        <f t="shared" si="265"/>
        <v>1.00772008015349</v>
      </c>
      <c r="FD197" s="1111">
        <f t="shared" si="266"/>
        <v>1.0008292130083001</v>
      </c>
      <c r="FE197" s="1111">
        <f t="shared" si="267"/>
        <v>0.99880738384490098</v>
      </c>
      <c r="FF197" s="1111">
        <f t="shared" si="268"/>
        <v>0.99880738384490098</v>
      </c>
      <c r="FG197" s="1111">
        <f t="shared" si="291"/>
        <v>3.0399158238526399E-2</v>
      </c>
      <c r="FH197" s="1111">
        <f t="shared" si="292"/>
        <v>3.0399158238526399E-2</v>
      </c>
      <c r="FI197" s="1111">
        <f t="shared" si="293"/>
        <v>2.9335551037600001E-2</v>
      </c>
      <c r="FJ197" s="1111">
        <f t="shared" si="294"/>
        <v>1.25441414050069E-2</v>
      </c>
      <c r="FK197" s="1111">
        <f t="shared" si="295"/>
        <v>1.2033715661617201E-2</v>
      </c>
      <c r="FL197" s="1111">
        <f t="shared" si="296"/>
        <v>1.1645627611560599E-2</v>
      </c>
      <c r="FM197" s="1111">
        <f t="shared" si="297"/>
        <v>1.15189928592382E-2</v>
      </c>
      <c r="FN197" s="1111">
        <f t="shared" si="298"/>
        <v>1.1481583994978299E-2</v>
      </c>
      <c r="FO197" s="1111">
        <f t="shared" si="299"/>
        <v>1.1473738052833899E-2</v>
      </c>
      <c r="FP197" s="1111">
        <f t="shared" si="300"/>
        <v>1.14718141652436E-2</v>
      </c>
      <c r="FQ197" s="1111">
        <f t="shared" si="301"/>
        <v>1.14718141652436E-2</v>
      </c>
      <c r="FR197" s="1111">
        <f t="shared" si="230"/>
        <v>0.75675018821525997</v>
      </c>
      <c r="FS197" s="1111">
        <f t="shared" si="231"/>
        <v>0.75675018821525997</v>
      </c>
      <c r="FT197" s="1111">
        <f t="shared" si="232"/>
        <v>0.40133452537918501</v>
      </c>
      <c r="FU197" s="1111">
        <f t="shared" si="233"/>
        <v>0.33506910840269499</v>
      </c>
      <c r="FV197" s="1111">
        <f t="shared" si="234"/>
        <v>0.263570196116162</v>
      </c>
      <c r="FW197" s="1111">
        <f t="shared" si="235"/>
        <v>0.239317173689682</v>
      </c>
      <c r="FX197" s="1111">
        <f t="shared" si="236"/>
        <v>0.23470430578816801</v>
      </c>
      <c r="FY197" s="1111">
        <f t="shared" si="237"/>
        <v>0.23334423625159001</v>
      </c>
      <c r="FZ197" s="1111">
        <f t="shared" si="238"/>
        <v>0.233332846550835</v>
      </c>
      <c r="GA197" s="1111">
        <f t="shared" si="239"/>
        <v>0.23333151026798801</v>
      </c>
      <c r="GB197" s="1111">
        <f t="shared" si="240"/>
        <v>0.23333151026798801</v>
      </c>
      <c r="GC197" s="1111">
        <f t="shared" si="279"/>
        <v>0.57853809313457705</v>
      </c>
      <c r="GD197" s="1111">
        <f t="shared" si="280"/>
        <v>0.57853809313457705</v>
      </c>
      <c r="GE197" s="1111">
        <f t="shared" si="281"/>
        <v>0.252003695301314</v>
      </c>
      <c r="GF197" s="1111">
        <f t="shared" si="282"/>
        <v>0.14009339529863701</v>
      </c>
      <c r="GG197" s="1111">
        <f t="shared" si="283"/>
        <v>7.5128307357895593E-2</v>
      </c>
      <c r="GH197" s="1111">
        <f t="shared" si="284"/>
        <v>5.3059643460613801E-2</v>
      </c>
      <c r="GI197" s="1111">
        <f t="shared" si="285"/>
        <v>4.8885273229585302E-2</v>
      </c>
      <c r="GJ197" s="1111">
        <f t="shared" si="286"/>
        <v>4.7651037372409798E-2</v>
      </c>
      <c r="GK197" s="1111">
        <f t="shared" si="287"/>
        <v>4.7643536740020302E-2</v>
      </c>
      <c r="GL197" s="1111">
        <f t="shared" si="288"/>
        <v>4.7642334168564497E-2</v>
      </c>
      <c r="GM197" s="1111">
        <f t="shared" si="289"/>
        <v>4.7642334168564497E-2</v>
      </c>
    </row>
    <row r="198" spans="1:195" x14ac:dyDescent="0.2">
      <c r="A198" s="1071" t="s">
        <v>186</v>
      </c>
      <c r="B198" s="1071" t="str">
        <f>Technologies!C122</f>
        <v>TMDSLAH</v>
      </c>
      <c r="C198" s="1071" t="str">
        <f>Technologies!D122</f>
        <v>Medium Duty Truck, Advanced Hybrid Diesel</v>
      </c>
      <c r="D198" s="1071" t="str">
        <f>NewTech!D74</f>
        <v>bn-vmt, bn-vmt/a</v>
      </c>
      <c r="E198" s="1071" t="str">
        <f>NewTech!E75</f>
        <v>TMDSL</v>
      </c>
      <c r="F198" s="1071" t="str">
        <f>NewTech!F75</f>
        <v>TM</v>
      </c>
      <c r="G198" s="1110" t="s">
        <v>503</v>
      </c>
      <c r="H198" s="1110" t="s">
        <v>499</v>
      </c>
      <c r="I198" s="1112">
        <v>1</v>
      </c>
      <c r="J198" s="1111" t="str">
        <f t="shared" si="37"/>
        <v>Medium duty-DSL</v>
      </c>
      <c r="K198" s="1111">
        <f>SUMIFS(NewEmisData!E:E, NewEmisData!$A:$A, $G198, NewEmisData!$B:$B, $A198, NewEmisData!$C:$C, $H198, NewEmisData!$D:$D, K$6)</f>
        <v>1844.7083010230299</v>
      </c>
      <c r="L198" s="1111">
        <f>SUMIFS(NewEmisData!F:F, NewEmisData!$A:$A, $G198, NewEmisData!$B:$B, $A198, NewEmisData!$C:$C, $H198, NewEmisData!$D:$D, L$6)</f>
        <v>1832.6045194358301</v>
      </c>
      <c r="M198" s="1111">
        <f>SUMIFS(NewEmisData!G:G, NewEmisData!$A:$A, $G198, NewEmisData!$B:$B, $A198, NewEmisData!$C:$C, $H198, NewEmisData!$D:$D, M$6)</f>
        <v>1884.2537986570301</v>
      </c>
      <c r="N198" s="1111">
        <f>SUMIFS(NewEmisData!H:H, NewEmisData!$A:$A, $G198, NewEmisData!$B:$B, $A198, NewEmisData!$C:$C, $H198, NewEmisData!$D:$D, N$6)</f>
        <v>1818.5727784503399</v>
      </c>
      <c r="O198" s="1111">
        <f>SUMIFS(NewEmisData!I:I, NewEmisData!$A:$A, $G198, NewEmisData!$B:$B, $A198, NewEmisData!$C:$C, $H198, NewEmisData!$D:$D, O$6)</f>
        <v>1763.6996289860999</v>
      </c>
      <c r="P198" s="1111">
        <f>SUMIFS(NewEmisData!J:J, NewEmisData!$A:$A, $G198, NewEmisData!$B:$B, $A198, NewEmisData!$C:$C, $H198, NewEmisData!$D:$D, P$6)</f>
        <v>1745.38280930633</v>
      </c>
      <c r="Q198" s="1111">
        <f>SUMIFS(NewEmisData!K:K, NewEmisData!$A:$A, $G198, NewEmisData!$B:$B, $A198, NewEmisData!$C:$C, $H198, NewEmisData!$D:$D, Q$6)</f>
        <v>1739.98947678168</v>
      </c>
      <c r="R198" s="1111">
        <f>SUMIFS(NewEmisData!L:L, NewEmisData!$A:$A, $G198, NewEmisData!$B:$B, $A198, NewEmisData!$C:$C, $H198, NewEmisData!$D:$D, R$6)</f>
        <v>1738.81123596359</v>
      </c>
      <c r="S198" s="1111">
        <f>SUMIFS(NewEmisData!M:M, NewEmisData!$A:$A, $G198, NewEmisData!$B:$B, $A198, NewEmisData!$C:$C, $H198, NewEmisData!$D:$D, S$6)</f>
        <v>1738.5227113911701</v>
      </c>
      <c r="T198" s="1111">
        <f t="shared" si="290"/>
        <v>1738.5227113911701</v>
      </c>
      <c r="U198" s="1111">
        <f>SUMIFS(NewEmisData!E:E, NewEmisData!$A:$A, $G198, NewEmisData!$B:$B, $A198, NewEmisData!$C:$C, $H198, NewEmisData!$D:$D, U$6)</f>
        <v>11.3242694436207</v>
      </c>
      <c r="V198" s="1111">
        <f>SUMIFS(NewEmisData!F:F, NewEmisData!$A:$A, $G198, NewEmisData!$B:$B, $A198, NewEmisData!$C:$C, $H198, NewEmisData!$D:$D, V$6)</f>
        <v>5.2798482437774998</v>
      </c>
      <c r="W198" s="1111">
        <f>SUMIFS(NewEmisData!G:G, NewEmisData!$A:$A, $G198, NewEmisData!$B:$B, $A198, NewEmisData!$C:$C, $H198, NewEmisData!$D:$D, W$6)</f>
        <v>3.78642260339578</v>
      </c>
      <c r="X198" s="1111">
        <f>SUMIFS(NewEmisData!H:H, NewEmisData!$A:$A, $G198, NewEmisData!$B:$B, $A198, NewEmisData!$C:$C, $H198, NewEmisData!$D:$D, X$6)</f>
        <v>2.1972961679722198</v>
      </c>
      <c r="Y198" s="1111">
        <f>SUMIFS(NewEmisData!I:I, NewEmisData!$A:$A, $G198, NewEmisData!$B:$B, $A198, NewEmisData!$C:$C, $H198, NewEmisData!$D:$D, Y$6)</f>
        <v>1.5398620814352</v>
      </c>
      <c r="Z198" s="1111">
        <f>SUMIFS(NewEmisData!J:J, NewEmisData!$A:$A, $G198, NewEmisData!$B:$B, $A198, NewEmisData!$C:$C, $H198, NewEmisData!$D:$D, Z$6)</f>
        <v>1.33073738385153</v>
      </c>
      <c r="AA198" s="1111">
        <f>SUMIFS(NewEmisData!K:K, NewEmisData!$A:$A, $G198, NewEmisData!$B:$B, $A198, NewEmisData!$C:$C, $H198, NewEmisData!$D:$D, AA$6)</f>
        <v>1.2670046042829299</v>
      </c>
      <c r="AB198" s="1111">
        <f>SUMIFS(NewEmisData!L:L, NewEmisData!$A:$A, $G198, NewEmisData!$B:$B, $A198, NewEmisData!$C:$C, $H198, NewEmisData!$D:$D, AB$6)</f>
        <v>1.25837731661006</v>
      </c>
      <c r="AC198" s="1111">
        <f>SUMIFS(NewEmisData!M:M, NewEmisData!$A:$A, $G198, NewEmisData!$B:$B, $A198, NewEmisData!$C:$C, $H198, NewEmisData!$D:$D, AC$6)</f>
        <v>1.2558936064742501</v>
      </c>
      <c r="AD198" s="1111">
        <f t="shared" si="229"/>
        <v>1.2558936064742501</v>
      </c>
      <c r="AE198" s="1111">
        <f t="shared" si="241"/>
        <v>4.5365869728215401E-2</v>
      </c>
      <c r="AF198" s="1111">
        <f>SUMIFS(NewEmisData!E:E, NewEmisData!$A:$A, $G198, NewEmisData!$B:$B, $A198, NewEmisData!$C:$C, $H198, NewEmisData!$D:$D, AF$6)</f>
        <v>4.5365869728215401E-2</v>
      </c>
      <c r="AG198" s="1111">
        <f>SUMIFS(NewEmisData!F:F, NewEmisData!$A:$A, $G198, NewEmisData!$B:$B, $A198, NewEmisData!$C:$C, $H198, NewEmisData!$D:$D, AG$6)</f>
        <v>4.3660344033601299E-2</v>
      </c>
      <c r="AH198" s="1111">
        <f>SUMIFS(NewEmisData!G:G, NewEmisData!$A:$A, $G198, NewEmisData!$B:$B, $A198, NewEmisData!$C:$C, $H198, NewEmisData!$D:$D, AH$6)</f>
        <v>1.5842755870111001E-2</v>
      </c>
      <c r="AI198" s="1111">
        <f>SUMIFS(NewEmisData!H:H, NewEmisData!$A:$A, $G198, NewEmisData!$B:$B, $A198, NewEmisData!$C:$C, $H198, NewEmisData!$D:$D, AI$6)</f>
        <v>1.52011817179993E-2</v>
      </c>
      <c r="AJ198" s="1111">
        <f>SUMIFS(NewEmisData!I:I, NewEmisData!$A:$A, $G198, NewEmisData!$B:$B, $A198, NewEmisData!$C:$C, $H198, NewEmisData!$D:$D, AJ$6)</f>
        <v>1.47126837043844E-2</v>
      </c>
      <c r="AK198" s="1111">
        <f>SUMIFS(NewEmisData!J:J, NewEmisData!$A:$A, $G198, NewEmisData!$B:$B, $A198, NewEmisData!$C:$C, $H198, NewEmisData!$D:$D, AK$6)</f>
        <v>1.45535009771615E-2</v>
      </c>
      <c r="AL198" s="1111">
        <f>SUMIFS(NewEmisData!K:K, NewEmisData!$A:$A, $G198, NewEmisData!$B:$B, $A198, NewEmisData!$C:$C, $H198, NewEmisData!$D:$D, AL$6)</f>
        <v>1.4506508977964299E-2</v>
      </c>
      <c r="AM198" s="1111">
        <f>SUMIFS(NewEmisData!L:L, NewEmisData!$A:$A, $G198, NewEmisData!$B:$B, $A198, NewEmisData!$C:$C, $H198, NewEmisData!$D:$D, AM$6)</f>
        <v>1.44966873739067E-2</v>
      </c>
      <c r="AN198" s="1111">
        <f>SUMIFS(NewEmisData!M:M, NewEmisData!$A:$A, $G198, NewEmisData!$B:$B, $A198, NewEmisData!$C:$C, $H198, NewEmisData!$D:$D, AN$6)</f>
        <v>1.4494279129535799E-2</v>
      </c>
      <c r="AO198" s="1111">
        <f t="shared" si="242"/>
        <v>1.4494279129535799E-2</v>
      </c>
      <c r="AP198" s="1111">
        <f t="shared" si="243"/>
        <v>1.1349607828839201</v>
      </c>
      <c r="AQ198" s="1111">
        <f>SUMIFS(NewEmisData!E:E, NewEmisData!$A:$A, $G198, NewEmisData!$B:$B, $A198, NewEmisData!$C:$C, $H198, NewEmisData!$D:$D, AQ$6)</f>
        <v>1.1349607828839201</v>
      </c>
      <c r="AR198" s="1111">
        <f>SUMIFS(NewEmisData!F:F, NewEmisData!$A:$A, $G198, NewEmisData!$B:$B, $A198, NewEmisData!$C:$C, $H198, NewEmisData!$D:$D, AR$6)</f>
        <v>0.61030408012734905</v>
      </c>
      <c r="AS198" s="1111">
        <f>SUMIFS(NewEmisData!G:G, NewEmisData!$A:$A, $G198, NewEmisData!$B:$B, $A198, NewEmisData!$C:$C, $H198, NewEmisData!$D:$D, AS$6)</f>
        <v>0.44031388127967303</v>
      </c>
      <c r="AT198" s="1111">
        <f>SUMIFS(NewEmisData!H:H, NewEmisData!$A:$A, $G198, NewEmisData!$B:$B, $A198, NewEmisData!$C:$C, $H198, NewEmisData!$D:$D, AT$6)</f>
        <v>0.34801512923671002</v>
      </c>
      <c r="AU198" s="1111">
        <f>SUMIFS(NewEmisData!I:I, NewEmisData!$A:$A, $G198, NewEmisData!$B:$B, $A198, NewEmisData!$C:$C, $H198, NewEmisData!$D:$D, AU$6)</f>
        <v>0.316619673688259</v>
      </c>
      <c r="AV198" s="1111">
        <f>SUMIFS(NewEmisData!J:J, NewEmisData!$A:$A, $G198, NewEmisData!$B:$B, $A198, NewEmisData!$C:$C, $H198, NewEmisData!$D:$D, AV$6)</f>
        <v>0.310711543242081</v>
      </c>
      <c r="AW198" s="1111">
        <f>SUMIFS(NewEmisData!K:K, NewEmisData!$A:$A, $G198, NewEmisData!$B:$B, $A198, NewEmisData!$C:$C, $H198, NewEmisData!$D:$D, AW$6)</f>
        <v>0.30897246291541097</v>
      </c>
      <c r="AX198" s="1111">
        <f>SUMIFS(NewEmisData!L:L, NewEmisData!$A:$A, $G198, NewEmisData!$B:$B, $A198, NewEmisData!$C:$C, $H198, NewEmisData!$D:$D, AX$6)</f>
        <v>0.308957597755115</v>
      </c>
      <c r="AY198" s="1111">
        <f>SUMIFS(NewEmisData!M:M, NewEmisData!$A:$A, $G198, NewEmisData!$B:$B, $A198, NewEmisData!$C:$C, $H198, NewEmisData!$D:$D, AY$6)</f>
        <v>0.30895604079919098</v>
      </c>
      <c r="AZ198" s="1111">
        <f t="shared" si="244"/>
        <v>0.30895604079919098</v>
      </c>
      <c r="BA198" s="1111">
        <f t="shared" si="245"/>
        <v>0.82460782978682501</v>
      </c>
      <c r="BB198" s="1111">
        <f>SUMIFS(NewEmisData!E:E, NewEmisData!$A:$A, $G198, NewEmisData!$B:$B, $A198, NewEmisData!$C:$C, $H198, NewEmisData!$D:$D, BB$6)</f>
        <v>0.82460782978682501</v>
      </c>
      <c r="BC198" s="1111">
        <f>SUMIFS(NewEmisData!F:F, NewEmisData!$A:$A, $G198, NewEmisData!$B:$B, $A198, NewEmisData!$C:$C, $H198, NewEmisData!$D:$D, BC$6)</f>
        <v>0.34373570942234799</v>
      </c>
      <c r="BD198" s="1111">
        <f>SUMIFS(NewEmisData!G:G, NewEmisData!$A:$A, $G198, NewEmisData!$B:$B, $A198, NewEmisData!$C:$C, $H198, NewEmisData!$D:$D, BD$6)</f>
        <v>0.18121898411016099</v>
      </c>
      <c r="BE198" s="1111">
        <f>SUMIFS(NewEmisData!H:H, NewEmisData!$A:$A, $G198, NewEmisData!$B:$B, $A198, NewEmisData!$C:$C, $H198, NewEmisData!$D:$D, BE$6)</f>
        <v>9.7394815729633696E-2</v>
      </c>
      <c r="BF198" s="1111">
        <f>SUMIFS(NewEmisData!I:I, NewEmisData!$A:$A, $G198, NewEmisData!$B:$B, $A198, NewEmisData!$C:$C, $H198, NewEmisData!$D:$D, BF$6)</f>
        <v>6.8837534672911399E-2</v>
      </c>
      <c r="BG198" s="1111">
        <f>SUMIFS(NewEmisData!J:J, NewEmisData!$A:$A, $G198, NewEmisData!$B:$B, $A198, NewEmisData!$C:$C, $H198, NewEmisData!$D:$D, BG$6)</f>
        <v>6.3495189038770203E-2</v>
      </c>
      <c r="BH198" s="1111">
        <f>SUMIFS(NewEmisData!K:K, NewEmisData!$A:$A, $G198, NewEmisData!$B:$B, $A198, NewEmisData!$C:$C, $H198, NewEmisData!$D:$D, BH$6)</f>
        <v>6.1918142257759601E-2</v>
      </c>
      <c r="BI198" s="1111">
        <f>SUMIFS(NewEmisData!L:L, NewEmisData!$A:$A, $G198, NewEmisData!$B:$B, $A198, NewEmisData!$C:$C, $H198, NewEmisData!$D:$D, BI$6)</f>
        <v>6.1908718128838802E-2</v>
      </c>
      <c r="BJ198" s="1111">
        <f>SUMIFS(NewEmisData!M:M, NewEmisData!$A:$A, $G198, NewEmisData!$B:$B, $A198, NewEmisData!$C:$C, $H198, NewEmisData!$D:$D, BJ$6)</f>
        <v>6.1907262020399603E-2</v>
      </c>
      <c r="BK198" s="1111">
        <f t="shared" si="246"/>
        <v>6.1907262020399603E-2</v>
      </c>
      <c r="BL198" s="1111">
        <f t="shared" si="247"/>
        <v>4.8199473877118004</v>
      </c>
      <c r="BM198" s="1111">
        <f>SUMIFS(NewEmisData!E:E, NewEmisData!$A:$A, $G198, NewEmisData!$B:$B, $A198, NewEmisData!$C:$C, $H198, NewEmisData!$D:$D, BM$6)</f>
        <v>4.8199473877118004</v>
      </c>
      <c r="BN198" s="1111">
        <f>SUMIFS(NewEmisData!F:F, NewEmisData!$A:$A, $G198, NewEmisData!$B:$B, $A198, NewEmisData!$C:$C, $H198, NewEmisData!$D:$D, BN$6)</f>
        <v>2.13606006571157</v>
      </c>
      <c r="BO198" s="1111">
        <f>SUMIFS(NewEmisData!G:G, NewEmisData!$A:$A, $G198, NewEmisData!$B:$B, $A198, NewEmisData!$C:$C, $H198, NewEmisData!$D:$D, BO$6)</f>
        <v>1.4626606870508201</v>
      </c>
      <c r="BP198" s="1111">
        <f>SUMIFS(NewEmisData!H:H, NewEmisData!$A:$A, $G198, NewEmisData!$B:$B, $A198, NewEmisData!$C:$C, $H198, NewEmisData!$D:$D, BP$6)</f>
        <v>0.91632051356289601</v>
      </c>
      <c r="BQ198" s="1111">
        <f>SUMIFS(NewEmisData!I:I, NewEmisData!$A:$A, $G198, NewEmisData!$B:$B, $A198, NewEmisData!$C:$C, $H198, NewEmisData!$D:$D, BQ$6)</f>
        <v>0.74159278245313098</v>
      </c>
      <c r="BR198" s="1111">
        <f>SUMIFS(NewEmisData!J:J, NewEmisData!$A:$A, $G198, NewEmisData!$B:$B, $A198, NewEmisData!$C:$C, $H198, NewEmisData!$D:$D, BR$6)</f>
        <v>0.70121666030394803</v>
      </c>
      <c r="BS198" s="1111">
        <f>SUMIFS(NewEmisData!K:K, NewEmisData!$A:$A, $G198, NewEmisData!$B:$B, $A198, NewEmisData!$C:$C, $H198, NewEmisData!$D:$D, BS$6)</f>
        <v>0.69011658725035796</v>
      </c>
      <c r="BT198" s="1111">
        <f>SUMIFS(NewEmisData!L:L, NewEmisData!$A:$A, $G198, NewEmisData!$B:$B, $A198, NewEmisData!$C:$C, $H198, NewEmisData!$D:$D, BT$6)</f>
        <v>0.68991923636254204</v>
      </c>
      <c r="BU198" s="1111">
        <f>SUMIFS(NewEmisData!M:M, NewEmisData!$A:$A, $G198, NewEmisData!$B:$B, $A198, NewEmisData!$C:$C, $H198, NewEmisData!$D:$D, BU$6)</f>
        <v>0.68982544184786598</v>
      </c>
      <c r="BV198" s="1111">
        <f t="shared" si="248"/>
        <v>0.68982544184786598</v>
      </c>
      <c r="BW198" s="1111">
        <f t="shared" si="249"/>
        <v>2.0873450951181098</v>
      </c>
      <c r="BX198" s="1111">
        <f>SUMIFS(NewEmisData!E:E, NewEmisData!$A:$A, $G198, NewEmisData!$B:$B, $A198, NewEmisData!$C:$C, $H198, NewEmisData!$D:$D, BX$6)</f>
        <v>2.0873450951181098</v>
      </c>
      <c r="BY198" s="1111">
        <f>SUMIFS(NewEmisData!F:F, NewEmisData!$A:$A, $G198, NewEmisData!$B:$B, $A198, NewEmisData!$C:$C, $H198, NewEmisData!$D:$D, BY$6)</f>
        <v>0.82818205887879504</v>
      </c>
      <c r="BZ198" s="1111">
        <f>SUMIFS(NewEmisData!G:G, NewEmisData!$A:$A, $G198, NewEmisData!$B:$B, $A198, NewEmisData!$C:$C, $H198, NewEmisData!$D:$D, BZ$6)</f>
        <v>0.49677177359374097</v>
      </c>
      <c r="CA198" s="1111">
        <f>SUMIFS(NewEmisData!H:H, NewEmisData!$A:$A, $G198, NewEmisData!$B:$B, $A198, NewEmisData!$C:$C, $H198, NewEmisData!$D:$D, CA$6)</f>
        <v>0.255767592675607</v>
      </c>
      <c r="CB198" s="1111">
        <f>SUMIFS(NewEmisData!I:I, NewEmisData!$A:$A, $G198, NewEmisData!$B:$B, $A198, NewEmisData!$C:$C, $H198, NewEmisData!$D:$D, CB$6)</f>
        <v>0.18123851738744101</v>
      </c>
      <c r="CC198" s="1111">
        <f>SUMIFS(NewEmisData!J:J, NewEmisData!$A:$A, $G198, NewEmisData!$B:$B, $A198, NewEmisData!$C:$C, $H198, NewEmisData!$D:$D, CC$6)</f>
        <v>0.16339043238474099</v>
      </c>
      <c r="CD198" s="1111">
        <f>SUMIFS(NewEmisData!K:K, NewEmisData!$A:$A, $G198, NewEmisData!$B:$B, $A198, NewEmisData!$C:$C, $H198, NewEmisData!$D:$D, CD$6)</f>
        <v>0.15878537340132501</v>
      </c>
      <c r="CE198" s="1111">
        <f>SUMIFS(NewEmisData!L:L, NewEmisData!$A:$A, $G198, NewEmisData!$B:$B, $A198, NewEmisData!$C:$C, $H198, NewEmisData!$D:$D, CE$6)</f>
        <v>0.158704013950277</v>
      </c>
      <c r="CF198" s="1111">
        <f>SUMIFS(NewEmisData!M:M, NewEmisData!$A:$A, $G198, NewEmisData!$B:$B, $A198, NewEmisData!$C:$C, $H198, NewEmisData!$D:$D, CF$6)</f>
        <v>0.15866010461272401</v>
      </c>
      <c r="CG198" s="1111">
        <f t="shared" si="250"/>
        <v>0.15866010461272401</v>
      </c>
      <c r="CH198" s="1111">
        <f t="shared" si="251"/>
        <v>3.4721835377985802E-2</v>
      </c>
      <c r="CI198" s="1111">
        <f>SUMIFS(NewEmisData!E:E, NewEmisData!$A:$A, $G198, NewEmisData!$B:$B, $A198, NewEmisData!$C:$C, $H198, NewEmisData!$D:$D, CI$6)</f>
        <v>3.4721835377985802E-2</v>
      </c>
      <c r="CJ198" s="1111">
        <f>SUMIFS(NewEmisData!F:F, NewEmisData!$A:$A, $G198, NewEmisData!$B:$B, $A198, NewEmisData!$C:$C, $H198, NewEmisData!$D:$D, CJ$6)</f>
        <v>3.4721918500933702E-2</v>
      </c>
      <c r="CK198" s="1111">
        <f>SUMIFS(NewEmisData!G:G, NewEmisData!$A:$A, $G198, NewEmisData!$B:$B, $A198, NewEmisData!$C:$C, $H198, NewEmisData!$D:$D, CK$6)</f>
        <v>3.9607483836340801E-2</v>
      </c>
      <c r="CL198" s="1111">
        <f>SUMIFS(NewEmisData!H:H, NewEmisData!$A:$A, $G198, NewEmisData!$B:$B, $A198, NewEmisData!$C:$C, $H198, NewEmisData!$D:$D, CL$6)</f>
        <v>3.9607942764627597E-2</v>
      </c>
      <c r="CM198" s="1111">
        <f>SUMIFS(NewEmisData!I:I, NewEmisData!$A:$A, $G198, NewEmisData!$B:$B, $A198, NewEmisData!$C:$C, $H198, NewEmisData!$D:$D, CM$6)</f>
        <v>3.9608185476154502E-2</v>
      </c>
      <c r="CN198" s="1111">
        <f>SUMIFS(NewEmisData!J:J, NewEmisData!$A:$A, $G198, NewEmisData!$B:$B, $A198, NewEmisData!$C:$C, $H198, NewEmisData!$D:$D, CN$6)</f>
        <v>3.9608266206743202E-2</v>
      </c>
      <c r="CO198" s="1111">
        <f>SUMIFS(NewEmisData!K:K, NewEmisData!$A:$A, $G198, NewEmisData!$B:$B, $A198, NewEmisData!$C:$C, $H198, NewEmisData!$D:$D, CO$6)</f>
        <v>3.96082447188153E-2</v>
      </c>
      <c r="CP198" s="1111">
        <f>SUMIFS(NewEmisData!L:L, NewEmisData!$A:$A, $G198, NewEmisData!$B:$B, $A198, NewEmisData!$C:$C, $H198, NewEmisData!$D:$D, CP$6)</f>
        <v>3.96082633707312E-2</v>
      </c>
      <c r="CQ198" s="1111">
        <f>SUMIFS(NewEmisData!M:M, NewEmisData!$A:$A, $G198, NewEmisData!$B:$B, $A198, NewEmisData!$C:$C, $H198, NewEmisData!$D:$D, CQ$6)</f>
        <v>3.9608260132730701E-2</v>
      </c>
      <c r="CR198" s="1111">
        <f t="shared" si="252"/>
        <v>3.9608260132730701E-2</v>
      </c>
      <c r="CS198" s="1111">
        <f t="shared" si="253"/>
        <v>6.5007561655818502E-3</v>
      </c>
      <c r="CT198" s="1111">
        <f>SUMIFS(NewEmisData!E:E, NewEmisData!$A:$A, $G198, NewEmisData!$B:$B, $A198, NewEmisData!$C:$C, $H198, NewEmisData!$D:$D, CT$6)</f>
        <v>6.5007561655818502E-3</v>
      </c>
      <c r="CU198" s="1111">
        <f>SUMIFS(NewEmisData!F:F, NewEmisData!$A:$A, $G198, NewEmisData!$B:$B, $A198, NewEmisData!$C:$C, $H198, NewEmisData!$D:$D, CU$6)</f>
        <v>6.4232890684132399E-3</v>
      </c>
      <c r="CV198" s="1111">
        <f>SUMIFS(NewEmisData!G:G, NewEmisData!$A:$A, $G198, NewEmisData!$B:$B, $A198, NewEmisData!$C:$C, $H198, NewEmisData!$D:$D, CV$6)</f>
        <v>7.3982049149974903E-3</v>
      </c>
      <c r="CW198" s="1111">
        <f>SUMIFS(NewEmisData!H:H, NewEmisData!$A:$A, $G198, NewEmisData!$B:$B, $A198, NewEmisData!$C:$C, $H198, NewEmisData!$D:$D, CW$6)</f>
        <v>7.4088773394752599E-3</v>
      </c>
      <c r="CX198" s="1111">
        <f>SUMIFS(NewEmisData!I:I, NewEmisData!$A:$A, $G198, NewEmisData!$B:$B, $A198, NewEmisData!$C:$C, $H198, NewEmisData!$D:$D, CX$6)</f>
        <v>7.4094538759446396E-3</v>
      </c>
      <c r="CY198" s="1111">
        <f>SUMIFS(NewEmisData!J:J, NewEmisData!$A:$A, $G198, NewEmisData!$B:$B, $A198, NewEmisData!$C:$C, $H198, NewEmisData!$D:$D, CY$6)</f>
        <v>7.4045671468592096E-3</v>
      </c>
      <c r="CZ198" s="1111">
        <f>SUMIFS(NewEmisData!K:K, NewEmisData!$A:$A, $G198, NewEmisData!$B:$B, $A198, NewEmisData!$C:$C, $H198, NewEmisData!$D:$D, CZ$6)</f>
        <v>7.4007369137275699E-3</v>
      </c>
      <c r="DA198" s="1111">
        <f>SUMIFS(NewEmisData!L:L, NewEmisData!$A:$A, $G198, NewEmisData!$B:$B, $A198, NewEmisData!$C:$C, $H198, NewEmisData!$D:$D, DA$6)</f>
        <v>7.3993983540755204E-3</v>
      </c>
      <c r="DB198" s="1111">
        <f>SUMIFS(NewEmisData!M:M, NewEmisData!$A:$A, $G198, NewEmisData!$B:$B, $A198, NewEmisData!$C:$C, $H198, NewEmisData!$D:$D, DB$6)</f>
        <v>7.3984107449231598E-3</v>
      </c>
      <c r="DC198" s="1111">
        <f t="shared" si="254"/>
        <v>7.3984107449231598E-3</v>
      </c>
      <c r="DD198" s="1111"/>
      <c r="DE198" s="1111"/>
      <c r="DF198" s="1111"/>
      <c r="DG198" s="1111"/>
      <c r="DH198" s="1111"/>
      <c r="DI198" s="1111"/>
      <c r="DJ198" s="1111"/>
      <c r="DK198" s="1111"/>
      <c r="DL198" s="1111"/>
      <c r="DM198" s="1111"/>
      <c r="DN198" s="1111"/>
      <c r="DO198" s="1111"/>
      <c r="DP198" s="1111"/>
      <c r="DQ198" s="1111"/>
      <c r="DR198" s="1111"/>
      <c r="DS198" s="1111"/>
      <c r="DT198" s="1111"/>
      <c r="DU198" s="1111"/>
      <c r="DV198" s="1111"/>
      <c r="DW198" s="1111"/>
      <c r="DX198" s="1111"/>
      <c r="DY198" s="1111"/>
      <c r="DZ198" s="1111">
        <f t="shared" si="255"/>
        <v>4.41589904201058E-2</v>
      </c>
      <c r="EA198" s="1111">
        <f>SUMIFS(NewEmisData!E:E, NewEmisData!$A:$A, $G198, NewEmisData!$B:$B, $A198, NewEmisData!$C:$C, $H198, NewEmisData!$D:$D, EA$6)</f>
        <v>4.41589904201058E-2</v>
      </c>
      <c r="EB198" s="1111">
        <f>SUMIFS(NewEmisData!F:F, NewEmisData!$A:$A, $G198, NewEmisData!$B:$B, $A198, NewEmisData!$C:$C, $H198, NewEmisData!$D:$D, EB$6)</f>
        <v>0.113476815309018</v>
      </c>
      <c r="EC198" s="1111">
        <f>SUMIFS(NewEmisData!G:G, NewEmisData!$A:$A, $G198, NewEmisData!$B:$B, $A198, NewEmisData!$C:$C, $H198, NewEmisData!$D:$D, EC$6)</f>
        <v>0.148804284105474</v>
      </c>
      <c r="ED198" s="1111">
        <f>SUMIFS(NewEmisData!H:H, NewEmisData!$A:$A, $G198, NewEmisData!$B:$B, $A198, NewEmisData!$C:$C, $H198, NewEmisData!$D:$D, ED$6)</f>
        <v>0.149805777267462</v>
      </c>
      <c r="EE198" s="1111">
        <f>SUMIFS(NewEmisData!I:I, NewEmisData!$A:$A, $G198, NewEmisData!$B:$B, $A198, NewEmisData!$C:$C, $H198, NewEmisData!$D:$D, EE$6)</f>
        <v>0.14994983513978</v>
      </c>
      <c r="EF198" s="1111">
        <f>SUMIFS(NewEmisData!J:J, NewEmisData!$A:$A, $G198, NewEmisData!$B:$B, $A198, NewEmisData!$C:$C, $H198, NewEmisData!$D:$D, EF$6)</f>
        <v>0.14964505772550801</v>
      </c>
      <c r="EG198" s="1111">
        <f>SUMIFS(NewEmisData!K:K, NewEmisData!$A:$A, $G198, NewEmisData!$B:$B, $A198, NewEmisData!$C:$C, $H198, NewEmisData!$D:$D, EG$6)</f>
        <v>0.149643881204473</v>
      </c>
      <c r="EH198" s="1111">
        <f>SUMIFS(NewEmisData!L:L, NewEmisData!$A:$A, $G198, NewEmisData!$B:$B, $A198, NewEmisData!$C:$C, $H198, NewEmisData!$D:$D, EH$6)</f>
        <v>0.14957074940992099</v>
      </c>
      <c r="EI198" s="1111">
        <f>SUMIFS(NewEmisData!M:M, NewEmisData!$A:$A, $G198, NewEmisData!$B:$B, $A198, NewEmisData!$C:$C, $H198, NewEmisData!$D:$D, EI$6)</f>
        <v>0.149527028885417</v>
      </c>
      <c r="EJ198" s="1111">
        <f t="shared" si="256"/>
        <v>0.149527028885417</v>
      </c>
      <c r="EK198" s="1111">
        <f t="shared" si="257"/>
        <v>1844.7083010230299</v>
      </c>
      <c r="EL198" s="1111">
        <f t="shared" si="269"/>
        <v>1844.7083010230299</v>
      </c>
      <c r="EM198" s="1111">
        <f t="shared" si="270"/>
        <v>1832.6045194358301</v>
      </c>
      <c r="EN198" s="1111">
        <f t="shared" si="271"/>
        <v>1884.2537986570301</v>
      </c>
      <c r="EO198" s="1111">
        <f t="shared" si="272"/>
        <v>1818.5727784503399</v>
      </c>
      <c r="EP198" s="1111">
        <f t="shared" si="273"/>
        <v>1763.6996289860999</v>
      </c>
      <c r="EQ198" s="1111">
        <f t="shared" si="274"/>
        <v>1745.38280930633</v>
      </c>
      <c r="ER198" s="1111">
        <f t="shared" si="275"/>
        <v>1739.98947678168</v>
      </c>
      <c r="ES198" s="1111">
        <f t="shared" si="276"/>
        <v>1738.81123596359</v>
      </c>
      <c r="ET198" s="1111">
        <f t="shared" si="277"/>
        <v>1738.5227113911701</v>
      </c>
      <c r="EU198" s="1111">
        <f t="shared" si="278"/>
        <v>1738.5227113911701</v>
      </c>
      <c r="EV198" s="1111">
        <f t="shared" si="258"/>
        <v>11.3242694436207</v>
      </c>
      <c r="EW198" s="1111">
        <f t="shared" si="259"/>
        <v>11.3242694436207</v>
      </c>
      <c r="EX198" s="1111">
        <f t="shared" si="260"/>
        <v>5.2798482437774998</v>
      </c>
      <c r="EY198" s="1111">
        <f t="shared" si="261"/>
        <v>3.78642260339578</v>
      </c>
      <c r="EZ198" s="1111">
        <f t="shared" si="262"/>
        <v>2.1972961679722198</v>
      </c>
      <c r="FA198" s="1111">
        <f t="shared" si="263"/>
        <v>1.5398620814352</v>
      </c>
      <c r="FB198" s="1111">
        <f t="shared" si="264"/>
        <v>1.33073738385153</v>
      </c>
      <c r="FC198" s="1111">
        <f t="shared" si="265"/>
        <v>1.2670046042829299</v>
      </c>
      <c r="FD198" s="1111">
        <f t="shared" si="266"/>
        <v>1.25837731661006</v>
      </c>
      <c r="FE198" s="1111">
        <f t="shared" si="267"/>
        <v>1.2558936064742501</v>
      </c>
      <c r="FF198" s="1111">
        <f t="shared" si="268"/>
        <v>1.2558936064742501</v>
      </c>
      <c r="FG198" s="1111">
        <f t="shared" si="291"/>
        <v>4.5365869728215401E-2</v>
      </c>
      <c r="FH198" s="1111">
        <f t="shared" si="292"/>
        <v>4.5365869728215401E-2</v>
      </c>
      <c r="FI198" s="1111">
        <f t="shared" si="293"/>
        <v>4.3660344033601299E-2</v>
      </c>
      <c r="FJ198" s="1111">
        <f t="shared" si="294"/>
        <v>1.5842755870111001E-2</v>
      </c>
      <c r="FK198" s="1111">
        <f t="shared" si="295"/>
        <v>1.52011817179993E-2</v>
      </c>
      <c r="FL198" s="1111">
        <f t="shared" si="296"/>
        <v>1.47126837043844E-2</v>
      </c>
      <c r="FM198" s="1111">
        <f t="shared" si="297"/>
        <v>1.45535009771615E-2</v>
      </c>
      <c r="FN198" s="1111">
        <f t="shared" si="298"/>
        <v>1.4506508977964299E-2</v>
      </c>
      <c r="FO198" s="1111">
        <f t="shared" si="299"/>
        <v>1.44966873739067E-2</v>
      </c>
      <c r="FP198" s="1111">
        <f t="shared" si="300"/>
        <v>1.4494279129535799E-2</v>
      </c>
      <c r="FQ198" s="1111">
        <f t="shared" si="301"/>
        <v>1.4494279129535799E-2</v>
      </c>
      <c r="FR198" s="1111">
        <f t="shared" si="230"/>
        <v>1.1349607828839201</v>
      </c>
      <c r="FS198" s="1111">
        <f t="shared" si="231"/>
        <v>1.1349607828839201</v>
      </c>
      <c r="FT198" s="1111">
        <f t="shared" si="232"/>
        <v>0.61030408012734905</v>
      </c>
      <c r="FU198" s="1111">
        <f t="shared" si="233"/>
        <v>0.44031388127967303</v>
      </c>
      <c r="FV198" s="1111">
        <f t="shared" si="234"/>
        <v>0.34801512923671002</v>
      </c>
      <c r="FW198" s="1111">
        <f t="shared" si="235"/>
        <v>0.316619673688259</v>
      </c>
      <c r="FX198" s="1111">
        <f t="shared" si="236"/>
        <v>0.310711543242081</v>
      </c>
      <c r="FY198" s="1111">
        <f t="shared" si="237"/>
        <v>0.30897246291541097</v>
      </c>
      <c r="FZ198" s="1111">
        <f t="shared" si="238"/>
        <v>0.308957597755115</v>
      </c>
      <c r="GA198" s="1111">
        <f t="shared" si="239"/>
        <v>0.30895604079919098</v>
      </c>
      <c r="GB198" s="1111">
        <f t="shared" si="240"/>
        <v>0.30895604079919098</v>
      </c>
      <c r="GC198" s="1111">
        <f t="shared" si="279"/>
        <v>0.82460782978682501</v>
      </c>
      <c r="GD198" s="1111">
        <f t="shared" si="280"/>
        <v>0.82460782978682501</v>
      </c>
      <c r="GE198" s="1111">
        <f t="shared" si="281"/>
        <v>0.34373570942234799</v>
      </c>
      <c r="GF198" s="1111">
        <f t="shared" si="282"/>
        <v>0.18121898411016099</v>
      </c>
      <c r="GG198" s="1111">
        <f t="shared" si="283"/>
        <v>9.7394815729633696E-2</v>
      </c>
      <c r="GH198" s="1111">
        <f t="shared" si="284"/>
        <v>6.8837534672911399E-2</v>
      </c>
      <c r="GI198" s="1111">
        <f t="shared" si="285"/>
        <v>6.3495189038770203E-2</v>
      </c>
      <c r="GJ198" s="1111">
        <f t="shared" si="286"/>
        <v>6.1918142257759601E-2</v>
      </c>
      <c r="GK198" s="1111">
        <f t="shared" si="287"/>
        <v>6.1908718128838802E-2</v>
      </c>
      <c r="GL198" s="1111">
        <f t="shared" si="288"/>
        <v>6.1907262020399603E-2</v>
      </c>
      <c r="GM198" s="1111">
        <f t="shared" si="289"/>
        <v>6.1907262020399603E-2</v>
      </c>
    </row>
    <row r="199" spans="1:195" x14ac:dyDescent="0.2">
      <c r="A199" s="1071" t="s">
        <v>188</v>
      </c>
      <c r="B199" s="1071" t="str">
        <f>Technologies!C122</f>
        <v>TMDSLAH</v>
      </c>
      <c r="C199" s="1071" t="str">
        <f>Technologies!D122</f>
        <v>Medium Duty Truck, Advanced Hybrid Diesel</v>
      </c>
      <c r="D199" s="1071" t="str">
        <f>NewTech!D74</f>
        <v>bn-vmt, bn-vmt/a</v>
      </c>
      <c r="E199" s="1071" t="str">
        <f>NewTech!E75</f>
        <v>TMDSL</v>
      </c>
      <c r="F199" s="1071" t="str">
        <f>NewTech!F75</f>
        <v>TM</v>
      </c>
      <c r="G199" s="1110" t="s">
        <v>503</v>
      </c>
      <c r="H199" s="1110" t="s">
        <v>499</v>
      </c>
      <c r="I199" s="1112">
        <v>1</v>
      </c>
      <c r="J199" s="1111" t="str">
        <f t="shared" si="37"/>
        <v>Medium duty-DSL</v>
      </c>
      <c r="K199" s="1111">
        <f>SUMIFS(NewEmisData!E:E, NewEmisData!$A:$A, $G199, NewEmisData!$B:$B, $A199, NewEmisData!$C:$C, $H199, NewEmisData!$D:$D, K$6)</f>
        <v>1359.24651399801</v>
      </c>
      <c r="L199" s="1111">
        <f>SUMIFS(NewEmisData!F:F, NewEmisData!$A:$A, $G199, NewEmisData!$B:$B, $A199, NewEmisData!$C:$C, $H199, NewEmisData!$D:$D, L$6)</f>
        <v>1349.4553811456799</v>
      </c>
      <c r="M199" s="1111">
        <f>SUMIFS(NewEmisData!G:G, NewEmisData!$A:$A, $G199, NewEmisData!$B:$B, $A199, NewEmisData!$C:$C, $H199, NewEmisData!$D:$D, M$6)</f>
        <v>1201.7753721342699</v>
      </c>
      <c r="N199" s="1111">
        <f>SUMIFS(NewEmisData!H:H, NewEmisData!$A:$A, $G199, NewEmisData!$B:$B, $A199, NewEmisData!$C:$C, $H199, NewEmisData!$D:$D, N$6)</f>
        <v>1159.4102608457299</v>
      </c>
      <c r="O199" s="1111">
        <f>SUMIFS(NewEmisData!I:I, NewEmisData!$A:$A, $G199, NewEmisData!$B:$B, $A199, NewEmisData!$C:$C, $H199, NewEmisData!$D:$D, O$6)</f>
        <v>1124.18143975774</v>
      </c>
      <c r="P199" s="1111">
        <f>SUMIFS(NewEmisData!J:J, NewEmisData!$A:$A, $G199, NewEmisData!$B:$B, $A199, NewEmisData!$C:$C, $H199, NewEmisData!$D:$D, P$6)</f>
        <v>1112.41123305204</v>
      </c>
      <c r="Q199" s="1111">
        <f>SUMIFS(NewEmisData!K:K, NewEmisData!$A:$A, $G199, NewEmisData!$B:$B, $A199, NewEmisData!$C:$C, $H199, NewEmisData!$D:$D, Q$6)</f>
        <v>1108.9495585776399</v>
      </c>
      <c r="R199" s="1111">
        <f>SUMIFS(NewEmisData!L:L, NewEmisData!$A:$A, $G199, NewEmisData!$B:$B, $A199, NewEmisData!$C:$C, $H199, NewEmisData!$D:$D, R$6)</f>
        <v>1108.1911650136201</v>
      </c>
      <c r="S199" s="1111">
        <f>SUMIFS(NewEmisData!M:M, NewEmisData!$A:$A, $G199, NewEmisData!$B:$B, $A199, NewEmisData!$C:$C, $H199, NewEmisData!$D:$D, S$6)</f>
        <v>1108.0051090873801</v>
      </c>
      <c r="T199" s="1111">
        <f t="shared" si="290"/>
        <v>1108.0051090873801</v>
      </c>
      <c r="U199" s="1111">
        <f>SUMIFS(NewEmisData!E:E, NewEmisData!$A:$A, $G199, NewEmisData!$B:$B, $A199, NewEmisData!$C:$C, $H199, NewEmisData!$D:$D, U$6)</f>
        <v>9.9935080505540999</v>
      </c>
      <c r="V199" s="1111">
        <f>SUMIFS(NewEmisData!F:F, NewEmisData!$A:$A, $G199, NewEmisData!$B:$B, $A199, NewEmisData!$C:$C, $H199, NewEmisData!$D:$D, V$6)</f>
        <v>5.4019505037215803</v>
      </c>
      <c r="W199" s="1111">
        <f>SUMIFS(NewEmisData!G:G, NewEmisData!$A:$A, $G199, NewEmisData!$B:$B, $A199, NewEmisData!$C:$C, $H199, NewEmisData!$D:$D, W$6)</f>
        <v>2.3680454032681002</v>
      </c>
      <c r="X199" s="1111">
        <f>SUMIFS(NewEmisData!H:H, NewEmisData!$A:$A, $G199, NewEmisData!$B:$B, $A199, NewEmisData!$C:$C, $H199, NewEmisData!$D:$D, X$6)</f>
        <v>1.37960112387871</v>
      </c>
      <c r="Y199" s="1111">
        <f>SUMIFS(NewEmisData!I:I, NewEmisData!$A:$A, $G199, NewEmisData!$B:$B, $A199, NewEmisData!$C:$C, $H199, NewEmisData!$D:$D, Y$6)</f>
        <v>0.96959264343873697</v>
      </c>
      <c r="Z199" s="1111">
        <f>SUMIFS(NewEmisData!J:J, NewEmisData!$A:$A, $G199, NewEmisData!$B:$B, $A199, NewEmisData!$C:$C, $H199, NewEmisData!$D:$D, Z$6)</f>
        <v>0.83872679442891696</v>
      </c>
      <c r="AA199" s="1111">
        <f>SUMIFS(NewEmisData!K:K, NewEmisData!$A:$A, $G199, NewEmisData!$B:$B, $A199, NewEmisData!$C:$C, $H199, NewEmisData!$D:$D, AA$6)</f>
        <v>0.79867865097523805</v>
      </c>
      <c r="AB199" s="1111">
        <f>SUMIFS(NewEmisData!L:L, NewEmisData!$A:$A, $G199, NewEmisData!$B:$B, $A199, NewEmisData!$C:$C, $H199, NewEmisData!$D:$D, AB$6)</f>
        <v>0.79322284274622901</v>
      </c>
      <c r="AC199" s="1111">
        <f>SUMIFS(NewEmisData!M:M, NewEmisData!$A:$A, $G199, NewEmisData!$B:$B, $A199, NewEmisData!$C:$C, $H199, NewEmisData!$D:$D, AC$6)</f>
        <v>0.79163411205103495</v>
      </c>
      <c r="AD199" s="1111">
        <f t="shared" si="229"/>
        <v>0.79163411205103495</v>
      </c>
      <c r="AE199" s="1111">
        <f t="shared" si="241"/>
        <v>3.2609020112497403E-2</v>
      </c>
      <c r="AF199" s="1111">
        <f>SUMIFS(NewEmisData!E:E, NewEmisData!$A:$A, $G199, NewEmisData!$B:$B, $A199, NewEmisData!$C:$C, $H199, NewEmisData!$D:$D, AF$6)</f>
        <v>3.2609020112497403E-2</v>
      </c>
      <c r="AG199" s="1111">
        <f>SUMIFS(NewEmisData!F:F, NewEmisData!$A:$A, $G199, NewEmisData!$B:$B, $A199, NewEmisData!$C:$C, $H199, NewEmisData!$D:$D, AG$6)</f>
        <v>3.17571573502895E-2</v>
      </c>
      <c r="AH199" s="1111">
        <f>SUMIFS(NewEmisData!G:G, NewEmisData!$A:$A, $G199, NewEmisData!$B:$B, $A199, NewEmisData!$C:$C, $H199, NewEmisData!$D:$D, AH$6)</f>
        <v>1.01046015527187E-2</v>
      </c>
      <c r="AI199" s="1111">
        <f>SUMIFS(NewEmisData!H:H, NewEmisData!$A:$A, $G199, NewEmisData!$B:$B, $A199, NewEmisData!$C:$C, $H199, NewEmisData!$D:$D, AI$6)</f>
        <v>9.6913827425881005E-3</v>
      </c>
      <c r="AJ199" s="1111">
        <f>SUMIFS(NewEmisData!I:I, NewEmisData!$A:$A, $G199, NewEmisData!$B:$B, $A199, NewEmisData!$C:$C, $H199, NewEmisData!$D:$D, AJ$6)</f>
        <v>9.3778737694311005E-3</v>
      </c>
      <c r="AK199" s="1111">
        <f>SUMIFS(NewEmisData!J:J, NewEmisData!$A:$A, $G199, NewEmisData!$B:$B, $A199, NewEmisData!$C:$C, $H199, NewEmisData!$D:$D, AK$6)</f>
        <v>9.2756075273223108E-3</v>
      </c>
      <c r="AL199" s="1111">
        <f>SUMIFS(NewEmisData!K:K, NewEmisData!$A:$A, $G199, NewEmisData!$B:$B, $A199, NewEmisData!$C:$C, $H199, NewEmisData!$D:$D, AL$6)</f>
        <v>9.2454491450441392E-3</v>
      </c>
      <c r="AM199" s="1111">
        <f>SUMIFS(NewEmisData!L:L, NewEmisData!$A:$A, $G199, NewEmisData!$B:$B, $A199, NewEmisData!$C:$C, $H199, NewEmisData!$D:$D, AM$6)</f>
        <v>9.2391217629996109E-3</v>
      </c>
      <c r="AN199" s="1111">
        <f>SUMIFS(NewEmisData!M:M, NewEmisData!$A:$A, $G199, NewEmisData!$B:$B, $A199, NewEmisData!$C:$C, $H199, NewEmisData!$D:$D, AN$6)</f>
        <v>9.2375739351750405E-3</v>
      </c>
      <c r="AO199" s="1111">
        <f t="shared" si="242"/>
        <v>9.2375739351750405E-3</v>
      </c>
      <c r="AP199" s="1111">
        <f t="shared" si="243"/>
        <v>0.92068922490925897</v>
      </c>
      <c r="AQ199" s="1111">
        <f>SUMIFS(NewEmisData!E:E, NewEmisData!$A:$A, $G199, NewEmisData!$B:$B, $A199, NewEmisData!$C:$C, $H199, NewEmisData!$D:$D, AQ$6)</f>
        <v>0.92068922490925897</v>
      </c>
      <c r="AR199" s="1111">
        <f>SUMIFS(NewEmisData!F:F, NewEmisData!$A:$A, $G199, NewEmisData!$B:$B, $A199, NewEmisData!$C:$C, $H199, NewEmisData!$D:$D, AR$6)</f>
        <v>0.49332051927640103</v>
      </c>
      <c r="AS199" s="1111">
        <f>SUMIFS(NewEmisData!G:G, NewEmisData!$A:$A, $G199, NewEmisData!$B:$B, $A199, NewEmisData!$C:$C, $H199, NewEmisData!$D:$D, AS$6)</f>
        <v>0.24551244923642301</v>
      </c>
      <c r="AT199" s="1111">
        <f>SUMIFS(NewEmisData!H:H, NewEmisData!$A:$A, $G199, NewEmisData!$B:$B, $A199, NewEmisData!$C:$C, $H199, NewEmisData!$D:$D, AT$6)</f>
        <v>0.19029699336139799</v>
      </c>
      <c r="AU199" s="1111">
        <f>SUMIFS(NewEmisData!I:I, NewEmisData!$A:$A, $G199, NewEmisData!$B:$B, $A199, NewEmisData!$C:$C, $H199, NewEmisData!$D:$D, AU$6)</f>
        <v>0.171654581016567</v>
      </c>
      <c r="AV199" s="1111">
        <f>SUMIFS(NewEmisData!J:J, NewEmisData!$A:$A, $G199, NewEmisData!$B:$B, $A199, NewEmisData!$C:$C, $H199, NewEmisData!$D:$D, AV$6)</f>
        <v>0.168061002565252</v>
      </c>
      <c r="AW199" s="1111">
        <f>SUMIFS(NewEmisData!K:K, NewEmisData!$A:$A, $G199, NewEmisData!$B:$B, $A199, NewEmisData!$C:$C, $H199, NewEmisData!$D:$D, AW$6)</f>
        <v>0.167001709815503</v>
      </c>
      <c r="AX199" s="1111">
        <f>SUMIFS(NewEmisData!L:L, NewEmisData!$A:$A, $G199, NewEmisData!$B:$B, $A199, NewEmisData!$C:$C, $H199, NewEmisData!$D:$D, AX$6)</f>
        <v>0.16699297497215901</v>
      </c>
      <c r="AY199" s="1111">
        <f>SUMIFS(NewEmisData!M:M, NewEmisData!$A:$A, $G199, NewEmisData!$B:$B, $A199, NewEmisData!$C:$C, $H199, NewEmisData!$D:$D, AY$6)</f>
        <v>0.16699184457612301</v>
      </c>
      <c r="AZ199" s="1111">
        <f t="shared" si="244"/>
        <v>0.16699184457612301</v>
      </c>
      <c r="BA199" s="1111">
        <f t="shared" si="245"/>
        <v>0.71010379978724403</v>
      </c>
      <c r="BB199" s="1111">
        <f>SUMIFS(NewEmisData!E:E, NewEmisData!$A:$A, $G199, NewEmisData!$B:$B, $A199, NewEmisData!$C:$C, $H199, NewEmisData!$D:$D, BB$6)</f>
        <v>0.71010379978724403</v>
      </c>
      <c r="BC199" s="1111">
        <f>SUMIFS(NewEmisData!F:F, NewEmisData!$A:$A, $G199, NewEmisData!$B:$B, $A199, NewEmisData!$C:$C, $H199, NewEmisData!$D:$D, BC$6)</f>
        <v>0.31539716063004603</v>
      </c>
      <c r="BD199" s="1111">
        <f>SUMIFS(NewEmisData!G:G, NewEmisData!$A:$A, $G199, NewEmisData!$B:$B, $A199, NewEmisData!$C:$C, $H199, NewEmisData!$D:$D, BD$6)</f>
        <v>0.10700307974279601</v>
      </c>
      <c r="BE199" s="1111">
        <f>SUMIFS(NewEmisData!H:H, NewEmisData!$A:$A, $G199, NewEmisData!$B:$B, $A199, NewEmisData!$C:$C, $H199, NewEmisData!$D:$D, BE$6)</f>
        <v>5.6773062835599797E-2</v>
      </c>
      <c r="BF199" s="1111">
        <f>SUMIFS(NewEmisData!I:I, NewEmisData!$A:$A, $G199, NewEmisData!$B:$B, $A199, NewEmisData!$C:$C, $H199, NewEmisData!$D:$D, BF$6)</f>
        <v>3.9792368333530698E-2</v>
      </c>
      <c r="BG199" s="1111">
        <f>SUMIFS(NewEmisData!J:J, NewEmisData!$A:$A, $G199, NewEmisData!$B:$B, $A199, NewEmisData!$C:$C, $H199, NewEmisData!$D:$D, BG$6)</f>
        <v>3.6534861023721103E-2</v>
      </c>
      <c r="BH199" s="1111">
        <f>SUMIFS(NewEmisData!K:K, NewEmisData!$A:$A, $G199, NewEmisData!$B:$B, $A199, NewEmisData!$C:$C, $H199, NewEmisData!$D:$D, BH$6)</f>
        <v>3.5572117087596597E-2</v>
      </c>
      <c r="BI199" s="1111">
        <f>SUMIFS(NewEmisData!L:L, NewEmisData!$A:$A, $G199, NewEmisData!$B:$B, $A199, NewEmisData!$C:$C, $H199, NewEmisData!$D:$D, BI$6)</f>
        <v>3.556620106866E-2</v>
      </c>
      <c r="BJ199" s="1111">
        <f>SUMIFS(NewEmisData!M:M, NewEmisData!$A:$A, $G199, NewEmisData!$B:$B, $A199, NewEmisData!$C:$C, $H199, NewEmisData!$D:$D, BJ$6)</f>
        <v>3.5565244855547698E-2</v>
      </c>
      <c r="BK199" s="1111">
        <f t="shared" si="246"/>
        <v>3.5565244855547698E-2</v>
      </c>
      <c r="BL199" s="1111">
        <f t="shared" si="247"/>
        <v>4.3150452160613399</v>
      </c>
      <c r="BM199" s="1111">
        <f>SUMIFS(NewEmisData!E:E, NewEmisData!$A:$A, $G199, NewEmisData!$B:$B, $A199, NewEmisData!$C:$C, $H199, NewEmisData!$D:$D, BM$6)</f>
        <v>4.3150452160613399</v>
      </c>
      <c r="BN199" s="1111">
        <f>SUMIFS(NewEmisData!F:F, NewEmisData!$A:$A, $G199, NewEmisData!$B:$B, $A199, NewEmisData!$C:$C, $H199, NewEmisData!$D:$D, BN$6)</f>
        <v>2.1245169733868399</v>
      </c>
      <c r="BO199" s="1111">
        <f>SUMIFS(NewEmisData!G:G, NewEmisData!$A:$A, $G199, NewEmisData!$B:$B, $A199, NewEmisData!$C:$C, $H199, NewEmisData!$D:$D, BO$6)</f>
        <v>0.94068181429637499</v>
      </c>
      <c r="BP199" s="1111">
        <f>SUMIFS(NewEmisData!H:H, NewEmisData!$A:$A, $G199, NewEmisData!$B:$B, $A199, NewEmisData!$C:$C, $H199, NewEmisData!$D:$D, BP$6)</f>
        <v>0.59128118339828695</v>
      </c>
      <c r="BQ199" s="1111">
        <f>SUMIFS(NewEmisData!I:I, NewEmisData!$A:$A, $G199, NewEmisData!$B:$B, $A199, NewEmisData!$C:$C, $H199, NewEmisData!$D:$D, BQ$6)</f>
        <v>0.47927194222425401</v>
      </c>
      <c r="BR199" s="1111">
        <f>SUMIFS(NewEmisData!J:J, NewEmisData!$A:$A, $G199, NewEmisData!$B:$B, $A199, NewEmisData!$C:$C, $H199, NewEmisData!$D:$D, BR$6)</f>
        <v>0.45341859187278799</v>
      </c>
      <c r="BS199" s="1111">
        <f>SUMIFS(NewEmisData!K:K, NewEmisData!$A:$A, $G199, NewEmisData!$B:$B, $A199, NewEmisData!$C:$C, $H199, NewEmisData!$D:$D, BS$6)</f>
        <v>0.446256256758017</v>
      </c>
      <c r="BT199" s="1111">
        <f>SUMIFS(NewEmisData!L:L, NewEmisData!$A:$A, $G199, NewEmisData!$B:$B, $A199, NewEmisData!$C:$C, $H199, NewEmisData!$D:$D, BT$6)</f>
        <v>0.44612206557733602</v>
      </c>
      <c r="BU199" s="1111">
        <f>SUMIFS(NewEmisData!M:M, NewEmisData!$A:$A, $G199, NewEmisData!$B:$B, $A199, NewEmisData!$C:$C, $H199, NewEmisData!$D:$D, BU$6)</f>
        <v>0.44605643597918299</v>
      </c>
      <c r="BV199" s="1111">
        <f t="shared" si="248"/>
        <v>0.44605643597918299</v>
      </c>
      <c r="BW199" s="1111">
        <f t="shared" si="249"/>
        <v>1.7526352760541399</v>
      </c>
      <c r="BX199" s="1111">
        <f>SUMIFS(NewEmisData!E:E, NewEmisData!$A:$A, $G199, NewEmisData!$B:$B, $A199, NewEmisData!$C:$C, $H199, NewEmisData!$D:$D, BX$6)</f>
        <v>1.7526352760541399</v>
      </c>
      <c r="BY199" s="1111">
        <f>SUMIFS(NewEmisData!F:F, NewEmisData!$A:$A, $G199, NewEmisData!$B:$B, $A199, NewEmisData!$C:$C, $H199, NewEmisData!$D:$D, BY$6)</f>
        <v>0.76319496140940501</v>
      </c>
      <c r="BZ199" s="1111">
        <f>SUMIFS(NewEmisData!G:G, NewEmisData!$A:$A, $G199, NewEmisData!$B:$B, $A199, NewEmisData!$C:$C, $H199, NewEmisData!$D:$D, BZ$6)</f>
        <v>0.28613534772152999</v>
      </c>
      <c r="CA199" s="1111">
        <f>SUMIFS(NewEmisData!H:H, NewEmisData!$A:$A, $G199, NewEmisData!$B:$B, $A199, NewEmisData!$C:$C, $H199, NewEmisData!$D:$D, CA$6)</f>
        <v>0.14791681955889299</v>
      </c>
      <c r="CB199" s="1111">
        <f>SUMIFS(NewEmisData!I:I, NewEmisData!$A:$A, $G199, NewEmisData!$B:$B, $A199, NewEmisData!$C:$C, $H199, NewEmisData!$D:$D, CB$6)</f>
        <v>0.105362725656792</v>
      </c>
      <c r="CC199" s="1111">
        <f>SUMIFS(NewEmisData!J:J, NewEmisData!$A:$A, $G199, NewEmisData!$B:$B, $A199, NewEmisData!$C:$C, $H199, NewEmisData!$D:$D, CC$6)</f>
        <v>9.5060988557020901E-2</v>
      </c>
      <c r="CD199" s="1111">
        <f>SUMIFS(NewEmisData!K:K, NewEmisData!$A:$A, $G199, NewEmisData!$B:$B, $A199, NewEmisData!$C:$C, $H199, NewEmisData!$D:$D, CD$6)</f>
        <v>9.2424289509125304E-2</v>
      </c>
      <c r="CE199" s="1111">
        <f>SUMIFS(NewEmisData!L:L, NewEmisData!$A:$A, $G199, NewEmisData!$B:$B, $A199, NewEmisData!$C:$C, $H199, NewEmisData!$D:$D, CE$6)</f>
        <v>9.23723223995183E-2</v>
      </c>
      <c r="CF199" s="1111">
        <f>SUMIFS(NewEmisData!M:M, NewEmisData!$A:$A, $G199, NewEmisData!$B:$B, $A199, NewEmisData!$C:$C, $H199, NewEmisData!$D:$D, CF$6)</f>
        <v>9.2343531240566795E-2</v>
      </c>
      <c r="CG199" s="1111">
        <f t="shared" si="250"/>
        <v>9.2343531240566795E-2</v>
      </c>
      <c r="CH199" s="1111">
        <f t="shared" si="251"/>
        <v>2.7055218991672101E-2</v>
      </c>
      <c r="CI199" s="1111">
        <f>SUMIFS(NewEmisData!E:E, NewEmisData!$A:$A, $G199, NewEmisData!$B:$B, $A199, NewEmisData!$C:$C, $H199, NewEmisData!$D:$D, CI$6)</f>
        <v>2.7055218991672101E-2</v>
      </c>
      <c r="CJ199" s="1111">
        <f>SUMIFS(NewEmisData!F:F, NewEmisData!$A:$A, $G199, NewEmisData!$B:$B, $A199, NewEmisData!$C:$C, $H199, NewEmisData!$D:$D, CJ$6)</f>
        <v>2.7097811202849698E-2</v>
      </c>
      <c r="CK199" s="1111">
        <f>SUMIFS(NewEmisData!G:G, NewEmisData!$A:$A, $G199, NewEmisData!$B:$B, $A199, NewEmisData!$C:$C, $H199, NewEmisData!$D:$D, CK$6)</f>
        <v>2.7499989724317601E-2</v>
      </c>
      <c r="CL199" s="1111">
        <f>SUMIFS(NewEmisData!H:H, NewEmisData!$A:$A, $G199, NewEmisData!$B:$B, $A199, NewEmisData!$C:$C, $H199, NewEmisData!$D:$D, CL$6)</f>
        <v>2.7501820283735001E-2</v>
      </c>
      <c r="CM199" s="1111">
        <f>SUMIFS(NewEmisData!I:I, NewEmisData!$A:$A, $G199, NewEmisData!$B:$B, $A199, NewEmisData!$C:$C, $H199, NewEmisData!$D:$D, CM$6)</f>
        <v>2.7502699986778598E-2</v>
      </c>
      <c r="CN199" s="1111">
        <f>SUMIFS(NewEmisData!J:J, NewEmisData!$A:$A, $G199, NewEmisData!$B:$B, $A199, NewEmisData!$C:$C, $H199, NewEmisData!$D:$D, CN$6)</f>
        <v>2.7503009963342099E-2</v>
      </c>
      <c r="CO199" s="1111">
        <f>SUMIFS(NewEmisData!K:K, NewEmisData!$A:$A, $G199, NewEmisData!$B:$B, $A199, NewEmisData!$C:$C, $H199, NewEmisData!$D:$D, CO$6)</f>
        <v>2.75030807344766E-2</v>
      </c>
      <c r="CP199" s="1111">
        <f>SUMIFS(NewEmisData!L:L, NewEmisData!$A:$A, $G199, NewEmisData!$B:$B, $A199, NewEmisData!$C:$C, $H199, NewEmisData!$D:$D, CP$6)</f>
        <v>2.75031193176942E-2</v>
      </c>
      <c r="CQ199" s="1111">
        <f>SUMIFS(NewEmisData!M:M, NewEmisData!$A:$A, $G199, NewEmisData!$B:$B, $A199, NewEmisData!$C:$C, $H199, NewEmisData!$D:$D, CQ$6)</f>
        <v>2.7503100293147099E-2</v>
      </c>
      <c r="CR199" s="1111">
        <f t="shared" si="252"/>
        <v>2.7503100293147099E-2</v>
      </c>
      <c r="CS199" s="1111">
        <f t="shared" si="253"/>
        <v>3.9349904375135403E-3</v>
      </c>
      <c r="CT199" s="1111">
        <f>SUMIFS(NewEmisData!E:E, NewEmisData!$A:$A, $G199, NewEmisData!$B:$B, $A199, NewEmisData!$C:$C, $H199, NewEmisData!$D:$D, CT$6)</f>
        <v>3.9349904375135403E-3</v>
      </c>
      <c r="CU199" s="1111">
        <f>SUMIFS(NewEmisData!F:F, NewEmisData!$A:$A, $G199, NewEmisData!$B:$B, $A199, NewEmisData!$C:$C, $H199, NewEmisData!$D:$D, CU$6)</f>
        <v>4.0144188046577697E-3</v>
      </c>
      <c r="CV199" s="1111">
        <f>SUMIFS(NewEmisData!G:G, NewEmisData!$A:$A, $G199, NewEmisData!$B:$B, $A199, NewEmisData!$C:$C, $H199, NewEmisData!$D:$D, CV$6)</f>
        <v>3.85532676774381E-3</v>
      </c>
      <c r="CW199" s="1111">
        <f>SUMIFS(NewEmisData!H:H, NewEmisData!$A:$A, $G199, NewEmisData!$B:$B, $A199, NewEmisData!$C:$C, $H199, NewEmisData!$D:$D, CW$6)</f>
        <v>3.86278277523287E-3</v>
      </c>
      <c r="CX199" s="1111">
        <f>SUMIFS(NewEmisData!I:I, NewEmisData!$A:$A, $G199, NewEmisData!$B:$B, $A199, NewEmisData!$C:$C, $H199, NewEmisData!$D:$D, CX$6)</f>
        <v>3.8631569663602201E-3</v>
      </c>
      <c r="CY199" s="1111">
        <f>SUMIFS(NewEmisData!J:J, NewEmisData!$A:$A, $G199, NewEmisData!$B:$B, $A199, NewEmisData!$C:$C, $H199, NewEmisData!$D:$D, CY$6)</f>
        <v>3.8597143652261199E-3</v>
      </c>
      <c r="CZ199" s="1111">
        <f>SUMIFS(NewEmisData!K:K, NewEmisData!$A:$A, $G199, NewEmisData!$B:$B, $A199, NewEmisData!$C:$C, $H199, NewEmisData!$D:$D, CZ$6)</f>
        <v>3.8570170955670299E-3</v>
      </c>
      <c r="DA199" s="1111">
        <f>SUMIFS(NewEmisData!L:L, NewEmisData!$A:$A, $G199, NewEmisData!$B:$B, $A199, NewEmisData!$C:$C, $H199, NewEmisData!$D:$D, DA$6)</f>
        <v>3.8560726634583298E-3</v>
      </c>
      <c r="DB199" s="1111">
        <f>SUMIFS(NewEmisData!M:M, NewEmisData!$A:$A, $G199, NewEmisData!$B:$B, $A199, NewEmisData!$C:$C, $H199, NewEmisData!$D:$D, DB$6)</f>
        <v>3.8553758260127901E-3</v>
      </c>
      <c r="DC199" s="1111">
        <f t="shared" si="254"/>
        <v>3.8553758260127901E-3</v>
      </c>
      <c r="DD199" s="1111"/>
      <c r="DE199" s="1111"/>
      <c r="DF199" s="1111"/>
      <c r="DG199" s="1111"/>
      <c r="DH199" s="1111"/>
      <c r="DI199" s="1111"/>
      <c r="DJ199" s="1111"/>
      <c r="DK199" s="1111"/>
      <c r="DL199" s="1111"/>
      <c r="DM199" s="1111"/>
      <c r="DN199" s="1111"/>
      <c r="DO199" s="1111"/>
      <c r="DP199" s="1111"/>
      <c r="DQ199" s="1111"/>
      <c r="DR199" s="1111"/>
      <c r="DS199" s="1111"/>
      <c r="DT199" s="1111"/>
      <c r="DU199" s="1111"/>
      <c r="DV199" s="1111"/>
      <c r="DW199" s="1111"/>
      <c r="DX199" s="1111"/>
      <c r="DY199" s="1111"/>
      <c r="DZ199" s="1111">
        <f t="shared" si="255"/>
        <v>1.6945041867018E-2</v>
      </c>
      <c r="EA199" s="1111">
        <f>SUMIFS(NewEmisData!E:E, NewEmisData!$A:$A, $G199, NewEmisData!$B:$B, $A199, NewEmisData!$C:$C, $H199, NewEmisData!$D:$D, EA$6)</f>
        <v>1.6945041867018E-2</v>
      </c>
      <c r="EB199" s="1111">
        <f>SUMIFS(NewEmisData!F:F, NewEmisData!$A:$A, $G199, NewEmisData!$B:$B, $A199, NewEmisData!$C:$C, $H199, NewEmisData!$D:$D, EB$6)</f>
        <v>7.8276884254222703E-2</v>
      </c>
      <c r="EC199" s="1111">
        <f>SUMIFS(NewEmisData!G:G, NewEmisData!$A:$A, $G199, NewEmisData!$B:$B, $A199, NewEmisData!$C:$C, $H199, NewEmisData!$D:$D, EC$6)</f>
        <v>8.4900351611377101E-2</v>
      </c>
      <c r="ED199" s="1111">
        <f>SUMIFS(NewEmisData!H:H, NewEmisData!$A:$A, $G199, NewEmisData!$B:$B, $A199, NewEmisData!$C:$C, $H199, NewEmisData!$D:$D, ED$6)</f>
        <v>8.5774709001773697E-2</v>
      </c>
      <c r="EE199" s="1111">
        <f>SUMIFS(NewEmisData!I:I, NewEmisData!$A:$A, $G199, NewEmisData!$B:$B, $A199, NewEmisData!$C:$C, $H199, NewEmisData!$D:$D, EE$6)</f>
        <v>8.5992272513838397E-2</v>
      </c>
      <c r="EF199" s="1111">
        <f>SUMIFS(NewEmisData!J:J, NewEmisData!$A:$A, $G199, NewEmisData!$B:$B, $A199, NewEmisData!$C:$C, $H199, NewEmisData!$D:$D, EF$6)</f>
        <v>8.5851695810059206E-2</v>
      </c>
      <c r="EG199" s="1111">
        <f>SUMIFS(NewEmisData!K:K, NewEmisData!$A:$A, $G199, NewEmisData!$B:$B, $A199, NewEmisData!$C:$C, $H199, NewEmisData!$D:$D, EG$6)</f>
        <v>8.5868499327711095E-2</v>
      </c>
      <c r="EH199" s="1111">
        <f>SUMIFS(NewEmisData!L:L, NewEmisData!$A:$A, $G199, NewEmisData!$B:$B, $A199, NewEmisData!$C:$C, $H199, NewEmisData!$D:$D, EH$6)</f>
        <v>8.5821898568060301E-2</v>
      </c>
      <c r="EI199" s="1111">
        <f>SUMIFS(NewEmisData!M:M, NewEmisData!$A:$A, $G199, NewEmisData!$B:$B, $A199, NewEmisData!$C:$C, $H199, NewEmisData!$D:$D, EI$6)</f>
        <v>8.5793172972528697E-2</v>
      </c>
      <c r="EJ199" s="1111">
        <f t="shared" si="256"/>
        <v>8.5793172972528697E-2</v>
      </c>
      <c r="EK199" s="1111">
        <f t="shared" si="257"/>
        <v>1359.24651399801</v>
      </c>
      <c r="EL199" s="1111">
        <f t="shared" si="269"/>
        <v>1359.24651399801</v>
      </c>
      <c r="EM199" s="1111">
        <f t="shared" si="270"/>
        <v>1349.4553811456799</v>
      </c>
      <c r="EN199" s="1111">
        <f t="shared" si="271"/>
        <v>1201.7753721342699</v>
      </c>
      <c r="EO199" s="1111">
        <f t="shared" si="272"/>
        <v>1159.4102608457299</v>
      </c>
      <c r="EP199" s="1111">
        <f t="shared" si="273"/>
        <v>1124.18143975774</v>
      </c>
      <c r="EQ199" s="1111">
        <f t="shared" si="274"/>
        <v>1112.41123305204</v>
      </c>
      <c r="ER199" s="1111">
        <f t="shared" si="275"/>
        <v>1108.9495585776399</v>
      </c>
      <c r="ES199" s="1111">
        <f t="shared" si="276"/>
        <v>1108.1911650136201</v>
      </c>
      <c r="ET199" s="1111">
        <f t="shared" si="277"/>
        <v>1108.0051090873801</v>
      </c>
      <c r="EU199" s="1111">
        <f t="shared" si="278"/>
        <v>1108.0051090873801</v>
      </c>
      <c r="EV199" s="1111">
        <f t="shared" si="258"/>
        <v>9.9935080505540999</v>
      </c>
      <c r="EW199" s="1111">
        <f t="shared" si="259"/>
        <v>9.9935080505540999</v>
      </c>
      <c r="EX199" s="1111">
        <f t="shared" si="260"/>
        <v>5.4019505037215803</v>
      </c>
      <c r="EY199" s="1111">
        <f t="shared" si="261"/>
        <v>2.3680454032681002</v>
      </c>
      <c r="EZ199" s="1111">
        <f t="shared" si="262"/>
        <v>1.37960112387871</v>
      </c>
      <c r="FA199" s="1111">
        <f t="shared" si="263"/>
        <v>0.96959264343873697</v>
      </c>
      <c r="FB199" s="1111">
        <f t="shared" si="264"/>
        <v>0.83872679442891696</v>
      </c>
      <c r="FC199" s="1111">
        <f t="shared" si="265"/>
        <v>0.79867865097523805</v>
      </c>
      <c r="FD199" s="1111">
        <f t="shared" si="266"/>
        <v>0.79322284274622901</v>
      </c>
      <c r="FE199" s="1111">
        <f t="shared" si="267"/>
        <v>0.79163411205103495</v>
      </c>
      <c r="FF199" s="1111">
        <f t="shared" si="268"/>
        <v>0.79163411205103495</v>
      </c>
      <c r="FG199" s="1111">
        <f t="shared" si="291"/>
        <v>3.2609020112497403E-2</v>
      </c>
      <c r="FH199" s="1111">
        <f t="shared" si="292"/>
        <v>3.2609020112497403E-2</v>
      </c>
      <c r="FI199" s="1111">
        <f t="shared" si="293"/>
        <v>3.17571573502895E-2</v>
      </c>
      <c r="FJ199" s="1111">
        <f t="shared" si="294"/>
        <v>1.01046015527187E-2</v>
      </c>
      <c r="FK199" s="1111">
        <f t="shared" si="295"/>
        <v>9.6913827425881005E-3</v>
      </c>
      <c r="FL199" s="1111">
        <f t="shared" si="296"/>
        <v>9.3778737694311005E-3</v>
      </c>
      <c r="FM199" s="1111">
        <f t="shared" si="297"/>
        <v>9.2756075273223108E-3</v>
      </c>
      <c r="FN199" s="1111">
        <f t="shared" si="298"/>
        <v>9.2454491450441392E-3</v>
      </c>
      <c r="FO199" s="1111">
        <f t="shared" si="299"/>
        <v>9.2391217629996109E-3</v>
      </c>
      <c r="FP199" s="1111">
        <f t="shared" si="300"/>
        <v>9.2375739351750405E-3</v>
      </c>
      <c r="FQ199" s="1111">
        <f t="shared" si="301"/>
        <v>9.2375739351750405E-3</v>
      </c>
      <c r="FR199" s="1111">
        <f t="shared" si="230"/>
        <v>0.92068922490925897</v>
      </c>
      <c r="FS199" s="1111">
        <f t="shared" si="231"/>
        <v>0.92068922490925897</v>
      </c>
      <c r="FT199" s="1111">
        <f t="shared" si="232"/>
        <v>0.49332051927640103</v>
      </c>
      <c r="FU199" s="1111">
        <f t="shared" si="233"/>
        <v>0.24551244923642301</v>
      </c>
      <c r="FV199" s="1111">
        <f t="shared" si="234"/>
        <v>0.19029699336139799</v>
      </c>
      <c r="FW199" s="1111">
        <f t="shared" si="235"/>
        <v>0.171654581016567</v>
      </c>
      <c r="FX199" s="1111">
        <f t="shared" si="236"/>
        <v>0.168061002565252</v>
      </c>
      <c r="FY199" s="1111">
        <f t="shared" si="237"/>
        <v>0.167001709815503</v>
      </c>
      <c r="FZ199" s="1111">
        <f t="shared" si="238"/>
        <v>0.16699297497215901</v>
      </c>
      <c r="GA199" s="1111">
        <f t="shared" si="239"/>
        <v>0.16699184457612301</v>
      </c>
      <c r="GB199" s="1111">
        <f t="shared" si="240"/>
        <v>0.16699184457612301</v>
      </c>
      <c r="GC199" s="1111">
        <f t="shared" si="279"/>
        <v>0.71010379978724403</v>
      </c>
      <c r="GD199" s="1111">
        <f t="shared" si="280"/>
        <v>0.71010379978724403</v>
      </c>
      <c r="GE199" s="1111">
        <f t="shared" si="281"/>
        <v>0.31539716063004603</v>
      </c>
      <c r="GF199" s="1111">
        <f t="shared" si="282"/>
        <v>0.10700307974279601</v>
      </c>
      <c r="GG199" s="1111">
        <f t="shared" si="283"/>
        <v>5.6773062835599797E-2</v>
      </c>
      <c r="GH199" s="1111">
        <f t="shared" si="284"/>
        <v>3.9792368333530698E-2</v>
      </c>
      <c r="GI199" s="1111">
        <f t="shared" si="285"/>
        <v>3.6534861023721103E-2</v>
      </c>
      <c r="GJ199" s="1111">
        <f t="shared" si="286"/>
        <v>3.5572117087596597E-2</v>
      </c>
      <c r="GK199" s="1111">
        <f t="shared" si="287"/>
        <v>3.556620106866E-2</v>
      </c>
      <c r="GL199" s="1111">
        <f t="shared" si="288"/>
        <v>3.5565244855547698E-2</v>
      </c>
      <c r="GM199" s="1111">
        <f t="shared" si="289"/>
        <v>3.5565244855547698E-2</v>
      </c>
    </row>
    <row r="200" spans="1:195" x14ac:dyDescent="0.2">
      <c r="A200" s="1071" t="s">
        <v>190</v>
      </c>
      <c r="B200" s="1071" t="str">
        <f>Technologies!C122</f>
        <v>TMDSLAH</v>
      </c>
      <c r="C200" s="1071" t="str">
        <f>Technologies!D122</f>
        <v>Medium Duty Truck, Advanced Hybrid Diesel</v>
      </c>
      <c r="D200" s="1071" t="str">
        <f>NewTech!D74</f>
        <v>bn-vmt, bn-vmt/a</v>
      </c>
      <c r="E200" s="1071" t="str">
        <f>NewTech!E75</f>
        <v>TMDSL</v>
      </c>
      <c r="F200" s="1071" t="str">
        <f>NewTech!F75</f>
        <v>TM</v>
      </c>
      <c r="G200" s="1110" t="s">
        <v>503</v>
      </c>
      <c r="H200" s="1110" t="s">
        <v>499</v>
      </c>
      <c r="I200" s="1112">
        <v>1</v>
      </c>
      <c r="J200" s="1111" t="str">
        <f t="shared" si="37"/>
        <v>Medium duty-DSL</v>
      </c>
      <c r="K200" s="1111">
        <f>SUMIFS(NewEmisData!E:E, NewEmisData!$A:$A, $G200, NewEmisData!$B:$B, $A200, NewEmisData!$C:$C, $H200, NewEmisData!$D:$D, K$6)</f>
        <v>1336.71780257008</v>
      </c>
      <c r="L200" s="1111">
        <f>SUMIFS(NewEmisData!F:F, NewEmisData!$A:$A, $G200, NewEmisData!$B:$B, $A200, NewEmisData!$C:$C, $H200, NewEmisData!$D:$D, L$6)</f>
        <v>1334.1180611544301</v>
      </c>
      <c r="M200" s="1111">
        <f>SUMIFS(NewEmisData!G:G, NewEmisData!$A:$A, $G200, NewEmisData!$B:$B, $A200, NewEmisData!$C:$C, $H200, NewEmisData!$D:$D, M$6)</f>
        <v>1445.04089230315</v>
      </c>
      <c r="N200" s="1111">
        <f>SUMIFS(NewEmisData!H:H, NewEmisData!$A:$A, $G200, NewEmisData!$B:$B, $A200, NewEmisData!$C:$C, $H200, NewEmisData!$D:$D, N$6)</f>
        <v>1394.56782788027</v>
      </c>
      <c r="O200" s="1111">
        <f>SUMIFS(NewEmisData!I:I, NewEmisData!$A:$A, $G200, NewEmisData!$B:$B, $A200, NewEmisData!$C:$C, $H200, NewEmisData!$D:$D, O$6)</f>
        <v>1352.2640605745901</v>
      </c>
      <c r="P200" s="1111">
        <f>SUMIFS(NewEmisData!J:J, NewEmisData!$A:$A, $G200, NewEmisData!$B:$B, $A200, NewEmisData!$C:$C, $H200, NewEmisData!$D:$D, P$6)</f>
        <v>1337.95858730856</v>
      </c>
      <c r="Q200" s="1111">
        <f>SUMIFS(NewEmisData!K:K, NewEmisData!$A:$A, $G200, NewEmisData!$B:$B, $A200, NewEmisData!$C:$C, $H200, NewEmisData!$D:$D, Q$6)</f>
        <v>1333.6808792868501</v>
      </c>
      <c r="R200" s="1111">
        <f>SUMIFS(NewEmisData!L:L, NewEmisData!$A:$A, $G200, NewEmisData!$B:$B, $A200, NewEmisData!$C:$C, $H200, NewEmisData!$D:$D, R$6)</f>
        <v>1332.71889531121</v>
      </c>
      <c r="S200" s="1111">
        <f>SUMIFS(NewEmisData!M:M, NewEmisData!$A:$A, $G200, NewEmisData!$B:$B, $A200, NewEmisData!$C:$C, $H200, NewEmisData!$D:$D, S$6)</f>
        <v>1332.4669517233399</v>
      </c>
      <c r="T200" s="1111">
        <f t="shared" si="290"/>
        <v>1332.4669517233399</v>
      </c>
      <c r="U200" s="1111">
        <f>SUMIFS(NewEmisData!E:E, NewEmisData!$A:$A, $G200, NewEmisData!$B:$B, $A200, NewEmisData!$C:$C, $H200, NewEmisData!$D:$D, U$6)</f>
        <v>8.1159705197746597</v>
      </c>
      <c r="V200" s="1111">
        <f>SUMIFS(NewEmisData!F:F, NewEmisData!$A:$A, $G200, NewEmisData!$B:$B, $A200, NewEmisData!$C:$C, $H200, NewEmisData!$D:$D, V$6)</f>
        <v>4.1902678747381499</v>
      </c>
      <c r="W200" s="1111">
        <f>SUMIFS(NewEmisData!G:G, NewEmisData!$A:$A, $G200, NewEmisData!$B:$B, $A200, NewEmisData!$C:$C, $H200, NewEmisData!$D:$D, W$6)</f>
        <v>2.9831671777909299</v>
      </c>
      <c r="X200" s="1111">
        <f>SUMIFS(NewEmisData!H:H, NewEmisData!$A:$A, $G200, NewEmisData!$B:$B, $A200, NewEmisData!$C:$C, $H200, NewEmisData!$D:$D, X$6)</f>
        <v>1.79071707308598</v>
      </c>
      <c r="Y200" s="1111">
        <f>SUMIFS(NewEmisData!I:I, NewEmisData!$A:$A, $G200, NewEmisData!$B:$B, $A200, NewEmisData!$C:$C, $H200, NewEmisData!$D:$D, Y$6)</f>
        <v>1.29214834991715</v>
      </c>
      <c r="Z200" s="1111">
        <f>SUMIFS(NewEmisData!J:J, NewEmisData!$A:$A, $G200, NewEmisData!$B:$B, $A200, NewEmisData!$C:$C, $H200, NewEmisData!$D:$D, Z$6)</f>
        <v>1.1297597092685201</v>
      </c>
      <c r="AA200" s="1111">
        <f>SUMIFS(NewEmisData!K:K, NewEmisData!$A:$A, $G200, NewEmisData!$B:$B, $A200, NewEmisData!$C:$C, $H200, NewEmisData!$D:$D, AA$6)</f>
        <v>1.07869334628427</v>
      </c>
      <c r="AB200" s="1111">
        <f>SUMIFS(NewEmisData!L:L, NewEmisData!$A:$A, $G200, NewEmisData!$B:$B, $A200, NewEmisData!$C:$C, $H200, NewEmisData!$D:$D, AB$6)</f>
        <v>1.0710961293157399</v>
      </c>
      <c r="AC200" s="1111">
        <f>SUMIFS(NewEmisData!M:M, NewEmisData!$A:$A, $G200, NewEmisData!$B:$B, $A200, NewEmisData!$C:$C, $H200, NewEmisData!$D:$D, AC$6)</f>
        <v>1.06853485047457</v>
      </c>
      <c r="AD200" s="1111">
        <f t="shared" si="229"/>
        <v>1.06853485047457</v>
      </c>
      <c r="AE200" s="1111">
        <f t="shared" si="241"/>
        <v>3.2903787292919401E-2</v>
      </c>
      <c r="AF200" s="1111">
        <f>SUMIFS(NewEmisData!E:E, NewEmisData!$A:$A, $G200, NewEmisData!$B:$B, $A200, NewEmisData!$C:$C, $H200, NewEmisData!$D:$D, AF$6)</f>
        <v>3.2903787292919401E-2</v>
      </c>
      <c r="AG200" s="1111">
        <f>SUMIFS(NewEmisData!F:F, NewEmisData!$A:$A, $G200, NewEmisData!$B:$B, $A200, NewEmisData!$C:$C, $H200, NewEmisData!$D:$D, AG$6)</f>
        <v>3.1887226466035201E-2</v>
      </c>
      <c r="AH200" s="1111">
        <f>SUMIFS(NewEmisData!G:G, NewEmisData!$A:$A, $G200, NewEmisData!$B:$B, $A200, NewEmisData!$C:$C, $H200, NewEmisData!$D:$D, AH$6)</f>
        <v>1.2151036280147199E-2</v>
      </c>
      <c r="AI200" s="1111">
        <f>SUMIFS(NewEmisData!H:H, NewEmisData!$A:$A, $G200, NewEmisData!$B:$B, $A200, NewEmisData!$C:$C, $H200, NewEmisData!$D:$D, AI$6)</f>
        <v>1.16575948327503E-2</v>
      </c>
      <c r="AJ200" s="1111">
        <f>SUMIFS(NewEmisData!I:I, NewEmisData!$A:$A, $G200, NewEmisData!$B:$B, $A200, NewEmisData!$C:$C, $H200, NewEmisData!$D:$D, AJ$6)</f>
        <v>1.12807608208042E-2</v>
      </c>
      <c r="AK200" s="1111">
        <f>SUMIFS(NewEmisData!J:J, NewEmisData!$A:$A, $G200, NewEmisData!$B:$B, $A200, NewEmisData!$C:$C, $H200, NewEmisData!$D:$D, AK$6)</f>
        <v>1.11563832836782E-2</v>
      </c>
      <c r="AL200" s="1111">
        <f>SUMIFS(NewEmisData!K:K, NewEmisData!$A:$A, $G200, NewEmisData!$B:$B, $A200, NewEmisData!$C:$C, $H200, NewEmisData!$D:$D, AL$6)</f>
        <v>1.11190596779358E-2</v>
      </c>
      <c r="AM200" s="1111">
        <f>SUMIFS(NewEmisData!L:L, NewEmisData!$A:$A, $G200, NewEmisData!$B:$B, $A200, NewEmisData!$C:$C, $H200, NewEmisData!$D:$D, AM$6)</f>
        <v>1.1111041090770501E-2</v>
      </c>
      <c r="AN200" s="1111">
        <f>SUMIFS(NewEmisData!M:M, NewEmisData!$A:$A, $G200, NewEmisData!$B:$B, $A200, NewEmisData!$C:$C, $H200, NewEmisData!$D:$D, AN$6)</f>
        <v>1.11089391742305E-2</v>
      </c>
      <c r="AO200" s="1111">
        <f t="shared" si="242"/>
        <v>1.11089391742305E-2</v>
      </c>
      <c r="AP200" s="1111">
        <f t="shared" si="243"/>
        <v>0.75470063690720102</v>
      </c>
      <c r="AQ200" s="1111">
        <f>SUMIFS(NewEmisData!E:E, NewEmisData!$A:$A, $G200, NewEmisData!$B:$B, $A200, NewEmisData!$C:$C, $H200, NewEmisData!$D:$D, AQ$6)</f>
        <v>0.75470063690720102</v>
      </c>
      <c r="AR200" s="1111">
        <f>SUMIFS(NewEmisData!F:F, NewEmisData!$A:$A, $G200, NewEmisData!$B:$B, $A200, NewEmisData!$C:$C, $H200, NewEmisData!$D:$D, AR$6)</f>
        <v>0.41452815930639098</v>
      </c>
      <c r="AS200" s="1111">
        <f>SUMIFS(NewEmisData!G:G, NewEmisData!$A:$A, $G200, NewEmisData!$B:$B, $A200, NewEmisData!$C:$C, $H200, NewEmisData!$D:$D, AS$6)</f>
        <v>0.32175493237955199</v>
      </c>
      <c r="AT200" s="1111">
        <f>SUMIFS(NewEmisData!H:H, NewEmisData!$A:$A, $G200, NewEmisData!$B:$B, $A200, NewEmisData!$C:$C, $H200, NewEmisData!$D:$D, AT$6)</f>
        <v>0.25352921702854198</v>
      </c>
      <c r="AU200" s="1111">
        <f>SUMIFS(NewEmisData!I:I, NewEmisData!$A:$A, $G200, NewEmisData!$B:$B, $A200, NewEmisData!$C:$C, $H200, NewEmisData!$D:$D, AU$6)</f>
        <v>0.23028919647026699</v>
      </c>
      <c r="AV200" s="1111">
        <f>SUMIFS(NewEmisData!J:J, NewEmisData!$A:$A, $G200, NewEmisData!$B:$B, $A200, NewEmisData!$C:$C, $H200, NewEmisData!$D:$D, AV$6)</f>
        <v>0.22584791810744101</v>
      </c>
      <c r="AW200" s="1111">
        <f>SUMIFS(NewEmisData!K:K, NewEmisData!$A:$A, $G200, NewEmisData!$B:$B, $A200, NewEmisData!$C:$C, $H200, NewEmisData!$D:$D, AW$6)</f>
        <v>0.22452045938839199</v>
      </c>
      <c r="AX200" s="1111">
        <f>SUMIFS(NewEmisData!L:L, NewEmisData!$A:$A, $G200, NewEmisData!$B:$B, $A200, NewEmisData!$C:$C, $H200, NewEmisData!$D:$D, AX$6)</f>
        <v>0.22450852256822901</v>
      </c>
      <c r="AY200" s="1111">
        <f>SUMIFS(NewEmisData!M:M, NewEmisData!$A:$A, $G200, NewEmisData!$B:$B, $A200, NewEmisData!$C:$C, $H200, NewEmisData!$D:$D, AY$6)</f>
        <v>0.22450708090135699</v>
      </c>
      <c r="AZ200" s="1111">
        <f t="shared" si="244"/>
        <v>0.22450708090135699</v>
      </c>
      <c r="BA200" s="1111">
        <f t="shared" si="245"/>
        <v>0.55462986472983</v>
      </c>
      <c r="BB200" s="1111">
        <f>SUMIFS(NewEmisData!E:E, NewEmisData!$A:$A, $G200, NewEmisData!$B:$B, $A200, NewEmisData!$C:$C, $H200, NewEmisData!$D:$D, BB$6)</f>
        <v>0.55462986472983</v>
      </c>
      <c r="BC200" s="1111">
        <f>SUMIFS(NewEmisData!F:F, NewEmisData!$A:$A, $G200, NewEmisData!$B:$B, $A200, NewEmisData!$C:$C, $H200, NewEmisData!$D:$D, BC$6)</f>
        <v>0.24248413763726101</v>
      </c>
      <c r="BD200" s="1111">
        <f>SUMIFS(NewEmisData!G:G, NewEmisData!$A:$A, $G200, NewEmisData!$B:$B, $A200, NewEmisData!$C:$C, $H200, NewEmisData!$D:$D, BD$6)</f>
        <v>0.134184167736455</v>
      </c>
      <c r="BE200" s="1111">
        <f>SUMIFS(NewEmisData!H:H, NewEmisData!$A:$A, $G200, NewEmisData!$B:$B, $A200, NewEmisData!$C:$C, $H200, NewEmisData!$D:$D, BE$6)</f>
        <v>7.2197035661159606E-2</v>
      </c>
      <c r="BF200" s="1111">
        <f>SUMIFS(NewEmisData!I:I, NewEmisData!$A:$A, $G200, NewEmisData!$B:$B, $A200, NewEmisData!$C:$C, $H200, NewEmisData!$D:$D, BF$6)</f>
        <v>5.1049978127363498E-2</v>
      </c>
      <c r="BG200" s="1111">
        <f>SUMIFS(NewEmisData!J:J, NewEmisData!$A:$A, $G200, NewEmisData!$B:$B, $A200, NewEmisData!$C:$C, $H200, NewEmisData!$D:$D, BG$6)</f>
        <v>4.7030670986268203E-2</v>
      </c>
      <c r="BH200" s="1111">
        <f>SUMIFS(NewEmisData!K:K, NewEmisData!$A:$A, $G200, NewEmisData!$B:$B, $A200, NewEmisData!$C:$C, $H200, NewEmisData!$D:$D, BH$6)</f>
        <v>4.5825605278403299E-2</v>
      </c>
      <c r="BI200" s="1111">
        <f>SUMIFS(NewEmisData!L:L, NewEmisData!$A:$A, $G200, NewEmisData!$B:$B, $A200, NewEmisData!$C:$C, $H200, NewEmisData!$D:$D, BI$6)</f>
        <v>4.58177973162801E-2</v>
      </c>
      <c r="BJ200" s="1111">
        <f>SUMIFS(NewEmisData!M:M, NewEmisData!$A:$A, $G200, NewEmisData!$B:$B, $A200, NewEmisData!$C:$C, $H200, NewEmisData!$D:$D, BJ$6)</f>
        <v>4.5816229295905703E-2</v>
      </c>
      <c r="BK200" s="1111">
        <f t="shared" si="246"/>
        <v>4.5816229295905703E-2</v>
      </c>
      <c r="BL200" s="1111">
        <f t="shared" si="247"/>
        <v>3.60214748610194</v>
      </c>
      <c r="BM200" s="1111">
        <f>SUMIFS(NewEmisData!E:E, NewEmisData!$A:$A, $G200, NewEmisData!$B:$B, $A200, NewEmisData!$C:$C, $H200, NewEmisData!$D:$D, BM$6)</f>
        <v>3.60214748610194</v>
      </c>
      <c r="BN200" s="1111">
        <f>SUMIFS(NewEmisData!F:F, NewEmisData!$A:$A, $G200, NewEmisData!$B:$B, $A200, NewEmisData!$C:$C, $H200, NewEmisData!$D:$D, BN$6)</f>
        <v>1.77624524860446</v>
      </c>
      <c r="BO200" s="1111">
        <f>SUMIFS(NewEmisData!G:G, NewEmisData!$A:$A, $G200, NewEmisData!$B:$B, $A200, NewEmisData!$C:$C, $H200, NewEmisData!$D:$D, BO$6)</f>
        <v>1.1776035653010599</v>
      </c>
      <c r="BP200" s="1111">
        <f>SUMIFS(NewEmisData!H:H, NewEmisData!$A:$A, $G200, NewEmisData!$B:$B, $A200, NewEmisData!$C:$C, $H200, NewEmisData!$D:$D, BP$6)</f>
        <v>0.76085446661730005</v>
      </c>
      <c r="BQ200" s="1111">
        <f>SUMIFS(NewEmisData!I:I, NewEmisData!$A:$A, $G200, NewEmisData!$B:$B, $A200, NewEmisData!$C:$C, $H200, NewEmisData!$D:$D, BQ$6)</f>
        <v>0.62715484825252399</v>
      </c>
      <c r="BR200" s="1111">
        <f>SUMIFS(NewEmisData!J:J, NewEmisData!$A:$A, $G200, NewEmisData!$B:$B, $A200, NewEmisData!$C:$C, $H200, NewEmisData!$D:$D, BR$6)</f>
        <v>0.59561161426405995</v>
      </c>
      <c r="BS200" s="1111">
        <f>SUMIFS(NewEmisData!K:K, NewEmisData!$A:$A, $G200, NewEmisData!$B:$B, $A200, NewEmisData!$C:$C, $H200, NewEmisData!$D:$D, BS$6)</f>
        <v>0.586656365437488</v>
      </c>
      <c r="BT200" s="1111">
        <f>SUMIFS(NewEmisData!L:L, NewEmisData!$A:$A, $G200, NewEmisData!$B:$B, $A200, NewEmisData!$C:$C, $H200, NewEmisData!$D:$D, BT$6)</f>
        <v>0.58633071433356998</v>
      </c>
      <c r="BU200" s="1111">
        <f>SUMIFS(NewEmisData!M:M, NewEmisData!$A:$A, $G200, NewEmisData!$B:$B, $A200, NewEmisData!$C:$C, $H200, NewEmisData!$D:$D, BU$6)</f>
        <v>0.58613150489673305</v>
      </c>
      <c r="BV200" s="1111">
        <f t="shared" si="248"/>
        <v>0.58613150489673305</v>
      </c>
      <c r="BW200" s="1111">
        <f t="shared" si="249"/>
        <v>1.4585878276819899</v>
      </c>
      <c r="BX200" s="1111">
        <f>SUMIFS(NewEmisData!E:E, NewEmisData!$A:$A, $G200, NewEmisData!$B:$B, $A200, NewEmisData!$C:$C, $H200, NewEmisData!$D:$D, BX$6)</f>
        <v>1.4585878276819899</v>
      </c>
      <c r="BY200" s="1111">
        <f>SUMIFS(NewEmisData!F:F, NewEmisData!$A:$A, $G200, NewEmisData!$B:$B, $A200, NewEmisData!$C:$C, $H200, NewEmisData!$D:$D, BY$6)</f>
        <v>0.63111024641351499</v>
      </c>
      <c r="BZ200" s="1111">
        <f>SUMIFS(NewEmisData!G:G, NewEmisData!$A:$A, $G200, NewEmisData!$B:$B, $A200, NewEmisData!$C:$C, $H200, NewEmisData!$D:$D, BZ$6)</f>
        <v>0.39101466332213902</v>
      </c>
      <c r="CA200" s="1111">
        <f>SUMIFS(NewEmisData!H:H, NewEmisData!$A:$A, $G200, NewEmisData!$B:$B, $A200, NewEmisData!$C:$C, $H200, NewEmisData!$D:$D, CA$6)</f>
        <v>0.213477846209017</v>
      </c>
      <c r="CB200" s="1111">
        <f>SUMIFS(NewEmisData!I:I, NewEmisData!$A:$A, $G200, NewEmisData!$B:$B, $A200, NewEmisData!$C:$C, $H200, NewEmisData!$D:$D, CB$6)</f>
        <v>0.15780661931724599</v>
      </c>
      <c r="CC200" s="1111">
        <f>SUMIFS(NewEmisData!J:J, NewEmisData!$A:$A, $G200, NewEmisData!$B:$B, $A200, NewEmisData!$C:$C, $H200, NewEmisData!$D:$D, CC$6)</f>
        <v>0.14387801609152001</v>
      </c>
      <c r="CD200" s="1111">
        <f>SUMIFS(NewEmisData!K:K, NewEmisData!$A:$A, $G200, NewEmisData!$B:$B, $A200, NewEmisData!$C:$C, $H200, NewEmisData!$D:$D, CD$6)</f>
        <v>0.13989697938435799</v>
      </c>
      <c r="CE200" s="1111">
        <f>SUMIFS(NewEmisData!L:L, NewEmisData!$A:$A, $G200, NewEmisData!$B:$B, $A200, NewEmisData!$C:$C, $H200, NewEmisData!$D:$D, CE$6)</f>
        <v>0.139762763737699</v>
      </c>
      <c r="CF200" s="1111">
        <f>SUMIFS(NewEmisData!M:M, NewEmisData!$A:$A, $G200, NewEmisData!$B:$B, $A200, NewEmisData!$C:$C, $H200, NewEmisData!$D:$D, CF$6)</f>
        <v>0.139676136968958</v>
      </c>
      <c r="CG200" s="1111">
        <f t="shared" si="250"/>
        <v>0.139676136968958</v>
      </c>
      <c r="CH200" s="1111">
        <f t="shared" si="251"/>
        <v>2.6625022112881199E-2</v>
      </c>
      <c r="CI200" s="1111">
        <f>SUMIFS(NewEmisData!E:E, NewEmisData!$A:$A, $G200, NewEmisData!$B:$B, $A200, NewEmisData!$C:$C, $H200, NewEmisData!$D:$D, CI$6)</f>
        <v>2.6625022112881199E-2</v>
      </c>
      <c r="CJ200" s="1111">
        <f>SUMIFS(NewEmisData!F:F, NewEmisData!$A:$A, $G200, NewEmisData!$B:$B, $A200, NewEmisData!$C:$C, $H200, NewEmisData!$D:$D, CJ$6)</f>
        <v>2.66250927216873E-2</v>
      </c>
      <c r="CK200" s="1111">
        <f>SUMIFS(NewEmisData!G:G, NewEmisData!$A:$A, $G200, NewEmisData!$B:$B, $A200, NewEmisData!$C:$C, $H200, NewEmisData!$D:$D, CK$6)</f>
        <v>3.1310131148303597E-2</v>
      </c>
      <c r="CL200" s="1111">
        <f>SUMIFS(NewEmisData!H:H, NewEmisData!$A:$A, $G200, NewEmisData!$B:$B, $A200, NewEmisData!$C:$C, $H200, NewEmisData!$D:$D, CL$6)</f>
        <v>3.13110567850386E-2</v>
      </c>
      <c r="CM200" s="1111">
        <f>SUMIFS(NewEmisData!I:I, NewEmisData!$A:$A, $G200, NewEmisData!$B:$B, $A200, NewEmisData!$C:$C, $H200, NewEmisData!$D:$D, CM$6)</f>
        <v>3.1311503593969003E-2</v>
      </c>
      <c r="CN200" s="1111">
        <f>SUMIFS(NewEmisData!J:J, NewEmisData!$A:$A, $G200, NewEmisData!$B:$B, $A200, NewEmisData!$C:$C, $H200, NewEmisData!$D:$D, CN$6)</f>
        <v>3.1311654335670597E-2</v>
      </c>
      <c r="CO200" s="1111">
        <f>SUMIFS(NewEmisData!K:K, NewEmisData!$A:$A, $G200, NewEmisData!$B:$B, $A200, NewEmisData!$C:$C, $H200, NewEmisData!$D:$D, CO$6)</f>
        <v>3.1311703141941503E-2</v>
      </c>
      <c r="CP200" s="1111">
        <f>SUMIFS(NewEmisData!L:L, NewEmisData!$A:$A, $G200, NewEmisData!$B:$B, $A200, NewEmisData!$C:$C, $H200, NewEmisData!$D:$D, CP$6)</f>
        <v>3.1311701226839898E-2</v>
      </c>
      <c r="CQ200" s="1111">
        <f>SUMIFS(NewEmisData!M:M, NewEmisData!$A:$A, $G200, NewEmisData!$B:$B, $A200, NewEmisData!$C:$C, $H200, NewEmisData!$D:$D, CQ$6)</f>
        <v>3.1311724606097602E-2</v>
      </c>
      <c r="CR200" s="1111">
        <f t="shared" si="252"/>
        <v>3.1311724606097602E-2</v>
      </c>
      <c r="CS200" s="1111">
        <f t="shared" si="253"/>
        <v>4.2942881221194997E-3</v>
      </c>
      <c r="CT200" s="1111">
        <f>SUMIFS(NewEmisData!E:E, NewEmisData!$A:$A, $G200, NewEmisData!$B:$B, $A200, NewEmisData!$C:$C, $H200, NewEmisData!$D:$D, CT$6)</f>
        <v>4.2942881221194997E-3</v>
      </c>
      <c r="CU200" s="1111">
        <f>SUMIFS(NewEmisData!F:F, NewEmisData!$A:$A, $G200, NewEmisData!$B:$B, $A200, NewEmisData!$C:$C, $H200, NewEmisData!$D:$D, CU$6)</f>
        <v>4.52609306007902E-3</v>
      </c>
      <c r="CV200" s="1111">
        <f>SUMIFS(NewEmisData!G:G, NewEmisData!$A:$A, $G200, NewEmisData!$B:$B, $A200, NewEmisData!$C:$C, $H200, NewEmisData!$D:$D, CV$6)</f>
        <v>5.7549154829870204E-3</v>
      </c>
      <c r="CW200" s="1111">
        <f>SUMIFS(NewEmisData!H:H, NewEmisData!$A:$A, $G200, NewEmisData!$B:$B, $A200, NewEmisData!$C:$C, $H200, NewEmisData!$D:$D, CW$6)</f>
        <v>5.7792428030713902E-3</v>
      </c>
      <c r="CX200" s="1111">
        <f>SUMIFS(NewEmisData!I:I, NewEmisData!$A:$A, $G200, NewEmisData!$B:$B, $A200, NewEmisData!$C:$C, $H200, NewEmisData!$D:$D, CX$6)</f>
        <v>5.7801666189186297E-3</v>
      </c>
      <c r="CY200" s="1111">
        <f>SUMIFS(NewEmisData!J:J, NewEmisData!$A:$A, $G200, NewEmisData!$B:$B, $A200, NewEmisData!$C:$C, $H200, NewEmisData!$D:$D, CY$6)</f>
        <v>5.7687673444275804E-3</v>
      </c>
      <c r="CZ200" s="1111">
        <f>SUMIFS(NewEmisData!K:K, NewEmisData!$A:$A, $G200, NewEmisData!$B:$B, $A200, NewEmisData!$C:$C, $H200, NewEmisData!$D:$D, CZ$6)</f>
        <v>5.7598889247671798E-3</v>
      </c>
      <c r="DA200" s="1111">
        <f>SUMIFS(NewEmisData!L:L, NewEmisData!$A:$A, $G200, NewEmisData!$B:$B, $A200, NewEmisData!$C:$C, $H200, NewEmisData!$D:$D, DA$6)</f>
        <v>5.7567706696684201E-3</v>
      </c>
      <c r="DB200" s="1111">
        <f>SUMIFS(NewEmisData!M:M, NewEmisData!$A:$A, $G200, NewEmisData!$B:$B, $A200, NewEmisData!$C:$C, $H200, NewEmisData!$D:$D, DB$6)</f>
        <v>5.7544893575928197E-3</v>
      </c>
      <c r="DC200" s="1111">
        <f t="shared" si="254"/>
        <v>5.7544893575928197E-3</v>
      </c>
      <c r="DD200" s="1111"/>
      <c r="DE200" s="1111"/>
      <c r="DF200" s="1111"/>
      <c r="DG200" s="1111"/>
      <c r="DH200" s="1111"/>
      <c r="DI200" s="1111"/>
      <c r="DJ200" s="1111"/>
      <c r="DK200" s="1111"/>
      <c r="DL200" s="1111"/>
      <c r="DM200" s="1111"/>
      <c r="DN200" s="1111"/>
      <c r="DO200" s="1111"/>
      <c r="DP200" s="1111"/>
      <c r="DQ200" s="1111"/>
      <c r="DR200" s="1111"/>
      <c r="DS200" s="1111"/>
      <c r="DT200" s="1111"/>
      <c r="DU200" s="1111"/>
      <c r="DV200" s="1111"/>
      <c r="DW200" s="1111"/>
      <c r="DX200" s="1111"/>
      <c r="DY200" s="1111"/>
      <c r="DZ200" s="1111">
        <f t="shared" si="255"/>
        <v>3.1443183076475298E-2</v>
      </c>
      <c r="EA200" s="1111">
        <f>SUMIFS(NewEmisData!E:E, NewEmisData!$A:$A, $G200, NewEmisData!$B:$B, $A200, NewEmisData!$C:$C, $H200, NewEmisData!$D:$D, EA$6)</f>
        <v>3.1443183076475298E-2</v>
      </c>
      <c r="EB200" s="1111">
        <f>SUMIFS(NewEmisData!F:F, NewEmisData!$A:$A, $G200, NewEmisData!$B:$B, $A200, NewEmisData!$C:$C, $H200, NewEmisData!$D:$D, EB$6)</f>
        <v>9.3142408370314803E-2</v>
      </c>
      <c r="EC200" s="1111">
        <f>SUMIFS(NewEmisData!G:G, NewEmisData!$A:$A, $G200, NewEmisData!$B:$B, $A200, NewEmisData!$C:$C, $H200, NewEmisData!$D:$D, EC$6)</f>
        <v>0.12640906725248399</v>
      </c>
      <c r="ED200" s="1111">
        <f>SUMIFS(NewEmisData!H:H, NewEmisData!$A:$A, $G200, NewEmisData!$B:$B, $A200, NewEmisData!$C:$C, $H200, NewEmisData!$D:$D, ED$6)</f>
        <v>0.13167273257883699</v>
      </c>
      <c r="EE200" s="1111">
        <f>SUMIFS(NewEmisData!I:I, NewEmisData!$A:$A, $G200, NewEmisData!$B:$B, $A200, NewEmisData!$C:$C, $H200, NewEmisData!$D:$D, EE$6)</f>
        <v>0.133754957639485</v>
      </c>
      <c r="EF200" s="1111">
        <f>SUMIFS(NewEmisData!J:J, NewEmisData!$A:$A, $G200, NewEmisData!$B:$B, $A200, NewEmisData!$C:$C, $H200, NewEmisData!$D:$D, EF$6)</f>
        <v>0.13397825833520099</v>
      </c>
      <c r="EG200" s="1111">
        <f>SUMIFS(NewEmisData!K:K, NewEmisData!$A:$A, $G200, NewEmisData!$B:$B, $A200, NewEmisData!$C:$C, $H200, NewEmisData!$D:$D, EG$6)</f>
        <v>0.13422755831628899</v>
      </c>
      <c r="EH200" s="1111">
        <f>SUMIFS(NewEmisData!L:L, NewEmisData!$A:$A, $G200, NewEmisData!$B:$B, $A200, NewEmisData!$C:$C, $H200, NewEmisData!$D:$D, EH$6)</f>
        <v>0.134094847635195</v>
      </c>
      <c r="EI200" s="1111">
        <f>SUMIFS(NewEmisData!M:M, NewEmisData!$A:$A, $G200, NewEmisData!$B:$B, $A200, NewEmisData!$C:$C, $H200, NewEmisData!$D:$D, EI$6)</f>
        <v>0.13400465943828599</v>
      </c>
      <c r="EJ200" s="1111">
        <f t="shared" si="256"/>
        <v>0.13400465943828599</v>
      </c>
      <c r="EK200" s="1111">
        <f t="shared" si="257"/>
        <v>1336.71780257008</v>
      </c>
      <c r="EL200" s="1111">
        <f t="shared" si="269"/>
        <v>1336.71780257008</v>
      </c>
      <c r="EM200" s="1111">
        <f t="shared" si="270"/>
        <v>1334.1180611544301</v>
      </c>
      <c r="EN200" s="1111">
        <f t="shared" si="271"/>
        <v>1445.04089230315</v>
      </c>
      <c r="EO200" s="1111">
        <f t="shared" si="272"/>
        <v>1394.56782788027</v>
      </c>
      <c r="EP200" s="1111">
        <f t="shared" si="273"/>
        <v>1352.2640605745901</v>
      </c>
      <c r="EQ200" s="1111">
        <f t="shared" si="274"/>
        <v>1337.95858730856</v>
      </c>
      <c r="ER200" s="1111">
        <f t="shared" si="275"/>
        <v>1333.6808792868501</v>
      </c>
      <c r="ES200" s="1111">
        <f t="shared" si="276"/>
        <v>1332.71889531121</v>
      </c>
      <c r="ET200" s="1111">
        <f t="shared" si="277"/>
        <v>1332.4669517233399</v>
      </c>
      <c r="EU200" s="1111">
        <f t="shared" si="278"/>
        <v>1332.4669517233399</v>
      </c>
      <c r="EV200" s="1111">
        <f t="shared" si="258"/>
        <v>8.1159705197746597</v>
      </c>
      <c r="EW200" s="1111">
        <f t="shared" si="259"/>
        <v>8.1159705197746597</v>
      </c>
      <c r="EX200" s="1111">
        <f t="shared" si="260"/>
        <v>4.1902678747381499</v>
      </c>
      <c r="EY200" s="1111">
        <f t="shared" si="261"/>
        <v>2.9831671777909299</v>
      </c>
      <c r="EZ200" s="1111">
        <f t="shared" si="262"/>
        <v>1.79071707308598</v>
      </c>
      <c r="FA200" s="1111">
        <f t="shared" si="263"/>
        <v>1.29214834991715</v>
      </c>
      <c r="FB200" s="1111">
        <f t="shared" si="264"/>
        <v>1.1297597092685201</v>
      </c>
      <c r="FC200" s="1111">
        <f t="shared" si="265"/>
        <v>1.07869334628427</v>
      </c>
      <c r="FD200" s="1111">
        <f t="shared" si="266"/>
        <v>1.0710961293157399</v>
      </c>
      <c r="FE200" s="1111">
        <f t="shared" si="267"/>
        <v>1.06853485047457</v>
      </c>
      <c r="FF200" s="1111">
        <f t="shared" si="268"/>
        <v>1.06853485047457</v>
      </c>
      <c r="FG200" s="1111">
        <f t="shared" si="291"/>
        <v>3.2903787292919401E-2</v>
      </c>
      <c r="FH200" s="1111">
        <f t="shared" si="292"/>
        <v>3.2903787292919401E-2</v>
      </c>
      <c r="FI200" s="1111">
        <f t="shared" si="293"/>
        <v>3.1887226466035201E-2</v>
      </c>
      <c r="FJ200" s="1111">
        <f t="shared" si="294"/>
        <v>1.2151036280147199E-2</v>
      </c>
      <c r="FK200" s="1111">
        <f t="shared" si="295"/>
        <v>1.16575948327503E-2</v>
      </c>
      <c r="FL200" s="1111">
        <f t="shared" si="296"/>
        <v>1.12807608208042E-2</v>
      </c>
      <c r="FM200" s="1111">
        <f t="shared" si="297"/>
        <v>1.11563832836782E-2</v>
      </c>
      <c r="FN200" s="1111">
        <f t="shared" si="298"/>
        <v>1.11190596779358E-2</v>
      </c>
      <c r="FO200" s="1111">
        <f t="shared" si="299"/>
        <v>1.1111041090770501E-2</v>
      </c>
      <c r="FP200" s="1111">
        <f t="shared" si="300"/>
        <v>1.11089391742305E-2</v>
      </c>
      <c r="FQ200" s="1111">
        <f t="shared" si="301"/>
        <v>1.11089391742305E-2</v>
      </c>
      <c r="FR200" s="1111">
        <f t="shared" si="230"/>
        <v>0.75470063690720102</v>
      </c>
      <c r="FS200" s="1111">
        <f t="shared" si="231"/>
        <v>0.75470063690720102</v>
      </c>
      <c r="FT200" s="1111">
        <f t="shared" si="232"/>
        <v>0.41452815930639098</v>
      </c>
      <c r="FU200" s="1111">
        <f t="shared" si="233"/>
        <v>0.32175493237955199</v>
      </c>
      <c r="FV200" s="1111">
        <f t="shared" si="234"/>
        <v>0.25352921702854198</v>
      </c>
      <c r="FW200" s="1111">
        <f t="shared" si="235"/>
        <v>0.23028919647026699</v>
      </c>
      <c r="FX200" s="1111">
        <f t="shared" si="236"/>
        <v>0.22584791810744101</v>
      </c>
      <c r="FY200" s="1111">
        <f t="shared" si="237"/>
        <v>0.22452045938839199</v>
      </c>
      <c r="FZ200" s="1111">
        <f t="shared" si="238"/>
        <v>0.22450852256822901</v>
      </c>
      <c r="GA200" s="1111">
        <f t="shared" si="239"/>
        <v>0.22450708090135699</v>
      </c>
      <c r="GB200" s="1111">
        <f t="shared" si="240"/>
        <v>0.22450708090135699</v>
      </c>
      <c r="GC200" s="1111">
        <f t="shared" si="279"/>
        <v>0.55462986472983</v>
      </c>
      <c r="GD200" s="1111">
        <f t="shared" si="280"/>
        <v>0.55462986472983</v>
      </c>
      <c r="GE200" s="1111">
        <f t="shared" si="281"/>
        <v>0.24248413763726101</v>
      </c>
      <c r="GF200" s="1111">
        <f t="shared" si="282"/>
        <v>0.134184167736455</v>
      </c>
      <c r="GG200" s="1111">
        <f t="shared" si="283"/>
        <v>7.2197035661159606E-2</v>
      </c>
      <c r="GH200" s="1111">
        <f t="shared" si="284"/>
        <v>5.1049978127363498E-2</v>
      </c>
      <c r="GI200" s="1111">
        <f t="shared" si="285"/>
        <v>4.7030670986268203E-2</v>
      </c>
      <c r="GJ200" s="1111">
        <f t="shared" si="286"/>
        <v>4.5825605278403299E-2</v>
      </c>
      <c r="GK200" s="1111">
        <f t="shared" si="287"/>
        <v>4.58177973162801E-2</v>
      </c>
      <c r="GL200" s="1111">
        <f t="shared" si="288"/>
        <v>4.5816229295905703E-2</v>
      </c>
      <c r="GM200" s="1111">
        <f t="shared" si="289"/>
        <v>4.5816229295905703E-2</v>
      </c>
    </row>
    <row r="201" spans="1:195" x14ac:dyDescent="0.2">
      <c r="A201" s="1071" t="str">
        <f>Technologies!B123</f>
        <v>*R2,R3,R4,R5,R6</v>
      </c>
      <c r="B201" s="1071" t="str">
        <f>Technologies!C123</f>
        <v>TMB20C10</v>
      </c>
      <c r="C201" s="1071" t="str">
        <f>Technologies!D123</f>
        <v>Medium Duty Truck, B20, 2010</v>
      </c>
      <c r="D201" s="1071" t="str">
        <f>NewTech!D75</f>
        <v>bn-vmt, bn-vmt/a</v>
      </c>
      <c r="E201" s="1071" t="str">
        <f>NewTech!E76</f>
        <v>TMB20X</v>
      </c>
      <c r="F201" s="1071" t="str">
        <f>NewTech!F76</f>
        <v>TM</v>
      </c>
      <c r="G201" s="1110" t="s">
        <v>503</v>
      </c>
      <c r="H201" s="1110" t="s">
        <v>507</v>
      </c>
      <c r="I201" s="1112">
        <v>1</v>
      </c>
      <c r="J201" s="1111" t="str">
        <f t="shared" si="37"/>
        <v>Medium duty-B20</v>
      </c>
      <c r="K201" s="1111">
        <v>1201.6641609914475</v>
      </c>
      <c r="L201" s="1111">
        <v>1178.5267384250094</v>
      </c>
      <c r="M201" s="1111">
        <v>1136.3397930534129</v>
      </c>
      <c r="N201" s="1111">
        <v>1092.4684722039599</v>
      </c>
      <c r="O201" s="1111">
        <v>1073.9962973087709</v>
      </c>
      <c r="P201" s="1111">
        <v>1074.2036876096599</v>
      </c>
      <c r="Q201" s="1111">
        <v>1076.974864163655</v>
      </c>
      <c r="R201" s="1111">
        <v>1079.9303703243977</v>
      </c>
      <c r="S201" s="1111">
        <v>1082.501804013054</v>
      </c>
      <c r="T201" s="1111">
        <f t="shared" si="290"/>
        <v>1082.501804013054</v>
      </c>
      <c r="U201" s="1111">
        <v>7.1214244308312216</v>
      </c>
      <c r="V201" s="1111">
        <v>3.6128304341725479</v>
      </c>
      <c r="W201" s="1111">
        <v>1.7519974122964965</v>
      </c>
      <c r="X201" s="1111">
        <v>0.96065871987325979</v>
      </c>
      <c r="Y201" s="1111">
        <v>0.90757576073163748</v>
      </c>
      <c r="Z201" s="1111">
        <v>0.89042989524581051</v>
      </c>
      <c r="AA201" s="1111">
        <v>0.89461734984703412</v>
      </c>
      <c r="AB201" s="1111">
        <v>0.8987440724994965</v>
      </c>
      <c r="AC201" s="1111">
        <v>0.90209548320060939</v>
      </c>
      <c r="AD201" s="1111">
        <f t="shared" si="229"/>
        <v>0.90209548320060939</v>
      </c>
      <c r="AE201" s="1111">
        <v>9.7353034029240712E-2</v>
      </c>
      <c r="AF201" s="1111">
        <v>1.0897625633490129E-2</v>
      </c>
      <c r="AG201" s="1111">
        <v>1.0406741541167761E-2</v>
      </c>
      <c r="AH201" s="1111">
        <v>9.8224380046414948E-3</v>
      </c>
      <c r="AI201" s="1111">
        <v>9.3970788747780587E-3</v>
      </c>
      <c r="AJ201" s="1111">
        <v>9.238212392650845E-3</v>
      </c>
      <c r="AK201" s="1111">
        <v>9.2400129222668364E-3</v>
      </c>
      <c r="AL201" s="1111">
        <v>9.2638591318171173E-3</v>
      </c>
      <c r="AM201" s="1111">
        <v>9.2892864315139538E-3</v>
      </c>
      <c r="AN201" s="1111">
        <v>9.3114094329473044E-3</v>
      </c>
      <c r="AO201" s="1111">
        <v>9.3114094329473044E-3</v>
      </c>
      <c r="AP201" s="1111">
        <v>0.65855177399983167</v>
      </c>
      <c r="AQ201" s="1111">
        <v>0.43488186657747041</v>
      </c>
      <c r="AR201" s="1111">
        <v>0.23241050768026172</v>
      </c>
      <c r="AS201" s="1111">
        <v>0.11172185093330923</v>
      </c>
      <c r="AT201" s="1111">
        <v>8.5614885834893656E-2</v>
      </c>
      <c r="AU201" s="1111">
        <v>8.5639503819240612E-2</v>
      </c>
      <c r="AV201" s="1111">
        <v>8.5739927930046075E-2</v>
      </c>
      <c r="AW201" s="1111">
        <v>8.582650518532732E-2</v>
      </c>
      <c r="AX201" s="1111">
        <v>8.589429395785958E-2</v>
      </c>
      <c r="AY201" s="1111">
        <v>8.595032324811018E-2</v>
      </c>
      <c r="AZ201" s="1111">
        <v>8.595032324811018E-2</v>
      </c>
      <c r="BA201" s="1111">
        <v>0.5483609437258653</v>
      </c>
      <c r="BB201" s="1111">
        <v>0.34312695014898731</v>
      </c>
      <c r="BC201" s="1111">
        <v>0.15737563741998156</v>
      </c>
      <c r="BD201" s="1111">
        <v>4.6795265517911272E-2</v>
      </c>
      <c r="BE201" s="1111">
        <v>2.3123095883741999E-2</v>
      </c>
      <c r="BF201" s="1111">
        <v>2.3078168681861914E-2</v>
      </c>
      <c r="BG201" s="1111">
        <v>2.312640405146895E-2</v>
      </c>
      <c r="BH201" s="1111">
        <v>2.3161206796405157E-2</v>
      </c>
      <c r="BI201" s="1111">
        <v>2.319152249437487E-2</v>
      </c>
      <c r="BJ201" s="1111">
        <v>2.321537510976893E-2</v>
      </c>
      <c r="BK201" s="1111">
        <v>2.321537510976893E-2</v>
      </c>
      <c r="BL201" s="1111">
        <v>2.9199210661235719</v>
      </c>
      <c r="BM201" s="1111">
        <v>2.5248777593037612</v>
      </c>
      <c r="BN201" s="1111">
        <v>1.4951158410843537</v>
      </c>
      <c r="BO201" s="1111">
        <v>0.77103076254423286</v>
      </c>
      <c r="BP201" s="1111">
        <v>0.57675034198196928</v>
      </c>
      <c r="BQ201" s="1111">
        <v>0.58746771251282492</v>
      </c>
      <c r="BR201" s="1111">
        <v>0.59381427386146002</v>
      </c>
      <c r="BS201" s="1111">
        <v>0.59837836436766689</v>
      </c>
      <c r="BT201" s="1111">
        <v>0.59979237815975206</v>
      </c>
      <c r="BU201" s="1111">
        <v>0.60105539514278639</v>
      </c>
      <c r="BV201" s="1111">
        <v>0.60105539514278639</v>
      </c>
      <c r="BW201" s="1111">
        <v>1.168734766137961</v>
      </c>
      <c r="BX201" s="1111">
        <v>0.89557319182284578</v>
      </c>
      <c r="BY201" s="1111">
        <v>0.43008581683391661</v>
      </c>
      <c r="BZ201" s="1111">
        <v>0.16166370522314064</v>
      </c>
      <c r="CA201" s="1111">
        <v>0.10525921994648967</v>
      </c>
      <c r="CB201" s="1111">
        <v>0.1061268353407815</v>
      </c>
      <c r="CC201" s="1111">
        <v>0.10697205447121942</v>
      </c>
      <c r="CD201" s="1111">
        <v>0.10757700742516499</v>
      </c>
      <c r="CE201" s="1111">
        <v>0.10782654440702798</v>
      </c>
      <c r="CF201" s="1111">
        <v>0.10804592527626616</v>
      </c>
      <c r="CG201" s="1111">
        <v>0.10804592527626616</v>
      </c>
      <c r="CH201" s="1111">
        <v>2.3981056492211831E-2</v>
      </c>
      <c r="CI201" s="1111">
        <v>2.4060794425726954E-2</v>
      </c>
      <c r="CJ201" s="1111">
        <v>2.3900575080190969E-2</v>
      </c>
      <c r="CK201" s="1111">
        <v>2.376720009229831E-2</v>
      </c>
      <c r="CL201" s="1111">
        <v>2.3641407134118744E-2</v>
      </c>
      <c r="CM201" s="1111">
        <v>2.3650585559346338E-2</v>
      </c>
      <c r="CN201" s="1111">
        <v>2.3663829169428344E-2</v>
      </c>
      <c r="CO201" s="1111">
        <v>2.3674350554323837E-2</v>
      </c>
      <c r="CP201" s="1111">
        <v>2.3684378528602522E-2</v>
      </c>
      <c r="CQ201" s="1111">
        <v>2.3693426288723347E-2</v>
      </c>
      <c r="CR201" s="1111">
        <v>2.3693426288723347E-2</v>
      </c>
      <c r="CS201" s="1111">
        <v>11.39240838652931</v>
      </c>
      <c r="CT201" s="1111">
        <v>7.1214244308312216</v>
      </c>
      <c r="CU201" s="1111">
        <v>3.6128304341725479</v>
      </c>
      <c r="CV201" s="1111">
        <v>1.7519974122964965</v>
      </c>
      <c r="CW201" s="1111">
        <v>0.96065871987325979</v>
      </c>
      <c r="CX201" s="1111">
        <v>0.90757576073163748</v>
      </c>
      <c r="CY201" s="1111">
        <v>0.89042989524581051</v>
      </c>
      <c r="CZ201" s="1111">
        <v>0.89461734984703412</v>
      </c>
      <c r="DA201" s="1111">
        <v>0.8987440724994965</v>
      </c>
      <c r="DB201" s="1111">
        <v>0.90209548320060939</v>
      </c>
      <c r="DC201" s="1111">
        <v>0.90209548320060939</v>
      </c>
      <c r="DD201" s="1111">
        <v>0.23286264726410541</v>
      </c>
      <c r="DE201" s="1111">
        <v>0.14059521062228808</v>
      </c>
      <c r="DF201" s="1111">
        <v>5.973956390045012E-2</v>
      </c>
      <c r="DG201" s="1111">
        <v>1.1550767547596517E-2</v>
      </c>
      <c r="DH201" s="1111">
        <v>1.3158430338576447E-3</v>
      </c>
      <c r="DI201" s="1111">
        <v>1.314537595275584E-3</v>
      </c>
      <c r="DJ201" s="1111">
        <v>1.3214481328788638E-3</v>
      </c>
      <c r="DK201" s="1111">
        <v>1.325870964446599E-3</v>
      </c>
      <c r="DL201" s="1111">
        <v>1.3291736201754948E-3</v>
      </c>
      <c r="DM201" s="1111">
        <v>1.3318673633578031E-3</v>
      </c>
      <c r="DN201" s="1111">
        <v>1.3318673633578031E-3</v>
      </c>
      <c r="DO201" s="1111">
        <v>0.21113278470635008</v>
      </c>
      <c r="DP201" s="1111">
        <v>0.13588253766987507</v>
      </c>
      <c r="DQ201" s="1111">
        <v>5.8410877304658673E-2</v>
      </c>
      <c r="DR201" s="1111">
        <v>1.1959643964556073E-2</v>
      </c>
      <c r="DS201" s="1111">
        <v>2.3071562662737286E-3</v>
      </c>
      <c r="DT201" s="1111">
        <v>2.306021194268214E-3</v>
      </c>
      <c r="DU201" s="1111">
        <v>2.3190297798020183E-3</v>
      </c>
      <c r="DV201" s="1111">
        <v>2.3273230582693503E-3</v>
      </c>
      <c r="DW201" s="1111">
        <v>2.3333919905544282E-3</v>
      </c>
      <c r="DX201" s="1111">
        <v>2.338372920798026E-3</v>
      </c>
      <c r="DY201" s="1111">
        <v>2.338372920798026E-3</v>
      </c>
      <c r="DZ201" s="1111">
        <v>2.79272942199774E-3</v>
      </c>
      <c r="EA201" s="1111">
        <v>2.3973751462862233E-2</v>
      </c>
      <c r="EB201" s="1111">
        <v>6.079212849905441E-2</v>
      </c>
      <c r="EC201" s="1111">
        <v>8.3498526152271491E-2</v>
      </c>
      <c r="ED201" s="1111">
        <v>8.0941552068006586E-2</v>
      </c>
      <c r="EE201" s="1111">
        <v>8.2195409272928482E-2</v>
      </c>
      <c r="EF201" s="1111">
        <v>8.2935005179094787E-2</v>
      </c>
      <c r="EG201" s="1111">
        <v>8.3375228951166155E-2</v>
      </c>
      <c r="EH201" s="1111">
        <v>8.3465588028604418E-2</v>
      </c>
      <c r="EI201" s="1111">
        <v>8.3545381825033446E-2</v>
      </c>
      <c r="EJ201" s="1111">
        <v>8.3545381825033446E-2</v>
      </c>
      <c r="EK201" s="1111">
        <v>1213.4690028275372</v>
      </c>
      <c r="EL201" s="1111">
        <f t="shared" si="269"/>
        <v>1201.6641609914475</v>
      </c>
      <c r="EM201" s="1111">
        <f t="shared" si="270"/>
        <v>1178.5267384250094</v>
      </c>
      <c r="EN201" s="1111">
        <f t="shared" si="271"/>
        <v>1136.3397930534129</v>
      </c>
      <c r="EO201" s="1111">
        <f t="shared" si="272"/>
        <v>1092.4684722039599</v>
      </c>
      <c r="EP201" s="1111">
        <f t="shared" si="273"/>
        <v>1073.9962973087709</v>
      </c>
      <c r="EQ201" s="1111">
        <f t="shared" si="274"/>
        <v>1074.2036876096599</v>
      </c>
      <c r="ER201" s="1111">
        <f t="shared" si="275"/>
        <v>1076.974864163655</v>
      </c>
      <c r="ES201" s="1111">
        <f t="shared" si="276"/>
        <v>1079.9303703243977</v>
      </c>
      <c r="ET201" s="1111">
        <f t="shared" si="277"/>
        <v>1082.501804013054</v>
      </c>
      <c r="EU201" s="1111">
        <f t="shared" si="278"/>
        <v>1082.501804013054</v>
      </c>
      <c r="EV201" s="1111">
        <v>11.39240838652931</v>
      </c>
      <c r="EW201" s="1111">
        <f t="shared" si="259"/>
        <v>7.1214244308312216</v>
      </c>
      <c r="EX201" s="1111">
        <f t="shared" si="260"/>
        <v>3.6128304341725479</v>
      </c>
      <c r="EY201" s="1111">
        <f t="shared" si="261"/>
        <v>1.7519974122964965</v>
      </c>
      <c r="EZ201" s="1111">
        <f t="shared" si="262"/>
        <v>0.96065871987325979</v>
      </c>
      <c r="FA201" s="1111">
        <f t="shared" si="263"/>
        <v>0.90757576073163748</v>
      </c>
      <c r="FB201" s="1111">
        <f t="shared" si="264"/>
        <v>0.89042989524581051</v>
      </c>
      <c r="FC201" s="1111">
        <f t="shared" si="265"/>
        <v>0.89461734984703412</v>
      </c>
      <c r="FD201" s="1111">
        <f t="shared" si="266"/>
        <v>0.8987440724994965</v>
      </c>
      <c r="FE201" s="1111">
        <f t="shared" si="267"/>
        <v>0.90209548320060939</v>
      </c>
      <c r="FF201" s="1111">
        <f t="shared" si="268"/>
        <v>0.90209548320060939</v>
      </c>
      <c r="FG201" s="1111">
        <f t="shared" si="291"/>
        <v>9.7353034029240712E-2</v>
      </c>
      <c r="FH201" s="1111">
        <f t="shared" si="292"/>
        <v>1.0897625633490129E-2</v>
      </c>
      <c r="FI201" s="1111">
        <f t="shared" si="293"/>
        <v>1.0406741541167761E-2</v>
      </c>
      <c r="FJ201" s="1111">
        <f t="shared" si="294"/>
        <v>9.8224380046414948E-3</v>
      </c>
      <c r="FK201" s="1111">
        <f t="shared" si="295"/>
        <v>9.3970788747780587E-3</v>
      </c>
      <c r="FL201" s="1111">
        <f t="shared" si="296"/>
        <v>9.238212392650845E-3</v>
      </c>
      <c r="FM201" s="1111">
        <f t="shared" si="297"/>
        <v>9.2400129222668364E-3</v>
      </c>
      <c r="FN201" s="1111">
        <f t="shared" si="298"/>
        <v>9.2638591318171173E-3</v>
      </c>
      <c r="FO201" s="1111">
        <f t="shared" si="299"/>
        <v>9.2892864315139538E-3</v>
      </c>
      <c r="FP201" s="1111">
        <f t="shared" si="300"/>
        <v>9.3114094329473044E-3</v>
      </c>
      <c r="FQ201" s="1111">
        <f t="shared" si="301"/>
        <v>9.3114094329473044E-3</v>
      </c>
      <c r="FR201" s="1111">
        <f t="shared" si="230"/>
        <v>0.65855177399983167</v>
      </c>
      <c r="FS201" s="1111">
        <f t="shared" si="231"/>
        <v>0.43488186657747041</v>
      </c>
      <c r="FT201" s="1111">
        <f t="shared" si="232"/>
        <v>0.23241050768026172</v>
      </c>
      <c r="FU201" s="1111">
        <f t="shared" si="233"/>
        <v>0.11172185093330923</v>
      </c>
      <c r="FV201" s="1111">
        <f t="shared" si="234"/>
        <v>8.5614885834893656E-2</v>
      </c>
      <c r="FW201" s="1111">
        <f t="shared" si="235"/>
        <v>8.5639503819240612E-2</v>
      </c>
      <c r="FX201" s="1111">
        <f t="shared" si="236"/>
        <v>8.5739927930046075E-2</v>
      </c>
      <c r="FY201" s="1111">
        <f t="shared" si="237"/>
        <v>8.582650518532732E-2</v>
      </c>
      <c r="FZ201" s="1111">
        <f t="shared" si="238"/>
        <v>8.589429395785958E-2</v>
      </c>
      <c r="GA201" s="1111">
        <f t="shared" si="239"/>
        <v>8.595032324811018E-2</v>
      </c>
      <c r="GB201" s="1111">
        <f t="shared" si="240"/>
        <v>8.595032324811018E-2</v>
      </c>
      <c r="GC201" s="1111">
        <f t="shared" si="279"/>
        <v>0.5483609437258653</v>
      </c>
      <c r="GD201" s="1111">
        <f t="shared" si="280"/>
        <v>0.34312695014898731</v>
      </c>
      <c r="GE201" s="1111">
        <f t="shared" si="281"/>
        <v>0.15737563741998156</v>
      </c>
      <c r="GF201" s="1111">
        <f t="shared" si="282"/>
        <v>4.6795265517911272E-2</v>
      </c>
      <c r="GG201" s="1111">
        <f t="shared" si="283"/>
        <v>2.3123095883741999E-2</v>
      </c>
      <c r="GH201" s="1111">
        <f t="shared" si="284"/>
        <v>2.3078168681861914E-2</v>
      </c>
      <c r="GI201" s="1111">
        <f t="shared" si="285"/>
        <v>2.312640405146895E-2</v>
      </c>
      <c r="GJ201" s="1111">
        <f t="shared" si="286"/>
        <v>2.3161206796405157E-2</v>
      </c>
      <c r="GK201" s="1111">
        <f t="shared" si="287"/>
        <v>2.319152249437487E-2</v>
      </c>
      <c r="GL201" s="1111">
        <f t="shared" si="288"/>
        <v>2.321537510976893E-2</v>
      </c>
      <c r="GM201" s="1111">
        <f t="shared" si="289"/>
        <v>2.321537510976893E-2</v>
      </c>
    </row>
    <row r="202" spans="1:195" x14ac:dyDescent="0.2">
      <c r="A202" s="1071" t="str">
        <f>Technologies!B124</f>
        <v>*R2,R3,R4,R5,R7</v>
      </c>
      <c r="B202" s="1071" t="str">
        <f>Technologies!C124</f>
        <v>TMB20C</v>
      </c>
      <c r="C202" s="1071" t="str">
        <f>Technologies!D124</f>
        <v>Medium Duty Truck, Conventional B20</v>
      </c>
      <c r="D202" s="1071" t="str">
        <f>NewTech!D76</f>
        <v>bn-vmt, bn-vmt/a</v>
      </c>
      <c r="E202" s="1071" t="str">
        <f>NewTech!E77</f>
        <v>TMB20X</v>
      </c>
      <c r="F202" s="1071" t="str">
        <f>NewTech!F77</f>
        <v>TM</v>
      </c>
      <c r="G202" s="1110" t="s">
        <v>503</v>
      </c>
      <c r="H202" s="1110" t="s">
        <v>507</v>
      </c>
      <c r="I202" s="1112">
        <v>1</v>
      </c>
      <c r="J202" s="1111" t="str">
        <f t="shared" si="37"/>
        <v>Medium duty-B20</v>
      </c>
      <c r="K202" s="1111">
        <v>1201.6641609914475</v>
      </c>
      <c r="L202" s="1111">
        <v>1178.5267384250094</v>
      </c>
      <c r="M202" s="1111">
        <v>1136.3397930534129</v>
      </c>
      <c r="N202" s="1111">
        <v>1092.4684722039599</v>
      </c>
      <c r="O202" s="1111">
        <v>1073.9962973087709</v>
      </c>
      <c r="P202" s="1111">
        <v>1074.2036876096599</v>
      </c>
      <c r="Q202" s="1111">
        <v>1076.974864163655</v>
      </c>
      <c r="R202" s="1111">
        <v>1079.9303703243977</v>
      </c>
      <c r="S202" s="1111">
        <v>1082.501804013054</v>
      </c>
      <c r="T202" s="1111">
        <f t="shared" si="290"/>
        <v>1082.501804013054</v>
      </c>
      <c r="U202" s="1111">
        <v>7.1214244308312216</v>
      </c>
      <c r="V202" s="1111">
        <v>3.6128304341725479</v>
      </c>
      <c r="W202" s="1111">
        <v>1.7519974122964965</v>
      </c>
      <c r="X202" s="1111">
        <v>0.96065871987325979</v>
      </c>
      <c r="Y202" s="1111">
        <v>0.90757576073163748</v>
      </c>
      <c r="Z202" s="1111">
        <v>0.89042989524581051</v>
      </c>
      <c r="AA202" s="1111">
        <v>0.89461734984703412</v>
      </c>
      <c r="AB202" s="1111">
        <v>0.8987440724994965</v>
      </c>
      <c r="AC202" s="1111">
        <v>0.90209548320060939</v>
      </c>
      <c r="AD202" s="1111">
        <f t="shared" si="229"/>
        <v>0.90209548320060939</v>
      </c>
      <c r="AE202" s="1111">
        <v>9.7353034029240712E-2</v>
      </c>
      <c r="AF202" s="1111">
        <v>1.0897625633490129E-2</v>
      </c>
      <c r="AG202" s="1111">
        <v>1.0406741541167761E-2</v>
      </c>
      <c r="AH202" s="1111">
        <v>9.8224380046414948E-3</v>
      </c>
      <c r="AI202" s="1111">
        <v>9.3970788747780587E-3</v>
      </c>
      <c r="AJ202" s="1111">
        <v>9.238212392650845E-3</v>
      </c>
      <c r="AK202" s="1111">
        <v>9.2400129222668364E-3</v>
      </c>
      <c r="AL202" s="1111">
        <v>9.2638591318171173E-3</v>
      </c>
      <c r="AM202" s="1111">
        <v>9.2892864315139538E-3</v>
      </c>
      <c r="AN202" s="1111">
        <v>9.3114094329473044E-3</v>
      </c>
      <c r="AO202" s="1111">
        <v>9.3114094329473044E-3</v>
      </c>
      <c r="AP202" s="1111">
        <v>0.65855177399983167</v>
      </c>
      <c r="AQ202" s="1111">
        <v>0.43488186657747041</v>
      </c>
      <c r="AR202" s="1111">
        <v>0.23241050768026172</v>
      </c>
      <c r="AS202" s="1111">
        <v>0.11172185093330923</v>
      </c>
      <c r="AT202" s="1111">
        <v>8.5614885834893656E-2</v>
      </c>
      <c r="AU202" s="1111">
        <v>8.5639503819240612E-2</v>
      </c>
      <c r="AV202" s="1111">
        <v>8.5739927930046075E-2</v>
      </c>
      <c r="AW202" s="1111">
        <v>8.582650518532732E-2</v>
      </c>
      <c r="AX202" s="1111">
        <v>8.589429395785958E-2</v>
      </c>
      <c r="AY202" s="1111">
        <v>8.595032324811018E-2</v>
      </c>
      <c r="AZ202" s="1111">
        <v>8.595032324811018E-2</v>
      </c>
      <c r="BA202" s="1111">
        <v>0.5483609437258653</v>
      </c>
      <c r="BB202" s="1111">
        <v>0.34312695014898731</v>
      </c>
      <c r="BC202" s="1111">
        <v>0.15737563741998156</v>
      </c>
      <c r="BD202" s="1111">
        <v>4.6795265517911272E-2</v>
      </c>
      <c r="BE202" s="1111">
        <v>2.3123095883741999E-2</v>
      </c>
      <c r="BF202" s="1111">
        <v>2.3078168681861914E-2</v>
      </c>
      <c r="BG202" s="1111">
        <v>2.312640405146895E-2</v>
      </c>
      <c r="BH202" s="1111">
        <v>2.3161206796405157E-2</v>
      </c>
      <c r="BI202" s="1111">
        <v>2.319152249437487E-2</v>
      </c>
      <c r="BJ202" s="1111">
        <v>2.321537510976893E-2</v>
      </c>
      <c r="BK202" s="1111">
        <v>2.321537510976893E-2</v>
      </c>
      <c r="BL202" s="1111">
        <v>2.9199210661235719</v>
      </c>
      <c r="BM202" s="1111">
        <v>2.5248777593037612</v>
      </c>
      <c r="BN202" s="1111">
        <v>1.4951158410843537</v>
      </c>
      <c r="BO202" s="1111">
        <v>0.77103076254423286</v>
      </c>
      <c r="BP202" s="1111">
        <v>0.57675034198196928</v>
      </c>
      <c r="BQ202" s="1111">
        <v>0.58746771251282492</v>
      </c>
      <c r="BR202" s="1111">
        <v>0.59381427386146002</v>
      </c>
      <c r="BS202" s="1111">
        <v>0.59837836436766689</v>
      </c>
      <c r="BT202" s="1111">
        <v>0.59979237815975206</v>
      </c>
      <c r="BU202" s="1111">
        <v>0.60105539514278639</v>
      </c>
      <c r="BV202" s="1111">
        <v>0.60105539514278639</v>
      </c>
      <c r="BW202" s="1111">
        <v>1.168734766137961</v>
      </c>
      <c r="BX202" s="1111">
        <v>0.89557319182284578</v>
      </c>
      <c r="BY202" s="1111">
        <v>0.43008581683391661</v>
      </c>
      <c r="BZ202" s="1111">
        <v>0.16166370522314064</v>
      </c>
      <c r="CA202" s="1111">
        <v>0.10525921994648967</v>
      </c>
      <c r="CB202" s="1111">
        <v>0.1061268353407815</v>
      </c>
      <c r="CC202" s="1111">
        <v>0.10697205447121942</v>
      </c>
      <c r="CD202" s="1111">
        <v>0.10757700742516499</v>
      </c>
      <c r="CE202" s="1111">
        <v>0.10782654440702798</v>
      </c>
      <c r="CF202" s="1111">
        <v>0.10804592527626616</v>
      </c>
      <c r="CG202" s="1111">
        <v>0.10804592527626616</v>
      </c>
      <c r="CH202" s="1111">
        <v>2.3981056492211831E-2</v>
      </c>
      <c r="CI202" s="1111">
        <v>2.4060794425726954E-2</v>
      </c>
      <c r="CJ202" s="1111">
        <v>2.3900575080190969E-2</v>
      </c>
      <c r="CK202" s="1111">
        <v>2.376720009229831E-2</v>
      </c>
      <c r="CL202" s="1111">
        <v>2.3641407134118744E-2</v>
      </c>
      <c r="CM202" s="1111">
        <v>2.3650585559346338E-2</v>
      </c>
      <c r="CN202" s="1111">
        <v>2.3663829169428344E-2</v>
      </c>
      <c r="CO202" s="1111">
        <v>2.3674350554323837E-2</v>
      </c>
      <c r="CP202" s="1111">
        <v>2.3684378528602522E-2</v>
      </c>
      <c r="CQ202" s="1111">
        <v>2.3693426288723347E-2</v>
      </c>
      <c r="CR202" s="1111">
        <v>2.3693426288723347E-2</v>
      </c>
      <c r="CS202" s="1111">
        <v>11.39240838652931</v>
      </c>
      <c r="CT202" s="1111">
        <v>7.1214244308312216</v>
      </c>
      <c r="CU202" s="1111">
        <v>3.6128304341725479</v>
      </c>
      <c r="CV202" s="1111">
        <v>1.7519974122964965</v>
      </c>
      <c r="CW202" s="1111">
        <v>0.96065871987325979</v>
      </c>
      <c r="CX202" s="1111">
        <v>0.90757576073163748</v>
      </c>
      <c r="CY202" s="1111">
        <v>0.89042989524581051</v>
      </c>
      <c r="CZ202" s="1111">
        <v>0.89461734984703412</v>
      </c>
      <c r="DA202" s="1111">
        <v>0.8987440724994965</v>
      </c>
      <c r="DB202" s="1111">
        <v>0.90209548320060939</v>
      </c>
      <c r="DC202" s="1111">
        <v>0.90209548320060939</v>
      </c>
      <c r="DD202" s="1111">
        <v>0.23286264726410541</v>
      </c>
      <c r="DE202" s="1111">
        <v>0.14059521062228808</v>
      </c>
      <c r="DF202" s="1111">
        <v>5.973956390045012E-2</v>
      </c>
      <c r="DG202" s="1111">
        <v>1.1550767547596517E-2</v>
      </c>
      <c r="DH202" s="1111">
        <v>1.3158430338576447E-3</v>
      </c>
      <c r="DI202" s="1111">
        <v>1.314537595275584E-3</v>
      </c>
      <c r="DJ202" s="1111">
        <v>1.3214481328788638E-3</v>
      </c>
      <c r="DK202" s="1111">
        <v>1.325870964446599E-3</v>
      </c>
      <c r="DL202" s="1111">
        <v>1.3291736201754948E-3</v>
      </c>
      <c r="DM202" s="1111">
        <v>1.3318673633578031E-3</v>
      </c>
      <c r="DN202" s="1111">
        <v>1.3318673633578031E-3</v>
      </c>
      <c r="DO202" s="1111">
        <v>0.21113278470635008</v>
      </c>
      <c r="DP202" s="1111">
        <v>0.13588253766987507</v>
      </c>
      <c r="DQ202" s="1111">
        <v>5.8410877304658673E-2</v>
      </c>
      <c r="DR202" s="1111">
        <v>1.1959643964556073E-2</v>
      </c>
      <c r="DS202" s="1111">
        <v>2.3071562662737286E-3</v>
      </c>
      <c r="DT202" s="1111">
        <v>2.306021194268214E-3</v>
      </c>
      <c r="DU202" s="1111">
        <v>2.3190297798020183E-3</v>
      </c>
      <c r="DV202" s="1111">
        <v>2.3273230582693503E-3</v>
      </c>
      <c r="DW202" s="1111">
        <v>2.3333919905544282E-3</v>
      </c>
      <c r="DX202" s="1111">
        <v>2.338372920798026E-3</v>
      </c>
      <c r="DY202" s="1111">
        <v>2.338372920798026E-3</v>
      </c>
      <c r="DZ202" s="1111">
        <v>2.79272942199774E-3</v>
      </c>
      <c r="EA202" s="1111">
        <v>2.3973751462862233E-2</v>
      </c>
      <c r="EB202" s="1111">
        <v>6.079212849905441E-2</v>
      </c>
      <c r="EC202" s="1111">
        <v>8.3498526152271491E-2</v>
      </c>
      <c r="ED202" s="1111">
        <v>8.0941552068006586E-2</v>
      </c>
      <c r="EE202" s="1111">
        <v>8.2195409272928482E-2</v>
      </c>
      <c r="EF202" s="1111">
        <v>8.2935005179094787E-2</v>
      </c>
      <c r="EG202" s="1111">
        <v>8.3375228951166155E-2</v>
      </c>
      <c r="EH202" s="1111">
        <v>8.3465588028604418E-2</v>
      </c>
      <c r="EI202" s="1111">
        <v>8.3545381825033446E-2</v>
      </c>
      <c r="EJ202" s="1111">
        <v>8.3545381825033446E-2</v>
      </c>
      <c r="EK202" s="1111">
        <v>1213.4690028275372</v>
      </c>
      <c r="EL202" s="1111">
        <f t="shared" si="269"/>
        <v>1201.6641609914475</v>
      </c>
      <c r="EM202" s="1111">
        <f t="shared" si="270"/>
        <v>1178.5267384250094</v>
      </c>
      <c r="EN202" s="1111">
        <f t="shared" si="271"/>
        <v>1136.3397930534129</v>
      </c>
      <c r="EO202" s="1111">
        <f t="shared" si="272"/>
        <v>1092.4684722039599</v>
      </c>
      <c r="EP202" s="1111">
        <f t="shared" si="273"/>
        <v>1073.9962973087709</v>
      </c>
      <c r="EQ202" s="1111">
        <f t="shared" si="274"/>
        <v>1074.2036876096599</v>
      </c>
      <c r="ER202" s="1111">
        <f t="shared" si="275"/>
        <v>1076.974864163655</v>
      </c>
      <c r="ES202" s="1111">
        <f t="shared" si="276"/>
        <v>1079.9303703243977</v>
      </c>
      <c r="ET202" s="1111">
        <f t="shared" si="277"/>
        <v>1082.501804013054</v>
      </c>
      <c r="EU202" s="1111">
        <f t="shared" si="278"/>
        <v>1082.501804013054</v>
      </c>
      <c r="EV202" s="1111">
        <v>11.39240838652931</v>
      </c>
      <c r="EW202" s="1111">
        <f t="shared" si="259"/>
        <v>7.1214244308312216</v>
      </c>
      <c r="EX202" s="1111">
        <f t="shared" si="260"/>
        <v>3.6128304341725479</v>
      </c>
      <c r="EY202" s="1111">
        <f t="shared" si="261"/>
        <v>1.7519974122964965</v>
      </c>
      <c r="EZ202" s="1111">
        <f t="shared" si="262"/>
        <v>0.96065871987325979</v>
      </c>
      <c r="FA202" s="1111">
        <f t="shared" si="263"/>
        <v>0.90757576073163748</v>
      </c>
      <c r="FB202" s="1111">
        <f t="shared" si="264"/>
        <v>0.89042989524581051</v>
      </c>
      <c r="FC202" s="1111">
        <f t="shared" si="265"/>
        <v>0.89461734984703412</v>
      </c>
      <c r="FD202" s="1111">
        <f t="shared" si="266"/>
        <v>0.8987440724994965</v>
      </c>
      <c r="FE202" s="1111">
        <f t="shared" si="267"/>
        <v>0.90209548320060939</v>
      </c>
      <c r="FF202" s="1111">
        <f t="shared" si="268"/>
        <v>0.90209548320060939</v>
      </c>
      <c r="FG202" s="1111">
        <f t="shared" si="291"/>
        <v>9.7353034029240712E-2</v>
      </c>
      <c r="FH202" s="1111">
        <f t="shared" si="292"/>
        <v>1.0897625633490129E-2</v>
      </c>
      <c r="FI202" s="1111">
        <f t="shared" si="293"/>
        <v>1.0406741541167761E-2</v>
      </c>
      <c r="FJ202" s="1111">
        <f t="shared" si="294"/>
        <v>9.8224380046414948E-3</v>
      </c>
      <c r="FK202" s="1111">
        <f t="shared" si="295"/>
        <v>9.3970788747780587E-3</v>
      </c>
      <c r="FL202" s="1111">
        <f t="shared" si="296"/>
        <v>9.238212392650845E-3</v>
      </c>
      <c r="FM202" s="1111">
        <f t="shared" si="297"/>
        <v>9.2400129222668364E-3</v>
      </c>
      <c r="FN202" s="1111">
        <f t="shared" si="298"/>
        <v>9.2638591318171173E-3</v>
      </c>
      <c r="FO202" s="1111">
        <f t="shared" si="299"/>
        <v>9.2892864315139538E-3</v>
      </c>
      <c r="FP202" s="1111">
        <f t="shared" si="300"/>
        <v>9.3114094329473044E-3</v>
      </c>
      <c r="FQ202" s="1111">
        <f t="shared" si="301"/>
        <v>9.3114094329473044E-3</v>
      </c>
      <c r="FR202" s="1111">
        <f t="shared" si="230"/>
        <v>0.65855177399983167</v>
      </c>
      <c r="FS202" s="1111">
        <f t="shared" si="231"/>
        <v>0.43488186657747041</v>
      </c>
      <c r="FT202" s="1111">
        <f t="shared" si="232"/>
        <v>0.23241050768026172</v>
      </c>
      <c r="FU202" s="1111">
        <f t="shared" si="233"/>
        <v>0.11172185093330923</v>
      </c>
      <c r="FV202" s="1111">
        <f t="shared" si="234"/>
        <v>8.5614885834893656E-2</v>
      </c>
      <c r="FW202" s="1111">
        <f t="shared" si="235"/>
        <v>8.5639503819240612E-2</v>
      </c>
      <c r="FX202" s="1111">
        <f t="shared" si="236"/>
        <v>8.5739927930046075E-2</v>
      </c>
      <c r="FY202" s="1111">
        <f t="shared" si="237"/>
        <v>8.582650518532732E-2</v>
      </c>
      <c r="FZ202" s="1111">
        <f t="shared" si="238"/>
        <v>8.589429395785958E-2</v>
      </c>
      <c r="GA202" s="1111">
        <f t="shared" si="239"/>
        <v>8.595032324811018E-2</v>
      </c>
      <c r="GB202" s="1111">
        <f t="shared" si="240"/>
        <v>8.595032324811018E-2</v>
      </c>
      <c r="GC202" s="1111">
        <f t="shared" si="279"/>
        <v>0.5483609437258653</v>
      </c>
      <c r="GD202" s="1111">
        <f t="shared" si="280"/>
        <v>0.34312695014898731</v>
      </c>
      <c r="GE202" s="1111">
        <f t="shared" si="281"/>
        <v>0.15737563741998156</v>
      </c>
      <c r="GF202" s="1111">
        <f t="shared" si="282"/>
        <v>4.6795265517911272E-2</v>
      </c>
      <c r="GG202" s="1111">
        <f t="shared" si="283"/>
        <v>2.3123095883741999E-2</v>
      </c>
      <c r="GH202" s="1111">
        <f t="shared" si="284"/>
        <v>2.3078168681861914E-2</v>
      </c>
      <c r="GI202" s="1111">
        <f t="shared" si="285"/>
        <v>2.312640405146895E-2</v>
      </c>
      <c r="GJ202" s="1111">
        <f t="shared" si="286"/>
        <v>2.3161206796405157E-2</v>
      </c>
      <c r="GK202" s="1111">
        <f t="shared" si="287"/>
        <v>2.319152249437487E-2</v>
      </c>
      <c r="GL202" s="1111">
        <f t="shared" si="288"/>
        <v>2.321537510976893E-2</v>
      </c>
      <c r="GM202" s="1111">
        <f t="shared" si="289"/>
        <v>2.321537510976893E-2</v>
      </c>
    </row>
    <row r="203" spans="1:195" x14ac:dyDescent="0.2">
      <c r="A203" s="1071" t="str">
        <f>Technologies!B125</f>
        <v>*R2,R3,R4,R5,R8</v>
      </c>
      <c r="B203" s="1071" t="str">
        <f>Technologies!C125</f>
        <v>TMB20IM</v>
      </c>
      <c r="C203" s="1071" t="str">
        <f>Technologies!D125</f>
        <v>Medium Duty Truck, Improved B20</v>
      </c>
      <c r="D203" s="1071" t="str">
        <f>NewTech!D77</f>
        <v>bn-vmt, bn-vmt/a</v>
      </c>
      <c r="E203" s="1071" t="str">
        <f>NewTech!E78</f>
        <v>TMB20X</v>
      </c>
      <c r="F203" s="1071" t="str">
        <f>NewTech!F78</f>
        <v>TM</v>
      </c>
      <c r="G203" s="1110" t="s">
        <v>503</v>
      </c>
      <c r="H203" s="1110" t="s">
        <v>507</v>
      </c>
      <c r="I203" s="1112">
        <v>1</v>
      </c>
      <c r="J203" s="1111" t="str">
        <f t="shared" si="37"/>
        <v>Medium duty-B20</v>
      </c>
      <c r="K203" s="1111">
        <v>1201.6641609914475</v>
      </c>
      <c r="L203" s="1111">
        <v>1178.5267384250094</v>
      </c>
      <c r="M203" s="1111">
        <v>1136.3397930534129</v>
      </c>
      <c r="N203" s="1111">
        <v>1092.4684722039599</v>
      </c>
      <c r="O203" s="1111">
        <v>1073.9962973087709</v>
      </c>
      <c r="P203" s="1111">
        <v>1074.2036876096599</v>
      </c>
      <c r="Q203" s="1111">
        <v>1076.974864163655</v>
      </c>
      <c r="R203" s="1111">
        <v>1079.9303703243977</v>
      </c>
      <c r="S203" s="1111">
        <v>1082.501804013054</v>
      </c>
      <c r="T203" s="1111">
        <f t="shared" si="290"/>
        <v>1082.501804013054</v>
      </c>
      <c r="U203" s="1111">
        <v>7.1214244308312216</v>
      </c>
      <c r="V203" s="1111">
        <v>3.6128304341725479</v>
      </c>
      <c r="W203" s="1111">
        <v>1.7519974122964965</v>
      </c>
      <c r="X203" s="1111">
        <v>0.96065871987325979</v>
      </c>
      <c r="Y203" s="1111">
        <v>0.90757576073163748</v>
      </c>
      <c r="Z203" s="1111">
        <v>0.89042989524581051</v>
      </c>
      <c r="AA203" s="1111">
        <v>0.89461734984703412</v>
      </c>
      <c r="AB203" s="1111">
        <v>0.8987440724994965</v>
      </c>
      <c r="AC203" s="1111">
        <v>0.90209548320060939</v>
      </c>
      <c r="AD203" s="1111">
        <f t="shared" si="229"/>
        <v>0.90209548320060939</v>
      </c>
      <c r="AE203" s="1111">
        <v>9.7353034029240712E-2</v>
      </c>
      <c r="AF203" s="1111">
        <v>1.0897625633490129E-2</v>
      </c>
      <c r="AG203" s="1111">
        <v>1.0406741541167761E-2</v>
      </c>
      <c r="AH203" s="1111">
        <v>9.8224380046414948E-3</v>
      </c>
      <c r="AI203" s="1111">
        <v>9.3970788747780587E-3</v>
      </c>
      <c r="AJ203" s="1111">
        <v>9.238212392650845E-3</v>
      </c>
      <c r="AK203" s="1111">
        <v>9.2400129222668364E-3</v>
      </c>
      <c r="AL203" s="1111">
        <v>9.2638591318171173E-3</v>
      </c>
      <c r="AM203" s="1111">
        <v>9.2892864315139538E-3</v>
      </c>
      <c r="AN203" s="1111">
        <v>9.3114094329473044E-3</v>
      </c>
      <c r="AO203" s="1111">
        <v>9.3114094329473044E-3</v>
      </c>
      <c r="AP203" s="1111">
        <v>0.65855177399983167</v>
      </c>
      <c r="AQ203" s="1111">
        <v>0.43488186657747041</v>
      </c>
      <c r="AR203" s="1111">
        <v>0.23241050768026172</v>
      </c>
      <c r="AS203" s="1111">
        <v>0.11172185093330923</v>
      </c>
      <c r="AT203" s="1111">
        <v>8.5614885834893656E-2</v>
      </c>
      <c r="AU203" s="1111">
        <v>8.5639503819240612E-2</v>
      </c>
      <c r="AV203" s="1111">
        <v>8.5739927930046075E-2</v>
      </c>
      <c r="AW203" s="1111">
        <v>8.582650518532732E-2</v>
      </c>
      <c r="AX203" s="1111">
        <v>8.589429395785958E-2</v>
      </c>
      <c r="AY203" s="1111">
        <v>8.595032324811018E-2</v>
      </c>
      <c r="AZ203" s="1111">
        <v>8.595032324811018E-2</v>
      </c>
      <c r="BA203" s="1111">
        <v>0.5483609437258653</v>
      </c>
      <c r="BB203" s="1111">
        <v>0.34312695014898731</v>
      </c>
      <c r="BC203" s="1111">
        <v>0.15737563741998156</v>
      </c>
      <c r="BD203" s="1111">
        <v>4.6795265517911272E-2</v>
      </c>
      <c r="BE203" s="1111">
        <v>2.3123095883741999E-2</v>
      </c>
      <c r="BF203" s="1111">
        <v>2.3078168681861914E-2</v>
      </c>
      <c r="BG203" s="1111">
        <v>2.312640405146895E-2</v>
      </c>
      <c r="BH203" s="1111">
        <v>2.3161206796405157E-2</v>
      </c>
      <c r="BI203" s="1111">
        <v>2.319152249437487E-2</v>
      </c>
      <c r="BJ203" s="1111">
        <v>2.321537510976893E-2</v>
      </c>
      <c r="BK203" s="1111">
        <v>2.321537510976893E-2</v>
      </c>
      <c r="BL203" s="1111">
        <v>2.9199210661235719</v>
      </c>
      <c r="BM203" s="1111">
        <v>2.5248777593037612</v>
      </c>
      <c r="BN203" s="1111">
        <v>1.4951158410843537</v>
      </c>
      <c r="BO203" s="1111">
        <v>0.77103076254423286</v>
      </c>
      <c r="BP203" s="1111">
        <v>0.57675034198196928</v>
      </c>
      <c r="BQ203" s="1111">
        <v>0.58746771251282492</v>
      </c>
      <c r="BR203" s="1111">
        <v>0.59381427386146002</v>
      </c>
      <c r="BS203" s="1111">
        <v>0.59837836436766689</v>
      </c>
      <c r="BT203" s="1111">
        <v>0.59979237815975206</v>
      </c>
      <c r="BU203" s="1111">
        <v>0.60105539514278639</v>
      </c>
      <c r="BV203" s="1111">
        <v>0.60105539514278639</v>
      </c>
      <c r="BW203" s="1111">
        <v>1.168734766137961</v>
      </c>
      <c r="BX203" s="1111">
        <v>0.89557319182284578</v>
      </c>
      <c r="BY203" s="1111">
        <v>0.43008581683391661</v>
      </c>
      <c r="BZ203" s="1111">
        <v>0.16166370522314064</v>
      </c>
      <c r="CA203" s="1111">
        <v>0.10525921994648967</v>
      </c>
      <c r="CB203" s="1111">
        <v>0.1061268353407815</v>
      </c>
      <c r="CC203" s="1111">
        <v>0.10697205447121942</v>
      </c>
      <c r="CD203" s="1111">
        <v>0.10757700742516499</v>
      </c>
      <c r="CE203" s="1111">
        <v>0.10782654440702798</v>
      </c>
      <c r="CF203" s="1111">
        <v>0.10804592527626616</v>
      </c>
      <c r="CG203" s="1111">
        <v>0.10804592527626616</v>
      </c>
      <c r="CH203" s="1111">
        <v>2.3981056492211831E-2</v>
      </c>
      <c r="CI203" s="1111">
        <v>2.4060794425726954E-2</v>
      </c>
      <c r="CJ203" s="1111">
        <v>2.3900575080190969E-2</v>
      </c>
      <c r="CK203" s="1111">
        <v>2.376720009229831E-2</v>
      </c>
      <c r="CL203" s="1111">
        <v>2.3641407134118744E-2</v>
      </c>
      <c r="CM203" s="1111">
        <v>2.3650585559346338E-2</v>
      </c>
      <c r="CN203" s="1111">
        <v>2.3663829169428344E-2</v>
      </c>
      <c r="CO203" s="1111">
        <v>2.3674350554323837E-2</v>
      </c>
      <c r="CP203" s="1111">
        <v>2.3684378528602522E-2</v>
      </c>
      <c r="CQ203" s="1111">
        <v>2.3693426288723347E-2</v>
      </c>
      <c r="CR203" s="1111">
        <v>2.3693426288723347E-2</v>
      </c>
      <c r="CS203" s="1111">
        <v>11.39240838652931</v>
      </c>
      <c r="CT203" s="1111">
        <v>7.1214244308312216</v>
      </c>
      <c r="CU203" s="1111">
        <v>3.6128304341725479</v>
      </c>
      <c r="CV203" s="1111">
        <v>1.7519974122964965</v>
      </c>
      <c r="CW203" s="1111">
        <v>0.96065871987325979</v>
      </c>
      <c r="CX203" s="1111">
        <v>0.90757576073163748</v>
      </c>
      <c r="CY203" s="1111">
        <v>0.89042989524581051</v>
      </c>
      <c r="CZ203" s="1111">
        <v>0.89461734984703412</v>
      </c>
      <c r="DA203" s="1111">
        <v>0.8987440724994965</v>
      </c>
      <c r="DB203" s="1111">
        <v>0.90209548320060939</v>
      </c>
      <c r="DC203" s="1111">
        <v>0.90209548320060939</v>
      </c>
      <c r="DD203" s="1111">
        <v>0.23286264726410541</v>
      </c>
      <c r="DE203" s="1111">
        <v>0.14059521062228808</v>
      </c>
      <c r="DF203" s="1111">
        <v>5.973956390045012E-2</v>
      </c>
      <c r="DG203" s="1111">
        <v>1.1550767547596517E-2</v>
      </c>
      <c r="DH203" s="1111">
        <v>1.3158430338576447E-3</v>
      </c>
      <c r="DI203" s="1111">
        <v>1.314537595275584E-3</v>
      </c>
      <c r="DJ203" s="1111">
        <v>1.3214481328788638E-3</v>
      </c>
      <c r="DK203" s="1111">
        <v>1.325870964446599E-3</v>
      </c>
      <c r="DL203" s="1111">
        <v>1.3291736201754948E-3</v>
      </c>
      <c r="DM203" s="1111">
        <v>1.3318673633578031E-3</v>
      </c>
      <c r="DN203" s="1111">
        <v>1.3318673633578031E-3</v>
      </c>
      <c r="DO203" s="1111">
        <v>0.21113278470635008</v>
      </c>
      <c r="DP203" s="1111">
        <v>0.13588253766987507</v>
      </c>
      <c r="DQ203" s="1111">
        <v>5.8410877304658673E-2</v>
      </c>
      <c r="DR203" s="1111">
        <v>1.1959643964556073E-2</v>
      </c>
      <c r="DS203" s="1111">
        <v>2.3071562662737286E-3</v>
      </c>
      <c r="DT203" s="1111">
        <v>2.306021194268214E-3</v>
      </c>
      <c r="DU203" s="1111">
        <v>2.3190297798020183E-3</v>
      </c>
      <c r="DV203" s="1111">
        <v>2.3273230582693503E-3</v>
      </c>
      <c r="DW203" s="1111">
        <v>2.3333919905544282E-3</v>
      </c>
      <c r="DX203" s="1111">
        <v>2.338372920798026E-3</v>
      </c>
      <c r="DY203" s="1111">
        <v>2.338372920798026E-3</v>
      </c>
      <c r="DZ203" s="1111">
        <v>2.79272942199774E-3</v>
      </c>
      <c r="EA203" s="1111">
        <v>2.3973751462862233E-2</v>
      </c>
      <c r="EB203" s="1111">
        <v>6.079212849905441E-2</v>
      </c>
      <c r="EC203" s="1111">
        <v>8.3498526152271491E-2</v>
      </c>
      <c r="ED203" s="1111">
        <v>8.0941552068006586E-2</v>
      </c>
      <c r="EE203" s="1111">
        <v>8.2195409272928482E-2</v>
      </c>
      <c r="EF203" s="1111">
        <v>8.2935005179094787E-2</v>
      </c>
      <c r="EG203" s="1111">
        <v>8.3375228951166155E-2</v>
      </c>
      <c r="EH203" s="1111">
        <v>8.3465588028604418E-2</v>
      </c>
      <c r="EI203" s="1111">
        <v>8.3545381825033446E-2</v>
      </c>
      <c r="EJ203" s="1111">
        <v>8.3545381825033446E-2</v>
      </c>
      <c r="EK203" s="1111">
        <v>1213.4690028275372</v>
      </c>
      <c r="EL203" s="1111">
        <f t="shared" si="269"/>
        <v>1201.6641609914475</v>
      </c>
      <c r="EM203" s="1111">
        <f t="shared" si="270"/>
        <v>1178.5267384250094</v>
      </c>
      <c r="EN203" s="1111">
        <f t="shared" si="271"/>
        <v>1136.3397930534129</v>
      </c>
      <c r="EO203" s="1111">
        <f t="shared" si="272"/>
        <v>1092.4684722039599</v>
      </c>
      <c r="EP203" s="1111">
        <f t="shared" si="273"/>
        <v>1073.9962973087709</v>
      </c>
      <c r="EQ203" s="1111">
        <f t="shared" si="274"/>
        <v>1074.2036876096599</v>
      </c>
      <c r="ER203" s="1111">
        <f t="shared" si="275"/>
        <v>1076.974864163655</v>
      </c>
      <c r="ES203" s="1111">
        <f t="shared" si="276"/>
        <v>1079.9303703243977</v>
      </c>
      <c r="ET203" s="1111">
        <f t="shared" si="277"/>
        <v>1082.501804013054</v>
      </c>
      <c r="EU203" s="1111">
        <f t="shared" si="278"/>
        <v>1082.501804013054</v>
      </c>
      <c r="EV203" s="1111">
        <v>11.39240838652931</v>
      </c>
      <c r="EW203" s="1111">
        <f t="shared" si="259"/>
        <v>7.1214244308312216</v>
      </c>
      <c r="EX203" s="1111">
        <f t="shared" si="260"/>
        <v>3.6128304341725479</v>
      </c>
      <c r="EY203" s="1111">
        <f t="shared" si="261"/>
        <v>1.7519974122964965</v>
      </c>
      <c r="EZ203" s="1111">
        <f t="shared" si="262"/>
        <v>0.96065871987325979</v>
      </c>
      <c r="FA203" s="1111">
        <f t="shared" si="263"/>
        <v>0.90757576073163748</v>
      </c>
      <c r="FB203" s="1111">
        <f t="shared" si="264"/>
        <v>0.89042989524581051</v>
      </c>
      <c r="FC203" s="1111">
        <f t="shared" si="265"/>
        <v>0.89461734984703412</v>
      </c>
      <c r="FD203" s="1111">
        <f t="shared" si="266"/>
        <v>0.8987440724994965</v>
      </c>
      <c r="FE203" s="1111">
        <f t="shared" si="267"/>
        <v>0.90209548320060939</v>
      </c>
      <c r="FF203" s="1111">
        <f t="shared" si="268"/>
        <v>0.90209548320060939</v>
      </c>
      <c r="FG203" s="1111">
        <f t="shared" si="291"/>
        <v>9.7353034029240712E-2</v>
      </c>
      <c r="FH203" s="1111">
        <f t="shared" si="292"/>
        <v>1.0897625633490129E-2</v>
      </c>
      <c r="FI203" s="1111">
        <f t="shared" si="293"/>
        <v>1.0406741541167761E-2</v>
      </c>
      <c r="FJ203" s="1111">
        <f t="shared" si="294"/>
        <v>9.8224380046414948E-3</v>
      </c>
      <c r="FK203" s="1111">
        <f t="shared" si="295"/>
        <v>9.3970788747780587E-3</v>
      </c>
      <c r="FL203" s="1111">
        <f t="shared" si="296"/>
        <v>9.238212392650845E-3</v>
      </c>
      <c r="FM203" s="1111">
        <f t="shared" si="297"/>
        <v>9.2400129222668364E-3</v>
      </c>
      <c r="FN203" s="1111">
        <f t="shared" si="298"/>
        <v>9.2638591318171173E-3</v>
      </c>
      <c r="FO203" s="1111">
        <f t="shared" si="299"/>
        <v>9.2892864315139538E-3</v>
      </c>
      <c r="FP203" s="1111">
        <f t="shared" si="300"/>
        <v>9.3114094329473044E-3</v>
      </c>
      <c r="FQ203" s="1111">
        <f t="shared" si="301"/>
        <v>9.3114094329473044E-3</v>
      </c>
      <c r="FR203" s="1111">
        <f t="shared" si="230"/>
        <v>0.65855177399983167</v>
      </c>
      <c r="FS203" s="1111">
        <f t="shared" si="231"/>
        <v>0.43488186657747041</v>
      </c>
      <c r="FT203" s="1111">
        <f t="shared" si="232"/>
        <v>0.23241050768026172</v>
      </c>
      <c r="FU203" s="1111">
        <f t="shared" si="233"/>
        <v>0.11172185093330923</v>
      </c>
      <c r="FV203" s="1111">
        <f t="shared" si="234"/>
        <v>8.5614885834893656E-2</v>
      </c>
      <c r="FW203" s="1111">
        <f t="shared" si="235"/>
        <v>8.5639503819240612E-2</v>
      </c>
      <c r="FX203" s="1111">
        <f t="shared" si="236"/>
        <v>8.5739927930046075E-2</v>
      </c>
      <c r="FY203" s="1111">
        <f t="shared" si="237"/>
        <v>8.582650518532732E-2</v>
      </c>
      <c r="FZ203" s="1111">
        <f t="shared" si="238"/>
        <v>8.589429395785958E-2</v>
      </c>
      <c r="GA203" s="1111">
        <f t="shared" si="239"/>
        <v>8.595032324811018E-2</v>
      </c>
      <c r="GB203" s="1111">
        <f t="shared" si="240"/>
        <v>8.595032324811018E-2</v>
      </c>
      <c r="GC203" s="1111">
        <f t="shared" si="279"/>
        <v>0.5483609437258653</v>
      </c>
      <c r="GD203" s="1111">
        <f t="shared" si="280"/>
        <v>0.34312695014898731</v>
      </c>
      <c r="GE203" s="1111">
        <f t="shared" si="281"/>
        <v>0.15737563741998156</v>
      </c>
      <c r="GF203" s="1111">
        <f t="shared" si="282"/>
        <v>4.6795265517911272E-2</v>
      </c>
      <c r="GG203" s="1111">
        <f t="shared" si="283"/>
        <v>2.3123095883741999E-2</v>
      </c>
      <c r="GH203" s="1111">
        <f t="shared" si="284"/>
        <v>2.3078168681861914E-2</v>
      </c>
      <c r="GI203" s="1111">
        <f t="shared" si="285"/>
        <v>2.312640405146895E-2</v>
      </c>
      <c r="GJ203" s="1111">
        <f t="shared" si="286"/>
        <v>2.3161206796405157E-2</v>
      </c>
      <c r="GK203" s="1111">
        <f t="shared" si="287"/>
        <v>2.319152249437487E-2</v>
      </c>
      <c r="GL203" s="1111">
        <f t="shared" si="288"/>
        <v>2.321537510976893E-2</v>
      </c>
      <c r="GM203" s="1111">
        <f t="shared" si="289"/>
        <v>2.321537510976893E-2</v>
      </c>
    </row>
    <row r="204" spans="1:195" x14ac:dyDescent="0.2">
      <c r="A204" s="1071" t="str">
        <f>Technologies!B126</f>
        <v>*R2,R3,R4,R5,R9</v>
      </c>
      <c r="B204" s="1071" t="str">
        <f>Technologies!C126</f>
        <v>TMB20ADV</v>
      </c>
      <c r="C204" s="1071" t="str">
        <f>Technologies!D126</f>
        <v>Medium Duty Truck, Advanced Tech B20</v>
      </c>
      <c r="D204" s="1071" t="str">
        <f>NewTech!D78</f>
        <v>bn-vmt, bn-vmt/a</v>
      </c>
      <c r="E204" s="1071" t="str">
        <f>NewTech!E79</f>
        <v>TMB20X</v>
      </c>
      <c r="F204" s="1071" t="str">
        <f>NewTech!F79</f>
        <v>TM</v>
      </c>
      <c r="G204" s="1110" t="s">
        <v>503</v>
      </c>
      <c r="H204" s="1110" t="s">
        <v>507</v>
      </c>
      <c r="I204" s="1112">
        <v>1</v>
      </c>
      <c r="J204" s="1111" t="str">
        <f t="shared" ref="J204:J311" si="302">CONCATENATE(G204,"-",H204)</f>
        <v>Medium duty-B20</v>
      </c>
      <c r="K204" s="1111">
        <v>1201.6641609914475</v>
      </c>
      <c r="L204" s="1111">
        <v>1178.5267384250094</v>
      </c>
      <c r="M204" s="1111">
        <v>1136.3397930534129</v>
      </c>
      <c r="N204" s="1111">
        <v>1092.4684722039599</v>
      </c>
      <c r="O204" s="1111">
        <v>1073.9962973087709</v>
      </c>
      <c r="P204" s="1111">
        <v>1074.2036876096599</v>
      </c>
      <c r="Q204" s="1111">
        <v>1076.974864163655</v>
      </c>
      <c r="R204" s="1111">
        <v>1079.9303703243977</v>
      </c>
      <c r="S204" s="1111">
        <v>1082.501804013054</v>
      </c>
      <c r="T204" s="1111">
        <f t="shared" si="290"/>
        <v>1082.501804013054</v>
      </c>
      <c r="U204" s="1111">
        <v>7.1214244308312216</v>
      </c>
      <c r="V204" s="1111">
        <v>3.6128304341725479</v>
      </c>
      <c r="W204" s="1111">
        <v>1.7519974122964965</v>
      </c>
      <c r="X204" s="1111">
        <v>0.96065871987325979</v>
      </c>
      <c r="Y204" s="1111">
        <v>0.90757576073163748</v>
      </c>
      <c r="Z204" s="1111">
        <v>0.89042989524581051</v>
      </c>
      <c r="AA204" s="1111">
        <v>0.89461734984703412</v>
      </c>
      <c r="AB204" s="1111">
        <v>0.8987440724994965</v>
      </c>
      <c r="AC204" s="1111">
        <v>0.90209548320060939</v>
      </c>
      <c r="AD204" s="1111">
        <f t="shared" si="229"/>
        <v>0.90209548320060939</v>
      </c>
      <c r="AE204" s="1111">
        <v>9.7353034029240712E-2</v>
      </c>
      <c r="AF204" s="1111">
        <v>1.0897625633490129E-2</v>
      </c>
      <c r="AG204" s="1111">
        <v>1.0406741541167761E-2</v>
      </c>
      <c r="AH204" s="1111">
        <v>9.8224380046414948E-3</v>
      </c>
      <c r="AI204" s="1111">
        <v>9.3970788747780587E-3</v>
      </c>
      <c r="AJ204" s="1111">
        <v>9.238212392650845E-3</v>
      </c>
      <c r="AK204" s="1111">
        <v>9.2400129222668364E-3</v>
      </c>
      <c r="AL204" s="1111">
        <v>9.2638591318171173E-3</v>
      </c>
      <c r="AM204" s="1111">
        <v>9.2892864315139538E-3</v>
      </c>
      <c r="AN204" s="1111">
        <v>9.3114094329473044E-3</v>
      </c>
      <c r="AO204" s="1111">
        <v>9.3114094329473044E-3</v>
      </c>
      <c r="AP204" s="1111">
        <v>0.65855177399983167</v>
      </c>
      <c r="AQ204" s="1111">
        <v>0.43488186657747041</v>
      </c>
      <c r="AR204" s="1111">
        <v>0.23241050768026172</v>
      </c>
      <c r="AS204" s="1111">
        <v>0.11172185093330923</v>
      </c>
      <c r="AT204" s="1111">
        <v>8.5614885834893656E-2</v>
      </c>
      <c r="AU204" s="1111">
        <v>8.5639503819240612E-2</v>
      </c>
      <c r="AV204" s="1111">
        <v>8.5739927930046075E-2</v>
      </c>
      <c r="AW204" s="1111">
        <v>8.582650518532732E-2</v>
      </c>
      <c r="AX204" s="1111">
        <v>8.589429395785958E-2</v>
      </c>
      <c r="AY204" s="1111">
        <v>8.595032324811018E-2</v>
      </c>
      <c r="AZ204" s="1111">
        <v>8.595032324811018E-2</v>
      </c>
      <c r="BA204" s="1111">
        <v>0.5483609437258653</v>
      </c>
      <c r="BB204" s="1111">
        <v>0.34312695014898731</v>
      </c>
      <c r="BC204" s="1111">
        <v>0.15737563741998156</v>
      </c>
      <c r="BD204" s="1111">
        <v>4.6795265517911272E-2</v>
      </c>
      <c r="BE204" s="1111">
        <v>2.3123095883741999E-2</v>
      </c>
      <c r="BF204" s="1111">
        <v>2.3078168681861914E-2</v>
      </c>
      <c r="BG204" s="1111">
        <v>2.312640405146895E-2</v>
      </c>
      <c r="BH204" s="1111">
        <v>2.3161206796405157E-2</v>
      </c>
      <c r="BI204" s="1111">
        <v>2.319152249437487E-2</v>
      </c>
      <c r="BJ204" s="1111">
        <v>2.321537510976893E-2</v>
      </c>
      <c r="BK204" s="1111">
        <v>2.321537510976893E-2</v>
      </c>
      <c r="BL204" s="1111">
        <v>2.9199210661235719</v>
      </c>
      <c r="BM204" s="1111">
        <v>2.5248777593037612</v>
      </c>
      <c r="BN204" s="1111">
        <v>1.4951158410843537</v>
      </c>
      <c r="BO204" s="1111">
        <v>0.77103076254423286</v>
      </c>
      <c r="BP204" s="1111">
        <v>0.57675034198196928</v>
      </c>
      <c r="BQ204" s="1111">
        <v>0.58746771251282492</v>
      </c>
      <c r="BR204" s="1111">
        <v>0.59381427386146002</v>
      </c>
      <c r="BS204" s="1111">
        <v>0.59837836436766689</v>
      </c>
      <c r="BT204" s="1111">
        <v>0.59979237815975206</v>
      </c>
      <c r="BU204" s="1111">
        <v>0.60105539514278639</v>
      </c>
      <c r="BV204" s="1111">
        <v>0.60105539514278639</v>
      </c>
      <c r="BW204" s="1111">
        <v>1.168734766137961</v>
      </c>
      <c r="BX204" s="1111">
        <v>0.89557319182284578</v>
      </c>
      <c r="BY204" s="1111">
        <v>0.43008581683391661</v>
      </c>
      <c r="BZ204" s="1111">
        <v>0.16166370522314064</v>
      </c>
      <c r="CA204" s="1111">
        <v>0.10525921994648967</v>
      </c>
      <c r="CB204" s="1111">
        <v>0.1061268353407815</v>
      </c>
      <c r="CC204" s="1111">
        <v>0.10697205447121942</v>
      </c>
      <c r="CD204" s="1111">
        <v>0.10757700742516499</v>
      </c>
      <c r="CE204" s="1111">
        <v>0.10782654440702798</v>
      </c>
      <c r="CF204" s="1111">
        <v>0.10804592527626616</v>
      </c>
      <c r="CG204" s="1111">
        <v>0.10804592527626616</v>
      </c>
      <c r="CH204" s="1111">
        <v>2.3981056492211831E-2</v>
      </c>
      <c r="CI204" s="1111">
        <v>2.4060794425726954E-2</v>
      </c>
      <c r="CJ204" s="1111">
        <v>2.3900575080190969E-2</v>
      </c>
      <c r="CK204" s="1111">
        <v>2.376720009229831E-2</v>
      </c>
      <c r="CL204" s="1111">
        <v>2.3641407134118744E-2</v>
      </c>
      <c r="CM204" s="1111">
        <v>2.3650585559346338E-2</v>
      </c>
      <c r="CN204" s="1111">
        <v>2.3663829169428344E-2</v>
      </c>
      <c r="CO204" s="1111">
        <v>2.3674350554323837E-2</v>
      </c>
      <c r="CP204" s="1111">
        <v>2.3684378528602522E-2</v>
      </c>
      <c r="CQ204" s="1111">
        <v>2.3693426288723347E-2</v>
      </c>
      <c r="CR204" s="1111">
        <v>2.3693426288723347E-2</v>
      </c>
      <c r="CS204" s="1111">
        <v>11.39240838652931</v>
      </c>
      <c r="CT204" s="1111">
        <v>7.1214244308312216</v>
      </c>
      <c r="CU204" s="1111">
        <v>3.6128304341725479</v>
      </c>
      <c r="CV204" s="1111">
        <v>1.7519974122964965</v>
      </c>
      <c r="CW204" s="1111">
        <v>0.96065871987325979</v>
      </c>
      <c r="CX204" s="1111">
        <v>0.90757576073163748</v>
      </c>
      <c r="CY204" s="1111">
        <v>0.89042989524581051</v>
      </c>
      <c r="CZ204" s="1111">
        <v>0.89461734984703412</v>
      </c>
      <c r="DA204" s="1111">
        <v>0.8987440724994965</v>
      </c>
      <c r="DB204" s="1111">
        <v>0.90209548320060939</v>
      </c>
      <c r="DC204" s="1111">
        <v>0.90209548320060939</v>
      </c>
      <c r="DD204" s="1111">
        <v>0.23286264726410541</v>
      </c>
      <c r="DE204" s="1111">
        <v>0.14059521062228808</v>
      </c>
      <c r="DF204" s="1111">
        <v>5.973956390045012E-2</v>
      </c>
      <c r="DG204" s="1111">
        <v>1.1550767547596517E-2</v>
      </c>
      <c r="DH204" s="1111">
        <v>1.3158430338576447E-3</v>
      </c>
      <c r="DI204" s="1111">
        <v>1.314537595275584E-3</v>
      </c>
      <c r="DJ204" s="1111">
        <v>1.3214481328788638E-3</v>
      </c>
      <c r="DK204" s="1111">
        <v>1.325870964446599E-3</v>
      </c>
      <c r="DL204" s="1111">
        <v>1.3291736201754948E-3</v>
      </c>
      <c r="DM204" s="1111">
        <v>1.3318673633578031E-3</v>
      </c>
      <c r="DN204" s="1111">
        <v>1.3318673633578031E-3</v>
      </c>
      <c r="DO204" s="1111">
        <v>0.21113278470635008</v>
      </c>
      <c r="DP204" s="1111">
        <v>0.13588253766987507</v>
      </c>
      <c r="DQ204" s="1111">
        <v>5.8410877304658673E-2</v>
      </c>
      <c r="DR204" s="1111">
        <v>1.1959643964556073E-2</v>
      </c>
      <c r="DS204" s="1111">
        <v>2.3071562662737286E-3</v>
      </c>
      <c r="DT204" s="1111">
        <v>2.306021194268214E-3</v>
      </c>
      <c r="DU204" s="1111">
        <v>2.3190297798020183E-3</v>
      </c>
      <c r="DV204" s="1111">
        <v>2.3273230582693503E-3</v>
      </c>
      <c r="DW204" s="1111">
        <v>2.3333919905544282E-3</v>
      </c>
      <c r="DX204" s="1111">
        <v>2.338372920798026E-3</v>
      </c>
      <c r="DY204" s="1111">
        <v>2.338372920798026E-3</v>
      </c>
      <c r="DZ204" s="1111">
        <v>2.79272942199774E-3</v>
      </c>
      <c r="EA204" s="1111">
        <v>2.3973751462862233E-2</v>
      </c>
      <c r="EB204" s="1111">
        <v>6.079212849905441E-2</v>
      </c>
      <c r="EC204" s="1111">
        <v>8.3498526152271491E-2</v>
      </c>
      <c r="ED204" s="1111">
        <v>8.0941552068006586E-2</v>
      </c>
      <c r="EE204" s="1111">
        <v>8.2195409272928482E-2</v>
      </c>
      <c r="EF204" s="1111">
        <v>8.2935005179094787E-2</v>
      </c>
      <c r="EG204" s="1111">
        <v>8.3375228951166155E-2</v>
      </c>
      <c r="EH204" s="1111">
        <v>8.3465588028604418E-2</v>
      </c>
      <c r="EI204" s="1111">
        <v>8.3545381825033446E-2</v>
      </c>
      <c r="EJ204" s="1111">
        <v>8.3545381825033446E-2</v>
      </c>
      <c r="EK204" s="1111">
        <v>1213.4690028275372</v>
      </c>
      <c r="EL204" s="1111">
        <f t="shared" si="269"/>
        <v>1201.6641609914475</v>
      </c>
      <c r="EM204" s="1111">
        <f t="shared" si="270"/>
        <v>1178.5267384250094</v>
      </c>
      <c r="EN204" s="1111">
        <f t="shared" si="271"/>
        <v>1136.3397930534129</v>
      </c>
      <c r="EO204" s="1111">
        <f t="shared" si="272"/>
        <v>1092.4684722039599</v>
      </c>
      <c r="EP204" s="1111">
        <f t="shared" si="273"/>
        <v>1073.9962973087709</v>
      </c>
      <c r="EQ204" s="1111">
        <f t="shared" si="274"/>
        <v>1074.2036876096599</v>
      </c>
      <c r="ER204" s="1111">
        <f t="shared" si="275"/>
        <v>1076.974864163655</v>
      </c>
      <c r="ES204" s="1111">
        <f t="shared" si="276"/>
        <v>1079.9303703243977</v>
      </c>
      <c r="ET204" s="1111">
        <f t="shared" si="277"/>
        <v>1082.501804013054</v>
      </c>
      <c r="EU204" s="1111">
        <f t="shared" si="278"/>
        <v>1082.501804013054</v>
      </c>
      <c r="EV204" s="1111">
        <v>11.39240838652931</v>
      </c>
      <c r="EW204" s="1111">
        <f t="shared" si="259"/>
        <v>7.1214244308312216</v>
      </c>
      <c r="EX204" s="1111">
        <f t="shared" si="260"/>
        <v>3.6128304341725479</v>
      </c>
      <c r="EY204" s="1111">
        <f t="shared" si="261"/>
        <v>1.7519974122964965</v>
      </c>
      <c r="EZ204" s="1111">
        <f t="shared" si="262"/>
        <v>0.96065871987325979</v>
      </c>
      <c r="FA204" s="1111">
        <f t="shared" si="263"/>
        <v>0.90757576073163748</v>
      </c>
      <c r="FB204" s="1111">
        <f t="shared" si="264"/>
        <v>0.89042989524581051</v>
      </c>
      <c r="FC204" s="1111">
        <f t="shared" si="265"/>
        <v>0.89461734984703412</v>
      </c>
      <c r="FD204" s="1111">
        <f t="shared" si="266"/>
        <v>0.8987440724994965</v>
      </c>
      <c r="FE204" s="1111">
        <f t="shared" si="267"/>
        <v>0.90209548320060939</v>
      </c>
      <c r="FF204" s="1111">
        <f t="shared" si="268"/>
        <v>0.90209548320060939</v>
      </c>
      <c r="FG204" s="1111">
        <f t="shared" si="291"/>
        <v>9.7353034029240712E-2</v>
      </c>
      <c r="FH204" s="1111">
        <f t="shared" si="292"/>
        <v>1.0897625633490129E-2</v>
      </c>
      <c r="FI204" s="1111">
        <f t="shared" si="293"/>
        <v>1.0406741541167761E-2</v>
      </c>
      <c r="FJ204" s="1111">
        <f t="shared" si="294"/>
        <v>9.8224380046414948E-3</v>
      </c>
      <c r="FK204" s="1111">
        <f t="shared" si="295"/>
        <v>9.3970788747780587E-3</v>
      </c>
      <c r="FL204" s="1111">
        <f t="shared" si="296"/>
        <v>9.238212392650845E-3</v>
      </c>
      <c r="FM204" s="1111">
        <f t="shared" si="297"/>
        <v>9.2400129222668364E-3</v>
      </c>
      <c r="FN204" s="1111">
        <f t="shared" si="298"/>
        <v>9.2638591318171173E-3</v>
      </c>
      <c r="FO204" s="1111">
        <f t="shared" si="299"/>
        <v>9.2892864315139538E-3</v>
      </c>
      <c r="FP204" s="1111">
        <f t="shared" si="300"/>
        <v>9.3114094329473044E-3</v>
      </c>
      <c r="FQ204" s="1111">
        <f t="shared" si="301"/>
        <v>9.3114094329473044E-3</v>
      </c>
      <c r="FR204" s="1111">
        <f t="shared" si="230"/>
        <v>0.65855177399983167</v>
      </c>
      <c r="FS204" s="1111">
        <f t="shared" si="231"/>
        <v>0.43488186657747041</v>
      </c>
      <c r="FT204" s="1111">
        <f t="shared" si="232"/>
        <v>0.23241050768026172</v>
      </c>
      <c r="FU204" s="1111">
        <f t="shared" si="233"/>
        <v>0.11172185093330923</v>
      </c>
      <c r="FV204" s="1111">
        <f t="shared" si="234"/>
        <v>8.5614885834893656E-2</v>
      </c>
      <c r="FW204" s="1111">
        <f t="shared" si="235"/>
        <v>8.5639503819240612E-2</v>
      </c>
      <c r="FX204" s="1111">
        <f t="shared" si="236"/>
        <v>8.5739927930046075E-2</v>
      </c>
      <c r="FY204" s="1111">
        <f t="shared" si="237"/>
        <v>8.582650518532732E-2</v>
      </c>
      <c r="FZ204" s="1111">
        <f t="shared" si="238"/>
        <v>8.589429395785958E-2</v>
      </c>
      <c r="GA204" s="1111">
        <f t="shared" si="239"/>
        <v>8.595032324811018E-2</v>
      </c>
      <c r="GB204" s="1111">
        <f t="shared" si="240"/>
        <v>8.595032324811018E-2</v>
      </c>
      <c r="GC204" s="1111">
        <f t="shared" si="279"/>
        <v>0.5483609437258653</v>
      </c>
      <c r="GD204" s="1111">
        <f t="shared" si="280"/>
        <v>0.34312695014898731</v>
      </c>
      <c r="GE204" s="1111">
        <f t="shared" si="281"/>
        <v>0.15737563741998156</v>
      </c>
      <c r="GF204" s="1111">
        <f t="shared" si="282"/>
        <v>4.6795265517911272E-2</v>
      </c>
      <c r="GG204" s="1111">
        <f t="shared" si="283"/>
        <v>2.3123095883741999E-2</v>
      </c>
      <c r="GH204" s="1111">
        <f t="shared" si="284"/>
        <v>2.3078168681861914E-2</v>
      </c>
      <c r="GI204" s="1111">
        <f t="shared" si="285"/>
        <v>2.312640405146895E-2</v>
      </c>
      <c r="GJ204" s="1111">
        <f t="shared" si="286"/>
        <v>2.3161206796405157E-2</v>
      </c>
      <c r="GK204" s="1111">
        <f t="shared" si="287"/>
        <v>2.319152249437487E-2</v>
      </c>
      <c r="GL204" s="1111">
        <f t="shared" si="288"/>
        <v>2.321537510976893E-2</v>
      </c>
      <c r="GM204" s="1111">
        <f t="shared" si="289"/>
        <v>2.321537510976893E-2</v>
      </c>
    </row>
    <row r="205" spans="1:195" x14ac:dyDescent="0.2">
      <c r="A205" s="1071" t="str">
        <f>Technologies!B127</f>
        <v>*R2,R3,R4,R5,R10</v>
      </c>
      <c r="B205" s="1071" t="str">
        <f>Technologies!C127</f>
        <v>TMB20AH</v>
      </c>
      <c r="C205" s="1071" t="str">
        <f>Technologies!D127</f>
        <v>Medium Duty Truck, Advanced Hybrid B20</v>
      </c>
      <c r="D205" s="1071" t="str">
        <f>NewTech!D78</f>
        <v>bn-vmt, bn-vmt/a</v>
      </c>
      <c r="E205" s="1071" t="str">
        <f>NewTech!E79</f>
        <v>TMB20X</v>
      </c>
      <c r="F205" s="1071" t="str">
        <f>NewTech!F79</f>
        <v>TM</v>
      </c>
      <c r="G205" s="1110" t="s">
        <v>503</v>
      </c>
      <c r="H205" s="1110" t="s">
        <v>507</v>
      </c>
      <c r="I205" s="1112">
        <v>1</v>
      </c>
      <c r="J205" s="1111" t="str">
        <f t="shared" si="302"/>
        <v>Medium duty-B20</v>
      </c>
      <c r="K205" s="1111">
        <v>1201.6641609914475</v>
      </c>
      <c r="L205" s="1111">
        <v>1178.5267384250094</v>
      </c>
      <c r="M205" s="1111">
        <v>1136.3397930534129</v>
      </c>
      <c r="N205" s="1111">
        <v>1092.4684722039599</v>
      </c>
      <c r="O205" s="1111">
        <v>1073.9962973087709</v>
      </c>
      <c r="P205" s="1111">
        <v>1074.2036876096599</v>
      </c>
      <c r="Q205" s="1111">
        <v>1076.974864163655</v>
      </c>
      <c r="R205" s="1111">
        <v>1079.9303703243977</v>
      </c>
      <c r="S205" s="1111">
        <v>1082.501804013054</v>
      </c>
      <c r="T205" s="1111">
        <f t="shared" si="290"/>
        <v>1082.501804013054</v>
      </c>
      <c r="U205" s="1111">
        <v>7.1214244308312216</v>
      </c>
      <c r="V205" s="1111">
        <v>3.6128304341725479</v>
      </c>
      <c r="W205" s="1111">
        <v>1.7519974122964965</v>
      </c>
      <c r="X205" s="1111">
        <v>0.96065871987325979</v>
      </c>
      <c r="Y205" s="1111">
        <v>0.90757576073163748</v>
      </c>
      <c r="Z205" s="1111">
        <v>0.89042989524581051</v>
      </c>
      <c r="AA205" s="1111">
        <v>0.89461734984703412</v>
      </c>
      <c r="AB205" s="1111">
        <v>0.8987440724994965</v>
      </c>
      <c r="AC205" s="1111">
        <v>0.90209548320060939</v>
      </c>
      <c r="AD205" s="1111">
        <f t="shared" si="229"/>
        <v>0.90209548320060939</v>
      </c>
      <c r="AE205" s="1111">
        <v>9.7353034029240712E-2</v>
      </c>
      <c r="AF205" s="1111">
        <v>1.0897625633490129E-2</v>
      </c>
      <c r="AG205" s="1111">
        <v>1.0406741541167761E-2</v>
      </c>
      <c r="AH205" s="1111">
        <v>9.8224380046414948E-3</v>
      </c>
      <c r="AI205" s="1111">
        <v>9.3970788747780587E-3</v>
      </c>
      <c r="AJ205" s="1111">
        <v>9.238212392650845E-3</v>
      </c>
      <c r="AK205" s="1111">
        <v>9.2400129222668364E-3</v>
      </c>
      <c r="AL205" s="1111">
        <v>9.2638591318171173E-3</v>
      </c>
      <c r="AM205" s="1111">
        <v>9.2892864315139538E-3</v>
      </c>
      <c r="AN205" s="1111">
        <v>9.3114094329473044E-3</v>
      </c>
      <c r="AO205" s="1111">
        <v>9.3114094329473044E-3</v>
      </c>
      <c r="AP205" s="1111">
        <v>0.65855177399983167</v>
      </c>
      <c r="AQ205" s="1111">
        <v>0.43488186657747041</v>
      </c>
      <c r="AR205" s="1111">
        <v>0.23241050768026172</v>
      </c>
      <c r="AS205" s="1111">
        <v>0.11172185093330923</v>
      </c>
      <c r="AT205" s="1111">
        <v>8.5614885834893656E-2</v>
      </c>
      <c r="AU205" s="1111">
        <v>8.5639503819240612E-2</v>
      </c>
      <c r="AV205" s="1111">
        <v>8.5739927930046075E-2</v>
      </c>
      <c r="AW205" s="1111">
        <v>8.582650518532732E-2</v>
      </c>
      <c r="AX205" s="1111">
        <v>8.589429395785958E-2</v>
      </c>
      <c r="AY205" s="1111">
        <v>8.595032324811018E-2</v>
      </c>
      <c r="AZ205" s="1111">
        <v>8.595032324811018E-2</v>
      </c>
      <c r="BA205" s="1111">
        <v>0.5483609437258653</v>
      </c>
      <c r="BB205" s="1111">
        <v>0.34312695014898731</v>
      </c>
      <c r="BC205" s="1111">
        <v>0.15737563741998156</v>
      </c>
      <c r="BD205" s="1111">
        <v>4.6795265517911272E-2</v>
      </c>
      <c r="BE205" s="1111">
        <v>2.3123095883741999E-2</v>
      </c>
      <c r="BF205" s="1111">
        <v>2.3078168681861914E-2</v>
      </c>
      <c r="BG205" s="1111">
        <v>2.312640405146895E-2</v>
      </c>
      <c r="BH205" s="1111">
        <v>2.3161206796405157E-2</v>
      </c>
      <c r="BI205" s="1111">
        <v>2.319152249437487E-2</v>
      </c>
      <c r="BJ205" s="1111">
        <v>2.321537510976893E-2</v>
      </c>
      <c r="BK205" s="1111">
        <v>2.321537510976893E-2</v>
      </c>
      <c r="BL205" s="1111">
        <v>2.9199210661235719</v>
      </c>
      <c r="BM205" s="1111">
        <v>2.5248777593037612</v>
      </c>
      <c r="BN205" s="1111">
        <v>1.4951158410843537</v>
      </c>
      <c r="BO205" s="1111">
        <v>0.77103076254423286</v>
      </c>
      <c r="BP205" s="1111">
        <v>0.57675034198196928</v>
      </c>
      <c r="BQ205" s="1111">
        <v>0.58746771251282492</v>
      </c>
      <c r="BR205" s="1111">
        <v>0.59381427386146002</v>
      </c>
      <c r="BS205" s="1111">
        <v>0.59837836436766689</v>
      </c>
      <c r="BT205" s="1111">
        <v>0.59979237815975206</v>
      </c>
      <c r="BU205" s="1111">
        <v>0.60105539514278639</v>
      </c>
      <c r="BV205" s="1111">
        <v>0.60105539514278639</v>
      </c>
      <c r="BW205" s="1111">
        <v>1.168734766137961</v>
      </c>
      <c r="BX205" s="1111">
        <v>0.89557319182284578</v>
      </c>
      <c r="BY205" s="1111">
        <v>0.43008581683391661</v>
      </c>
      <c r="BZ205" s="1111">
        <v>0.16166370522314064</v>
      </c>
      <c r="CA205" s="1111">
        <v>0.10525921994648967</v>
      </c>
      <c r="CB205" s="1111">
        <v>0.1061268353407815</v>
      </c>
      <c r="CC205" s="1111">
        <v>0.10697205447121942</v>
      </c>
      <c r="CD205" s="1111">
        <v>0.10757700742516499</v>
      </c>
      <c r="CE205" s="1111">
        <v>0.10782654440702798</v>
      </c>
      <c r="CF205" s="1111">
        <v>0.10804592527626616</v>
      </c>
      <c r="CG205" s="1111">
        <v>0.10804592527626616</v>
      </c>
      <c r="CH205" s="1111">
        <v>2.3981056492211831E-2</v>
      </c>
      <c r="CI205" s="1111">
        <v>2.4060794425726954E-2</v>
      </c>
      <c r="CJ205" s="1111">
        <v>2.3900575080190969E-2</v>
      </c>
      <c r="CK205" s="1111">
        <v>2.376720009229831E-2</v>
      </c>
      <c r="CL205" s="1111">
        <v>2.3641407134118744E-2</v>
      </c>
      <c r="CM205" s="1111">
        <v>2.3650585559346338E-2</v>
      </c>
      <c r="CN205" s="1111">
        <v>2.3663829169428344E-2</v>
      </c>
      <c r="CO205" s="1111">
        <v>2.3674350554323837E-2</v>
      </c>
      <c r="CP205" s="1111">
        <v>2.3684378528602522E-2</v>
      </c>
      <c r="CQ205" s="1111">
        <v>2.3693426288723347E-2</v>
      </c>
      <c r="CR205" s="1111">
        <v>2.3693426288723347E-2</v>
      </c>
      <c r="CS205" s="1111">
        <v>11.39240838652931</v>
      </c>
      <c r="CT205" s="1111">
        <v>7.1214244308312216</v>
      </c>
      <c r="CU205" s="1111">
        <v>3.6128304341725479</v>
      </c>
      <c r="CV205" s="1111">
        <v>1.7519974122964965</v>
      </c>
      <c r="CW205" s="1111">
        <v>0.96065871987325979</v>
      </c>
      <c r="CX205" s="1111">
        <v>0.90757576073163748</v>
      </c>
      <c r="CY205" s="1111">
        <v>0.89042989524581051</v>
      </c>
      <c r="CZ205" s="1111">
        <v>0.89461734984703412</v>
      </c>
      <c r="DA205" s="1111">
        <v>0.8987440724994965</v>
      </c>
      <c r="DB205" s="1111">
        <v>0.90209548320060939</v>
      </c>
      <c r="DC205" s="1111">
        <v>0.90209548320060939</v>
      </c>
      <c r="DD205" s="1111">
        <v>0.23286264726410541</v>
      </c>
      <c r="DE205" s="1111">
        <v>0.14059521062228808</v>
      </c>
      <c r="DF205" s="1111">
        <v>5.973956390045012E-2</v>
      </c>
      <c r="DG205" s="1111">
        <v>1.1550767547596517E-2</v>
      </c>
      <c r="DH205" s="1111">
        <v>1.3158430338576447E-3</v>
      </c>
      <c r="DI205" s="1111">
        <v>1.314537595275584E-3</v>
      </c>
      <c r="DJ205" s="1111">
        <v>1.3214481328788638E-3</v>
      </c>
      <c r="DK205" s="1111">
        <v>1.325870964446599E-3</v>
      </c>
      <c r="DL205" s="1111">
        <v>1.3291736201754948E-3</v>
      </c>
      <c r="DM205" s="1111">
        <v>1.3318673633578031E-3</v>
      </c>
      <c r="DN205" s="1111">
        <v>1.3318673633578031E-3</v>
      </c>
      <c r="DO205" s="1111">
        <v>0.21113278470635008</v>
      </c>
      <c r="DP205" s="1111">
        <v>0.13588253766987507</v>
      </c>
      <c r="DQ205" s="1111">
        <v>5.8410877304658673E-2</v>
      </c>
      <c r="DR205" s="1111">
        <v>1.1959643964556073E-2</v>
      </c>
      <c r="DS205" s="1111">
        <v>2.3071562662737286E-3</v>
      </c>
      <c r="DT205" s="1111">
        <v>2.306021194268214E-3</v>
      </c>
      <c r="DU205" s="1111">
        <v>2.3190297798020183E-3</v>
      </c>
      <c r="DV205" s="1111">
        <v>2.3273230582693503E-3</v>
      </c>
      <c r="DW205" s="1111">
        <v>2.3333919905544282E-3</v>
      </c>
      <c r="DX205" s="1111">
        <v>2.338372920798026E-3</v>
      </c>
      <c r="DY205" s="1111">
        <v>2.338372920798026E-3</v>
      </c>
      <c r="DZ205" s="1111">
        <v>2.79272942199774E-3</v>
      </c>
      <c r="EA205" s="1111">
        <v>2.3973751462862233E-2</v>
      </c>
      <c r="EB205" s="1111">
        <v>6.079212849905441E-2</v>
      </c>
      <c r="EC205" s="1111">
        <v>8.3498526152271491E-2</v>
      </c>
      <c r="ED205" s="1111">
        <v>8.0941552068006586E-2</v>
      </c>
      <c r="EE205" s="1111">
        <v>8.2195409272928482E-2</v>
      </c>
      <c r="EF205" s="1111">
        <v>8.2935005179094787E-2</v>
      </c>
      <c r="EG205" s="1111">
        <v>8.3375228951166155E-2</v>
      </c>
      <c r="EH205" s="1111">
        <v>8.3465588028604418E-2</v>
      </c>
      <c r="EI205" s="1111">
        <v>8.3545381825033446E-2</v>
      </c>
      <c r="EJ205" s="1111">
        <v>8.3545381825033446E-2</v>
      </c>
      <c r="EK205" s="1111">
        <v>1213.4690028275372</v>
      </c>
      <c r="EL205" s="1111">
        <f t="shared" si="269"/>
        <v>1201.6641609914475</v>
      </c>
      <c r="EM205" s="1111">
        <f t="shared" si="270"/>
        <v>1178.5267384250094</v>
      </c>
      <c r="EN205" s="1111">
        <f t="shared" si="271"/>
        <v>1136.3397930534129</v>
      </c>
      <c r="EO205" s="1111">
        <f t="shared" si="272"/>
        <v>1092.4684722039599</v>
      </c>
      <c r="EP205" s="1111">
        <f t="shared" si="273"/>
        <v>1073.9962973087709</v>
      </c>
      <c r="EQ205" s="1111">
        <f t="shared" si="274"/>
        <v>1074.2036876096599</v>
      </c>
      <c r="ER205" s="1111">
        <f t="shared" si="275"/>
        <v>1076.974864163655</v>
      </c>
      <c r="ES205" s="1111">
        <f t="shared" si="276"/>
        <v>1079.9303703243977</v>
      </c>
      <c r="ET205" s="1111">
        <f t="shared" si="277"/>
        <v>1082.501804013054</v>
      </c>
      <c r="EU205" s="1111">
        <f t="shared" si="278"/>
        <v>1082.501804013054</v>
      </c>
      <c r="EV205" s="1111">
        <v>11.39240838652931</v>
      </c>
      <c r="EW205" s="1111">
        <f t="shared" si="259"/>
        <v>7.1214244308312216</v>
      </c>
      <c r="EX205" s="1111">
        <f t="shared" si="260"/>
        <v>3.6128304341725479</v>
      </c>
      <c r="EY205" s="1111">
        <f t="shared" si="261"/>
        <v>1.7519974122964965</v>
      </c>
      <c r="EZ205" s="1111">
        <f t="shared" si="262"/>
        <v>0.96065871987325979</v>
      </c>
      <c r="FA205" s="1111">
        <f t="shared" si="263"/>
        <v>0.90757576073163748</v>
      </c>
      <c r="FB205" s="1111">
        <f t="shared" si="264"/>
        <v>0.89042989524581051</v>
      </c>
      <c r="FC205" s="1111">
        <f t="shared" si="265"/>
        <v>0.89461734984703412</v>
      </c>
      <c r="FD205" s="1111">
        <f t="shared" si="266"/>
        <v>0.8987440724994965</v>
      </c>
      <c r="FE205" s="1111">
        <f t="shared" si="267"/>
        <v>0.90209548320060939</v>
      </c>
      <c r="FF205" s="1111">
        <f t="shared" si="268"/>
        <v>0.90209548320060939</v>
      </c>
      <c r="FG205" s="1111">
        <f t="shared" si="291"/>
        <v>9.7353034029240712E-2</v>
      </c>
      <c r="FH205" s="1111">
        <f t="shared" si="292"/>
        <v>1.0897625633490129E-2</v>
      </c>
      <c r="FI205" s="1111">
        <f t="shared" si="293"/>
        <v>1.0406741541167761E-2</v>
      </c>
      <c r="FJ205" s="1111">
        <f t="shared" si="294"/>
        <v>9.8224380046414948E-3</v>
      </c>
      <c r="FK205" s="1111">
        <f t="shared" si="295"/>
        <v>9.3970788747780587E-3</v>
      </c>
      <c r="FL205" s="1111">
        <f t="shared" si="296"/>
        <v>9.238212392650845E-3</v>
      </c>
      <c r="FM205" s="1111">
        <f t="shared" si="297"/>
        <v>9.2400129222668364E-3</v>
      </c>
      <c r="FN205" s="1111">
        <f t="shared" si="298"/>
        <v>9.2638591318171173E-3</v>
      </c>
      <c r="FO205" s="1111">
        <f t="shared" si="299"/>
        <v>9.2892864315139538E-3</v>
      </c>
      <c r="FP205" s="1111">
        <f t="shared" si="300"/>
        <v>9.3114094329473044E-3</v>
      </c>
      <c r="FQ205" s="1111">
        <f t="shared" si="301"/>
        <v>9.3114094329473044E-3</v>
      </c>
      <c r="FR205" s="1111">
        <f t="shared" si="230"/>
        <v>0.65855177399983167</v>
      </c>
      <c r="FS205" s="1111">
        <f t="shared" si="231"/>
        <v>0.43488186657747041</v>
      </c>
      <c r="FT205" s="1111">
        <f t="shared" si="232"/>
        <v>0.23241050768026172</v>
      </c>
      <c r="FU205" s="1111">
        <f t="shared" si="233"/>
        <v>0.11172185093330923</v>
      </c>
      <c r="FV205" s="1111">
        <f t="shared" si="234"/>
        <v>8.5614885834893656E-2</v>
      </c>
      <c r="FW205" s="1111">
        <f t="shared" si="235"/>
        <v>8.5639503819240612E-2</v>
      </c>
      <c r="FX205" s="1111">
        <f t="shared" si="236"/>
        <v>8.5739927930046075E-2</v>
      </c>
      <c r="FY205" s="1111">
        <f t="shared" si="237"/>
        <v>8.582650518532732E-2</v>
      </c>
      <c r="FZ205" s="1111">
        <f t="shared" si="238"/>
        <v>8.589429395785958E-2</v>
      </c>
      <c r="GA205" s="1111">
        <f t="shared" si="239"/>
        <v>8.595032324811018E-2</v>
      </c>
      <c r="GB205" s="1111">
        <f t="shared" si="240"/>
        <v>8.595032324811018E-2</v>
      </c>
      <c r="GC205" s="1111">
        <f t="shared" si="279"/>
        <v>0.5483609437258653</v>
      </c>
      <c r="GD205" s="1111">
        <f t="shared" si="280"/>
        <v>0.34312695014898731</v>
      </c>
      <c r="GE205" s="1111">
        <f t="shared" si="281"/>
        <v>0.15737563741998156</v>
      </c>
      <c r="GF205" s="1111">
        <f t="shared" si="282"/>
        <v>4.6795265517911272E-2</v>
      </c>
      <c r="GG205" s="1111">
        <f t="shared" si="283"/>
        <v>2.3123095883741999E-2</v>
      </c>
      <c r="GH205" s="1111">
        <f t="shared" si="284"/>
        <v>2.3078168681861914E-2</v>
      </c>
      <c r="GI205" s="1111">
        <f t="shared" si="285"/>
        <v>2.312640405146895E-2</v>
      </c>
      <c r="GJ205" s="1111">
        <f t="shared" si="286"/>
        <v>2.3161206796405157E-2</v>
      </c>
      <c r="GK205" s="1111">
        <f t="shared" si="287"/>
        <v>2.319152249437487E-2</v>
      </c>
      <c r="GL205" s="1111">
        <f t="shared" si="288"/>
        <v>2.321537510976893E-2</v>
      </c>
      <c r="GM205" s="1111">
        <f t="shared" si="289"/>
        <v>2.321537510976893E-2</v>
      </c>
    </row>
    <row r="206" spans="1:195" x14ac:dyDescent="0.2">
      <c r="A206" s="1071" t="s">
        <v>182</v>
      </c>
      <c r="B206" s="1071" t="str">
        <f>Technologies!C128</f>
        <v>TMCNGC10</v>
      </c>
      <c r="C206" s="1071" t="str">
        <f>Technologies!D128</f>
        <v>Medium Duty Truck, CNG, 2010</v>
      </c>
      <c r="D206" s="1071" t="str">
        <f>NewTech!D79</f>
        <v>bn-vmt, bn-vmt/a</v>
      </c>
      <c r="E206" s="1071" t="str">
        <f>NewTech!E81</f>
        <v>TMCNG</v>
      </c>
      <c r="F206" s="1071" t="str">
        <f>NewTech!F80</f>
        <v>TM</v>
      </c>
      <c r="G206" s="1110" t="s">
        <v>503</v>
      </c>
      <c r="H206" s="1110" t="s">
        <v>500</v>
      </c>
      <c r="I206" s="1112">
        <v>1</v>
      </c>
      <c r="J206" s="1111" t="str">
        <f t="shared" si="302"/>
        <v>Medium duty-GSL</v>
      </c>
      <c r="K206" s="1111">
        <f>SUMIFS(NewEmisData!E:E, NewEmisData!$A:$A, $G206, NewEmisData!$B:$B, $A206, NewEmisData!$C:$C, $H206, NewEmisData!$D:$D, K$6)</f>
        <v>1241.60800343195</v>
      </c>
      <c r="L206" s="1111">
        <f>SUMIFS(NewEmisData!F:F, NewEmisData!$A:$A, $G206, NewEmisData!$B:$B, $A206, NewEmisData!$C:$C, $H206, NewEmisData!$D:$D, L$6)</f>
        <v>1243.08928499321</v>
      </c>
      <c r="M206" s="1111">
        <f>SUMIFS(NewEmisData!G:G, NewEmisData!$A:$A, $G206, NewEmisData!$B:$B, $A206, NewEmisData!$C:$C, $H206, NewEmisData!$D:$D, M$6)</f>
        <v>1559.7377784626201</v>
      </c>
      <c r="N206" s="1111">
        <f>SUMIFS(NewEmisData!H:H, NewEmisData!$A:$A, $G206, NewEmisData!$B:$B, $A206, NewEmisData!$C:$C, $H206, NewEmisData!$D:$D, N$6)</f>
        <v>1531.1148438857699</v>
      </c>
      <c r="O206" s="1111">
        <f>SUMIFS(NewEmisData!I:I, NewEmisData!$A:$A, $G206, NewEmisData!$B:$B, $A206, NewEmisData!$C:$C, $H206, NewEmisData!$D:$D, O$6)</f>
        <v>1508.7877657548299</v>
      </c>
      <c r="P206" s="1111">
        <f>SUMIFS(NewEmisData!J:J, NewEmisData!$A:$A, $G206, NewEmisData!$B:$B, $A206, NewEmisData!$C:$C, $H206, NewEmisData!$D:$D, P$6)</f>
        <v>1502.9671636844901</v>
      </c>
      <c r="Q206" s="1111">
        <f>SUMIFS(NewEmisData!K:K, NewEmisData!$A:$A, $G206, NewEmisData!$B:$B, $A206, NewEmisData!$C:$C, $H206, NewEmisData!$D:$D, Q$6)</f>
        <v>1501.4395842993699</v>
      </c>
      <c r="R206" s="1111">
        <f>SUMIFS(NewEmisData!L:L, NewEmisData!$A:$A, $G206, NewEmisData!$B:$B, $A206, NewEmisData!$C:$C, $H206, NewEmisData!$D:$D, R$6)</f>
        <v>1501.15044041939</v>
      </c>
      <c r="S206" s="1111">
        <f>SUMIFS(NewEmisData!M:M, NewEmisData!$A:$A, $G206, NewEmisData!$B:$B, $A206, NewEmisData!$C:$C, $H206, NewEmisData!$D:$D, S$6)</f>
        <v>1501.0860905019599</v>
      </c>
      <c r="T206" s="1111">
        <f t="shared" si="290"/>
        <v>1501.0860905019599</v>
      </c>
      <c r="U206" s="1111">
        <f>SUMIFS(NewEmisData!E:E, NewEmisData!$A:$A, $G206, NewEmisData!$B:$B, $A206, NewEmisData!$C:$C, $H206, NewEmisData!$D:$D, U$6)</f>
        <v>4.1625657526614797</v>
      </c>
      <c r="V206" s="1111">
        <f>SUMIFS(NewEmisData!F:F, NewEmisData!$A:$A, $G206, NewEmisData!$B:$B, $A206, NewEmisData!$C:$C, $H206, NewEmisData!$D:$D, V$6)</f>
        <v>2.1578815518962502</v>
      </c>
      <c r="W206" s="1111">
        <f>SUMIFS(NewEmisData!G:G, NewEmisData!$A:$A, $G206, NewEmisData!$B:$B, $A206, NewEmisData!$C:$C, $H206, NewEmisData!$D:$D, W$6)</f>
        <v>1.30274636086792</v>
      </c>
      <c r="X206" s="1111">
        <f>SUMIFS(NewEmisData!H:H, NewEmisData!$A:$A, $G206, NewEmisData!$B:$B, $A206, NewEmisData!$C:$C, $H206, NewEmisData!$D:$D, X$6)</f>
        <v>0.94297953696777803</v>
      </c>
      <c r="Y206" s="1111">
        <f>SUMIFS(NewEmisData!I:I, NewEmisData!$A:$A, $G206, NewEmisData!$B:$B, $A206, NewEmisData!$C:$C, $H206, NewEmisData!$D:$D, Y$6)</f>
        <v>0.78815258031283297</v>
      </c>
      <c r="Z206" s="1111">
        <f>SUMIFS(NewEmisData!J:J, NewEmisData!$A:$A, $G206, NewEmisData!$B:$B, $A206, NewEmisData!$C:$C, $H206, NewEmisData!$D:$D, Z$6)</f>
        <v>0.71799894873057002</v>
      </c>
      <c r="AA206" s="1111">
        <f>SUMIFS(NewEmisData!K:K, NewEmisData!$A:$A, $G206, NewEmisData!$B:$B, $A206, NewEmisData!$C:$C, $H206, NewEmisData!$D:$D, AA$6)</f>
        <v>0.69737659475245495</v>
      </c>
      <c r="AB206" s="1111">
        <f>SUMIFS(NewEmisData!L:L, NewEmisData!$A:$A, $G206, NewEmisData!$B:$B, $A206, NewEmisData!$C:$C, $H206, NewEmisData!$D:$D, AB$6)</f>
        <v>0.69289982108465797</v>
      </c>
      <c r="AC206" s="1111">
        <f>SUMIFS(NewEmisData!M:M, NewEmisData!$A:$A, $G206, NewEmisData!$B:$B, $A206, NewEmisData!$C:$C, $H206, NewEmisData!$D:$D, AC$6)</f>
        <v>0.69155412460857602</v>
      </c>
      <c r="AD206" s="1111">
        <f t="shared" si="229"/>
        <v>0.69155412460857602</v>
      </c>
      <c r="AE206" s="1111">
        <f t="shared" ref="AE206:AE225" si="303">AF206</f>
        <v>2.1484176158971701E-2</v>
      </c>
      <c r="AF206" s="1111">
        <f>SUMIFS(NewEmisData!E:E, NewEmisData!$A:$A, $G206, NewEmisData!$B:$B, $A206, NewEmisData!$C:$C, $H206, NewEmisData!$D:$D, AF$6)</f>
        <v>2.1484176158971701E-2</v>
      </c>
      <c r="AG206" s="1111">
        <f>SUMIFS(NewEmisData!F:F, NewEmisData!$A:$A, $G206, NewEmisData!$B:$B, $A206, NewEmisData!$C:$C, $H206, NewEmisData!$D:$D, AG$6)</f>
        <v>2.1509817808633099E-2</v>
      </c>
      <c r="AH206" s="1111">
        <f>SUMIFS(NewEmisData!G:G, NewEmisData!$A:$A, $G206, NewEmisData!$B:$B, $A206, NewEmisData!$C:$C, $H206, NewEmisData!$D:$D, AH$6)</f>
        <v>2.2375249866597498E-2</v>
      </c>
      <c r="AI206" s="1111">
        <f>SUMIFS(NewEmisData!H:H, NewEmisData!$A:$A, $G206, NewEmisData!$B:$B, $A206, NewEmisData!$C:$C, $H206, NewEmisData!$D:$D, AI$6)</f>
        <v>2.1964641718838499E-2</v>
      </c>
      <c r="AJ206" s="1111">
        <f>SUMIFS(NewEmisData!I:I, NewEmisData!$A:$A, $G206, NewEmisData!$B:$B, $A206, NewEmisData!$C:$C, $H206, NewEmisData!$D:$D, AJ$6)</f>
        <v>2.1644351533378101E-2</v>
      </c>
      <c r="AK206" s="1111">
        <f>SUMIFS(NewEmisData!J:J, NewEmisData!$A:$A, $G206, NewEmisData!$B:$B, $A206, NewEmisData!$C:$C, $H206, NewEmisData!$D:$D, AK$6)</f>
        <v>2.1560851881015301E-2</v>
      </c>
      <c r="AL206" s="1111">
        <f>SUMIFS(NewEmisData!K:K, NewEmisData!$A:$A, $G206, NewEmisData!$B:$B, $A206, NewEmisData!$C:$C, $H206, NewEmisData!$D:$D, AL$6)</f>
        <v>2.1538927343366401E-2</v>
      </c>
      <c r="AM206" s="1111">
        <f>SUMIFS(NewEmisData!L:L, NewEmisData!$A:$A, $G206, NewEmisData!$B:$B, $A206, NewEmisData!$C:$C, $H206, NewEmisData!$D:$D, AM$6)</f>
        <v>2.1534775827773901E-2</v>
      </c>
      <c r="AN206" s="1111">
        <f>SUMIFS(NewEmisData!M:M, NewEmisData!$A:$A, $G206, NewEmisData!$B:$B, $A206, NewEmisData!$C:$C, $H206, NewEmisData!$D:$D, AN$6)</f>
        <v>2.15338577914834E-2</v>
      </c>
      <c r="AO206" s="1111">
        <f t="shared" ref="AO206:AO225" si="304">AN206</f>
        <v>2.15338577914834E-2</v>
      </c>
      <c r="AP206" s="1111">
        <f t="shared" ref="AP206:AP225" si="305">AQ206</f>
        <v>0.205584171442245</v>
      </c>
      <c r="AQ206" s="1111">
        <f>SUMIFS(NewEmisData!E:E, NewEmisData!$A:$A, $G206, NewEmisData!$B:$B, $A206, NewEmisData!$C:$C, $H206, NewEmisData!$D:$D, AQ$6)</f>
        <v>0.205584171442245</v>
      </c>
      <c r="AR206" s="1111">
        <f>SUMIFS(NewEmisData!F:F, NewEmisData!$A:$A, $G206, NewEmisData!$B:$B, $A206, NewEmisData!$C:$C, $H206, NewEmisData!$D:$D, AR$6)</f>
        <v>0.200703686535146</v>
      </c>
      <c r="AS206" s="1111">
        <f>SUMIFS(NewEmisData!G:G, NewEmisData!$A:$A, $G206, NewEmisData!$B:$B, $A206, NewEmisData!$C:$C, $H206, NewEmisData!$D:$D, AS$6)</f>
        <v>0.298432150084874</v>
      </c>
      <c r="AT206" s="1111">
        <f>SUMIFS(NewEmisData!H:H, NewEmisData!$A:$A, $G206, NewEmisData!$B:$B, $A206, NewEmisData!$C:$C, $H206, NewEmisData!$D:$D, AT$6)</f>
        <v>0.29892439751761801</v>
      </c>
      <c r="AU206" s="1111">
        <f>SUMIFS(NewEmisData!I:I, NewEmisData!$A:$A, $G206, NewEmisData!$B:$B, $A206, NewEmisData!$C:$C, $H206, NewEmisData!$D:$D, AU$6)</f>
        <v>0.29942291421429901</v>
      </c>
      <c r="AV206" s="1111">
        <f>SUMIFS(NewEmisData!J:J, NewEmisData!$A:$A, $G206, NewEmisData!$B:$B, $A206, NewEmisData!$C:$C, $H206, NewEmisData!$D:$D, AV$6)</f>
        <v>0.29972619462258399</v>
      </c>
      <c r="AW206" s="1111">
        <f>SUMIFS(NewEmisData!K:K, NewEmisData!$A:$A, $G206, NewEmisData!$B:$B, $A206, NewEmisData!$C:$C, $H206, NewEmisData!$D:$D, AW$6)</f>
        <v>0.29988559432946199</v>
      </c>
      <c r="AX206" s="1111">
        <f>SUMIFS(NewEmisData!L:L, NewEmisData!$A:$A, $G206, NewEmisData!$B:$B, $A206, NewEmisData!$C:$C, $H206, NewEmisData!$D:$D, AX$6)</f>
        <v>0.29993582308119998</v>
      </c>
      <c r="AY206" s="1111">
        <f>SUMIFS(NewEmisData!M:M, NewEmisData!$A:$A, $G206, NewEmisData!$B:$B, $A206, NewEmisData!$C:$C, $H206, NewEmisData!$D:$D, AY$6)</f>
        <v>0.299955436334361</v>
      </c>
      <c r="AZ206" s="1111">
        <f t="shared" ref="AZ206:AZ225" si="306">AY206</f>
        <v>0.299955436334361</v>
      </c>
      <c r="BA206" s="1111">
        <f t="shared" ref="BA206:BA225" si="307">BB206</f>
        <v>3.9334690996451198E-2</v>
      </c>
      <c r="BB206" s="1111">
        <f>SUMIFS(NewEmisData!E:E, NewEmisData!$A:$A, $G206, NewEmisData!$B:$B, $A206, NewEmisData!$C:$C, $H206, NewEmisData!$D:$D, BB$6)</f>
        <v>3.9334690996451198E-2</v>
      </c>
      <c r="BC206" s="1111">
        <f>SUMIFS(NewEmisData!F:F, NewEmisData!$A:$A, $G206, NewEmisData!$B:$B, $A206, NewEmisData!$C:$C, $H206, NewEmisData!$D:$D, BC$6)</f>
        <v>3.4631534960308699E-2</v>
      </c>
      <c r="BD206" s="1111">
        <f>SUMIFS(NewEmisData!G:G, NewEmisData!$A:$A, $G206, NewEmisData!$B:$B, $A206, NewEmisData!$C:$C, $H206, NewEmisData!$D:$D, BD$6)</f>
        <v>4.5448906099466301E-2</v>
      </c>
      <c r="BE206" s="1111">
        <f>SUMIFS(NewEmisData!H:H, NewEmisData!$A:$A, $G206, NewEmisData!$B:$B, $A206, NewEmisData!$C:$C, $H206, NewEmisData!$D:$D, BE$6)</f>
        <v>4.5413592229635001E-2</v>
      </c>
      <c r="BF206" s="1111">
        <f>SUMIFS(NewEmisData!I:I, NewEmisData!$A:$A, $G206, NewEmisData!$B:$B, $A206, NewEmisData!$C:$C, $H206, NewEmisData!$D:$D, BF$6)</f>
        <v>4.5762266359602698E-2</v>
      </c>
      <c r="BG206" s="1111">
        <f>SUMIFS(NewEmisData!J:J, NewEmisData!$A:$A, $G206, NewEmisData!$B:$B, $A206, NewEmisData!$C:$C, $H206, NewEmisData!$D:$D, BG$6)</f>
        <v>4.6004282113656897E-2</v>
      </c>
      <c r="BH206" s="1111">
        <f>SUMIFS(NewEmisData!K:K, NewEmisData!$A:$A, $G206, NewEmisData!$B:$B, $A206, NewEmisData!$C:$C, $H206, NewEmisData!$D:$D, BH$6)</f>
        <v>4.6139436899626303E-2</v>
      </c>
      <c r="BI206" s="1111">
        <f>SUMIFS(NewEmisData!L:L, NewEmisData!$A:$A, $G206, NewEmisData!$B:$B, $A206, NewEmisData!$C:$C, $H206, NewEmisData!$D:$D, BI$6)</f>
        <v>4.6182051454262997E-2</v>
      </c>
      <c r="BJ206" s="1111">
        <f>SUMIFS(NewEmisData!M:M, NewEmisData!$A:$A, $G206, NewEmisData!$B:$B, $A206, NewEmisData!$C:$C, $H206, NewEmisData!$D:$D, BJ$6)</f>
        <v>4.6199279391049702E-2</v>
      </c>
      <c r="BK206" s="1111">
        <f t="shared" ref="BK206:BK225" si="308">BJ206</f>
        <v>4.6199279391049702E-2</v>
      </c>
      <c r="BL206" s="1111">
        <f t="shared" ref="BL206:BL225" si="309">BM206</f>
        <v>35.379082211376598</v>
      </c>
      <c r="BM206" s="1111">
        <f>SUMIFS(NewEmisData!E:E, NewEmisData!$A:$A, $G206, NewEmisData!$B:$B, $A206, NewEmisData!$C:$C, $H206, NewEmisData!$D:$D, BM$6)</f>
        <v>35.379082211376598</v>
      </c>
      <c r="BN206" s="1111">
        <f>SUMIFS(NewEmisData!F:F, NewEmisData!$A:$A, $G206, NewEmisData!$B:$B, $A206, NewEmisData!$C:$C, $H206, NewEmisData!$D:$D, BN$6)</f>
        <v>20.9802918509032</v>
      </c>
      <c r="BO206" s="1111">
        <f>SUMIFS(NewEmisData!G:G, NewEmisData!$A:$A, $G206, NewEmisData!$B:$B, $A206, NewEmisData!$C:$C, $H206, NewEmisData!$D:$D, BO$6)</f>
        <v>14.8071744303823</v>
      </c>
      <c r="BP206" s="1111">
        <f>SUMIFS(NewEmisData!H:H, NewEmisData!$A:$A, $G206, NewEmisData!$B:$B, $A206, NewEmisData!$C:$C, $H206, NewEmisData!$D:$D, BP$6)</f>
        <v>12.7817736031308</v>
      </c>
      <c r="BQ206" s="1111">
        <f>SUMIFS(NewEmisData!I:I, NewEmisData!$A:$A, $G206, NewEmisData!$B:$B, $A206, NewEmisData!$C:$C, $H206, NewEmisData!$D:$D, BQ$6)</f>
        <v>12.249879427369301</v>
      </c>
      <c r="BR206" s="1111">
        <f>SUMIFS(NewEmisData!J:J, NewEmisData!$A:$A, $G206, NewEmisData!$B:$B, $A206, NewEmisData!$C:$C, $H206, NewEmisData!$D:$D, BR$6)</f>
        <v>12.1493449959291</v>
      </c>
      <c r="BS206" s="1111">
        <f>SUMIFS(NewEmisData!K:K, NewEmisData!$A:$A, $G206, NewEmisData!$B:$B, $A206, NewEmisData!$C:$C, $H206, NewEmisData!$D:$D, BS$6)</f>
        <v>12.229795867911401</v>
      </c>
      <c r="BT206" s="1111">
        <f>SUMIFS(NewEmisData!L:L, NewEmisData!$A:$A, $G206, NewEmisData!$B:$B, $A206, NewEmisData!$C:$C, $H206, NewEmisData!$D:$D, BT$6)</f>
        <v>12.2882488120452</v>
      </c>
      <c r="BU206" s="1111">
        <f>SUMIFS(NewEmisData!M:M, NewEmisData!$A:$A, $G206, NewEmisData!$B:$B, $A206, NewEmisData!$C:$C, $H206, NewEmisData!$D:$D, BU$6)</f>
        <v>12.321950956593</v>
      </c>
      <c r="BV206" s="1111">
        <f t="shared" ref="BV206:BV225" si="310">BU206</f>
        <v>12.321950956593</v>
      </c>
      <c r="BW206" s="1111">
        <f t="shared" ref="BW206:BW225" si="311">BX206</f>
        <v>1.87362575135703</v>
      </c>
      <c r="BX206" s="1111">
        <f>SUMIFS(NewEmisData!E:E, NewEmisData!$A:$A, $G206, NewEmisData!$B:$B, $A206, NewEmisData!$C:$C, $H206, NewEmisData!$D:$D, BX$6)</f>
        <v>1.87362575135703</v>
      </c>
      <c r="BY206" s="1111">
        <f>SUMIFS(NewEmisData!F:F, NewEmisData!$A:$A, $G206, NewEmisData!$B:$B, $A206, NewEmisData!$C:$C, $H206, NewEmisData!$D:$D, BY$6)</f>
        <v>1.0527291712428299</v>
      </c>
      <c r="BZ206" s="1111">
        <f>SUMIFS(NewEmisData!G:G, NewEmisData!$A:$A, $G206, NewEmisData!$B:$B, $A206, NewEmisData!$C:$C, $H206, NewEmisData!$D:$D, BZ$6)</f>
        <v>0.690616026658735</v>
      </c>
      <c r="CA206" s="1111">
        <f>SUMIFS(NewEmisData!H:H, NewEmisData!$A:$A, $G206, NewEmisData!$B:$B, $A206, NewEmisData!$C:$C, $H206, NewEmisData!$D:$D, CA$6)</f>
        <v>0.54311164322371697</v>
      </c>
      <c r="CB206" s="1111">
        <f>SUMIFS(NewEmisData!I:I, NewEmisData!$A:$A, $G206, NewEmisData!$B:$B, $A206, NewEmisData!$C:$C, $H206, NewEmisData!$D:$D, CB$6)</f>
        <v>0.48887057427966502</v>
      </c>
      <c r="CC206" s="1111">
        <f>SUMIFS(NewEmisData!J:J, NewEmisData!$A:$A, $G206, NewEmisData!$B:$B, $A206, NewEmisData!$C:$C, $H206, NewEmisData!$D:$D, CC$6)</f>
        <v>0.46684418132935501</v>
      </c>
      <c r="CD206" s="1111">
        <f>SUMIFS(NewEmisData!K:K, NewEmisData!$A:$A, $G206, NewEmisData!$B:$B, $A206, NewEmisData!$C:$C, $H206, NewEmisData!$D:$D, CD$6)</f>
        <v>0.46389956383150999</v>
      </c>
      <c r="CE206" s="1111">
        <f>SUMIFS(NewEmisData!L:L, NewEmisData!$A:$A, $G206, NewEmisData!$B:$B, $A206, NewEmisData!$C:$C, $H206, NewEmisData!$D:$D, CE$6)</f>
        <v>0.46392493269586499</v>
      </c>
      <c r="CF206" s="1111">
        <f>SUMIFS(NewEmisData!M:M, NewEmisData!$A:$A, $G206, NewEmisData!$B:$B, $A206, NewEmisData!$C:$C, $H206, NewEmisData!$D:$D, CF$6)</f>
        <v>0.46396365606422402</v>
      </c>
      <c r="CG206" s="1111">
        <f t="shared" ref="CG206:CG225" si="312">CF206</f>
        <v>0.46396365606422402</v>
      </c>
      <c r="CH206" s="1111">
        <f t="shared" ref="CH206:CH225" si="313">CI206</f>
        <v>4.5385046654151703E-2</v>
      </c>
      <c r="CI206" s="1111">
        <f>SUMIFS(NewEmisData!E:E, NewEmisData!$A:$A, $G206, NewEmisData!$B:$B, $A206, NewEmisData!$C:$C, $H206, NewEmisData!$D:$D, CI$6)</f>
        <v>4.5385046654151703E-2</v>
      </c>
      <c r="CJ206" s="1111">
        <f>SUMIFS(NewEmisData!F:F, NewEmisData!$A:$A, $G206, NewEmisData!$B:$B, $A206, NewEmisData!$C:$C, $H206, NewEmisData!$D:$D, CJ$6)</f>
        <v>4.5393164724417102E-2</v>
      </c>
      <c r="CK206" s="1111">
        <f>SUMIFS(NewEmisData!G:G, NewEmisData!$A:$A, $G206, NewEmisData!$B:$B, $A206, NewEmisData!$C:$C, $H206, NewEmisData!$D:$D, CK$6)</f>
        <v>6.2513239349190994E-2</v>
      </c>
      <c r="CL206" s="1111">
        <f>SUMIFS(NewEmisData!H:H, NewEmisData!$A:$A, $G206, NewEmisData!$B:$B, $A206, NewEmisData!$C:$C, $H206, NewEmisData!$D:$D, CL$6)</f>
        <v>6.2512411846424906E-2</v>
      </c>
      <c r="CM206" s="1111">
        <f>SUMIFS(NewEmisData!I:I, NewEmisData!$A:$A, $G206, NewEmisData!$B:$B, $A206, NewEmisData!$C:$C, $H206, NewEmisData!$D:$D, CM$6)</f>
        <v>6.2512421474567897E-2</v>
      </c>
      <c r="CN206" s="1111">
        <f>SUMIFS(NewEmisData!J:J, NewEmisData!$A:$A, $G206, NewEmisData!$B:$B, $A206, NewEmisData!$C:$C, $H206, NewEmisData!$D:$D, CN$6)</f>
        <v>6.2512452306065502E-2</v>
      </c>
      <c r="CO206" s="1111">
        <f>SUMIFS(NewEmisData!K:K, NewEmisData!$A:$A, $G206, NewEmisData!$B:$B, $A206, NewEmisData!$C:$C, $H206, NewEmisData!$D:$D, CO$6)</f>
        <v>6.2512380916104907E-2</v>
      </c>
      <c r="CP206" s="1111">
        <f>SUMIFS(NewEmisData!L:L, NewEmisData!$A:$A, $G206, NewEmisData!$B:$B, $A206, NewEmisData!$C:$C, $H206, NewEmisData!$D:$D, CP$6)</f>
        <v>6.2512436309679606E-2</v>
      </c>
      <c r="CQ206" s="1111">
        <f>SUMIFS(NewEmisData!M:M, NewEmisData!$A:$A, $G206, NewEmisData!$B:$B, $A206, NewEmisData!$C:$C, $H206, NewEmisData!$D:$D, CQ$6)</f>
        <v>6.2512445317614407E-2</v>
      </c>
      <c r="CR206" s="1111">
        <f t="shared" ref="CR206:CR225" si="314">CQ206</f>
        <v>6.2512445317614407E-2</v>
      </c>
      <c r="CS206" s="1111">
        <f t="shared" ref="CS206:CS225" si="315">CT206</f>
        <v>6.7564687236939897E-2</v>
      </c>
      <c r="CT206" s="1111">
        <f>SUMIFS(NewEmisData!E:E, NewEmisData!$A:$A, $G206, NewEmisData!$B:$B, $A206, NewEmisData!$C:$C, $H206, NewEmisData!$D:$D, CT$6)</f>
        <v>6.7564687236939897E-2</v>
      </c>
      <c r="CU206" s="1111">
        <f>SUMIFS(NewEmisData!F:F, NewEmisData!$A:$A, $G206, NewEmisData!$B:$B, $A206, NewEmisData!$C:$C, $H206, NewEmisData!$D:$D, CU$6)</f>
        <v>3.8153498607861998E-2</v>
      </c>
      <c r="CV206" s="1111">
        <f>SUMIFS(NewEmisData!G:G, NewEmisData!$A:$A, $G206, NewEmisData!$B:$B, $A206, NewEmisData!$C:$C, $H206, NewEmisData!$D:$D, CV$6)</f>
        <v>2.81821158126641E-2</v>
      </c>
      <c r="CW206" s="1111">
        <f>SUMIFS(NewEmisData!H:H, NewEmisData!$A:$A, $G206, NewEmisData!$B:$B, $A206, NewEmisData!$C:$C, $H206, NewEmisData!$D:$D, CW$6)</f>
        <v>1.9443003989977701E-2</v>
      </c>
      <c r="CX206" s="1111">
        <f>SUMIFS(NewEmisData!I:I, NewEmisData!$A:$A, $G206, NewEmisData!$B:$B, $A206, NewEmisData!$C:$C, $H206, NewEmisData!$D:$D, CX$6)</f>
        <v>1.7080157869544602E-2</v>
      </c>
      <c r="CY206" s="1111">
        <f>SUMIFS(NewEmisData!J:J, NewEmisData!$A:$A, $G206, NewEmisData!$B:$B, $A206, NewEmisData!$C:$C, $H206, NewEmisData!$D:$D, CY$6)</f>
        <v>1.6424318186297401E-2</v>
      </c>
      <c r="CZ206" s="1111">
        <f>SUMIFS(NewEmisData!K:K, NewEmisData!$A:$A, $G206, NewEmisData!$B:$B, $A206, NewEmisData!$C:$C, $H206, NewEmisData!$D:$D, CZ$6)</f>
        <v>1.63466414048998E-2</v>
      </c>
      <c r="DA206" s="1111">
        <f>SUMIFS(NewEmisData!L:L, NewEmisData!$A:$A, $G206, NewEmisData!$B:$B, $A206, NewEmisData!$C:$C, $H206, NewEmisData!$D:$D, DA$6)</f>
        <v>1.6299016097018101E-2</v>
      </c>
      <c r="DB206" s="1111">
        <f>SUMIFS(NewEmisData!M:M, NewEmisData!$A:$A, $G206, NewEmisData!$B:$B, $A206, NewEmisData!$C:$C, $H206, NewEmisData!$D:$D, DB$6)</f>
        <v>1.6325096857781201E-2</v>
      </c>
      <c r="DC206" s="1111">
        <f t="shared" ref="DC206:DC225" si="316">DB206</f>
        <v>1.6325096857781201E-2</v>
      </c>
      <c r="DD206" s="1111">
        <v>8.4892895966475739E-3</v>
      </c>
      <c r="DE206" s="1111">
        <v>5.6212986616763754E-3</v>
      </c>
      <c r="DF206" s="1111">
        <v>3.3463487561708246E-3</v>
      </c>
      <c r="DG206" s="1111">
        <v>2.7660430299124659E-3</v>
      </c>
      <c r="DH206" s="1111">
        <v>2.682529091392567E-3</v>
      </c>
      <c r="DI206" s="1111">
        <v>2.703528873173607E-3</v>
      </c>
      <c r="DJ206" s="1111">
        <v>2.7128611055472259E-3</v>
      </c>
      <c r="DK206" s="1111">
        <v>2.7072751179577333E-3</v>
      </c>
      <c r="DL206" s="1111">
        <v>2.7166296978826691E-3</v>
      </c>
      <c r="DM206" s="1111">
        <v>2.7267399324404202E-3</v>
      </c>
      <c r="DN206" s="1111">
        <v>2.7267399324404202E-3</v>
      </c>
      <c r="DO206" s="1111">
        <v>2.7529093789717789E-2</v>
      </c>
      <c r="DP206" s="1111">
        <v>1.8547410667972192E-2</v>
      </c>
      <c r="DQ206" s="1111">
        <v>1.0623092960258752E-2</v>
      </c>
      <c r="DR206" s="1111">
        <v>8.2487146441313514E-3</v>
      </c>
      <c r="DS206" s="1111">
        <v>8.1824854069421117E-3</v>
      </c>
      <c r="DT206" s="1111">
        <v>8.1902625366083396E-3</v>
      </c>
      <c r="DU206" s="1111">
        <v>8.1985958492518836E-3</v>
      </c>
      <c r="DV206" s="1111">
        <v>8.1775758900627226E-3</v>
      </c>
      <c r="DW206" s="1111">
        <v>8.1943266682995095E-3</v>
      </c>
      <c r="DX206" s="1111">
        <v>8.2124081867554939E-3</v>
      </c>
      <c r="DY206" s="1111">
        <v>8.2124081867554939E-3</v>
      </c>
      <c r="DZ206" s="1111">
        <f t="shared" ref="DZ206:DZ225" si="317">EA206</f>
        <v>5.0339270700679999E-2</v>
      </c>
      <c r="EA206" s="1111">
        <f>SUMIFS(NewEmisData!E:E, NewEmisData!$A:$A, $G206, NewEmisData!$B:$B, $A206, NewEmisData!$C:$C, $H206, NewEmisData!$D:$D, EA$6)</f>
        <v>5.0339270700679999E-2</v>
      </c>
      <c r="EB206" s="1111">
        <f>SUMIFS(NewEmisData!F:F, NewEmisData!$A:$A, $G206, NewEmisData!$B:$B, $A206, NewEmisData!$C:$C, $H206, NewEmisData!$D:$D, EB$6)</f>
        <v>2.98546172534019E-2</v>
      </c>
      <c r="EC206" s="1111">
        <f>SUMIFS(NewEmisData!G:G, NewEmisData!$A:$A, $G206, NewEmisData!$B:$B, $A206, NewEmisData!$C:$C, $H206, NewEmisData!$D:$D, EC$6)</f>
        <v>1.7913674894860999E-2</v>
      </c>
      <c r="ED206" s="1111">
        <f>SUMIFS(NewEmisData!H:H, NewEmisData!$A:$A, $G206, NewEmisData!$B:$B, $A206, NewEmisData!$C:$C, $H206, NewEmisData!$D:$D, ED$6)</f>
        <v>1.54314271118329E-2</v>
      </c>
      <c r="EE206" s="1111">
        <f>SUMIFS(NewEmisData!I:I, NewEmisData!$A:$A, $G206, NewEmisData!$B:$B, $A206, NewEmisData!$C:$C, $H206, NewEmisData!$D:$D, EE$6)</f>
        <v>1.4729599669098301E-2</v>
      </c>
      <c r="EF206" s="1111">
        <f>SUMIFS(NewEmisData!J:J, NewEmisData!$A:$A, $G206, NewEmisData!$B:$B, $A206, NewEmisData!$C:$C, $H206, NewEmisData!$D:$D, EF$6)</f>
        <v>1.46060589575112E-2</v>
      </c>
      <c r="EG206" s="1111">
        <f>SUMIFS(NewEmisData!K:K, NewEmisData!$A:$A, $G206, NewEmisData!$B:$B, $A206, NewEmisData!$C:$C, $H206, NewEmisData!$D:$D, EG$6)</f>
        <v>1.4662699121929501E-2</v>
      </c>
      <c r="EH206" s="1111">
        <f>SUMIFS(NewEmisData!L:L, NewEmisData!$A:$A, $G206, NewEmisData!$B:$B, $A206, NewEmisData!$C:$C, $H206, NewEmisData!$D:$D, EH$6)</f>
        <v>1.46806856975942E-2</v>
      </c>
      <c r="EI206" s="1111">
        <f>SUMIFS(NewEmisData!M:M, NewEmisData!$A:$A, $G206, NewEmisData!$B:$B, $A206, NewEmisData!$C:$C, $H206, NewEmisData!$D:$D, EI$6)</f>
        <v>1.4680172285676999E-2</v>
      </c>
      <c r="EJ206" s="1111">
        <f t="shared" ref="EJ206:EJ225" si="318">EI206</f>
        <v>1.4680172285676999E-2</v>
      </c>
      <c r="EK206" s="1111">
        <f t="shared" ref="EK206:EK225" si="319">EL206</f>
        <v>1241.60800343195</v>
      </c>
      <c r="EL206" s="1111">
        <f t="shared" si="269"/>
        <v>1241.60800343195</v>
      </c>
      <c r="EM206" s="1111">
        <f t="shared" si="270"/>
        <v>1243.08928499321</v>
      </c>
      <c r="EN206" s="1111">
        <f t="shared" si="271"/>
        <v>1559.7377784626201</v>
      </c>
      <c r="EO206" s="1111">
        <f t="shared" si="272"/>
        <v>1531.1148438857699</v>
      </c>
      <c r="EP206" s="1111">
        <f t="shared" si="273"/>
        <v>1508.7877657548299</v>
      </c>
      <c r="EQ206" s="1111">
        <f t="shared" si="274"/>
        <v>1502.9671636844901</v>
      </c>
      <c r="ER206" s="1111">
        <f t="shared" si="275"/>
        <v>1501.4395842993699</v>
      </c>
      <c r="ES206" s="1111">
        <f t="shared" si="276"/>
        <v>1501.15044041939</v>
      </c>
      <c r="ET206" s="1111">
        <f t="shared" si="277"/>
        <v>1501.0860905019599</v>
      </c>
      <c r="EU206" s="1111">
        <f t="shared" si="278"/>
        <v>1501.0860905019599</v>
      </c>
      <c r="EV206" s="1111">
        <f t="shared" ref="EV206:EV225" si="320">EW206</f>
        <v>4.1625657526614797</v>
      </c>
      <c r="EW206" s="1111">
        <f t="shared" si="259"/>
        <v>4.1625657526614797</v>
      </c>
      <c r="EX206" s="1111">
        <f t="shared" si="260"/>
        <v>2.1578815518962502</v>
      </c>
      <c r="EY206" s="1111">
        <f t="shared" si="261"/>
        <v>1.30274636086792</v>
      </c>
      <c r="EZ206" s="1111">
        <f t="shared" si="262"/>
        <v>0.94297953696777803</v>
      </c>
      <c r="FA206" s="1111">
        <f t="shared" si="263"/>
        <v>0.78815258031283297</v>
      </c>
      <c r="FB206" s="1111">
        <f t="shared" si="264"/>
        <v>0.71799894873057002</v>
      </c>
      <c r="FC206" s="1111">
        <f t="shared" si="265"/>
        <v>0.69737659475245495</v>
      </c>
      <c r="FD206" s="1111">
        <f t="shared" si="266"/>
        <v>0.69289982108465797</v>
      </c>
      <c r="FE206" s="1111">
        <f t="shared" si="267"/>
        <v>0.69155412460857602</v>
      </c>
      <c r="FF206" s="1111">
        <f t="shared" si="268"/>
        <v>0.69155412460857602</v>
      </c>
      <c r="FG206" s="1111">
        <f t="shared" si="291"/>
        <v>2.1484176158971701E-2</v>
      </c>
      <c r="FH206" s="1111">
        <f t="shared" si="292"/>
        <v>2.1484176158971701E-2</v>
      </c>
      <c r="FI206" s="1111">
        <f t="shared" si="293"/>
        <v>2.1509817808633099E-2</v>
      </c>
      <c r="FJ206" s="1111">
        <f t="shared" si="294"/>
        <v>2.2375249866597498E-2</v>
      </c>
      <c r="FK206" s="1111">
        <f t="shared" si="295"/>
        <v>2.1964641718838499E-2</v>
      </c>
      <c r="FL206" s="1111">
        <f t="shared" si="296"/>
        <v>2.1644351533378101E-2</v>
      </c>
      <c r="FM206" s="1111">
        <f t="shared" si="297"/>
        <v>2.1560851881015301E-2</v>
      </c>
      <c r="FN206" s="1111">
        <f t="shared" si="298"/>
        <v>2.1538927343366401E-2</v>
      </c>
      <c r="FO206" s="1111">
        <f t="shared" si="299"/>
        <v>2.1534775827773901E-2</v>
      </c>
      <c r="FP206" s="1111">
        <f t="shared" si="300"/>
        <v>2.15338577914834E-2</v>
      </c>
      <c r="FQ206" s="1111">
        <f t="shared" si="301"/>
        <v>2.15338577914834E-2</v>
      </c>
      <c r="FR206" s="1111">
        <f t="shared" si="230"/>
        <v>0.205584171442245</v>
      </c>
      <c r="FS206" s="1111">
        <f t="shared" si="231"/>
        <v>0.205584171442245</v>
      </c>
      <c r="FT206" s="1111">
        <f t="shared" si="232"/>
        <v>0.200703686535146</v>
      </c>
      <c r="FU206" s="1111">
        <f t="shared" si="233"/>
        <v>0.298432150084874</v>
      </c>
      <c r="FV206" s="1111">
        <f t="shared" si="234"/>
        <v>0.29892439751761801</v>
      </c>
      <c r="FW206" s="1111">
        <f t="shared" si="235"/>
        <v>0.29942291421429901</v>
      </c>
      <c r="FX206" s="1111">
        <f t="shared" si="236"/>
        <v>0.29972619462258399</v>
      </c>
      <c r="FY206" s="1111">
        <f t="shared" si="237"/>
        <v>0.29988559432946199</v>
      </c>
      <c r="FZ206" s="1111">
        <f t="shared" si="238"/>
        <v>0.29993582308119998</v>
      </c>
      <c r="GA206" s="1111">
        <f t="shared" si="239"/>
        <v>0.299955436334361</v>
      </c>
      <c r="GB206" s="1111">
        <f t="shared" si="240"/>
        <v>0.299955436334361</v>
      </c>
      <c r="GC206" s="1111">
        <f t="shared" si="279"/>
        <v>3.9334690996451198E-2</v>
      </c>
      <c r="GD206" s="1111">
        <f t="shared" si="280"/>
        <v>3.9334690996451198E-2</v>
      </c>
      <c r="GE206" s="1111">
        <f t="shared" si="281"/>
        <v>3.4631534960308699E-2</v>
      </c>
      <c r="GF206" s="1111">
        <f t="shared" si="282"/>
        <v>4.5448906099466301E-2</v>
      </c>
      <c r="GG206" s="1111">
        <f t="shared" si="283"/>
        <v>4.5413592229635001E-2</v>
      </c>
      <c r="GH206" s="1111">
        <f t="shared" si="284"/>
        <v>4.5762266359602698E-2</v>
      </c>
      <c r="GI206" s="1111">
        <f t="shared" si="285"/>
        <v>4.6004282113656897E-2</v>
      </c>
      <c r="GJ206" s="1111">
        <f t="shared" si="286"/>
        <v>4.6139436899626303E-2</v>
      </c>
      <c r="GK206" s="1111">
        <f t="shared" si="287"/>
        <v>4.6182051454262997E-2</v>
      </c>
      <c r="GL206" s="1111">
        <f t="shared" si="288"/>
        <v>4.6199279391049702E-2</v>
      </c>
      <c r="GM206" s="1111">
        <f t="shared" si="289"/>
        <v>4.6199279391049702E-2</v>
      </c>
    </row>
    <row r="207" spans="1:195" x14ac:dyDescent="0.2">
      <c r="A207" s="1071" t="s">
        <v>184</v>
      </c>
      <c r="B207" s="1071" t="str">
        <f>Technologies!C128</f>
        <v>TMCNGC10</v>
      </c>
      <c r="C207" s="1071" t="str">
        <f>Technologies!D128</f>
        <v>Medium Duty Truck, CNG, 2010</v>
      </c>
      <c r="D207" s="1071" t="str">
        <f>NewTech!D74</f>
        <v>bn-vmt, bn-vmt/a</v>
      </c>
      <c r="E207" s="1071" t="str">
        <f>NewTech!E81</f>
        <v>TMCNG</v>
      </c>
      <c r="F207" s="1071" t="str">
        <f>NewTech!F80</f>
        <v>TM</v>
      </c>
      <c r="G207" s="1110" t="s">
        <v>503</v>
      </c>
      <c r="H207" s="1110" t="s">
        <v>500</v>
      </c>
      <c r="I207" s="1112">
        <v>1</v>
      </c>
      <c r="J207" s="1111" t="str">
        <f t="shared" si="302"/>
        <v>Medium duty-GSL</v>
      </c>
      <c r="K207" s="1111">
        <f>SUMIFS(NewEmisData!E:E, NewEmisData!$A:$A, $G207, NewEmisData!$B:$B, $A207, NewEmisData!$C:$C, $H207, NewEmisData!$D:$D, K$6)</f>
        <v>1125.6531994791601</v>
      </c>
      <c r="L207" s="1111">
        <f>SUMIFS(NewEmisData!F:F, NewEmisData!$A:$A, $G207, NewEmisData!$B:$B, $A207, NewEmisData!$C:$C, $H207, NewEmisData!$D:$D, L$6)</f>
        <v>1129.51230354672</v>
      </c>
      <c r="M207" s="1111">
        <f>SUMIFS(NewEmisData!G:G, NewEmisData!$A:$A, $G207, NewEmisData!$B:$B, $A207, NewEmisData!$C:$C, $H207, NewEmisData!$D:$D, M$6)</f>
        <v>1334.28865010909</v>
      </c>
      <c r="N207" s="1111">
        <f>SUMIFS(NewEmisData!H:H, NewEmisData!$A:$A, $G207, NewEmisData!$B:$B, $A207, NewEmisData!$C:$C, $H207, NewEmisData!$D:$D, N$6)</f>
        <v>1309.4477161980601</v>
      </c>
      <c r="O207" s="1111">
        <f>SUMIFS(NewEmisData!I:I, NewEmisData!$A:$A, $G207, NewEmisData!$B:$B, $A207, NewEmisData!$C:$C, $H207, NewEmisData!$D:$D, O$6)</f>
        <v>1290.2789800169201</v>
      </c>
      <c r="P207" s="1111">
        <f>SUMIFS(NewEmisData!J:J, NewEmisData!$A:$A, $G207, NewEmisData!$B:$B, $A207, NewEmisData!$C:$C, $H207, NewEmisData!$D:$D, P$6)</f>
        <v>1285.24459420581</v>
      </c>
      <c r="Q207" s="1111">
        <f>SUMIFS(NewEmisData!K:K, NewEmisData!$A:$A, $G207, NewEmisData!$B:$B, $A207, NewEmisData!$C:$C, $H207, NewEmisData!$D:$D, Q$6)</f>
        <v>1283.9086141387199</v>
      </c>
      <c r="R207" s="1111">
        <f>SUMIFS(NewEmisData!L:L, NewEmisData!$A:$A, $G207, NewEmisData!$B:$B, $A207, NewEmisData!$C:$C, $H207, NewEmisData!$D:$D, R$6)</f>
        <v>1283.64917953798</v>
      </c>
      <c r="S207" s="1111">
        <f>SUMIFS(NewEmisData!M:M, NewEmisData!$A:$A, $G207, NewEmisData!$B:$B, $A207, NewEmisData!$C:$C, $H207, NewEmisData!$D:$D, S$6)</f>
        <v>1283.5882413572699</v>
      </c>
      <c r="T207" s="1111">
        <f t="shared" si="290"/>
        <v>1283.5882413572699</v>
      </c>
      <c r="U207" s="1111">
        <f>SUMIFS(NewEmisData!E:E, NewEmisData!$A:$A, $G207, NewEmisData!$B:$B, $A207, NewEmisData!$C:$C, $H207, NewEmisData!$D:$D, U$6)</f>
        <v>3.9696963814368802</v>
      </c>
      <c r="V207" s="1111">
        <f>SUMIFS(NewEmisData!F:F, NewEmisData!$A:$A, $G207, NewEmisData!$B:$B, $A207, NewEmisData!$C:$C, $H207, NewEmisData!$D:$D, V$6)</f>
        <v>2.1292045893653802</v>
      </c>
      <c r="W207" s="1111">
        <f>SUMIFS(NewEmisData!G:G, NewEmisData!$A:$A, $G207, NewEmisData!$B:$B, $A207, NewEmisData!$C:$C, $H207, NewEmisData!$D:$D, W$6)</f>
        <v>1.1780347139767999</v>
      </c>
      <c r="X207" s="1111">
        <f>SUMIFS(NewEmisData!H:H, NewEmisData!$A:$A, $G207, NewEmisData!$B:$B, $A207, NewEmisData!$C:$C, $H207, NewEmisData!$D:$D, X$6)</f>
        <v>0.85616837461707895</v>
      </c>
      <c r="Y207" s="1111">
        <f>SUMIFS(NewEmisData!I:I, NewEmisData!$A:$A, $G207, NewEmisData!$B:$B, $A207, NewEmisData!$C:$C, $H207, NewEmisData!$D:$D, Y$6)</f>
        <v>0.71679914036882397</v>
      </c>
      <c r="Z207" s="1111">
        <f>SUMIFS(NewEmisData!J:J, NewEmisData!$A:$A, $G207, NewEmisData!$B:$B, $A207, NewEmisData!$C:$C, $H207, NewEmisData!$D:$D, Z$6)</f>
        <v>0.653734873709785</v>
      </c>
      <c r="AA207" s="1111">
        <f>SUMIFS(NewEmisData!K:K, NewEmisData!$A:$A, $G207, NewEmisData!$B:$B, $A207, NewEmisData!$C:$C, $H207, NewEmisData!$D:$D, AA$6)</f>
        <v>0.63529466077774999</v>
      </c>
      <c r="AB207" s="1111">
        <f>SUMIFS(NewEmisData!L:L, NewEmisData!$A:$A, $G207, NewEmisData!$B:$B, $A207, NewEmisData!$C:$C, $H207, NewEmisData!$D:$D, AB$6)</f>
        <v>0.63126465139316401</v>
      </c>
      <c r="AC207" s="1111">
        <f>SUMIFS(NewEmisData!M:M, NewEmisData!$A:$A, $G207, NewEmisData!$B:$B, $A207, NewEmisData!$C:$C, $H207, NewEmisData!$D:$D, AC$6)</f>
        <v>0.63008499106767202</v>
      </c>
      <c r="AD207" s="1111">
        <f t="shared" si="229"/>
        <v>0.63008499106767202</v>
      </c>
      <c r="AE207" s="1111">
        <f t="shared" si="303"/>
        <v>1.94777471026268E-2</v>
      </c>
      <c r="AF207" s="1111">
        <f>SUMIFS(NewEmisData!E:E, NewEmisData!$A:$A, $G207, NewEmisData!$B:$B, $A207, NewEmisData!$C:$C, $H207, NewEmisData!$D:$D, AF$6)</f>
        <v>1.94777471026268E-2</v>
      </c>
      <c r="AG207" s="1111">
        <f>SUMIFS(NewEmisData!F:F, NewEmisData!$A:$A, $G207, NewEmisData!$B:$B, $A207, NewEmisData!$C:$C, $H207, NewEmisData!$D:$D, AG$6)</f>
        <v>1.95445323749391E-2</v>
      </c>
      <c r="AH207" s="1111">
        <f>SUMIFS(NewEmisData!G:G, NewEmisData!$A:$A, $G207, NewEmisData!$B:$B, $A207, NewEmisData!$C:$C, $H207, NewEmisData!$D:$D, AH$6)</f>
        <v>1.9141058004132301E-2</v>
      </c>
      <c r="AI207" s="1111">
        <f>SUMIFS(NewEmisData!H:H, NewEmisData!$A:$A, $G207, NewEmisData!$B:$B, $A207, NewEmisData!$C:$C, $H207, NewEmisData!$D:$D, AI$6)</f>
        <v>1.8784705993390102E-2</v>
      </c>
      <c r="AJ207" s="1111">
        <f>SUMIFS(NewEmisData!I:I, NewEmisData!$A:$A, $G207, NewEmisData!$B:$B, $A207, NewEmisData!$C:$C, $H207, NewEmisData!$D:$D, AJ$6)</f>
        <v>1.85097249042331E-2</v>
      </c>
      <c r="AK207" s="1111">
        <f>SUMIFS(NewEmisData!J:J, NewEmisData!$A:$A, $G207, NewEmisData!$B:$B, $A207, NewEmisData!$C:$C, $H207, NewEmisData!$D:$D, AK$6)</f>
        <v>1.8437510106673601E-2</v>
      </c>
      <c r="AL207" s="1111">
        <f>SUMIFS(NewEmisData!K:K, NewEmisData!$A:$A, $G207, NewEmisData!$B:$B, $A207, NewEmisData!$C:$C, $H207, NewEmisData!$D:$D, AL$6)</f>
        <v>1.8418333813220399E-2</v>
      </c>
      <c r="AM207" s="1111">
        <f>SUMIFS(NewEmisData!L:L, NewEmisData!$A:$A, $G207, NewEmisData!$B:$B, $A207, NewEmisData!$C:$C, $H207, NewEmisData!$D:$D, AM$6)</f>
        <v>1.8414616467845198E-2</v>
      </c>
      <c r="AN207" s="1111">
        <f>SUMIFS(NewEmisData!M:M, NewEmisData!$A:$A, $G207, NewEmisData!$B:$B, $A207, NewEmisData!$C:$C, $H207, NewEmisData!$D:$D, AN$6)</f>
        <v>1.84137339980028E-2</v>
      </c>
      <c r="AO207" s="1111">
        <f t="shared" si="304"/>
        <v>1.84137339980028E-2</v>
      </c>
      <c r="AP207" s="1111">
        <f t="shared" si="305"/>
        <v>0.16277138632680399</v>
      </c>
      <c r="AQ207" s="1111">
        <f>SUMIFS(NewEmisData!E:E, NewEmisData!$A:$A, $G207, NewEmisData!$B:$B, $A207, NewEmisData!$C:$C, $H207, NewEmisData!$D:$D, AQ$6)</f>
        <v>0.16277138632680399</v>
      </c>
      <c r="AR207" s="1111">
        <f>SUMIFS(NewEmisData!F:F, NewEmisData!$A:$A, $G207, NewEmisData!$B:$B, $A207, NewEmisData!$C:$C, $H207, NewEmisData!$D:$D, AR$6)</f>
        <v>0.15749210557477999</v>
      </c>
      <c r="AS207" s="1111">
        <f>SUMIFS(NewEmisData!G:G, NewEmisData!$A:$A, $G207, NewEmisData!$B:$B, $A207, NewEmisData!$C:$C, $H207, NewEmisData!$D:$D, AS$6)</f>
        <v>0.22213105998277299</v>
      </c>
      <c r="AT207" s="1111">
        <f>SUMIFS(NewEmisData!H:H, NewEmisData!$A:$A, $G207, NewEmisData!$B:$B, $A207, NewEmisData!$C:$C, $H207, NewEmisData!$D:$D, AT$6)</f>
        <v>0.22256905483131201</v>
      </c>
      <c r="AU207" s="1111">
        <f>SUMIFS(NewEmisData!I:I, NewEmisData!$A:$A, $G207, NewEmisData!$B:$B, $A207, NewEmisData!$C:$C, $H207, NewEmisData!$D:$D, AU$6)</f>
        <v>0.223017594102533</v>
      </c>
      <c r="AV207" s="1111">
        <f>SUMIFS(NewEmisData!J:J, NewEmisData!$A:$A, $G207, NewEmisData!$B:$B, $A207, NewEmisData!$C:$C, $H207, NewEmisData!$D:$D, AV$6)</f>
        <v>0.22328437261219899</v>
      </c>
      <c r="AW207" s="1111">
        <f>SUMIFS(NewEmisData!K:K, NewEmisData!$A:$A, $G207, NewEmisData!$B:$B, $A207, NewEmisData!$C:$C, $H207, NewEmisData!$D:$D, AW$6)</f>
        <v>0.22342028408578701</v>
      </c>
      <c r="AX207" s="1111">
        <f>SUMIFS(NewEmisData!L:L, NewEmisData!$A:$A, $G207, NewEmisData!$B:$B, $A207, NewEmisData!$C:$C, $H207, NewEmisData!$D:$D, AX$6)</f>
        <v>0.22346164064811899</v>
      </c>
      <c r="AY207" s="1111">
        <f>SUMIFS(NewEmisData!M:M, NewEmisData!$A:$A, $G207, NewEmisData!$B:$B, $A207, NewEmisData!$C:$C, $H207, NewEmisData!$D:$D, AY$6)</f>
        <v>0.22347689751407299</v>
      </c>
      <c r="AZ207" s="1111">
        <f t="shared" si="306"/>
        <v>0.22347689751407299</v>
      </c>
      <c r="BA207" s="1111">
        <f t="shared" si="307"/>
        <v>3.3085277901506199E-2</v>
      </c>
      <c r="BB207" s="1111">
        <f>SUMIFS(NewEmisData!E:E, NewEmisData!$A:$A, $G207, NewEmisData!$B:$B, $A207, NewEmisData!$C:$C, $H207, NewEmisData!$D:$D, BB$6)</f>
        <v>3.3085277901506199E-2</v>
      </c>
      <c r="BC207" s="1111">
        <f>SUMIFS(NewEmisData!F:F, NewEmisData!$A:$A, $G207, NewEmisData!$B:$B, $A207, NewEmisData!$C:$C, $H207, NewEmisData!$D:$D, BC$6)</f>
        <v>2.8088278695018499E-2</v>
      </c>
      <c r="BD207" s="1111">
        <f>SUMIFS(NewEmisData!G:G, NewEmisData!$A:$A, $G207, NewEmisData!$B:$B, $A207, NewEmisData!$C:$C, $H207, NewEmisData!$D:$D, BD$6)</f>
        <v>3.5249470703337199E-2</v>
      </c>
      <c r="BE207" s="1111">
        <f>SUMIFS(NewEmisData!H:H, NewEmisData!$A:$A, $G207, NewEmisData!$B:$B, $A207, NewEmisData!$C:$C, $H207, NewEmisData!$D:$D, BE$6)</f>
        <v>3.5278230321982601E-2</v>
      </c>
      <c r="BF207" s="1111">
        <f>SUMIFS(NewEmisData!I:I, NewEmisData!$A:$A, $G207, NewEmisData!$B:$B, $A207, NewEmisData!$C:$C, $H207, NewEmisData!$D:$D, BF$6)</f>
        <v>3.5607078221125799E-2</v>
      </c>
      <c r="BG207" s="1111">
        <f>SUMIFS(NewEmisData!J:J, NewEmisData!$A:$A, $G207, NewEmisData!$B:$B, $A207, NewEmisData!$C:$C, $H207, NewEmisData!$D:$D, BG$6)</f>
        <v>3.5823183054303799E-2</v>
      </c>
      <c r="BH207" s="1111">
        <f>SUMIFS(NewEmisData!K:K, NewEmisData!$A:$A, $G207, NewEmisData!$B:$B, $A207, NewEmisData!$C:$C, $H207, NewEmisData!$D:$D, BH$6)</f>
        <v>3.5938864982074499E-2</v>
      </c>
      <c r="BI207" s="1111">
        <f>SUMIFS(NewEmisData!L:L, NewEmisData!$A:$A, $G207, NewEmisData!$B:$B, $A207, NewEmisData!$C:$C, $H207, NewEmisData!$D:$D, BI$6)</f>
        <v>3.5974176634088799E-2</v>
      </c>
      <c r="BJ207" s="1111">
        <f>SUMIFS(NewEmisData!M:M, NewEmisData!$A:$A, $G207, NewEmisData!$B:$B, $A207, NewEmisData!$C:$C, $H207, NewEmisData!$D:$D, BJ$6)</f>
        <v>3.59876115686096E-2</v>
      </c>
      <c r="BK207" s="1111">
        <f t="shared" si="308"/>
        <v>3.59876115686096E-2</v>
      </c>
      <c r="BL207" s="1111">
        <f t="shared" si="309"/>
        <v>30.519264024443402</v>
      </c>
      <c r="BM207" s="1111">
        <f>SUMIFS(NewEmisData!E:E, NewEmisData!$A:$A, $G207, NewEmisData!$B:$B, $A207, NewEmisData!$C:$C, $H207, NewEmisData!$D:$D, BM$6)</f>
        <v>30.519264024443402</v>
      </c>
      <c r="BN207" s="1111">
        <f>SUMIFS(NewEmisData!F:F, NewEmisData!$A:$A, $G207, NewEmisData!$B:$B, $A207, NewEmisData!$C:$C, $H207, NewEmisData!$D:$D, BN$6)</f>
        <v>17.7548638520019</v>
      </c>
      <c r="BO207" s="1111">
        <f>SUMIFS(NewEmisData!G:G, NewEmisData!$A:$A, $G207, NewEmisData!$B:$B, $A207, NewEmisData!$C:$C, $H207, NewEmisData!$D:$D, BO$6)</f>
        <v>11.769795592664099</v>
      </c>
      <c r="BP207" s="1111">
        <f>SUMIFS(NewEmisData!H:H, NewEmisData!$A:$A, $G207, NewEmisData!$B:$B, $A207, NewEmisData!$C:$C, $H207, NewEmisData!$D:$D, BP$6)</f>
        <v>10.027249561844799</v>
      </c>
      <c r="BQ207" s="1111">
        <f>SUMIFS(NewEmisData!I:I, NewEmisData!$A:$A, $G207, NewEmisData!$B:$B, $A207, NewEmisData!$C:$C, $H207, NewEmisData!$D:$D, BQ$6)</f>
        <v>9.5164175607240296</v>
      </c>
      <c r="BR207" s="1111">
        <f>SUMIFS(NewEmisData!J:J, NewEmisData!$A:$A, $G207, NewEmisData!$B:$B, $A207, NewEmisData!$C:$C, $H207, NewEmisData!$D:$D, BR$6)</f>
        <v>9.3871226242105301</v>
      </c>
      <c r="BS207" s="1111">
        <f>SUMIFS(NewEmisData!K:K, NewEmisData!$A:$A, $G207, NewEmisData!$B:$B, $A207, NewEmisData!$C:$C, $H207, NewEmisData!$D:$D, BS$6)</f>
        <v>9.4290563886524001</v>
      </c>
      <c r="BT207" s="1111">
        <f>SUMIFS(NewEmisData!L:L, NewEmisData!$A:$A, $G207, NewEmisData!$B:$B, $A207, NewEmisData!$C:$C, $H207, NewEmisData!$D:$D, BT$6)</f>
        <v>9.4677016030619807</v>
      </c>
      <c r="BU207" s="1111">
        <f>SUMIFS(NewEmisData!M:M, NewEmisData!$A:$A, $G207, NewEmisData!$B:$B, $A207, NewEmisData!$C:$C, $H207, NewEmisData!$D:$D, BU$6)</f>
        <v>9.4911287930921109</v>
      </c>
      <c r="BV207" s="1111">
        <f t="shared" si="310"/>
        <v>9.4911287930921109</v>
      </c>
      <c r="BW207" s="1111">
        <f t="shared" si="311"/>
        <v>1.4331518530549801</v>
      </c>
      <c r="BX207" s="1111">
        <f>SUMIFS(NewEmisData!E:E, NewEmisData!$A:$A, $G207, NewEmisData!$B:$B, $A207, NewEmisData!$C:$C, $H207, NewEmisData!$D:$D, BX$6)</f>
        <v>1.4331518530549801</v>
      </c>
      <c r="BY207" s="1111">
        <f>SUMIFS(NewEmisData!F:F, NewEmisData!$A:$A, $G207, NewEmisData!$B:$B, $A207, NewEmisData!$C:$C, $H207, NewEmisData!$D:$D, BY$6)</f>
        <v>0.82554141247932</v>
      </c>
      <c r="BZ207" s="1111">
        <f>SUMIFS(NewEmisData!G:G, NewEmisData!$A:$A, $G207, NewEmisData!$B:$B, $A207, NewEmisData!$C:$C, $H207, NewEmisData!$D:$D, BZ$6)</f>
        <v>0.52934059761176699</v>
      </c>
      <c r="CA207" s="1111">
        <f>SUMIFS(NewEmisData!H:H, NewEmisData!$A:$A, $G207, NewEmisData!$B:$B, $A207, NewEmisData!$C:$C, $H207, NewEmisData!$D:$D, CA$6)</f>
        <v>0.41820996508437402</v>
      </c>
      <c r="CB207" s="1111">
        <f>SUMIFS(NewEmisData!I:I, NewEmisData!$A:$A, $G207, NewEmisData!$B:$B, $A207, NewEmisData!$C:$C, $H207, NewEmisData!$D:$D, CB$6)</f>
        <v>0.37730109294103098</v>
      </c>
      <c r="CC207" s="1111">
        <f>SUMIFS(NewEmisData!J:J, NewEmisData!$A:$A, $G207, NewEmisData!$B:$B, $A207, NewEmisData!$C:$C, $H207, NewEmisData!$D:$D, CC$6)</f>
        <v>0.36080370260189998</v>
      </c>
      <c r="CD207" s="1111">
        <f>SUMIFS(NewEmisData!K:K, NewEmisData!$A:$A, $G207, NewEmisData!$B:$B, $A207, NewEmisData!$C:$C, $H207, NewEmisData!$D:$D, CD$6)</f>
        <v>0.35854771789443002</v>
      </c>
      <c r="CE207" s="1111">
        <f>SUMIFS(NewEmisData!L:L, NewEmisData!$A:$A, $G207, NewEmisData!$B:$B, $A207, NewEmisData!$C:$C, $H207, NewEmisData!$D:$D, CE$6)</f>
        <v>0.35854167304512202</v>
      </c>
      <c r="CF207" s="1111">
        <f>SUMIFS(NewEmisData!M:M, NewEmisData!$A:$A, $G207, NewEmisData!$B:$B, $A207, NewEmisData!$C:$C, $H207, NewEmisData!$D:$D, CF$6)</f>
        <v>0.35855864650360297</v>
      </c>
      <c r="CG207" s="1111">
        <f t="shared" si="312"/>
        <v>0.35855864650360297</v>
      </c>
      <c r="CH207" s="1111">
        <f t="shared" si="313"/>
        <v>4.3399426569524099E-2</v>
      </c>
      <c r="CI207" s="1111">
        <f>SUMIFS(NewEmisData!E:E, NewEmisData!$A:$A, $G207, NewEmisData!$B:$B, $A207, NewEmisData!$C:$C, $H207, NewEmisData!$D:$D, CI$6)</f>
        <v>4.3399426569524099E-2</v>
      </c>
      <c r="CJ207" s="1111">
        <f>SUMIFS(NewEmisData!F:F, NewEmisData!$A:$A, $G207, NewEmisData!$B:$B, $A207, NewEmisData!$C:$C, $H207, NewEmisData!$D:$D, CJ$6)</f>
        <v>4.3414607751202899E-2</v>
      </c>
      <c r="CK207" s="1111">
        <f>SUMIFS(NewEmisData!G:G, NewEmisData!$A:$A, $G207, NewEmisData!$B:$B, $A207, NewEmisData!$C:$C, $H207, NewEmisData!$D:$D, CK$6)</f>
        <v>5.4993981735290499E-2</v>
      </c>
      <c r="CL207" s="1111">
        <f>SUMIFS(NewEmisData!H:H, NewEmisData!$A:$A, $G207, NewEmisData!$B:$B, $A207, NewEmisData!$C:$C, $H207, NewEmisData!$D:$D, CL$6)</f>
        <v>5.4993786232210601E-2</v>
      </c>
      <c r="CM207" s="1111">
        <f>SUMIFS(NewEmisData!I:I, NewEmisData!$A:$A, $G207, NewEmisData!$B:$B, $A207, NewEmisData!$C:$C, $H207, NewEmisData!$D:$D, CM$6)</f>
        <v>5.49943755829881E-2</v>
      </c>
      <c r="CN207" s="1111">
        <f>SUMIFS(NewEmisData!J:J, NewEmisData!$A:$A, $G207, NewEmisData!$B:$B, $A207, NewEmisData!$C:$C, $H207, NewEmisData!$D:$D, CN$6)</f>
        <v>5.4994520767338101E-2</v>
      </c>
      <c r="CO207" s="1111">
        <f>SUMIFS(NewEmisData!K:K, NewEmisData!$A:$A, $G207, NewEmisData!$B:$B, $A207, NewEmisData!$C:$C, $H207, NewEmisData!$D:$D, CO$6)</f>
        <v>5.4994541597587002E-2</v>
      </c>
      <c r="CP207" s="1111">
        <f>SUMIFS(NewEmisData!L:L, NewEmisData!$A:$A, $G207, NewEmisData!$B:$B, $A207, NewEmisData!$C:$C, $H207, NewEmisData!$D:$D, CP$6)</f>
        <v>5.4994553673977098E-2</v>
      </c>
      <c r="CQ207" s="1111">
        <f>SUMIFS(NewEmisData!M:M, NewEmisData!$A:$A, $G207, NewEmisData!$B:$B, $A207, NewEmisData!$C:$C, $H207, NewEmisData!$D:$D, CQ$6)</f>
        <v>5.4994550577738499E-2</v>
      </c>
      <c r="CR207" s="1111">
        <f t="shared" si="314"/>
        <v>5.4994550577738499E-2</v>
      </c>
      <c r="CS207" s="1111">
        <f t="shared" si="315"/>
        <v>4.8977354146498502E-2</v>
      </c>
      <c r="CT207" s="1111">
        <f>SUMIFS(NewEmisData!E:E, NewEmisData!$A:$A, $G207, NewEmisData!$B:$B, $A207, NewEmisData!$C:$C, $H207, NewEmisData!$D:$D, CT$6)</f>
        <v>4.8977354146498502E-2</v>
      </c>
      <c r="CU207" s="1111">
        <f>SUMIFS(NewEmisData!F:F, NewEmisData!$A:$A, $G207, NewEmisData!$B:$B, $A207, NewEmisData!$C:$C, $H207, NewEmisData!$D:$D, CU$6)</f>
        <v>2.8470713504453099E-2</v>
      </c>
      <c r="CV207" s="1111">
        <f>SUMIFS(NewEmisData!G:G, NewEmisData!$A:$A, $G207, NewEmisData!$B:$B, $A207, NewEmisData!$C:$C, $H207, NewEmisData!$D:$D, CV$6)</f>
        <v>2.1189978152056602E-2</v>
      </c>
      <c r="CW207" s="1111">
        <f>SUMIFS(NewEmisData!H:H, NewEmisData!$A:$A, $G207, NewEmisData!$B:$B, $A207, NewEmisData!$C:$C, $H207, NewEmisData!$D:$D, CW$6)</f>
        <v>1.46389058287662E-2</v>
      </c>
      <c r="CX207" s="1111">
        <f>SUMIFS(NewEmisData!I:I, NewEmisData!$A:$A, $G207, NewEmisData!$B:$B, $A207, NewEmisData!$C:$C, $H207, NewEmisData!$D:$D, CX$6)</f>
        <v>1.28792587479717E-2</v>
      </c>
      <c r="CY207" s="1111">
        <f>SUMIFS(NewEmisData!J:J, NewEmisData!$A:$A, $G207, NewEmisData!$B:$B, $A207, NewEmisData!$C:$C, $H207, NewEmisData!$D:$D, CY$6)</f>
        <v>1.23921680979683E-2</v>
      </c>
      <c r="CZ207" s="1111">
        <f>SUMIFS(NewEmisData!K:K, NewEmisData!$A:$A, $G207, NewEmisData!$B:$B, $A207, NewEmisData!$C:$C, $H207, NewEmisData!$D:$D, CZ$6)</f>
        <v>1.23336041545112E-2</v>
      </c>
      <c r="DA207" s="1111">
        <f>SUMIFS(NewEmisData!L:L, NewEmisData!$A:$A, $G207, NewEmisData!$B:$B, $A207, NewEmisData!$C:$C, $H207, NewEmisData!$D:$D, DA$6)</f>
        <v>1.22985211601931E-2</v>
      </c>
      <c r="DB207" s="1111">
        <f>SUMIFS(NewEmisData!M:M, NewEmisData!$A:$A, $G207, NewEmisData!$B:$B, $A207, NewEmisData!$C:$C, $H207, NewEmisData!$D:$D, DB$6)</f>
        <v>1.2317402931661E-2</v>
      </c>
      <c r="DC207" s="1111">
        <f t="shared" si="316"/>
        <v>1.2317402931661E-2</v>
      </c>
      <c r="DD207" s="1111"/>
      <c r="DE207" s="1111"/>
      <c r="DF207" s="1111"/>
      <c r="DG207" s="1111"/>
      <c r="DH207" s="1111"/>
      <c r="DI207" s="1111"/>
      <c r="DJ207" s="1111"/>
      <c r="DK207" s="1111"/>
      <c r="DL207" s="1111"/>
      <c r="DM207" s="1111"/>
      <c r="DN207" s="1111"/>
      <c r="DO207" s="1111"/>
      <c r="DP207" s="1111"/>
      <c r="DQ207" s="1111"/>
      <c r="DR207" s="1111"/>
      <c r="DS207" s="1111"/>
      <c r="DT207" s="1111"/>
      <c r="DU207" s="1111"/>
      <c r="DV207" s="1111"/>
      <c r="DW207" s="1111"/>
      <c r="DX207" s="1111"/>
      <c r="DY207" s="1111"/>
      <c r="DZ207" s="1111">
        <f t="shared" si="317"/>
        <v>3.8110257804810699E-2</v>
      </c>
      <c r="EA207" s="1111">
        <f>SUMIFS(NewEmisData!E:E, NewEmisData!$A:$A, $G207, NewEmisData!$B:$B, $A207, NewEmisData!$C:$C, $H207, NewEmisData!$D:$D, EA$6)</f>
        <v>3.8110257804810699E-2</v>
      </c>
      <c r="EB207" s="1111">
        <f>SUMIFS(NewEmisData!F:F, NewEmisData!$A:$A, $G207, NewEmisData!$B:$B, $A207, NewEmisData!$C:$C, $H207, NewEmisData!$D:$D, EB$6)</f>
        <v>2.0417199912842899E-2</v>
      </c>
      <c r="EC207" s="1111">
        <f>SUMIFS(NewEmisData!G:G, NewEmisData!$A:$A, $G207, NewEmisData!$B:$B, $A207, NewEmisData!$C:$C, $H207, NewEmisData!$D:$D, EC$6)</f>
        <v>1.30642962548774E-2</v>
      </c>
      <c r="ED207" s="1111">
        <f>SUMIFS(NewEmisData!H:H, NewEmisData!$A:$A, $G207, NewEmisData!$B:$B, $A207, NewEmisData!$C:$C, $H207, NewEmisData!$D:$D, ED$6)</f>
        <v>1.11738363859457E-2</v>
      </c>
      <c r="EE207" s="1111">
        <f>SUMIFS(NewEmisData!I:I, NewEmisData!$A:$A, $G207, NewEmisData!$B:$B, $A207, NewEmisData!$C:$C, $H207, NewEmisData!$D:$D, EE$6)</f>
        <v>1.0636123173322E-2</v>
      </c>
      <c r="EF207" s="1111">
        <f>SUMIFS(NewEmisData!J:J, NewEmisData!$A:$A, $G207, NewEmisData!$B:$B, $A207, NewEmisData!$C:$C, $H207, NewEmisData!$D:$D, EF$6)</f>
        <v>1.0535248987316E-2</v>
      </c>
      <c r="EG207" s="1111">
        <f>SUMIFS(NewEmisData!K:K, NewEmisData!$A:$A, $G207, NewEmisData!$B:$B, $A207, NewEmisData!$C:$C, $H207, NewEmisData!$D:$D, EG$6)</f>
        <v>1.0571182579202899E-2</v>
      </c>
      <c r="EH207" s="1111">
        <f>SUMIFS(NewEmisData!L:L, NewEmisData!$A:$A, $G207, NewEmisData!$B:$B, $A207, NewEmisData!$C:$C, $H207, NewEmisData!$D:$D, EH$6)</f>
        <v>1.05827805921651E-2</v>
      </c>
      <c r="EI207" s="1111">
        <f>SUMIFS(NewEmisData!M:M, NewEmisData!$A:$A, $G207, NewEmisData!$B:$B, $A207, NewEmisData!$C:$C, $H207, NewEmisData!$D:$D, EI$6)</f>
        <v>1.05816969285468E-2</v>
      </c>
      <c r="EJ207" s="1111">
        <f t="shared" si="318"/>
        <v>1.05816969285468E-2</v>
      </c>
      <c r="EK207" s="1111">
        <f t="shared" si="319"/>
        <v>1125.6531994791601</v>
      </c>
      <c r="EL207" s="1111">
        <f t="shared" si="269"/>
        <v>1125.6531994791601</v>
      </c>
      <c r="EM207" s="1111">
        <f t="shared" si="270"/>
        <v>1129.51230354672</v>
      </c>
      <c r="EN207" s="1111">
        <f t="shared" si="271"/>
        <v>1334.28865010909</v>
      </c>
      <c r="EO207" s="1111">
        <f t="shared" si="272"/>
        <v>1309.4477161980601</v>
      </c>
      <c r="EP207" s="1111">
        <f t="shared" si="273"/>
        <v>1290.2789800169201</v>
      </c>
      <c r="EQ207" s="1111">
        <f t="shared" si="274"/>
        <v>1285.24459420581</v>
      </c>
      <c r="ER207" s="1111">
        <f t="shared" si="275"/>
        <v>1283.9086141387199</v>
      </c>
      <c r="ES207" s="1111">
        <f t="shared" si="276"/>
        <v>1283.64917953798</v>
      </c>
      <c r="ET207" s="1111">
        <f t="shared" si="277"/>
        <v>1283.5882413572699</v>
      </c>
      <c r="EU207" s="1111">
        <f t="shared" si="278"/>
        <v>1283.5882413572699</v>
      </c>
      <c r="EV207" s="1111">
        <f t="shared" si="320"/>
        <v>3.9696963814368802</v>
      </c>
      <c r="EW207" s="1111">
        <f t="shared" si="259"/>
        <v>3.9696963814368802</v>
      </c>
      <c r="EX207" s="1111">
        <f t="shared" si="260"/>
        <v>2.1292045893653802</v>
      </c>
      <c r="EY207" s="1111">
        <f t="shared" si="261"/>
        <v>1.1780347139767999</v>
      </c>
      <c r="EZ207" s="1111">
        <f t="shared" si="262"/>
        <v>0.85616837461707895</v>
      </c>
      <c r="FA207" s="1111">
        <f t="shared" si="263"/>
        <v>0.71679914036882397</v>
      </c>
      <c r="FB207" s="1111">
        <f t="shared" si="264"/>
        <v>0.653734873709785</v>
      </c>
      <c r="FC207" s="1111">
        <f t="shared" si="265"/>
        <v>0.63529466077774999</v>
      </c>
      <c r="FD207" s="1111">
        <f t="shared" si="266"/>
        <v>0.63126465139316401</v>
      </c>
      <c r="FE207" s="1111">
        <f t="shared" si="267"/>
        <v>0.63008499106767202</v>
      </c>
      <c r="FF207" s="1111">
        <f t="shared" si="268"/>
        <v>0.63008499106767202</v>
      </c>
      <c r="FG207" s="1111">
        <f t="shared" si="291"/>
        <v>1.94777471026268E-2</v>
      </c>
      <c r="FH207" s="1111">
        <f t="shared" si="292"/>
        <v>1.94777471026268E-2</v>
      </c>
      <c r="FI207" s="1111">
        <f t="shared" si="293"/>
        <v>1.95445323749391E-2</v>
      </c>
      <c r="FJ207" s="1111">
        <f t="shared" si="294"/>
        <v>1.9141058004132301E-2</v>
      </c>
      <c r="FK207" s="1111">
        <f t="shared" si="295"/>
        <v>1.8784705993390102E-2</v>
      </c>
      <c r="FL207" s="1111">
        <f t="shared" si="296"/>
        <v>1.85097249042331E-2</v>
      </c>
      <c r="FM207" s="1111">
        <f t="shared" si="297"/>
        <v>1.8437510106673601E-2</v>
      </c>
      <c r="FN207" s="1111">
        <f t="shared" si="298"/>
        <v>1.8418333813220399E-2</v>
      </c>
      <c r="FO207" s="1111">
        <f t="shared" si="299"/>
        <v>1.8414616467845198E-2</v>
      </c>
      <c r="FP207" s="1111">
        <f t="shared" si="300"/>
        <v>1.84137339980028E-2</v>
      </c>
      <c r="FQ207" s="1111">
        <f t="shared" si="301"/>
        <v>1.84137339980028E-2</v>
      </c>
      <c r="FR207" s="1111">
        <f t="shared" si="230"/>
        <v>0.16277138632680399</v>
      </c>
      <c r="FS207" s="1111">
        <f t="shared" si="231"/>
        <v>0.16277138632680399</v>
      </c>
      <c r="FT207" s="1111">
        <f t="shared" si="232"/>
        <v>0.15749210557477999</v>
      </c>
      <c r="FU207" s="1111">
        <f t="shared" si="233"/>
        <v>0.22213105998277299</v>
      </c>
      <c r="FV207" s="1111">
        <f t="shared" si="234"/>
        <v>0.22256905483131201</v>
      </c>
      <c r="FW207" s="1111">
        <f t="shared" si="235"/>
        <v>0.223017594102533</v>
      </c>
      <c r="FX207" s="1111">
        <f t="shared" si="236"/>
        <v>0.22328437261219899</v>
      </c>
      <c r="FY207" s="1111">
        <f t="shared" si="237"/>
        <v>0.22342028408578701</v>
      </c>
      <c r="FZ207" s="1111">
        <f t="shared" si="238"/>
        <v>0.22346164064811899</v>
      </c>
      <c r="GA207" s="1111">
        <f t="shared" si="239"/>
        <v>0.22347689751407299</v>
      </c>
      <c r="GB207" s="1111">
        <f t="shared" si="240"/>
        <v>0.22347689751407299</v>
      </c>
      <c r="GC207" s="1111">
        <f t="shared" si="279"/>
        <v>3.3085277901506199E-2</v>
      </c>
      <c r="GD207" s="1111">
        <f t="shared" si="280"/>
        <v>3.3085277901506199E-2</v>
      </c>
      <c r="GE207" s="1111">
        <f t="shared" si="281"/>
        <v>2.8088278695018499E-2</v>
      </c>
      <c r="GF207" s="1111">
        <f t="shared" si="282"/>
        <v>3.5249470703337199E-2</v>
      </c>
      <c r="GG207" s="1111">
        <f t="shared" si="283"/>
        <v>3.5278230321982601E-2</v>
      </c>
      <c r="GH207" s="1111">
        <f t="shared" si="284"/>
        <v>3.5607078221125799E-2</v>
      </c>
      <c r="GI207" s="1111">
        <f t="shared" si="285"/>
        <v>3.5823183054303799E-2</v>
      </c>
      <c r="GJ207" s="1111">
        <f t="shared" si="286"/>
        <v>3.5938864982074499E-2</v>
      </c>
      <c r="GK207" s="1111">
        <f t="shared" si="287"/>
        <v>3.5974176634088799E-2</v>
      </c>
      <c r="GL207" s="1111">
        <f t="shared" si="288"/>
        <v>3.59876115686096E-2</v>
      </c>
      <c r="GM207" s="1111">
        <f t="shared" si="289"/>
        <v>3.59876115686096E-2</v>
      </c>
    </row>
    <row r="208" spans="1:195" x14ac:dyDescent="0.2">
      <c r="A208" s="1071" t="s">
        <v>186</v>
      </c>
      <c r="B208" s="1071" t="str">
        <f>Technologies!C128</f>
        <v>TMCNGC10</v>
      </c>
      <c r="C208" s="1071" t="str">
        <f>Technologies!D128</f>
        <v>Medium Duty Truck, CNG, 2010</v>
      </c>
      <c r="D208" s="1071" t="str">
        <f>NewTech!D74</f>
        <v>bn-vmt, bn-vmt/a</v>
      </c>
      <c r="E208" s="1071" t="str">
        <f>NewTech!E81</f>
        <v>TMCNG</v>
      </c>
      <c r="F208" s="1071" t="str">
        <f>NewTech!F80</f>
        <v>TM</v>
      </c>
      <c r="G208" s="1110" t="s">
        <v>503</v>
      </c>
      <c r="H208" s="1110" t="s">
        <v>500</v>
      </c>
      <c r="I208" s="1112">
        <v>1</v>
      </c>
      <c r="J208" s="1111" t="str">
        <f t="shared" si="302"/>
        <v>Medium duty-GSL</v>
      </c>
      <c r="K208" s="1111">
        <f>SUMIFS(NewEmisData!E:E, NewEmisData!$A:$A, $G208, NewEmisData!$B:$B, $A208, NewEmisData!$C:$C, $H208, NewEmisData!$D:$D, K$6)</f>
        <v>1571.23838726393</v>
      </c>
      <c r="L208" s="1111">
        <f>SUMIFS(NewEmisData!F:F, NewEmisData!$A:$A, $G208, NewEmisData!$B:$B, $A208, NewEmisData!$C:$C, $H208, NewEmisData!$D:$D, L$6)</f>
        <v>1575.29652368133</v>
      </c>
      <c r="M208" s="1111">
        <f>SUMIFS(NewEmisData!G:G, NewEmisData!$A:$A, $G208, NewEmisData!$B:$B, $A208, NewEmisData!$C:$C, $H208, NewEmisData!$D:$D, M$6)</f>
        <v>1620.65726903051</v>
      </c>
      <c r="N208" s="1111">
        <f>SUMIFS(NewEmisData!H:H, NewEmisData!$A:$A, $G208, NewEmisData!$B:$B, $A208, NewEmisData!$C:$C, $H208, NewEmisData!$D:$D, N$6)</f>
        <v>1591.3958126743701</v>
      </c>
      <c r="O208" s="1111">
        <f>SUMIFS(NewEmisData!I:I, NewEmisData!$A:$A, $G208, NewEmisData!$B:$B, $A208, NewEmisData!$C:$C, $H208, NewEmisData!$D:$D, O$6)</f>
        <v>1568.18391586794</v>
      </c>
      <c r="P208" s="1111">
        <f>SUMIFS(NewEmisData!J:J, NewEmisData!$A:$A, $G208, NewEmisData!$B:$B, $A208, NewEmisData!$C:$C, $H208, NewEmisData!$D:$D, P$6)</f>
        <v>1562.10113018675</v>
      </c>
      <c r="Q208" s="1111">
        <f>SUMIFS(NewEmisData!K:K, NewEmisData!$A:$A, $G208, NewEmisData!$B:$B, $A208, NewEmisData!$C:$C, $H208, NewEmisData!$D:$D, Q$6)</f>
        <v>1560.4729957351501</v>
      </c>
      <c r="R208" s="1111">
        <f>SUMIFS(NewEmisData!L:L, NewEmisData!$A:$A, $G208, NewEmisData!$B:$B, $A208, NewEmisData!$C:$C, $H208, NewEmisData!$D:$D, R$6)</f>
        <v>1560.1538107035101</v>
      </c>
      <c r="S208" s="1111">
        <f>SUMIFS(NewEmisData!M:M, NewEmisData!$A:$A, $G208, NewEmisData!$B:$B, $A208, NewEmisData!$C:$C, $H208, NewEmisData!$D:$D, S$6)</f>
        <v>1560.07677043992</v>
      </c>
      <c r="T208" s="1111">
        <f t="shared" si="290"/>
        <v>1560.07677043992</v>
      </c>
      <c r="U208" s="1111">
        <f>SUMIFS(NewEmisData!E:E, NewEmisData!$A:$A, $G208, NewEmisData!$B:$B, $A208, NewEmisData!$C:$C, $H208, NewEmisData!$D:$D, U$6)</f>
        <v>4.4339350215429896</v>
      </c>
      <c r="V208" s="1111">
        <f>SUMIFS(NewEmisData!F:F, NewEmisData!$A:$A, $G208, NewEmisData!$B:$B, $A208, NewEmisData!$C:$C, $H208, NewEmisData!$D:$D, V$6)</f>
        <v>3.9615409236254</v>
      </c>
      <c r="W208" s="1111">
        <f>SUMIFS(NewEmisData!G:G, NewEmisData!$A:$A, $G208, NewEmisData!$B:$B, $A208, NewEmisData!$C:$C, $H208, NewEmisData!$D:$D, W$6)</f>
        <v>1.33028401660566</v>
      </c>
      <c r="X208" s="1111">
        <f>SUMIFS(NewEmisData!H:H, NewEmisData!$A:$A, $G208, NewEmisData!$B:$B, $A208, NewEmisData!$C:$C, $H208, NewEmisData!$D:$D, X$6)</f>
        <v>0.96801463367483198</v>
      </c>
      <c r="Y208" s="1111">
        <f>SUMIFS(NewEmisData!I:I, NewEmisData!$A:$A, $G208, NewEmisData!$B:$B, $A208, NewEmisData!$C:$C, $H208, NewEmisData!$D:$D, Y$6)</f>
        <v>0.810835029277582</v>
      </c>
      <c r="Z208" s="1111">
        <f>SUMIFS(NewEmisData!J:J, NewEmisData!$A:$A, $G208, NewEmisData!$B:$B, $A208, NewEmisData!$C:$C, $H208, NewEmisData!$D:$D, Z$6)</f>
        <v>0.73984590086297597</v>
      </c>
      <c r="AA208" s="1111">
        <f>SUMIFS(NewEmisData!K:K, NewEmisData!$A:$A, $G208, NewEmisData!$B:$B, $A208, NewEmisData!$C:$C, $H208, NewEmisData!$D:$D, AA$6)</f>
        <v>0.71912537608469196</v>
      </c>
      <c r="AB208" s="1111">
        <f>SUMIFS(NewEmisData!L:L, NewEmisData!$A:$A, $G208, NewEmisData!$B:$B, $A208, NewEmisData!$C:$C, $H208, NewEmisData!$D:$D, AB$6)</f>
        <v>0.71458926415217605</v>
      </c>
      <c r="AC208" s="1111">
        <f>SUMIFS(NewEmisData!M:M, NewEmisData!$A:$A, $G208, NewEmisData!$B:$B, $A208, NewEmisData!$C:$C, $H208, NewEmisData!$D:$D, AC$6)</f>
        <v>0.71327232452186995</v>
      </c>
      <c r="AD208" s="1111">
        <f t="shared" si="229"/>
        <v>0.71327232452186995</v>
      </c>
      <c r="AE208" s="1111">
        <f t="shared" si="303"/>
        <v>2.71879476544729E-2</v>
      </c>
      <c r="AF208" s="1111">
        <f>SUMIFS(NewEmisData!E:E, NewEmisData!$A:$A, $G208, NewEmisData!$B:$B, $A208, NewEmisData!$C:$C, $H208, NewEmisData!$D:$D, AF$6)</f>
        <v>2.71879476544729E-2</v>
      </c>
      <c r="AG208" s="1111">
        <f>SUMIFS(NewEmisData!F:F, NewEmisData!$A:$A, $G208, NewEmisData!$B:$B, $A208, NewEmisData!$C:$C, $H208, NewEmisData!$D:$D, AG$6)</f>
        <v>2.72581702920257E-2</v>
      </c>
      <c r="AH208" s="1111">
        <f>SUMIFS(NewEmisData!G:G, NewEmisData!$A:$A, $G208, NewEmisData!$B:$B, $A208, NewEmisData!$C:$C, $H208, NewEmisData!$D:$D, AH$6)</f>
        <v>2.32491676049662E-2</v>
      </c>
      <c r="AI208" s="1111">
        <f>SUMIFS(NewEmisData!H:H, NewEmisData!$A:$A, $G208, NewEmisData!$B:$B, $A208, NewEmisData!$C:$C, $H208, NewEmisData!$D:$D, AI$6)</f>
        <v>2.28294094185802E-2</v>
      </c>
      <c r="AJ208" s="1111">
        <f>SUMIFS(NewEmisData!I:I, NewEmisData!$A:$A, $G208, NewEmisData!$B:$B, $A208, NewEmisData!$C:$C, $H208, NewEmisData!$D:$D, AJ$6)</f>
        <v>2.2496411359683499E-2</v>
      </c>
      <c r="AK208" s="1111">
        <f>SUMIFS(NewEmisData!J:J, NewEmisData!$A:$A, $G208, NewEmisData!$B:$B, $A208, NewEmisData!$C:$C, $H208, NewEmisData!$D:$D, AK$6)</f>
        <v>2.24091575903414E-2</v>
      </c>
      <c r="AL208" s="1111">
        <f>SUMIFS(NewEmisData!K:K, NewEmisData!$A:$A, $G208, NewEmisData!$B:$B, $A208, NewEmisData!$C:$C, $H208, NewEmisData!$D:$D, AL$6)</f>
        <v>2.2385789717233699E-2</v>
      </c>
      <c r="AM208" s="1111">
        <f>SUMIFS(NewEmisData!L:L, NewEmisData!$A:$A, $G208, NewEmisData!$B:$B, $A208, NewEmisData!$C:$C, $H208, NewEmisData!$D:$D, AM$6)</f>
        <v>2.23812039581394E-2</v>
      </c>
      <c r="AN208" s="1111">
        <f>SUMIFS(NewEmisData!M:M, NewEmisData!$A:$A, $G208, NewEmisData!$B:$B, $A208, NewEmisData!$C:$C, $H208, NewEmisData!$D:$D, AN$6)</f>
        <v>2.2380112251842499E-2</v>
      </c>
      <c r="AO208" s="1111">
        <f t="shared" si="304"/>
        <v>2.2380112251842499E-2</v>
      </c>
      <c r="AP208" s="1111">
        <f t="shared" si="305"/>
        <v>0.29570181024604603</v>
      </c>
      <c r="AQ208" s="1111">
        <f>SUMIFS(NewEmisData!E:E, NewEmisData!$A:$A, $G208, NewEmisData!$B:$B, $A208, NewEmisData!$C:$C, $H208, NewEmisData!$D:$D, AQ$6)</f>
        <v>0.29570181024604603</v>
      </c>
      <c r="AR208" s="1111">
        <f>SUMIFS(NewEmisData!F:F, NewEmisData!$A:$A, $G208, NewEmisData!$B:$B, $A208, NewEmisData!$C:$C, $H208, NewEmisData!$D:$D, AR$6)</f>
        <v>0.31347002724777001</v>
      </c>
      <c r="AS208" s="1111">
        <f>SUMIFS(NewEmisData!G:G, NewEmisData!$A:$A, $G208, NewEmisData!$B:$B, $A208, NewEmisData!$C:$C, $H208, NewEmisData!$D:$D, AS$6)</f>
        <v>0.29348248729715698</v>
      </c>
      <c r="AT208" s="1111">
        <f>SUMIFS(NewEmisData!H:H, NewEmisData!$A:$A, $G208, NewEmisData!$B:$B, $A208, NewEmisData!$C:$C, $H208, NewEmisData!$D:$D, AT$6)</f>
        <v>0.29400895980241698</v>
      </c>
      <c r="AU208" s="1111">
        <f>SUMIFS(NewEmisData!I:I, NewEmisData!$A:$A, $G208, NewEmisData!$B:$B, $A208, NewEmisData!$C:$C, $H208, NewEmisData!$D:$D, AU$6)</f>
        <v>0.29451767447034</v>
      </c>
      <c r="AV208" s="1111">
        <f>SUMIFS(NewEmisData!J:J, NewEmisData!$A:$A, $G208, NewEmisData!$B:$B, $A208, NewEmisData!$C:$C, $H208, NewEmisData!$D:$D, AV$6)</f>
        <v>0.29481614241324999</v>
      </c>
      <c r="AW208" s="1111">
        <f>SUMIFS(NewEmisData!K:K, NewEmisData!$A:$A, $G208, NewEmisData!$B:$B, $A208, NewEmisData!$C:$C, $H208, NewEmisData!$D:$D, AW$6)</f>
        <v>0.29496671929746798</v>
      </c>
      <c r="AX208" s="1111">
        <f>SUMIFS(NewEmisData!L:L, NewEmisData!$A:$A, $G208, NewEmisData!$B:$B, $A208, NewEmisData!$C:$C, $H208, NewEmisData!$D:$D, AX$6)</f>
        <v>0.29501247169592298</v>
      </c>
      <c r="AY208" s="1111">
        <f>SUMIFS(NewEmisData!M:M, NewEmisData!$A:$A, $G208, NewEmisData!$B:$B, $A208, NewEmisData!$C:$C, $H208, NewEmisData!$D:$D, AY$6)</f>
        <v>0.29502934324841701</v>
      </c>
      <c r="AZ208" s="1111">
        <f t="shared" si="306"/>
        <v>0.29502934324841701</v>
      </c>
      <c r="BA208" s="1111">
        <f t="shared" si="307"/>
        <v>5.6205629802393201E-2</v>
      </c>
      <c r="BB208" s="1111">
        <f>SUMIFS(NewEmisData!E:E, NewEmisData!$A:$A, $G208, NewEmisData!$B:$B, $A208, NewEmisData!$C:$C, $H208, NewEmisData!$D:$D, BB$6)</f>
        <v>5.6205629802393201E-2</v>
      </c>
      <c r="BC208" s="1111">
        <f>SUMIFS(NewEmisData!F:F, NewEmisData!$A:$A, $G208, NewEmisData!$B:$B, $A208, NewEmisData!$C:$C, $H208, NewEmisData!$D:$D, BC$6)</f>
        <v>7.2194764578646903E-2</v>
      </c>
      <c r="BD208" s="1111">
        <f>SUMIFS(NewEmisData!G:G, NewEmisData!$A:$A, $G208, NewEmisData!$B:$B, $A208, NewEmisData!$C:$C, $H208, NewEmisData!$D:$D, BD$6)</f>
        <v>4.48839101088091E-2</v>
      </c>
      <c r="BE208" s="1111">
        <f>SUMIFS(NewEmisData!H:H, NewEmisData!$A:$A, $G208, NewEmisData!$B:$B, $A208, NewEmisData!$C:$C, $H208, NewEmisData!$D:$D, BE$6)</f>
        <v>4.4911356100480797E-2</v>
      </c>
      <c r="BF208" s="1111">
        <f>SUMIFS(NewEmisData!I:I, NewEmisData!$A:$A, $G208, NewEmisData!$B:$B, $A208, NewEmisData!$C:$C, $H208, NewEmisData!$D:$D, BF$6)</f>
        <v>4.52709454211217E-2</v>
      </c>
      <c r="BG208" s="1111">
        <f>SUMIFS(NewEmisData!J:J, NewEmisData!$A:$A, $G208, NewEmisData!$B:$B, $A208, NewEmisData!$C:$C, $H208, NewEmisData!$D:$D, BG$6)</f>
        <v>4.5510230108050102E-2</v>
      </c>
      <c r="BH208" s="1111">
        <f>SUMIFS(NewEmisData!K:K, NewEmisData!$A:$A, $G208, NewEmisData!$B:$B, $A208, NewEmisData!$C:$C, $H208, NewEmisData!$D:$D, BH$6)</f>
        <v>4.5637724556064498E-2</v>
      </c>
      <c r="BI208" s="1111">
        <f>SUMIFS(NewEmisData!L:L, NewEmisData!$A:$A, $G208, NewEmisData!$B:$B, $A208, NewEmisData!$C:$C, $H208, NewEmisData!$D:$D, BI$6)</f>
        <v>4.56765897746194E-2</v>
      </c>
      <c r="BJ208" s="1111">
        <f>SUMIFS(NewEmisData!M:M, NewEmisData!$A:$A, $G208, NewEmisData!$B:$B, $A208, NewEmisData!$C:$C, $H208, NewEmisData!$D:$D, BJ$6)</f>
        <v>4.5691464860186798E-2</v>
      </c>
      <c r="BK208" s="1111">
        <f t="shared" si="308"/>
        <v>4.5691464860186798E-2</v>
      </c>
      <c r="BL208" s="1111">
        <f t="shared" si="309"/>
        <v>36.177292371673602</v>
      </c>
      <c r="BM208" s="1111">
        <f>SUMIFS(NewEmisData!E:E, NewEmisData!$A:$A, $G208, NewEmisData!$B:$B, $A208, NewEmisData!$C:$C, $H208, NewEmisData!$D:$D, BM$6)</f>
        <v>36.177292371673602</v>
      </c>
      <c r="BN208" s="1111">
        <f>SUMIFS(NewEmisData!F:F, NewEmisData!$A:$A, $G208, NewEmisData!$B:$B, $A208, NewEmisData!$C:$C, $H208, NewEmisData!$D:$D, BN$6)</f>
        <v>37.664857731196101</v>
      </c>
      <c r="BO208" s="1111">
        <f>SUMIFS(NewEmisData!G:G, NewEmisData!$A:$A, $G208, NewEmisData!$B:$B, $A208, NewEmisData!$C:$C, $H208, NewEmisData!$D:$D, BO$6)</f>
        <v>13.345526144115</v>
      </c>
      <c r="BP208" s="1111">
        <f>SUMIFS(NewEmisData!H:H, NewEmisData!$A:$A, $G208, NewEmisData!$B:$B, $A208, NewEmisData!$C:$C, $H208, NewEmisData!$D:$D, BP$6)</f>
        <v>11.2726393432321</v>
      </c>
      <c r="BQ208" s="1111">
        <f>SUMIFS(NewEmisData!I:I, NewEmisData!$A:$A, $G208, NewEmisData!$B:$B, $A208, NewEmisData!$C:$C, $H208, NewEmisData!$D:$D, BQ$6)</f>
        <v>10.6231110988618</v>
      </c>
      <c r="BR208" s="1111">
        <f>SUMIFS(NewEmisData!J:J, NewEmisData!$A:$A, $G208, NewEmisData!$B:$B, $A208, NewEmisData!$C:$C, $H208, NewEmisData!$D:$D, BR$6)</f>
        <v>10.435587854097999</v>
      </c>
      <c r="BS208" s="1111">
        <f>SUMIFS(NewEmisData!K:K, NewEmisData!$A:$A, $G208, NewEmisData!$B:$B, $A208, NewEmisData!$C:$C, $H208, NewEmisData!$D:$D, BS$6)</f>
        <v>10.465169362167</v>
      </c>
      <c r="BT208" s="1111">
        <f>SUMIFS(NewEmisData!L:L, NewEmisData!$A:$A, $G208, NewEmisData!$B:$B, $A208, NewEmisData!$C:$C, $H208, NewEmisData!$D:$D, BT$6)</f>
        <v>10.5025719676633</v>
      </c>
      <c r="BU208" s="1111">
        <f>SUMIFS(NewEmisData!M:M, NewEmisData!$A:$A, $G208, NewEmisData!$B:$B, $A208, NewEmisData!$C:$C, $H208, NewEmisData!$D:$D, BU$6)</f>
        <v>10.526416150576599</v>
      </c>
      <c r="BV208" s="1111">
        <f t="shared" si="310"/>
        <v>10.526416150576599</v>
      </c>
      <c r="BW208" s="1111">
        <f t="shared" si="311"/>
        <v>2.2547746276717899</v>
      </c>
      <c r="BX208" s="1111">
        <f>SUMIFS(NewEmisData!E:E, NewEmisData!$A:$A, $G208, NewEmisData!$B:$B, $A208, NewEmisData!$C:$C, $H208, NewEmisData!$D:$D, BX$6)</f>
        <v>2.2547746276717899</v>
      </c>
      <c r="BY208" s="1111">
        <f>SUMIFS(NewEmisData!F:F, NewEmisData!$A:$A, $G208, NewEmisData!$B:$B, $A208, NewEmisData!$C:$C, $H208, NewEmisData!$D:$D, BY$6)</f>
        <v>2.8652548693587798</v>
      </c>
      <c r="BZ208" s="1111">
        <f>SUMIFS(NewEmisData!G:G, NewEmisData!$A:$A, $G208, NewEmisData!$B:$B, $A208, NewEmisData!$C:$C, $H208, NewEmisData!$D:$D, BZ$6)</f>
        <v>0.66453606773915896</v>
      </c>
      <c r="CA208" s="1111">
        <f>SUMIFS(NewEmisData!H:H, NewEmisData!$A:$A, $G208, NewEmisData!$B:$B, $A208, NewEmisData!$C:$C, $H208, NewEmisData!$D:$D, CA$6)</f>
        <v>0.52696134881096601</v>
      </c>
      <c r="CB208" s="1111">
        <f>SUMIFS(NewEmisData!I:I, NewEmisData!$A:$A, $G208, NewEmisData!$B:$B, $A208, NewEmisData!$C:$C, $H208, NewEmisData!$D:$D, CB$6)</f>
        <v>0.475085091842188</v>
      </c>
      <c r="CC208" s="1111">
        <f>SUMIFS(NewEmisData!J:J, NewEmisData!$A:$A, $G208, NewEmisData!$B:$B, $A208, NewEmisData!$C:$C, $H208, NewEmisData!$D:$D, CC$6)</f>
        <v>0.45399199428257297</v>
      </c>
      <c r="CD208" s="1111">
        <f>SUMIFS(NewEmisData!K:K, NewEmisData!$A:$A, $G208, NewEmisData!$B:$B, $A208, NewEmisData!$C:$C, $H208, NewEmisData!$D:$D, CD$6)</f>
        <v>0.45084584233142999</v>
      </c>
      <c r="CE208" s="1111">
        <f>SUMIFS(NewEmisData!L:L, NewEmisData!$A:$A, $G208, NewEmisData!$B:$B, $A208, NewEmisData!$C:$C, $H208, NewEmisData!$D:$D, CE$6)</f>
        <v>0.450741469309828</v>
      </c>
      <c r="CF208" s="1111">
        <f>SUMIFS(NewEmisData!M:M, NewEmisData!$A:$A, $G208, NewEmisData!$B:$B, $A208, NewEmisData!$C:$C, $H208, NewEmisData!$D:$D, CF$6)</f>
        <v>0.45074449890965201</v>
      </c>
      <c r="CG208" s="1111">
        <f t="shared" si="312"/>
        <v>0.45074449890965201</v>
      </c>
      <c r="CH208" s="1111">
        <f t="shared" si="313"/>
        <v>5.7867400606941198E-2</v>
      </c>
      <c r="CI208" s="1111">
        <f>SUMIFS(NewEmisData!E:E, NewEmisData!$A:$A, $G208, NewEmisData!$B:$B, $A208, NewEmisData!$C:$C, $H208, NewEmisData!$D:$D, CI$6)</f>
        <v>5.7867400606941198E-2</v>
      </c>
      <c r="CJ208" s="1111">
        <f>SUMIFS(NewEmisData!F:F, NewEmisData!$A:$A, $G208, NewEmisData!$B:$B, $A208, NewEmisData!$C:$C, $H208, NewEmisData!$D:$D, CJ$6)</f>
        <v>5.7868748340902797E-2</v>
      </c>
      <c r="CK208" s="1111">
        <f>SUMIFS(NewEmisData!G:G, NewEmisData!$A:$A, $G208, NewEmisData!$B:$B, $A208, NewEmisData!$C:$C, $H208, NewEmisData!$D:$D, CK$6)</f>
        <v>6.6009929070185699E-2</v>
      </c>
      <c r="CL208" s="1111">
        <f>SUMIFS(NewEmisData!H:H, NewEmisData!$A:$A, $G208, NewEmisData!$B:$B, $A208, NewEmisData!$C:$C, $H208, NewEmisData!$D:$D, CL$6)</f>
        <v>6.6010246689438001E-2</v>
      </c>
      <c r="CM208" s="1111">
        <f>SUMIFS(NewEmisData!I:I, NewEmisData!$A:$A, $G208, NewEmisData!$B:$B, $A208, NewEmisData!$C:$C, $H208, NewEmisData!$D:$D, CM$6)</f>
        <v>6.6010539794431194E-2</v>
      </c>
      <c r="CN208" s="1111">
        <f>SUMIFS(NewEmisData!J:J, NewEmisData!$A:$A, $G208, NewEmisData!$B:$B, $A208, NewEmisData!$C:$C, $H208, NewEmisData!$D:$D, CN$6)</f>
        <v>6.6010651142724794E-2</v>
      </c>
      <c r="CO208" s="1111">
        <f>SUMIFS(NewEmisData!K:K, NewEmisData!$A:$A, $G208, NewEmisData!$B:$B, $A208, NewEmisData!$C:$C, $H208, NewEmisData!$D:$D, CO$6)</f>
        <v>6.60106383420173E-2</v>
      </c>
      <c r="CP208" s="1111">
        <f>SUMIFS(NewEmisData!L:L, NewEmisData!$A:$A, $G208, NewEmisData!$B:$B, $A208, NewEmisData!$C:$C, $H208, NewEmisData!$D:$D, CP$6)</f>
        <v>6.6010618394000603E-2</v>
      </c>
      <c r="CQ208" s="1111">
        <f>SUMIFS(NewEmisData!M:M, NewEmisData!$A:$A, $G208, NewEmisData!$B:$B, $A208, NewEmisData!$C:$C, $H208, NewEmisData!$D:$D, CQ$6)</f>
        <v>6.6010633444598496E-2</v>
      </c>
      <c r="CR208" s="1111">
        <f t="shared" si="314"/>
        <v>6.6010633444598496E-2</v>
      </c>
      <c r="CS208" s="1111">
        <f t="shared" si="315"/>
        <v>7.2164995475767907E-2</v>
      </c>
      <c r="CT208" s="1111">
        <f>SUMIFS(NewEmisData!E:E, NewEmisData!$A:$A, $G208, NewEmisData!$B:$B, $A208, NewEmisData!$C:$C, $H208, NewEmisData!$D:$D, CT$6)</f>
        <v>7.2164995475767907E-2</v>
      </c>
      <c r="CU208" s="1111">
        <f>SUMIFS(NewEmisData!F:F, NewEmisData!$A:$A, $G208, NewEmisData!$B:$B, $A208, NewEmisData!$C:$C, $H208, NewEmisData!$D:$D, CU$6)</f>
        <v>6.4879251441518196E-2</v>
      </c>
      <c r="CV208" s="1111">
        <f>SUMIFS(NewEmisData!G:G, NewEmisData!$A:$A, $G208, NewEmisData!$B:$B, $A208, NewEmisData!$C:$C, $H208, NewEmisData!$D:$D, CV$6)</f>
        <v>2.6568003004939798E-2</v>
      </c>
      <c r="CW208" s="1111">
        <f>SUMIFS(NewEmisData!H:H, NewEmisData!$A:$A, $G208, NewEmisData!$B:$B, $A208, NewEmisData!$C:$C, $H208, NewEmisData!$D:$D, CW$6)</f>
        <v>1.84437934507856E-2</v>
      </c>
      <c r="CX208" s="1111">
        <f>SUMIFS(NewEmisData!I:I, NewEmisData!$A:$A, $G208, NewEmisData!$B:$B, $A208, NewEmisData!$C:$C, $H208, NewEmisData!$D:$D, CX$6)</f>
        <v>1.6327699656927399E-2</v>
      </c>
      <c r="CY208" s="1111">
        <f>SUMIFS(NewEmisData!J:J, NewEmisData!$A:$A, $G208, NewEmisData!$B:$B, $A208, NewEmisData!$C:$C, $H208, NewEmisData!$D:$D, CY$6)</f>
        <v>1.5748807787192998E-2</v>
      </c>
      <c r="CZ208" s="1111">
        <f>SUMIFS(NewEmisData!K:K, NewEmisData!$A:$A, $G208, NewEmisData!$B:$B, $A208, NewEmisData!$C:$C, $H208, NewEmisData!$D:$D, CZ$6)</f>
        <v>1.5674972697843501E-2</v>
      </c>
      <c r="DA208" s="1111">
        <f>SUMIFS(NewEmisData!L:L, NewEmisData!$A:$A, $G208, NewEmisData!$B:$B, $A208, NewEmisData!$C:$C, $H208, NewEmisData!$D:$D, DA$6)</f>
        <v>1.56348406818691E-2</v>
      </c>
      <c r="DB208" s="1111">
        <f>SUMIFS(NewEmisData!M:M, NewEmisData!$A:$A, $G208, NewEmisData!$B:$B, $A208, NewEmisData!$C:$C, $H208, NewEmisData!$D:$D, DB$6)</f>
        <v>1.5654725632317699E-2</v>
      </c>
      <c r="DC208" s="1111">
        <f t="shared" si="316"/>
        <v>1.5654725632317699E-2</v>
      </c>
      <c r="DD208" s="1111"/>
      <c r="DE208" s="1111"/>
      <c r="DF208" s="1111"/>
      <c r="DG208" s="1111"/>
      <c r="DH208" s="1111"/>
      <c r="DI208" s="1111"/>
      <c r="DJ208" s="1111"/>
      <c r="DK208" s="1111"/>
      <c r="DL208" s="1111"/>
      <c r="DM208" s="1111"/>
      <c r="DN208" s="1111"/>
      <c r="DO208" s="1111"/>
      <c r="DP208" s="1111"/>
      <c r="DQ208" s="1111"/>
      <c r="DR208" s="1111"/>
      <c r="DS208" s="1111"/>
      <c r="DT208" s="1111"/>
      <c r="DU208" s="1111"/>
      <c r="DV208" s="1111"/>
      <c r="DW208" s="1111"/>
      <c r="DX208" s="1111"/>
      <c r="DY208" s="1111"/>
      <c r="DZ208" s="1111">
        <f t="shared" si="317"/>
        <v>7.65679998253877E-2</v>
      </c>
      <c r="EA208" s="1111">
        <f>SUMIFS(NewEmisData!E:E, NewEmisData!$A:$A, $G208, NewEmisData!$B:$B, $A208, NewEmisData!$C:$C, $H208, NewEmisData!$D:$D, EA$6)</f>
        <v>7.65679998253877E-2</v>
      </c>
      <c r="EB208" s="1111">
        <f>SUMIFS(NewEmisData!F:F, NewEmisData!$A:$A, $G208, NewEmisData!$B:$B, $A208, NewEmisData!$C:$C, $H208, NewEmisData!$D:$D, EB$6)</f>
        <v>0.109010255412455</v>
      </c>
      <c r="EC208" s="1111">
        <f>SUMIFS(NewEmisData!G:G, NewEmisData!$A:$A, $G208, NewEmisData!$B:$B, $A208, NewEmisData!$C:$C, $H208, NewEmisData!$D:$D, EC$6)</f>
        <v>1.54277976093114E-2</v>
      </c>
      <c r="ED208" s="1111">
        <f>SUMIFS(NewEmisData!H:H, NewEmisData!$A:$A, $G208, NewEmisData!$B:$B, $A208, NewEmisData!$C:$C, $H208, NewEmisData!$D:$D, ED$6)</f>
        <v>1.2984971623169601E-2</v>
      </c>
      <c r="EE208" s="1111">
        <f>SUMIFS(NewEmisData!I:I, NewEmisData!$A:$A, $G208, NewEmisData!$B:$B, $A208, NewEmisData!$C:$C, $H208, NewEmisData!$D:$D, EE$6)</f>
        <v>1.22605780123332E-2</v>
      </c>
      <c r="EF208" s="1111">
        <f>SUMIFS(NewEmisData!J:J, NewEmisData!$A:$A, $G208, NewEmisData!$B:$B, $A208, NewEmisData!$C:$C, $H208, NewEmisData!$D:$D, EF$6)</f>
        <v>1.20992421043245E-2</v>
      </c>
      <c r="EG208" s="1111">
        <f>SUMIFS(NewEmisData!K:K, NewEmisData!$A:$A, $G208, NewEmisData!$B:$B, $A208, NewEmisData!$C:$C, $H208, NewEmisData!$D:$D, EG$6)</f>
        <v>1.2123397445436401E-2</v>
      </c>
      <c r="EH208" s="1111">
        <f>SUMIFS(NewEmisData!L:L, NewEmisData!$A:$A, $G208, NewEmisData!$B:$B, $A208, NewEmisData!$C:$C, $H208, NewEmisData!$D:$D, EH$6)</f>
        <v>1.2132958592882499E-2</v>
      </c>
      <c r="EI208" s="1111">
        <f>SUMIFS(NewEmisData!M:M, NewEmisData!$A:$A, $G208, NewEmisData!$B:$B, $A208, NewEmisData!$C:$C, $H208, NewEmisData!$D:$D, EI$6)</f>
        <v>1.21315180972552E-2</v>
      </c>
      <c r="EJ208" s="1111">
        <f t="shared" si="318"/>
        <v>1.21315180972552E-2</v>
      </c>
      <c r="EK208" s="1111">
        <f t="shared" si="319"/>
        <v>1571.23838726393</v>
      </c>
      <c r="EL208" s="1111">
        <f t="shared" si="269"/>
        <v>1571.23838726393</v>
      </c>
      <c r="EM208" s="1111">
        <f t="shared" si="270"/>
        <v>1575.29652368133</v>
      </c>
      <c r="EN208" s="1111">
        <f t="shared" si="271"/>
        <v>1620.65726903051</v>
      </c>
      <c r="EO208" s="1111">
        <f t="shared" si="272"/>
        <v>1591.3958126743701</v>
      </c>
      <c r="EP208" s="1111">
        <f t="shared" si="273"/>
        <v>1568.18391586794</v>
      </c>
      <c r="EQ208" s="1111">
        <f t="shared" si="274"/>
        <v>1562.10113018675</v>
      </c>
      <c r="ER208" s="1111">
        <f t="shared" si="275"/>
        <v>1560.4729957351501</v>
      </c>
      <c r="ES208" s="1111">
        <f t="shared" si="276"/>
        <v>1560.1538107035101</v>
      </c>
      <c r="ET208" s="1111">
        <f t="shared" si="277"/>
        <v>1560.07677043992</v>
      </c>
      <c r="EU208" s="1111">
        <f t="shared" si="278"/>
        <v>1560.07677043992</v>
      </c>
      <c r="EV208" s="1111">
        <f t="shared" si="320"/>
        <v>4.4339350215429896</v>
      </c>
      <c r="EW208" s="1111">
        <f t="shared" si="259"/>
        <v>4.4339350215429896</v>
      </c>
      <c r="EX208" s="1111">
        <f t="shared" si="260"/>
        <v>3.9615409236254</v>
      </c>
      <c r="EY208" s="1111">
        <f t="shared" si="261"/>
        <v>1.33028401660566</v>
      </c>
      <c r="EZ208" s="1111">
        <f t="shared" si="262"/>
        <v>0.96801463367483198</v>
      </c>
      <c r="FA208" s="1111">
        <f t="shared" si="263"/>
        <v>0.810835029277582</v>
      </c>
      <c r="FB208" s="1111">
        <f t="shared" si="264"/>
        <v>0.73984590086297597</v>
      </c>
      <c r="FC208" s="1111">
        <f t="shared" si="265"/>
        <v>0.71912537608469196</v>
      </c>
      <c r="FD208" s="1111">
        <f t="shared" si="266"/>
        <v>0.71458926415217605</v>
      </c>
      <c r="FE208" s="1111">
        <f t="shared" si="267"/>
        <v>0.71327232452186995</v>
      </c>
      <c r="FF208" s="1111">
        <f t="shared" si="268"/>
        <v>0.71327232452186995</v>
      </c>
      <c r="FG208" s="1111">
        <f t="shared" si="291"/>
        <v>2.71879476544729E-2</v>
      </c>
      <c r="FH208" s="1111">
        <f t="shared" si="292"/>
        <v>2.71879476544729E-2</v>
      </c>
      <c r="FI208" s="1111">
        <f t="shared" si="293"/>
        <v>2.72581702920257E-2</v>
      </c>
      <c r="FJ208" s="1111">
        <f t="shared" si="294"/>
        <v>2.32491676049662E-2</v>
      </c>
      <c r="FK208" s="1111">
        <f t="shared" si="295"/>
        <v>2.28294094185802E-2</v>
      </c>
      <c r="FL208" s="1111">
        <f t="shared" si="296"/>
        <v>2.2496411359683499E-2</v>
      </c>
      <c r="FM208" s="1111">
        <f t="shared" si="297"/>
        <v>2.24091575903414E-2</v>
      </c>
      <c r="FN208" s="1111">
        <f t="shared" si="298"/>
        <v>2.2385789717233699E-2</v>
      </c>
      <c r="FO208" s="1111">
        <f t="shared" si="299"/>
        <v>2.23812039581394E-2</v>
      </c>
      <c r="FP208" s="1111">
        <f t="shared" si="300"/>
        <v>2.2380112251842499E-2</v>
      </c>
      <c r="FQ208" s="1111">
        <f t="shared" si="301"/>
        <v>2.2380112251842499E-2</v>
      </c>
      <c r="FR208" s="1111">
        <f t="shared" si="230"/>
        <v>0.29570181024604603</v>
      </c>
      <c r="FS208" s="1111">
        <f t="shared" si="231"/>
        <v>0.29570181024604603</v>
      </c>
      <c r="FT208" s="1111">
        <f t="shared" si="232"/>
        <v>0.31347002724777001</v>
      </c>
      <c r="FU208" s="1111">
        <f t="shared" si="233"/>
        <v>0.29348248729715698</v>
      </c>
      <c r="FV208" s="1111">
        <f t="shared" si="234"/>
        <v>0.29400895980241698</v>
      </c>
      <c r="FW208" s="1111">
        <f t="shared" si="235"/>
        <v>0.29451767447034</v>
      </c>
      <c r="FX208" s="1111">
        <f t="shared" si="236"/>
        <v>0.29481614241324999</v>
      </c>
      <c r="FY208" s="1111">
        <f t="shared" si="237"/>
        <v>0.29496671929746798</v>
      </c>
      <c r="FZ208" s="1111">
        <f t="shared" si="238"/>
        <v>0.29501247169592298</v>
      </c>
      <c r="GA208" s="1111">
        <f t="shared" si="239"/>
        <v>0.29502934324841701</v>
      </c>
      <c r="GB208" s="1111">
        <f t="shared" si="240"/>
        <v>0.29502934324841701</v>
      </c>
      <c r="GC208" s="1111">
        <f t="shared" si="279"/>
        <v>5.6205629802393201E-2</v>
      </c>
      <c r="GD208" s="1111">
        <f t="shared" si="280"/>
        <v>5.6205629802393201E-2</v>
      </c>
      <c r="GE208" s="1111">
        <f t="shared" si="281"/>
        <v>7.2194764578646903E-2</v>
      </c>
      <c r="GF208" s="1111">
        <f t="shared" si="282"/>
        <v>4.48839101088091E-2</v>
      </c>
      <c r="GG208" s="1111">
        <f t="shared" si="283"/>
        <v>4.4911356100480797E-2</v>
      </c>
      <c r="GH208" s="1111">
        <f t="shared" si="284"/>
        <v>4.52709454211217E-2</v>
      </c>
      <c r="GI208" s="1111">
        <f t="shared" si="285"/>
        <v>4.5510230108050102E-2</v>
      </c>
      <c r="GJ208" s="1111">
        <f t="shared" si="286"/>
        <v>4.5637724556064498E-2</v>
      </c>
      <c r="GK208" s="1111">
        <f t="shared" si="287"/>
        <v>4.56765897746194E-2</v>
      </c>
      <c r="GL208" s="1111">
        <f t="shared" si="288"/>
        <v>4.5691464860186798E-2</v>
      </c>
      <c r="GM208" s="1111">
        <f t="shared" si="289"/>
        <v>4.5691464860186798E-2</v>
      </c>
    </row>
    <row r="209" spans="1:195" x14ac:dyDescent="0.2">
      <c r="A209" s="1071" t="s">
        <v>188</v>
      </c>
      <c r="B209" s="1071" t="str">
        <f>Technologies!C128</f>
        <v>TMCNGC10</v>
      </c>
      <c r="C209" s="1071" t="str">
        <f>Technologies!D128</f>
        <v>Medium Duty Truck, CNG, 2010</v>
      </c>
      <c r="D209" s="1071" t="str">
        <f>NewTech!D74</f>
        <v>bn-vmt, bn-vmt/a</v>
      </c>
      <c r="E209" s="1071" t="str">
        <f>NewTech!E81</f>
        <v>TMCNG</v>
      </c>
      <c r="F209" s="1071" t="str">
        <f>NewTech!F80</f>
        <v>TM</v>
      </c>
      <c r="G209" s="1110" t="s">
        <v>503</v>
      </c>
      <c r="H209" s="1110" t="s">
        <v>500</v>
      </c>
      <c r="I209" s="1112">
        <v>1</v>
      </c>
      <c r="J209" s="1111" t="str">
        <f t="shared" si="302"/>
        <v>Medium duty-GSL</v>
      </c>
      <c r="K209" s="1111">
        <f>SUMIFS(NewEmisData!E:E, NewEmisData!$A:$A, $G209, NewEmisData!$B:$B, $A209, NewEmisData!$C:$C, $H209, NewEmisData!$D:$D, K$6)</f>
        <v>1295.14987573646</v>
      </c>
      <c r="L209" s="1111">
        <f>SUMIFS(NewEmisData!F:F, NewEmisData!$A:$A, $G209, NewEmisData!$B:$B, $A209, NewEmisData!$C:$C, $H209, NewEmisData!$D:$D, L$6)</f>
        <v>1270.8053069328</v>
      </c>
      <c r="M209" s="1111">
        <f>SUMIFS(NewEmisData!G:G, NewEmisData!$A:$A, $G209, NewEmisData!$B:$B, $A209, NewEmisData!$C:$C, $H209, NewEmisData!$D:$D, M$6)</f>
        <v>1116.9310844665499</v>
      </c>
      <c r="N209" s="1111">
        <f>SUMIFS(NewEmisData!H:H, NewEmisData!$A:$A, $G209, NewEmisData!$B:$B, $A209, NewEmisData!$C:$C, $H209, NewEmisData!$D:$D, N$6)</f>
        <v>1096.47271752758</v>
      </c>
      <c r="O209" s="1111">
        <f>SUMIFS(NewEmisData!I:I, NewEmisData!$A:$A, $G209, NewEmisData!$B:$B, $A209, NewEmisData!$C:$C, $H209, NewEmisData!$D:$D, O$6)</f>
        <v>1080.35797958793</v>
      </c>
      <c r="P209" s="1111">
        <f>SUMIFS(NewEmisData!J:J, NewEmisData!$A:$A, $G209, NewEmisData!$B:$B, $A209, NewEmisData!$C:$C, $H209, NewEmisData!$D:$D, P$6)</f>
        <v>1076.1283631843501</v>
      </c>
      <c r="Q209" s="1111">
        <f>SUMIFS(NewEmisData!K:K, NewEmisData!$A:$A, $G209, NewEmisData!$B:$B, $A209, NewEmisData!$C:$C, $H209, NewEmisData!$D:$D, Q$6)</f>
        <v>1074.99841740493</v>
      </c>
      <c r="R209" s="1111">
        <f>SUMIFS(NewEmisData!L:L, NewEmisData!$A:$A, $G209, NewEmisData!$B:$B, $A209, NewEmisData!$C:$C, $H209, NewEmisData!$D:$D, R$6)</f>
        <v>1074.7768639159699</v>
      </c>
      <c r="S209" s="1111">
        <f>SUMIFS(NewEmisData!M:M, NewEmisData!$A:$A, $G209, NewEmisData!$B:$B, $A209, NewEmisData!$C:$C, $H209, NewEmisData!$D:$D, S$6)</f>
        <v>1074.7231317103101</v>
      </c>
      <c r="T209" s="1111">
        <f t="shared" si="290"/>
        <v>1074.7231317103101</v>
      </c>
      <c r="U209" s="1111">
        <f>SUMIFS(NewEmisData!E:E, NewEmisData!$A:$A, $G209, NewEmisData!$B:$B, $A209, NewEmisData!$C:$C, $H209, NewEmisData!$D:$D, U$6)</f>
        <v>4.7005442822918502</v>
      </c>
      <c r="V209" s="1111">
        <f>SUMIFS(NewEmisData!F:F, NewEmisData!$A:$A, $G209, NewEmisData!$B:$B, $A209, NewEmisData!$C:$C, $H209, NewEmisData!$D:$D, V$6)</f>
        <v>3.08259000861326</v>
      </c>
      <c r="W209" s="1111">
        <f>SUMIFS(NewEmisData!G:G, NewEmisData!$A:$A, $G209, NewEmisData!$B:$B, $A209, NewEmisData!$C:$C, $H209, NewEmisData!$D:$D, W$6)</f>
        <v>1.0390638212911101</v>
      </c>
      <c r="X209" s="1111">
        <f>SUMIFS(NewEmisData!H:H, NewEmisData!$A:$A, $G209, NewEmisData!$B:$B, $A209, NewEmisData!$C:$C, $H209, NewEmisData!$D:$D, X$6)</f>
        <v>0.75779261060598802</v>
      </c>
      <c r="Y209" s="1111">
        <f>SUMIFS(NewEmisData!I:I, NewEmisData!$A:$A, $G209, NewEmisData!$B:$B, $A209, NewEmisData!$C:$C, $H209, NewEmisData!$D:$D, Y$6)</f>
        <v>0.63538679073275195</v>
      </c>
      <c r="Z209" s="1111">
        <f>SUMIFS(NewEmisData!J:J, NewEmisData!$A:$A, $G209, NewEmisData!$B:$B, $A209, NewEmisData!$C:$C, $H209, NewEmisData!$D:$D, Z$6)</f>
        <v>0.580083255346031</v>
      </c>
      <c r="AA209" s="1111">
        <f>SUMIFS(NewEmisData!K:K, NewEmisData!$A:$A, $G209, NewEmisData!$B:$B, $A209, NewEmisData!$C:$C, $H209, NewEmisData!$D:$D, AA$6)</f>
        <v>0.56397155784451702</v>
      </c>
      <c r="AB209" s="1111">
        <f>SUMIFS(NewEmisData!L:L, NewEmisData!$A:$A, $G209, NewEmisData!$B:$B, $A209, NewEmisData!$C:$C, $H209, NewEmisData!$D:$D, AB$6)</f>
        <v>0.56043589289625795</v>
      </c>
      <c r="AC209" s="1111">
        <f>SUMIFS(NewEmisData!M:M, NewEmisData!$A:$A, $G209, NewEmisData!$B:$B, $A209, NewEmisData!$C:$C, $H209, NewEmisData!$D:$D, AC$6)</f>
        <v>0.55941898537579804</v>
      </c>
      <c r="AD209" s="1111">
        <f t="shared" si="229"/>
        <v>0.55941898537579804</v>
      </c>
      <c r="AE209" s="1111">
        <f t="shared" si="303"/>
        <v>2.4310232310109099E-2</v>
      </c>
      <c r="AF209" s="1111">
        <f>SUMIFS(NewEmisData!E:E, NewEmisData!$A:$A, $G209, NewEmisData!$B:$B, $A209, NewEmisData!$C:$C, $H209, NewEmisData!$D:$D, AF$6)</f>
        <v>2.4310232310109099E-2</v>
      </c>
      <c r="AG209" s="1111">
        <f>SUMIFS(NewEmisData!F:F, NewEmisData!$A:$A, $G209, NewEmisData!$B:$B, $A209, NewEmisData!$C:$C, $H209, NewEmisData!$D:$D, AG$6)</f>
        <v>2.26976790505827E-2</v>
      </c>
      <c r="AH209" s="1111">
        <f>SUMIFS(NewEmisData!G:G, NewEmisData!$A:$A, $G209, NewEmisData!$B:$B, $A209, NewEmisData!$C:$C, $H209, NewEmisData!$D:$D, AH$6)</f>
        <v>1.6022950426801401E-2</v>
      </c>
      <c r="AI209" s="1111">
        <f>SUMIFS(NewEmisData!H:H, NewEmisData!$A:$A, $G209, NewEmisData!$B:$B, $A209, NewEmisData!$C:$C, $H209, NewEmisData!$D:$D, AI$6)</f>
        <v>1.5729470038709299E-2</v>
      </c>
      <c r="AJ209" s="1111">
        <f>SUMIFS(NewEmisData!I:I, NewEmisData!$A:$A, $G209, NewEmisData!$B:$B, $A209, NewEmisData!$C:$C, $H209, NewEmisData!$D:$D, AJ$6)</f>
        <v>1.5498287302921E-2</v>
      </c>
      <c r="AK209" s="1111">
        <f>SUMIFS(NewEmisData!J:J, NewEmisData!$A:$A, $G209, NewEmisData!$B:$B, $A209, NewEmisData!$C:$C, $H209, NewEmisData!$D:$D, AK$6)</f>
        <v>1.5437619705180801E-2</v>
      </c>
      <c r="AL209" s="1111">
        <f>SUMIFS(NewEmisData!K:K, NewEmisData!$A:$A, $G209, NewEmisData!$B:$B, $A209, NewEmisData!$C:$C, $H209, NewEmisData!$D:$D, AL$6)</f>
        <v>1.5421408919953399E-2</v>
      </c>
      <c r="AM209" s="1111">
        <f>SUMIFS(NewEmisData!L:L, NewEmisData!$A:$A, $G209, NewEmisData!$B:$B, $A209, NewEmisData!$C:$C, $H209, NewEmisData!$D:$D, AM$6)</f>
        <v>1.5418227354463399E-2</v>
      </c>
      <c r="AN209" s="1111">
        <f>SUMIFS(NewEmisData!M:M, NewEmisData!$A:$A, $G209, NewEmisData!$B:$B, $A209, NewEmisData!$C:$C, $H209, NewEmisData!$D:$D, AN$6)</f>
        <v>1.54174639116704E-2</v>
      </c>
      <c r="AO209" s="1111">
        <f t="shared" si="304"/>
        <v>1.54174639116704E-2</v>
      </c>
      <c r="AP209" s="1111">
        <f t="shared" si="305"/>
        <v>0.19559792469321799</v>
      </c>
      <c r="AQ209" s="1111">
        <f>SUMIFS(NewEmisData!E:E, NewEmisData!$A:$A, $G209, NewEmisData!$B:$B, $A209, NewEmisData!$C:$C, $H209, NewEmisData!$D:$D, AQ$6)</f>
        <v>0.19559792469321799</v>
      </c>
      <c r="AR209" s="1111">
        <f>SUMIFS(NewEmisData!F:F, NewEmisData!$A:$A, $G209, NewEmisData!$B:$B, $A209, NewEmisData!$C:$C, $H209, NewEmisData!$D:$D, AR$6)</f>
        <v>0.195854498358668</v>
      </c>
      <c r="AS209" s="1111">
        <f>SUMIFS(NewEmisData!G:G, NewEmisData!$A:$A, $G209, NewEmisData!$B:$B, $A209, NewEmisData!$C:$C, $H209, NewEmisData!$D:$D, AS$6)</f>
        <v>0.158834423055883</v>
      </c>
      <c r="AT209" s="1111">
        <f>SUMIFS(NewEmisData!H:H, NewEmisData!$A:$A, $G209, NewEmisData!$B:$B, $A209, NewEmisData!$C:$C, $H209, NewEmisData!$D:$D, AT$6)</f>
        <v>0.15912944493902401</v>
      </c>
      <c r="AU209" s="1111">
        <f>SUMIFS(NewEmisData!I:I, NewEmisData!$A:$A, $G209, NewEmisData!$B:$B, $A209, NewEmisData!$C:$C, $H209, NewEmisData!$D:$D, AU$6)</f>
        <v>0.159508665245508</v>
      </c>
      <c r="AV209" s="1111">
        <f>SUMIFS(NewEmisData!J:J, NewEmisData!$A:$A, $G209, NewEmisData!$B:$B, $A209, NewEmisData!$C:$C, $H209, NewEmisData!$D:$D, AV$6)</f>
        <v>0.15973496976197599</v>
      </c>
      <c r="AW209" s="1111">
        <f>SUMIFS(NewEmisData!K:K, NewEmisData!$A:$A, $G209, NewEmisData!$B:$B, $A209, NewEmisData!$C:$C, $H209, NewEmisData!$D:$D, AW$6)</f>
        <v>0.15985029461774</v>
      </c>
      <c r="AX209" s="1111">
        <f>SUMIFS(NewEmisData!L:L, NewEmisData!$A:$A, $G209, NewEmisData!$B:$B, $A209, NewEmisData!$C:$C, $H209, NewEmisData!$D:$D, AX$6)</f>
        <v>0.159884874617258</v>
      </c>
      <c r="AY209" s="1111">
        <f>SUMIFS(NewEmisData!M:M, NewEmisData!$A:$A, $G209, NewEmisData!$B:$B, $A209, NewEmisData!$C:$C, $H209, NewEmisData!$D:$D, AY$6)</f>
        <v>0.15989716821268901</v>
      </c>
      <c r="AZ209" s="1111">
        <f t="shared" si="306"/>
        <v>0.15989716821268901</v>
      </c>
      <c r="BA209" s="1111">
        <f t="shared" si="307"/>
        <v>6.1407596132052197E-2</v>
      </c>
      <c r="BB209" s="1111">
        <f>SUMIFS(NewEmisData!E:E, NewEmisData!$A:$A, $G209, NewEmisData!$B:$B, $A209, NewEmisData!$C:$C, $H209, NewEmisData!$D:$D, BB$6)</f>
        <v>6.1407596132052197E-2</v>
      </c>
      <c r="BC209" s="1111">
        <f>SUMIFS(NewEmisData!F:F, NewEmisData!$A:$A, $G209, NewEmisData!$B:$B, $A209, NewEmisData!$C:$C, $H209, NewEmisData!$D:$D, BC$6)</f>
        <v>5.5619399593761901E-2</v>
      </c>
      <c r="BD209" s="1111">
        <f>SUMIFS(NewEmisData!G:G, NewEmisData!$A:$A, $G209, NewEmisData!$B:$B, $A209, NewEmisData!$C:$C, $H209, NewEmisData!$D:$D, BD$6)</f>
        <v>2.6501774627894398E-2</v>
      </c>
      <c r="BE209" s="1111">
        <f>SUMIFS(NewEmisData!H:H, NewEmisData!$A:$A, $G209, NewEmisData!$B:$B, $A209, NewEmisData!$C:$C, $H209, NewEmisData!$D:$D, BE$6)</f>
        <v>2.6535568582948001E-2</v>
      </c>
      <c r="BF209" s="1111">
        <f>SUMIFS(NewEmisData!I:I, NewEmisData!$A:$A, $G209, NewEmisData!$B:$B, $A209, NewEmisData!$C:$C, $H209, NewEmisData!$D:$D, BF$6)</f>
        <v>2.68240676450552E-2</v>
      </c>
      <c r="BG209" s="1111">
        <f>SUMIFS(NewEmisData!J:J, NewEmisData!$A:$A, $G209, NewEmisData!$B:$B, $A209, NewEmisData!$C:$C, $H209, NewEmisData!$D:$D, BG$6)</f>
        <v>2.7011500327140701E-2</v>
      </c>
      <c r="BH209" s="1111">
        <f>SUMIFS(NewEmisData!K:K, NewEmisData!$A:$A, $G209, NewEmisData!$B:$B, $A209, NewEmisData!$C:$C, $H209, NewEmisData!$D:$D, BH$6)</f>
        <v>2.71105372443806E-2</v>
      </c>
      <c r="BI209" s="1111">
        <f>SUMIFS(NewEmisData!L:L, NewEmisData!$A:$A, $G209, NewEmisData!$B:$B, $A209, NewEmisData!$C:$C, $H209, NewEmisData!$D:$D, BI$6)</f>
        <v>2.7140215075382799E-2</v>
      </c>
      <c r="BJ209" s="1111">
        <f>SUMIFS(NewEmisData!M:M, NewEmisData!$A:$A, $G209, NewEmisData!$B:$B, $A209, NewEmisData!$C:$C, $H209, NewEmisData!$D:$D, BJ$6)</f>
        <v>2.7151187263261201E-2</v>
      </c>
      <c r="BK209" s="1111">
        <f t="shared" si="308"/>
        <v>2.7151187263261201E-2</v>
      </c>
      <c r="BL209" s="1111">
        <f t="shared" si="309"/>
        <v>37.072387310679602</v>
      </c>
      <c r="BM209" s="1111">
        <f>SUMIFS(NewEmisData!E:E, NewEmisData!$A:$A, $G209, NewEmisData!$B:$B, $A209, NewEmisData!$C:$C, $H209, NewEmisData!$D:$D, BM$6)</f>
        <v>37.072387310679602</v>
      </c>
      <c r="BN209" s="1111">
        <f>SUMIFS(NewEmisData!F:F, NewEmisData!$A:$A, $G209, NewEmisData!$B:$B, $A209, NewEmisData!$C:$C, $H209, NewEmisData!$D:$D, BN$6)</f>
        <v>25.792665103532201</v>
      </c>
      <c r="BO209" s="1111">
        <f>SUMIFS(NewEmisData!G:G, NewEmisData!$A:$A, $G209, NewEmisData!$B:$B, $A209, NewEmisData!$C:$C, $H209, NewEmisData!$D:$D, BO$6)</f>
        <v>9.5462177561034594</v>
      </c>
      <c r="BP209" s="1111">
        <f>SUMIFS(NewEmisData!H:H, NewEmisData!$A:$A, $G209, NewEmisData!$B:$B, $A209, NewEmisData!$C:$C, $H209, NewEmisData!$D:$D, BP$6)</f>
        <v>8.0392699220412105</v>
      </c>
      <c r="BQ209" s="1111">
        <f>SUMIFS(NewEmisData!I:I, NewEmisData!$A:$A, $G209, NewEmisData!$B:$B, $A209, NewEmisData!$C:$C, $H209, NewEmisData!$D:$D, BQ$6)</f>
        <v>7.5629439516014001</v>
      </c>
      <c r="BR209" s="1111">
        <f>SUMIFS(NewEmisData!J:J, NewEmisData!$A:$A, $G209, NewEmisData!$B:$B, $A209, NewEmisData!$C:$C, $H209, NewEmisData!$D:$D, BR$6)</f>
        <v>7.42380058325005</v>
      </c>
      <c r="BS209" s="1111">
        <f>SUMIFS(NewEmisData!K:K, NewEmisData!$A:$A, $G209, NewEmisData!$B:$B, $A209, NewEmisData!$C:$C, $H209, NewEmisData!$D:$D, BS$6)</f>
        <v>7.4426275255201499</v>
      </c>
      <c r="BT209" s="1111">
        <f>SUMIFS(NewEmisData!L:L, NewEmisData!$A:$A, $G209, NewEmisData!$B:$B, $A209, NewEmisData!$C:$C, $H209, NewEmisData!$D:$D, BT$6)</f>
        <v>7.4685453226779002</v>
      </c>
      <c r="BU209" s="1111">
        <f>SUMIFS(NewEmisData!M:M, NewEmisData!$A:$A, $G209, NewEmisData!$B:$B, $A209, NewEmisData!$C:$C, $H209, NewEmisData!$D:$D, BU$6)</f>
        <v>7.4852296254001702</v>
      </c>
      <c r="BV209" s="1111">
        <f t="shared" si="310"/>
        <v>7.4852296254001702</v>
      </c>
      <c r="BW209" s="1111">
        <f t="shared" si="311"/>
        <v>1.81554554352594</v>
      </c>
      <c r="BX209" s="1111">
        <f>SUMIFS(NewEmisData!E:E, NewEmisData!$A:$A, $G209, NewEmisData!$B:$B, $A209, NewEmisData!$C:$C, $H209, NewEmisData!$D:$D, BX$6)</f>
        <v>1.81554554352594</v>
      </c>
      <c r="BY209" s="1111">
        <f>SUMIFS(NewEmisData!F:F, NewEmisData!$A:$A, $G209, NewEmisData!$B:$B, $A209, NewEmisData!$C:$C, $H209, NewEmisData!$D:$D, BY$6)</f>
        <v>1.3100717618514499</v>
      </c>
      <c r="BZ209" s="1111">
        <f>SUMIFS(NewEmisData!G:G, NewEmisData!$A:$A, $G209, NewEmisData!$B:$B, $A209, NewEmisData!$C:$C, $H209, NewEmisData!$D:$D, BZ$6)</f>
        <v>0.39370379160048102</v>
      </c>
      <c r="CA209" s="1111">
        <f>SUMIFS(NewEmisData!H:H, NewEmisData!$A:$A, $G209, NewEmisData!$B:$B, $A209, NewEmisData!$C:$C, $H209, NewEmisData!$D:$D, CA$6)</f>
        <v>0.31228113561307103</v>
      </c>
      <c r="CB209" s="1111">
        <f>SUMIFS(NewEmisData!I:I, NewEmisData!$A:$A, $G209, NewEmisData!$B:$B, $A209, NewEmisData!$C:$C, $H209, NewEmisData!$D:$D, CB$6)</f>
        <v>0.28237497464649203</v>
      </c>
      <c r="CC209" s="1111">
        <f>SUMIFS(NewEmisData!J:J, NewEmisData!$A:$A, $G209, NewEmisData!$B:$B, $A209, NewEmisData!$C:$C, $H209, NewEmisData!$D:$D, CC$6)</f>
        <v>0.27043603612734302</v>
      </c>
      <c r="CD209" s="1111">
        <f>SUMIFS(NewEmisData!K:K, NewEmisData!$A:$A, $G209, NewEmisData!$B:$B, $A209, NewEmisData!$C:$C, $H209, NewEmisData!$D:$D, CD$6)</f>
        <v>0.26884074434480698</v>
      </c>
      <c r="CE209" s="1111">
        <f>SUMIFS(NewEmisData!L:L, NewEmisData!$A:$A, $G209, NewEmisData!$B:$B, $A209, NewEmisData!$C:$C, $H209, NewEmisData!$D:$D, CE$6)</f>
        <v>0.268857395941977</v>
      </c>
      <c r="CF209" s="1111">
        <f>SUMIFS(NewEmisData!M:M, NewEmisData!$A:$A, $G209, NewEmisData!$B:$B, $A209, NewEmisData!$C:$C, $H209, NewEmisData!$D:$D, CF$6)</f>
        <v>0.26888130166281199</v>
      </c>
      <c r="CG209" s="1111">
        <f t="shared" si="312"/>
        <v>0.26888130166281199</v>
      </c>
      <c r="CH209" s="1111">
        <f t="shared" si="313"/>
        <v>4.4354850737075603E-2</v>
      </c>
      <c r="CI209" s="1111">
        <f>SUMIFS(NewEmisData!E:E, NewEmisData!$A:$A, $G209, NewEmisData!$B:$B, $A209, NewEmisData!$C:$C, $H209, NewEmisData!$D:$D, CI$6)</f>
        <v>4.4354850737075603E-2</v>
      </c>
      <c r="CJ209" s="1111">
        <f>SUMIFS(NewEmisData!F:F, NewEmisData!$A:$A, $G209, NewEmisData!$B:$B, $A209, NewEmisData!$C:$C, $H209, NewEmisData!$D:$D, CJ$6)</f>
        <v>4.4606421809548602E-2</v>
      </c>
      <c r="CK209" s="1111">
        <f>SUMIFS(NewEmisData!G:G, NewEmisData!$A:$A, $G209, NewEmisData!$B:$B, $A209, NewEmisData!$C:$C, $H209, NewEmisData!$D:$D, CK$6)</f>
        <v>4.5833727376490101E-2</v>
      </c>
      <c r="CL209" s="1111">
        <f>SUMIFS(NewEmisData!H:H, NewEmisData!$A:$A, $G209, NewEmisData!$B:$B, $A209, NewEmisData!$C:$C, $H209, NewEmisData!$D:$D, CL$6)</f>
        <v>4.5835915019940797E-2</v>
      </c>
      <c r="CM209" s="1111">
        <f>SUMIFS(NewEmisData!I:I, NewEmisData!$A:$A, $G209, NewEmisData!$B:$B, $A209, NewEmisData!$C:$C, $H209, NewEmisData!$D:$D, CM$6)</f>
        <v>4.5836924876248103E-2</v>
      </c>
      <c r="CN209" s="1111">
        <f>SUMIFS(NewEmisData!J:J, NewEmisData!$A:$A, $G209, NewEmisData!$B:$B, $A209, NewEmisData!$C:$C, $H209, NewEmisData!$D:$D, CN$6)</f>
        <v>4.5837206762828597E-2</v>
      </c>
      <c r="CO209" s="1111">
        <f>SUMIFS(NewEmisData!K:K, NewEmisData!$A:$A, $G209, NewEmisData!$B:$B, $A209, NewEmisData!$C:$C, $H209, NewEmisData!$D:$D, CO$6)</f>
        <v>4.5837285402718399E-2</v>
      </c>
      <c r="CP209" s="1111">
        <f>SUMIFS(NewEmisData!L:L, NewEmisData!$A:$A, $G209, NewEmisData!$B:$B, $A209, NewEmisData!$C:$C, $H209, NewEmisData!$D:$D, CP$6)</f>
        <v>4.5837327743812703E-2</v>
      </c>
      <c r="CQ209" s="1111">
        <f>SUMIFS(NewEmisData!M:M, NewEmisData!$A:$A, $G209, NewEmisData!$B:$B, $A209, NewEmisData!$C:$C, $H209, NewEmisData!$D:$D, CQ$6)</f>
        <v>4.5837305828443899E-2</v>
      </c>
      <c r="CR209" s="1111">
        <f t="shared" si="314"/>
        <v>4.5837305828443899E-2</v>
      </c>
      <c r="CS209" s="1111">
        <f t="shared" si="315"/>
        <v>4.9787516424166102E-2</v>
      </c>
      <c r="CT209" s="1111">
        <f>SUMIFS(NewEmisData!E:E, NewEmisData!$A:$A, $G209, NewEmisData!$B:$B, $A209, NewEmisData!$C:$C, $H209, NewEmisData!$D:$D, CT$6)</f>
        <v>4.9787516424166102E-2</v>
      </c>
      <c r="CU209" s="1111">
        <f>SUMIFS(NewEmisData!F:F, NewEmisData!$A:$A, $G209, NewEmisData!$B:$B, $A209, NewEmisData!$C:$C, $H209, NewEmisData!$D:$D, CU$6)</f>
        <v>4.0085775499257799E-2</v>
      </c>
      <c r="CV209" s="1111">
        <f>SUMIFS(NewEmisData!G:G, NewEmisData!$A:$A, $G209, NewEmisData!$B:$B, $A209, NewEmisData!$C:$C, $H209, NewEmisData!$D:$D, CV$6)</f>
        <v>1.5231093201386501E-2</v>
      </c>
      <c r="CW209" s="1111">
        <f>SUMIFS(NewEmisData!H:H, NewEmisData!$A:$A, $G209, NewEmisData!$B:$B, $A209, NewEmisData!$C:$C, $H209, NewEmisData!$D:$D, CW$6)</f>
        <v>1.05082390102391E-2</v>
      </c>
      <c r="CX209" s="1111">
        <f>SUMIFS(NewEmisData!I:I, NewEmisData!$A:$A, $G209, NewEmisData!$B:$B, $A209, NewEmisData!$C:$C, $H209, NewEmisData!$D:$D, CX$6)</f>
        <v>9.2332663114354004E-3</v>
      </c>
      <c r="CY209" s="1111">
        <f>SUMIFS(NewEmisData!J:J, NewEmisData!$A:$A, $G209, NewEmisData!$B:$B, $A209, NewEmisData!$C:$C, $H209, NewEmisData!$D:$D, CY$6)</f>
        <v>8.8795270887270794E-3</v>
      </c>
      <c r="CZ209" s="1111">
        <f>SUMIFS(NewEmisData!K:K, NewEmisData!$A:$A, $G209, NewEmisData!$B:$B, $A209, NewEmisData!$C:$C, $H209, NewEmisData!$D:$D, CZ$6)</f>
        <v>8.8375979409894192E-3</v>
      </c>
      <c r="DA209" s="1111">
        <f>SUMIFS(NewEmisData!L:L, NewEmisData!$A:$A, $G209, NewEmisData!$B:$B, $A209, NewEmisData!$C:$C, $H209, NewEmisData!$D:$D, DA$6)</f>
        <v>8.8119276303445203E-3</v>
      </c>
      <c r="DB209" s="1111">
        <f>SUMIFS(NewEmisData!M:M, NewEmisData!$A:$A, $G209, NewEmisData!$B:$B, $A209, NewEmisData!$C:$C, $H209, NewEmisData!$D:$D, DB$6)</f>
        <v>8.8259459804548995E-3</v>
      </c>
      <c r="DC209" s="1111">
        <f t="shared" si="316"/>
        <v>8.8259459804548995E-3</v>
      </c>
      <c r="DD209" s="1111"/>
      <c r="DE209" s="1111"/>
      <c r="DF209" s="1111"/>
      <c r="DG209" s="1111"/>
      <c r="DH209" s="1111"/>
      <c r="DI209" s="1111"/>
      <c r="DJ209" s="1111"/>
      <c r="DK209" s="1111"/>
      <c r="DL209" s="1111"/>
      <c r="DM209" s="1111"/>
      <c r="DN209" s="1111"/>
      <c r="DO209" s="1111"/>
      <c r="DP209" s="1111"/>
      <c r="DQ209" s="1111"/>
      <c r="DR209" s="1111"/>
      <c r="DS209" s="1111"/>
      <c r="DT209" s="1111"/>
      <c r="DU209" s="1111"/>
      <c r="DV209" s="1111"/>
      <c r="DW209" s="1111"/>
      <c r="DX209" s="1111"/>
      <c r="DY209" s="1111"/>
      <c r="DZ209" s="1111">
        <f t="shared" si="317"/>
        <v>4.44098100343151E-2</v>
      </c>
      <c r="EA209" s="1111">
        <f>SUMIFS(NewEmisData!E:E, NewEmisData!$A:$A, $G209, NewEmisData!$B:$B, $A209, NewEmisData!$C:$C, $H209, NewEmisData!$D:$D, EA$6)</f>
        <v>4.44098100343151E-2</v>
      </c>
      <c r="EB209" s="1111">
        <f>SUMIFS(NewEmisData!F:F, NewEmisData!$A:$A, $G209, NewEmisData!$B:$B, $A209, NewEmisData!$C:$C, $H209, NewEmisData!$D:$D, EB$6)</f>
        <v>2.9304673870380101E-2</v>
      </c>
      <c r="EC209" s="1111">
        <f>SUMIFS(NewEmisData!G:G, NewEmisData!$A:$A, $G209, NewEmisData!$B:$B, $A209, NewEmisData!$C:$C, $H209, NewEmisData!$D:$D, EC$6)</f>
        <v>9.6598752165466002E-3</v>
      </c>
      <c r="ED209" s="1111">
        <f>SUMIFS(NewEmisData!H:H, NewEmisData!$A:$A, $G209, NewEmisData!$B:$B, $A209, NewEmisData!$C:$C, $H209, NewEmisData!$D:$D, ED$6)</f>
        <v>8.2574531868545402E-3</v>
      </c>
      <c r="EE209" s="1111">
        <f>SUMIFS(NewEmisData!I:I, NewEmisData!$A:$A, $G209, NewEmisData!$B:$B, $A209, NewEmisData!$C:$C, $H209, NewEmisData!$D:$D, EE$6)</f>
        <v>7.8634646205182502E-3</v>
      </c>
      <c r="EF209" s="1111">
        <f>SUMIFS(NewEmisData!J:J, NewEmisData!$A:$A, $G209, NewEmisData!$B:$B, $A209, NewEmisData!$C:$C, $H209, NewEmisData!$D:$D, EF$6)</f>
        <v>7.7933832365119603E-3</v>
      </c>
      <c r="EG209" s="1111">
        <f>SUMIFS(NewEmisData!K:K, NewEmisData!$A:$A, $G209, NewEmisData!$B:$B, $A209, NewEmisData!$C:$C, $H209, NewEmisData!$D:$D, EG$6)</f>
        <v>7.8217032086275798E-3</v>
      </c>
      <c r="EH209" s="1111">
        <f>SUMIFS(NewEmisData!L:L, NewEmisData!$A:$A, $G209, NewEmisData!$B:$B, $A209, NewEmisData!$C:$C, $H209, NewEmisData!$D:$D, EH$6)</f>
        <v>7.8307139594945199E-3</v>
      </c>
      <c r="EI209" s="1111">
        <f>SUMIFS(NewEmisData!M:M, NewEmisData!$A:$A, $G209, NewEmisData!$B:$B, $A209, NewEmisData!$C:$C, $H209, NewEmisData!$D:$D, EI$6)</f>
        <v>7.8300628211082704E-3</v>
      </c>
      <c r="EJ209" s="1111">
        <f t="shared" si="318"/>
        <v>7.8300628211082704E-3</v>
      </c>
      <c r="EK209" s="1111">
        <f t="shared" si="319"/>
        <v>1295.14987573646</v>
      </c>
      <c r="EL209" s="1111">
        <f t="shared" si="269"/>
        <v>1295.14987573646</v>
      </c>
      <c r="EM209" s="1111">
        <f t="shared" si="270"/>
        <v>1270.8053069328</v>
      </c>
      <c r="EN209" s="1111">
        <f t="shared" si="271"/>
        <v>1116.9310844665499</v>
      </c>
      <c r="EO209" s="1111">
        <f t="shared" si="272"/>
        <v>1096.47271752758</v>
      </c>
      <c r="EP209" s="1111">
        <f t="shared" si="273"/>
        <v>1080.35797958793</v>
      </c>
      <c r="EQ209" s="1111">
        <f t="shared" si="274"/>
        <v>1076.1283631843501</v>
      </c>
      <c r="ER209" s="1111">
        <f t="shared" si="275"/>
        <v>1074.99841740493</v>
      </c>
      <c r="ES209" s="1111">
        <f t="shared" si="276"/>
        <v>1074.7768639159699</v>
      </c>
      <c r="ET209" s="1111">
        <f t="shared" si="277"/>
        <v>1074.7231317103101</v>
      </c>
      <c r="EU209" s="1111">
        <f t="shared" si="278"/>
        <v>1074.7231317103101</v>
      </c>
      <c r="EV209" s="1111">
        <f t="shared" si="320"/>
        <v>4.7005442822918502</v>
      </c>
      <c r="EW209" s="1111">
        <f t="shared" si="259"/>
        <v>4.7005442822918502</v>
      </c>
      <c r="EX209" s="1111">
        <f t="shared" si="260"/>
        <v>3.08259000861326</v>
      </c>
      <c r="EY209" s="1111">
        <f t="shared" si="261"/>
        <v>1.0390638212911101</v>
      </c>
      <c r="EZ209" s="1111">
        <f t="shared" si="262"/>
        <v>0.75779261060598802</v>
      </c>
      <c r="FA209" s="1111">
        <f t="shared" si="263"/>
        <v>0.63538679073275195</v>
      </c>
      <c r="FB209" s="1111">
        <f t="shared" si="264"/>
        <v>0.580083255346031</v>
      </c>
      <c r="FC209" s="1111">
        <f t="shared" si="265"/>
        <v>0.56397155784451702</v>
      </c>
      <c r="FD209" s="1111">
        <f t="shared" si="266"/>
        <v>0.56043589289625795</v>
      </c>
      <c r="FE209" s="1111">
        <f t="shared" si="267"/>
        <v>0.55941898537579804</v>
      </c>
      <c r="FF209" s="1111">
        <f t="shared" si="268"/>
        <v>0.55941898537579804</v>
      </c>
      <c r="FG209" s="1111">
        <f t="shared" si="291"/>
        <v>2.4310232310109099E-2</v>
      </c>
      <c r="FH209" s="1111">
        <f t="shared" si="292"/>
        <v>2.4310232310109099E-2</v>
      </c>
      <c r="FI209" s="1111">
        <f t="shared" si="293"/>
        <v>2.26976790505827E-2</v>
      </c>
      <c r="FJ209" s="1111">
        <f t="shared" si="294"/>
        <v>1.6022950426801401E-2</v>
      </c>
      <c r="FK209" s="1111">
        <f t="shared" si="295"/>
        <v>1.5729470038709299E-2</v>
      </c>
      <c r="FL209" s="1111">
        <f t="shared" si="296"/>
        <v>1.5498287302921E-2</v>
      </c>
      <c r="FM209" s="1111">
        <f t="shared" si="297"/>
        <v>1.5437619705180801E-2</v>
      </c>
      <c r="FN209" s="1111">
        <f t="shared" si="298"/>
        <v>1.5421408919953399E-2</v>
      </c>
      <c r="FO209" s="1111">
        <f t="shared" si="299"/>
        <v>1.5418227354463399E-2</v>
      </c>
      <c r="FP209" s="1111">
        <f t="shared" si="300"/>
        <v>1.54174639116704E-2</v>
      </c>
      <c r="FQ209" s="1111">
        <f t="shared" si="301"/>
        <v>1.54174639116704E-2</v>
      </c>
      <c r="FR209" s="1111">
        <f t="shared" si="230"/>
        <v>0.19559792469321799</v>
      </c>
      <c r="FS209" s="1111">
        <f t="shared" si="231"/>
        <v>0.19559792469321799</v>
      </c>
      <c r="FT209" s="1111">
        <f t="shared" si="232"/>
        <v>0.195854498358668</v>
      </c>
      <c r="FU209" s="1111">
        <f t="shared" si="233"/>
        <v>0.158834423055883</v>
      </c>
      <c r="FV209" s="1111">
        <f t="shared" si="234"/>
        <v>0.15912944493902401</v>
      </c>
      <c r="FW209" s="1111">
        <f t="shared" si="235"/>
        <v>0.159508665245508</v>
      </c>
      <c r="FX209" s="1111">
        <f t="shared" si="236"/>
        <v>0.15973496976197599</v>
      </c>
      <c r="FY209" s="1111">
        <f t="shared" si="237"/>
        <v>0.15985029461774</v>
      </c>
      <c r="FZ209" s="1111">
        <f t="shared" si="238"/>
        <v>0.159884874617258</v>
      </c>
      <c r="GA209" s="1111">
        <f t="shared" si="239"/>
        <v>0.15989716821268901</v>
      </c>
      <c r="GB209" s="1111">
        <f t="shared" si="240"/>
        <v>0.15989716821268901</v>
      </c>
      <c r="GC209" s="1111">
        <f t="shared" si="279"/>
        <v>6.1407596132052197E-2</v>
      </c>
      <c r="GD209" s="1111">
        <f t="shared" si="280"/>
        <v>6.1407596132052197E-2</v>
      </c>
      <c r="GE209" s="1111">
        <f t="shared" si="281"/>
        <v>5.5619399593761901E-2</v>
      </c>
      <c r="GF209" s="1111">
        <f t="shared" si="282"/>
        <v>2.6501774627894398E-2</v>
      </c>
      <c r="GG209" s="1111">
        <f t="shared" si="283"/>
        <v>2.6535568582948001E-2</v>
      </c>
      <c r="GH209" s="1111">
        <f t="shared" si="284"/>
        <v>2.68240676450552E-2</v>
      </c>
      <c r="GI209" s="1111">
        <f t="shared" si="285"/>
        <v>2.7011500327140701E-2</v>
      </c>
      <c r="GJ209" s="1111">
        <f t="shared" si="286"/>
        <v>2.71105372443806E-2</v>
      </c>
      <c r="GK209" s="1111">
        <f t="shared" si="287"/>
        <v>2.7140215075382799E-2</v>
      </c>
      <c r="GL209" s="1111">
        <f t="shared" si="288"/>
        <v>2.7151187263261201E-2</v>
      </c>
      <c r="GM209" s="1111">
        <f t="shared" si="289"/>
        <v>2.7151187263261201E-2</v>
      </c>
    </row>
    <row r="210" spans="1:195" x14ac:dyDescent="0.2">
      <c r="A210" s="1071" t="s">
        <v>190</v>
      </c>
      <c r="B210" s="1071" t="str">
        <f>Technologies!C128</f>
        <v>TMCNGC10</v>
      </c>
      <c r="C210" s="1071" t="str">
        <f>Technologies!D128</f>
        <v>Medium Duty Truck, CNG, 2010</v>
      </c>
      <c r="D210" s="1071" t="str">
        <f>NewTech!D74</f>
        <v>bn-vmt, bn-vmt/a</v>
      </c>
      <c r="E210" s="1071" t="str">
        <f>NewTech!E81</f>
        <v>TMCNG</v>
      </c>
      <c r="F210" s="1071" t="str">
        <f>NewTech!F80</f>
        <v>TM</v>
      </c>
      <c r="G210" s="1110" t="s">
        <v>503</v>
      </c>
      <c r="H210" s="1110" t="s">
        <v>500</v>
      </c>
      <c r="I210" s="1112">
        <v>1</v>
      </c>
      <c r="J210" s="1111" t="str">
        <f t="shared" si="302"/>
        <v>Medium duty-GSL</v>
      </c>
      <c r="K210" s="1111">
        <f>SUMIFS(NewEmisData!E:E, NewEmisData!$A:$A, $G210, NewEmisData!$B:$B, $A210, NewEmisData!$C:$C, $H210, NewEmisData!$D:$D, K$6)</f>
        <v>1204.2704996203399</v>
      </c>
      <c r="L210" s="1111">
        <f>SUMIFS(NewEmisData!F:F, NewEmisData!$A:$A, $G210, NewEmisData!$B:$B, $A210, NewEmisData!$C:$C, $H210, NewEmisData!$D:$D, L$6)</f>
        <v>1280.9014839137801</v>
      </c>
      <c r="M210" s="1111">
        <f>SUMIFS(NewEmisData!G:G, NewEmisData!$A:$A, $G210, NewEmisData!$B:$B, $A210, NewEmisData!$C:$C, $H210, NewEmisData!$D:$D, M$6)</f>
        <v>1309.1277572440899</v>
      </c>
      <c r="N210" s="1111">
        <f>SUMIFS(NewEmisData!H:H, NewEmisData!$A:$A, $G210, NewEmisData!$B:$B, $A210, NewEmisData!$C:$C, $H210, NewEmisData!$D:$D, N$6)</f>
        <v>1277.5848439676099</v>
      </c>
      <c r="O210" s="1111">
        <f>SUMIFS(NewEmisData!I:I, NewEmisData!$A:$A, $G210, NewEmisData!$B:$B, $A210, NewEmisData!$C:$C, $H210, NewEmisData!$D:$D, O$6)</f>
        <v>1259.05503169493</v>
      </c>
      <c r="P210" s="1111">
        <f>SUMIFS(NewEmisData!J:J, NewEmisData!$A:$A, $G210, NewEmisData!$B:$B, $A210, NewEmisData!$C:$C, $H210, NewEmisData!$D:$D, P$6)</f>
        <v>1254.08723086747</v>
      </c>
      <c r="Q210" s="1111">
        <f>SUMIFS(NewEmisData!K:K, NewEmisData!$A:$A, $G210, NewEmisData!$B:$B, $A210, NewEmisData!$C:$C, $H210, NewEmisData!$D:$D, Q$6)</f>
        <v>1252.90461894546</v>
      </c>
      <c r="R210" s="1111">
        <f>SUMIFS(NewEmisData!L:L, NewEmisData!$A:$A, $G210, NewEmisData!$B:$B, $A210, NewEmisData!$C:$C, $H210, NewEmisData!$D:$D, R$6)</f>
        <v>1252.7104430173399</v>
      </c>
      <c r="S210" s="1111">
        <f>SUMIFS(NewEmisData!M:M, NewEmisData!$A:$A, $G210, NewEmisData!$B:$B, $A210, NewEmisData!$C:$C, $H210, NewEmisData!$D:$D, S$6)</f>
        <v>1252.6870397442001</v>
      </c>
      <c r="T210" s="1111">
        <f t="shared" si="290"/>
        <v>1252.6870397442001</v>
      </c>
      <c r="U210" s="1111">
        <f>SUMIFS(NewEmisData!E:E, NewEmisData!$A:$A, $G210, NewEmisData!$B:$B, $A210, NewEmisData!$C:$C, $H210, NewEmisData!$D:$D, U$6)</f>
        <v>4.3448715610080901</v>
      </c>
      <c r="V210" s="1111">
        <f>SUMIFS(NewEmisData!F:F, NewEmisData!$A:$A, $G210, NewEmisData!$B:$B, $A210, NewEmisData!$C:$C, $H210, NewEmisData!$D:$D, V$6)</f>
        <v>2.68000771941229</v>
      </c>
      <c r="W210" s="1111">
        <f>SUMIFS(NewEmisData!G:G, NewEmisData!$A:$A, $G210, NewEmisData!$B:$B, $A210, NewEmisData!$C:$C, $H210, NewEmisData!$D:$D, W$6)</f>
        <v>1.2701406141530101</v>
      </c>
      <c r="X210" s="1111">
        <f>SUMIFS(NewEmisData!H:H, NewEmisData!$A:$A, $G210, NewEmisData!$B:$B, $A210, NewEmisData!$C:$C, $H210, NewEmisData!$D:$D, X$6)</f>
        <v>0.89637025450783203</v>
      </c>
      <c r="Y210" s="1111">
        <f>SUMIFS(NewEmisData!I:I, NewEmisData!$A:$A, $G210, NewEmisData!$B:$B, $A210, NewEmisData!$C:$C, $H210, NewEmisData!$D:$D, Y$6)</f>
        <v>0.74230586472414295</v>
      </c>
      <c r="Z210" s="1111">
        <f>SUMIFS(NewEmisData!J:J, NewEmisData!$A:$A, $G210, NewEmisData!$B:$B, $A210, NewEmisData!$C:$C, $H210, NewEmisData!$D:$D, Z$6)</f>
        <v>0.67198096175904998</v>
      </c>
      <c r="AA210" s="1111">
        <f>SUMIFS(NewEmisData!K:K, NewEmisData!$A:$A, $G210, NewEmisData!$B:$B, $A210, NewEmisData!$C:$C, $H210, NewEmisData!$D:$D, AA$6)</f>
        <v>0.65082523068374698</v>
      </c>
      <c r="AB210" s="1111">
        <f>SUMIFS(NewEmisData!L:L, NewEmisData!$A:$A, $G210, NewEmisData!$B:$B, $A210, NewEmisData!$C:$C, $H210, NewEmisData!$D:$D, AB$6)</f>
        <v>0.64636795436825401</v>
      </c>
      <c r="AC210" s="1111">
        <f>SUMIFS(NewEmisData!M:M, NewEmisData!$A:$A, $G210, NewEmisData!$B:$B, $A210, NewEmisData!$C:$C, $H210, NewEmisData!$D:$D, AC$6)</f>
        <v>0.64488416341078902</v>
      </c>
      <c r="AD210" s="1111">
        <f t="shared" si="229"/>
        <v>0.64488416341078902</v>
      </c>
      <c r="AE210" s="1111">
        <f t="shared" si="303"/>
        <v>2.08381055217347E-2</v>
      </c>
      <c r="AF210" s="1111">
        <f>SUMIFS(NewEmisData!E:E, NewEmisData!$A:$A, $G210, NewEmisData!$B:$B, $A210, NewEmisData!$C:$C, $H210, NewEmisData!$D:$D, AF$6)</f>
        <v>2.08381055217347E-2</v>
      </c>
      <c r="AG210" s="1111">
        <f>SUMIFS(NewEmisData!F:F, NewEmisData!$A:$A, $G210, NewEmisData!$B:$B, $A210, NewEmisData!$C:$C, $H210, NewEmisData!$D:$D, AG$6)</f>
        <v>2.2164087103621902E-2</v>
      </c>
      <c r="AH210" s="1111">
        <f>SUMIFS(NewEmisData!G:G, NewEmisData!$A:$A, $G210, NewEmisData!$B:$B, $A210, NewEmisData!$C:$C, $H210, NewEmisData!$D:$D, AH$6)</f>
        <v>1.8780122769194701E-2</v>
      </c>
      <c r="AI210" s="1111">
        <f>SUMIFS(NewEmisData!H:H, NewEmisData!$A:$A, $G210, NewEmisData!$B:$B, $A210, NewEmisData!$C:$C, $H210, NewEmisData!$D:$D, AI$6)</f>
        <v>1.8327610114874E-2</v>
      </c>
      <c r="AJ210" s="1111">
        <f>SUMIFS(NewEmisData!I:I, NewEmisData!$A:$A, $G210, NewEmisData!$B:$B, $A210, NewEmisData!$C:$C, $H210, NewEmisData!$D:$D, AJ$6)</f>
        <v>1.8061800865337901E-2</v>
      </c>
      <c r="AK210" s="1111">
        <f>SUMIFS(NewEmisData!J:J, NewEmisData!$A:$A, $G210, NewEmisData!$B:$B, $A210, NewEmisData!$C:$C, $H210, NewEmisData!$D:$D, AK$6)</f>
        <v>1.79905289884639E-2</v>
      </c>
      <c r="AL210" s="1111">
        <f>SUMIFS(NewEmisData!K:K, NewEmisData!$A:$A, $G210, NewEmisData!$B:$B, $A210, NewEmisData!$C:$C, $H210, NewEmisData!$D:$D, AL$6)</f>
        <v>1.7973564507445701E-2</v>
      </c>
      <c r="AM210" s="1111">
        <f>SUMIFS(NewEmisData!L:L, NewEmisData!$A:$A, $G210, NewEmisData!$B:$B, $A210, NewEmisData!$C:$C, $H210, NewEmisData!$D:$D, AM$6)</f>
        <v>1.7970784643505301E-2</v>
      </c>
      <c r="AN210" s="1111">
        <f>SUMIFS(NewEmisData!M:M, NewEmisData!$A:$A, $G210, NewEmisData!$B:$B, $A210, NewEmisData!$C:$C, $H210, NewEmisData!$D:$D, AN$6)</f>
        <v>1.7970446963254401E-2</v>
      </c>
      <c r="AO210" s="1111">
        <f t="shared" si="304"/>
        <v>1.7970446963254401E-2</v>
      </c>
      <c r="AP210" s="1111">
        <f t="shared" si="305"/>
        <v>0.19574828311834699</v>
      </c>
      <c r="AQ210" s="1111">
        <f>SUMIFS(NewEmisData!E:E, NewEmisData!$A:$A, $G210, NewEmisData!$B:$B, $A210, NewEmisData!$C:$C, $H210, NewEmisData!$D:$D, AQ$6)</f>
        <v>0.19574828311834699</v>
      </c>
      <c r="AR210" s="1111">
        <f>SUMIFS(NewEmisData!F:F, NewEmisData!$A:$A, $G210, NewEmisData!$B:$B, $A210, NewEmisData!$C:$C, $H210, NewEmisData!$D:$D, AR$6)</f>
        <v>0.191259101148397</v>
      </c>
      <c r="AS210" s="1111">
        <f>SUMIFS(NewEmisData!G:G, NewEmisData!$A:$A, $G210, NewEmisData!$B:$B, $A210, NewEmisData!$C:$C, $H210, NewEmisData!$D:$D, AS$6)</f>
        <v>0.21457849181088401</v>
      </c>
      <c r="AT210" s="1111">
        <f>SUMIFS(NewEmisData!H:H, NewEmisData!$A:$A, $G210, NewEmisData!$B:$B, $A210, NewEmisData!$C:$C, $H210, NewEmisData!$D:$D, AT$6)</f>
        <v>0.215053494777702</v>
      </c>
      <c r="AU210" s="1111">
        <f>SUMIFS(NewEmisData!I:I, NewEmisData!$A:$A, $G210, NewEmisData!$B:$B, $A210, NewEmisData!$C:$C, $H210, NewEmisData!$D:$D, AU$6)</f>
        <v>0.21551298465650401</v>
      </c>
      <c r="AV210" s="1111">
        <f>SUMIFS(NewEmisData!J:J, NewEmisData!$A:$A, $G210, NewEmisData!$B:$B, $A210, NewEmisData!$C:$C, $H210, NewEmisData!$D:$D, AV$6)</f>
        <v>0.215835472913527</v>
      </c>
      <c r="AW210" s="1111">
        <f>SUMIFS(NewEmisData!K:K, NewEmisData!$A:$A, $G210, NewEmisData!$B:$B, $A210, NewEmisData!$C:$C, $H210, NewEmisData!$D:$D, AW$6)</f>
        <v>0.21602305396888299</v>
      </c>
      <c r="AX210" s="1111">
        <f>SUMIFS(NewEmisData!L:L, NewEmisData!$A:$A, $G210, NewEmisData!$B:$B, $A210, NewEmisData!$C:$C, $H210, NewEmisData!$D:$D, AX$6)</f>
        <v>0.21608589786817001</v>
      </c>
      <c r="AY210" s="1111">
        <f>SUMIFS(NewEmisData!M:M, NewEmisData!$A:$A, $G210, NewEmisData!$B:$B, $A210, NewEmisData!$C:$C, $H210, NewEmisData!$D:$D, AY$6)</f>
        <v>0.216113244270948</v>
      </c>
      <c r="AZ210" s="1111">
        <f t="shared" si="306"/>
        <v>0.216113244270948</v>
      </c>
      <c r="BA210" s="1111">
        <f t="shared" si="307"/>
        <v>4.1988899098410401E-2</v>
      </c>
      <c r="BB210" s="1111">
        <f>SUMIFS(NewEmisData!E:E, NewEmisData!$A:$A, $G210, NewEmisData!$B:$B, $A210, NewEmisData!$C:$C, $H210, NewEmisData!$D:$D, BB$6)</f>
        <v>4.1988899098410401E-2</v>
      </c>
      <c r="BC210" s="1111">
        <f>SUMIFS(NewEmisData!F:F, NewEmisData!$A:$A, $G210, NewEmisData!$B:$B, $A210, NewEmisData!$C:$C, $H210, NewEmisData!$D:$D, BC$6)</f>
        <v>4.04221270662211E-2</v>
      </c>
      <c r="BD210" s="1111">
        <f>SUMIFS(NewEmisData!G:G, NewEmisData!$A:$A, $G210, NewEmisData!$B:$B, $A210, NewEmisData!$C:$C, $H210, NewEmisData!$D:$D, BD$6)</f>
        <v>3.5246180151429399E-2</v>
      </c>
      <c r="BE210" s="1111">
        <f>SUMIFS(NewEmisData!H:H, NewEmisData!$A:$A, $G210, NewEmisData!$B:$B, $A210, NewEmisData!$C:$C, $H210, NewEmisData!$D:$D, BE$6)</f>
        <v>3.4950821311789601E-2</v>
      </c>
      <c r="BF210" s="1111">
        <f>SUMIFS(NewEmisData!I:I, NewEmisData!$A:$A, $G210, NewEmisData!$B:$B, $A210, NewEmisData!$C:$C, $H210, NewEmisData!$D:$D, BF$6)</f>
        <v>3.5285067945859602E-2</v>
      </c>
      <c r="BG210" s="1111">
        <f>SUMIFS(NewEmisData!J:J, NewEmisData!$A:$A, $G210, NewEmisData!$B:$B, $A210, NewEmisData!$C:$C, $H210, NewEmisData!$D:$D, BG$6)</f>
        <v>3.55346528981796E-2</v>
      </c>
      <c r="BH210" s="1111">
        <f>SUMIFS(NewEmisData!K:K, NewEmisData!$A:$A, $G210, NewEmisData!$B:$B, $A210, NewEmisData!$C:$C, $H210, NewEmisData!$D:$D, BH$6)</f>
        <v>3.5692682330647998E-2</v>
      </c>
      <c r="BI210" s="1111">
        <f>SUMIFS(NewEmisData!L:L, NewEmisData!$A:$A, $G210, NewEmisData!$B:$B, $A210, NewEmisData!$C:$C, $H210, NewEmisData!$D:$D, BI$6)</f>
        <v>3.57464219039118E-2</v>
      </c>
      <c r="BJ210" s="1111">
        <f>SUMIFS(NewEmisData!M:M, NewEmisData!$A:$A, $G210, NewEmisData!$B:$B, $A210, NewEmisData!$C:$C, $H210, NewEmisData!$D:$D, BJ$6)</f>
        <v>3.5770424866643502E-2</v>
      </c>
      <c r="BK210" s="1111">
        <f t="shared" si="308"/>
        <v>3.5770424866643502E-2</v>
      </c>
      <c r="BL210" s="1111">
        <f t="shared" si="309"/>
        <v>39.441467642192301</v>
      </c>
      <c r="BM210" s="1111">
        <f>SUMIFS(NewEmisData!E:E, NewEmisData!$A:$A, $G210, NewEmisData!$B:$B, $A210, NewEmisData!$C:$C, $H210, NewEmisData!$D:$D, BM$6)</f>
        <v>39.441467642192301</v>
      </c>
      <c r="BN210" s="1111">
        <f>SUMIFS(NewEmisData!F:F, NewEmisData!$A:$A, $G210, NewEmisData!$B:$B, $A210, NewEmisData!$C:$C, $H210, NewEmisData!$D:$D, BN$6)</f>
        <v>29.135339922672099</v>
      </c>
      <c r="BO210" s="1111">
        <f>SUMIFS(NewEmisData!G:G, NewEmisData!$A:$A, $G210, NewEmisData!$B:$B, $A210, NewEmisData!$C:$C, $H210, NewEmisData!$D:$D, BO$6)</f>
        <v>19.258881049018001</v>
      </c>
      <c r="BP210" s="1111">
        <f>SUMIFS(NewEmisData!H:H, NewEmisData!$A:$A, $G210, NewEmisData!$B:$B, $A210, NewEmisData!$C:$C, $H210, NewEmisData!$D:$D, BP$6)</f>
        <v>17.4734501170478</v>
      </c>
      <c r="BQ210" s="1111">
        <f>SUMIFS(NewEmisData!I:I, NewEmisData!$A:$A, $G210, NewEmisData!$B:$B, $A210, NewEmisData!$C:$C, $H210, NewEmisData!$D:$D, BQ$6)</f>
        <v>17.337238430015301</v>
      </c>
      <c r="BR210" s="1111">
        <f>SUMIFS(NewEmisData!J:J, NewEmisData!$A:$A, $G210, NewEmisData!$B:$B, $A210, NewEmisData!$C:$C, $H210, NewEmisData!$D:$D, BR$6)</f>
        <v>17.524592153612701</v>
      </c>
      <c r="BS210" s="1111">
        <f>SUMIFS(NewEmisData!K:K, NewEmisData!$A:$A, $G210, NewEmisData!$B:$B, $A210, NewEmisData!$C:$C, $H210, NewEmisData!$D:$D, BS$6)</f>
        <v>17.768817804957902</v>
      </c>
      <c r="BT210" s="1111">
        <f>SUMIFS(NewEmisData!L:L, NewEmisData!$A:$A, $G210, NewEmisData!$B:$B, $A210, NewEmisData!$C:$C, $H210, NewEmisData!$D:$D, BT$6)</f>
        <v>17.8951685945812</v>
      </c>
      <c r="BU210" s="1111">
        <f>SUMIFS(NewEmisData!M:M, NewEmisData!$A:$A, $G210, NewEmisData!$B:$B, $A210, NewEmisData!$C:$C, $H210, NewEmisData!$D:$D, BU$6)</f>
        <v>17.960459006708199</v>
      </c>
      <c r="BV210" s="1111">
        <f t="shared" si="310"/>
        <v>17.960459006708199</v>
      </c>
      <c r="BW210" s="1111">
        <f t="shared" si="311"/>
        <v>2.13040906292176</v>
      </c>
      <c r="BX210" s="1111">
        <f>SUMIFS(NewEmisData!E:E, NewEmisData!$A:$A, $G210, NewEmisData!$B:$B, $A210, NewEmisData!$C:$C, $H210, NewEmisData!$D:$D, BX$6)</f>
        <v>2.13040906292176</v>
      </c>
      <c r="BY210" s="1111">
        <f>SUMIFS(NewEmisData!F:F, NewEmisData!$A:$A, $G210, NewEmisData!$B:$B, $A210, NewEmisData!$C:$C, $H210, NewEmisData!$D:$D, BY$6)</f>
        <v>1.66747382008761</v>
      </c>
      <c r="BZ210" s="1111">
        <f>SUMIFS(NewEmisData!G:G, NewEmisData!$A:$A, $G210, NewEmisData!$B:$B, $A210, NewEmisData!$C:$C, $H210, NewEmisData!$D:$D, BZ$6)</f>
        <v>0.70330303970302899</v>
      </c>
      <c r="CA210" s="1111">
        <f>SUMIFS(NewEmisData!H:H, NewEmisData!$A:$A, $G210, NewEmisData!$B:$B, $A210, NewEmisData!$C:$C, $H210, NewEmisData!$D:$D, CA$6)</f>
        <v>0.53546087421873401</v>
      </c>
      <c r="CB210" s="1111">
        <f>SUMIFS(NewEmisData!I:I, NewEmisData!$A:$A, $G210, NewEmisData!$B:$B, $A210, NewEmisData!$C:$C, $H210, NewEmisData!$D:$D, CB$6)</f>
        <v>0.48025579187888601</v>
      </c>
      <c r="CC210" s="1111">
        <f>SUMIFS(NewEmisData!J:J, NewEmisData!$A:$A, $G210, NewEmisData!$B:$B, $A210, NewEmisData!$C:$C, $H210, NewEmisData!$D:$D, CC$6)</f>
        <v>0.45829574772287202</v>
      </c>
      <c r="CD210" s="1111">
        <f>SUMIFS(NewEmisData!K:K, NewEmisData!$A:$A, $G210, NewEmisData!$B:$B, $A210, NewEmisData!$C:$C, $H210, NewEmisData!$D:$D, CD$6)</f>
        <v>0.45669528314480901</v>
      </c>
      <c r="CE210" s="1111">
        <f>SUMIFS(NewEmisData!L:L, NewEmisData!$A:$A, $G210, NewEmisData!$B:$B, $A210, NewEmisData!$C:$C, $H210, NewEmisData!$D:$D, CE$6)</f>
        <v>0.45728549159308601</v>
      </c>
      <c r="CF210" s="1111">
        <f>SUMIFS(NewEmisData!M:M, NewEmisData!$A:$A, $G210, NewEmisData!$B:$B, $A210, NewEmisData!$C:$C, $H210, NewEmisData!$D:$D, CF$6)</f>
        <v>0.457470611587183</v>
      </c>
      <c r="CG210" s="1111">
        <f t="shared" si="312"/>
        <v>0.457470611587183</v>
      </c>
      <c r="CH210" s="1111">
        <f t="shared" si="313"/>
        <v>4.4380144922912999E-2</v>
      </c>
      <c r="CI210" s="1111">
        <f>SUMIFS(NewEmisData!E:E, NewEmisData!$A:$A, $G210, NewEmisData!$B:$B, $A210, NewEmisData!$C:$C, $H210, NewEmisData!$D:$D, CI$6)</f>
        <v>4.4380144922912999E-2</v>
      </c>
      <c r="CJ210" s="1111">
        <f>SUMIFS(NewEmisData!F:F, NewEmisData!$A:$A, $G210, NewEmisData!$B:$B, $A210, NewEmisData!$C:$C, $H210, NewEmisData!$D:$D, CJ$6)</f>
        <v>4.4596792152345799E-2</v>
      </c>
      <c r="CK210" s="1111">
        <f>SUMIFS(NewEmisData!G:G, NewEmisData!$A:$A, $G210, NewEmisData!$B:$B, $A210, NewEmisData!$C:$C, $H210, NewEmisData!$D:$D, CK$6)</f>
        <v>5.2215385084052102E-2</v>
      </c>
      <c r="CL210" s="1111">
        <f>SUMIFS(NewEmisData!H:H, NewEmisData!$A:$A, $G210, NewEmisData!$B:$B, $A210, NewEmisData!$C:$C, $H210, NewEmisData!$D:$D, CL$6)</f>
        <v>5.2195799002688101E-2</v>
      </c>
      <c r="CM210" s="1111">
        <f>SUMIFS(NewEmisData!I:I, NewEmisData!$A:$A, $G210, NewEmisData!$B:$B, $A210, NewEmisData!$C:$C, $H210, NewEmisData!$D:$D, CM$6)</f>
        <v>5.2195910515594697E-2</v>
      </c>
      <c r="CN210" s="1111">
        <f>SUMIFS(NewEmisData!J:J, NewEmisData!$A:$A, $G210, NewEmisData!$B:$B, $A210, NewEmisData!$C:$C, $H210, NewEmisData!$D:$D, CN$6)</f>
        <v>5.2195169525564397E-2</v>
      </c>
      <c r="CO210" s="1111">
        <f>SUMIFS(NewEmisData!K:K, NewEmisData!$A:$A, $G210, NewEmisData!$B:$B, $A210, NewEmisData!$C:$C, $H210, NewEmisData!$D:$D, CO$6)</f>
        <v>5.21950010452591E-2</v>
      </c>
      <c r="CP210" s="1111">
        <f>SUMIFS(NewEmisData!L:L, NewEmisData!$A:$A, $G210, NewEmisData!$B:$B, $A210, NewEmisData!$C:$C, $H210, NewEmisData!$D:$D, CP$6)</f>
        <v>5.2194984268704697E-2</v>
      </c>
      <c r="CQ210" s="1111">
        <f>SUMIFS(NewEmisData!M:M, NewEmisData!$A:$A, $G210, NewEmisData!$B:$B, $A210, NewEmisData!$C:$C, $H210, NewEmisData!$D:$D, CQ$6)</f>
        <v>5.2195021896544298E-2</v>
      </c>
      <c r="CR210" s="1111">
        <f t="shared" si="314"/>
        <v>5.2195021896544298E-2</v>
      </c>
      <c r="CS210" s="1111">
        <f t="shared" si="315"/>
        <v>7.6133150476987599E-2</v>
      </c>
      <c r="CT210" s="1111">
        <f>SUMIFS(NewEmisData!E:E, NewEmisData!$A:$A, $G210, NewEmisData!$B:$B, $A210, NewEmisData!$C:$C, $H210, NewEmisData!$D:$D, CT$6)</f>
        <v>7.6133150476987599E-2</v>
      </c>
      <c r="CU210" s="1111">
        <f>SUMIFS(NewEmisData!F:F, NewEmisData!$A:$A, $G210, NewEmisData!$B:$B, $A210, NewEmisData!$C:$C, $H210, NewEmisData!$D:$D, CU$6)</f>
        <v>5.1439402812130802E-2</v>
      </c>
      <c r="CV210" s="1111">
        <f>SUMIFS(NewEmisData!G:G, NewEmisData!$A:$A, $G210, NewEmisData!$B:$B, $A210, NewEmisData!$C:$C, $H210, NewEmisData!$D:$D, CV$6)</f>
        <v>3.2083061737757199E-2</v>
      </c>
      <c r="CW210" s="1111">
        <f>SUMIFS(NewEmisData!H:H, NewEmisData!$A:$A, $G210, NewEmisData!$B:$B, $A210, NewEmisData!$C:$C, $H210, NewEmisData!$D:$D, CW$6)</f>
        <v>2.1832894937405999E-2</v>
      </c>
      <c r="CX210" s="1111">
        <f>SUMIFS(NewEmisData!I:I, NewEmisData!$A:$A, $G210, NewEmisData!$B:$B, $A210, NewEmisData!$C:$C, $H210, NewEmisData!$D:$D, CX$6)</f>
        <v>1.87474521093988E-2</v>
      </c>
      <c r="CY210" s="1111">
        <f>SUMIFS(NewEmisData!J:J, NewEmisData!$A:$A, $G210, NewEmisData!$B:$B, $A210, NewEmisData!$C:$C, $H210, NewEmisData!$D:$D, CY$6)</f>
        <v>1.78599084478736E-2</v>
      </c>
      <c r="CZ210" s="1111">
        <f>SUMIFS(NewEmisData!K:K, NewEmisData!$A:$A, $G210, NewEmisData!$B:$B, $A210, NewEmisData!$C:$C, $H210, NewEmisData!$D:$D, CZ$6)</f>
        <v>1.7770003763788299E-2</v>
      </c>
      <c r="DA210" s="1111">
        <f>SUMIFS(NewEmisData!L:L, NewEmisData!$A:$A, $G210, NewEmisData!$B:$B, $A210, NewEmisData!$C:$C, $H210, NewEmisData!$D:$D, DA$6)</f>
        <v>1.7699213019639601E-2</v>
      </c>
      <c r="DB210" s="1111">
        <f>SUMIFS(NewEmisData!M:M, NewEmisData!$A:$A, $G210, NewEmisData!$B:$B, $A210, NewEmisData!$C:$C, $H210, NewEmisData!$D:$D, DB$6)</f>
        <v>1.7745127181989399E-2</v>
      </c>
      <c r="DC210" s="1111">
        <f t="shared" si="316"/>
        <v>1.7745127181989399E-2</v>
      </c>
      <c r="DD210" s="1111"/>
      <c r="DE210" s="1111"/>
      <c r="DF210" s="1111"/>
      <c r="DG210" s="1111"/>
      <c r="DH210" s="1111"/>
      <c r="DI210" s="1111"/>
      <c r="DJ210" s="1111"/>
      <c r="DK210" s="1111"/>
      <c r="DL210" s="1111"/>
      <c r="DM210" s="1111"/>
      <c r="DN210" s="1111"/>
      <c r="DO210" s="1111"/>
      <c r="DP210" s="1111"/>
      <c r="DQ210" s="1111"/>
      <c r="DR210" s="1111"/>
      <c r="DS210" s="1111"/>
      <c r="DT210" s="1111"/>
      <c r="DU210" s="1111"/>
      <c r="DV210" s="1111"/>
      <c r="DW210" s="1111"/>
      <c r="DX210" s="1111"/>
      <c r="DY210" s="1111"/>
      <c r="DZ210" s="1111">
        <f t="shared" si="317"/>
        <v>6.6239633822982896E-2</v>
      </c>
      <c r="EA210" s="1111">
        <f>SUMIFS(NewEmisData!E:E, NewEmisData!$A:$A, $G210, NewEmisData!$B:$B, $A210, NewEmisData!$C:$C, $H210, NewEmisData!$D:$D, EA$6)</f>
        <v>6.6239633822982896E-2</v>
      </c>
      <c r="EB210" s="1111">
        <f>SUMIFS(NewEmisData!F:F, NewEmisData!$A:$A, $G210, NewEmisData!$B:$B, $A210, NewEmisData!$C:$C, $H210, NewEmisData!$D:$D, EB$6)</f>
        <v>6.0237802679566702E-2</v>
      </c>
      <c r="EC210" s="1111">
        <f>SUMIFS(NewEmisData!G:G, NewEmisData!$A:$A, $G210, NewEmisData!$B:$B, $A210, NewEmisData!$C:$C, $H210, NewEmisData!$D:$D, EC$6)</f>
        <v>2.4353204424718701E-2</v>
      </c>
      <c r="ED210" s="1111">
        <f>SUMIFS(NewEmisData!H:H, NewEmisData!$A:$A, $G210, NewEmisData!$B:$B, $A210, NewEmisData!$C:$C, $H210, NewEmisData!$D:$D, ED$6)</f>
        <v>2.2100119730100499E-2</v>
      </c>
      <c r="EE210" s="1111">
        <f>SUMIFS(NewEmisData!I:I, NewEmisData!$A:$A, $G210, NewEmisData!$B:$B, $A210, NewEmisData!$C:$C, $H210, NewEmisData!$D:$D, EE$6)</f>
        <v>2.1582561219103999E-2</v>
      </c>
      <c r="EF210" s="1111">
        <f>SUMIFS(NewEmisData!J:J, NewEmisData!$A:$A, $G210, NewEmisData!$B:$B, $A210, NewEmisData!$C:$C, $H210, NewEmisData!$D:$D, EF$6)</f>
        <v>2.1614176302122898E-2</v>
      </c>
      <c r="EG210" s="1111">
        <f>SUMIFS(NewEmisData!K:K, NewEmisData!$A:$A, $G210, NewEmisData!$B:$B, $A210, NewEmisData!$C:$C, $H210, NewEmisData!$D:$D, EG$6)</f>
        <v>2.1778598474770299E-2</v>
      </c>
      <c r="EH210" s="1111">
        <f>SUMIFS(NewEmisData!L:L, NewEmisData!$A:$A, $G210, NewEmisData!$B:$B, $A210, NewEmisData!$C:$C, $H210, NewEmisData!$D:$D, EH$6)</f>
        <v>2.1823465682415499E-2</v>
      </c>
      <c r="EI210" s="1111">
        <f>SUMIFS(NewEmisData!M:M, NewEmisData!$A:$A, $G210, NewEmisData!$B:$B, $A210, NewEmisData!$C:$C, $H210, NewEmisData!$D:$D, EI$6)</f>
        <v>2.1824961400636101E-2</v>
      </c>
      <c r="EJ210" s="1111">
        <f t="shared" si="318"/>
        <v>2.1824961400636101E-2</v>
      </c>
      <c r="EK210" s="1111">
        <f t="shared" si="319"/>
        <v>1204.2704996203399</v>
      </c>
      <c r="EL210" s="1111">
        <f t="shared" si="269"/>
        <v>1204.2704996203399</v>
      </c>
      <c r="EM210" s="1111">
        <f t="shared" si="270"/>
        <v>1280.9014839137801</v>
      </c>
      <c r="EN210" s="1111">
        <f t="shared" si="271"/>
        <v>1309.1277572440899</v>
      </c>
      <c r="EO210" s="1111">
        <f t="shared" si="272"/>
        <v>1277.5848439676099</v>
      </c>
      <c r="EP210" s="1111">
        <f t="shared" si="273"/>
        <v>1259.05503169493</v>
      </c>
      <c r="EQ210" s="1111">
        <f t="shared" si="274"/>
        <v>1254.08723086747</v>
      </c>
      <c r="ER210" s="1111">
        <f t="shared" si="275"/>
        <v>1252.90461894546</v>
      </c>
      <c r="ES210" s="1111">
        <f t="shared" si="276"/>
        <v>1252.7104430173399</v>
      </c>
      <c r="ET210" s="1111">
        <f t="shared" si="277"/>
        <v>1252.6870397442001</v>
      </c>
      <c r="EU210" s="1111">
        <f t="shared" si="278"/>
        <v>1252.6870397442001</v>
      </c>
      <c r="EV210" s="1111">
        <f t="shared" si="320"/>
        <v>4.3448715610080901</v>
      </c>
      <c r="EW210" s="1111">
        <f t="shared" si="259"/>
        <v>4.3448715610080901</v>
      </c>
      <c r="EX210" s="1111">
        <f t="shared" si="260"/>
        <v>2.68000771941229</v>
      </c>
      <c r="EY210" s="1111">
        <f t="shared" si="261"/>
        <v>1.2701406141530101</v>
      </c>
      <c r="EZ210" s="1111">
        <f t="shared" si="262"/>
        <v>0.89637025450783203</v>
      </c>
      <c r="FA210" s="1111">
        <f t="shared" si="263"/>
        <v>0.74230586472414295</v>
      </c>
      <c r="FB210" s="1111">
        <f t="shared" si="264"/>
        <v>0.67198096175904998</v>
      </c>
      <c r="FC210" s="1111">
        <f t="shared" si="265"/>
        <v>0.65082523068374698</v>
      </c>
      <c r="FD210" s="1111">
        <f t="shared" si="266"/>
        <v>0.64636795436825401</v>
      </c>
      <c r="FE210" s="1111">
        <f t="shared" si="267"/>
        <v>0.64488416341078902</v>
      </c>
      <c r="FF210" s="1111">
        <f t="shared" si="268"/>
        <v>0.64488416341078902</v>
      </c>
      <c r="FG210" s="1111">
        <f t="shared" si="291"/>
        <v>2.08381055217347E-2</v>
      </c>
      <c r="FH210" s="1111">
        <f t="shared" si="292"/>
        <v>2.08381055217347E-2</v>
      </c>
      <c r="FI210" s="1111">
        <f t="shared" si="293"/>
        <v>2.2164087103621902E-2</v>
      </c>
      <c r="FJ210" s="1111">
        <f t="shared" si="294"/>
        <v>1.8780122769194701E-2</v>
      </c>
      <c r="FK210" s="1111">
        <f t="shared" si="295"/>
        <v>1.8327610114874E-2</v>
      </c>
      <c r="FL210" s="1111">
        <f t="shared" si="296"/>
        <v>1.8061800865337901E-2</v>
      </c>
      <c r="FM210" s="1111">
        <f t="shared" si="297"/>
        <v>1.79905289884639E-2</v>
      </c>
      <c r="FN210" s="1111">
        <f t="shared" si="298"/>
        <v>1.7973564507445701E-2</v>
      </c>
      <c r="FO210" s="1111">
        <f t="shared" si="299"/>
        <v>1.7970784643505301E-2</v>
      </c>
      <c r="FP210" s="1111">
        <f t="shared" si="300"/>
        <v>1.7970446963254401E-2</v>
      </c>
      <c r="FQ210" s="1111">
        <f t="shared" si="301"/>
        <v>1.7970446963254401E-2</v>
      </c>
      <c r="FR210" s="1111">
        <f t="shared" si="230"/>
        <v>0.19574828311834699</v>
      </c>
      <c r="FS210" s="1111">
        <f t="shared" si="231"/>
        <v>0.19574828311834699</v>
      </c>
      <c r="FT210" s="1111">
        <f t="shared" si="232"/>
        <v>0.191259101148397</v>
      </c>
      <c r="FU210" s="1111">
        <f t="shared" si="233"/>
        <v>0.21457849181088401</v>
      </c>
      <c r="FV210" s="1111">
        <f t="shared" si="234"/>
        <v>0.215053494777702</v>
      </c>
      <c r="FW210" s="1111">
        <f t="shared" si="235"/>
        <v>0.21551298465650401</v>
      </c>
      <c r="FX210" s="1111">
        <f t="shared" si="236"/>
        <v>0.215835472913527</v>
      </c>
      <c r="FY210" s="1111">
        <f t="shared" si="237"/>
        <v>0.21602305396888299</v>
      </c>
      <c r="FZ210" s="1111">
        <f t="shared" si="238"/>
        <v>0.21608589786817001</v>
      </c>
      <c r="GA210" s="1111">
        <f t="shared" si="239"/>
        <v>0.216113244270948</v>
      </c>
      <c r="GB210" s="1111">
        <f t="shared" si="240"/>
        <v>0.216113244270948</v>
      </c>
      <c r="GC210" s="1111">
        <f t="shared" si="279"/>
        <v>4.1988899098410401E-2</v>
      </c>
      <c r="GD210" s="1111">
        <f t="shared" si="280"/>
        <v>4.1988899098410401E-2</v>
      </c>
      <c r="GE210" s="1111">
        <f t="shared" si="281"/>
        <v>4.04221270662211E-2</v>
      </c>
      <c r="GF210" s="1111">
        <f t="shared" si="282"/>
        <v>3.5246180151429399E-2</v>
      </c>
      <c r="GG210" s="1111">
        <f t="shared" si="283"/>
        <v>3.4950821311789601E-2</v>
      </c>
      <c r="GH210" s="1111">
        <f t="shared" si="284"/>
        <v>3.5285067945859602E-2</v>
      </c>
      <c r="GI210" s="1111">
        <f t="shared" si="285"/>
        <v>3.55346528981796E-2</v>
      </c>
      <c r="GJ210" s="1111">
        <f t="shared" si="286"/>
        <v>3.5692682330647998E-2</v>
      </c>
      <c r="GK210" s="1111">
        <f t="shared" si="287"/>
        <v>3.57464219039118E-2</v>
      </c>
      <c r="GL210" s="1111">
        <f t="shared" si="288"/>
        <v>3.5770424866643502E-2</v>
      </c>
      <c r="GM210" s="1111">
        <f t="shared" si="289"/>
        <v>3.5770424866643502E-2</v>
      </c>
    </row>
    <row r="211" spans="1:195" x14ac:dyDescent="0.2">
      <c r="A211" s="1071" t="s">
        <v>182</v>
      </c>
      <c r="B211" s="1071" t="str">
        <f>Technologies!C129</f>
        <v>TMCNGC</v>
      </c>
      <c r="C211" s="1071" t="str">
        <f>Technologies!D129</f>
        <v>Medium Duty Truck, Conventional CNG</v>
      </c>
      <c r="D211" s="1071" t="str">
        <f>NewTech!D80</f>
        <v>bn-vmt, bn-vmt/a</v>
      </c>
      <c r="E211" s="1071" t="str">
        <f>NewTech!E81</f>
        <v>TMCNG</v>
      </c>
      <c r="F211" s="1071" t="str">
        <f>NewTech!F82</f>
        <v>TM</v>
      </c>
      <c r="G211" s="1110" t="s">
        <v>503</v>
      </c>
      <c r="H211" s="1110" t="s">
        <v>500</v>
      </c>
      <c r="I211" s="1112">
        <v>1</v>
      </c>
      <c r="J211" s="1111" t="str">
        <f t="shared" si="302"/>
        <v>Medium duty-GSL</v>
      </c>
      <c r="K211" s="1111">
        <f>SUMIFS(NewEmisData!E:E, NewEmisData!$A:$A, $G211, NewEmisData!$B:$B, $A211, NewEmisData!$C:$C, $H211, NewEmisData!$D:$D, K$6)</f>
        <v>1241.60800343195</v>
      </c>
      <c r="L211" s="1111">
        <f>SUMIFS(NewEmisData!F:F, NewEmisData!$A:$A, $G211, NewEmisData!$B:$B, $A211, NewEmisData!$C:$C, $H211, NewEmisData!$D:$D, L$6)</f>
        <v>1243.08928499321</v>
      </c>
      <c r="M211" s="1111">
        <f>SUMIFS(NewEmisData!G:G, NewEmisData!$A:$A, $G211, NewEmisData!$B:$B, $A211, NewEmisData!$C:$C, $H211, NewEmisData!$D:$D, M$6)</f>
        <v>1559.7377784626201</v>
      </c>
      <c r="N211" s="1111">
        <f>SUMIFS(NewEmisData!H:H, NewEmisData!$A:$A, $G211, NewEmisData!$B:$B, $A211, NewEmisData!$C:$C, $H211, NewEmisData!$D:$D, N$6)</f>
        <v>1531.1148438857699</v>
      </c>
      <c r="O211" s="1111">
        <f>SUMIFS(NewEmisData!I:I, NewEmisData!$A:$A, $G211, NewEmisData!$B:$B, $A211, NewEmisData!$C:$C, $H211, NewEmisData!$D:$D, O$6)</f>
        <v>1508.7877657548299</v>
      </c>
      <c r="P211" s="1111">
        <f>SUMIFS(NewEmisData!J:J, NewEmisData!$A:$A, $G211, NewEmisData!$B:$B, $A211, NewEmisData!$C:$C, $H211, NewEmisData!$D:$D, P$6)</f>
        <v>1502.9671636844901</v>
      </c>
      <c r="Q211" s="1111">
        <f>SUMIFS(NewEmisData!K:K, NewEmisData!$A:$A, $G211, NewEmisData!$B:$B, $A211, NewEmisData!$C:$C, $H211, NewEmisData!$D:$D, Q$6)</f>
        <v>1501.4395842993699</v>
      </c>
      <c r="R211" s="1111">
        <f>SUMIFS(NewEmisData!L:L, NewEmisData!$A:$A, $G211, NewEmisData!$B:$B, $A211, NewEmisData!$C:$C, $H211, NewEmisData!$D:$D, R$6)</f>
        <v>1501.15044041939</v>
      </c>
      <c r="S211" s="1111">
        <f>SUMIFS(NewEmisData!M:M, NewEmisData!$A:$A, $G211, NewEmisData!$B:$B, $A211, NewEmisData!$C:$C, $H211, NewEmisData!$D:$D, S$6)</f>
        <v>1501.0860905019599</v>
      </c>
      <c r="T211" s="1111">
        <f t="shared" si="290"/>
        <v>1501.0860905019599</v>
      </c>
      <c r="U211" s="1111">
        <f>SUMIFS(NewEmisData!E:E, NewEmisData!$A:$A, $G211, NewEmisData!$B:$B, $A211, NewEmisData!$C:$C, $H211, NewEmisData!$D:$D, U$6)</f>
        <v>4.1625657526614797</v>
      </c>
      <c r="V211" s="1111">
        <f>SUMIFS(NewEmisData!F:F, NewEmisData!$A:$A, $G211, NewEmisData!$B:$B, $A211, NewEmisData!$C:$C, $H211, NewEmisData!$D:$D, V$6)</f>
        <v>2.1578815518962502</v>
      </c>
      <c r="W211" s="1111">
        <f>SUMIFS(NewEmisData!G:G, NewEmisData!$A:$A, $G211, NewEmisData!$B:$B, $A211, NewEmisData!$C:$C, $H211, NewEmisData!$D:$D, W$6)</f>
        <v>1.30274636086792</v>
      </c>
      <c r="X211" s="1111">
        <f>SUMIFS(NewEmisData!H:H, NewEmisData!$A:$A, $G211, NewEmisData!$B:$B, $A211, NewEmisData!$C:$C, $H211, NewEmisData!$D:$D, X$6)</f>
        <v>0.94297953696777803</v>
      </c>
      <c r="Y211" s="1111">
        <f>SUMIFS(NewEmisData!I:I, NewEmisData!$A:$A, $G211, NewEmisData!$B:$B, $A211, NewEmisData!$C:$C, $H211, NewEmisData!$D:$D, Y$6)</f>
        <v>0.78815258031283297</v>
      </c>
      <c r="Z211" s="1111">
        <f>SUMIFS(NewEmisData!J:J, NewEmisData!$A:$A, $G211, NewEmisData!$B:$B, $A211, NewEmisData!$C:$C, $H211, NewEmisData!$D:$D, Z$6)</f>
        <v>0.71799894873057002</v>
      </c>
      <c r="AA211" s="1111">
        <f>SUMIFS(NewEmisData!K:K, NewEmisData!$A:$A, $G211, NewEmisData!$B:$B, $A211, NewEmisData!$C:$C, $H211, NewEmisData!$D:$D, AA$6)</f>
        <v>0.69737659475245495</v>
      </c>
      <c r="AB211" s="1111">
        <f>SUMIFS(NewEmisData!L:L, NewEmisData!$A:$A, $G211, NewEmisData!$B:$B, $A211, NewEmisData!$C:$C, $H211, NewEmisData!$D:$D, AB$6)</f>
        <v>0.69289982108465797</v>
      </c>
      <c r="AC211" s="1111">
        <f>SUMIFS(NewEmisData!M:M, NewEmisData!$A:$A, $G211, NewEmisData!$B:$B, $A211, NewEmisData!$C:$C, $H211, NewEmisData!$D:$D, AC$6)</f>
        <v>0.69155412460857602</v>
      </c>
      <c r="AD211" s="1111">
        <f t="shared" si="229"/>
        <v>0.69155412460857602</v>
      </c>
      <c r="AE211" s="1111">
        <f t="shared" si="303"/>
        <v>2.1484176158971701E-2</v>
      </c>
      <c r="AF211" s="1111">
        <f>SUMIFS(NewEmisData!E:E, NewEmisData!$A:$A, $G211, NewEmisData!$B:$B, $A211, NewEmisData!$C:$C, $H211, NewEmisData!$D:$D, AF$6)</f>
        <v>2.1484176158971701E-2</v>
      </c>
      <c r="AG211" s="1111">
        <f>SUMIFS(NewEmisData!F:F, NewEmisData!$A:$A, $G211, NewEmisData!$B:$B, $A211, NewEmisData!$C:$C, $H211, NewEmisData!$D:$D, AG$6)</f>
        <v>2.1509817808633099E-2</v>
      </c>
      <c r="AH211" s="1111">
        <f>SUMIFS(NewEmisData!G:G, NewEmisData!$A:$A, $G211, NewEmisData!$B:$B, $A211, NewEmisData!$C:$C, $H211, NewEmisData!$D:$D, AH$6)</f>
        <v>2.2375249866597498E-2</v>
      </c>
      <c r="AI211" s="1111">
        <f>SUMIFS(NewEmisData!H:H, NewEmisData!$A:$A, $G211, NewEmisData!$B:$B, $A211, NewEmisData!$C:$C, $H211, NewEmisData!$D:$D, AI$6)</f>
        <v>2.1964641718838499E-2</v>
      </c>
      <c r="AJ211" s="1111">
        <f>SUMIFS(NewEmisData!I:I, NewEmisData!$A:$A, $G211, NewEmisData!$B:$B, $A211, NewEmisData!$C:$C, $H211, NewEmisData!$D:$D, AJ$6)</f>
        <v>2.1644351533378101E-2</v>
      </c>
      <c r="AK211" s="1111">
        <f>SUMIFS(NewEmisData!J:J, NewEmisData!$A:$A, $G211, NewEmisData!$B:$B, $A211, NewEmisData!$C:$C, $H211, NewEmisData!$D:$D, AK$6)</f>
        <v>2.1560851881015301E-2</v>
      </c>
      <c r="AL211" s="1111">
        <f>SUMIFS(NewEmisData!K:K, NewEmisData!$A:$A, $G211, NewEmisData!$B:$B, $A211, NewEmisData!$C:$C, $H211, NewEmisData!$D:$D, AL$6)</f>
        <v>2.1538927343366401E-2</v>
      </c>
      <c r="AM211" s="1111">
        <f>SUMIFS(NewEmisData!L:L, NewEmisData!$A:$A, $G211, NewEmisData!$B:$B, $A211, NewEmisData!$C:$C, $H211, NewEmisData!$D:$D, AM$6)</f>
        <v>2.1534775827773901E-2</v>
      </c>
      <c r="AN211" s="1111">
        <f>SUMIFS(NewEmisData!M:M, NewEmisData!$A:$A, $G211, NewEmisData!$B:$B, $A211, NewEmisData!$C:$C, $H211, NewEmisData!$D:$D, AN$6)</f>
        <v>2.15338577914834E-2</v>
      </c>
      <c r="AO211" s="1111">
        <f t="shared" si="304"/>
        <v>2.15338577914834E-2</v>
      </c>
      <c r="AP211" s="1111">
        <f t="shared" si="305"/>
        <v>0.205584171442245</v>
      </c>
      <c r="AQ211" s="1111">
        <f>SUMIFS(NewEmisData!E:E, NewEmisData!$A:$A, $G211, NewEmisData!$B:$B, $A211, NewEmisData!$C:$C, $H211, NewEmisData!$D:$D, AQ$6)</f>
        <v>0.205584171442245</v>
      </c>
      <c r="AR211" s="1111">
        <f>SUMIFS(NewEmisData!F:F, NewEmisData!$A:$A, $G211, NewEmisData!$B:$B, $A211, NewEmisData!$C:$C, $H211, NewEmisData!$D:$D, AR$6)</f>
        <v>0.200703686535146</v>
      </c>
      <c r="AS211" s="1111">
        <f>SUMIFS(NewEmisData!G:G, NewEmisData!$A:$A, $G211, NewEmisData!$B:$B, $A211, NewEmisData!$C:$C, $H211, NewEmisData!$D:$D, AS$6)</f>
        <v>0.298432150084874</v>
      </c>
      <c r="AT211" s="1111">
        <f>SUMIFS(NewEmisData!H:H, NewEmisData!$A:$A, $G211, NewEmisData!$B:$B, $A211, NewEmisData!$C:$C, $H211, NewEmisData!$D:$D, AT$6)</f>
        <v>0.29892439751761801</v>
      </c>
      <c r="AU211" s="1111">
        <f>SUMIFS(NewEmisData!I:I, NewEmisData!$A:$A, $G211, NewEmisData!$B:$B, $A211, NewEmisData!$C:$C, $H211, NewEmisData!$D:$D, AU$6)</f>
        <v>0.29942291421429901</v>
      </c>
      <c r="AV211" s="1111">
        <f>SUMIFS(NewEmisData!J:J, NewEmisData!$A:$A, $G211, NewEmisData!$B:$B, $A211, NewEmisData!$C:$C, $H211, NewEmisData!$D:$D, AV$6)</f>
        <v>0.29972619462258399</v>
      </c>
      <c r="AW211" s="1111">
        <f>SUMIFS(NewEmisData!K:K, NewEmisData!$A:$A, $G211, NewEmisData!$B:$B, $A211, NewEmisData!$C:$C, $H211, NewEmisData!$D:$D, AW$6)</f>
        <v>0.29988559432946199</v>
      </c>
      <c r="AX211" s="1111">
        <f>SUMIFS(NewEmisData!L:L, NewEmisData!$A:$A, $G211, NewEmisData!$B:$B, $A211, NewEmisData!$C:$C, $H211, NewEmisData!$D:$D, AX$6)</f>
        <v>0.29993582308119998</v>
      </c>
      <c r="AY211" s="1111">
        <f>SUMIFS(NewEmisData!M:M, NewEmisData!$A:$A, $G211, NewEmisData!$B:$B, $A211, NewEmisData!$C:$C, $H211, NewEmisData!$D:$D, AY$6)</f>
        <v>0.299955436334361</v>
      </c>
      <c r="AZ211" s="1111">
        <f t="shared" si="306"/>
        <v>0.299955436334361</v>
      </c>
      <c r="BA211" s="1111">
        <f t="shared" si="307"/>
        <v>3.9334690996451198E-2</v>
      </c>
      <c r="BB211" s="1111">
        <f>SUMIFS(NewEmisData!E:E, NewEmisData!$A:$A, $G211, NewEmisData!$B:$B, $A211, NewEmisData!$C:$C, $H211, NewEmisData!$D:$D, BB$6)</f>
        <v>3.9334690996451198E-2</v>
      </c>
      <c r="BC211" s="1111">
        <f>SUMIFS(NewEmisData!F:F, NewEmisData!$A:$A, $G211, NewEmisData!$B:$B, $A211, NewEmisData!$C:$C, $H211, NewEmisData!$D:$D, BC$6)</f>
        <v>3.4631534960308699E-2</v>
      </c>
      <c r="BD211" s="1111">
        <f>SUMIFS(NewEmisData!G:G, NewEmisData!$A:$A, $G211, NewEmisData!$B:$B, $A211, NewEmisData!$C:$C, $H211, NewEmisData!$D:$D, BD$6)</f>
        <v>4.5448906099466301E-2</v>
      </c>
      <c r="BE211" s="1111">
        <f>SUMIFS(NewEmisData!H:H, NewEmisData!$A:$A, $G211, NewEmisData!$B:$B, $A211, NewEmisData!$C:$C, $H211, NewEmisData!$D:$D, BE$6)</f>
        <v>4.5413592229635001E-2</v>
      </c>
      <c r="BF211" s="1111">
        <f>SUMIFS(NewEmisData!I:I, NewEmisData!$A:$A, $G211, NewEmisData!$B:$B, $A211, NewEmisData!$C:$C, $H211, NewEmisData!$D:$D, BF$6)</f>
        <v>4.5762266359602698E-2</v>
      </c>
      <c r="BG211" s="1111">
        <f>SUMIFS(NewEmisData!J:J, NewEmisData!$A:$A, $G211, NewEmisData!$B:$B, $A211, NewEmisData!$C:$C, $H211, NewEmisData!$D:$D, BG$6)</f>
        <v>4.6004282113656897E-2</v>
      </c>
      <c r="BH211" s="1111">
        <f>SUMIFS(NewEmisData!K:K, NewEmisData!$A:$A, $G211, NewEmisData!$B:$B, $A211, NewEmisData!$C:$C, $H211, NewEmisData!$D:$D, BH$6)</f>
        <v>4.6139436899626303E-2</v>
      </c>
      <c r="BI211" s="1111">
        <f>SUMIFS(NewEmisData!L:L, NewEmisData!$A:$A, $G211, NewEmisData!$B:$B, $A211, NewEmisData!$C:$C, $H211, NewEmisData!$D:$D, BI$6)</f>
        <v>4.6182051454262997E-2</v>
      </c>
      <c r="BJ211" s="1111">
        <f>SUMIFS(NewEmisData!M:M, NewEmisData!$A:$A, $G211, NewEmisData!$B:$B, $A211, NewEmisData!$C:$C, $H211, NewEmisData!$D:$D, BJ$6)</f>
        <v>4.6199279391049702E-2</v>
      </c>
      <c r="BK211" s="1111">
        <f t="shared" si="308"/>
        <v>4.6199279391049702E-2</v>
      </c>
      <c r="BL211" s="1111">
        <f t="shared" si="309"/>
        <v>35.379082211376598</v>
      </c>
      <c r="BM211" s="1111">
        <f>SUMIFS(NewEmisData!E:E, NewEmisData!$A:$A, $G211, NewEmisData!$B:$B, $A211, NewEmisData!$C:$C, $H211, NewEmisData!$D:$D, BM$6)</f>
        <v>35.379082211376598</v>
      </c>
      <c r="BN211" s="1111">
        <f>SUMIFS(NewEmisData!F:F, NewEmisData!$A:$A, $G211, NewEmisData!$B:$B, $A211, NewEmisData!$C:$C, $H211, NewEmisData!$D:$D, BN$6)</f>
        <v>20.9802918509032</v>
      </c>
      <c r="BO211" s="1111">
        <f>SUMIFS(NewEmisData!G:G, NewEmisData!$A:$A, $G211, NewEmisData!$B:$B, $A211, NewEmisData!$C:$C, $H211, NewEmisData!$D:$D, BO$6)</f>
        <v>14.8071744303823</v>
      </c>
      <c r="BP211" s="1111">
        <f>SUMIFS(NewEmisData!H:H, NewEmisData!$A:$A, $G211, NewEmisData!$B:$B, $A211, NewEmisData!$C:$C, $H211, NewEmisData!$D:$D, BP$6)</f>
        <v>12.7817736031308</v>
      </c>
      <c r="BQ211" s="1111">
        <f>SUMIFS(NewEmisData!I:I, NewEmisData!$A:$A, $G211, NewEmisData!$B:$B, $A211, NewEmisData!$C:$C, $H211, NewEmisData!$D:$D, BQ$6)</f>
        <v>12.249879427369301</v>
      </c>
      <c r="BR211" s="1111">
        <f>SUMIFS(NewEmisData!J:J, NewEmisData!$A:$A, $G211, NewEmisData!$B:$B, $A211, NewEmisData!$C:$C, $H211, NewEmisData!$D:$D, BR$6)</f>
        <v>12.1493449959291</v>
      </c>
      <c r="BS211" s="1111">
        <f>SUMIFS(NewEmisData!K:K, NewEmisData!$A:$A, $G211, NewEmisData!$B:$B, $A211, NewEmisData!$C:$C, $H211, NewEmisData!$D:$D, BS$6)</f>
        <v>12.229795867911401</v>
      </c>
      <c r="BT211" s="1111">
        <f>SUMIFS(NewEmisData!L:L, NewEmisData!$A:$A, $G211, NewEmisData!$B:$B, $A211, NewEmisData!$C:$C, $H211, NewEmisData!$D:$D, BT$6)</f>
        <v>12.2882488120452</v>
      </c>
      <c r="BU211" s="1111">
        <f>SUMIFS(NewEmisData!M:M, NewEmisData!$A:$A, $G211, NewEmisData!$B:$B, $A211, NewEmisData!$C:$C, $H211, NewEmisData!$D:$D, BU$6)</f>
        <v>12.321950956593</v>
      </c>
      <c r="BV211" s="1111">
        <f t="shared" si="310"/>
        <v>12.321950956593</v>
      </c>
      <c r="BW211" s="1111">
        <f t="shared" si="311"/>
        <v>1.87362575135703</v>
      </c>
      <c r="BX211" s="1111">
        <f>SUMIFS(NewEmisData!E:E, NewEmisData!$A:$A, $G211, NewEmisData!$B:$B, $A211, NewEmisData!$C:$C, $H211, NewEmisData!$D:$D, BX$6)</f>
        <v>1.87362575135703</v>
      </c>
      <c r="BY211" s="1111">
        <f>SUMIFS(NewEmisData!F:F, NewEmisData!$A:$A, $G211, NewEmisData!$B:$B, $A211, NewEmisData!$C:$C, $H211, NewEmisData!$D:$D, BY$6)</f>
        <v>1.0527291712428299</v>
      </c>
      <c r="BZ211" s="1111">
        <f>SUMIFS(NewEmisData!G:G, NewEmisData!$A:$A, $G211, NewEmisData!$B:$B, $A211, NewEmisData!$C:$C, $H211, NewEmisData!$D:$D, BZ$6)</f>
        <v>0.690616026658735</v>
      </c>
      <c r="CA211" s="1111">
        <f>SUMIFS(NewEmisData!H:H, NewEmisData!$A:$A, $G211, NewEmisData!$B:$B, $A211, NewEmisData!$C:$C, $H211, NewEmisData!$D:$D, CA$6)</f>
        <v>0.54311164322371697</v>
      </c>
      <c r="CB211" s="1111">
        <f>SUMIFS(NewEmisData!I:I, NewEmisData!$A:$A, $G211, NewEmisData!$B:$B, $A211, NewEmisData!$C:$C, $H211, NewEmisData!$D:$D, CB$6)</f>
        <v>0.48887057427966502</v>
      </c>
      <c r="CC211" s="1111">
        <f>SUMIFS(NewEmisData!J:J, NewEmisData!$A:$A, $G211, NewEmisData!$B:$B, $A211, NewEmisData!$C:$C, $H211, NewEmisData!$D:$D, CC$6)</f>
        <v>0.46684418132935501</v>
      </c>
      <c r="CD211" s="1111">
        <f>SUMIFS(NewEmisData!K:K, NewEmisData!$A:$A, $G211, NewEmisData!$B:$B, $A211, NewEmisData!$C:$C, $H211, NewEmisData!$D:$D, CD$6)</f>
        <v>0.46389956383150999</v>
      </c>
      <c r="CE211" s="1111">
        <f>SUMIFS(NewEmisData!L:L, NewEmisData!$A:$A, $G211, NewEmisData!$B:$B, $A211, NewEmisData!$C:$C, $H211, NewEmisData!$D:$D, CE$6)</f>
        <v>0.46392493269586499</v>
      </c>
      <c r="CF211" s="1111">
        <f>SUMIFS(NewEmisData!M:M, NewEmisData!$A:$A, $G211, NewEmisData!$B:$B, $A211, NewEmisData!$C:$C, $H211, NewEmisData!$D:$D, CF$6)</f>
        <v>0.46396365606422402</v>
      </c>
      <c r="CG211" s="1111">
        <f t="shared" si="312"/>
        <v>0.46396365606422402</v>
      </c>
      <c r="CH211" s="1111">
        <f t="shared" si="313"/>
        <v>4.5385046654151703E-2</v>
      </c>
      <c r="CI211" s="1111">
        <f>SUMIFS(NewEmisData!E:E, NewEmisData!$A:$A, $G211, NewEmisData!$B:$B, $A211, NewEmisData!$C:$C, $H211, NewEmisData!$D:$D, CI$6)</f>
        <v>4.5385046654151703E-2</v>
      </c>
      <c r="CJ211" s="1111">
        <f>SUMIFS(NewEmisData!F:F, NewEmisData!$A:$A, $G211, NewEmisData!$B:$B, $A211, NewEmisData!$C:$C, $H211, NewEmisData!$D:$D, CJ$6)</f>
        <v>4.5393164724417102E-2</v>
      </c>
      <c r="CK211" s="1111">
        <f>SUMIFS(NewEmisData!G:G, NewEmisData!$A:$A, $G211, NewEmisData!$B:$B, $A211, NewEmisData!$C:$C, $H211, NewEmisData!$D:$D, CK$6)</f>
        <v>6.2513239349190994E-2</v>
      </c>
      <c r="CL211" s="1111">
        <f>SUMIFS(NewEmisData!H:H, NewEmisData!$A:$A, $G211, NewEmisData!$B:$B, $A211, NewEmisData!$C:$C, $H211, NewEmisData!$D:$D, CL$6)</f>
        <v>6.2512411846424906E-2</v>
      </c>
      <c r="CM211" s="1111">
        <f>SUMIFS(NewEmisData!I:I, NewEmisData!$A:$A, $G211, NewEmisData!$B:$B, $A211, NewEmisData!$C:$C, $H211, NewEmisData!$D:$D, CM$6)</f>
        <v>6.2512421474567897E-2</v>
      </c>
      <c r="CN211" s="1111">
        <f>SUMIFS(NewEmisData!J:J, NewEmisData!$A:$A, $G211, NewEmisData!$B:$B, $A211, NewEmisData!$C:$C, $H211, NewEmisData!$D:$D, CN$6)</f>
        <v>6.2512452306065502E-2</v>
      </c>
      <c r="CO211" s="1111">
        <f>SUMIFS(NewEmisData!K:K, NewEmisData!$A:$A, $G211, NewEmisData!$B:$B, $A211, NewEmisData!$C:$C, $H211, NewEmisData!$D:$D, CO$6)</f>
        <v>6.2512380916104907E-2</v>
      </c>
      <c r="CP211" s="1111">
        <f>SUMIFS(NewEmisData!L:L, NewEmisData!$A:$A, $G211, NewEmisData!$B:$B, $A211, NewEmisData!$C:$C, $H211, NewEmisData!$D:$D, CP$6)</f>
        <v>6.2512436309679606E-2</v>
      </c>
      <c r="CQ211" s="1111">
        <f>SUMIFS(NewEmisData!M:M, NewEmisData!$A:$A, $G211, NewEmisData!$B:$B, $A211, NewEmisData!$C:$C, $H211, NewEmisData!$D:$D, CQ$6)</f>
        <v>6.2512445317614407E-2</v>
      </c>
      <c r="CR211" s="1111">
        <f t="shared" si="314"/>
        <v>6.2512445317614407E-2</v>
      </c>
      <c r="CS211" s="1111">
        <f t="shared" si="315"/>
        <v>6.7564687236939897E-2</v>
      </c>
      <c r="CT211" s="1111">
        <f>SUMIFS(NewEmisData!E:E, NewEmisData!$A:$A, $G211, NewEmisData!$B:$B, $A211, NewEmisData!$C:$C, $H211, NewEmisData!$D:$D, CT$6)</f>
        <v>6.7564687236939897E-2</v>
      </c>
      <c r="CU211" s="1111">
        <f>SUMIFS(NewEmisData!F:F, NewEmisData!$A:$A, $G211, NewEmisData!$B:$B, $A211, NewEmisData!$C:$C, $H211, NewEmisData!$D:$D, CU$6)</f>
        <v>3.8153498607861998E-2</v>
      </c>
      <c r="CV211" s="1111">
        <f>SUMIFS(NewEmisData!G:G, NewEmisData!$A:$A, $G211, NewEmisData!$B:$B, $A211, NewEmisData!$C:$C, $H211, NewEmisData!$D:$D, CV$6)</f>
        <v>2.81821158126641E-2</v>
      </c>
      <c r="CW211" s="1111">
        <f>SUMIFS(NewEmisData!H:H, NewEmisData!$A:$A, $G211, NewEmisData!$B:$B, $A211, NewEmisData!$C:$C, $H211, NewEmisData!$D:$D, CW$6)</f>
        <v>1.9443003989977701E-2</v>
      </c>
      <c r="CX211" s="1111">
        <f>SUMIFS(NewEmisData!I:I, NewEmisData!$A:$A, $G211, NewEmisData!$B:$B, $A211, NewEmisData!$C:$C, $H211, NewEmisData!$D:$D, CX$6)</f>
        <v>1.7080157869544602E-2</v>
      </c>
      <c r="CY211" s="1111">
        <f>SUMIFS(NewEmisData!J:J, NewEmisData!$A:$A, $G211, NewEmisData!$B:$B, $A211, NewEmisData!$C:$C, $H211, NewEmisData!$D:$D, CY$6)</f>
        <v>1.6424318186297401E-2</v>
      </c>
      <c r="CZ211" s="1111">
        <f>SUMIFS(NewEmisData!K:K, NewEmisData!$A:$A, $G211, NewEmisData!$B:$B, $A211, NewEmisData!$C:$C, $H211, NewEmisData!$D:$D, CZ$6)</f>
        <v>1.63466414048998E-2</v>
      </c>
      <c r="DA211" s="1111">
        <f>SUMIFS(NewEmisData!L:L, NewEmisData!$A:$A, $G211, NewEmisData!$B:$B, $A211, NewEmisData!$C:$C, $H211, NewEmisData!$D:$D, DA$6)</f>
        <v>1.6299016097018101E-2</v>
      </c>
      <c r="DB211" s="1111">
        <f>SUMIFS(NewEmisData!M:M, NewEmisData!$A:$A, $G211, NewEmisData!$B:$B, $A211, NewEmisData!$C:$C, $H211, NewEmisData!$D:$D, DB$6)</f>
        <v>1.6325096857781201E-2</v>
      </c>
      <c r="DC211" s="1111">
        <f t="shared" si="316"/>
        <v>1.6325096857781201E-2</v>
      </c>
      <c r="DD211" s="1111">
        <v>8.4892895966475739E-3</v>
      </c>
      <c r="DE211" s="1111">
        <v>5.6212986616763754E-3</v>
      </c>
      <c r="DF211" s="1111">
        <v>3.3463487561708246E-3</v>
      </c>
      <c r="DG211" s="1111">
        <v>2.7660430299124659E-3</v>
      </c>
      <c r="DH211" s="1111">
        <v>2.682529091392567E-3</v>
      </c>
      <c r="DI211" s="1111">
        <v>2.703528873173607E-3</v>
      </c>
      <c r="DJ211" s="1111">
        <v>2.7128611055472259E-3</v>
      </c>
      <c r="DK211" s="1111">
        <v>2.7072751179577333E-3</v>
      </c>
      <c r="DL211" s="1111">
        <v>2.7166296978826691E-3</v>
      </c>
      <c r="DM211" s="1111">
        <v>2.7267399324404202E-3</v>
      </c>
      <c r="DN211" s="1111">
        <v>2.7267399324404202E-3</v>
      </c>
      <c r="DO211" s="1111">
        <v>2.7529093789717789E-2</v>
      </c>
      <c r="DP211" s="1111">
        <v>1.8547410667972192E-2</v>
      </c>
      <c r="DQ211" s="1111">
        <v>1.0623092960258752E-2</v>
      </c>
      <c r="DR211" s="1111">
        <v>8.2487146441313514E-3</v>
      </c>
      <c r="DS211" s="1111">
        <v>8.1824854069421117E-3</v>
      </c>
      <c r="DT211" s="1111">
        <v>8.1902625366083396E-3</v>
      </c>
      <c r="DU211" s="1111">
        <v>8.1985958492518836E-3</v>
      </c>
      <c r="DV211" s="1111">
        <v>8.1775758900627226E-3</v>
      </c>
      <c r="DW211" s="1111">
        <v>8.1943266682995095E-3</v>
      </c>
      <c r="DX211" s="1111">
        <v>8.2124081867554939E-3</v>
      </c>
      <c r="DY211" s="1111">
        <v>8.2124081867554939E-3</v>
      </c>
      <c r="DZ211" s="1111">
        <f t="shared" si="317"/>
        <v>5.0339270700679999E-2</v>
      </c>
      <c r="EA211" s="1111">
        <f>SUMIFS(NewEmisData!E:E, NewEmisData!$A:$A, $G211, NewEmisData!$B:$B, $A211, NewEmisData!$C:$C, $H211, NewEmisData!$D:$D, EA$6)</f>
        <v>5.0339270700679999E-2</v>
      </c>
      <c r="EB211" s="1111">
        <f>SUMIFS(NewEmisData!F:F, NewEmisData!$A:$A, $G211, NewEmisData!$B:$B, $A211, NewEmisData!$C:$C, $H211, NewEmisData!$D:$D, EB$6)</f>
        <v>2.98546172534019E-2</v>
      </c>
      <c r="EC211" s="1111">
        <f>SUMIFS(NewEmisData!G:G, NewEmisData!$A:$A, $G211, NewEmisData!$B:$B, $A211, NewEmisData!$C:$C, $H211, NewEmisData!$D:$D, EC$6)</f>
        <v>1.7913674894860999E-2</v>
      </c>
      <c r="ED211" s="1111">
        <f>SUMIFS(NewEmisData!H:H, NewEmisData!$A:$A, $G211, NewEmisData!$B:$B, $A211, NewEmisData!$C:$C, $H211, NewEmisData!$D:$D, ED$6)</f>
        <v>1.54314271118329E-2</v>
      </c>
      <c r="EE211" s="1111">
        <f>SUMIFS(NewEmisData!I:I, NewEmisData!$A:$A, $G211, NewEmisData!$B:$B, $A211, NewEmisData!$C:$C, $H211, NewEmisData!$D:$D, EE$6)</f>
        <v>1.4729599669098301E-2</v>
      </c>
      <c r="EF211" s="1111">
        <f>SUMIFS(NewEmisData!J:J, NewEmisData!$A:$A, $G211, NewEmisData!$B:$B, $A211, NewEmisData!$C:$C, $H211, NewEmisData!$D:$D, EF$6)</f>
        <v>1.46060589575112E-2</v>
      </c>
      <c r="EG211" s="1111">
        <f>SUMIFS(NewEmisData!K:K, NewEmisData!$A:$A, $G211, NewEmisData!$B:$B, $A211, NewEmisData!$C:$C, $H211, NewEmisData!$D:$D, EG$6)</f>
        <v>1.4662699121929501E-2</v>
      </c>
      <c r="EH211" s="1111">
        <f>SUMIFS(NewEmisData!L:L, NewEmisData!$A:$A, $G211, NewEmisData!$B:$B, $A211, NewEmisData!$C:$C, $H211, NewEmisData!$D:$D, EH$6)</f>
        <v>1.46806856975942E-2</v>
      </c>
      <c r="EI211" s="1111">
        <f>SUMIFS(NewEmisData!M:M, NewEmisData!$A:$A, $G211, NewEmisData!$B:$B, $A211, NewEmisData!$C:$C, $H211, NewEmisData!$D:$D, EI$6)</f>
        <v>1.4680172285676999E-2</v>
      </c>
      <c r="EJ211" s="1111">
        <f t="shared" si="318"/>
        <v>1.4680172285676999E-2</v>
      </c>
      <c r="EK211" s="1111">
        <f t="shared" si="319"/>
        <v>1241.60800343195</v>
      </c>
      <c r="EL211" s="1111">
        <f t="shared" si="269"/>
        <v>1241.60800343195</v>
      </c>
      <c r="EM211" s="1111">
        <f t="shared" si="270"/>
        <v>1243.08928499321</v>
      </c>
      <c r="EN211" s="1111">
        <f t="shared" si="271"/>
        <v>1559.7377784626201</v>
      </c>
      <c r="EO211" s="1111">
        <f t="shared" si="272"/>
        <v>1531.1148438857699</v>
      </c>
      <c r="EP211" s="1111">
        <f t="shared" si="273"/>
        <v>1508.7877657548299</v>
      </c>
      <c r="EQ211" s="1111">
        <f t="shared" si="274"/>
        <v>1502.9671636844901</v>
      </c>
      <c r="ER211" s="1111">
        <f t="shared" si="275"/>
        <v>1501.4395842993699</v>
      </c>
      <c r="ES211" s="1111">
        <f t="shared" si="276"/>
        <v>1501.15044041939</v>
      </c>
      <c r="ET211" s="1111">
        <f t="shared" si="277"/>
        <v>1501.0860905019599</v>
      </c>
      <c r="EU211" s="1111">
        <f t="shared" si="278"/>
        <v>1501.0860905019599</v>
      </c>
      <c r="EV211" s="1111">
        <f t="shared" si="320"/>
        <v>4.1625657526614797</v>
      </c>
      <c r="EW211" s="1111">
        <f t="shared" si="259"/>
        <v>4.1625657526614797</v>
      </c>
      <c r="EX211" s="1111">
        <f t="shared" si="260"/>
        <v>2.1578815518962502</v>
      </c>
      <c r="EY211" s="1111">
        <f t="shared" si="261"/>
        <v>1.30274636086792</v>
      </c>
      <c r="EZ211" s="1111">
        <f t="shared" si="262"/>
        <v>0.94297953696777803</v>
      </c>
      <c r="FA211" s="1111">
        <f t="shared" si="263"/>
        <v>0.78815258031283297</v>
      </c>
      <c r="FB211" s="1111">
        <f t="shared" si="264"/>
        <v>0.71799894873057002</v>
      </c>
      <c r="FC211" s="1111">
        <f t="shared" si="265"/>
        <v>0.69737659475245495</v>
      </c>
      <c r="FD211" s="1111">
        <f t="shared" si="266"/>
        <v>0.69289982108465797</v>
      </c>
      <c r="FE211" s="1111">
        <f t="shared" si="267"/>
        <v>0.69155412460857602</v>
      </c>
      <c r="FF211" s="1111">
        <f t="shared" si="268"/>
        <v>0.69155412460857602</v>
      </c>
      <c r="FG211" s="1111">
        <f t="shared" si="291"/>
        <v>2.1484176158971701E-2</v>
      </c>
      <c r="FH211" s="1111">
        <f t="shared" si="292"/>
        <v>2.1484176158971701E-2</v>
      </c>
      <c r="FI211" s="1111">
        <f t="shared" si="293"/>
        <v>2.1509817808633099E-2</v>
      </c>
      <c r="FJ211" s="1111">
        <f t="shared" si="294"/>
        <v>2.2375249866597498E-2</v>
      </c>
      <c r="FK211" s="1111">
        <f t="shared" si="295"/>
        <v>2.1964641718838499E-2</v>
      </c>
      <c r="FL211" s="1111">
        <f t="shared" si="296"/>
        <v>2.1644351533378101E-2</v>
      </c>
      <c r="FM211" s="1111">
        <f t="shared" si="297"/>
        <v>2.1560851881015301E-2</v>
      </c>
      <c r="FN211" s="1111">
        <f t="shared" si="298"/>
        <v>2.1538927343366401E-2</v>
      </c>
      <c r="FO211" s="1111">
        <f t="shared" si="299"/>
        <v>2.1534775827773901E-2</v>
      </c>
      <c r="FP211" s="1111">
        <f t="shared" si="300"/>
        <v>2.15338577914834E-2</v>
      </c>
      <c r="FQ211" s="1111">
        <f t="shared" si="301"/>
        <v>2.15338577914834E-2</v>
      </c>
      <c r="FR211" s="1111">
        <f t="shared" si="230"/>
        <v>0.205584171442245</v>
      </c>
      <c r="FS211" s="1111">
        <f t="shared" si="231"/>
        <v>0.205584171442245</v>
      </c>
      <c r="FT211" s="1111">
        <f t="shared" si="232"/>
        <v>0.200703686535146</v>
      </c>
      <c r="FU211" s="1111">
        <f t="shared" si="233"/>
        <v>0.298432150084874</v>
      </c>
      <c r="FV211" s="1111">
        <f t="shared" si="234"/>
        <v>0.29892439751761801</v>
      </c>
      <c r="FW211" s="1111">
        <f t="shared" si="235"/>
        <v>0.29942291421429901</v>
      </c>
      <c r="FX211" s="1111">
        <f t="shared" si="236"/>
        <v>0.29972619462258399</v>
      </c>
      <c r="FY211" s="1111">
        <f t="shared" si="237"/>
        <v>0.29988559432946199</v>
      </c>
      <c r="FZ211" s="1111">
        <f t="shared" si="238"/>
        <v>0.29993582308119998</v>
      </c>
      <c r="GA211" s="1111">
        <f t="shared" si="239"/>
        <v>0.299955436334361</v>
      </c>
      <c r="GB211" s="1111">
        <f t="shared" si="240"/>
        <v>0.299955436334361</v>
      </c>
      <c r="GC211" s="1111">
        <f t="shared" si="279"/>
        <v>3.9334690996451198E-2</v>
      </c>
      <c r="GD211" s="1111">
        <f t="shared" si="280"/>
        <v>3.9334690996451198E-2</v>
      </c>
      <c r="GE211" s="1111">
        <f t="shared" si="281"/>
        <v>3.4631534960308699E-2</v>
      </c>
      <c r="GF211" s="1111">
        <f t="shared" si="282"/>
        <v>4.5448906099466301E-2</v>
      </c>
      <c r="GG211" s="1111">
        <f t="shared" si="283"/>
        <v>4.5413592229635001E-2</v>
      </c>
      <c r="GH211" s="1111">
        <f t="shared" si="284"/>
        <v>4.5762266359602698E-2</v>
      </c>
      <c r="GI211" s="1111">
        <f t="shared" si="285"/>
        <v>4.6004282113656897E-2</v>
      </c>
      <c r="GJ211" s="1111">
        <f t="shared" si="286"/>
        <v>4.6139436899626303E-2</v>
      </c>
      <c r="GK211" s="1111">
        <f t="shared" si="287"/>
        <v>4.6182051454262997E-2</v>
      </c>
      <c r="GL211" s="1111">
        <f t="shared" si="288"/>
        <v>4.6199279391049702E-2</v>
      </c>
      <c r="GM211" s="1111">
        <f t="shared" si="289"/>
        <v>4.6199279391049702E-2</v>
      </c>
    </row>
    <row r="212" spans="1:195" x14ac:dyDescent="0.2">
      <c r="A212" s="1071" t="s">
        <v>184</v>
      </c>
      <c r="B212" s="1071" t="str">
        <f>Technologies!C129</f>
        <v>TMCNGC</v>
      </c>
      <c r="C212" s="1071" t="str">
        <f>Technologies!D129</f>
        <v>Medium Duty Truck, Conventional CNG</v>
      </c>
      <c r="D212" s="1071" t="str">
        <f>NewTech!D80</f>
        <v>bn-vmt, bn-vmt/a</v>
      </c>
      <c r="E212" s="1071" t="str">
        <f>NewTech!E81</f>
        <v>TMCNG</v>
      </c>
      <c r="F212" s="1071" t="str">
        <f>NewTech!F82</f>
        <v>TM</v>
      </c>
      <c r="G212" s="1110" t="s">
        <v>503</v>
      </c>
      <c r="H212" s="1110" t="s">
        <v>500</v>
      </c>
      <c r="I212" s="1112">
        <v>1</v>
      </c>
      <c r="J212" s="1111" t="str">
        <f t="shared" si="302"/>
        <v>Medium duty-GSL</v>
      </c>
      <c r="K212" s="1111">
        <f>SUMIFS(NewEmisData!E:E, NewEmisData!$A:$A, $G212, NewEmisData!$B:$B, $A212, NewEmisData!$C:$C, $H212, NewEmisData!$D:$D, K$6)</f>
        <v>1125.6531994791601</v>
      </c>
      <c r="L212" s="1111">
        <f>SUMIFS(NewEmisData!F:F, NewEmisData!$A:$A, $G212, NewEmisData!$B:$B, $A212, NewEmisData!$C:$C, $H212, NewEmisData!$D:$D, L$6)</f>
        <v>1129.51230354672</v>
      </c>
      <c r="M212" s="1111">
        <f>SUMIFS(NewEmisData!G:G, NewEmisData!$A:$A, $G212, NewEmisData!$B:$B, $A212, NewEmisData!$C:$C, $H212, NewEmisData!$D:$D, M$6)</f>
        <v>1334.28865010909</v>
      </c>
      <c r="N212" s="1111">
        <f>SUMIFS(NewEmisData!H:H, NewEmisData!$A:$A, $G212, NewEmisData!$B:$B, $A212, NewEmisData!$C:$C, $H212, NewEmisData!$D:$D, N$6)</f>
        <v>1309.4477161980601</v>
      </c>
      <c r="O212" s="1111">
        <f>SUMIFS(NewEmisData!I:I, NewEmisData!$A:$A, $G212, NewEmisData!$B:$B, $A212, NewEmisData!$C:$C, $H212, NewEmisData!$D:$D, O$6)</f>
        <v>1290.2789800169201</v>
      </c>
      <c r="P212" s="1111">
        <f>SUMIFS(NewEmisData!J:J, NewEmisData!$A:$A, $G212, NewEmisData!$B:$B, $A212, NewEmisData!$C:$C, $H212, NewEmisData!$D:$D, P$6)</f>
        <v>1285.24459420581</v>
      </c>
      <c r="Q212" s="1111">
        <f>SUMIFS(NewEmisData!K:K, NewEmisData!$A:$A, $G212, NewEmisData!$B:$B, $A212, NewEmisData!$C:$C, $H212, NewEmisData!$D:$D, Q$6)</f>
        <v>1283.9086141387199</v>
      </c>
      <c r="R212" s="1111">
        <f>SUMIFS(NewEmisData!L:L, NewEmisData!$A:$A, $G212, NewEmisData!$B:$B, $A212, NewEmisData!$C:$C, $H212, NewEmisData!$D:$D, R$6)</f>
        <v>1283.64917953798</v>
      </c>
      <c r="S212" s="1111">
        <f>SUMIFS(NewEmisData!M:M, NewEmisData!$A:$A, $G212, NewEmisData!$B:$B, $A212, NewEmisData!$C:$C, $H212, NewEmisData!$D:$D, S$6)</f>
        <v>1283.5882413572699</v>
      </c>
      <c r="T212" s="1111">
        <f t="shared" si="290"/>
        <v>1283.5882413572699</v>
      </c>
      <c r="U212" s="1111">
        <f>SUMIFS(NewEmisData!E:E, NewEmisData!$A:$A, $G212, NewEmisData!$B:$B, $A212, NewEmisData!$C:$C, $H212, NewEmisData!$D:$D, U$6)</f>
        <v>3.9696963814368802</v>
      </c>
      <c r="V212" s="1111">
        <f>SUMIFS(NewEmisData!F:F, NewEmisData!$A:$A, $G212, NewEmisData!$B:$B, $A212, NewEmisData!$C:$C, $H212, NewEmisData!$D:$D, V$6)</f>
        <v>2.1292045893653802</v>
      </c>
      <c r="W212" s="1111">
        <f>SUMIFS(NewEmisData!G:G, NewEmisData!$A:$A, $G212, NewEmisData!$B:$B, $A212, NewEmisData!$C:$C, $H212, NewEmisData!$D:$D, W$6)</f>
        <v>1.1780347139767999</v>
      </c>
      <c r="X212" s="1111">
        <f>SUMIFS(NewEmisData!H:H, NewEmisData!$A:$A, $G212, NewEmisData!$B:$B, $A212, NewEmisData!$C:$C, $H212, NewEmisData!$D:$D, X$6)</f>
        <v>0.85616837461707895</v>
      </c>
      <c r="Y212" s="1111">
        <f>SUMIFS(NewEmisData!I:I, NewEmisData!$A:$A, $G212, NewEmisData!$B:$B, $A212, NewEmisData!$C:$C, $H212, NewEmisData!$D:$D, Y$6)</f>
        <v>0.71679914036882397</v>
      </c>
      <c r="Z212" s="1111">
        <f>SUMIFS(NewEmisData!J:J, NewEmisData!$A:$A, $G212, NewEmisData!$B:$B, $A212, NewEmisData!$C:$C, $H212, NewEmisData!$D:$D, Z$6)</f>
        <v>0.653734873709785</v>
      </c>
      <c r="AA212" s="1111">
        <f>SUMIFS(NewEmisData!K:K, NewEmisData!$A:$A, $G212, NewEmisData!$B:$B, $A212, NewEmisData!$C:$C, $H212, NewEmisData!$D:$D, AA$6)</f>
        <v>0.63529466077774999</v>
      </c>
      <c r="AB212" s="1111">
        <f>SUMIFS(NewEmisData!L:L, NewEmisData!$A:$A, $G212, NewEmisData!$B:$B, $A212, NewEmisData!$C:$C, $H212, NewEmisData!$D:$D, AB$6)</f>
        <v>0.63126465139316401</v>
      </c>
      <c r="AC212" s="1111">
        <f>SUMIFS(NewEmisData!M:M, NewEmisData!$A:$A, $G212, NewEmisData!$B:$B, $A212, NewEmisData!$C:$C, $H212, NewEmisData!$D:$D, AC$6)</f>
        <v>0.63008499106767202</v>
      </c>
      <c r="AD212" s="1111">
        <f t="shared" si="229"/>
        <v>0.63008499106767202</v>
      </c>
      <c r="AE212" s="1111">
        <f t="shared" si="303"/>
        <v>1.94777471026268E-2</v>
      </c>
      <c r="AF212" s="1111">
        <f>SUMIFS(NewEmisData!E:E, NewEmisData!$A:$A, $G212, NewEmisData!$B:$B, $A212, NewEmisData!$C:$C, $H212, NewEmisData!$D:$D, AF$6)</f>
        <v>1.94777471026268E-2</v>
      </c>
      <c r="AG212" s="1111">
        <f>SUMIFS(NewEmisData!F:F, NewEmisData!$A:$A, $G212, NewEmisData!$B:$B, $A212, NewEmisData!$C:$C, $H212, NewEmisData!$D:$D, AG$6)</f>
        <v>1.95445323749391E-2</v>
      </c>
      <c r="AH212" s="1111">
        <f>SUMIFS(NewEmisData!G:G, NewEmisData!$A:$A, $G212, NewEmisData!$B:$B, $A212, NewEmisData!$C:$C, $H212, NewEmisData!$D:$D, AH$6)</f>
        <v>1.9141058004132301E-2</v>
      </c>
      <c r="AI212" s="1111">
        <f>SUMIFS(NewEmisData!H:H, NewEmisData!$A:$A, $G212, NewEmisData!$B:$B, $A212, NewEmisData!$C:$C, $H212, NewEmisData!$D:$D, AI$6)</f>
        <v>1.8784705993390102E-2</v>
      </c>
      <c r="AJ212" s="1111">
        <f>SUMIFS(NewEmisData!I:I, NewEmisData!$A:$A, $G212, NewEmisData!$B:$B, $A212, NewEmisData!$C:$C, $H212, NewEmisData!$D:$D, AJ$6)</f>
        <v>1.85097249042331E-2</v>
      </c>
      <c r="AK212" s="1111">
        <f>SUMIFS(NewEmisData!J:J, NewEmisData!$A:$A, $G212, NewEmisData!$B:$B, $A212, NewEmisData!$C:$C, $H212, NewEmisData!$D:$D, AK$6)</f>
        <v>1.8437510106673601E-2</v>
      </c>
      <c r="AL212" s="1111">
        <f>SUMIFS(NewEmisData!K:K, NewEmisData!$A:$A, $G212, NewEmisData!$B:$B, $A212, NewEmisData!$C:$C, $H212, NewEmisData!$D:$D, AL$6)</f>
        <v>1.8418333813220399E-2</v>
      </c>
      <c r="AM212" s="1111">
        <f>SUMIFS(NewEmisData!L:L, NewEmisData!$A:$A, $G212, NewEmisData!$B:$B, $A212, NewEmisData!$C:$C, $H212, NewEmisData!$D:$D, AM$6)</f>
        <v>1.8414616467845198E-2</v>
      </c>
      <c r="AN212" s="1111">
        <f>SUMIFS(NewEmisData!M:M, NewEmisData!$A:$A, $G212, NewEmisData!$B:$B, $A212, NewEmisData!$C:$C, $H212, NewEmisData!$D:$D, AN$6)</f>
        <v>1.84137339980028E-2</v>
      </c>
      <c r="AO212" s="1111">
        <f t="shared" si="304"/>
        <v>1.84137339980028E-2</v>
      </c>
      <c r="AP212" s="1111">
        <f t="shared" si="305"/>
        <v>0.16277138632680399</v>
      </c>
      <c r="AQ212" s="1111">
        <f>SUMIFS(NewEmisData!E:E, NewEmisData!$A:$A, $G212, NewEmisData!$B:$B, $A212, NewEmisData!$C:$C, $H212, NewEmisData!$D:$D, AQ$6)</f>
        <v>0.16277138632680399</v>
      </c>
      <c r="AR212" s="1111">
        <f>SUMIFS(NewEmisData!F:F, NewEmisData!$A:$A, $G212, NewEmisData!$B:$B, $A212, NewEmisData!$C:$C, $H212, NewEmisData!$D:$D, AR$6)</f>
        <v>0.15749210557477999</v>
      </c>
      <c r="AS212" s="1111">
        <f>SUMIFS(NewEmisData!G:G, NewEmisData!$A:$A, $G212, NewEmisData!$B:$B, $A212, NewEmisData!$C:$C, $H212, NewEmisData!$D:$D, AS$6)</f>
        <v>0.22213105998277299</v>
      </c>
      <c r="AT212" s="1111">
        <f>SUMIFS(NewEmisData!H:H, NewEmisData!$A:$A, $G212, NewEmisData!$B:$B, $A212, NewEmisData!$C:$C, $H212, NewEmisData!$D:$D, AT$6)</f>
        <v>0.22256905483131201</v>
      </c>
      <c r="AU212" s="1111">
        <f>SUMIFS(NewEmisData!I:I, NewEmisData!$A:$A, $G212, NewEmisData!$B:$B, $A212, NewEmisData!$C:$C, $H212, NewEmisData!$D:$D, AU$6)</f>
        <v>0.223017594102533</v>
      </c>
      <c r="AV212" s="1111">
        <f>SUMIFS(NewEmisData!J:J, NewEmisData!$A:$A, $G212, NewEmisData!$B:$B, $A212, NewEmisData!$C:$C, $H212, NewEmisData!$D:$D, AV$6)</f>
        <v>0.22328437261219899</v>
      </c>
      <c r="AW212" s="1111">
        <f>SUMIFS(NewEmisData!K:K, NewEmisData!$A:$A, $G212, NewEmisData!$B:$B, $A212, NewEmisData!$C:$C, $H212, NewEmisData!$D:$D, AW$6)</f>
        <v>0.22342028408578701</v>
      </c>
      <c r="AX212" s="1111">
        <f>SUMIFS(NewEmisData!L:L, NewEmisData!$A:$A, $G212, NewEmisData!$B:$B, $A212, NewEmisData!$C:$C, $H212, NewEmisData!$D:$D, AX$6)</f>
        <v>0.22346164064811899</v>
      </c>
      <c r="AY212" s="1111">
        <f>SUMIFS(NewEmisData!M:M, NewEmisData!$A:$A, $G212, NewEmisData!$B:$B, $A212, NewEmisData!$C:$C, $H212, NewEmisData!$D:$D, AY$6)</f>
        <v>0.22347689751407299</v>
      </c>
      <c r="AZ212" s="1111">
        <f t="shared" si="306"/>
        <v>0.22347689751407299</v>
      </c>
      <c r="BA212" s="1111">
        <f t="shared" si="307"/>
        <v>3.3085277901506199E-2</v>
      </c>
      <c r="BB212" s="1111">
        <f>SUMIFS(NewEmisData!E:E, NewEmisData!$A:$A, $G212, NewEmisData!$B:$B, $A212, NewEmisData!$C:$C, $H212, NewEmisData!$D:$D, BB$6)</f>
        <v>3.3085277901506199E-2</v>
      </c>
      <c r="BC212" s="1111">
        <f>SUMIFS(NewEmisData!F:F, NewEmisData!$A:$A, $G212, NewEmisData!$B:$B, $A212, NewEmisData!$C:$C, $H212, NewEmisData!$D:$D, BC$6)</f>
        <v>2.8088278695018499E-2</v>
      </c>
      <c r="BD212" s="1111">
        <f>SUMIFS(NewEmisData!G:G, NewEmisData!$A:$A, $G212, NewEmisData!$B:$B, $A212, NewEmisData!$C:$C, $H212, NewEmisData!$D:$D, BD$6)</f>
        <v>3.5249470703337199E-2</v>
      </c>
      <c r="BE212" s="1111">
        <f>SUMIFS(NewEmisData!H:H, NewEmisData!$A:$A, $G212, NewEmisData!$B:$B, $A212, NewEmisData!$C:$C, $H212, NewEmisData!$D:$D, BE$6)</f>
        <v>3.5278230321982601E-2</v>
      </c>
      <c r="BF212" s="1111">
        <f>SUMIFS(NewEmisData!I:I, NewEmisData!$A:$A, $G212, NewEmisData!$B:$B, $A212, NewEmisData!$C:$C, $H212, NewEmisData!$D:$D, BF$6)</f>
        <v>3.5607078221125799E-2</v>
      </c>
      <c r="BG212" s="1111">
        <f>SUMIFS(NewEmisData!J:J, NewEmisData!$A:$A, $G212, NewEmisData!$B:$B, $A212, NewEmisData!$C:$C, $H212, NewEmisData!$D:$D, BG$6)</f>
        <v>3.5823183054303799E-2</v>
      </c>
      <c r="BH212" s="1111">
        <f>SUMIFS(NewEmisData!K:K, NewEmisData!$A:$A, $G212, NewEmisData!$B:$B, $A212, NewEmisData!$C:$C, $H212, NewEmisData!$D:$D, BH$6)</f>
        <v>3.5938864982074499E-2</v>
      </c>
      <c r="BI212" s="1111">
        <f>SUMIFS(NewEmisData!L:L, NewEmisData!$A:$A, $G212, NewEmisData!$B:$B, $A212, NewEmisData!$C:$C, $H212, NewEmisData!$D:$D, BI$6)</f>
        <v>3.5974176634088799E-2</v>
      </c>
      <c r="BJ212" s="1111">
        <f>SUMIFS(NewEmisData!M:M, NewEmisData!$A:$A, $G212, NewEmisData!$B:$B, $A212, NewEmisData!$C:$C, $H212, NewEmisData!$D:$D, BJ$6)</f>
        <v>3.59876115686096E-2</v>
      </c>
      <c r="BK212" s="1111">
        <f t="shared" si="308"/>
        <v>3.59876115686096E-2</v>
      </c>
      <c r="BL212" s="1111">
        <f t="shared" si="309"/>
        <v>30.519264024443402</v>
      </c>
      <c r="BM212" s="1111">
        <f>SUMIFS(NewEmisData!E:E, NewEmisData!$A:$A, $G212, NewEmisData!$B:$B, $A212, NewEmisData!$C:$C, $H212, NewEmisData!$D:$D, BM$6)</f>
        <v>30.519264024443402</v>
      </c>
      <c r="BN212" s="1111">
        <f>SUMIFS(NewEmisData!F:F, NewEmisData!$A:$A, $G212, NewEmisData!$B:$B, $A212, NewEmisData!$C:$C, $H212, NewEmisData!$D:$D, BN$6)</f>
        <v>17.7548638520019</v>
      </c>
      <c r="BO212" s="1111">
        <f>SUMIFS(NewEmisData!G:G, NewEmisData!$A:$A, $G212, NewEmisData!$B:$B, $A212, NewEmisData!$C:$C, $H212, NewEmisData!$D:$D, BO$6)</f>
        <v>11.769795592664099</v>
      </c>
      <c r="BP212" s="1111">
        <f>SUMIFS(NewEmisData!H:H, NewEmisData!$A:$A, $G212, NewEmisData!$B:$B, $A212, NewEmisData!$C:$C, $H212, NewEmisData!$D:$D, BP$6)</f>
        <v>10.027249561844799</v>
      </c>
      <c r="BQ212" s="1111">
        <f>SUMIFS(NewEmisData!I:I, NewEmisData!$A:$A, $G212, NewEmisData!$B:$B, $A212, NewEmisData!$C:$C, $H212, NewEmisData!$D:$D, BQ$6)</f>
        <v>9.5164175607240296</v>
      </c>
      <c r="BR212" s="1111">
        <f>SUMIFS(NewEmisData!J:J, NewEmisData!$A:$A, $G212, NewEmisData!$B:$B, $A212, NewEmisData!$C:$C, $H212, NewEmisData!$D:$D, BR$6)</f>
        <v>9.3871226242105301</v>
      </c>
      <c r="BS212" s="1111">
        <f>SUMIFS(NewEmisData!K:K, NewEmisData!$A:$A, $G212, NewEmisData!$B:$B, $A212, NewEmisData!$C:$C, $H212, NewEmisData!$D:$D, BS$6)</f>
        <v>9.4290563886524001</v>
      </c>
      <c r="BT212" s="1111">
        <f>SUMIFS(NewEmisData!L:L, NewEmisData!$A:$A, $G212, NewEmisData!$B:$B, $A212, NewEmisData!$C:$C, $H212, NewEmisData!$D:$D, BT$6)</f>
        <v>9.4677016030619807</v>
      </c>
      <c r="BU212" s="1111">
        <f>SUMIFS(NewEmisData!M:M, NewEmisData!$A:$A, $G212, NewEmisData!$B:$B, $A212, NewEmisData!$C:$C, $H212, NewEmisData!$D:$D, BU$6)</f>
        <v>9.4911287930921109</v>
      </c>
      <c r="BV212" s="1111">
        <f t="shared" si="310"/>
        <v>9.4911287930921109</v>
      </c>
      <c r="BW212" s="1111">
        <f t="shared" si="311"/>
        <v>1.4331518530549801</v>
      </c>
      <c r="BX212" s="1111">
        <f>SUMIFS(NewEmisData!E:E, NewEmisData!$A:$A, $G212, NewEmisData!$B:$B, $A212, NewEmisData!$C:$C, $H212, NewEmisData!$D:$D, BX$6)</f>
        <v>1.4331518530549801</v>
      </c>
      <c r="BY212" s="1111">
        <f>SUMIFS(NewEmisData!F:F, NewEmisData!$A:$A, $G212, NewEmisData!$B:$B, $A212, NewEmisData!$C:$C, $H212, NewEmisData!$D:$D, BY$6)</f>
        <v>0.82554141247932</v>
      </c>
      <c r="BZ212" s="1111">
        <f>SUMIFS(NewEmisData!G:G, NewEmisData!$A:$A, $G212, NewEmisData!$B:$B, $A212, NewEmisData!$C:$C, $H212, NewEmisData!$D:$D, BZ$6)</f>
        <v>0.52934059761176699</v>
      </c>
      <c r="CA212" s="1111">
        <f>SUMIFS(NewEmisData!H:H, NewEmisData!$A:$A, $G212, NewEmisData!$B:$B, $A212, NewEmisData!$C:$C, $H212, NewEmisData!$D:$D, CA$6)</f>
        <v>0.41820996508437402</v>
      </c>
      <c r="CB212" s="1111">
        <f>SUMIFS(NewEmisData!I:I, NewEmisData!$A:$A, $G212, NewEmisData!$B:$B, $A212, NewEmisData!$C:$C, $H212, NewEmisData!$D:$D, CB$6)</f>
        <v>0.37730109294103098</v>
      </c>
      <c r="CC212" s="1111">
        <f>SUMIFS(NewEmisData!J:J, NewEmisData!$A:$A, $G212, NewEmisData!$B:$B, $A212, NewEmisData!$C:$C, $H212, NewEmisData!$D:$D, CC$6)</f>
        <v>0.36080370260189998</v>
      </c>
      <c r="CD212" s="1111">
        <f>SUMIFS(NewEmisData!K:K, NewEmisData!$A:$A, $G212, NewEmisData!$B:$B, $A212, NewEmisData!$C:$C, $H212, NewEmisData!$D:$D, CD$6)</f>
        <v>0.35854771789443002</v>
      </c>
      <c r="CE212" s="1111">
        <f>SUMIFS(NewEmisData!L:L, NewEmisData!$A:$A, $G212, NewEmisData!$B:$B, $A212, NewEmisData!$C:$C, $H212, NewEmisData!$D:$D, CE$6)</f>
        <v>0.35854167304512202</v>
      </c>
      <c r="CF212" s="1111">
        <f>SUMIFS(NewEmisData!M:M, NewEmisData!$A:$A, $G212, NewEmisData!$B:$B, $A212, NewEmisData!$C:$C, $H212, NewEmisData!$D:$D, CF$6)</f>
        <v>0.35855864650360297</v>
      </c>
      <c r="CG212" s="1111">
        <f t="shared" si="312"/>
        <v>0.35855864650360297</v>
      </c>
      <c r="CH212" s="1111">
        <f t="shared" si="313"/>
        <v>4.3399426569524099E-2</v>
      </c>
      <c r="CI212" s="1111">
        <f>SUMIFS(NewEmisData!E:E, NewEmisData!$A:$A, $G212, NewEmisData!$B:$B, $A212, NewEmisData!$C:$C, $H212, NewEmisData!$D:$D, CI$6)</f>
        <v>4.3399426569524099E-2</v>
      </c>
      <c r="CJ212" s="1111">
        <f>SUMIFS(NewEmisData!F:F, NewEmisData!$A:$A, $G212, NewEmisData!$B:$B, $A212, NewEmisData!$C:$C, $H212, NewEmisData!$D:$D, CJ$6)</f>
        <v>4.3414607751202899E-2</v>
      </c>
      <c r="CK212" s="1111">
        <f>SUMIFS(NewEmisData!G:G, NewEmisData!$A:$A, $G212, NewEmisData!$B:$B, $A212, NewEmisData!$C:$C, $H212, NewEmisData!$D:$D, CK$6)</f>
        <v>5.4993981735290499E-2</v>
      </c>
      <c r="CL212" s="1111">
        <f>SUMIFS(NewEmisData!H:H, NewEmisData!$A:$A, $G212, NewEmisData!$B:$B, $A212, NewEmisData!$C:$C, $H212, NewEmisData!$D:$D, CL$6)</f>
        <v>5.4993786232210601E-2</v>
      </c>
      <c r="CM212" s="1111">
        <f>SUMIFS(NewEmisData!I:I, NewEmisData!$A:$A, $G212, NewEmisData!$B:$B, $A212, NewEmisData!$C:$C, $H212, NewEmisData!$D:$D, CM$6)</f>
        <v>5.49943755829881E-2</v>
      </c>
      <c r="CN212" s="1111">
        <f>SUMIFS(NewEmisData!J:J, NewEmisData!$A:$A, $G212, NewEmisData!$B:$B, $A212, NewEmisData!$C:$C, $H212, NewEmisData!$D:$D, CN$6)</f>
        <v>5.4994520767338101E-2</v>
      </c>
      <c r="CO212" s="1111">
        <f>SUMIFS(NewEmisData!K:K, NewEmisData!$A:$A, $G212, NewEmisData!$B:$B, $A212, NewEmisData!$C:$C, $H212, NewEmisData!$D:$D, CO$6)</f>
        <v>5.4994541597587002E-2</v>
      </c>
      <c r="CP212" s="1111">
        <f>SUMIFS(NewEmisData!L:L, NewEmisData!$A:$A, $G212, NewEmisData!$B:$B, $A212, NewEmisData!$C:$C, $H212, NewEmisData!$D:$D, CP$6)</f>
        <v>5.4994553673977098E-2</v>
      </c>
      <c r="CQ212" s="1111">
        <f>SUMIFS(NewEmisData!M:M, NewEmisData!$A:$A, $G212, NewEmisData!$B:$B, $A212, NewEmisData!$C:$C, $H212, NewEmisData!$D:$D, CQ$6)</f>
        <v>5.4994550577738499E-2</v>
      </c>
      <c r="CR212" s="1111">
        <f t="shared" si="314"/>
        <v>5.4994550577738499E-2</v>
      </c>
      <c r="CS212" s="1111">
        <f t="shared" si="315"/>
        <v>4.8977354146498502E-2</v>
      </c>
      <c r="CT212" s="1111">
        <f>SUMIFS(NewEmisData!E:E, NewEmisData!$A:$A, $G212, NewEmisData!$B:$B, $A212, NewEmisData!$C:$C, $H212, NewEmisData!$D:$D, CT$6)</f>
        <v>4.8977354146498502E-2</v>
      </c>
      <c r="CU212" s="1111">
        <f>SUMIFS(NewEmisData!F:F, NewEmisData!$A:$A, $G212, NewEmisData!$B:$B, $A212, NewEmisData!$C:$C, $H212, NewEmisData!$D:$D, CU$6)</f>
        <v>2.8470713504453099E-2</v>
      </c>
      <c r="CV212" s="1111">
        <f>SUMIFS(NewEmisData!G:G, NewEmisData!$A:$A, $G212, NewEmisData!$B:$B, $A212, NewEmisData!$C:$C, $H212, NewEmisData!$D:$D, CV$6)</f>
        <v>2.1189978152056602E-2</v>
      </c>
      <c r="CW212" s="1111">
        <f>SUMIFS(NewEmisData!H:H, NewEmisData!$A:$A, $G212, NewEmisData!$B:$B, $A212, NewEmisData!$C:$C, $H212, NewEmisData!$D:$D, CW$6)</f>
        <v>1.46389058287662E-2</v>
      </c>
      <c r="CX212" s="1111">
        <f>SUMIFS(NewEmisData!I:I, NewEmisData!$A:$A, $G212, NewEmisData!$B:$B, $A212, NewEmisData!$C:$C, $H212, NewEmisData!$D:$D, CX$6)</f>
        <v>1.28792587479717E-2</v>
      </c>
      <c r="CY212" s="1111">
        <f>SUMIFS(NewEmisData!J:J, NewEmisData!$A:$A, $G212, NewEmisData!$B:$B, $A212, NewEmisData!$C:$C, $H212, NewEmisData!$D:$D, CY$6)</f>
        <v>1.23921680979683E-2</v>
      </c>
      <c r="CZ212" s="1111">
        <f>SUMIFS(NewEmisData!K:K, NewEmisData!$A:$A, $G212, NewEmisData!$B:$B, $A212, NewEmisData!$C:$C, $H212, NewEmisData!$D:$D, CZ$6)</f>
        <v>1.23336041545112E-2</v>
      </c>
      <c r="DA212" s="1111">
        <f>SUMIFS(NewEmisData!L:L, NewEmisData!$A:$A, $G212, NewEmisData!$B:$B, $A212, NewEmisData!$C:$C, $H212, NewEmisData!$D:$D, DA$6)</f>
        <v>1.22985211601931E-2</v>
      </c>
      <c r="DB212" s="1111">
        <f>SUMIFS(NewEmisData!M:M, NewEmisData!$A:$A, $G212, NewEmisData!$B:$B, $A212, NewEmisData!$C:$C, $H212, NewEmisData!$D:$D, DB$6)</f>
        <v>1.2317402931661E-2</v>
      </c>
      <c r="DC212" s="1111">
        <f t="shared" si="316"/>
        <v>1.2317402931661E-2</v>
      </c>
      <c r="DD212" s="1111"/>
      <c r="DE212" s="1111"/>
      <c r="DF212" s="1111"/>
      <c r="DG212" s="1111"/>
      <c r="DH212" s="1111"/>
      <c r="DI212" s="1111"/>
      <c r="DJ212" s="1111"/>
      <c r="DK212" s="1111"/>
      <c r="DL212" s="1111"/>
      <c r="DM212" s="1111"/>
      <c r="DN212" s="1111"/>
      <c r="DO212" s="1111"/>
      <c r="DP212" s="1111"/>
      <c r="DQ212" s="1111"/>
      <c r="DR212" s="1111"/>
      <c r="DS212" s="1111"/>
      <c r="DT212" s="1111"/>
      <c r="DU212" s="1111"/>
      <c r="DV212" s="1111"/>
      <c r="DW212" s="1111"/>
      <c r="DX212" s="1111"/>
      <c r="DY212" s="1111"/>
      <c r="DZ212" s="1111">
        <f t="shared" si="317"/>
        <v>3.8110257804810699E-2</v>
      </c>
      <c r="EA212" s="1111">
        <f>SUMIFS(NewEmisData!E:E, NewEmisData!$A:$A, $G212, NewEmisData!$B:$B, $A212, NewEmisData!$C:$C, $H212, NewEmisData!$D:$D, EA$6)</f>
        <v>3.8110257804810699E-2</v>
      </c>
      <c r="EB212" s="1111">
        <f>SUMIFS(NewEmisData!F:F, NewEmisData!$A:$A, $G212, NewEmisData!$B:$B, $A212, NewEmisData!$C:$C, $H212, NewEmisData!$D:$D, EB$6)</f>
        <v>2.0417199912842899E-2</v>
      </c>
      <c r="EC212" s="1111">
        <f>SUMIFS(NewEmisData!G:G, NewEmisData!$A:$A, $G212, NewEmisData!$B:$B, $A212, NewEmisData!$C:$C, $H212, NewEmisData!$D:$D, EC$6)</f>
        <v>1.30642962548774E-2</v>
      </c>
      <c r="ED212" s="1111">
        <f>SUMIFS(NewEmisData!H:H, NewEmisData!$A:$A, $G212, NewEmisData!$B:$B, $A212, NewEmisData!$C:$C, $H212, NewEmisData!$D:$D, ED$6)</f>
        <v>1.11738363859457E-2</v>
      </c>
      <c r="EE212" s="1111">
        <f>SUMIFS(NewEmisData!I:I, NewEmisData!$A:$A, $G212, NewEmisData!$B:$B, $A212, NewEmisData!$C:$C, $H212, NewEmisData!$D:$D, EE$6)</f>
        <v>1.0636123173322E-2</v>
      </c>
      <c r="EF212" s="1111">
        <f>SUMIFS(NewEmisData!J:J, NewEmisData!$A:$A, $G212, NewEmisData!$B:$B, $A212, NewEmisData!$C:$C, $H212, NewEmisData!$D:$D, EF$6)</f>
        <v>1.0535248987316E-2</v>
      </c>
      <c r="EG212" s="1111">
        <f>SUMIFS(NewEmisData!K:K, NewEmisData!$A:$A, $G212, NewEmisData!$B:$B, $A212, NewEmisData!$C:$C, $H212, NewEmisData!$D:$D, EG$6)</f>
        <v>1.0571182579202899E-2</v>
      </c>
      <c r="EH212" s="1111">
        <f>SUMIFS(NewEmisData!L:L, NewEmisData!$A:$A, $G212, NewEmisData!$B:$B, $A212, NewEmisData!$C:$C, $H212, NewEmisData!$D:$D, EH$6)</f>
        <v>1.05827805921651E-2</v>
      </c>
      <c r="EI212" s="1111">
        <f>SUMIFS(NewEmisData!M:M, NewEmisData!$A:$A, $G212, NewEmisData!$B:$B, $A212, NewEmisData!$C:$C, $H212, NewEmisData!$D:$D, EI$6)</f>
        <v>1.05816969285468E-2</v>
      </c>
      <c r="EJ212" s="1111">
        <f t="shared" si="318"/>
        <v>1.05816969285468E-2</v>
      </c>
      <c r="EK212" s="1111">
        <f t="shared" si="319"/>
        <v>1125.6531994791601</v>
      </c>
      <c r="EL212" s="1111">
        <f t="shared" si="269"/>
        <v>1125.6531994791601</v>
      </c>
      <c r="EM212" s="1111">
        <f t="shared" si="270"/>
        <v>1129.51230354672</v>
      </c>
      <c r="EN212" s="1111">
        <f t="shared" si="271"/>
        <v>1334.28865010909</v>
      </c>
      <c r="EO212" s="1111">
        <f t="shared" si="272"/>
        <v>1309.4477161980601</v>
      </c>
      <c r="EP212" s="1111">
        <f t="shared" si="273"/>
        <v>1290.2789800169201</v>
      </c>
      <c r="EQ212" s="1111">
        <f t="shared" si="274"/>
        <v>1285.24459420581</v>
      </c>
      <c r="ER212" s="1111">
        <f t="shared" si="275"/>
        <v>1283.9086141387199</v>
      </c>
      <c r="ES212" s="1111">
        <f t="shared" si="276"/>
        <v>1283.64917953798</v>
      </c>
      <c r="ET212" s="1111">
        <f t="shared" si="277"/>
        <v>1283.5882413572699</v>
      </c>
      <c r="EU212" s="1111">
        <f t="shared" si="278"/>
        <v>1283.5882413572699</v>
      </c>
      <c r="EV212" s="1111">
        <f t="shared" si="320"/>
        <v>3.9696963814368802</v>
      </c>
      <c r="EW212" s="1111">
        <f t="shared" si="259"/>
        <v>3.9696963814368802</v>
      </c>
      <c r="EX212" s="1111">
        <f t="shared" si="260"/>
        <v>2.1292045893653802</v>
      </c>
      <c r="EY212" s="1111">
        <f t="shared" si="261"/>
        <v>1.1780347139767999</v>
      </c>
      <c r="EZ212" s="1111">
        <f t="shared" si="262"/>
        <v>0.85616837461707895</v>
      </c>
      <c r="FA212" s="1111">
        <f t="shared" si="263"/>
        <v>0.71679914036882397</v>
      </c>
      <c r="FB212" s="1111">
        <f t="shared" si="264"/>
        <v>0.653734873709785</v>
      </c>
      <c r="FC212" s="1111">
        <f t="shared" si="265"/>
        <v>0.63529466077774999</v>
      </c>
      <c r="FD212" s="1111">
        <f t="shared" si="266"/>
        <v>0.63126465139316401</v>
      </c>
      <c r="FE212" s="1111">
        <f t="shared" si="267"/>
        <v>0.63008499106767202</v>
      </c>
      <c r="FF212" s="1111">
        <f t="shared" si="268"/>
        <v>0.63008499106767202</v>
      </c>
      <c r="FG212" s="1111">
        <f t="shared" si="291"/>
        <v>1.94777471026268E-2</v>
      </c>
      <c r="FH212" s="1111">
        <f t="shared" si="292"/>
        <v>1.94777471026268E-2</v>
      </c>
      <c r="FI212" s="1111">
        <f t="shared" si="293"/>
        <v>1.95445323749391E-2</v>
      </c>
      <c r="FJ212" s="1111">
        <f t="shared" si="294"/>
        <v>1.9141058004132301E-2</v>
      </c>
      <c r="FK212" s="1111">
        <f t="shared" si="295"/>
        <v>1.8784705993390102E-2</v>
      </c>
      <c r="FL212" s="1111">
        <f t="shared" si="296"/>
        <v>1.85097249042331E-2</v>
      </c>
      <c r="FM212" s="1111">
        <f t="shared" si="297"/>
        <v>1.8437510106673601E-2</v>
      </c>
      <c r="FN212" s="1111">
        <f t="shared" si="298"/>
        <v>1.8418333813220399E-2</v>
      </c>
      <c r="FO212" s="1111">
        <f t="shared" si="299"/>
        <v>1.8414616467845198E-2</v>
      </c>
      <c r="FP212" s="1111">
        <f t="shared" si="300"/>
        <v>1.84137339980028E-2</v>
      </c>
      <c r="FQ212" s="1111">
        <f t="shared" si="301"/>
        <v>1.84137339980028E-2</v>
      </c>
      <c r="FR212" s="1111">
        <f t="shared" si="230"/>
        <v>0.16277138632680399</v>
      </c>
      <c r="FS212" s="1111">
        <f t="shared" si="231"/>
        <v>0.16277138632680399</v>
      </c>
      <c r="FT212" s="1111">
        <f t="shared" si="232"/>
        <v>0.15749210557477999</v>
      </c>
      <c r="FU212" s="1111">
        <f t="shared" si="233"/>
        <v>0.22213105998277299</v>
      </c>
      <c r="FV212" s="1111">
        <f t="shared" si="234"/>
        <v>0.22256905483131201</v>
      </c>
      <c r="FW212" s="1111">
        <f t="shared" si="235"/>
        <v>0.223017594102533</v>
      </c>
      <c r="FX212" s="1111">
        <f t="shared" si="236"/>
        <v>0.22328437261219899</v>
      </c>
      <c r="FY212" s="1111">
        <f t="shared" si="237"/>
        <v>0.22342028408578701</v>
      </c>
      <c r="FZ212" s="1111">
        <f t="shared" si="238"/>
        <v>0.22346164064811899</v>
      </c>
      <c r="GA212" s="1111">
        <f t="shared" si="239"/>
        <v>0.22347689751407299</v>
      </c>
      <c r="GB212" s="1111">
        <f t="shared" si="240"/>
        <v>0.22347689751407299</v>
      </c>
      <c r="GC212" s="1111">
        <f t="shared" si="279"/>
        <v>3.3085277901506199E-2</v>
      </c>
      <c r="GD212" s="1111">
        <f t="shared" si="280"/>
        <v>3.3085277901506199E-2</v>
      </c>
      <c r="GE212" s="1111">
        <f t="shared" si="281"/>
        <v>2.8088278695018499E-2</v>
      </c>
      <c r="GF212" s="1111">
        <f t="shared" si="282"/>
        <v>3.5249470703337199E-2</v>
      </c>
      <c r="GG212" s="1111">
        <f t="shared" si="283"/>
        <v>3.5278230321982601E-2</v>
      </c>
      <c r="GH212" s="1111">
        <f t="shared" si="284"/>
        <v>3.5607078221125799E-2</v>
      </c>
      <c r="GI212" s="1111">
        <f t="shared" si="285"/>
        <v>3.5823183054303799E-2</v>
      </c>
      <c r="GJ212" s="1111">
        <f t="shared" si="286"/>
        <v>3.5938864982074499E-2</v>
      </c>
      <c r="GK212" s="1111">
        <f t="shared" si="287"/>
        <v>3.5974176634088799E-2</v>
      </c>
      <c r="GL212" s="1111">
        <f t="shared" si="288"/>
        <v>3.59876115686096E-2</v>
      </c>
      <c r="GM212" s="1111">
        <f t="shared" si="289"/>
        <v>3.59876115686096E-2</v>
      </c>
    </row>
    <row r="213" spans="1:195" x14ac:dyDescent="0.2">
      <c r="A213" s="1071" t="s">
        <v>186</v>
      </c>
      <c r="B213" s="1071" t="str">
        <f>Technologies!C129</f>
        <v>TMCNGC</v>
      </c>
      <c r="C213" s="1071" t="str">
        <f>Technologies!D129</f>
        <v>Medium Duty Truck, Conventional CNG</v>
      </c>
      <c r="D213" s="1071" t="str">
        <f>NewTech!D80</f>
        <v>bn-vmt, bn-vmt/a</v>
      </c>
      <c r="E213" s="1071" t="str">
        <f>NewTech!E81</f>
        <v>TMCNG</v>
      </c>
      <c r="F213" s="1071" t="str">
        <f>NewTech!F82</f>
        <v>TM</v>
      </c>
      <c r="G213" s="1110" t="s">
        <v>503</v>
      </c>
      <c r="H213" s="1110" t="s">
        <v>500</v>
      </c>
      <c r="I213" s="1112">
        <v>1</v>
      </c>
      <c r="J213" s="1111" t="str">
        <f t="shared" si="302"/>
        <v>Medium duty-GSL</v>
      </c>
      <c r="K213" s="1111">
        <f>SUMIFS(NewEmisData!E:E, NewEmisData!$A:$A, $G213, NewEmisData!$B:$B, $A213, NewEmisData!$C:$C, $H213, NewEmisData!$D:$D, K$6)</f>
        <v>1571.23838726393</v>
      </c>
      <c r="L213" s="1111">
        <f>SUMIFS(NewEmisData!F:F, NewEmisData!$A:$A, $G213, NewEmisData!$B:$B, $A213, NewEmisData!$C:$C, $H213, NewEmisData!$D:$D, L$6)</f>
        <v>1575.29652368133</v>
      </c>
      <c r="M213" s="1111">
        <f>SUMIFS(NewEmisData!G:G, NewEmisData!$A:$A, $G213, NewEmisData!$B:$B, $A213, NewEmisData!$C:$C, $H213, NewEmisData!$D:$D, M$6)</f>
        <v>1620.65726903051</v>
      </c>
      <c r="N213" s="1111">
        <f>SUMIFS(NewEmisData!H:H, NewEmisData!$A:$A, $G213, NewEmisData!$B:$B, $A213, NewEmisData!$C:$C, $H213, NewEmisData!$D:$D, N$6)</f>
        <v>1591.3958126743701</v>
      </c>
      <c r="O213" s="1111">
        <f>SUMIFS(NewEmisData!I:I, NewEmisData!$A:$A, $G213, NewEmisData!$B:$B, $A213, NewEmisData!$C:$C, $H213, NewEmisData!$D:$D, O$6)</f>
        <v>1568.18391586794</v>
      </c>
      <c r="P213" s="1111">
        <f>SUMIFS(NewEmisData!J:J, NewEmisData!$A:$A, $G213, NewEmisData!$B:$B, $A213, NewEmisData!$C:$C, $H213, NewEmisData!$D:$D, P$6)</f>
        <v>1562.10113018675</v>
      </c>
      <c r="Q213" s="1111">
        <f>SUMIFS(NewEmisData!K:K, NewEmisData!$A:$A, $G213, NewEmisData!$B:$B, $A213, NewEmisData!$C:$C, $H213, NewEmisData!$D:$D, Q$6)</f>
        <v>1560.4729957351501</v>
      </c>
      <c r="R213" s="1111">
        <f>SUMIFS(NewEmisData!L:L, NewEmisData!$A:$A, $G213, NewEmisData!$B:$B, $A213, NewEmisData!$C:$C, $H213, NewEmisData!$D:$D, R$6)</f>
        <v>1560.1538107035101</v>
      </c>
      <c r="S213" s="1111">
        <f>SUMIFS(NewEmisData!M:M, NewEmisData!$A:$A, $G213, NewEmisData!$B:$B, $A213, NewEmisData!$C:$C, $H213, NewEmisData!$D:$D, S$6)</f>
        <v>1560.07677043992</v>
      </c>
      <c r="T213" s="1111">
        <f t="shared" si="290"/>
        <v>1560.07677043992</v>
      </c>
      <c r="U213" s="1111">
        <f>SUMIFS(NewEmisData!E:E, NewEmisData!$A:$A, $G213, NewEmisData!$B:$B, $A213, NewEmisData!$C:$C, $H213, NewEmisData!$D:$D, U$6)</f>
        <v>4.4339350215429896</v>
      </c>
      <c r="V213" s="1111">
        <f>SUMIFS(NewEmisData!F:F, NewEmisData!$A:$A, $G213, NewEmisData!$B:$B, $A213, NewEmisData!$C:$C, $H213, NewEmisData!$D:$D, V$6)</f>
        <v>3.9615409236254</v>
      </c>
      <c r="W213" s="1111">
        <f>SUMIFS(NewEmisData!G:G, NewEmisData!$A:$A, $G213, NewEmisData!$B:$B, $A213, NewEmisData!$C:$C, $H213, NewEmisData!$D:$D, W$6)</f>
        <v>1.33028401660566</v>
      </c>
      <c r="X213" s="1111">
        <f>SUMIFS(NewEmisData!H:H, NewEmisData!$A:$A, $G213, NewEmisData!$B:$B, $A213, NewEmisData!$C:$C, $H213, NewEmisData!$D:$D, X$6)</f>
        <v>0.96801463367483198</v>
      </c>
      <c r="Y213" s="1111">
        <f>SUMIFS(NewEmisData!I:I, NewEmisData!$A:$A, $G213, NewEmisData!$B:$B, $A213, NewEmisData!$C:$C, $H213, NewEmisData!$D:$D, Y$6)</f>
        <v>0.810835029277582</v>
      </c>
      <c r="Z213" s="1111">
        <f>SUMIFS(NewEmisData!J:J, NewEmisData!$A:$A, $G213, NewEmisData!$B:$B, $A213, NewEmisData!$C:$C, $H213, NewEmisData!$D:$D, Z$6)</f>
        <v>0.73984590086297597</v>
      </c>
      <c r="AA213" s="1111">
        <f>SUMIFS(NewEmisData!K:K, NewEmisData!$A:$A, $G213, NewEmisData!$B:$B, $A213, NewEmisData!$C:$C, $H213, NewEmisData!$D:$D, AA$6)</f>
        <v>0.71912537608469196</v>
      </c>
      <c r="AB213" s="1111">
        <f>SUMIFS(NewEmisData!L:L, NewEmisData!$A:$A, $G213, NewEmisData!$B:$B, $A213, NewEmisData!$C:$C, $H213, NewEmisData!$D:$D, AB$6)</f>
        <v>0.71458926415217605</v>
      </c>
      <c r="AC213" s="1111">
        <f>SUMIFS(NewEmisData!M:M, NewEmisData!$A:$A, $G213, NewEmisData!$B:$B, $A213, NewEmisData!$C:$C, $H213, NewEmisData!$D:$D, AC$6)</f>
        <v>0.71327232452186995</v>
      </c>
      <c r="AD213" s="1111">
        <f t="shared" si="229"/>
        <v>0.71327232452186995</v>
      </c>
      <c r="AE213" s="1111">
        <f t="shared" si="303"/>
        <v>2.71879476544729E-2</v>
      </c>
      <c r="AF213" s="1111">
        <f>SUMIFS(NewEmisData!E:E, NewEmisData!$A:$A, $G213, NewEmisData!$B:$B, $A213, NewEmisData!$C:$C, $H213, NewEmisData!$D:$D, AF$6)</f>
        <v>2.71879476544729E-2</v>
      </c>
      <c r="AG213" s="1111">
        <f>SUMIFS(NewEmisData!F:F, NewEmisData!$A:$A, $G213, NewEmisData!$B:$B, $A213, NewEmisData!$C:$C, $H213, NewEmisData!$D:$D, AG$6)</f>
        <v>2.72581702920257E-2</v>
      </c>
      <c r="AH213" s="1111">
        <f>SUMIFS(NewEmisData!G:G, NewEmisData!$A:$A, $G213, NewEmisData!$B:$B, $A213, NewEmisData!$C:$C, $H213, NewEmisData!$D:$D, AH$6)</f>
        <v>2.32491676049662E-2</v>
      </c>
      <c r="AI213" s="1111">
        <f>SUMIFS(NewEmisData!H:H, NewEmisData!$A:$A, $G213, NewEmisData!$B:$B, $A213, NewEmisData!$C:$C, $H213, NewEmisData!$D:$D, AI$6)</f>
        <v>2.28294094185802E-2</v>
      </c>
      <c r="AJ213" s="1111">
        <f>SUMIFS(NewEmisData!I:I, NewEmisData!$A:$A, $G213, NewEmisData!$B:$B, $A213, NewEmisData!$C:$C, $H213, NewEmisData!$D:$D, AJ$6)</f>
        <v>2.2496411359683499E-2</v>
      </c>
      <c r="AK213" s="1111">
        <f>SUMIFS(NewEmisData!J:J, NewEmisData!$A:$A, $G213, NewEmisData!$B:$B, $A213, NewEmisData!$C:$C, $H213, NewEmisData!$D:$D, AK$6)</f>
        <v>2.24091575903414E-2</v>
      </c>
      <c r="AL213" s="1111">
        <f>SUMIFS(NewEmisData!K:K, NewEmisData!$A:$A, $G213, NewEmisData!$B:$B, $A213, NewEmisData!$C:$C, $H213, NewEmisData!$D:$D, AL$6)</f>
        <v>2.2385789717233699E-2</v>
      </c>
      <c r="AM213" s="1111">
        <f>SUMIFS(NewEmisData!L:L, NewEmisData!$A:$A, $G213, NewEmisData!$B:$B, $A213, NewEmisData!$C:$C, $H213, NewEmisData!$D:$D, AM$6)</f>
        <v>2.23812039581394E-2</v>
      </c>
      <c r="AN213" s="1111">
        <f>SUMIFS(NewEmisData!M:M, NewEmisData!$A:$A, $G213, NewEmisData!$B:$B, $A213, NewEmisData!$C:$C, $H213, NewEmisData!$D:$D, AN$6)</f>
        <v>2.2380112251842499E-2</v>
      </c>
      <c r="AO213" s="1111">
        <f t="shared" si="304"/>
        <v>2.2380112251842499E-2</v>
      </c>
      <c r="AP213" s="1111">
        <f t="shared" si="305"/>
        <v>0.29570181024604603</v>
      </c>
      <c r="AQ213" s="1111">
        <f>SUMIFS(NewEmisData!E:E, NewEmisData!$A:$A, $G213, NewEmisData!$B:$B, $A213, NewEmisData!$C:$C, $H213, NewEmisData!$D:$D, AQ$6)</f>
        <v>0.29570181024604603</v>
      </c>
      <c r="AR213" s="1111">
        <f>SUMIFS(NewEmisData!F:F, NewEmisData!$A:$A, $G213, NewEmisData!$B:$B, $A213, NewEmisData!$C:$C, $H213, NewEmisData!$D:$D, AR$6)</f>
        <v>0.31347002724777001</v>
      </c>
      <c r="AS213" s="1111">
        <f>SUMIFS(NewEmisData!G:G, NewEmisData!$A:$A, $G213, NewEmisData!$B:$B, $A213, NewEmisData!$C:$C, $H213, NewEmisData!$D:$D, AS$6)</f>
        <v>0.29348248729715698</v>
      </c>
      <c r="AT213" s="1111">
        <f>SUMIFS(NewEmisData!H:H, NewEmisData!$A:$A, $G213, NewEmisData!$B:$B, $A213, NewEmisData!$C:$C, $H213, NewEmisData!$D:$D, AT$6)</f>
        <v>0.29400895980241698</v>
      </c>
      <c r="AU213" s="1111">
        <f>SUMIFS(NewEmisData!I:I, NewEmisData!$A:$A, $G213, NewEmisData!$B:$B, $A213, NewEmisData!$C:$C, $H213, NewEmisData!$D:$D, AU$6)</f>
        <v>0.29451767447034</v>
      </c>
      <c r="AV213" s="1111">
        <f>SUMIFS(NewEmisData!J:J, NewEmisData!$A:$A, $G213, NewEmisData!$B:$B, $A213, NewEmisData!$C:$C, $H213, NewEmisData!$D:$D, AV$6)</f>
        <v>0.29481614241324999</v>
      </c>
      <c r="AW213" s="1111">
        <f>SUMIFS(NewEmisData!K:K, NewEmisData!$A:$A, $G213, NewEmisData!$B:$B, $A213, NewEmisData!$C:$C, $H213, NewEmisData!$D:$D, AW$6)</f>
        <v>0.29496671929746798</v>
      </c>
      <c r="AX213" s="1111">
        <f>SUMIFS(NewEmisData!L:L, NewEmisData!$A:$A, $G213, NewEmisData!$B:$B, $A213, NewEmisData!$C:$C, $H213, NewEmisData!$D:$D, AX$6)</f>
        <v>0.29501247169592298</v>
      </c>
      <c r="AY213" s="1111">
        <f>SUMIFS(NewEmisData!M:M, NewEmisData!$A:$A, $G213, NewEmisData!$B:$B, $A213, NewEmisData!$C:$C, $H213, NewEmisData!$D:$D, AY$6)</f>
        <v>0.29502934324841701</v>
      </c>
      <c r="AZ213" s="1111">
        <f t="shared" si="306"/>
        <v>0.29502934324841701</v>
      </c>
      <c r="BA213" s="1111">
        <f t="shared" si="307"/>
        <v>5.6205629802393201E-2</v>
      </c>
      <c r="BB213" s="1111">
        <f>SUMIFS(NewEmisData!E:E, NewEmisData!$A:$A, $G213, NewEmisData!$B:$B, $A213, NewEmisData!$C:$C, $H213, NewEmisData!$D:$D, BB$6)</f>
        <v>5.6205629802393201E-2</v>
      </c>
      <c r="BC213" s="1111">
        <f>SUMIFS(NewEmisData!F:F, NewEmisData!$A:$A, $G213, NewEmisData!$B:$B, $A213, NewEmisData!$C:$C, $H213, NewEmisData!$D:$D, BC$6)</f>
        <v>7.2194764578646903E-2</v>
      </c>
      <c r="BD213" s="1111">
        <f>SUMIFS(NewEmisData!G:G, NewEmisData!$A:$A, $G213, NewEmisData!$B:$B, $A213, NewEmisData!$C:$C, $H213, NewEmisData!$D:$D, BD$6)</f>
        <v>4.48839101088091E-2</v>
      </c>
      <c r="BE213" s="1111">
        <f>SUMIFS(NewEmisData!H:H, NewEmisData!$A:$A, $G213, NewEmisData!$B:$B, $A213, NewEmisData!$C:$C, $H213, NewEmisData!$D:$D, BE$6)</f>
        <v>4.4911356100480797E-2</v>
      </c>
      <c r="BF213" s="1111">
        <f>SUMIFS(NewEmisData!I:I, NewEmisData!$A:$A, $G213, NewEmisData!$B:$B, $A213, NewEmisData!$C:$C, $H213, NewEmisData!$D:$D, BF$6)</f>
        <v>4.52709454211217E-2</v>
      </c>
      <c r="BG213" s="1111">
        <f>SUMIFS(NewEmisData!J:J, NewEmisData!$A:$A, $G213, NewEmisData!$B:$B, $A213, NewEmisData!$C:$C, $H213, NewEmisData!$D:$D, BG$6)</f>
        <v>4.5510230108050102E-2</v>
      </c>
      <c r="BH213" s="1111">
        <f>SUMIFS(NewEmisData!K:K, NewEmisData!$A:$A, $G213, NewEmisData!$B:$B, $A213, NewEmisData!$C:$C, $H213, NewEmisData!$D:$D, BH$6)</f>
        <v>4.5637724556064498E-2</v>
      </c>
      <c r="BI213" s="1111">
        <f>SUMIFS(NewEmisData!L:L, NewEmisData!$A:$A, $G213, NewEmisData!$B:$B, $A213, NewEmisData!$C:$C, $H213, NewEmisData!$D:$D, BI$6)</f>
        <v>4.56765897746194E-2</v>
      </c>
      <c r="BJ213" s="1111">
        <f>SUMIFS(NewEmisData!M:M, NewEmisData!$A:$A, $G213, NewEmisData!$B:$B, $A213, NewEmisData!$C:$C, $H213, NewEmisData!$D:$D, BJ$6)</f>
        <v>4.5691464860186798E-2</v>
      </c>
      <c r="BK213" s="1111">
        <f t="shared" si="308"/>
        <v>4.5691464860186798E-2</v>
      </c>
      <c r="BL213" s="1111">
        <f t="shared" si="309"/>
        <v>36.177292371673602</v>
      </c>
      <c r="BM213" s="1111">
        <f>SUMIFS(NewEmisData!E:E, NewEmisData!$A:$A, $G213, NewEmisData!$B:$B, $A213, NewEmisData!$C:$C, $H213, NewEmisData!$D:$D, BM$6)</f>
        <v>36.177292371673602</v>
      </c>
      <c r="BN213" s="1111">
        <f>SUMIFS(NewEmisData!F:F, NewEmisData!$A:$A, $G213, NewEmisData!$B:$B, $A213, NewEmisData!$C:$C, $H213, NewEmisData!$D:$D, BN$6)</f>
        <v>37.664857731196101</v>
      </c>
      <c r="BO213" s="1111">
        <f>SUMIFS(NewEmisData!G:G, NewEmisData!$A:$A, $G213, NewEmisData!$B:$B, $A213, NewEmisData!$C:$C, $H213, NewEmisData!$D:$D, BO$6)</f>
        <v>13.345526144115</v>
      </c>
      <c r="BP213" s="1111">
        <f>SUMIFS(NewEmisData!H:H, NewEmisData!$A:$A, $G213, NewEmisData!$B:$B, $A213, NewEmisData!$C:$C, $H213, NewEmisData!$D:$D, BP$6)</f>
        <v>11.2726393432321</v>
      </c>
      <c r="BQ213" s="1111">
        <f>SUMIFS(NewEmisData!I:I, NewEmisData!$A:$A, $G213, NewEmisData!$B:$B, $A213, NewEmisData!$C:$C, $H213, NewEmisData!$D:$D, BQ$6)</f>
        <v>10.6231110988618</v>
      </c>
      <c r="BR213" s="1111">
        <f>SUMIFS(NewEmisData!J:J, NewEmisData!$A:$A, $G213, NewEmisData!$B:$B, $A213, NewEmisData!$C:$C, $H213, NewEmisData!$D:$D, BR$6)</f>
        <v>10.435587854097999</v>
      </c>
      <c r="BS213" s="1111">
        <f>SUMIFS(NewEmisData!K:K, NewEmisData!$A:$A, $G213, NewEmisData!$B:$B, $A213, NewEmisData!$C:$C, $H213, NewEmisData!$D:$D, BS$6)</f>
        <v>10.465169362167</v>
      </c>
      <c r="BT213" s="1111">
        <f>SUMIFS(NewEmisData!L:L, NewEmisData!$A:$A, $G213, NewEmisData!$B:$B, $A213, NewEmisData!$C:$C, $H213, NewEmisData!$D:$D, BT$6)</f>
        <v>10.5025719676633</v>
      </c>
      <c r="BU213" s="1111">
        <f>SUMIFS(NewEmisData!M:M, NewEmisData!$A:$A, $G213, NewEmisData!$B:$B, $A213, NewEmisData!$C:$C, $H213, NewEmisData!$D:$D, BU$6)</f>
        <v>10.526416150576599</v>
      </c>
      <c r="BV213" s="1111">
        <f t="shared" si="310"/>
        <v>10.526416150576599</v>
      </c>
      <c r="BW213" s="1111">
        <f t="shared" si="311"/>
        <v>2.2547746276717899</v>
      </c>
      <c r="BX213" s="1111">
        <f>SUMIFS(NewEmisData!E:E, NewEmisData!$A:$A, $G213, NewEmisData!$B:$B, $A213, NewEmisData!$C:$C, $H213, NewEmisData!$D:$D, BX$6)</f>
        <v>2.2547746276717899</v>
      </c>
      <c r="BY213" s="1111">
        <f>SUMIFS(NewEmisData!F:F, NewEmisData!$A:$A, $G213, NewEmisData!$B:$B, $A213, NewEmisData!$C:$C, $H213, NewEmisData!$D:$D, BY$6)</f>
        <v>2.8652548693587798</v>
      </c>
      <c r="BZ213" s="1111">
        <f>SUMIFS(NewEmisData!G:G, NewEmisData!$A:$A, $G213, NewEmisData!$B:$B, $A213, NewEmisData!$C:$C, $H213, NewEmisData!$D:$D, BZ$6)</f>
        <v>0.66453606773915896</v>
      </c>
      <c r="CA213" s="1111">
        <f>SUMIFS(NewEmisData!H:H, NewEmisData!$A:$A, $G213, NewEmisData!$B:$B, $A213, NewEmisData!$C:$C, $H213, NewEmisData!$D:$D, CA$6)</f>
        <v>0.52696134881096601</v>
      </c>
      <c r="CB213" s="1111">
        <f>SUMIFS(NewEmisData!I:I, NewEmisData!$A:$A, $G213, NewEmisData!$B:$B, $A213, NewEmisData!$C:$C, $H213, NewEmisData!$D:$D, CB$6)</f>
        <v>0.475085091842188</v>
      </c>
      <c r="CC213" s="1111">
        <f>SUMIFS(NewEmisData!J:J, NewEmisData!$A:$A, $G213, NewEmisData!$B:$B, $A213, NewEmisData!$C:$C, $H213, NewEmisData!$D:$D, CC$6)</f>
        <v>0.45399199428257297</v>
      </c>
      <c r="CD213" s="1111">
        <f>SUMIFS(NewEmisData!K:K, NewEmisData!$A:$A, $G213, NewEmisData!$B:$B, $A213, NewEmisData!$C:$C, $H213, NewEmisData!$D:$D, CD$6)</f>
        <v>0.45084584233142999</v>
      </c>
      <c r="CE213" s="1111">
        <f>SUMIFS(NewEmisData!L:L, NewEmisData!$A:$A, $G213, NewEmisData!$B:$B, $A213, NewEmisData!$C:$C, $H213, NewEmisData!$D:$D, CE$6)</f>
        <v>0.450741469309828</v>
      </c>
      <c r="CF213" s="1111">
        <f>SUMIFS(NewEmisData!M:M, NewEmisData!$A:$A, $G213, NewEmisData!$B:$B, $A213, NewEmisData!$C:$C, $H213, NewEmisData!$D:$D, CF$6)</f>
        <v>0.45074449890965201</v>
      </c>
      <c r="CG213" s="1111">
        <f t="shared" si="312"/>
        <v>0.45074449890965201</v>
      </c>
      <c r="CH213" s="1111">
        <f t="shared" si="313"/>
        <v>5.7867400606941198E-2</v>
      </c>
      <c r="CI213" s="1111">
        <f>SUMIFS(NewEmisData!E:E, NewEmisData!$A:$A, $G213, NewEmisData!$B:$B, $A213, NewEmisData!$C:$C, $H213, NewEmisData!$D:$D, CI$6)</f>
        <v>5.7867400606941198E-2</v>
      </c>
      <c r="CJ213" s="1111">
        <f>SUMIFS(NewEmisData!F:F, NewEmisData!$A:$A, $G213, NewEmisData!$B:$B, $A213, NewEmisData!$C:$C, $H213, NewEmisData!$D:$D, CJ$6)</f>
        <v>5.7868748340902797E-2</v>
      </c>
      <c r="CK213" s="1111">
        <f>SUMIFS(NewEmisData!G:G, NewEmisData!$A:$A, $G213, NewEmisData!$B:$B, $A213, NewEmisData!$C:$C, $H213, NewEmisData!$D:$D, CK$6)</f>
        <v>6.6009929070185699E-2</v>
      </c>
      <c r="CL213" s="1111">
        <f>SUMIFS(NewEmisData!H:H, NewEmisData!$A:$A, $G213, NewEmisData!$B:$B, $A213, NewEmisData!$C:$C, $H213, NewEmisData!$D:$D, CL$6)</f>
        <v>6.6010246689438001E-2</v>
      </c>
      <c r="CM213" s="1111">
        <f>SUMIFS(NewEmisData!I:I, NewEmisData!$A:$A, $G213, NewEmisData!$B:$B, $A213, NewEmisData!$C:$C, $H213, NewEmisData!$D:$D, CM$6)</f>
        <v>6.6010539794431194E-2</v>
      </c>
      <c r="CN213" s="1111">
        <f>SUMIFS(NewEmisData!J:J, NewEmisData!$A:$A, $G213, NewEmisData!$B:$B, $A213, NewEmisData!$C:$C, $H213, NewEmisData!$D:$D, CN$6)</f>
        <v>6.6010651142724794E-2</v>
      </c>
      <c r="CO213" s="1111">
        <f>SUMIFS(NewEmisData!K:K, NewEmisData!$A:$A, $G213, NewEmisData!$B:$B, $A213, NewEmisData!$C:$C, $H213, NewEmisData!$D:$D, CO$6)</f>
        <v>6.60106383420173E-2</v>
      </c>
      <c r="CP213" s="1111">
        <f>SUMIFS(NewEmisData!L:L, NewEmisData!$A:$A, $G213, NewEmisData!$B:$B, $A213, NewEmisData!$C:$C, $H213, NewEmisData!$D:$D, CP$6)</f>
        <v>6.6010618394000603E-2</v>
      </c>
      <c r="CQ213" s="1111">
        <f>SUMIFS(NewEmisData!M:M, NewEmisData!$A:$A, $G213, NewEmisData!$B:$B, $A213, NewEmisData!$C:$C, $H213, NewEmisData!$D:$D, CQ$6)</f>
        <v>6.6010633444598496E-2</v>
      </c>
      <c r="CR213" s="1111">
        <f t="shared" si="314"/>
        <v>6.6010633444598496E-2</v>
      </c>
      <c r="CS213" s="1111">
        <f t="shared" si="315"/>
        <v>7.2164995475767907E-2</v>
      </c>
      <c r="CT213" s="1111">
        <f>SUMIFS(NewEmisData!E:E, NewEmisData!$A:$A, $G213, NewEmisData!$B:$B, $A213, NewEmisData!$C:$C, $H213, NewEmisData!$D:$D, CT$6)</f>
        <v>7.2164995475767907E-2</v>
      </c>
      <c r="CU213" s="1111">
        <f>SUMIFS(NewEmisData!F:F, NewEmisData!$A:$A, $G213, NewEmisData!$B:$B, $A213, NewEmisData!$C:$C, $H213, NewEmisData!$D:$D, CU$6)</f>
        <v>6.4879251441518196E-2</v>
      </c>
      <c r="CV213" s="1111">
        <f>SUMIFS(NewEmisData!G:G, NewEmisData!$A:$A, $G213, NewEmisData!$B:$B, $A213, NewEmisData!$C:$C, $H213, NewEmisData!$D:$D, CV$6)</f>
        <v>2.6568003004939798E-2</v>
      </c>
      <c r="CW213" s="1111">
        <f>SUMIFS(NewEmisData!H:H, NewEmisData!$A:$A, $G213, NewEmisData!$B:$B, $A213, NewEmisData!$C:$C, $H213, NewEmisData!$D:$D, CW$6)</f>
        <v>1.84437934507856E-2</v>
      </c>
      <c r="CX213" s="1111">
        <f>SUMIFS(NewEmisData!I:I, NewEmisData!$A:$A, $G213, NewEmisData!$B:$B, $A213, NewEmisData!$C:$C, $H213, NewEmisData!$D:$D, CX$6)</f>
        <v>1.6327699656927399E-2</v>
      </c>
      <c r="CY213" s="1111">
        <f>SUMIFS(NewEmisData!J:J, NewEmisData!$A:$A, $G213, NewEmisData!$B:$B, $A213, NewEmisData!$C:$C, $H213, NewEmisData!$D:$D, CY$6)</f>
        <v>1.5748807787192998E-2</v>
      </c>
      <c r="CZ213" s="1111">
        <f>SUMIFS(NewEmisData!K:K, NewEmisData!$A:$A, $G213, NewEmisData!$B:$B, $A213, NewEmisData!$C:$C, $H213, NewEmisData!$D:$D, CZ$6)</f>
        <v>1.5674972697843501E-2</v>
      </c>
      <c r="DA213" s="1111">
        <f>SUMIFS(NewEmisData!L:L, NewEmisData!$A:$A, $G213, NewEmisData!$B:$B, $A213, NewEmisData!$C:$C, $H213, NewEmisData!$D:$D, DA$6)</f>
        <v>1.56348406818691E-2</v>
      </c>
      <c r="DB213" s="1111">
        <f>SUMIFS(NewEmisData!M:M, NewEmisData!$A:$A, $G213, NewEmisData!$B:$B, $A213, NewEmisData!$C:$C, $H213, NewEmisData!$D:$D, DB$6)</f>
        <v>1.5654725632317699E-2</v>
      </c>
      <c r="DC213" s="1111">
        <f t="shared" si="316"/>
        <v>1.5654725632317699E-2</v>
      </c>
      <c r="DD213" s="1111"/>
      <c r="DE213" s="1111"/>
      <c r="DF213" s="1111"/>
      <c r="DG213" s="1111"/>
      <c r="DH213" s="1111"/>
      <c r="DI213" s="1111"/>
      <c r="DJ213" s="1111"/>
      <c r="DK213" s="1111"/>
      <c r="DL213" s="1111"/>
      <c r="DM213" s="1111"/>
      <c r="DN213" s="1111"/>
      <c r="DO213" s="1111"/>
      <c r="DP213" s="1111"/>
      <c r="DQ213" s="1111"/>
      <c r="DR213" s="1111"/>
      <c r="DS213" s="1111"/>
      <c r="DT213" s="1111"/>
      <c r="DU213" s="1111"/>
      <c r="DV213" s="1111"/>
      <c r="DW213" s="1111"/>
      <c r="DX213" s="1111"/>
      <c r="DY213" s="1111"/>
      <c r="DZ213" s="1111">
        <f t="shared" si="317"/>
        <v>7.65679998253877E-2</v>
      </c>
      <c r="EA213" s="1111">
        <f>SUMIFS(NewEmisData!E:E, NewEmisData!$A:$A, $G213, NewEmisData!$B:$B, $A213, NewEmisData!$C:$C, $H213, NewEmisData!$D:$D, EA$6)</f>
        <v>7.65679998253877E-2</v>
      </c>
      <c r="EB213" s="1111">
        <f>SUMIFS(NewEmisData!F:F, NewEmisData!$A:$A, $G213, NewEmisData!$B:$B, $A213, NewEmisData!$C:$C, $H213, NewEmisData!$D:$D, EB$6)</f>
        <v>0.109010255412455</v>
      </c>
      <c r="EC213" s="1111">
        <f>SUMIFS(NewEmisData!G:G, NewEmisData!$A:$A, $G213, NewEmisData!$B:$B, $A213, NewEmisData!$C:$C, $H213, NewEmisData!$D:$D, EC$6)</f>
        <v>1.54277976093114E-2</v>
      </c>
      <c r="ED213" s="1111">
        <f>SUMIFS(NewEmisData!H:H, NewEmisData!$A:$A, $G213, NewEmisData!$B:$B, $A213, NewEmisData!$C:$C, $H213, NewEmisData!$D:$D, ED$6)</f>
        <v>1.2984971623169601E-2</v>
      </c>
      <c r="EE213" s="1111">
        <f>SUMIFS(NewEmisData!I:I, NewEmisData!$A:$A, $G213, NewEmisData!$B:$B, $A213, NewEmisData!$C:$C, $H213, NewEmisData!$D:$D, EE$6)</f>
        <v>1.22605780123332E-2</v>
      </c>
      <c r="EF213" s="1111">
        <f>SUMIFS(NewEmisData!J:J, NewEmisData!$A:$A, $G213, NewEmisData!$B:$B, $A213, NewEmisData!$C:$C, $H213, NewEmisData!$D:$D, EF$6)</f>
        <v>1.20992421043245E-2</v>
      </c>
      <c r="EG213" s="1111">
        <f>SUMIFS(NewEmisData!K:K, NewEmisData!$A:$A, $G213, NewEmisData!$B:$B, $A213, NewEmisData!$C:$C, $H213, NewEmisData!$D:$D, EG$6)</f>
        <v>1.2123397445436401E-2</v>
      </c>
      <c r="EH213" s="1111">
        <f>SUMIFS(NewEmisData!L:L, NewEmisData!$A:$A, $G213, NewEmisData!$B:$B, $A213, NewEmisData!$C:$C, $H213, NewEmisData!$D:$D, EH$6)</f>
        <v>1.2132958592882499E-2</v>
      </c>
      <c r="EI213" s="1111">
        <f>SUMIFS(NewEmisData!M:M, NewEmisData!$A:$A, $G213, NewEmisData!$B:$B, $A213, NewEmisData!$C:$C, $H213, NewEmisData!$D:$D, EI$6)</f>
        <v>1.21315180972552E-2</v>
      </c>
      <c r="EJ213" s="1111">
        <f t="shared" si="318"/>
        <v>1.21315180972552E-2</v>
      </c>
      <c r="EK213" s="1111">
        <f t="shared" si="319"/>
        <v>1571.23838726393</v>
      </c>
      <c r="EL213" s="1111">
        <f t="shared" si="269"/>
        <v>1571.23838726393</v>
      </c>
      <c r="EM213" s="1111">
        <f t="shared" si="270"/>
        <v>1575.29652368133</v>
      </c>
      <c r="EN213" s="1111">
        <f t="shared" si="271"/>
        <v>1620.65726903051</v>
      </c>
      <c r="EO213" s="1111">
        <f t="shared" si="272"/>
        <v>1591.3958126743701</v>
      </c>
      <c r="EP213" s="1111">
        <f t="shared" si="273"/>
        <v>1568.18391586794</v>
      </c>
      <c r="EQ213" s="1111">
        <f t="shared" si="274"/>
        <v>1562.10113018675</v>
      </c>
      <c r="ER213" s="1111">
        <f t="shared" si="275"/>
        <v>1560.4729957351501</v>
      </c>
      <c r="ES213" s="1111">
        <f t="shared" si="276"/>
        <v>1560.1538107035101</v>
      </c>
      <c r="ET213" s="1111">
        <f t="shared" si="277"/>
        <v>1560.07677043992</v>
      </c>
      <c r="EU213" s="1111">
        <f t="shared" si="278"/>
        <v>1560.07677043992</v>
      </c>
      <c r="EV213" s="1111">
        <f t="shared" si="320"/>
        <v>4.4339350215429896</v>
      </c>
      <c r="EW213" s="1111">
        <f t="shared" si="259"/>
        <v>4.4339350215429896</v>
      </c>
      <c r="EX213" s="1111">
        <f t="shared" si="260"/>
        <v>3.9615409236254</v>
      </c>
      <c r="EY213" s="1111">
        <f t="shared" si="261"/>
        <v>1.33028401660566</v>
      </c>
      <c r="EZ213" s="1111">
        <f t="shared" si="262"/>
        <v>0.96801463367483198</v>
      </c>
      <c r="FA213" s="1111">
        <f t="shared" si="263"/>
        <v>0.810835029277582</v>
      </c>
      <c r="FB213" s="1111">
        <f t="shared" si="264"/>
        <v>0.73984590086297597</v>
      </c>
      <c r="FC213" s="1111">
        <f t="shared" si="265"/>
        <v>0.71912537608469196</v>
      </c>
      <c r="FD213" s="1111">
        <f t="shared" si="266"/>
        <v>0.71458926415217605</v>
      </c>
      <c r="FE213" s="1111">
        <f t="shared" si="267"/>
        <v>0.71327232452186995</v>
      </c>
      <c r="FF213" s="1111">
        <f t="shared" si="268"/>
        <v>0.71327232452186995</v>
      </c>
      <c r="FG213" s="1111">
        <f t="shared" si="291"/>
        <v>2.71879476544729E-2</v>
      </c>
      <c r="FH213" s="1111">
        <f t="shared" si="292"/>
        <v>2.71879476544729E-2</v>
      </c>
      <c r="FI213" s="1111">
        <f t="shared" si="293"/>
        <v>2.72581702920257E-2</v>
      </c>
      <c r="FJ213" s="1111">
        <f t="shared" si="294"/>
        <v>2.32491676049662E-2</v>
      </c>
      <c r="FK213" s="1111">
        <f t="shared" si="295"/>
        <v>2.28294094185802E-2</v>
      </c>
      <c r="FL213" s="1111">
        <f t="shared" si="296"/>
        <v>2.2496411359683499E-2</v>
      </c>
      <c r="FM213" s="1111">
        <f t="shared" si="297"/>
        <v>2.24091575903414E-2</v>
      </c>
      <c r="FN213" s="1111">
        <f t="shared" si="298"/>
        <v>2.2385789717233699E-2</v>
      </c>
      <c r="FO213" s="1111">
        <f t="shared" si="299"/>
        <v>2.23812039581394E-2</v>
      </c>
      <c r="FP213" s="1111">
        <f t="shared" si="300"/>
        <v>2.2380112251842499E-2</v>
      </c>
      <c r="FQ213" s="1111">
        <f t="shared" si="301"/>
        <v>2.2380112251842499E-2</v>
      </c>
      <c r="FR213" s="1111">
        <f t="shared" si="230"/>
        <v>0.29570181024604603</v>
      </c>
      <c r="FS213" s="1111">
        <f t="shared" si="231"/>
        <v>0.29570181024604603</v>
      </c>
      <c r="FT213" s="1111">
        <f t="shared" si="232"/>
        <v>0.31347002724777001</v>
      </c>
      <c r="FU213" s="1111">
        <f t="shared" si="233"/>
        <v>0.29348248729715698</v>
      </c>
      <c r="FV213" s="1111">
        <f t="shared" si="234"/>
        <v>0.29400895980241698</v>
      </c>
      <c r="FW213" s="1111">
        <f t="shared" si="235"/>
        <v>0.29451767447034</v>
      </c>
      <c r="FX213" s="1111">
        <f t="shared" si="236"/>
        <v>0.29481614241324999</v>
      </c>
      <c r="FY213" s="1111">
        <f t="shared" si="237"/>
        <v>0.29496671929746798</v>
      </c>
      <c r="FZ213" s="1111">
        <f t="shared" si="238"/>
        <v>0.29501247169592298</v>
      </c>
      <c r="GA213" s="1111">
        <f t="shared" si="239"/>
        <v>0.29502934324841701</v>
      </c>
      <c r="GB213" s="1111">
        <f t="shared" si="240"/>
        <v>0.29502934324841701</v>
      </c>
      <c r="GC213" s="1111">
        <f t="shared" si="279"/>
        <v>5.6205629802393201E-2</v>
      </c>
      <c r="GD213" s="1111">
        <f t="shared" si="280"/>
        <v>5.6205629802393201E-2</v>
      </c>
      <c r="GE213" s="1111">
        <f t="shared" si="281"/>
        <v>7.2194764578646903E-2</v>
      </c>
      <c r="GF213" s="1111">
        <f t="shared" si="282"/>
        <v>4.48839101088091E-2</v>
      </c>
      <c r="GG213" s="1111">
        <f t="shared" si="283"/>
        <v>4.4911356100480797E-2</v>
      </c>
      <c r="GH213" s="1111">
        <f t="shared" si="284"/>
        <v>4.52709454211217E-2</v>
      </c>
      <c r="GI213" s="1111">
        <f t="shared" si="285"/>
        <v>4.5510230108050102E-2</v>
      </c>
      <c r="GJ213" s="1111">
        <f t="shared" si="286"/>
        <v>4.5637724556064498E-2</v>
      </c>
      <c r="GK213" s="1111">
        <f t="shared" si="287"/>
        <v>4.56765897746194E-2</v>
      </c>
      <c r="GL213" s="1111">
        <f t="shared" si="288"/>
        <v>4.5691464860186798E-2</v>
      </c>
      <c r="GM213" s="1111">
        <f t="shared" si="289"/>
        <v>4.5691464860186798E-2</v>
      </c>
    </row>
    <row r="214" spans="1:195" x14ac:dyDescent="0.2">
      <c r="A214" s="1071" t="s">
        <v>188</v>
      </c>
      <c r="B214" s="1071" t="str">
        <f>Technologies!C129</f>
        <v>TMCNGC</v>
      </c>
      <c r="C214" s="1071" t="str">
        <f>Technologies!D129</f>
        <v>Medium Duty Truck, Conventional CNG</v>
      </c>
      <c r="D214" s="1071" t="str">
        <f>NewTech!D80</f>
        <v>bn-vmt, bn-vmt/a</v>
      </c>
      <c r="E214" s="1071" t="str">
        <f>NewTech!E81</f>
        <v>TMCNG</v>
      </c>
      <c r="F214" s="1071" t="str">
        <f>NewTech!F82</f>
        <v>TM</v>
      </c>
      <c r="G214" s="1110" t="s">
        <v>503</v>
      </c>
      <c r="H214" s="1110" t="s">
        <v>500</v>
      </c>
      <c r="I214" s="1112">
        <v>1</v>
      </c>
      <c r="J214" s="1111" t="str">
        <f t="shared" si="302"/>
        <v>Medium duty-GSL</v>
      </c>
      <c r="K214" s="1111">
        <f>SUMIFS(NewEmisData!E:E, NewEmisData!$A:$A, $G214, NewEmisData!$B:$B, $A214, NewEmisData!$C:$C, $H214, NewEmisData!$D:$D, K$6)</f>
        <v>1295.14987573646</v>
      </c>
      <c r="L214" s="1111">
        <f>SUMIFS(NewEmisData!F:F, NewEmisData!$A:$A, $G214, NewEmisData!$B:$B, $A214, NewEmisData!$C:$C, $H214, NewEmisData!$D:$D, L$6)</f>
        <v>1270.8053069328</v>
      </c>
      <c r="M214" s="1111">
        <f>SUMIFS(NewEmisData!G:G, NewEmisData!$A:$A, $G214, NewEmisData!$B:$B, $A214, NewEmisData!$C:$C, $H214, NewEmisData!$D:$D, M$6)</f>
        <v>1116.9310844665499</v>
      </c>
      <c r="N214" s="1111">
        <f>SUMIFS(NewEmisData!H:H, NewEmisData!$A:$A, $G214, NewEmisData!$B:$B, $A214, NewEmisData!$C:$C, $H214, NewEmisData!$D:$D, N$6)</f>
        <v>1096.47271752758</v>
      </c>
      <c r="O214" s="1111">
        <f>SUMIFS(NewEmisData!I:I, NewEmisData!$A:$A, $G214, NewEmisData!$B:$B, $A214, NewEmisData!$C:$C, $H214, NewEmisData!$D:$D, O$6)</f>
        <v>1080.35797958793</v>
      </c>
      <c r="P214" s="1111">
        <f>SUMIFS(NewEmisData!J:J, NewEmisData!$A:$A, $G214, NewEmisData!$B:$B, $A214, NewEmisData!$C:$C, $H214, NewEmisData!$D:$D, P$6)</f>
        <v>1076.1283631843501</v>
      </c>
      <c r="Q214" s="1111">
        <f>SUMIFS(NewEmisData!K:K, NewEmisData!$A:$A, $G214, NewEmisData!$B:$B, $A214, NewEmisData!$C:$C, $H214, NewEmisData!$D:$D, Q$6)</f>
        <v>1074.99841740493</v>
      </c>
      <c r="R214" s="1111">
        <f>SUMIFS(NewEmisData!L:L, NewEmisData!$A:$A, $G214, NewEmisData!$B:$B, $A214, NewEmisData!$C:$C, $H214, NewEmisData!$D:$D, R$6)</f>
        <v>1074.7768639159699</v>
      </c>
      <c r="S214" s="1111">
        <f>SUMIFS(NewEmisData!M:M, NewEmisData!$A:$A, $G214, NewEmisData!$B:$B, $A214, NewEmisData!$C:$C, $H214, NewEmisData!$D:$D, S$6)</f>
        <v>1074.7231317103101</v>
      </c>
      <c r="T214" s="1111">
        <f t="shared" si="290"/>
        <v>1074.7231317103101</v>
      </c>
      <c r="U214" s="1111">
        <f>SUMIFS(NewEmisData!E:E, NewEmisData!$A:$A, $G214, NewEmisData!$B:$B, $A214, NewEmisData!$C:$C, $H214, NewEmisData!$D:$D, U$6)</f>
        <v>4.7005442822918502</v>
      </c>
      <c r="V214" s="1111">
        <f>SUMIFS(NewEmisData!F:F, NewEmisData!$A:$A, $G214, NewEmisData!$B:$B, $A214, NewEmisData!$C:$C, $H214, NewEmisData!$D:$D, V$6)</f>
        <v>3.08259000861326</v>
      </c>
      <c r="W214" s="1111">
        <f>SUMIFS(NewEmisData!G:G, NewEmisData!$A:$A, $G214, NewEmisData!$B:$B, $A214, NewEmisData!$C:$C, $H214, NewEmisData!$D:$D, W$6)</f>
        <v>1.0390638212911101</v>
      </c>
      <c r="X214" s="1111">
        <f>SUMIFS(NewEmisData!H:H, NewEmisData!$A:$A, $G214, NewEmisData!$B:$B, $A214, NewEmisData!$C:$C, $H214, NewEmisData!$D:$D, X$6)</f>
        <v>0.75779261060598802</v>
      </c>
      <c r="Y214" s="1111">
        <f>SUMIFS(NewEmisData!I:I, NewEmisData!$A:$A, $G214, NewEmisData!$B:$B, $A214, NewEmisData!$C:$C, $H214, NewEmisData!$D:$D, Y$6)</f>
        <v>0.63538679073275195</v>
      </c>
      <c r="Z214" s="1111">
        <f>SUMIFS(NewEmisData!J:J, NewEmisData!$A:$A, $G214, NewEmisData!$B:$B, $A214, NewEmisData!$C:$C, $H214, NewEmisData!$D:$D, Z$6)</f>
        <v>0.580083255346031</v>
      </c>
      <c r="AA214" s="1111">
        <f>SUMIFS(NewEmisData!K:K, NewEmisData!$A:$A, $G214, NewEmisData!$B:$B, $A214, NewEmisData!$C:$C, $H214, NewEmisData!$D:$D, AA$6)</f>
        <v>0.56397155784451702</v>
      </c>
      <c r="AB214" s="1111">
        <f>SUMIFS(NewEmisData!L:L, NewEmisData!$A:$A, $G214, NewEmisData!$B:$B, $A214, NewEmisData!$C:$C, $H214, NewEmisData!$D:$D, AB$6)</f>
        <v>0.56043589289625795</v>
      </c>
      <c r="AC214" s="1111">
        <f>SUMIFS(NewEmisData!M:M, NewEmisData!$A:$A, $G214, NewEmisData!$B:$B, $A214, NewEmisData!$C:$C, $H214, NewEmisData!$D:$D, AC$6)</f>
        <v>0.55941898537579804</v>
      </c>
      <c r="AD214" s="1111">
        <f t="shared" si="229"/>
        <v>0.55941898537579804</v>
      </c>
      <c r="AE214" s="1111">
        <f t="shared" si="303"/>
        <v>2.4310232310109099E-2</v>
      </c>
      <c r="AF214" s="1111">
        <f>SUMIFS(NewEmisData!E:E, NewEmisData!$A:$A, $G214, NewEmisData!$B:$B, $A214, NewEmisData!$C:$C, $H214, NewEmisData!$D:$D, AF$6)</f>
        <v>2.4310232310109099E-2</v>
      </c>
      <c r="AG214" s="1111">
        <f>SUMIFS(NewEmisData!F:F, NewEmisData!$A:$A, $G214, NewEmisData!$B:$B, $A214, NewEmisData!$C:$C, $H214, NewEmisData!$D:$D, AG$6)</f>
        <v>2.26976790505827E-2</v>
      </c>
      <c r="AH214" s="1111">
        <f>SUMIFS(NewEmisData!G:G, NewEmisData!$A:$A, $G214, NewEmisData!$B:$B, $A214, NewEmisData!$C:$C, $H214, NewEmisData!$D:$D, AH$6)</f>
        <v>1.6022950426801401E-2</v>
      </c>
      <c r="AI214" s="1111">
        <f>SUMIFS(NewEmisData!H:H, NewEmisData!$A:$A, $G214, NewEmisData!$B:$B, $A214, NewEmisData!$C:$C, $H214, NewEmisData!$D:$D, AI$6)</f>
        <v>1.5729470038709299E-2</v>
      </c>
      <c r="AJ214" s="1111">
        <f>SUMIFS(NewEmisData!I:I, NewEmisData!$A:$A, $G214, NewEmisData!$B:$B, $A214, NewEmisData!$C:$C, $H214, NewEmisData!$D:$D, AJ$6)</f>
        <v>1.5498287302921E-2</v>
      </c>
      <c r="AK214" s="1111">
        <f>SUMIFS(NewEmisData!J:J, NewEmisData!$A:$A, $G214, NewEmisData!$B:$B, $A214, NewEmisData!$C:$C, $H214, NewEmisData!$D:$D, AK$6)</f>
        <v>1.5437619705180801E-2</v>
      </c>
      <c r="AL214" s="1111">
        <f>SUMIFS(NewEmisData!K:K, NewEmisData!$A:$A, $G214, NewEmisData!$B:$B, $A214, NewEmisData!$C:$C, $H214, NewEmisData!$D:$D, AL$6)</f>
        <v>1.5421408919953399E-2</v>
      </c>
      <c r="AM214" s="1111">
        <f>SUMIFS(NewEmisData!L:L, NewEmisData!$A:$A, $G214, NewEmisData!$B:$B, $A214, NewEmisData!$C:$C, $H214, NewEmisData!$D:$D, AM$6)</f>
        <v>1.5418227354463399E-2</v>
      </c>
      <c r="AN214" s="1111">
        <f>SUMIFS(NewEmisData!M:M, NewEmisData!$A:$A, $G214, NewEmisData!$B:$B, $A214, NewEmisData!$C:$C, $H214, NewEmisData!$D:$D, AN$6)</f>
        <v>1.54174639116704E-2</v>
      </c>
      <c r="AO214" s="1111">
        <f t="shared" si="304"/>
        <v>1.54174639116704E-2</v>
      </c>
      <c r="AP214" s="1111">
        <f t="shared" si="305"/>
        <v>0.19559792469321799</v>
      </c>
      <c r="AQ214" s="1111">
        <f>SUMIFS(NewEmisData!E:E, NewEmisData!$A:$A, $G214, NewEmisData!$B:$B, $A214, NewEmisData!$C:$C, $H214, NewEmisData!$D:$D, AQ$6)</f>
        <v>0.19559792469321799</v>
      </c>
      <c r="AR214" s="1111">
        <f>SUMIFS(NewEmisData!F:F, NewEmisData!$A:$A, $G214, NewEmisData!$B:$B, $A214, NewEmisData!$C:$C, $H214, NewEmisData!$D:$D, AR$6)</f>
        <v>0.195854498358668</v>
      </c>
      <c r="AS214" s="1111">
        <f>SUMIFS(NewEmisData!G:G, NewEmisData!$A:$A, $G214, NewEmisData!$B:$B, $A214, NewEmisData!$C:$C, $H214, NewEmisData!$D:$D, AS$6)</f>
        <v>0.158834423055883</v>
      </c>
      <c r="AT214" s="1111">
        <f>SUMIFS(NewEmisData!H:H, NewEmisData!$A:$A, $G214, NewEmisData!$B:$B, $A214, NewEmisData!$C:$C, $H214, NewEmisData!$D:$D, AT$6)</f>
        <v>0.15912944493902401</v>
      </c>
      <c r="AU214" s="1111">
        <f>SUMIFS(NewEmisData!I:I, NewEmisData!$A:$A, $G214, NewEmisData!$B:$B, $A214, NewEmisData!$C:$C, $H214, NewEmisData!$D:$D, AU$6)</f>
        <v>0.159508665245508</v>
      </c>
      <c r="AV214" s="1111">
        <f>SUMIFS(NewEmisData!J:J, NewEmisData!$A:$A, $G214, NewEmisData!$B:$B, $A214, NewEmisData!$C:$C, $H214, NewEmisData!$D:$D, AV$6)</f>
        <v>0.15973496976197599</v>
      </c>
      <c r="AW214" s="1111">
        <f>SUMIFS(NewEmisData!K:K, NewEmisData!$A:$A, $G214, NewEmisData!$B:$B, $A214, NewEmisData!$C:$C, $H214, NewEmisData!$D:$D, AW$6)</f>
        <v>0.15985029461774</v>
      </c>
      <c r="AX214" s="1111">
        <f>SUMIFS(NewEmisData!L:L, NewEmisData!$A:$A, $G214, NewEmisData!$B:$B, $A214, NewEmisData!$C:$C, $H214, NewEmisData!$D:$D, AX$6)</f>
        <v>0.159884874617258</v>
      </c>
      <c r="AY214" s="1111">
        <f>SUMIFS(NewEmisData!M:M, NewEmisData!$A:$A, $G214, NewEmisData!$B:$B, $A214, NewEmisData!$C:$C, $H214, NewEmisData!$D:$D, AY$6)</f>
        <v>0.15989716821268901</v>
      </c>
      <c r="AZ214" s="1111">
        <f t="shared" si="306"/>
        <v>0.15989716821268901</v>
      </c>
      <c r="BA214" s="1111">
        <f t="shared" si="307"/>
        <v>6.1407596132052197E-2</v>
      </c>
      <c r="BB214" s="1111">
        <f>SUMIFS(NewEmisData!E:E, NewEmisData!$A:$A, $G214, NewEmisData!$B:$B, $A214, NewEmisData!$C:$C, $H214, NewEmisData!$D:$D, BB$6)</f>
        <v>6.1407596132052197E-2</v>
      </c>
      <c r="BC214" s="1111">
        <f>SUMIFS(NewEmisData!F:F, NewEmisData!$A:$A, $G214, NewEmisData!$B:$B, $A214, NewEmisData!$C:$C, $H214, NewEmisData!$D:$D, BC$6)</f>
        <v>5.5619399593761901E-2</v>
      </c>
      <c r="BD214" s="1111">
        <f>SUMIFS(NewEmisData!G:G, NewEmisData!$A:$A, $G214, NewEmisData!$B:$B, $A214, NewEmisData!$C:$C, $H214, NewEmisData!$D:$D, BD$6)</f>
        <v>2.6501774627894398E-2</v>
      </c>
      <c r="BE214" s="1111">
        <f>SUMIFS(NewEmisData!H:H, NewEmisData!$A:$A, $G214, NewEmisData!$B:$B, $A214, NewEmisData!$C:$C, $H214, NewEmisData!$D:$D, BE$6)</f>
        <v>2.6535568582948001E-2</v>
      </c>
      <c r="BF214" s="1111">
        <f>SUMIFS(NewEmisData!I:I, NewEmisData!$A:$A, $G214, NewEmisData!$B:$B, $A214, NewEmisData!$C:$C, $H214, NewEmisData!$D:$D, BF$6)</f>
        <v>2.68240676450552E-2</v>
      </c>
      <c r="BG214" s="1111">
        <f>SUMIFS(NewEmisData!J:J, NewEmisData!$A:$A, $G214, NewEmisData!$B:$B, $A214, NewEmisData!$C:$C, $H214, NewEmisData!$D:$D, BG$6)</f>
        <v>2.7011500327140701E-2</v>
      </c>
      <c r="BH214" s="1111">
        <f>SUMIFS(NewEmisData!K:K, NewEmisData!$A:$A, $G214, NewEmisData!$B:$B, $A214, NewEmisData!$C:$C, $H214, NewEmisData!$D:$D, BH$6)</f>
        <v>2.71105372443806E-2</v>
      </c>
      <c r="BI214" s="1111">
        <f>SUMIFS(NewEmisData!L:L, NewEmisData!$A:$A, $G214, NewEmisData!$B:$B, $A214, NewEmisData!$C:$C, $H214, NewEmisData!$D:$D, BI$6)</f>
        <v>2.7140215075382799E-2</v>
      </c>
      <c r="BJ214" s="1111">
        <f>SUMIFS(NewEmisData!M:M, NewEmisData!$A:$A, $G214, NewEmisData!$B:$B, $A214, NewEmisData!$C:$C, $H214, NewEmisData!$D:$D, BJ$6)</f>
        <v>2.7151187263261201E-2</v>
      </c>
      <c r="BK214" s="1111">
        <f t="shared" si="308"/>
        <v>2.7151187263261201E-2</v>
      </c>
      <c r="BL214" s="1111">
        <f t="shared" si="309"/>
        <v>37.072387310679602</v>
      </c>
      <c r="BM214" s="1111">
        <f>SUMIFS(NewEmisData!E:E, NewEmisData!$A:$A, $G214, NewEmisData!$B:$B, $A214, NewEmisData!$C:$C, $H214, NewEmisData!$D:$D, BM$6)</f>
        <v>37.072387310679602</v>
      </c>
      <c r="BN214" s="1111">
        <f>SUMIFS(NewEmisData!F:F, NewEmisData!$A:$A, $G214, NewEmisData!$B:$B, $A214, NewEmisData!$C:$C, $H214, NewEmisData!$D:$D, BN$6)</f>
        <v>25.792665103532201</v>
      </c>
      <c r="BO214" s="1111">
        <f>SUMIFS(NewEmisData!G:G, NewEmisData!$A:$A, $G214, NewEmisData!$B:$B, $A214, NewEmisData!$C:$C, $H214, NewEmisData!$D:$D, BO$6)</f>
        <v>9.5462177561034594</v>
      </c>
      <c r="BP214" s="1111">
        <f>SUMIFS(NewEmisData!H:H, NewEmisData!$A:$A, $G214, NewEmisData!$B:$B, $A214, NewEmisData!$C:$C, $H214, NewEmisData!$D:$D, BP$6)</f>
        <v>8.0392699220412105</v>
      </c>
      <c r="BQ214" s="1111">
        <f>SUMIFS(NewEmisData!I:I, NewEmisData!$A:$A, $G214, NewEmisData!$B:$B, $A214, NewEmisData!$C:$C, $H214, NewEmisData!$D:$D, BQ$6)</f>
        <v>7.5629439516014001</v>
      </c>
      <c r="BR214" s="1111">
        <f>SUMIFS(NewEmisData!J:J, NewEmisData!$A:$A, $G214, NewEmisData!$B:$B, $A214, NewEmisData!$C:$C, $H214, NewEmisData!$D:$D, BR$6)</f>
        <v>7.42380058325005</v>
      </c>
      <c r="BS214" s="1111">
        <f>SUMIFS(NewEmisData!K:K, NewEmisData!$A:$A, $G214, NewEmisData!$B:$B, $A214, NewEmisData!$C:$C, $H214, NewEmisData!$D:$D, BS$6)</f>
        <v>7.4426275255201499</v>
      </c>
      <c r="BT214" s="1111">
        <f>SUMIFS(NewEmisData!L:L, NewEmisData!$A:$A, $G214, NewEmisData!$B:$B, $A214, NewEmisData!$C:$C, $H214, NewEmisData!$D:$D, BT$6)</f>
        <v>7.4685453226779002</v>
      </c>
      <c r="BU214" s="1111">
        <f>SUMIFS(NewEmisData!M:M, NewEmisData!$A:$A, $G214, NewEmisData!$B:$B, $A214, NewEmisData!$C:$C, $H214, NewEmisData!$D:$D, BU$6)</f>
        <v>7.4852296254001702</v>
      </c>
      <c r="BV214" s="1111">
        <f t="shared" si="310"/>
        <v>7.4852296254001702</v>
      </c>
      <c r="BW214" s="1111">
        <f t="shared" si="311"/>
        <v>1.81554554352594</v>
      </c>
      <c r="BX214" s="1111">
        <f>SUMIFS(NewEmisData!E:E, NewEmisData!$A:$A, $G214, NewEmisData!$B:$B, $A214, NewEmisData!$C:$C, $H214, NewEmisData!$D:$D, BX$6)</f>
        <v>1.81554554352594</v>
      </c>
      <c r="BY214" s="1111">
        <f>SUMIFS(NewEmisData!F:F, NewEmisData!$A:$A, $G214, NewEmisData!$B:$B, $A214, NewEmisData!$C:$C, $H214, NewEmisData!$D:$D, BY$6)</f>
        <v>1.3100717618514499</v>
      </c>
      <c r="BZ214" s="1111">
        <f>SUMIFS(NewEmisData!G:G, NewEmisData!$A:$A, $G214, NewEmisData!$B:$B, $A214, NewEmisData!$C:$C, $H214, NewEmisData!$D:$D, BZ$6)</f>
        <v>0.39370379160048102</v>
      </c>
      <c r="CA214" s="1111">
        <f>SUMIFS(NewEmisData!H:H, NewEmisData!$A:$A, $G214, NewEmisData!$B:$B, $A214, NewEmisData!$C:$C, $H214, NewEmisData!$D:$D, CA$6)</f>
        <v>0.31228113561307103</v>
      </c>
      <c r="CB214" s="1111">
        <f>SUMIFS(NewEmisData!I:I, NewEmisData!$A:$A, $G214, NewEmisData!$B:$B, $A214, NewEmisData!$C:$C, $H214, NewEmisData!$D:$D, CB$6)</f>
        <v>0.28237497464649203</v>
      </c>
      <c r="CC214" s="1111">
        <f>SUMIFS(NewEmisData!J:J, NewEmisData!$A:$A, $G214, NewEmisData!$B:$B, $A214, NewEmisData!$C:$C, $H214, NewEmisData!$D:$D, CC$6)</f>
        <v>0.27043603612734302</v>
      </c>
      <c r="CD214" s="1111">
        <f>SUMIFS(NewEmisData!K:K, NewEmisData!$A:$A, $G214, NewEmisData!$B:$B, $A214, NewEmisData!$C:$C, $H214, NewEmisData!$D:$D, CD$6)</f>
        <v>0.26884074434480698</v>
      </c>
      <c r="CE214" s="1111">
        <f>SUMIFS(NewEmisData!L:L, NewEmisData!$A:$A, $G214, NewEmisData!$B:$B, $A214, NewEmisData!$C:$C, $H214, NewEmisData!$D:$D, CE$6)</f>
        <v>0.268857395941977</v>
      </c>
      <c r="CF214" s="1111">
        <f>SUMIFS(NewEmisData!M:M, NewEmisData!$A:$A, $G214, NewEmisData!$B:$B, $A214, NewEmisData!$C:$C, $H214, NewEmisData!$D:$D, CF$6)</f>
        <v>0.26888130166281199</v>
      </c>
      <c r="CG214" s="1111">
        <f t="shared" si="312"/>
        <v>0.26888130166281199</v>
      </c>
      <c r="CH214" s="1111">
        <f t="shared" si="313"/>
        <v>4.4354850737075603E-2</v>
      </c>
      <c r="CI214" s="1111">
        <f>SUMIFS(NewEmisData!E:E, NewEmisData!$A:$A, $G214, NewEmisData!$B:$B, $A214, NewEmisData!$C:$C, $H214, NewEmisData!$D:$D, CI$6)</f>
        <v>4.4354850737075603E-2</v>
      </c>
      <c r="CJ214" s="1111">
        <f>SUMIFS(NewEmisData!F:F, NewEmisData!$A:$A, $G214, NewEmisData!$B:$B, $A214, NewEmisData!$C:$C, $H214, NewEmisData!$D:$D, CJ$6)</f>
        <v>4.4606421809548602E-2</v>
      </c>
      <c r="CK214" s="1111">
        <f>SUMIFS(NewEmisData!G:G, NewEmisData!$A:$A, $G214, NewEmisData!$B:$B, $A214, NewEmisData!$C:$C, $H214, NewEmisData!$D:$D, CK$6)</f>
        <v>4.5833727376490101E-2</v>
      </c>
      <c r="CL214" s="1111">
        <f>SUMIFS(NewEmisData!H:H, NewEmisData!$A:$A, $G214, NewEmisData!$B:$B, $A214, NewEmisData!$C:$C, $H214, NewEmisData!$D:$D, CL$6)</f>
        <v>4.5835915019940797E-2</v>
      </c>
      <c r="CM214" s="1111">
        <f>SUMIFS(NewEmisData!I:I, NewEmisData!$A:$A, $G214, NewEmisData!$B:$B, $A214, NewEmisData!$C:$C, $H214, NewEmisData!$D:$D, CM$6)</f>
        <v>4.5836924876248103E-2</v>
      </c>
      <c r="CN214" s="1111">
        <f>SUMIFS(NewEmisData!J:J, NewEmisData!$A:$A, $G214, NewEmisData!$B:$B, $A214, NewEmisData!$C:$C, $H214, NewEmisData!$D:$D, CN$6)</f>
        <v>4.5837206762828597E-2</v>
      </c>
      <c r="CO214" s="1111">
        <f>SUMIFS(NewEmisData!K:K, NewEmisData!$A:$A, $G214, NewEmisData!$B:$B, $A214, NewEmisData!$C:$C, $H214, NewEmisData!$D:$D, CO$6)</f>
        <v>4.5837285402718399E-2</v>
      </c>
      <c r="CP214" s="1111">
        <f>SUMIFS(NewEmisData!L:L, NewEmisData!$A:$A, $G214, NewEmisData!$B:$B, $A214, NewEmisData!$C:$C, $H214, NewEmisData!$D:$D, CP$6)</f>
        <v>4.5837327743812703E-2</v>
      </c>
      <c r="CQ214" s="1111">
        <f>SUMIFS(NewEmisData!M:M, NewEmisData!$A:$A, $G214, NewEmisData!$B:$B, $A214, NewEmisData!$C:$C, $H214, NewEmisData!$D:$D, CQ$6)</f>
        <v>4.5837305828443899E-2</v>
      </c>
      <c r="CR214" s="1111">
        <f t="shared" si="314"/>
        <v>4.5837305828443899E-2</v>
      </c>
      <c r="CS214" s="1111">
        <f t="shared" si="315"/>
        <v>4.9787516424166102E-2</v>
      </c>
      <c r="CT214" s="1111">
        <f>SUMIFS(NewEmisData!E:E, NewEmisData!$A:$A, $G214, NewEmisData!$B:$B, $A214, NewEmisData!$C:$C, $H214, NewEmisData!$D:$D, CT$6)</f>
        <v>4.9787516424166102E-2</v>
      </c>
      <c r="CU214" s="1111">
        <f>SUMIFS(NewEmisData!F:F, NewEmisData!$A:$A, $G214, NewEmisData!$B:$B, $A214, NewEmisData!$C:$C, $H214, NewEmisData!$D:$D, CU$6)</f>
        <v>4.0085775499257799E-2</v>
      </c>
      <c r="CV214" s="1111">
        <f>SUMIFS(NewEmisData!G:G, NewEmisData!$A:$A, $G214, NewEmisData!$B:$B, $A214, NewEmisData!$C:$C, $H214, NewEmisData!$D:$D, CV$6)</f>
        <v>1.5231093201386501E-2</v>
      </c>
      <c r="CW214" s="1111">
        <f>SUMIFS(NewEmisData!H:H, NewEmisData!$A:$A, $G214, NewEmisData!$B:$B, $A214, NewEmisData!$C:$C, $H214, NewEmisData!$D:$D, CW$6)</f>
        <v>1.05082390102391E-2</v>
      </c>
      <c r="CX214" s="1111">
        <f>SUMIFS(NewEmisData!I:I, NewEmisData!$A:$A, $G214, NewEmisData!$B:$B, $A214, NewEmisData!$C:$C, $H214, NewEmisData!$D:$D, CX$6)</f>
        <v>9.2332663114354004E-3</v>
      </c>
      <c r="CY214" s="1111">
        <f>SUMIFS(NewEmisData!J:J, NewEmisData!$A:$A, $G214, NewEmisData!$B:$B, $A214, NewEmisData!$C:$C, $H214, NewEmisData!$D:$D, CY$6)</f>
        <v>8.8795270887270794E-3</v>
      </c>
      <c r="CZ214" s="1111">
        <f>SUMIFS(NewEmisData!K:K, NewEmisData!$A:$A, $G214, NewEmisData!$B:$B, $A214, NewEmisData!$C:$C, $H214, NewEmisData!$D:$D, CZ$6)</f>
        <v>8.8375979409894192E-3</v>
      </c>
      <c r="DA214" s="1111">
        <f>SUMIFS(NewEmisData!L:L, NewEmisData!$A:$A, $G214, NewEmisData!$B:$B, $A214, NewEmisData!$C:$C, $H214, NewEmisData!$D:$D, DA$6)</f>
        <v>8.8119276303445203E-3</v>
      </c>
      <c r="DB214" s="1111">
        <f>SUMIFS(NewEmisData!M:M, NewEmisData!$A:$A, $G214, NewEmisData!$B:$B, $A214, NewEmisData!$C:$C, $H214, NewEmisData!$D:$D, DB$6)</f>
        <v>8.8259459804548995E-3</v>
      </c>
      <c r="DC214" s="1111">
        <f t="shared" si="316"/>
        <v>8.8259459804548995E-3</v>
      </c>
      <c r="DD214" s="1111"/>
      <c r="DE214" s="1111"/>
      <c r="DF214" s="1111"/>
      <c r="DG214" s="1111"/>
      <c r="DH214" s="1111"/>
      <c r="DI214" s="1111"/>
      <c r="DJ214" s="1111"/>
      <c r="DK214" s="1111"/>
      <c r="DL214" s="1111"/>
      <c r="DM214" s="1111"/>
      <c r="DN214" s="1111"/>
      <c r="DO214" s="1111"/>
      <c r="DP214" s="1111"/>
      <c r="DQ214" s="1111"/>
      <c r="DR214" s="1111"/>
      <c r="DS214" s="1111"/>
      <c r="DT214" s="1111"/>
      <c r="DU214" s="1111"/>
      <c r="DV214" s="1111"/>
      <c r="DW214" s="1111"/>
      <c r="DX214" s="1111"/>
      <c r="DY214" s="1111"/>
      <c r="DZ214" s="1111">
        <f t="shared" si="317"/>
        <v>4.44098100343151E-2</v>
      </c>
      <c r="EA214" s="1111">
        <f>SUMIFS(NewEmisData!E:E, NewEmisData!$A:$A, $G214, NewEmisData!$B:$B, $A214, NewEmisData!$C:$C, $H214, NewEmisData!$D:$D, EA$6)</f>
        <v>4.44098100343151E-2</v>
      </c>
      <c r="EB214" s="1111">
        <f>SUMIFS(NewEmisData!F:F, NewEmisData!$A:$A, $G214, NewEmisData!$B:$B, $A214, NewEmisData!$C:$C, $H214, NewEmisData!$D:$D, EB$6)</f>
        <v>2.9304673870380101E-2</v>
      </c>
      <c r="EC214" s="1111">
        <f>SUMIFS(NewEmisData!G:G, NewEmisData!$A:$A, $G214, NewEmisData!$B:$B, $A214, NewEmisData!$C:$C, $H214, NewEmisData!$D:$D, EC$6)</f>
        <v>9.6598752165466002E-3</v>
      </c>
      <c r="ED214" s="1111">
        <f>SUMIFS(NewEmisData!H:H, NewEmisData!$A:$A, $G214, NewEmisData!$B:$B, $A214, NewEmisData!$C:$C, $H214, NewEmisData!$D:$D, ED$6)</f>
        <v>8.2574531868545402E-3</v>
      </c>
      <c r="EE214" s="1111">
        <f>SUMIFS(NewEmisData!I:I, NewEmisData!$A:$A, $G214, NewEmisData!$B:$B, $A214, NewEmisData!$C:$C, $H214, NewEmisData!$D:$D, EE$6)</f>
        <v>7.8634646205182502E-3</v>
      </c>
      <c r="EF214" s="1111">
        <f>SUMIFS(NewEmisData!J:J, NewEmisData!$A:$A, $G214, NewEmisData!$B:$B, $A214, NewEmisData!$C:$C, $H214, NewEmisData!$D:$D, EF$6)</f>
        <v>7.7933832365119603E-3</v>
      </c>
      <c r="EG214" s="1111">
        <f>SUMIFS(NewEmisData!K:K, NewEmisData!$A:$A, $G214, NewEmisData!$B:$B, $A214, NewEmisData!$C:$C, $H214, NewEmisData!$D:$D, EG$6)</f>
        <v>7.8217032086275798E-3</v>
      </c>
      <c r="EH214" s="1111">
        <f>SUMIFS(NewEmisData!L:L, NewEmisData!$A:$A, $G214, NewEmisData!$B:$B, $A214, NewEmisData!$C:$C, $H214, NewEmisData!$D:$D, EH$6)</f>
        <v>7.8307139594945199E-3</v>
      </c>
      <c r="EI214" s="1111">
        <f>SUMIFS(NewEmisData!M:M, NewEmisData!$A:$A, $G214, NewEmisData!$B:$B, $A214, NewEmisData!$C:$C, $H214, NewEmisData!$D:$D, EI$6)</f>
        <v>7.8300628211082704E-3</v>
      </c>
      <c r="EJ214" s="1111">
        <f t="shared" si="318"/>
        <v>7.8300628211082704E-3</v>
      </c>
      <c r="EK214" s="1111">
        <f t="shared" si="319"/>
        <v>1295.14987573646</v>
      </c>
      <c r="EL214" s="1111">
        <f t="shared" si="269"/>
        <v>1295.14987573646</v>
      </c>
      <c r="EM214" s="1111">
        <f t="shared" si="270"/>
        <v>1270.8053069328</v>
      </c>
      <c r="EN214" s="1111">
        <f t="shared" si="271"/>
        <v>1116.9310844665499</v>
      </c>
      <c r="EO214" s="1111">
        <f t="shared" si="272"/>
        <v>1096.47271752758</v>
      </c>
      <c r="EP214" s="1111">
        <f t="shared" si="273"/>
        <v>1080.35797958793</v>
      </c>
      <c r="EQ214" s="1111">
        <f t="shared" si="274"/>
        <v>1076.1283631843501</v>
      </c>
      <c r="ER214" s="1111">
        <f t="shared" si="275"/>
        <v>1074.99841740493</v>
      </c>
      <c r="ES214" s="1111">
        <f t="shared" si="276"/>
        <v>1074.7768639159699</v>
      </c>
      <c r="ET214" s="1111">
        <f t="shared" si="277"/>
        <v>1074.7231317103101</v>
      </c>
      <c r="EU214" s="1111">
        <f t="shared" si="278"/>
        <v>1074.7231317103101</v>
      </c>
      <c r="EV214" s="1111">
        <f t="shared" si="320"/>
        <v>4.7005442822918502</v>
      </c>
      <c r="EW214" s="1111">
        <f t="shared" si="259"/>
        <v>4.7005442822918502</v>
      </c>
      <c r="EX214" s="1111">
        <f t="shared" si="260"/>
        <v>3.08259000861326</v>
      </c>
      <c r="EY214" s="1111">
        <f t="shared" si="261"/>
        <v>1.0390638212911101</v>
      </c>
      <c r="EZ214" s="1111">
        <f t="shared" si="262"/>
        <v>0.75779261060598802</v>
      </c>
      <c r="FA214" s="1111">
        <f t="shared" si="263"/>
        <v>0.63538679073275195</v>
      </c>
      <c r="FB214" s="1111">
        <f t="shared" si="264"/>
        <v>0.580083255346031</v>
      </c>
      <c r="FC214" s="1111">
        <f t="shared" si="265"/>
        <v>0.56397155784451702</v>
      </c>
      <c r="FD214" s="1111">
        <f t="shared" si="266"/>
        <v>0.56043589289625795</v>
      </c>
      <c r="FE214" s="1111">
        <f t="shared" si="267"/>
        <v>0.55941898537579804</v>
      </c>
      <c r="FF214" s="1111">
        <f t="shared" si="268"/>
        <v>0.55941898537579804</v>
      </c>
      <c r="FG214" s="1111">
        <f t="shared" si="291"/>
        <v>2.4310232310109099E-2</v>
      </c>
      <c r="FH214" s="1111">
        <f t="shared" si="292"/>
        <v>2.4310232310109099E-2</v>
      </c>
      <c r="FI214" s="1111">
        <f t="shared" si="293"/>
        <v>2.26976790505827E-2</v>
      </c>
      <c r="FJ214" s="1111">
        <f t="shared" si="294"/>
        <v>1.6022950426801401E-2</v>
      </c>
      <c r="FK214" s="1111">
        <f t="shared" si="295"/>
        <v>1.5729470038709299E-2</v>
      </c>
      <c r="FL214" s="1111">
        <f t="shared" si="296"/>
        <v>1.5498287302921E-2</v>
      </c>
      <c r="FM214" s="1111">
        <f t="shared" si="297"/>
        <v>1.5437619705180801E-2</v>
      </c>
      <c r="FN214" s="1111">
        <f t="shared" si="298"/>
        <v>1.5421408919953399E-2</v>
      </c>
      <c r="FO214" s="1111">
        <f t="shared" si="299"/>
        <v>1.5418227354463399E-2</v>
      </c>
      <c r="FP214" s="1111">
        <f t="shared" si="300"/>
        <v>1.54174639116704E-2</v>
      </c>
      <c r="FQ214" s="1111">
        <f t="shared" si="301"/>
        <v>1.54174639116704E-2</v>
      </c>
      <c r="FR214" s="1111">
        <f t="shared" si="230"/>
        <v>0.19559792469321799</v>
      </c>
      <c r="FS214" s="1111">
        <f t="shared" si="231"/>
        <v>0.19559792469321799</v>
      </c>
      <c r="FT214" s="1111">
        <f t="shared" si="232"/>
        <v>0.195854498358668</v>
      </c>
      <c r="FU214" s="1111">
        <f t="shared" si="233"/>
        <v>0.158834423055883</v>
      </c>
      <c r="FV214" s="1111">
        <f t="shared" si="234"/>
        <v>0.15912944493902401</v>
      </c>
      <c r="FW214" s="1111">
        <f t="shared" si="235"/>
        <v>0.159508665245508</v>
      </c>
      <c r="FX214" s="1111">
        <f t="shared" si="236"/>
        <v>0.15973496976197599</v>
      </c>
      <c r="FY214" s="1111">
        <f t="shared" si="237"/>
        <v>0.15985029461774</v>
      </c>
      <c r="FZ214" s="1111">
        <f t="shared" si="238"/>
        <v>0.159884874617258</v>
      </c>
      <c r="GA214" s="1111">
        <f t="shared" si="239"/>
        <v>0.15989716821268901</v>
      </c>
      <c r="GB214" s="1111">
        <f t="shared" si="240"/>
        <v>0.15989716821268901</v>
      </c>
      <c r="GC214" s="1111">
        <f t="shared" si="279"/>
        <v>6.1407596132052197E-2</v>
      </c>
      <c r="GD214" s="1111">
        <f t="shared" si="280"/>
        <v>6.1407596132052197E-2</v>
      </c>
      <c r="GE214" s="1111">
        <f t="shared" si="281"/>
        <v>5.5619399593761901E-2</v>
      </c>
      <c r="GF214" s="1111">
        <f t="shared" si="282"/>
        <v>2.6501774627894398E-2</v>
      </c>
      <c r="GG214" s="1111">
        <f t="shared" si="283"/>
        <v>2.6535568582948001E-2</v>
      </c>
      <c r="GH214" s="1111">
        <f t="shared" si="284"/>
        <v>2.68240676450552E-2</v>
      </c>
      <c r="GI214" s="1111">
        <f t="shared" si="285"/>
        <v>2.7011500327140701E-2</v>
      </c>
      <c r="GJ214" s="1111">
        <f t="shared" si="286"/>
        <v>2.71105372443806E-2</v>
      </c>
      <c r="GK214" s="1111">
        <f t="shared" si="287"/>
        <v>2.7140215075382799E-2</v>
      </c>
      <c r="GL214" s="1111">
        <f t="shared" si="288"/>
        <v>2.7151187263261201E-2</v>
      </c>
      <c r="GM214" s="1111">
        <f t="shared" si="289"/>
        <v>2.7151187263261201E-2</v>
      </c>
    </row>
    <row r="215" spans="1:195" x14ac:dyDescent="0.2">
      <c r="A215" s="1071" t="s">
        <v>190</v>
      </c>
      <c r="B215" s="1071" t="str">
        <f>Technologies!C129</f>
        <v>TMCNGC</v>
      </c>
      <c r="C215" s="1071" t="str">
        <f>Technologies!D129</f>
        <v>Medium Duty Truck, Conventional CNG</v>
      </c>
      <c r="D215" s="1071" t="str">
        <f>NewTech!D80</f>
        <v>bn-vmt, bn-vmt/a</v>
      </c>
      <c r="E215" s="1071" t="str">
        <f>NewTech!E81</f>
        <v>TMCNG</v>
      </c>
      <c r="F215" s="1071" t="str">
        <f>NewTech!F82</f>
        <v>TM</v>
      </c>
      <c r="G215" s="1110" t="s">
        <v>503</v>
      </c>
      <c r="H215" s="1110" t="s">
        <v>500</v>
      </c>
      <c r="I215" s="1112">
        <v>1</v>
      </c>
      <c r="J215" s="1111" t="str">
        <f t="shared" si="302"/>
        <v>Medium duty-GSL</v>
      </c>
      <c r="K215" s="1111">
        <f>SUMIFS(NewEmisData!E:E, NewEmisData!$A:$A, $G215, NewEmisData!$B:$B, $A215, NewEmisData!$C:$C, $H215, NewEmisData!$D:$D, K$6)</f>
        <v>1204.2704996203399</v>
      </c>
      <c r="L215" s="1111">
        <f>SUMIFS(NewEmisData!F:F, NewEmisData!$A:$A, $G215, NewEmisData!$B:$B, $A215, NewEmisData!$C:$C, $H215, NewEmisData!$D:$D, L$6)</f>
        <v>1280.9014839137801</v>
      </c>
      <c r="M215" s="1111">
        <f>SUMIFS(NewEmisData!G:G, NewEmisData!$A:$A, $G215, NewEmisData!$B:$B, $A215, NewEmisData!$C:$C, $H215, NewEmisData!$D:$D, M$6)</f>
        <v>1309.1277572440899</v>
      </c>
      <c r="N215" s="1111">
        <f>SUMIFS(NewEmisData!H:H, NewEmisData!$A:$A, $G215, NewEmisData!$B:$B, $A215, NewEmisData!$C:$C, $H215, NewEmisData!$D:$D, N$6)</f>
        <v>1277.5848439676099</v>
      </c>
      <c r="O215" s="1111">
        <f>SUMIFS(NewEmisData!I:I, NewEmisData!$A:$A, $G215, NewEmisData!$B:$B, $A215, NewEmisData!$C:$C, $H215, NewEmisData!$D:$D, O$6)</f>
        <v>1259.05503169493</v>
      </c>
      <c r="P215" s="1111">
        <f>SUMIFS(NewEmisData!J:J, NewEmisData!$A:$A, $G215, NewEmisData!$B:$B, $A215, NewEmisData!$C:$C, $H215, NewEmisData!$D:$D, P$6)</f>
        <v>1254.08723086747</v>
      </c>
      <c r="Q215" s="1111">
        <f>SUMIFS(NewEmisData!K:K, NewEmisData!$A:$A, $G215, NewEmisData!$B:$B, $A215, NewEmisData!$C:$C, $H215, NewEmisData!$D:$D, Q$6)</f>
        <v>1252.90461894546</v>
      </c>
      <c r="R215" s="1111">
        <f>SUMIFS(NewEmisData!L:L, NewEmisData!$A:$A, $G215, NewEmisData!$B:$B, $A215, NewEmisData!$C:$C, $H215, NewEmisData!$D:$D, R$6)</f>
        <v>1252.7104430173399</v>
      </c>
      <c r="S215" s="1111">
        <f>SUMIFS(NewEmisData!M:M, NewEmisData!$A:$A, $G215, NewEmisData!$B:$B, $A215, NewEmisData!$C:$C, $H215, NewEmisData!$D:$D, S$6)</f>
        <v>1252.6870397442001</v>
      </c>
      <c r="T215" s="1111">
        <f t="shared" si="290"/>
        <v>1252.6870397442001</v>
      </c>
      <c r="U215" s="1111">
        <f>SUMIFS(NewEmisData!E:E, NewEmisData!$A:$A, $G215, NewEmisData!$B:$B, $A215, NewEmisData!$C:$C, $H215, NewEmisData!$D:$D, U$6)</f>
        <v>4.3448715610080901</v>
      </c>
      <c r="V215" s="1111">
        <f>SUMIFS(NewEmisData!F:F, NewEmisData!$A:$A, $G215, NewEmisData!$B:$B, $A215, NewEmisData!$C:$C, $H215, NewEmisData!$D:$D, V$6)</f>
        <v>2.68000771941229</v>
      </c>
      <c r="W215" s="1111">
        <f>SUMIFS(NewEmisData!G:G, NewEmisData!$A:$A, $G215, NewEmisData!$B:$B, $A215, NewEmisData!$C:$C, $H215, NewEmisData!$D:$D, W$6)</f>
        <v>1.2701406141530101</v>
      </c>
      <c r="X215" s="1111">
        <f>SUMIFS(NewEmisData!H:H, NewEmisData!$A:$A, $G215, NewEmisData!$B:$B, $A215, NewEmisData!$C:$C, $H215, NewEmisData!$D:$D, X$6)</f>
        <v>0.89637025450783203</v>
      </c>
      <c r="Y215" s="1111">
        <f>SUMIFS(NewEmisData!I:I, NewEmisData!$A:$A, $G215, NewEmisData!$B:$B, $A215, NewEmisData!$C:$C, $H215, NewEmisData!$D:$D, Y$6)</f>
        <v>0.74230586472414295</v>
      </c>
      <c r="Z215" s="1111">
        <f>SUMIFS(NewEmisData!J:J, NewEmisData!$A:$A, $G215, NewEmisData!$B:$B, $A215, NewEmisData!$C:$C, $H215, NewEmisData!$D:$D, Z$6)</f>
        <v>0.67198096175904998</v>
      </c>
      <c r="AA215" s="1111">
        <f>SUMIFS(NewEmisData!K:K, NewEmisData!$A:$A, $G215, NewEmisData!$B:$B, $A215, NewEmisData!$C:$C, $H215, NewEmisData!$D:$D, AA$6)</f>
        <v>0.65082523068374698</v>
      </c>
      <c r="AB215" s="1111">
        <f>SUMIFS(NewEmisData!L:L, NewEmisData!$A:$A, $G215, NewEmisData!$B:$B, $A215, NewEmisData!$C:$C, $H215, NewEmisData!$D:$D, AB$6)</f>
        <v>0.64636795436825401</v>
      </c>
      <c r="AC215" s="1111">
        <f>SUMIFS(NewEmisData!M:M, NewEmisData!$A:$A, $G215, NewEmisData!$B:$B, $A215, NewEmisData!$C:$C, $H215, NewEmisData!$D:$D, AC$6)</f>
        <v>0.64488416341078902</v>
      </c>
      <c r="AD215" s="1111">
        <f t="shared" si="229"/>
        <v>0.64488416341078902</v>
      </c>
      <c r="AE215" s="1111">
        <f t="shared" si="303"/>
        <v>2.08381055217347E-2</v>
      </c>
      <c r="AF215" s="1111">
        <f>SUMIFS(NewEmisData!E:E, NewEmisData!$A:$A, $G215, NewEmisData!$B:$B, $A215, NewEmisData!$C:$C, $H215, NewEmisData!$D:$D, AF$6)</f>
        <v>2.08381055217347E-2</v>
      </c>
      <c r="AG215" s="1111">
        <f>SUMIFS(NewEmisData!F:F, NewEmisData!$A:$A, $G215, NewEmisData!$B:$B, $A215, NewEmisData!$C:$C, $H215, NewEmisData!$D:$D, AG$6)</f>
        <v>2.2164087103621902E-2</v>
      </c>
      <c r="AH215" s="1111">
        <f>SUMIFS(NewEmisData!G:G, NewEmisData!$A:$A, $G215, NewEmisData!$B:$B, $A215, NewEmisData!$C:$C, $H215, NewEmisData!$D:$D, AH$6)</f>
        <v>1.8780122769194701E-2</v>
      </c>
      <c r="AI215" s="1111">
        <f>SUMIFS(NewEmisData!H:H, NewEmisData!$A:$A, $G215, NewEmisData!$B:$B, $A215, NewEmisData!$C:$C, $H215, NewEmisData!$D:$D, AI$6)</f>
        <v>1.8327610114874E-2</v>
      </c>
      <c r="AJ215" s="1111">
        <f>SUMIFS(NewEmisData!I:I, NewEmisData!$A:$A, $G215, NewEmisData!$B:$B, $A215, NewEmisData!$C:$C, $H215, NewEmisData!$D:$D, AJ$6)</f>
        <v>1.8061800865337901E-2</v>
      </c>
      <c r="AK215" s="1111">
        <f>SUMIFS(NewEmisData!J:J, NewEmisData!$A:$A, $G215, NewEmisData!$B:$B, $A215, NewEmisData!$C:$C, $H215, NewEmisData!$D:$D, AK$6)</f>
        <v>1.79905289884639E-2</v>
      </c>
      <c r="AL215" s="1111">
        <f>SUMIFS(NewEmisData!K:K, NewEmisData!$A:$A, $G215, NewEmisData!$B:$B, $A215, NewEmisData!$C:$C, $H215, NewEmisData!$D:$D, AL$6)</f>
        <v>1.7973564507445701E-2</v>
      </c>
      <c r="AM215" s="1111">
        <f>SUMIFS(NewEmisData!L:L, NewEmisData!$A:$A, $G215, NewEmisData!$B:$B, $A215, NewEmisData!$C:$C, $H215, NewEmisData!$D:$D, AM$6)</f>
        <v>1.7970784643505301E-2</v>
      </c>
      <c r="AN215" s="1111">
        <f>SUMIFS(NewEmisData!M:M, NewEmisData!$A:$A, $G215, NewEmisData!$B:$B, $A215, NewEmisData!$C:$C, $H215, NewEmisData!$D:$D, AN$6)</f>
        <v>1.7970446963254401E-2</v>
      </c>
      <c r="AO215" s="1111">
        <f t="shared" si="304"/>
        <v>1.7970446963254401E-2</v>
      </c>
      <c r="AP215" s="1111">
        <f t="shared" si="305"/>
        <v>0.19574828311834699</v>
      </c>
      <c r="AQ215" s="1111">
        <f>SUMIFS(NewEmisData!E:E, NewEmisData!$A:$A, $G215, NewEmisData!$B:$B, $A215, NewEmisData!$C:$C, $H215, NewEmisData!$D:$D, AQ$6)</f>
        <v>0.19574828311834699</v>
      </c>
      <c r="AR215" s="1111">
        <f>SUMIFS(NewEmisData!F:F, NewEmisData!$A:$A, $G215, NewEmisData!$B:$B, $A215, NewEmisData!$C:$C, $H215, NewEmisData!$D:$D, AR$6)</f>
        <v>0.191259101148397</v>
      </c>
      <c r="AS215" s="1111">
        <f>SUMIFS(NewEmisData!G:G, NewEmisData!$A:$A, $G215, NewEmisData!$B:$B, $A215, NewEmisData!$C:$C, $H215, NewEmisData!$D:$D, AS$6)</f>
        <v>0.21457849181088401</v>
      </c>
      <c r="AT215" s="1111">
        <f>SUMIFS(NewEmisData!H:H, NewEmisData!$A:$A, $G215, NewEmisData!$B:$B, $A215, NewEmisData!$C:$C, $H215, NewEmisData!$D:$D, AT$6)</f>
        <v>0.215053494777702</v>
      </c>
      <c r="AU215" s="1111">
        <f>SUMIFS(NewEmisData!I:I, NewEmisData!$A:$A, $G215, NewEmisData!$B:$B, $A215, NewEmisData!$C:$C, $H215, NewEmisData!$D:$D, AU$6)</f>
        <v>0.21551298465650401</v>
      </c>
      <c r="AV215" s="1111">
        <f>SUMIFS(NewEmisData!J:J, NewEmisData!$A:$A, $G215, NewEmisData!$B:$B, $A215, NewEmisData!$C:$C, $H215, NewEmisData!$D:$D, AV$6)</f>
        <v>0.215835472913527</v>
      </c>
      <c r="AW215" s="1111">
        <f>SUMIFS(NewEmisData!K:K, NewEmisData!$A:$A, $G215, NewEmisData!$B:$B, $A215, NewEmisData!$C:$C, $H215, NewEmisData!$D:$D, AW$6)</f>
        <v>0.21602305396888299</v>
      </c>
      <c r="AX215" s="1111">
        <f>SUMIFS(NewEmisData!L:L, NewEmisData!$A:$A, $G215, NewEmisData!$B:$B, $A215, NewEmisData!$C:$C, $H215, NewEmisData!$D:$D, AX$6)</f>
        <v>0.21608589786817001</v>
      </c>
      <c r="AY215" s="1111">
        <f>SUMIFS(NewEmisData!M:M, NewEmisData!$A:$A, $G215, NewEmisData!$B:$B, $A215, NewEmisData!$C:$C, $H215, NewEmisData!$D:$D, AY$6)</f>
        <v>0.216113244270948</v>
      </c>
      <c r="AZ215" s="1111">
        <f t="shared" si="306"/>
        <v>0.216113244270948</v>
      </c>
      <c r="BA215" s="1111">
        <f t="shared" si="307"/>
        <v>4.1988899098410401E-2</v>
      </c>
      <c r="BB215" s="1111">
        <f>SUMIFS(NewEmisData!E:E, NewEmisData!$A:$A, $G215, NewEmisData!$B:$B, $A215, NewEmisData!$C:$C, $H215, NewEmisData!$D:$D, BB$6)</f>
        <v>4.1988899098410401E-2</v>
      </c>
      <c r="BC215" s="1111">
        <f>SUMIFS(NewEmisData!F:F, NewEmisData!$A:$A, $G215, NewEmisData!$B:$B, $A215, NewEmisData!$C:$C, $H215, NewEmisData!$D:$D, BC$6)</f>
        <v>4.04221270662211E-2</v>
      </c>
      <c r="BD215" s="1111">
        <f>SUMIFS(NewEmisData!G:G, NewEmisData!$A:$A, $G215, NewEmisData!$B:$B, $A215, NewEmisData!$C:$C, $H215, NewEmisData!$D:$D, BD$6)</f>
        <v>3.5246180151429399E-2</v>
      </c>
      <c r="BE215" s="1111">
        <f>SUMIFS(NewEmisData!H:H, NewEmisData!$A:$A, $G215, NewEmisData!$B:$B, $A215, NewEmisData!$C:$C, $H215, NewEmisData!$D:$D, BE$6)</f>
        <v>3.4950821311789601E-2</v>
      </c>
      <c r="BF215" s="1111">
        <f>SUMIFS(NewEmisData!I:I, NewEmisData!$A:$A, $G215, NewEmisData!$B:$B, $A215, NewEmisData!$C:$C, $H215, NewEmisData!$D:$D, BF$6)</f>
        <v>3.5285067945859602E-2</v>
      </c>
      <c r="BG215" s="1111">
        <f>SUMIFS(NewEmisData!J:J, NewEmisData!$A:$A, $G215, NewEmisData!$B:$B, $A215, NewEmisData!$C:$C, $H215, NewEmisData!$D:$D, BG$6)</f>
        <v>3.55346528981796E-2</v>
      </c>
      <c r="BH215" s="1111">
        <f>SUMIFS(NewEmisData!K:K, NewEmisData!$A:$A, $G215, NewEmisData!$B:$B, $A215, NewEmisData!$C:$C, $H215, NewEmisData!$D:$D, BH$6)</f>
        <v>3.5692682330647998E-2</v>
      </c>
      <c r="BI215" s="1111">
        <f>SUMIFS(NewEmisData!L:L, NewEmisData!$A:$A, $G215, NewEmisData!$B:$B, $A215, NewEmisData!$C:$C, $H215, NewEmisData!$D:$D, BI$6)</f>
        <v>3.57464219039118E-2</v>
      </c>
      <c r="BJ215" s="1111">
        <f>SUMIFS(NewEmisData!M:M, NewEmisData!$A:$A, $G215, NewEmisData!$B:$B, $A215, NewEmisData!$C:$C, $H215, NewEmisData!$D:$D, BJ$6)</f>
        <v>3.5770424866643502E-2</v>
      </c>
      <c r="BK215" s="1111">
        <f t="shared" si="308"/>
        <v>3.5770424866643502E-2</v>
      </c>
      <c r="BL215" s="1111">
        <f t="shared" si="309"/>
        <v>39.441467642192301</v>
      </c>
      <c r="BM215" s="1111">
        <f>SUMIFS(NewEmisData!E:E, NewEmisData!$A:$A, $G215, NewEmisData!$B:$B, $A215, NewEmisData!$C:$C, $H215, NewEmisData!$D:$D, BM$6)</f>
        <v>39.441467642192301</v>
      </c>
      <c r="BN215" s="1111">
        <f>SUMIFS(NewEmisData!F:F, NewEmisData!$A:$A, $G215, NewEmisData!$B:$B, $A215, NewEmisData!$C:$C, $H215, NewEmisData!$D:$D, BN$6)</f>
        <v>29.135339922672099</v>
      </c>
      <c r="BO215" s="1111">
        <f>SUMIFS(NewEmisData!G:G, NewEmisData!$A:$A, $G215, NewEmisData!$B:$B, $A215, NewEmisData!$C:$C, $H215, NewEmisData!$D:$D, BO$6)</f>
        <v>19.258881049018001</v>
      </c>
      <c r="BP215" s="1111">
        <f>SUMIFS(NewEmisData!H:H, NewEmisData!$A:$A, $G215, NewEmisData!$B:$B, $A215, NewEmisData!$C:$C, $H215, NewEmisData!$D:$D, BP$6)</f>
        <v>17.4734501170478</v>
      </c>
      <c r="BQ215" s="1111">
        <f>SUMIFS(NewEmisData!I:I, NewEmisData!$A:$A, $G215, NewEmisData!$B:$B, $A215, NewEmisData!$C:$C, $H215, NewEmisData!$D:$D, BQ$6)</f>
        <v>17.337238430015301</v>
      </c>
      <c r="BR215" s="1111">
        <f>SUMIFS(NewEmisData!J:J, NewEmisData!$A:$A, $G215, NewEmisData!$B:$B, $A215, NewEmisData!$C:$C, $H215, NewEmisData!$D:$D, BR$6)</f>
        <v>17.524592153612701</v>
      </c>
      <c r="BS215" s="1111">
        <f>SUMIFS(NewEmisData!K:K, NewEmisData!$A:$A, $G215, NewEmisData!$B:$B, $A215, NewEmisData!$C:$C, $H215, NewEmisData!$D:$D, BS$6)</f>
        <v>17.768817804957902</v>
      </c>
      <c r="BT215" s="1111">
        <f>SUMIFS(NewEmisData!L:L, NewEmisData!$A:$A, $G215, NewEmisData!$B:$B, $A215, NewEmisData!$C:$C, $H215, NewEmisData!$D:$D, BT$6)</f>
        <v>17.8951685945812</v>
      </c>
      <c r="BU215" s="1111">
        <f>SUMIFS(NewEmisData!M:M, NewEmisData!$A:$A, $G215, NewEmisData!$B:$B, $A215, NewEmisData!$C:$C, $H215, NewEmisData!$D:$D, BU$6)</f>
        <v>17.960459006708199</v>
      </c>
      <c r="BV215" s="1111">
        <f t="shared" si="310"/>
        <v>17.960459006708199</v>
      </c>
      <c r="BW215" s="1111">
        <f t="shared" si="311"/>
        <v>2.13040906292176</v>
      </c>
      <c r="BX215" s="1111">
        <f>SUMIFS(NewEmisData!E:E, NewEmisData!$A:$A, $G215, NewEmisData!$B:$B, $A215, NewEmisData!$C:$C, $H215, NewEmisData!$D:$D, BX$6)</f>
        <v>2.13040906292176</v>
      </c>
      <c r="BY215" s="1111">
        <f>SUMIFS(NewEmisData!F:F, NewEmisData!$A:$A, $G215, NewEmisData!$B:$B, $A215, NewEmisData!$C:$C, $H215, NewEmisData!$D:$D, BY$6)</f>
        <v>1.66747382008761</v>
      </c>
      <c r="BZ215" s="1111">
        <f>SUMIFS(NewEmisData!G:G, NewEmisData!$A:$A, $G215, NewEmisData!$B:$B, $A215, NewEmisData!$C:$C, $H215, NewEmisData!$D:$D, BZ$6)</f>
        <v>0.70330303970302899</v>
      </c>
      <c r="CA215" s="1111">
        <f>SUMIFS(NewEmisData!H:H, NewEmisData!$A:$A, $G215, NewEmisData!$B:$B, $A215, NewEmisData!$C:$C, $H215, NewEmisData!$D:$D, CA$6)</f>
        <v>0.53546087421873401</v>
      </c>
      <c r="CB215" s="1111">
        <f>SUMIFS(NewEmisData!I:I, NewEmisData!$A:$A, $G215, NewEmisData!$B:$B, $A215, NewEmisData!$C:$C, $H215, NewEmisData!$D:$D, CB$6)</f>
        <v>0.48025579187888601</v>
      </c>
      <c r="CC215" s="1111">
        <f>SUMIFS(NewEmisData!J:J, NewEmisData!$A:$A, $G215, NewEmisData!$B:$B, $A215, NewEmisData!$C:$C, $H215, NewEmisData!$D:$D, CC$6)</f>
        <v>0.45829574772287202</v>
      </c>
      <c r="CD215" s="1111">
        <f>SUMIFS(NewEmisData!K:K, NewEmisData!$A:$A, $G215, NewEmisData!$B:$B, $A215, NewEmisData!$C:$C, $H215, NewEmisData!$D:$D, CD$6)</f>
        <v>0.45669528314480901</v>
      </c>
      <c r="CE215" s="1111">
        <f>SUMIFS(NewEmisData!L:L, NewEmisData!$A:$A, $G215, NewEmisData!$B:$B, $A215, NewEmisData!$C:$C, $H215, NewEmisData!$D:$D, CE$6)</f>
        <v>0.45728549159308601</v>
      </c>
      <c r="CF215" s="1111">
        <f>SUMIFS(NewEmisData!M:M, NewEmisData!$A:$A, $G215, NewEmisData!$B:$B, $A215, NewEmisData!$C:$C, $H215, NewEmisData!$D:$D, CF$6)</f>
        <v>0.457470611587183</v>
      </c>
      <c r="CG215" s="1111">
        <f t="shared" si="312"/>
        <v>0.457470611587183</v>
      </c>
      <c r="CH215" s="1111">
        <f t="shared" si="313"/>
        <v>4.4380144922912999E-2</v>
      </c>
      <c r="CI215" s="1111">
        <f>SUMIFS(NewEmisData!E:E, NewEmisData!$A:$A, $G215, NewEmisData!$B:$B, $A215, NewEmisData!$C:$C, $H215, NewEmisData!$D:$D, CI$6)</f>
        <v>4.4380144922912999E-2</v>
      </c>
      <c r="CJ215" s="1111">
        <f>SUMIFS(NewEmisData!F:F, NewEmisData!$A:$A, $G215, NewEmisData!$B:$B, $A215, NewEmisData!$C:$C, $H215, NewEmisData!$D:$D, CJ$6)</f>
        <v>4.4596792152345799E-2</v>
      </c>
      <c r="CK215" s="1111">
        <f>SUMIFS(NewEmisData!G:G, NewEmisData!$A:$A, $G215, NewEmisData!$B:$B, $A215, NewEmisData!$C:$C, $H215, NewEmisData!$D:$D, CK$6)</f>
        <v>5.2215385084052102E-2</v>
      </c>
      <c r="CL215" s="1111">
        <f>SUMIFS(NewEmisData!H:H, NewEmisData!$A:$A, $G215, NewEmisData!$B:$B, $A215, NewEmisData!$C:$C, $H215, NewEmisData!$D:$D, CL$6)</f>
        <v>5.2195799002688101E-2</v>
      </c>
      <c r="CM215" s="1111">
        <f>SUMIFS(NewEmisData!I:I, NewEmisData!$A:$A, $G215, NewEmisData!$B:$B, $A215, NewEmisData!$C:$C, $H215, NewEmisData!$D:$D, CM$6)</f>
        <v>5.2195910515594697E-2</v>
      </c>
      <c r="CN215" s="1111">
        <f>SUMIFS(NewEmisData!J:J, NewEmisData!$A:$A, $G215, NewEmisData!$B:$B, $A215, NewEmisData!$C:$C, $H215, NewEmisData!$D:$D, CN$6)</f>
        <v>5.2195169525564397E-2</v>
      </c>
      <c r="CO215" s="1111">
        <f>SUMIFS(NewEmisData!K:K, NewEmisData!$A:$A, $G215, NewEmisData!$B:$B, $A215, NewEmisData!$C:$C, $H215, NewEmisData!$D:$D, CO$6)</f>
        <v>5.21950010452591E-2</v>
      </c>
      <c r="CP215" s="1111">
        <f>SUMIFS(NewEmisData!L:L, NewEmisData!$A:$A, $G215, NewEmisData!$B:$B, $A215, NewEmisData!$C:$C, $H215, NewEmisData!$D:$D, CP$6)</f>
        <v>5.2194984268704697E-2</v>
      </c>
      <c r="CQ215" s="1111">
        <f>SUMIFS(NewEmisData!M:M, NewEmisData!$A:$A, $G215, NewEmisData!$B:$B, $A215, NewEmisData!$C:$C, $H215, NewEmisData!$D:$D, CQ$6)</f>
        <v>5.2195021896544298E-2</v>
      </c>
      <c r="CR215" s="1111">
        <f t="shared" si="314"/>
        <v>5.2195021896544298E-2</v>
      </c>
      <c r="CS215" s="1111">
        <f t="shared" si="315"/>
        <v>7.6133150476987599E-2</v>
      </c>
      <c r="CT215" s="1111">
        <f>SUMIFS(NewEmisData!E:E, NewEmisData!$A:$A, $G215, NewEmisData!$B:$B, $A215, NewEmisData!$C:$C, $H215, NewEmisData!$D:$D, CT$6)</f>
        <v>7.6133150476987599E-2</v>
      </c>
      <c r="CU215" s="1111">
        <f>SUMIFS(NewEmisData!F:F, NewEmisData!$A:$A, $G215, NewEmisData!$B:$B, $A215, NewEmisData!$C:$C, $H215, NewEmisData!$D:$D, CU$6)</f>
        <v>5.1439402812130802E-2</v>
      </c>
      <c r="CV215" s="1111">
        <f>SUMIFS(NewEmisData!G:G, NewEmisData!$A:$A, $G215, NewEmisData!$B:$B, $A215, NewEmisData!$C:$C, $H215, NewEmisData!$D:$D, CV$6)</f>
        <v>3.2083061737757199E-2</v>
      </c>
      <c r="CW215" s="1111">
        <f>SUMIFS(NewEmisData!H:H, NewEmisData!$A:$A, $G215, NewEmisData!$B:$B, $A215, NewEmisData!$C:$C, $H215, NewEmisData!$D:$D, CW$6)</f>
        <v>2.1832894937405999E-2</v>
      </c>
      <c r="CX215" s="1111">
        <f>SUMIFS(NewEmisData!I:I, NewEmisData!$A:$A, $G215, NewEmisData!$B:$B, $A215, NewEmisData!$C:$C, $H215, NewEmisData!$D:$D, CX$6)</f>
        <v>1.87474521093988E-2</v>
      </c>
      <c r="CY215" s="1111">
        <f>SUMIFS(NewEmisData!J:J, NewEmisData!$A:$A, $G215, NewEmisData!$B:$B, $A215, NewEmisData!$C:$C, $H215, NewEmisData!$D:$D, CY$6)</f>
        <v>1.78599084478736E-2</v>
      </c>
      <c r="CZ215" s="1111">
        <f>SUMIFS(NewEmisData!K:K, NewEmisData!$A:$A, $G215, NewEmisData!$B:$B, $A215, NewEmisData!$C:$C, $H215, NewEmisData!$D:$D, CZ$6)</f>
        <v>1.7770003763788299E-2</v>
      </c>
      <c r="DA215" s="1111">
        <f>SUMIFS(NewEmisData!L:L, NewEmisData!$A:$A, $G215, NewEmisData!$B:$B, $A215, NewEmisData!$C:$C, $H215, NewEmisData!$D:$D, DA$6)</f>
        <v>1.7699213019639601E-2</v>
      </c>
      <c r="DB215" s="1111">
        <f>SUMIFS(NewEmisData!M:M, NewEmisData!$A:$A, $G215, NewEmisData!$B:$B, $A215, NewEmisData!$C:$C, $H215, NewEmisData!$D:$D, DB$6)</f>
        <v>1.7745127181989399E-2</v>
      </c>
      <c r="DC215" s="1111">
        <f t="shared" si="316"/>
        <v>1.7745127181989399E-2</v>
      </c>
      <c r="DD215" s="1111"/>
      <c r="DE215" s="1111"/>
      <c r="DF215" s="1111"/>
      <c r="DG215" s="1111"/>
      <c r="DH215" s="1111"/>
      <c r="DI215" s="1111"/>
      <c r="DJ215" s="1111"/>
      <c r="DK215" s="1111"/>
      <c r="DL215" s="1111"/>
      <c r="DM215" s="1111"/>
      <c r="DN215" s="1111"/>
      <c r="DO215" s="1111"/>
      <c r="DP215" s="1111"/>
      <c r="DQ215" s="1111"/>
      <c r="DR215" s="1111"/>
      <c r="DS215" s="1111"/>
      <c r="DT215" s="1111"/>
      <c r="DU215" s="1111"/>
      <c r="DV215" s="1111"/>
      <c r="DW215" s="1111"/>
      <c r="DX215" s="1111"/>
      <c r="DY215" s="1111"/>
      <c r="DZ215" s="1111">
        <f t="shared" si="317"/>
        <v>6.6239633822982896E-2</v>
      </c>
      <c r="EA215" s="1111">
        <f>SUMIFS(NewEmisData!E:E, NewEmisData!$A:$A, $G215, NewEmisData!$B:$B, $A215, NewEmisData!$C:$C, $H215, NewEmisData!$D:$D, EA$6)</f>
        <v>6.6239633822982896E-2</v>
      </c>
      <c r="EB215" s="1111">
        <f>SUMIFS(NewEmisData!F:F, NewEmisData!$A:$A, $G215, NewEmisData!$B:$B, $A215, NewEmisData!$C:$C, $H215, NewEmisData!$D:$D, EB$6)</f>
        <v>6.0237802679566702E-2</v>
      </c>
      <c r="EC215" s="1111">
        <f>SUMIFS(NewEmisData!G:G, NewEmisData!$A:$A, $G215, NewEmisData!$B:$B, $A215, NewEmisData!$C:$C, $H215, NewEmisData!$D:$D, EC$6)</f>
        <v>2.4353204424718701E-2</v>
      </c>
      <c r="ED215" s="1111">
        <f>SUMIFS(NewEmisData!H:H, NewEmisData!$A:$A, $G215, NewEmisData!$B:$B, $A215, NewEmisData!$C:$C, $H215, NewEmisData!$D:$D, ED$6)</f>
        <v>2.2100119730100499E-2</v>
      </c>
      <c r="EE215" s="1111">
        <f>SUMIFS(NewEmisData!I:I, NewEmisData!$A:$A, $G215, NewEmisData!$B:$B, $A215, NewEmisData!$C:$C, $H215, NewEmisData!$D:$D, EE$6)</f>
        <v>2.1582561219103999E-2</v>
      </c>
      <c r="EF215" s="1111">
        <f>SUMIFS(NewEmisData!J:J, NewEmisData!$A:$A, $G215, NewEmisData!$B:$B, $A215, NewEmisData!$C:$C, $H215, NewEmisData!$D:$D, EF$6)</f>
        <v>2.1614176302122898E-2</v>
      </c>
      <c r="EG215" s="1111">
        <f>SUMIFS(NewEmisData!K:K, NewEmisData!$A:$A, $G215, NewEmisData!$B:$B, $A215, NewEmisData!$C:$C, $H215, NewEmisData!$D:$D, EG$6)</f>
        <v>2.1778598474770299E-2</v>
      </c>
      <c r="EH215" s="1111">
        <f>SUMIFS(NewEmisData!L:L, NewEmisData!$A:$A, $G215, NewEmisData!$B:$B, $A215, NewEmisData!$C:$C, $H215, NewEmisData!$D:$D, EH$6)</f>
        <v>2.1823465682415499E-2</v>
      </c>
      <c r="EI215" s="1111">
        <f>SUMIFS(NewEmisData!M:M, NewEmisData!$A:$A, $G215, NewEmisData!$B:$B, $A215, NewEmisData!$C:$C, $H215, NewEmisData!$D:$D, EI$6)</f>
        <v>2.1824961400636101E-2</v>
      </c>
      <c r="EJ215" s="1111">
        <f t="shared" si="318"/>
        <v>2.1824961400636101E-2</v>
      </c>
      <c r="EK215" s="1111">
        <f t="shared" si="319"/>
        <v>1204.2704996203399</v>
      </c>
      <c r="EL215" s="1111">
        <f t="shared" si="269"/>
        <v>1204.2704996203399</v>
      </c>
      <c r="EM215" s="1111">
        <f t="shared" si="270"/>
        <v>1280.9014839137801</v>
      </c>
      <c r="EN215" s="1111">
        <f t="shared" si="271"/>
        <v>1309.1277572440899</v>
      </c>
      <c r="EO215" s="1111">
        <f t="shared" si="272"/>
        <v>1277.5848439676099</v>
      </c>
      <c r="EP215" s="1111">
        <f t="shared" si="273"/>
        <v>1259.05503169493</v>
      </c>
      <c r="EQ215" s="1111">
        <f t="shared" si="274"/>
        <v>1254.08723086747</v>
      </c>
      <c r="ER215" s="1111">
        <f t="shared" si="275"/>
        <v>1252.90461894546</v>
      </c>
      <c r="ES215" s="1111">
        <f t="shared" si="276"/>
        <v>1252.7104430173399</v>
      </c>
      <c r="ET215" s="1111">
        <f t="shared" si="277"/>
        <v>1252.6870397442001</v>
      </c>
      <c r="EU215" s="1111">
        <f t="shared" si="278"/>
        <v>1252.6870397442001</v>
      </c>
      <c r="EV215" s="1111">
        <f t="shared" si="320"/>
        <v>4.3448715610080901</v>
      </c>
      <c r="EW215" s="1111">
        <f t="shared" si="259"/>
        <v>4.3448715610080901</v>
      </c>
      <c r="EX215" s="1111">
        <f t="shared" si="260"/>
        <v>2.68000771941229</v>
      </c>
      <c r="EY215" s="1111">
        <f t="shared" si="261"/>
        <v>1.2701406141530101</v>
      </c>
      <c r="EZ215" s="1111">
        <f t="shared" si="262"/>
        <v>0.89637025450783203</v>
      </c>
      <c r="FA215" s="1111">
        <f t="shared" si="263"/>
        <v>0.74230586472414295</v>
      </c>
      <c r="FB215" s="1111">
        <f t="shared" si="264"/>
        <v>0.67198096175904998</v>
      </c>
      <c r="FC215" s="1111">
        <f t="shared" si="265"/>
        <v>0.65082523068374698</v>
      </c>
      <c r="FD215" s="1111">
        <f t="shared" si="266"/>
        <v>0.64636795436825401</v>
      </c>
      <c r="FE215" s="1111">
        <f t="shared" si="267"/>
        <v>0.64488416341078902</v>
      </c>
      <c r="FF215" s="1111">
        <f t="shared" si="268"/>
        <v>0.64488416341078902</v>
      </c>
      <c r="FG215" s="1111">
        <f t="shared" si="291"/>
        <v>2.08381055217347E-2</v>
      </c>
      <c r="FH215" s="1111">
        <f t="shared" si="292"/>
        <v>2.08381055217347E-2</v>
      </c>
      <c r="FI215" s="1111">
        <f t="shared" si="293"/>
        <v>2.2164087103621902E-2</v>
      </c>
      <c r="FJ215" s="1111">
        <f t="shared" si="294"/>
        <v>1.8780122769194701E-2</v>
      </c>
      <c r="FK215" s="1111">
        <f t="shared" si="295"/>
        <v>1.8327610114874E-2</v>
      </c>
      <c r="FL215" s="1111">
        <f t="shared" si="296"/>
        <v>1.8061800865337901E-2</v>
      </c>
      <c r="FM215" s="1111">
        <f t="shared" si="297"/>
        <v>1.79905289884639E-2</v>
      </c>
      <c r="FN215" s="1111">
        <f t="shared" si="298"/>
        <v>1.7973564507445701E-2</v>
      </c>
      <c r="FO215" s="1111">
        <f t="shared" si="299"/>
        <v>1.7970784643505301E-2</v>
      </c>
      <c r="FP215" s="1111">
        <f t="shared" si="300"/>
        <v>1.7970446963254401E-2</v>
      </c>
      <c r="FQ215" s="1111">
        <f t="shared" si="301"/>
        <v>1.7970446963254401E-2</v>
      </c>
      <c r="FR215" s="1111">
        <f t="shared" si="230"/>
        <v>0.19574828311834699</v>
      </c>
      <c r="FS215" s="1111">
        <f t="shared" si="231"/>
        <v>0.19574828311834699</v>
      </c>
      <c r="FT215" s="1111">
        <f t="shared" si="232"/>
        <v>0.191259101148397</v>
      </c>
      <c r="FU215" s="1111">
        <f t="shared" si="233"/>
        <v>0.21457849181088401</v>
      </c>
      <c r="FV215" s="1111">
        <f t="shared" si="234"/>
        <v>0.215053494777702</v>
      </c>
      <c r="FW215" s="1111">
        <f t="shared" si="235"/>
        <v>0.21551298465650401</v>
      </c>
      <c r="FX215" s="1111">
        <f t="shared" si="236"/>
        <v>0.215835472913527</v>
      </c>
      <c r="FY215" s="1111">
        <f t="shared" si="237"/>
        <v>0.21602305396888299</v>
      </c>
      <c r="FZ215" s="1111">
        <f t="shared" si="238"/>
        <v>0.21608589786817001</v>
      </c>
      <c r="GA215" s="1111">
        <f t="shared" si="239"/>
        <v>0.216113244270948</v>
      </c>
      <c r="GB215" s="1111">
        <f t="shared" si="240"/>
        <v>0.216113244270948</v>
      </c>
      <c r="GC215" s="1111">
        <f t="shared" si="279"/>
        <v>4.1988899098410401E-2</v>
      </c>
      <c r="GD215" s="1111">
        <f t="shared" si="280"/>
        <v>4.1988899098410401E-2</v>
      </c>
      <c r="GE215" s="1111">
        <f t="shared" si="281"/>
        <v>4.04221270662211E-2</v>
      </c>
      <c r="GF215" s="1111">
        <f t="shared" si="282"/>
        <v>3.5246180151429399E-2</v>
      </c>
      <c r="GG215" s="1111">
        <f t="shared" si="283"/>
        <v>3.4950821311789601E-2</v>
      </c>
      <c r="GH215" s="1111">
        <f t="shared" si="284"/>
        <v>3.5285067945859602E-2</v>
      </c>
      <c r="GI215" s="1111">
        <f t="shared" si="285"/>
        <v>3.55346528981796E-2</v>
      </c>
      <c r="GJ215" s="1111">
        <f t="shared" si="286"/>
        <v>3.5692682330647998E-2</v>
      </c>
      <c r="GK215" s="1111">
        <f t="shared" si="287"/>
        <v>3.57464219039118E-2</v>
      </c>
      <c r="GL215" s="1111">
        <f t="shared" si="288"/>
        <v>3.5770424866643502E-2</v>
      </c>
      <c r="GM215" s="1111">
        <f t="shared" si="289"/>
        <v>3.5770424866643502E-2</v>
      </c>
    </row>
    <row r="216" spans="1:195" x14ac:dyDescent="0.2">
      <c r="A216" s="1071" t="s">
        <v>182</v>
      </c>
      <c r="B216" s="1071" t="str">
        <f>Technologies!C130</f>
        <v>TMCNGIM</v>
      </c>
      <c r="C216" s="1071" t="str">
        <f>Technologies!D130</f>
        <v>Medium Duty Truck, Improved CNG</v>
      </c>
      <c r="D216" s="1071" t="str">
        <f>NewTech!D82</f>
        <v>bn-vmt, bn-vmt/a</v>
      </c>
      <c r="E216" s="1071" t="str">
        <f>NewTech!E82</f>
        <v>TMCNG</v>
      </c>
      <c r="F216" s="1071" t="str">
        <f>NewTech!F83</f>
        <v>TM</v>
      </c>
      <c r="G216" s="1110" t="s">
        <v>503</v>
      </c>
      <c r="H216" s="1110" t="s">
        <v>500</v>
      </c>
      <c r="I216" s="1112">
        <v>1</v>
      </c>
      <c r="J216" s="1111" t="str">
        <f t="shared" si="302"/>
        <v>Medium duty-GSL</v>
      </c>
      <c r="K216" s="1111">
        <f>SUMIFS(NewEmisData!E:E, NewEmisData!$A:$A, $G216, NewEmisData!$B:$B, $A216, NewEmisData!$C:$C, $H216, NewEmisData!$D:$D, K$6)</f>
        <v>1241.60800343195</v>
      </c>
      <c r="L216" s="1111">
        <f>SUMIFS(NewEmisData!F:F, NewEmisData!$A:$A, $G216, NewEmisData!$B:$B, $A216, NewEmisData!$C:$C, $H216, NewEmisData!$D:$D, L$6)</f>
        <v>1243.08928499321</v>
      </c>
      <c r="M216" s="1111">
        <f>SUMIFS(NewEmisData!G:G, NewEmisData!$A:$A, $G216, NewEmisData!$B:$B, $A216, NewEmisData!$C:$C, $H216, NewEmisData!$D:$D, M$6)</f>
        <v>1559.7377784626201</v>
      </c>
      <c r="N216" s="1111">
        <f>SUMIFS(NewEmisData!H:H, NewEmisData!$A:$A, $G216, NewEmisData!$B:$B, $A216, NewEmisData!$C:$C, $H216, NewEmisData!$D:$D, N$6)</f>
        <v>1531.1148438857699</v>
      </c>
      <c r="O216" s="1111">
        <f>SUMIFS(NewEmisData!I:I, NewEmisData!$A:$A, $G216, NewEmisData!$B:$B, $A216, NewEmisData!$C:$C, $H216, NewEmisData!$D:$D, O$6)</f>
        <v>1508.7877657548299</v>
      </c>
      <c r="P216" s="1111">
        <f>SUMIFS(NewEmisData!J:J, NewEmisData!$A:$A, $G216, NewEmisData!$B:$B, $A216, NewEmisData!$C:$C, $H216, NewEmisData!$D:$D, P$6)</f>
        <v>1502.9671636844901</v>
      </c>
      <c r="Q216" s="1111">
        <f>SUMIFS(NewEmisData!K:K, NewEmisData!$A:$A, $G216, NewEmisData!$B:$B, $A216, NewEmisData!$C:$C, $H216, NewEmisData!$D:$D, Q$6)</f>
        <v>1501.4395842993699</v>
      </c>
      <c r="R216" s="1111">
        <f>SUMIFS(NewEmisData!L:L, NewEmisData!$A:$A, $G216, NewEmisData!$B:$B, $A216, NewEmisData!$C:$C, $H216, NewEmisData!$D:$D, R$6)</f>
        <v>1501.15044041939</v>
      </c>
      <c r="S216" s="1111">
        <f>SUMIFS(NewEmisData!M:M, NewEmisData!$A:$A, $G216, NewEmisData!$B:$B, $A216, NewEmisData!$C:$C, $H216, NewEmisData!$D:$D, S$6)</f>
        <v>1501.0860905019599</v>
      </c>
      <c r="T216" s="1111">
        <f t="shared" si="290"/>
        <v>1501.0860905019599</v>
      </c>
      <c r="U216" s="1111">
        <f>SUMIFS(NewEmisData!E:E, NewEmisData!$A:$A, $G216, NewEmisData!$B:$B, $A216, NewEmisData!$C:$C, $H216, NewEmisData!$D:$D, U$6)</f>
        <v>4.1625657526614797</v>
      </c>
      <c r="V216" s="1111">
        <f>SUMIFS(NewEmisData!F:F, NewEmisData!$A:$A, $G216, NewEmisData!$B:$B, $A216, NewEmisData!$C:$C, $H216, NewEmisData!$D:$D, V$6)</f>
        <v>2.1578815518962502</v>
      </c>
      <c r="W216" s="1111">
        <f>SUMIFS(NewEmisData!G:G, NewEmisData!$A:$A, $G216, NewEmisData!$B:$B, $A216, NewEmisData!$C:$C, $H216, NewEmisData!$D:$D, W$6)</f>
        <v>1.30274636086792</v>
      </c>
      <c r="X216" s="1111">
        <f>SUMIFS(NewEmisData!H:H, NewEmisData!$A:$A, $G216, NewEmisData!$B:$B, $A216, NewEmisData!$C:$C, $H216, NewEmisData!$D:$D, X$6)</f>
        <v>0.94297953696777803</v>
      </c>
      <c r="Y216" s="1111">
        <f>SUMIFS(NewEmisData!I:I, NewEmisData!$A:$A, $G216, NewEmisData!$B:$B, $A216, NewEmisData!$C:$C, $H216, NewEmisData!$D:$D, Y$6)</f>
        <v>0.78815258031283297</v>
      </c>
      <c r="Z216" s="1111">
        <f>SUMIFS(NewEmisData!J:J, NewEmisData!$A:$A, $G216, NewEmisData!$B:$B, $A216, NewEmisData!$C:$C, $H216, NewEmisData!$D:$D, Z$6)</f>
        <v>0.71799894873057002</v>
      </c>
      <c r="AA216" s="1111">
        <f>SUMIFS(NewEmisData!K:K, NewEmisData!$A:$A, $G216, NewEmisData!$B:$B, $A216, NewEmisData!$C:$C, $H216, NewEmisData!$D:$D, AA$6)</f>
        <v>0.69737659475245495</v>
      </c>
      <c r="AB216" s="1111">
        <f>SUMIFS(NewEmisData!L:L, NewEmisData!$A:$A, $G216, NewEmisData!$B:$B, $A216, NewEmisData!$C:$C, $H216, NewEmisData!$D:$D, AB$6)</f>
        <v>0.69289982108465797</v>
      </c>
      <c r="AC216" s="1111">
        <f>SUMIFS(NewEmisData!M:M, NewEmisData!$A:$A, $G216, NewEmisData!$B:$B, $A216, NewEmisData!$C:$C, $H216, NewEmisData!$D:$D, AC$6)</f>
        <v>0.69155412460857602</v>
      </c>
      <c r="AD216" s="1111">
        <f t="shared" si="229"/>
        <v>0.69155412460857602</v>
      </c>
      <c r="AE216" s="1111">
        <f t="shared" si="303"/>
        <v>2.1484176158971701E-2</v>
      </c>
      <c r="AF216" s="1111">
        <f>SUMIFS(NewEmisData!E:E, NewEmisData!$A:$A, $G216, NewEmisData!$B:$B, $A216, NewEmisData!$C:$C, $H216, NewEmisData!$D:$D, AF$6)</f>
        <v>2.1484176158971701E-2</v>
      </c>
      <c r="AG216" s="1111">
        <f>SUMIFS(NewEmisData!F:F, NewEmisData!$A:$A, $G216, NewEmisData!$B:$B, $A216, NewEmisData!$C:$C, $H216, NewEmisData!$D:$D, AG$6)</f>
        <v>2.1509817808633099E-2</v>
      </c>
      <c r="AH216" s="1111">
        <f>SUMIFS(NewEmisData!G:G, NewEmisData!$A:$A, $G216, NewEmisData!$B:$B, $A216, NewEmisData!$C:$C, $H216, NewEmisData!$D:$D, AH$6)</f>
        <v>2.2375249866597498E-2</v>
      </c>
      <c r="AI216" s="1111">
        <f>SUMIFS(NewEmisData!H:H, NewEmisData!$A:$A, $G216, NewEmisData!$B:$B, $A216, NewEmisData!$C:$C, $H216, NewEmisData!$D:$D, AI$6)</f>
        <v>2.1964641718838499E-2</v>
      </c>
      <c r="AJ216" s="1111">
        <f>SUMIFS(NewEmisData!I:I, NewEmisData!$A:$A, $G216, NewEmisData!$B:$B, $A216, NewEmisData!$C:$C, $H216, NewEmisData!$D:$D, AJ$6)</f>
        <v>2.1644351533378101E-2</v>
      </c>
      <c r="AK216" s="1111">
        <f>SUMIFS(NewEmisData!J:J, NewEmisData!$A:$A, $G216, NewEmisData!$B:$B, $A216, NewEmisData!$C:$C, $H216, NewEmisData!$D:$D, AK$6)</f>
        <v>2.1560851881015301E-2</v>
      </c>
      <c r="AL216" s="1111">
        <f>SUMIFS(NewEmisData!K:K, NewEmisData!$A:$A, $G216, NewEmisData!$B:$B, $A216, NewEmisData!$C:$C, $H216, NewEmisData!$D:$D, AL$6)</f>
        <v>2.1538927343366401E-2</v>
      </c>
      <c r="AM216" s="1111">
        <f>SUMIFS(NewEmisData!L:L, NewEmisData!$A:$A, $G216, NewEmisData!$B:$B, $A216, NewEmisData!$C:$C, $H216, NewEmisData!$D:$D, AM$6)</f>
        <v>2.1534775827773901E-2</v>
      </c>
      <c r="AN216" s="1111">
        <f>SUMIFS(NewEmisData!M:M, NewEmisData!$A:$A, $G216, NewEmisData!$B:$B, $A216, NewEmisData!$C:$C, $H216, NewEmisData!$D:$D, AN$6)</f>
        <v>2.15338577914834E-2</v>
      </c>
      <c r="AO216" s="1111">
        <f t="shared" si="304"/>
        <v>2.15338577914834E-2</v>
      </c>
      <c r="AP216" s="1111">
        <f t="shared" si="305"/>
        <v>0.205584171442245</v>
      </c>
      <c r="AQ216" s="1111">
        <f>SUMIFS(NewEmisData!E:E, NewEmisData!$A:$A, $G216, NewEmisData!$B:$B, $A216, NewEmisData!$C:$C, $H216, NewEmisData!$D:$D, AQ$6)</f>
        <v>0.205584171442245</v>
      </c>
      <c r="AR216" s="1111">
        <f>SUMIFS(NewEmisData!F:F, NewEmisData!$A:$A, $G216, NewEmisData!$B:$B, $A216, NewEmisData!$C:$C, $H216, NewEmisData!$D:$D, AR$6)</f>
        <v>0.200703686535146</v>
      </c>
      <c r="AS216" s="1111">
        <f>SUMIFS(NewEmisData!G:G, NewEmisData!$A:$A, $G216, NewEmisData!$B:$B, $A216, NewEmisData!$C:$C, $H216, NewEmisData!$D:$D, AS$6)</f>
        <v>0.298432150084874</v>
      </c>
      <c r="AT216" s="1111">
        <f>SUMIFS(NewEmisData!H:H, NewEmisData!$A:$A, $G216, NewEmisData!$B:$B, $A216, NewEmisData!$C:$C, $H216, NewEmisData!$D:$D, AT$6)</f>
        <v>0.29892439751761801</v>
      </c>
      <c r="AU216" s="1111">
        <f>SUMIFS(NewEmisData!I:I, NewEmisData!$A:$A, $G216, NewEmisData!$B:$B, $A216, NewEmisData!$C:$C, $H216, NewEmisData!$D:$D, AU$6)</f>
        <v>0.29942291421429901</v>
      </c>
      <c r="AV216" s="1111">
        <f>SUMIFS(NewEmisData!J:J, NewEmisData!$A:$A, $G216, NewEmisData!$B:$B, $A216, NewEmisData!$C:$C, $H216, NewEmisData!$D:$D, AV$6)</f>
        <v>0.29972619462258399</v>
      </c>
      <c r="AW216" s="1111">
        <f>SUMIFS(NewEmisData!K:K, NewEmisData!$A:$A, $G216, NewEmisData!$B:$B, $A216, NewEmisData!$C:$C, $H216, NewEmisData!$D:$D, AW$6)</f>
        <v>0.29988559432946199</v>
      </c>
      <c r="AX216" s="1111">
        <f>SUMIFS(NewEmisData!L:L, NewEmisData!$A:$A, $G216, NewEmisData!$B:$B, $A216, NewEmisData!$C:$C, $H216, NewEmisData!$D:$D, AX$6)</f>
        <v>0.29993582308119998</v>
      </c>
      <c r="AY216" s="1111">
        <f>SUMIFS(NewEmisData!M:M, NewEmisData!$A:$A, $G216, NewEmisData!$B:$B, $A216, NewEmisData!$C:$C, $H216, NewEmisData!$D:$D, AY$6)</f>
        <v>0.299955436334361</v>
      </c>
      <c r="AZ216" s="1111">
        <f t="shared" si="306"/>
        <v>0.299955436334361</v>
      </c>
      <c r="BA216" s="1111">
        <f t="shared" si="307"/>
        <v>3.9334690996451198E-2</v>
      </c>
      <c r="BB216" s="1111">
        <f>SUMIFS(NewEmisData!E:E, NewEmisData!$A:$A, $G216, NewEmisData!$B:$B, $A216, NewEmisData!$C:$C, $H216, NewEmisData!$D:$D, BB$6)</f>
        <v>3.9334690996451198E-2</v>
      </c>
      <c r="BC216" s="1111">
        <f>SUMIFS(NewEmisData!F:F, NewEmisData!$A:$A, $G216, NewEmisData!$B:$B, $A216, NewEmisData!$C:$C, $H216, NewEmisData!$D:$D, BC$6)</f>
        <v>3.4631534960308699E-2</v>
      </c>
      <c r="BD216" s="1111">
        <f>SUMIFS(NewEmisData!G:G, NewEmisData!$A:$A, $G216, NewEmisData!$B:$B, $A216, NewEmisData!$C:$C, $H216, NewEmisData!$D:$D, BD$6)</f>
        <v>4.5448906099466301E-2</v>
      </c>
      <c r="BE216" s="1111">
        <f>SUMIFS(NewEmisData!H:H, NewEmisData!$A:$A, $G216, NewEmisData!$B:$B, $A216, NewEmisData!$C:$C, $H216, NewEmisData!$D:$D, BE$6)</f>
        <v>4.5413592229635001E-2</v>
      </c>
      <c r="BF216" s="1111">
        <f>SUMIFS(NewEmisData!I:I, NewEmisData!$A:$A, $G216, NewEmisData!$B:$B, $A216, NewEmisData!$C:$C, $H216, NewEmisData!$D:$D, BF$6)</f>
        <v>4.5762266359602698E-2</v>
      </c>
      <c r="BG216" s="1111">
        <f>SUMIFS(NewEmisData!J:J, NewEmisData!$A:$A, $G216, NewEmisData!$B:$B, $A216, NewEmisData!$C:$C, $H216, NewEmisData!$D:$D, BG$6)</f>
        <v>4.6004282113656897E-2</v>
      </c>
      <c r="BH216" s="1111">
        <f>SUMIFS(NewEmisData!K:K, NewEmisData!$A:$A, $G216, NewEmisData!$B:$B, $A216, NewEmisData!$C:$C, $H216, NewEmisData!$D:$D, BH$6)</f>
        <v>4.6139436899626303E-2</v>
      </c>
      <c r="BI216" s="1111">
        <f>SUMIFS(NewEmisData!L:L, NewEmisData!$A:$A, $G216, NewEmisData!$B:$B, $A216, NewEmisData!$C:$C, $H216, NewEmisData!$D:$D, BI$6)</f>
        <v>4.6182051454262997E-2</v>
      </c>
      <c r="BJ216" s="1111">
        <f>SUMIFS(NewEmisData!M:M, NewEmisData!$A:$A, $G216, NewEmisData!$B:$B, $A216, NewEmisData!$C:$C, $H216, NewEmisData!$D:$D, BJ$6)</f>
        <v>4.6199279391049702E-2</v>
      </c>
      <c r="BK216" s="1111">
        <f t="shared" si="308"/>
        <v>4.6199279391049702E-2</v>
      </c>
      <c r="BL216" s="1111">
        <f t="shared" si="309"/>
        <v>35.379082211376598</v>
      </c>
      <c r="BM216" s="1111">
        <f>SUMIFS(NewEmisData!E:E, NewEmisData!$A:$A, $G216, NewEmisData!$B:$B, $A216, NewEmisData!$C:$C, $H216, NewEmisData!$D:$D, BM$6)</f>
        <v>35.379082211376598</v>
      </c>
      <c r="BN216" s="1111">
        <f>SUMIFS(NewEmisData!F:F, NewEmisData!$A:$A, $G216, NewEmisData!$B:$B, $A216, NewEmisData!$C:$C, $H216, NewEmisData!$D:$D, BN$6)</f>
        <v>20.9802918509032</v>
      </c>
      <c r="BO216" s="1111">
        <f>SUMIFS(NewEmisData!G:G, NewEmisData!$A:$A, $G216, NewEmisData!$B:$B, $A216, NewEmisData!$C:$C, $H216, NewEmisData!$D:$D, BO$6)</f>
        <v>14.8071744303823</v>
      </c>
      <c r="BP216" s="1111">
        <f>SUMIFS(NewEmisData!H:H, NewEmisData!$A:$A, $G216, NewEmisData!$B:$B, $A216, NewEmisData!$C:$C, $H216, NewEmisData!$D:$D, BP$6)</f>
        <v>12.7817736031308</v>
      </c>
      <c r="BQ216" s="1111">
        <f>SUMIFS(NewEmisData!I:I, NewEmisData!$A:$A, $G216, NewEmisData!$B:$B, $A216, NewEmisData!$C:$C, $H216, NewEmisData!$D:$D, BQ$6)</f>
        <v>12.249879427369301</v>
      </c>
      <c r="BR216" s="1111">
        <f>SUMIFS(NewEmisData!J:J, NewEmisData!$A:$A, $G216, NewEmisData!$B:$B, $A216, NewEmisData!$C:$C, $H216, NewEmisData!$D:$D, BR$6)</f>
        <v>12.1493449959291</v>
      </c>
      <c r="BS216" s="1111">
        <f>SUMIFS(NewEmisData!K:K, NewEmisData!$A:$A, $G216, NewEmisData!$B:$B, $A216, NewEmisData!$C:$C, $H216, NewEmisData!$D:$D, BS$6)</f>
        <v>12.229795867911401</v>
      </c>
      <c r="BT216" s="1111">
        <f>SUMIFS(NewEmisData!L:L, NewEmisData!$A:$A, $G216, NewEmisData!$B:$B, $A216, NewEmisData!$C:$C, $H216, NewEmisData!$D:$D, BT$6)</f>
        <v>12.2882488120452</v>
      </c>
      <c r="BU216" s="1111">
        <f>SUMIFS(NewEmisData!M:M, NewEmisData!$A:$A, $G216, NewEmisData!$B:$B, $A216, NewEmisData!$C:$C, $H216, NewEmisData!$D:$D, BU$6)</f>
        <v>12.321950956593</v>
      </c>
      <c r="BV216" s="1111">
        <f t="shared" si="310"/>
        <v>12.321950956593</v>
      </c>
      <c r="BW216" s="1111">
        <f t="shared" si="311"/>
        <v>1.87362575135703</v>
      </c>
      <c r="BX216" s="1111">
        <f>SUMIFS(NewEmisData!E:E, NewEmisData!$A:$A, $G216, NewEmisData!$B:$B, $A216, NewEmisData!$C:$C, $H216, NewEmisData!$D:$D, BX$6)</f>
        <v>1.87362575135703</v>
      </c>
      <c r="BY216" s="1111">
        <f>SUMIFS(NewEmisData!F:F, NewEmisData!$A:$A, $G216, NewEmisData!$B:$B, $A216, NewEmisData!$C:$C, $H216, NewEmisData!$D:$D, BY$6)</f>
        <v>1.0527291712428299</v>
      </c>
      <c r="BZ216" s="1111">
        <f>SUMIFS(NewEmisData!G:G, NewEmisData!$A:$A, $G216, NewEmisData!$B:$B, $A216, NewEmisData!$C:$C, $H216, NewEmisData!$D:$D, BZ$6)</f>
        <v>0.690616026658735</v>
      </c>
      <c r="CA216" s="1111">
        <f>SUMIFS(NewEmisData!H:H, NewEmisData!$A:$A, $G216, NewEmisData!$B:$B, $A216, NewEmisData!$C:$C, $H216, NewEmisData!$D:$D, CA$6)</f>
        <v>0.54311164322371697</v>
      </c>
      <c r="CB216" s="1111">
        <f>SUMIFS(NewEmisData!I:I, NewEmisData!$A:$A, $G216, NewEmisData!$B:$B, $A216, NewEmisData!$C:$C, $H216, NewEmisData!$D:$D, CB$6)</f>
        <v>0.48887057427966502</v>
      </c>
      <c r="CC216" s="1111">
        <f>SUMIFS(NewEmisData!J:J, NewEmisData!$A:$A, $G216, NewEmisData!$B:$B, $A216, NewEmisData!$C:$C, $H216, NewEmisData!$D:$D, CC$6)</f>
        <v>0.46684418132935501</v>
      </c>
      <c r="CD216" s="1111">
        <f>SUMIFS(NewEmisData!K:K, NewEmisData!$A:$A, $G216, NewEmisData!$B:$B, $A216, NewEmisData!$C:$C, $H216, NewEmisData!$D:$D, CD$6)</f>
        <v>0.46389956383150999</v>
      </c>
      <c r="CE216" s="1111">
        <f>SUMIFS(NewEmisData!L:L, NewEmisData!$A:$A, $G216, NewEmisData!$B:$B, $A216, NewEmisData!$C:$C, $H216, NewEmisData!$D:$D, CE$6)</f>
        <v>0.46392493269586499</v>
      </c>
      <c r="CF216" s="1111">
        <f>SUMIFS(NewEmisData!M:M, NewEmisData!$A:$A, $G216, NewEmisData!$B:$B, $A216, NewEmisData!$C:$C, $H216, NewEmisData!$D:$D, CF$6)</f>
        <v>0.46396365606422402</v>
      </c>
      <c r="CG216" s="1111">
        <f t="shared" si="312"/>
        <v>0.46396365606422402</v>
      </c>
      <c r="CH216" s="1111">
        <f t="shared" si="313"/>
        <v>4.5385046654151703E-2</v>
      </c>
      <c r="CI216" s="1111">
        <f>SUMIFS(NewEmisData!E:E, NewEmisData!$A:$A, $G216, NewEmisData!$B:$B, $A216, NewEmisData!$C:$C, $H216, NewEmisData!$D:$D, CI$6)</f>
        <v>4.5385046654151703E-2</v>
      </c>
      <c r="CJ216" s="1111">
        <f>SUMIFS(NewEmisData!F:F, NewEmisData!$A:$A, $G216, NewEmisData!$B:$B, $A216, NewEmisData!$C:$C, $H216, NewEmisData!$D:$D, CJ$6)</f>
        <v>4.5393164724417102E-2</v>
      </c>
      <c r="CK216" s="1111">
        <f>SUMIFS(NewEmisData!G:G, NewEmisData!$A:$A, $G216, NewEmisData!$B:$B, $A216, NewEmisData!$C:$C, $H216, NewEmisData!$D:$D, CK$6)</f>
        <v>6.2513239349190994E-2</v>
      </c>
      <c r="CL216" s="1111">
        <f>SUMIFS(NewEmisData!H:H, NewEmisData!$A:$A, $G216, NewEmisData!$B:$B, $A216, NewEmisData!$C:$C, $H216, NewEmisData!$D:$D, CL$6)</f>
        <v>6.2512411846424906E-2</v>
      </c>
      <c r="CM216" s="1111">
        <f>SUMIFS(NewEmisData!I:I, NewEmisData!$A:$A, $G216, NewEmisData!$B:$B, $A216, NewEmisData!$C:$C, $H216, NewEmisData!$D:$D, CM$6)</f>
        <v>6.2512421474567897E-2</v>
      </c>
      <c r="CN216" s="1111">
        <f>SUMIFS(NewEmisData!J:J, NewEmisData!$A:$A, $G216, NewEmisData!$B:$B, $A216, NewEmisData!$C:$C, $H216, NewEmisData!$D:$D, CN$6)</f>
        <v>6.2512452306065502E-2</v>
      </c>
      <c r="CO216" s="1111">
        <f>SUMIFS(NewEmisData!K:K, NewEmisData!$A:$A, $G216, NewEmisData!$B:$B, $A216, NewEmisData!$C:$C, $H216, NewEmisData!$D:$D, CO$6)</f>
        <v>6.2512380916104907E-2</v>
      </c>
      <c r="CP216" s="1111">
        <f>SUMIFS(NewEmisData!L:L, NewEmisData!$A:$A, $G216, NewEmisData!$B:$B, $A216, NewEmisData!$C:$C, $H216, NewEmisData!$D:$D, CP$6)</f>
        <v>6.2512436309679606E-2</v>
      </c>
      <c r="CQ216" s="1111">
        <f>SUMIFS(NewEmisData!M:M, NewEmisData!$A:$A, $G216, NewEmisData!$B:$B, $A216, NewEmisData!$C:$C, $H216, NewEmisData!$D:$D, CQ$6)</f>
        <v>6.2512445317614407E-2</v>
      </c>
      <c r="CR216" s="1111">
        <f t="shared" si="314"/>
        <v>6.2512445317614407E-2</v>
      </c>
      <c r="CS216" s="1111">
        <f t="shared" si="315"/>
        <v>6.7564687236939897E-2</v>
      </c>
      <c r="CT216" s="1111">
        <f>SUMIFS(NewEmisData!E:E, NewEmisData!$A:$A, $G216, NewEmisData!$B:$B, $A216, NewEmisData!$C:$C, $H216, NewEmisData!$D:$D, CT$6)</f>
        <v>6.7564687236939897E-2</v>
      </c>
      <c r="CU216" s="1111">
        <f>SUMIFS(NewEmisData!F:F, NewEmisData!$A:$A, $G216, NewEmisData!$B:$B, $A216, NewEmisData!$C:$C, $H216, NewEmisData!$D:$D, CU$6)</f>
        <v>3.8153498607861998E-2</v>
      </c>
      <c r="CV216" s="1111">
        <f>SUMIFS(NewEmisData!G:G, NewEmisData!$A:$A, $G216, NewEmisData!$B:$B, $A216, NewEmisData!$C:$C, $H216, NewEmisData!$D:$D, CV$6)</f>
        <v>2.81821158126641E-2</v>
      </c>
      <c r="CW216" s="1111">
        <f>SUMIFS(NewEmisData!H:H, NewEmisData!$A:$A, $G216, NewEmisData!$B:$B, $A216, NewEmisData!$C:$C, $H216, NewEmisData!$D:$D, CW$6)</f>
        <v>1.9443003989977701E-2</v>
      </c>
      <c r="CX216" s="1111">
        <f>SUMIFS(NewEmisData!I:I, NewEmisData!$A:$A, $G216, NewEmisData!$B:$B, $A216, NewEmisData!$C:$C, $H216, NewEmisData!$D:$D, CX$6)</f>
        <v>1.7080157869544602E-2</v>
      </c>
      <c r="CY216" s="1111">
        <f>SUMIFS(NewEmisData!J:J, NewEmisData!$A:$A, $G216, NewEmisData!$B:$B, $A216, NewEmisData!$C:$C, $H216, NewEmisData!$D:$D, CY$6)</f>
        <v>1.6424318186297401E-2</v>
      </c>
      <c r="CZ216" s="1111">
        <f>SUMIFS(NewEmisData!K:K, NewEmisData!$A:$A, $G216, NewEmisData!$B:$B, $A216, NewEmisData!$C:$C, $H216, NewEmisData!$D:$D, CZ$6)</f>
        <v>1.63466414048998E-2</v>
      </c>
      <c r="DA216" s="1111">
        <f>SUMIFS(NewEmisData!L:L, NewEmisData!$A:$A, $G216, NewEmisData!$B:$B, $A216, NewEmisData!$C:$C, $H216, NewEmisData!$D:$D, DA$6)</f>
        <v>1.6299016097018101E-2</v>
      </c>
      <c r="DB216" s="1111">
        <f>SUMIFS(NewEmisData!M:M, NewEmisData!$A:$A, $G216, NewEmisData!$B:$B, $A216, NewEmisData!$C:$C, $H216, NewEmisData!$D:$D, DB$6)</f>
        <v>1.6325096857781201E-2</v>
      </c>
      <c r="DC216" s="1111">
        <f t="shared" si="316"/>
        <v>1.6325096857781201E-2</v>
      </c>
      <c r="DD216" s="1111">
        <v>8.4892895966475739E-3</v>
      </c>
      <c r="DE216" s="1111">
        <v>5.6212986616763754E-3</v>
      </c>
      <c r="DF216" s="1111">
        <v>3.3463487561708246E-3</v>
      </c>
      <c r="DG216" s="1111">
        <v>2.7660430299124659E-3</v>
      </c>
      <c r="DH216" s="1111">
        <v>2.682529091392567E-3</v>
      </c>
      <c r="DI216" s="1111">
        <v>2.703528873173607E-3</v>
      </c>
      <c r="DJ216" s="1111">
        <v>2.7128611055472259E-3</v>
      </c>
      <c r="DK216" s="1111">
        <v>2.7072751179577333E-3</v>
      </c>
      <c r="DL216" s="1111">
        <v>2.7166296978826691E-3</v>
      </c>
      <c r="DM216" s="1111">
        <v>2.7267399324404202E-3</v>
      </c>
      <c r="DN216" s="1111">
        <v>2.7267399324404202E-3</v>
      </c>
      <c r="DO216" s="1111">
        <v>2.7529093789717789E-2</v>
      </c>
      <c r="DP216" s="1111">
        <v>1.8547410667972192E-2</v>
      </c>
      <c r="DQ216" s="1111">
        <v>1.0623092960258752E-2</v>
      </c>
      <c r="DR216" s="1111">
        <v>8.2487146441313514E-3</v>
      </c>
      <c r="DS216" s="1111">
        <v>8.1824854069421117E-3</v>
      </c>
      <c r="DT216" s="1111">
        <v>8.1902625366083396E-3</v>
      </c>
      <c r="DU216" s="1111">
        <v>8.1985958492518836E-3</v>
      </c>
      <c r="DV216" s="1111">
        <v>8.1775758900627226E-3</v>
      </c>
      <c r="DW216" s="1111">
        <v>8.1943266682995095E-3</v>
      </c>
      <c r="DX216" s="1111">
        <v>8.2124081867554939E-3</v>
      </c>
      <c r="DY216" s="1111">
        <v>8.2124081867554939E-3</v>
      </c>
      <c r="DZ216" s="1111">
        <f t="shared" si="317"/>
        <v>5.0339270700679999E-2</v>
      </c>
      <c r="EA216" s="1111">
        <f>SUMIFS(NewEmisData!E:E, NewEmisData!$A:$A, $G216, NewEmisData!$B:$B, $A216, NewEmisData!$C:$C, $H216, NewEmisData!$D:$D, EA$6)</f>
        <v>5.0339270700679999E-2</v>
      </c>
      <c r="EB216" s="1111">
        <f>SUMIFS(NewEmisData!F:F, NewEmisData!$A:$A, $G216, NewEmisData!$B:$B, $A216, NewEmisData!$C:$C, $H216, NewEmisData!$D:$D, EB$6)</f>
        <v>2.98546172534019E-2</v>
      </c>
      <c r="EC216" s="1111">
        <f>SUMIFS(NewEmisData!G:G, NewEmisData!$A:$A, $G216, NewEmisData!$B:$B, $A216, NewEmisData!$C:$C, $H216, NewEmisData!$D:$D, EC$6)</f>
        <v>1.7913674894860999E-2</v>
      </c>
      <c r="ED216" s="1111">
        <f>SUMIFS(NewEmisData!H:H, NewEmisData!$A:$A, $G216, NewEmisData!$B:$B, $A216, NewEmisData!$C:$C, $H216, NewEmisData!$D:$D, ED$6)</f>
        <v>1.54314271118329E-2</v>
      </c>
      <c r="EE216" s="1111">
        <f>SUMIFS(NewEmisData!I:I, NewEmisData!$A:$A, $G216, NewEmisData!$B:$B, $A216, NewEmisData!$C:$C, $H216, NewEmisData!$D:$D, EE$6)</f>
        <v>1.4729599669098301E-2</v>
      </c>
      <c r="EF216" s="1111">
        <f>SUMIFS(NewEmisData!J:J, NewEmisData!$A:$A, $G216, NewEmisData!$B:$B, $A216, NewEmisData!$C:$C, $H216, NewEmisData!$D:$D, EF$6)</f>
        <v>1.46060589575112E-2</v>
      </c>
      <c r="EG216" s="1111">
        <f>SUMIFS(NewEmisData!K:K, NewEmisData!$A:$A, $G216, NewEmisData!$B:$B, $A216, NewEmisData!$C:$C, $H216, NewEmisData!$D:$D, EG$6)</f>
        <v>1.4662699121929501E-2</v>
      </c>
      <c r="EH216" s="1111">
        <f>SUMIFS(NewEmisData!L:L, NewEmisData!$A:$A, $G216, NewEmisData!$B:$B, $A216, NewEmisData!$C:$C, $H216, NewEmisData!$D:$D, EH$6)</f>
        <v>1.46806856975942E-2</v>
      </c>
      <c r="EI216" s="1111">
        <f>SUMIFS(NewEmisData!M:M, NewEmisData!$A:$A, $G216, NewEmisData!$B:$B, $A216, NewEmisData!$C:$C, $H216, NewEmisData!$D:$D, EI$6)</f>
        <v>1.4680172285676999E-2</v>
      </c>
      <c r="EJ216" s="1111">
        <f t="shared" si="318"/>
        <v>1.4680172285676999E-2</v>
      </c>
      <c r="EK216" s="1111">
        <f t="shared" si="319"/>
        <v>1241.60800343195</v>
      </c>
      <c r="EL216" s="1111">
        <f t="shared" si="269"/>
        <v>1241.60800343195</v>
      </c>
      <c r="EM216" s="1111">
        <f t="shared" si="270"/>
        <v>1243.08928499321</v>
      </c>
      <c r="EN216" s="1111">
        <f t="shared" si="271"/>
        <v>1559.7377784626201</v>
      </c>
      <c r="EO216" s="1111">
        <f t="shared" si="272"/>
        <v>1531.1148438857699</v>
      </c>
      <c r="EP216" s="1111">
        <f t="shared" si="273"/>
        <v>1508.7877657548299</v>
      </c>
      <c r="EQ216" s="1111">
        <f t="shared" si="274"/>
        <v>1502.9671636844901</v>
      </c>
      <c r="ER216" s="1111">
        <f t="shared" si="275"/>
        <v>1501.4395842993699</v>
      </c>
      <c r="ES216" s="1111">
        <f t="shared" si="276"/>
        <v>1501.15044041939</v>
      </c>
      <c r="ET216" s="1111">
        <f t="shared" si="277"/>
        <v>1501.0860905019599</v>
      </c>
      <c r="EU216" s="1111">
        <f t="shared" si="278"/>
        <v>1501.0860905019599</v>
      </c>
      <c r="EV216" s="1111">
        <f t="shared" si="320"/>
        <v>4.1625657526614797</v>
      </c>
      <c r="EW216" s="1111">
        <f t="shared" si="259"/>
        <v>4.1625657526614797</v>
      </c>
      <c r="EX216" s="1111">
        <f t="shared" si="260"/>
        <v>2.1578815518962502</v>
      </c>
      <c r="EY216" s="1111">
        <f t="shared" si="261"/>
        <v>1.30274636086792</v>
      </c>
      <c r="EZ216" s="1111">
        <f t="shared" si="262"/>
        <v>0.94297953696777803</v>
      </c>
      <c r="FA216" s="1111">
        <f t="shared" si="263"/>
        <v>0.78815258031283297</v>
      </c>
      <c r="FB216" s="1111">
        <f t="shared" si="264"/>
        <v>0.71799894873057002</v>
      </c>
      <c r="FC216" s="1111">
        <f t="shared" si="265"/>
        <v>0.69737659475245495</v>
      </c>
      <c r="FD216" s="1111">
        <f t="shared" si="266"/>
        <v>0.69289982108465797</v>
      </c>
      <c r="FE216" s="1111">
        <f t="shared" si="267"/>
        <v>0.69155412460857602</v>
      </c>
      <c r="FF216" s="1111">
        <f t="shared" si="268"/>
        <v>0.69155412460857602</v>
      </c>
      <c r="FG216" s="1111">
        <f t="shared" si="291"/>
        <v>2.1484176158971701E-2</v>
      </c>
      <c r="FH216" s="1111">
        <f t="shared" si="292"/>
        <v>2.1484176158971701E-2</v>
      </c>
      <c r="FI216" s="1111">
        <f t="shared" si="293"/>
        <v>2.1509817808633099E-2</v>
      </c>
      <c r="FJ216" s="1111">
        <f t="shared" si="294"/>
        <v>2.2375249866597498E-2</v>
      </c>
      <c r="FK216" s="1111">
        <f t="shared" si="295"/>
        <v>2.1964641718838499E-2</v>
      </c>
      <c r="FL216" s="1111">
        <f t="shared" si="296"/>
        <v>2.1644351533378101E-2</v>
      </c>
      <c r="FM216" s="1111">
        <f t="shared" si="297"/>
        <v>2.1560851881015301E-2</v>
      </c>
      <c r="FN216" s="1111">
        <f t="shared" si="298"/>
        <v>2.1538927343366401E-2</v>
      </c>
      <c r="FO216" s="1111">
        <f t="shared" si="299"/>
        <v>2.1534775827773901E-2</v>
      </c>
      <c r="FP216" s="1111">
        <f t="shared" si="300"/>
        <v>2.15338577914834E-2</v>
      </c>
      <c r="FQ216" s="1111">
        <f t="shared" si="301"/>
        <v>2.15338577914834E-2</v>
      </c>
      <c r="FR216" s="1111">
        <f t="shared" si="230"/>
        <v>0.205584171442245</v>
      </c>
      <c r="FS216" s="1111">
        <f t="shared" si="231"/>
        <v>0.205584171442245</v>
      </c>
      <c r="FT216" s="1111">
        <f t="shared" si="232"/>
        <v>0.200703686535146</v>
      </c>
      <c r="FU216" s="1111">
        <f t="shared" si="233"/>
        <v>0.298432150084874</v>
      </c>
      <c r="FV216" s="1111">
        <f t="shared" si="234"/>
        <v>0.29892439751761801</v>
      </c>
      <c r="FW216" s="1111">
        <f t="shared" si="235"/>
        <v>0.29942291421429901</v>
      </c>
      <c r="FX216" s="1111">
        <f t="shared" si="236"/>
        <v>0.29972619462258399</v>
      </c>
      <c r="FY216" s="1111">
        <f t="shared" si="237"/>
        <v>0.29988559432946199</v>
      </c>
      <c r="FZ216" s="1111">
        <f t="shared" si="238"/>
        <v>0.29993582308119998</v>
      </c>
      <c r="GA216" s="1111">
        <f t="shared" si="239"/>
        <v>0.299955436334361</v>
      </c>
      <c r="GB216" s="1111">
        <f t="shared" si="240"/>
        <v>0.299955436334361</v>
      </c>
      <c r="GC216" s="1111">
        <f t="shared" si="279"/>
        <v>3.9334690996451198E-2</v>
      </c>
      <c r="GD216" s="1111">
        <f t="shared" si="280"/>
        <v>3.9334690996451198E-2</v>
      </c>
      <c r="GE216" s="1111">
        <f t="shared" si="281"/>
        <v>3.4631534960308699E-2</v>
      </c>
      <c r="GF216" s="1111">
        <f t="shared" si="282"/>
        <v>4.5448906099466301E-2</v>
      </c>
      <c r="GG216" s="1111">
        <f t="shared" si="283"/>
        <v>4.5413592229635001E-2</v>
      </c>
      <c r="GH216" s="1111">
        <f t="shared" si="284"/>
        <v>4.5762266359602698E-2</v>
      </c>
      <c r="GI216" s="1111">
        <f t="shared" si="285"/>
        <v>4.6004282113656897E-2</v>
      </c>
      <c r="GJ216" s="1111">
        <f t="shared" si="286"/>
        <v>4.6139436899626303E-2</v>
      </c>
      <c r="GK216" s="1111">
        <f t="shared" si="287"/>
        <v>4.6182051454262997E-2</v>
      </c>
      <c r="GL216" s="1111">
        <f t="shared" si="288"/>
        <v>4.6199279391049702E-2</v>
      </c>
      <c r="GM216" s="1111">
        <f t="shared" si="289"/>
        <v>4.6199279391049702E-2</v>
      </c>
    </row>
    <row r="217" spans="1:195" x14ac:dyDescent="0.2">
      <c r="A217" s="1071" t="s">
        <v>184</v>
      </c>
      <c r="B217" s="1071" t="str">
        <f>Technologies!C130</f>
        <v>TMCNGIM</v>
      </c>
      <c r="C217" s="1071" t="str">
        <f>Technologies!D130</f>
        <v>Medium Duty Truck, Improved CNG</v>
      </c>
      <c r="D217" s="1071" t="str">
        <f>NewTech!D82</f>
        <v>bn-vmt, bn-vmt/a</v>
      </c>
      <c r="E217" s="1071" t="str">
        <f>NewTech!E82</f>
        <v>TMCNG</v>
      </c>
      <c r="F217" s="1071" t="str">
        <f>NewTech!F83</f>
        <v>TM</v>
      </c>
      <c r="G217" s="1110" t="s">
        <v>503</v>
      </c>
      <c r="H217" s="1110" t="s">
        <v>500</v>
      </c>
      <c r="I217" s="1112">
        <v>1</v>
      </c>
      <c r="J217" s="1111" t="str">
        <f t="shared" si="302"/>
        <v>Medium duty-GSL</v>
      </c>
      <c r="K217" s="1111">
        <f>SUMIFS(NewEmisData!E:E, NewEmisData!$A:$A, $G217, NewEmisData!$B:$B, $A217, NewEmisData!$C:$C, $H217, NewEmisData!$D:$D, K$6)</f>
        <v>1125.6531994791601</v>
      </c>
      <c r="L217" s="1111">
        <f>SUMIFS(NewEmisData!F:F, NewEmisData!$A:$A, $G217, NewEmisData!$B:$B, $A217, NewEmisData!$C:$C, $H217, NewEmisData!$D:$D, L$6)</f>
        <v>1129.51230354672</v>
      </c>
      <c r="M217" s="1111">
        <f>SUMIFS(NewEmisData!G:G, NewEmisData!$A:$A, $G217, NewEmisData!$B:$B, $A217, NewEmisData!$C:$C, $H217, NewEmisData!$D:$D, M$6)</f>
        <v>1334.28865010909</v>
      </c>
      <c r="N217" s="1111">
        <f>SUMIFS(NewEmisData!H:H, NewEmisData!$A:$A, $G217, NewEmisData!$B:$B, $A217, NewEmisData!$C:$C, $H217, NewEmisData!$D:$D, N$6)</f>
        <v>1309.4477161980601</v>
      </c>
      <c r="O217" s="1111">
        <f>SUMIFS(NewEmisData!I:I, NewEmisData!$A:$A, $G217, NewEmisData!$B:$B, $A217, NewEmisData!$C:$C, $H217, NewEmisData!$D:$D, O$6)</f>
        <v>1290.2789800169201</v>
      </c>
      <c r="P217" s="1111">
        <f>SUMIFS(NewEmisData!J:J, NewEmisData!$A:$A, $G217, NewEmisData!$B:$B, $A217, NewEmisData!$C:$C, $H217, NewEmisData!$D:$D, P$6)</f>
        <v>1285.24459420581</v>
      </c>
      <c r="Q217" s="1111">
        <f>SUMIFS(NewEmisData!K:K, NewEmisData!$A:$A, $G217, NewEmisData!$B:$B, $A217, NewEmisData!$C:$C, $H217, NewEmisData!$D:$D, Q$6)</f>
        <v>1283.9086141387199</v>
      </c>
      <c r="R217" s="1111">
        <f>SUMIFS(NewEmisData!L:L, NewEmisData!$A:$A, $G217, NewEmisData!$B:$B, $A217, NewEmisData!$C:$C, $H217, NewEmisData!$D:$D, R$6)</f>
        <v>1283.64917953798</v>
      </c>
      <c r="S217" s="1111">
        <f>SUMIFS(NewEmisData!M:M, NewEmisData!$A:$A, $G217, NewEmisData!$B:$B, $A217, NewEmisData!$C:$C, $H217, NewEmisData!$D:$D, S$6)</f>
        <v>1283.5882413572699</v>
      </c>
      <c r="T217" s="1111">
        <f t="shared" si="290"/>
        <v>1283.5882413572699</v>
      </c>
      <c r="U217" s="1111">
        <f>SUMIFS(NewEmisData!E:E, NewEmisData!$A:$A, $G217, NewEmisData!$B:$B, $A217, NewEmisData!$C:$C, $H217, NewEmisData!$D:$D, U$6)</f>
        <v>3.9696963814368802</v>
      </c>
      <c r="V217" s="1111">
        <f>SUMIFS(NewEmisData!F:F, NewEmisData!$A:$A, $G217, NewEmisData!$B:$B, $A217, NewEmisData!$C:$C, $H217, NewEmisData!$D:$D, V$6)</f>
        <v>2.1292045893653802</v>
      </c>
      <c r="W217" s="1111">
        <f>SUMIFS(NewEmisData!G:G, NewEmisData!$A:$A, $G217, NewEmisData!$B:$B, $A217, NewEmisData!$C:$C, $H217, NewEmisData!$D:$D, W$6)</f>
        <v>1.1780347139767999</v>
      </c>
      <c r="X217" s="1111">
        <f>SUMIFS(NewEmisData!H:H, NewEmisData!$A:$A, $G217, NewEmisData!$B:$B, $A217, NewEmisData!$C:$C, $H217, NewEmisData!$D:$D, X$6)</f>
        <v>0.85616837461707895</v>
      </c>
      <c r="Y217" s="1111">
        <f>SUMIFS(NewEmisData!I:I, NewEmisData!$A:$A, $G217, NewEmisData!$B:$B, $A217, NewEmisData!$C:$C, $H217, NewEmisData!$D:$D, Y$6)</f>
        <v>0.71679914036882397</v>
      </c>
      <c r="Z217" s="1111">
        <f>SUMIFS(NewEmisData!J:J, NewEmisData!$A:$A, $G217, NewEmisData!$B:$B, $A217, NewEmisData!$C:$C, $H217, NewEmisData!$D:$D, Z$6)</f>
        <v>0.653734873709785</v>
      </c>
      <c r="AA217" s="1111">
        <f>SUMIFS(NewEmisData!K:K, NewEmisData!$A:$A, $G217, NewEmisData!$B:$B, $A217, NewEmisData!$C:$C, $H217, NewEmisData!$D:$D, AA$6)</f>
        <v>0.63529466077774999</v>
      </c>
      <c r="AB217" s="1111">
        <f>SUMIFS(NewEmisData!L:L, NewEmisData!$A:$A, $G217, NewEmisData!$B:$B, $A217, NewEmisData!$C:$C, $H217, NewEmisData!$D:$D, AB$6)</f>
        <v>0.63126465139316401</v>
      </c>
      <c r="AC217" s="1111">
        <f>SUMIFS(NewEmisData!M:M, NewEmisData!$A:$A, $G217, NewEmisData!$B:$B, $A217, NewEmisData!$C:$C, $H217, NewEmisData!$D:$D, AC$6)</f>
        <v>0.63008499106767202</v>
      </c>
      <c r="AD217" s="1111">
        <f t="shared" si="229"/>
        <v>0.63008499106767202</v>
      </c>
      <c r="AE217" s="1111">
        <f t="shared" si="303"/>
        <v>1.94777471026268E-2</v>
      </c>
      <c r="AF217" s="1111">
        <f>SUMIFS(NewEmisData!E:E, NewEmisData!$A:$A, $G217, NewEmisData!$B:$B, $A217, NewEmisData!$C:$C, $H217, NewEmisData!$D:$D, AF$6)</f>
        <v>1.94777471026268E-2</v>
      </c>
      <c r="AG217" s="1111">
        <f>SUMIFS(NewEmisData!F:F, NewEmisData!$A:$A, $G217, NewEmisData!$B:$B, $A217, NewEmisData!$C:$C, $H217, NewEmisData!$D:$D, AG$6)</f>
        <v>1.95445323749391E-2</v>
      </c>
      <c r="AH217" s="1111">
        <f>SUMIFS(NewEmisData!G:G, NewEmisData!$A:$A, $G217, NewEmisData!$B:$B, $A217, NewEmisData!$C:$C, $H217, NewEmisData!$D:$D, AH$6)</f>
        <v>1.9141058004132301E-2</v>
      </c>
      <c r="AI217" s="1111">
        <f>SUMIFS(NewEmisData!H:H, NewEmisData!$A:$A, $G217, NewEmisData!$B:$B, $A217, NewEmisData!$C:$C, $H217, NewEmisData!$D:$D, AI$6)</f>
        <v>1.8784705993390102E-2</v>
      </c>
      <c r="AJ217" s="1111">
        <f>SUMIFS(NewEmisData!I:I, NewEmisData!$A:$A, $G217, NewEmisData!$B:$B, $A217, NewEmisData!$C:$C, $H217, NewEmisData!$D:$D, AJ$6)</f>
        <v>1.85097249042331E-2</v>
      </c>
      <c r="AK217" s="1111">
        <f>SUMIFS(NewEmisData!J:J, NewEmisData!$A:$A, $G217, NewEmisData!$B:$B, $A217, NewEmisData!$C:$C, $H217, NewEmisData!$D:$D, AK$6)</f>
        <v>1.8437510106673601E-2</v>
      </c>
      <c r="AL217" s="1111">
        <f>SUMIFS(NewEmisData!K:K, NewEmisData!$A:$A, $G217, NewEmisData!$B:$B, $A217, NewEmisData!$C:$C, $H217, NewEmisData!$D:$D, AL$6)</f>
        <v>1.8418333813220399E-2</v>
      </c>
      <c r="AM217" s="1111">
        <f>SUMIFS(NewEmisData!L:L, NewEmisData!$A:$A, $G217, NewEmisData!$B:$B, $A217, NewEmisData!$C:$C, $H217, NewEmisData!$D:$D, AM$6)</f>
        <v>1.8414616467845198E-2</v>
      </c>
      <c r="AN217" s="1111">
        <f>SUMIFS(NewEmisData!M:M, NewEmisData!$A:$A, $G217, NewEmisData!$B:$B, $A217, NewEmisData!$C:$C, $H217, NewEmisData!$D:$D, AN$6)</f>
        <v>1.84137339980028E-2</v>
      </c>
      <c r="AO217" s="1111">
        <f t="shared" si="304"/>
        <v>1.84137339980028E-2</v>
      </c>
      <c r="AP217" s="1111">
        <f t="shared" si="305"/>
        <v>0.16277138632680399</v>
      </c>
      <c r="AQ217" s="1111">
        <f>SUMIFS(NewEmisData!E:E, NewEmisData!$A:$A, $G217, NewEmisData!$B:$B, $A217, NewEmisData!$C:$C, $H217, NewEmisData!$D:$D, AQ$6)</f>
        <v>0.16277138632680399</v>
      </c>
      <c r="AR217" s="1111">
        <f>SUMIFS(NewEmisData!F:F, NewEmisData!$A:$A, $G217, NewEmisData!$B:$B, $A217, NewEmisData!$C:$C, $H217, NewEmisData!$D:$D, AR$6)</f>
        <v>0.15749210557477999</v>
      </c>
      <c r="AS217" s="1111">
        <f>SUMIFS(NewEmisData!G:G, NewEmisData!$A:$A, $G217, NewEmisData!$B:$B, $A217, NewEmisData!$C:$C, $H217, NewEmisData!$D:$D, AS$6)</f>
        <v>0.22213105998277299</v>
      </c>
      <c r="AT217" s="1111">
        <f>SUMIFS(NewEmisData!H:H, NewEmisData!$A:$A, $G217, NewEmisData!$B:$B, $A217, NewEmisData!$C:$C, $H217, NewEmisData!$D:$D, AT$6)</f>
        <v>0.22256905483131201</v>
      </c>
      <c r="AU217" s="1111">
        <f>SUMIFS(NewEmisData!I:I, NewEmisData!$A:$A, $G217, NewEmisData!$B:$B, $A217, NewEmisData!$C:$C, $H217, NewEmisData!$D:$D, AU$6)</f>
        <v>0.223017594102533</v>
      </c>
      <c r="AV217" s="1111">
        <f>SUMIFS(NewEmisData!J:J, NewEmisData!$A:$A, $G217, NewEmisData!$B:$B, $A217, NewEmisData!$C:$C, $H217, NewEmisData!$D:$D, AV$6)</f>
        <v>0.22328437261219899</v>
      </c>
      <c r="AW217" s="1111">
        <f>SUMIFS(NewEmisData!K:K, NewEmisData!$A:$A, $G217, NewEmisData!$B:$B, $A217, NewEmisData!$C:$C, $H217, NewEmisData!$D:$D, AW$6)</f>
        <v>0.22342028408578701</v>
      </c>
      <c r="AX217" s="1111">
        <f>SUMIFS(NewEmisData!L:L, NewEmisData!$A:$A, $G217, NewEmisData!$B:$B, $A217, NewEmisData!$C:$C, $H217, NewEmisData!$D:$D, AX$6)</f>
        <v>0.22346164064811899</v>
      </c>
      <c r="AY217" s="1111">
        <f>SUMIFS(NewEmisData!M:M, NewEmisData!$A:$A, $G217, NewEmisData!$B:$B, $A217, NewEmisData!$C:$C, $H217, NewEmisData!$D:$D, AY$6)</f>
        <v>0.22347689751407299</v>
      </c>
      <c r="AZ217" s="1111">
        <f t="shared" si="306"/>
        <v>0.22347689751407299</v>
      </c>
      <c r="BA217" s="1111">
        <f t="shared" si="307"/>
        <v>3.3085277901506199E-2</v>
      </c>
      <c r="BB217" s="1111">
        <f>SUMIFS(NewEmisData!E:E, NewEmisData!$A:$A, $G217, NewEmisData!$B:$B, $A217, NewEmisData!$C:$C, $H217, NewEmisData!$D:$D, BB$6)</f>
        <v>3.3085277901506199E-2</v>
      </c>
      <c r="BC217" s="1111">
        <f>SUMIFS(NewEmisData!F:F, NewEmisData!$A:$A, $G217, NewEmisData!$B:$B, $A217, NewEmisData!$C:$C, $H217, NewEmisData!$D:$D, BC$6)</f>
        <v>2.8088278695018499E-2</v>
      </c>
      <c r="BD217" s="1111">
        <f>SUMIFS(NewEmisData!G:G, NewEmisData!$A:$A, $G217, NewEmisData!$B:$B, $A217, NewEmisData!$C:$C, $H217, NewEmisData!$D:$D, BD$6)</f>
        <v>3.5249470703337199E-2</v>
      </c>
      <c r="BE217" s="1111">
        <f>SUMIFS(NewEmisData!H:H, NewEmisData!$A:$A, $G217, NewEmisData!$B:$B, $A217, NewEmisData!$C:$C, $H217, NewEmisData!$D:$D, BE$6)</f>
        <v>3.5278230321982601E-2</v>
      </c>
      <c r="BF217" s="1111">
        <f>SUMIFS(NewEmisData!I:I, NewEmisData!$A:$A, $G217, NewEmisData!$B:$B, $A217, NewEmisData!$C:$C, $H217, NewEmisData!$D:$D, BF$6)</f>
        <v>3.5607078221125799E-2</v>
      </c>
      <c r="BG217" s="1111">
        <f>SUMIFS(NewEmisData!J:J, NewEmisData!$A:$A, $G217, NewEmisData!$B:$B, $A217, NewEmisData!$C:$C, $H217, NewEmisData!$D:$D, BG$6)</f>
        <v>3.5823183054303799E-2</v>
      </c>
      <c r="BH217" s="1111">
        <f>SUMIFS(NewEmisData!K:K, NewEmisData!$A:$A, $G217, NewEmisData!$B:$B, $A217, NewEmisData!$C:$C, $H217, NewEmisData!$D:$D, BH$6)</f>
        <v>3.5938864982074499E-2</v>
      </c>
      <c r="BI217" s="1111">
        <f>SUMIFS(NewEmisData!L:L, NewEmisData!$A:$A, $G217, NewEmisData!$B:$B, $A217, NewEmisData!$C:$C, $H217, NewEmisData!$D:$D, BI$6)</f>
        <v>3.5974176634088799E-2</v>
      </c>
      <c r="BJ217" s="1111">
        <f>SUMIFS(NewEmisData!M:M, NewEmisData!$A:$A, $G217, NewEmisData!$B:$B, $A217, NewEmisData!$C:$C, $H217, NewEmisData!$D:$D, BJ$6)</f>
        <v>3.59876115686096E-2</v>
      </c>
      <c r="BK217" s="1111">
        <f t="shared" si="308"/>
        <v>3.59876115686096E-2</v>
      </c>
      <c r="BL217" s="1111">
        <f t="shared" si="309"/>
        <v>30.519264024443402</v>
      </c>
      <c r="BM217" s="1111">
        <f>SUMIFS(NewEmisData!E:E, NewEmisData!$A:$A, $G217, NewEmisData!$B:$B, $A217, NewEmisData!$C:$C, $H217, NewEmisData!$D:$D, BM$6)</f>
        <v>30.519264024443402</v>
      </c>
      <c r="BN217" s="1111">
        <f>SUMIFS(NewEmisData!F:F, NewEmisData!$A:$A, $G217, NewEmisData!$B:$B, $A217, NewEmisData!$C:$C, $H217, NewEmisData!$D:$D, BN$6)</f>
        <v>17.7548638520019</v>
      </c>
      <c r="BO217" s="1111">
        <f>SUMIFS(NewEmisData!G:G, NewEmisData!$A:$A, $G217, NewEmisData!$B:$B, $A217, NewEmisData!$C:$C, $H217, NewEmisData!$D:$D, BO$6)</f>
        <v>11.769795592664099</v>
      </c>
      <c r="BP217" s="1111">
        <f>SUMIFS(NewEmisData!H:H, NewEmisData!$A:$A, $G217, NewEmisData!$B:$B, $A217, NewEmisData!$C:$C, $H217, NewEmisData!$D:$D, BP$6)</f>
        <v>10.027249561844799</v>
      </c>
      <c r="BQ217" s="1111">
        <f>SUMIFS(NewEmisData!I:I, NewEmisData!$A:$A, $G217, NewEmisData!$B:$B, $A217, NewEmisData!$C:$C, $H217, NewEmisData!$D:$D, BQ$6)</f>
        <v>9.5164175607240296</v>
      </c>
      <c r="BR217" s="1111">
        <f>SUMIFS(NewEmisData!J:J, NewEmisData!$A:$A, $G217, NewEmisData!$B:$B, $A217, NewEmisData!$C:$C, $H217, NewEmisData!$D:$D, BR$6)</f>
        <v>9.3871226242105301</v>
      </c>
      <c r="BS217" s="1111">
        <f>SUMIFS(NewEmisData!K:K, NewEmisData!$A:$A, $G217, NewEmisData!$B:$B, $A217, NewEmisData!$C:$C, $H217, NewEmisData!$D:$D, BS$6)</f>
        <v>9.4290563886524001</v>
      </c>
      <c r="BT217" s="1111">
        <f>SUMIFS(NewEmisData!L:L, NewEmisData!$A:$A, $G217, NewEmisData!$B:$B, $A217, NewEmisData!$C:$C, $H217, NewEmisData!$D:$D, BT$6)</f>
        <v>9.4677016030619807</v>
      </c>
      <c r="BU217" s="1111">
        <f>SUMIFS(NewEmisData!M:M, NewEmisData!$A:$A, $G217, NewEmisData!$B:$B, $A217, NewEmisData!$C:$C, $H217, NewEmisData!$D:$D, BU$6)</f>
        <v>9.4911287930921109</v>
      </c>
      <c r="BV217" s="1111">
        <f t="shared" si="310"/>
        <v>9.4911287930921109</v>
      </c>
      <c r="BW217" s="1111">
        <f t="shared" si="311"/>
        <v>1.4331518530549801</v>
      </c>
      <c r="BX217" s="1111">
        <f>SUMIFS(NewEmisData!E:E, NewEmisData!$A:$A, $G217, NewEmisData!$B:$B, $A217, NewEmisData!$C:$C, $H217, NewEmisData!$D:$D, BX$6)</f>
        <v>1.4331518530549801</v>
      </c>
      <c r="BY217" s="1111">
        <f>SUMIFS(NewEmisData!F:F, NewEmisData!$A:$A, $G217, NewEmisData!$B:$B, $A217, NewEmisData!$C:$C, $H217, NewEmisData!$D:$D, BY$6)</f>
        <v>0.82554141247932</v>
      </c>
      <c r="BZ217" s="1111">
        <f>SUMIFS(NewEmisData!G:G, NewEmisData!$A:$A, $G217, NewEmisData!$B:$B, $A217, NewEmisData!$C:$C, $H217, NewEmisData!$D:$D, BZ$6)</f>
        <v>0.52934059761176699</v>
      </c>
      <c r="CA217" s="1111">
        <f>SUMIFS(NewEmisData!H:H, NewEmisData!$A:$A, $G217, NewEmisData!$B:$B, $A217, NewEmisData!$C:$C, $H217, NewEmisData!$D:$D, CA$6)</f>
        <v>0.41820996508437402</v>
      </c>
      <c r="CB217" s="1111">
        <f>SUMIFS(NewEmisData!I:I, NewEmisData!$A:$A, $G217, NewEmisData!$B:$B, $A217, NewEmisData!$C:$C, $H217, NewEmisData!$D:$D, CB$6)</f>
        <v>0.37730109294103098</v>
      </c>
      <c r="CC217" s="1111">
        <f>SUMIFS(NewEmisData!J:J, NewEmisData!$A:$A, $G217, NewEmisData!$B:$B, $A217, NewEmisData!$C:$C, $H217, NewEmisData!$D:$D, CC$6)</f>
        <v>0.36080370260189998</v>
      </c>
      <c r="CD217" s="1111">
        <f>SUMIFS(NewEmisData!K:K, NewEmisData!$A:$A, $G217, NewEmisData!$B:$B, $A217, NewEmisData!$C:$C, $H217, NewEmisData!$D:$D, CD$6)</f>
        <v>0.35854771789443002</v>
      </c>
      <c r="CE217" s="1111">
        <f>SUMIFS(NewEmisData!L:L, NewEmisData!$A:$A, $G217, NewEmisData!$B:$B, $A217, NewEmisData!$C:$C, $H217, NewEmisData!$D:$D, CE$6)</f>
        <v>0.35854167304512202</v>
      </c>
      <c r="CF217" s="1111">
        <f>SUMIFS(NewEmisData!M:M, NewEmisData!$A:$A, $G217, NewEmisData!$B:$B, $A217, NewEmisData!$C:$C, $H217, NewEmisData!$D:$D, CF$6)</f>
        <v>0.35855864650360297</v>
      </c>
      <c r="CG217" s="1111">
        <f t="shared" si="312"/>
        <v>0.35855864650360297</v>
      </c>
      <c r="CH217" s="1111">
        <f t="shared" si="313"/>
        <v>4.3399426569524099E-2</v>
      </c>
      <c r="CI217" s="1111">
        <f>SUMIFS(NewEmisData!E:E, NewEmisData!$A:$A, $G217, NewEmisData!$B:$B, $A217, NewEmisData!$C:$C, $H217, NewEmisData!$D:$D, CI$6)</f>
        <v>4.3399426569524099E-2</v>
      </c>
      <c r="CJ217" s="1111">
        <f>SUMIFS(NewEmisData!F:F, NewEmisData!$A:$A, $G217, NewEmisData!$B:$B, $A217, NewEmisData!$C:$C, $H217, NewEmisData!$D:$D, CJ$6)</f>
        <v>4.3414607751202899E-2</v>
      </c>
      <c r="CK217" s="1111">
        <f>SUMIFS(NewEmisData!G:G, NewEmisData!$A:$A, $G217, NewEmisData!$B:$B, $A217, NewEmisData!$C:$C, $H217, NewEmisData!$D:$D, CK$6)</f>
        <v>5.4993981735290499E-2</v>
      </c>
      <c r="CL217" s="1111">
        <f>SUMIFS(NewEmisData!H:H, NewEmisData!$A:$A, $G217, NewEmisData!$B:$B, $A217, NewEmisData!$C:$C, $H217, NewEmisData!$D:$D, CL$6)</f>
        <v>5.4993786232210601E-2</v>
      </c>
      <c r="CM217" s="1111">
        <f>SUMIFS(NewEmisData!I:I, NewEmisData!$A:$A, $G217, NewEmisData!$B:$B, $A217, NewEmisData!$C:$C, $H217, NewEmisData!$D:$D, CM$6)</f>
        <v>5.49943755829881E-2</v>
      </c>
      <c r="CN217" s="1111">
        <f>SUMIFS(NewEmisData!J:J, NewEmisData!$A:$A, $G217, NewEmisData!$B:$B, $A217, NewEmisData!$C:$C, $H217, NewEmisData!$D:$D, CN$6)</f>
        <v>5.4994520767338101E-2</v>
      </c>
      <c r="CO217" s="1111">
        <f>SUMIFS(NewEmisData!K:K, NewEmisData!$A:$A, $G217, NewEmisData!$B:$B, $A217, NewEmisData!$C:$C, $H217, NewEmisData!$D:$D, CO$6)</f>
        <v>5.4994541597587002E-2</v>
      </c>
      <c r="CP217" s="1111">
        <f>SUMIFS(NewEmisData!L:L, NewEmisData!$A:$A, $G217, NewEmisData!$B:$B, $A217, NewEmisData!$C:$C, $H217, NewEmisData!$D:$D, CP$6)</f>
        <v>5.4994553673977098E-2</v>
      </c>
      <c r="CQ217" s="1111">
        <f>SUMIFS(NewEmisData!M:M, NewEmisData!$A:$A, $G217, NewEmisData!$B:$B, $A217, NewEmisData!$C:$C, $H217, NewEmisData!$D:$D, CQ$6)</f>
        <v>5.4994550577738499E-2</v>
      </c>
      <c r="CR217" s="1111">
        <f t="shared" si="314"/>
        <v>5.4994550577738499E-2</v>
      </c>
      <c r="CS217" s="1111">
        <f t="shared" si="315"/>
        <v>4.8977354146498502E-2</v>
      </c>
      <c r="CT217" s="1111">
        <f>SUMIFS(NewEmisData!E:E, NewEmisData!$A:$A, $G217, NewEmisData!$B:$B, $A217, NewEmisData!$C:$C, $H217, NewEmisData!$D:$D, CT$6)</f>
        <v>4.8977354146498502E-2</v>
      </c>
      <c r="CU217" s="1111">
        <f>SUMIFS(NewEmisData!F:F, NewEmisData!$A:$A, $G217, NewEmisData!$B:$B, $A217, NewEmisData!$C:$C, $H217, NewEmisData!$D:$D, CU$6)</f>
        <v>2.8470713504453099E-2</v>
      </c>
      <c r="CV217" s="1111">
        <f>SUMIFS(NewEmisData!G:G, NewEmisData!$A:$A, $G217, NewEmisData!$B:$B, $A217, NewEmisData!$C:$C, $H217, NewEmisData!$D:$D, CV$6)</f>
        <v>2.1189978152056602E-2</v>
      </c>
      <c r="CW217" s="1111">
        <f>SUMIFS(NewEmisData!H:H, NewEmisData!$A:$A, $G217, NewEmisData!$B:$B, $A217, NewEmisData!$C:$C, $H217, NewEmisData!$D:$D, CW$6)</f>
        <v>1.46389058287662E-2</v>
      </c>
      <c r="CX217" s="1111">
        <f>SUMIFS(NewEmisData!I:I, NewEmisData!$A:$A, $G217, NewEmisData!$B:$B, $A217, NewEmisData!$C:$C, $H217, NewEmisData!$D:$D, CX$6)</f>
        <v>1.28792587479717E-2</v>
      </c>
      <c r="CY217" s="1111">
        <f>SUMIFS(NewEmisData!J:J, NewEmisData!$A:$A, $G217, NewEmisData!$B:$B, $A217, NewEmisData!$C:$C, $H217, NewEmisData!$D:$D, CY$6)</f>
        <v>1.23921680979683E-2</v>
      </c>
      <c r="CZ217" s="1111">
        <f>SUMIFS(NewEmisData!K:K, NewEmisData!$A:$A, $G217, NewEmisData!$B:$B, $A217, NewEmisData!$C:$C, $H217, NewEmisData!$D:$D, CZ$6)</f>
        <v>1.23336041545112E-2</v>
      </c>
      <c r="DA217" s="1111">
        <f>SUMIFS(NewEmisData!L:L, NewEmisData!$A:$A, $G217, NewEmisData!$B:$B, $A217, NewEmisData!$C:$C, $H217, NewEmisData!$D:$D, DA$6)</f>
        <v>1.22985211601931E-2</v>
      </c>
      <c r="DB217" s="1111">
        <f>SUMIFS(NewEmisData!M:M, NewEmisData!$A:$A, $G217, NewEmisData!$B:$B, $A217, NewEmisData!$C:$C, $H217, NewEmisData!$D:$D, DB$6)</f>
        <v>1.2317402931661E-2</v>
      </c>
      <c r="DC217" s="1111">
        <f t="shared" si="316"/>
        <v>1.2317402931661E-2</v>
      </c>
      <c r="DD217" s="1111"/>
      <c r="DE217" s="1111"/>
      <c r="DF217" s="1111"/>
      <c r="DG217" s="1111"/>
      <c r="DH217" s="1111"/>
      <c r="DI217" s="1111"/>
      <c r="DJ217" s="1111"/>
      <c r="DK217" s="1111"/>
      <c r="DL217" s="1111"/>
      <c r="DM217" s="1111"/>
      <c r="DN217" s="1111"/>
      <c r="DO217" s="1111"/>
      <c r="DP217" s="1111"/>
      <c r="DQ217" s="1111"/>
      <c r="DR217" s="1111"/>
      <c r="DS217" s="1111"/>
      <c r="DT217" s="1111"/>
      <c r="DU217" s="1111"/>
      <c r="DV217" s="1111"/>
      <c r="DW217" s="1111"/>
      <c r="DX217" s="1111"/>
      <c r="DY217" s="1111"/>
      <c r="DZ217" s="1111">
        <f t="shared" si="317"/>
        <v>3.8110257804810699E-2</v>
      </c>
      <c r="EA217" s="1111">
        <f>SUMIFS(NewEmisData!E:E, NewEmisData!$A:$A, $G217, NewEmisData!$B:$B, $A217, NewEmisData!$C:$C, $H217, NewEmisData!$D:$D, EA$6)</f>
        <v>3.8110257804810699E-2</v>
      </c>
      <c r="EB217" s="1111">
        <f>SUMIFS(NewEmisData!F:F, NewEmisData!$A:$A, $G217, NewEmisData!$B:$B, $A217, NewEmisData!$C:$C, $H217, NewEmisData!$D:$D, EB$6)</f>
        <v>2.0417199912842899E-2</v>
      </c>
      <c r="EC217" s="1111">
        <f>SUMIFS(NewEmisData!G:G, NewEmisData!$A:$A, $G217, NewEmisData!$B:$B, $A217, NewEmisData!$C:$C, $H217, NewEmisData!$D:$D, EC$6)</f>
        <v>1.30642962548774E-2</v>
      </c>
      <c r="ED217" s="1111">
        <f>SUMIFS(NewEmisData!H:H, NewEmisData!$A:$A, $G217, NewEmisData!$B:$B, $A217, NewEmisData!$C:$C, $H217, NewEmisData!$D:$D, ED$6)</f>
        <v>1.11738363859457E-2</v>
      </c>
      <c r="EE217" s="1111">
        <f>SUMIFS(NewEmisData!I:I, NewEmisData!$A:$A, $G217, NewEmisData!$B:$B, $A217, NewEmisData!$C:$C, $H217, NewEmisData!$D:$D, EE$6)</f>
        <v>1.0636123173322E-2</v>
      </c>
      <c r="EF217" s="1111">
        <f>SUMIFS(NewEmisData!J:J, NewEmisData!$A:$A, $G217, NewEmisData!$B:$B, $A217, NewEmisData!$C:$C, $H217, NewEmisData!$D:$D, EF$6)</f>
        <v>1.0535248987316E-2</v>
      </c>
      <c r="EG217" s="1111">
        <f>SUMIFS(NewEmisData!K:K, NewEmisData!$A:$A, $G217, NewEmisData!$B:$B, $A217, NewEmisData!$C:$C, $H217, NewEmisData!$D:$D, EG$6)</f>
        <v>1.0571182579202899E-2</v>
      </c>
      <c r="EH217" s="1111">
        <f>SUMIFS(NewEmisData!L:L, NewEmisData!$A:$A, $G217, NewEmisData!$B:$B, $A217, NewEmisData!$C:$C, $H217, NewEmisData!$D:$D, EH$6)</f>
        <v>1.05827805921651E-2</v>
      </c>
      <c r="EI217" s="1111">
        <f>SUMIFS(NewEmisData!M:M, NewEmisData!$A:$A, $G217, NewEmisData!$B:$B, $A217, NewEmisData!$C:$C, $H217, NewEmisData!$D:$D, EI$6)</f>
        <v>1.05816969285468E-2</v>
      </c>
      <c r="EJ217" s="1111">
        <f t="shared" si="318"/>
        <v>1.05816969285468E-2</v>
      </c>
      <c r="EK217" s="1111">
        <f t="shared" si="319"/>
        <v>1125.6531994791601</v>
      </c>
      <c r="EL217" s="1111">
        <f t="shared" si="269"/>
        <v>1125.6531994791601</v>
      </c>
      <c r="EM217" s="1111">
        <f t="shared" si="270"/>
        <v>1129.51230354672</v>
      </c>
      <c r="EN217" s="1111">
        <f t="shared" si="271"/>
        <v>1334.28865010909</v>
      </c>
      <c r="EO217" s="1111">
        <f t="shared" si="272"/>
        <v>1309.4477161980601</v>
      </c>
      <c r="EP217" s="1111">
        <f t="shared" si="273"/>
        <v>1290.2789800169201</v>
      </c>
      <c r="EQ217" s="1111">
        <f t="shared" si="274"/>
        <v>1285.24459420581</v>
      </c>
      <c r="ER217" s="1111">
        <f t="shared" si="275"/>
        <v>1283.9086141387199</v>
      </c>
      <c r="ES217" s="1111">
        <f t="shared" si="276"/>
        <v>1283.64917953798</v>
      </c>
      <c r="ET217" s="1111">
        <f t="shared" si="277"/>
        <v>1283.5882413572699</v>
      </c>
      <c r="EU217" s="1111">
        <f t="shared" si="278"/>
        <v>1283.5882413572699</v>
      </c>
      <c r="EV217" s="1111">
        <f t="shared" si="320"/>
        <v>3.9696963814368802</v>
      </c>
      <c r="EW217" s="1111">
        <f t="shared" si="259"/>
        <v>3.9696963814368802</v>
      </c>
      <c r="EX217" s="1111">
        <f t="shared" si="260"/>
        <v>2.1292045893653802</v>
      </c>
      <c r="EY217" s="1111">
        <f t="shared" si="261"/>
        <v>1.1780347139767999</v>
      </c>
      <c r="EZ217" s="1111">
        <f t="shared" si="262"/>
        <v>0.85616837461707895</v>
      </c>
      <c r="FA217" s="1111">
        <f t="shared" si="263"/>
        <v>0.71679914036882397</v>
      </c>
      <c r="FB217" s="1111">
        <f t="shared" si="264"/>
        <v>0.653734873709785</v>
      </c>
      <c r="FC217" s="1111">
        <f t="shared" si="265"/>
        <v>0.63529466077774999</v>
      </c>
      <c r="FD217" s="1111">
        <f t="shared" si="266"/>
        <v>0.63126465139316401</v>
      </c>
      <c r="FE217" s="1111">
        <f t="shared" si="267"/>
        <v>0.63008499106767202</v>
      </c>
      <c r="FF217" s="1111">
        <f t="shared" si="268"/>
        <v>0.63008499106767202</v>
      </c>
      <c r="FG217" s="1111">
        <f t="shared" si="291"/>
        <v>1.94777471026268E-2</v>
      </c>
      <c r="FH217" s="1111">
        <f t="shared" si="292"/>
        <v>1.94777471026268E-2</v>
      </c>
      <c r="FI217" s="1111">
        <f t="shared" si="293"/>
        <v>1.95445323749391E-2</v>
      </c>
      <c r="FJ217" s="1111">
        <f t="shared" si="294"/>
        <v>1.9141058004132301E-2</v>
      </c>
      <c r="FK217" s="1111">
        <f t="shared" si="295"/>
        <v>1.8784705993390102E-2</v>
      </c>
      <c r="FL217" s="1111">
        <f t="shared" si="296"/>
        <v>1.85097249042331E-2</v>
      </c>
      <c r="FM217" s="1111">
        <f t="shared" si="297"/>
        <v>1.8437510106673601E-2</v>
      </c>
      <c r="FN217" s="1111">
        <f t="shared" si="298"/>
        <v>1.8418333813220399E-2</v>
      </c>
      <c r="FO217" s="1111">
        <f t="shared" si="299"/>
        <v>1.8414616467845198E-2</v>
      </c>
      <c r="FP217" s="1111">
        <f t="shared" si="300"/>
        <v>1.84137339980028E-2</v>
      </c>
      <c r="FQ217" s="1111">
        <f t="shared" si="301"/>
        <v>1.84137339980028E-2</v>
      </c>
      <c r="FR217" s="1111">
        <f t="shared" si="230"/>
        <v>0.16277138632680399</v>
      </c>
      <c r="FS217" s="1111">
        <f t="shared" si="231"/>
        <v>0.16277138632680399</v>
      </c>
      <c r="FT217" s="1111">
        <f t="shared" si="232"/>
        <v>0.15749210557477999</v>
      </c>
      <c r="FU217" s="1111">
        <f t="shared" si="233"/>
        <v>0.22213105998277299</v>
      </c>
      <c r="FV217" s="1111">
        <f t="shared" si="234"/>
        <v>0.22256905483131201</v>
      </c>
      <c r="FW217" s="1111">
        <f t="shared" si="235"/>
        <v>0.223017594102533</v>
      </c>
      <c r="FX217" s="1111">
        <f t="shared" si="236"/>
        <v>0.22328437261219899</v>
      </c>
      <c r="FY217" s="1111">
        <f t="shared" si="237"/>
        <v>0.22342028408578701</v>
      </c>
      <c r="FZ217" s="1111">
        <f t="shared" si="238"/>
        <v>0.22346164064811899</v>
      </c>
      <c r="GA217" s="1111">
        <f t="shared" si="239"/>
        <v>0.22347689751407299</v>
      </c>
      <c r="GB217" s="1111">
        <f t="shared" si="240"/>
        <v>0.22347689751407299</v>
      </c>
      <c r="GC217" s="1111">
        <f t="shared" si="279"/>
        <v>3.3085277901506199E-2</v>
      </c>
      <c r="GD217" s="1111">
        <f t="shared" si="280"/>
        <v>3.3085277901506199E-2</v>
      </c>
      <c r="GE217" s="1111">
        <f t="shared" si="281"/>
        <v>2.8088278695018499E-2</v>
      </c>
      <c r="GF217" s="1111">
        <f t="shared" si="282"/>
        <v>3.5249470703337199E-2</v>
      </c>
      <c r="GG217" s="1111">
        <f t="shared" si="283"/>
        <v>3.5278230321982601E-2</v>
      </c>
      <c r="GH217" s="1111">
        <f t="shared" si="284"/>
        <v>3.5607078221125799E-2</v>
      </c>
      <c r="GI217" s="1111">
        <f t="shared" si="285"/>
        <v>3.5823183054303799E-2</v>
      </c>
      <c r="GJ217" s="1111">
        <f t="shared" si="286"/>
        <v>3.5938864982074499E-2</v>
      </c>
      <c r="GK217" s="1111">
        <f t="shared" si="287"/>
        <v>3.5974176634088799E-2</v>
      </c>
      <c r="GL217" s="1111">
        <f t="shared" si="288"/>
        <v>3.59876115686096E-2</v>
      </c>
      <c r="GM217" s="1111">
        <f t="shared" si="289"/>
        <v>3.59876115686096E-2</v>
      </c>
    </row>
    <row r="218" spans="1:195" x14ac:dyDescent="0.2">
      <c r="A218" s="1071" t="s">
        <v>186</v>
      </c>
      <c r="B218" s="1071" t="str">
        <f>Technologies!C130</f>
        <v>TMCNGIM</v>
      </c>
      <c r="C218" s="1071" t="str">
        <f>Technologies!D130</f>
        <v>Medium Duty Truck, Improved CNG</v>
      </c>
      <c r="D218" s="1071" t="str">
        <f>NewTech!D82</f>
        <v>bn-vmt, bn-vmt/a</v>
      </c>
      <c r="E218" s="1071" t="str">
        <f>NewTech!E82</f>
        <v>TMCNG</v>
      </c>
      <c r="F218" s="1071" t="str">
        <f>NewTech!F83</f>
        <v>TM</v>
      </c>
      <c r="G218" s="1110" t="s">
        <v>503</v>
      </c>
      <c r="H218" s="1110" t="s">
        <v>500</v>
      </c>
      <c r="I218" s="1112">
        <v>1</v>
      </c>
      <c r="J218" s="1111" t="str">
        <f t="shared" si="302"/>
        <v>Medium duty-GSL</v>
      </c>
      <c r="K218" s="1111">
        <f>SUMIFS(NewEmisData!E:E, NewEmisData!$A:$A, $G218, NewEmisData!$B:$B, $A218, NewEmisData!$C:$C, $H218, NewEmisData!$D:$D, K$6)</f>
        <v>1571.23838726393</v>
      </c>
      <c r="L218" s="1111">
        <f>SUMIFS(NewEmisData!F:F, NewEmisData!$A:$A, $G218, NewEmisData!$B:$B, $A218, NewEmisData!$C:$C, $H218, NewEmisData!$D:$D, L$6)</f>
        <v>1575.29652368133</v>
      </c>
      <c r="M218" s="1111">
        <f>SUMIFS(NewEmisData!G:G, NewEmisData!$A:$A, $G218, NewEmisData!$B:$B, $A218, NewEmisData!$C:$C, $H218, NewEmisData!$D:$D, M$6)</f>
        <v>1620.65726903051</v>
      </c>
      <c r="N218" s="1111">
        <f>SUMIFS(NewEmisData!H:H, NewEmisData!$A:$A, $G218, NewEmisData!$B:$B, $A218, NewEmisData!$C:$C, $H218, NewEmisData!$D:$D, N$6)</f>
        <v>1591.3958126743701</v>
      </c>
      <c r="O218" s="1111">
        <f>SUMIFS(NewEmisData!I:I, NewEmisData!$A:$A, $G218, NewEmisData!$B:$B, $A218, NewEmisData!$C:$C, $H218, NewEmisData!$D:$D, O$6)</f>
        <v>1568.18391586794</v>
      </c>
      <c r="P218" s="1111">
        <f>SUMIFS(NewEmisData!J:J, NewEmisData!$A:$A, $G218, NewEmisData!$B:$B, $A218, NewEmisData!$C:$C, $H218, NewEmisData!$D:$D, P$6)</f>
        <v>1562.10113018675</v>
      </c>
      <c r="Q218" s="1111">
        <f>SUMIFS(NewEmisData!K:K, NewEmisData!$A:$A, $G218, NewEmisData!$B:$B, $A218, NewEmisData!$C:$C, $H218, NewEmisData!$D:$D, Q$6)</f>
        <v>1560.4729957351501</v>
      </c>
      <c r="R218" s="1111">
        <f>SUMIFS(NewEmisData!L:L, NewEmisData!$A:$A, $G218, NewEmisData!$B:$B, $A218, NewEmisData!$C:$C, $H218, NewEmisData!$D:$D, R$6)</f>
        <v>1560.1538107035101</v>
      </c>
      <c r="S218" s="1111">
        <f>SUMIFS(NewEmisData!M:M, NewEmisData!$A:$A, $G218, NewEmisData!$B:$B, $A218, NewEmisData!$C:$C, $H218, NewEmisData!$D:$D, S$6)</f>
        <v>1560.07677043992</v>
      </c>
      <c r="T218" s="1111">
        <f t="shared" si="290"/>
        <v>1560.07677043992</v>
      </c>
      <c r="U218" s="1111">
        <f>SUMIFS(NewEmisData!E:E, NewEmisData!$A:$A, $G218, NewEmisData!$B:$B, $A218, NewEmisData!$C:$C, $H218, NewEmisData!$D:$D, U$6)</f>
        <v>4.4339350215429896</v>
      </c>
      <c r="V218" s="1111">
        <f>SUMIFS(NewEmisData!F:F, NewEmisData!$A:$A, $G218, NewEmisData!$B:$B, $A218, NewEmisData!$C:$C, $H218, NewEmisData!$D:$D, V$6)</f>
        <v>3.9615409236254</v>
      </c>
      <c r="W218" s="1111">
        <f>SUMIFS(NewEmisData!G:G, NewEmisData!$A:$A, $G218, NewEmisData!$B:$B, $A218, NewEmisData!$C:$C, $H218, NewEmisData!$D:$D, W$6)</f>
        <v>1.33028401660566</v>
      </c>
      <c r="X218" s="1111">
        <f>SUMIFS(NewEmisData!H:H, NewEmisData!$A:$A, $G218, NewEmisData!$B:$B, $A218, NewEmisData!$C:$C, $H218, NewEmisData!$D:$D, X$6)</f>
        <v>0.96801463367483198</v>
      </c>
      <c r="Y218" s="1111">
        <f>SUMIFS(NewEmisData!I:I, NewEmisData!$A:$A, $G218, NewEmisData!$B:$B, $A218, NewEmisData!$C:$C, $H218, NewEmisData!$D:$D, Y$6)</f>
        <v>0.810835029277582</v>
      </c>
      <c r="Z218" s="1111">
        <f>SUMIFS(NewEmisData!J:J, NewEmisData!$A:$A, $G218, NewEmisData!$B:$B, $A218, NewEmisData!$C:$C, $H218, NewEmisData!$D:$D, Z$6)</f>
        <v>0.73984590086297597</v>
      </c>
      <c r="AA218" s="1111">
        <f>SUMIFS(NewEmisData!K:K, NewEmisData!$A:$A, $G218, NewEmisData!$B:$B, $A218, NewEmisData!$C:$C, $H218, NewEmisData!$D:$D, AA$6)</f>
        <v>0.71912537608469196</v>
      </c>
      <c r="AB218" s="1111">
        <f>SUMIFS(NewEmisData!L:L, NewEmisData!$A:$A, $G218, NewEmisData!$B:$B, $A218, NewEmisData!$C:$C, $H218, NewEmisData!$D:$D, AB$6)</f>
        <v>0.71458926415217605</v>
      </c>
      <c r="AC218" s="1111">
        <f>SUMIFS(NewEmisData!M:M, NewEmisData!$A:$A, $G218, NewEmisData!$B:$B, $A218, NewEmisData!$C:$C, $H218, NewEmisData!$D:$D, AC$6)</f>
        <v>0.71327232452186995</v>
      </c>
      <c r="AD218" s="1111">
        <f t="shared" si="229"/>
        <v>0.71327232452186995</v>
      </c>
      <c r="AE218" s="1111">
        <f t="shared" si="303"/>
        <v>2.71879476544729E-2</v>
      </c>
      <c r="AF218" s="1111">
        <f>SUMIFS(NewEmisData!E:E, NewEmisData!$A:$A, $G218, NewEmisData!$B:$B, $A218, NewEmisData!$C:$C, $H218, NewEmisData!$D:$D, AF$6)</f>
        <v>2.71879476544729E-2</v>
      </c>
      <c r="AG218" s="1111">
        <f>SUMIFS(NewEmisData!F:F, NewEmisData!$A:$A, $G218, NewEmisData!$B:$B, $A218, NewEmisData!$C:$C, $H218, NewEmisData!$D:$D, AG$6)</f>
        <v>2.72581702920257E-2</v>
      </c>
      <c r="AH218" s="1111">
        <f>SUMIFS(NewEmisData!G:G, NewEmisData!$A:$A, $G218, NewEmisData!$B:$B, $A218, NewEmisData!$C:$C, $H218, NewEmisData!$D:$D, AH$6)</f>
        <v>2.32491676049662E-2</v>
      </c>
      <c r="AI218" s="1111">
        <f>SUMIFS(NewEmisData!H:H, NewEmisData!$A:$A, $G218, NewEmisData!$B:$B, $A218, NewEmisData!$C:$C, $H218, NewEmisData!$D:$D, AI$6)</f>
        <v>2.28294094185802E-2</v>
      </c>
      <c r="AJ218" s="1111">
        <f>SUMIFS(NewEmisData!I:I, NewEmisData!$A:$A, $G218, NewEmisData!$B:$B, $A218, NewEmisData!$C:$C, $H218, NewEmisData!$D:$D, AJ$6)</f>
        <v>2.2496411359683499E-2</v>
      </c>
      <c r="AK218" s="1111">
        <f>SUMIFS(NewEmisData!J:J, NewEmisData!$A:$A, $G218, NewEmisData!$B:$B, $A218, NewEmisData!$C:$C, $H218, NewEmisData!$D:$D, AK$6)</f>
        <v>2.24091575903414E-2</v>
      </c>
      <c r="AL218" s="1111">
        <f>SUMIFS(NewEmisData!K:K, NewEmisData!$A:$A, $G218, NewEmisData!$B:$B, $A218, NewEmisData!$C:$C, $H218, NewEmisData!$D:$D, AL$6)</f>
        <v>2.2385789717233699E-2</v>
      </c>
      <c r="AM218" s="1111">
        <f>SUMIFS(NewEmisData!L:L, NewEmisData!$A:$A, $G218, NewEmisData!$B:$B, $A218, NewEmisData!$C:$C, $H218, NewEmisData!$D:$D, AM$6)</f>
        <v>2.23812039581394E-2</v>
      </c>
      <c r="AN218" s="1111">
        <f>SUMIFS(NewEmisData!M:M, NewEmisData!$A:$A, $G218, NewEmisData!$B:$B, $A218, NewEmisData!$C:$C, $H218, NewEmisData!$D:$D, AN$6)</f>
        <v>2.2380112251842499E-2</v>
      </c>
      <c r="AO218" s="1111">
        <f t="shared" si="304"/>
        <v>2.2380112251842499E-2</v>
      </c>
      <c r="AP218" s="1111">
        <f t="shared" si="305"/>
        <v>0.29570181024604603</v>
      </c>
      <c r="AQ218" s="1111">
        <f>SUMIFS(NewEmisData!E:E, NewEmisData!$A:$A, $G218, NewEmisData!$B:$B, $A218, NewEmisData!$C:$C, $H218, NewEmisData!$D:$D, AQ$6)</f>
        <v>0.29570181024604603</v>
      </c>
      <c r="AR218" s="1111">
        <f>SUMIFS(NewEmisData!F:F, NewEmisData!$A:$A, $G218, NewEmisData!$B:$B, $A218, NewEmisData!$C:$C, $H218, NewEmisData!$D:$D, AR$6)</f>
        <v>0.31347002724777001</v>
      </c>
      <c r="AS218" s="1111">
        <f>SUMIFS(NewEmisData!G:G, NewEmisData!$A:$A, $G218, NewEmisData!$B:$B, $A218, NewEmisData!$C:$C, $H218, NewEmisData!$D:$D, AS$6)</f>
        <v>0.29348248729715698</v>
      </c>
      <c r="AT218" s="1111">
        <f>SUMIFS(NewEmisData!H:H, NewEmisData!$A:$A, $G218, NewEmisData!$B:$B, $A218, NewEmisData!$C:$C, $H218, NewEmisData!$D:$D, AT$6)</f>
        <v>0.29400895980241698</v>
      </c>
      <c r="AU218" s="1111">
        <f>SUMIFS(NewEmisData!I:I, NewEmisData!$A:$A, $G218, NewEmisData!$B:$B, $A218, NewEmisData!$C:$C, $H218, NewEmisData!$D:$D, AU$6)</f>
        <v>0.29451767447034</v>
      </c>
      <c r="AV218" s="1111">
        <f>SUMIFS(NewEmisData!J:J, NewEmisData!$A:$A, $G218, NewEmisData!$B:$B, $A218, NewEmisData!$C:$C, $H218, NewEmisData!$D:$D, AV$6)</f>
        <v>0.29481614241324999</v>
      </c>
      <c r="AW218" s="1111">
        <f>SUMIFS(NewEmisData!K:K, NewEmisData!$A:$A, $G218, NewEmisData!$B:$B, $A218, NewEmisData!$C:$C, $H218, NewEmisData!$D:$D, AW$6)</f>
        <v>0.29496671929746798</v>
      </c>
      <c r="AX218" s="1111">
        <f>SUMIFS(NewEmisData!L:L, NewEmisData!$A:$A, $G218, NewEmisData!$B:$B, $A218, NewEmisData!$C:$C, $H218, NewEmisData!$D:$D, AX$6)</f>
        <v>0.29501247169592298</v>
      </c>
      <c r="AY218" s="1111">
        <f>SUMIFS(NewEmisData!M:M, NewEmisData!$A:$A, $G218, NewEmisData!$B:$B, $A218, NewEmisData!$C:$C, $H218, NewEmisData!$D:$D, AY$6)</f>
        <v>0.29502934324841701</v>
      </c>
      <c r="AZ218" s="1111">
        <f t="shared" si="306"/>
        <v>0.29502934324841701</v>
      </c>
      <c r="BA218" s="1111">
        <f t="shared" si="307"/>
        <v>5.6205629802393201E-2</v>
      </c>
      <c r="BB218" s="1111">
        <f>SUMIFS(NewEmisData!E:E, NewEmisData!$A:$A, $G218, NewEmisData!$B:$B, $A218, NewEmisData!$C:$C, $H218, NewEmisData!$D:$D, BB$6)</f>
        <v>5.6205629802393201E-2</v>
      </c>
      <c r="BC218" s="1111">
        <f>SUMIFS(NewEmisData!F:F, NewEmisData!$A:$A, $G218, NewEmisData!$B:$B, $A218, NewEmisData!$C:$C, $H218, NewEmisData!$D:$D, BC$6)</f>
        <v>7.2194764578646903E-2</v>
      </c>
      <c r="BD218" s="1111">
        <f>SUMIFS(NewEmisData!G:G, NewEmisData!$A:$A, $G218, NewEmisData!$B:$B, $A218, NewEmisData!$C:$C, $H218, NewEmisData!$D:$D, BD$6)</f>
        <v>4.48839101088091E-2</v>
      </c>
      <c r="BE218" s="1111">
        <f>SUMIFS(NewEmisData!H:H, NewEmisData!$A:$A, $G218, NewEmisData!$B:$B, $A218, NewEmisData!$C:$C, $H218, NewEmisData!$D:$D, BE$6)</f>
        <v>4.4911356100480797E-2</v>
      </c>
      <c r="BF218" s="1111">
        <f>SUMIFS(NewEmisData!I:I, NewEmisData!$A:$A, $G218, NewEmisData!$B:$B, $A218, NewEmisData!$C:$C, $H218, NewEmisData!$D:$D, BF$6)</f>
        <v>4.52709454211217E-2</v>
      </c>
      <c r="BG218" s="1111">
        <f>SUMIFS(NewEmisData!J:J, NewEmisData!$A:$A, $G218, NewEmisData!$B:$B, $A218, NewEmisData!$C:$C, $H218, NewEmisData!$D:$D, BG$6)</f>
        <v>4.5510230108050102E-2</v>
      </c>
      <c r="BH218" s="1111">
        <f>SUMIFS(NewEmisData!K:K, NewEmisData!$A:$A, $G218, NewEmisData!$B:$B, $A218, NewEmisData!$C:$C, $H218, NewEmisData!$D:$D, BH$6)</f>
        <v>4.5637724556064498E-2</v>
      </c>
      <c r="BI218" s="1111">
        <f>SUMIFS(NewEmisData!L:L, NewEmisData!$A:$A, $G218, NewEmisData!$B:$B, $A218, NewEmisData!$C:$C, $H218, NewEmisData!$D:$D, BI$6)</f>
        <v>4.56765897746194E-2</v>
      </c>
      <c r="BJ218" s="1111">
        <f>SUMIFS(NewEmisData!M:M, NewEmisData!$A:$A, $G218, NewEmisData!$B:$B, $A218, NewEmisData!$C:$C, $H218, NewEmisData!$D:$D, BJ$6)</f>
        <v>4.5691464860186798E-2</v>
      </c>
      <c r="BK218" s="1111">
        <f t="shared" si="308"/>
        <v>4.5691464860186798E-2</v>
      </c>
      <c r="BL218" s="1111">
        <f t="shared" si="309"/>
        <v>36.177292371673602</v>
      </c>
      <c r="BM218" s="1111">
        <f>SUMIFS(NewEmisData!E:E, NewEmisData!$A:$A, $G218, NewEmisData!$B:$B, $A218, NewEmisData!$C:$C, $H218, NewEmisData!$D:$D, BM$6)</f>
        <v>36.177292371673602</v>
      </c>
      <c r="BN218" s="1111">
        <f>SUMIFS(NewEmisData!F:F, NewEmisData!$A:$A, $G218, NewEmisData!$B:$B, $A218, NewEmisData!$C:$C, $H218, NewEmisData!$D:$D, BN$6)</f>
        <v>37.664857731196101</v>
      </c>
      <c r="BO218" s="1111">
        <f>SUMIFS(NewEmisData!G:G, NewEmisData!$A:$A, $G218, NewEmisData!$B:$B, $A218, NewEmisData!$C:$C, $H218, NewEmisData!$D:$D, BO$6)</f>
        <v>13.345526144115</v>
      </c>
      <c r="BP218" s="1111">
        <f>SUMIFS(NewEmisData!H:H, NewEmisData!$A:$A, $G218, NewEmisData!$B:$B, $A218, NewEmisData!$C:$C, $H218, NewEmisData!$D:$D, BP$6)</f>
        <v>11.2726393432321</v>
      </c>
      <c r="BQ218" s="1111">
        <f>SUMIFS(NewEmisData!I:I, NewEmisData!$A:$A, $G218, NewEmisData!$B:$B, $A218, NewEmisData!$C:$C, $H218, NewEmisData!$D:$D, BQ$6)</f>
        <v>10.6231110988618</v>
      </c>
      <c r="BR218" s="1111">
        <f>SUMIFS(NewEmisData!J:J, NewEmisData!$A:$A, $G218, NewEmisData!$B:$B, $A218, NewEmisData!$C:$C, $H218, NewEmisData!$D:$D, BR$6)</f>
        <v>10.435587854097999</v>
      </c>
      <c r="BS218" s="1111">
        <f>SUMIFS(NewEmisData!K:K, NewEmisData!$A:$A, $G218, NewEmisData!$B:$B, $A218, NewEmisData!$C:$C, $H218, NewEmisData!$D:$D, BS$6)</f>
        <v>10.465169362167</v>
      </c>
      <c r="BT218" s="1111">
        <f>SUMIFS(NewEmisData!L:L, NewEmisData!$A:$A, $G218, NewEmisData!$B:$B, $A218, NewEmisData!$C:$C, $H218, NewEmisData!$D:$D, BT$6)</f>
        <v>10.5025719676633</v>
      </c>
      <c r="BU218" s="1111">
        <f>SUMIFS(NewEmisData!M:M, NewEmisData!$A:$A, $G218, NewEmisData!$B:$B, $A218, NewEmisData!$C:$C, $H218, NewEmisData!$D:$D, BU$6)</f>
        <v>10.526416150576599</v>
      </c>
      <c r="BV218" s="1111">
        <f t="shared" si="310"/>
        <v>10.526416150576599</v>
      </c>
      <c r="BW218" s="1111">
        <f t="shared" si="311"/>
        <v>2.2547746276717899</v>
      </c>
      <c r="BX218" s="1111">
        <f>SUMIFS(NewEmisData!E:E, NewEmisData!$A:$A, $G218, NewEmisData!$B:$B, $A218, NewEmisData!$C:$C, $H218, NewEmisData!$D:$D, BX$6)</f>
        <v>2.2547746276717899</v>
      </c>
      <c r="BY218" s="1111">
        <f>SUMIFS(NewEmisData!F:F, NewEmisData!$A:$A, $G218, NewEmisData!$B:$B, $A218, NewEmisData!$C:$C, $H218, NewEmisData!$D:$D, BY$6)</f>
        <v>2.8652548693587798</v>
      </c>
      <c r="BZ218" s="1111">
        <f>SUMIFS(NewEmisData!G:G, NewEmisData!$A:$A, $G218, NewEmisData!$B:$B, $A218, NewEmisData!$C:$C, $H218, NewEmisData!$D:$D, BZ$6)</f>
        <v>0.66453606773915896</v>
      </c>
      <c r="CA218" s="1111">
        <f>SUMIFS(NewEmisData!H:H, NewEmisData!$A:$A, $G218, NewEmisData!$B:$B, $A218, NewEmisData!$C:$C, $H218, NewEmisData!$D:$D, CA$6)</f>
        <v>0.52696134881096601</v>
      </c>
      <c r="CB218" s="1111">
        <f>SUMIFS(NewEmisData!I:I, NewEmisData!$A:$A, $G218, NewEmisData!$B:$B, $A218, NewEmisData!$C:$C, $H218, NewEmisData!$D:$D, CB$6)</f>
        <v>0.475085091842188</v>
      </c>
      <c r="CC218" s="1111">
        <f>SUMIFS(NewEmisData!J:J, NewEmisData!$A:$A, $G218, NewEmisData!$B:$B, $A218, NewEmisData!$C:$C, $H218, NewEmisData!$D:$D, CC$6)</f>
        <v>0.45399199428257297</v>
      </c>
      <c r="CD218" s="1111">
        <f>SUMIFS(NewEmisData!K:K, NewEmisData!$A:$A, $G218, NewEmisData!$B:$B, $A218, NewEmisData!$C:$C, $H218, NewEmisData!$D:$D, CD$6)</f>
        <v>0.45084584233142999</v>
      </c>
      <c r="CE218" s="1111">
        <f>SUMIFS(NewEmisData!L:L, NewEmisData!$A:$A, $G218, NewEmisData!$B:$B, $A218, NewEmisData!$C:$C, $H218, NewEmisData!$D:$D, CE$6)</f>
        <v>0.450741469309828</v>
      </c>
      <c r="CF218" s="1111">
        <f>SUMIFS(NewEmisData!M:M, NewEmisData!$A:$A, $G218, NewEmisData!$B:$B, $A218, NewEmisData!$C:$C, $H218, NewEmisData!$D:$D, CF$6)</f>
        <v>0.45074449890965201</v>
      </c>
      <c r="CG218" s="1111">
        <f t="shared" si="312"/>
        <v>0.45074449890965201</v>
      </c>
      <c r="CH218" s="1111">
        <f t="shared" si="313"/>
        <v>5.7867400606941198E-2</v>
      </c>
      <c r="CI218" s="1111">
        <f>SUMIFS(NewEmisData!E:E, NewEmisData!$A:$A, $G218, NewEmisData!$B:$B, $A218, NewEmisData!$C:$C, $H218, NewEmisData!$D:$D, CI$6)</f>
        <v>5.7867400606941198E-2</v>
      </c>
      <c r="CJ218" s="1111">
        <f>SUMIFS(NewEmisData!F:F, NewEmisData!$A:$A, $G218, NewEmisData!$B:$B, $A218, NewEmisData!$C:$C, $H218, NewEmisData!$D:$D, CJ$6)</f>
        <v>5.7868748340902797E-2</v>
      </c>
      <c r="CK218" s="1111">
        <f>SUMIFS(NewEmisData!G:G, NewEmisData!$A:$A, $G218, NewEmisData!$B:$B, $A218, NewEmisData!$C:$C, $H218, NewEmisData!$D:$D, CK$6)</f>
        <v>6.6009929070185699E-2</v>
      </c>
      <c r="CL218" s="1111">
        <f>SUMIFS(NewEmisData!H:H, NewEmisData!$A:$A, $G218, NewEmisData!$B:$B, $A218, NewEmisData!$C:$C, $H218, NewEmisData!$D:$D, CL$6)</f>
        <v>6.6010246689438001E-2</v>
      </c>
      <c r="CM218" s="1111">
        <f>SUMIFS(NewEmisData!I:I, NewEmisData!$A:$A, $G218, NewEmisData!$B:$B, $A218, NewEmisData!$C:$C, $H218, NewEmisData!$D:$D, CM$6)</f>
        <v>6.6010539794431194E-2</v>
      </c>
      <c r="CN218" s="1111">
        <f>SUMIFS(NewEmisData!J:J, NewEmisData!$A:$A, $G218, NewEmisData!$B:$B, $A218, NewEmisData!$C:$C, $H218, NewEmisData!$D:$D, CN$6)</f>
        <v>6.6010651142724794E-2</v>
      </c>
      <c r="CO218" s="1111">
        <f>SUMIFS(NewEmisData!K:K, NewEmisData!$A:$A, $G218, NewEmisData!$B:$B, $A218, NewEmisData!$C:$C, $H218, NewEmisData!$D:$D, CO$6)</f>
        <v>6.60106383420173E-2</v>
      </c>
      <c r="CP218" s="1111">
        <f>SUMIFS(NewEmisData!L:L, NewEmisData!$A:$A, $G218, NewEmisData!$B:$B, $A218, NewEmisData!$C:$C, $H218, NewEmisData!$D:$D, CP$6)</f>
        <v>6.6010618394000603E-2</v>
      </c>
      <c r="CQ218" s="1111">
        <f>SUMIFS(NewEmisData!M:M, NewEmisData!$A:$A, $G218, NewEmisData!$B:$B, $A218, NewEmisData!$C:$C, $H218, NewEmisData!$D:$D, CQ$6)</f>
        <v>6.6010633444598496E-2</v>
      </c>
      <c r="CR218" s="1111">
        <f t="shared" si="314"/>
        <v>6.6010633444598496E-2</v>
      </c>
      <c r="CS218" s="1111">
        <f t="shared" si="315"/>
        <v>7.2164995475767907E-2</v>
      </c>
      <c r="CT218" s="1111">
        <f>SUMIFS(NewEmisData!E:E, NewEmisData!$A:$A, $G218, NewEmisData!$B:$B, $A218, NewEmisData!$C:$C, $H218, NewEmisData!$D:$D, CT$6)</f>
        <v>7.2164995475767907E-2</v>
      </c>
      <c r="CU218" s="1111">
        <f>SUMIFS(NewEmisData!F:F, NewEmisData!$A:$A, $G218, NewEmisData!$B:$B, $A218, NewEmisData!$C:$C, $H218, NewEmisData!$D:$D, CU$6)</f>
        <v>6.4879251441518196E-2</v>
      </c>
      <c r="CV218" s="1111">
        <f>SUMIFS(NewEmisData!G:G, NewEmisData!$A:$A, $G218, NewEmisData!$B:$B, $A218, NewEmisData!$C:$C, $H218, NewEmisData!$D:$D, CV$6)</f>
        <v>2.6568003004939798E-2</v>
      </c>
      <c r="CW218" s="1111">
        <f>SUMIFS(NewEmisData!H:H, NewEmisData!$A:$A, $G218, NewEmisData!$B:$B, $A218, NewEmisData!$C:$C, $H218, NewEmisData!$D:$D, CW$6)</f>
        <v>1.84437934507856E-2</v>
      </c>
      <c r="CX218" s="1111">
        <f>SUMIFS(NewEmisData!I:I, NewEmisData!$A:$A, $G218, NewEmisData!$B:$B, $A218, NewEmisData!$C:$C, $H218, NewEmisData!$D:$D, CX$6)</f>
        <v>1.6327699656927399E-2</v>
      </c>
      <c r="CY218" s="1111">
        <f>SUMIFS(NewEmisData!J:J, NewEmisData!$A:$A, $G218, NewEmisData!$B:$B, $A218, NewEmisData!$C:$C, $H218, NewEmisData!$D:$D, CY$6)</f>
        <v>1.5748807787192998E-2</v>
      </c>
      <c r="CZ218" s="1111">
        <f>SUMIFS(NewEmisData!K:K, NewEmisData!$A:$A, $G218, NewEmisData!$B:$B, $A218, NewEmisData!$C:$C, $H218, NewEmisData!$D:$D, CZ$6)</f>
        <v>1.5674972697843501E-2</v>
      </c>
      <c r="DA218" s="1111">
        <f>SUMIFS(NewEmisData!L:L, NewEmisData!$A:$A, $G218, NewEmisData!$B:$B, $A218, NewEmisData!$C:$C, $H218, NewEmisData!$D:$D, DA$6)</f>
        <v>1.56348406818691E-2</v>
      </c>
      <c r="DB218" s="1111">
        <f>SUMIFS(NewEmisData!M:M, NewEmisData!$A:$A, $G218, NewEmisData!$B:$B, $A218, NewEmisData!$C:$C, $H218, NewEmisData!$D:$D, DB$6)</f>
        <v>1.5654725632317699E-2</v>
      </c>
      <c r="DC218" s="1111">
        <f t="shared" si="316"/>
        <v>1.5654725632317699E-2</v>
      </c>
      <c r="DD218" s="1111"/>
      <c r="DE218" s="1111"/>
      <c r="DF218" s="1111"/>
      <c r="DG218" s="1111"/>
      <c r="DH218" s="1111"/>
      <c r="DI218" s="1111"/>
      <c r="DJ218" s="1111"/>
      <c r="DK218" s="1111"/>
      <c r="DL218" s="1111"/>
      <c r="DM218" s="1111"/>
      <c r="DN218" s="1111"/>
      <c r="DO218" s="1111"/>
      <c r="DP218" s="1111"/>
      <c r="DQ218" s="1111"/>
      <c r="DR218" s="1111"/>
      <c r="DS218" s="1111"/>
      <c r="DT218" s="1111"/>
      <c r="DU218" s="1111"/>
      <c r="DV218" s="1111"/>
      <c r="DW218" s="1111"/>
      <c r="DX218" s="1111"/>
      <c r="DY218" s="1111"/>
      <c r="DZ218" s="1111">
        <f t="shared" si="317"/>
        <v>7.65679998253877E-2</v>
      </c>
      <c r="EA218" s="1111">
        <f>SUMIFS(NewEmisData!E:E, NewEmisData!$A:$A, $G218, NewEmisData!$B:$B, $A218, NewEmisData!$C:$C, $H218, NewEmisData!$D:$D, EA$6)</f>
        <v>7.65679998253877E-2</v>
      </c>
      <c r="EB218" s="1111">
        <f>SUMIFS(NewEmisData!F:F, NewEmisData!$A:$A, $G218, NewEmisData!$B:$B, $A218, NewEmisData!$C:$C, $H218, NewEmisData!$D:$D, EB$6)</f>
        <v>0.109010255412455</v>
      </c>
      <c r="EC218" s="1111">
        <f>SUMIFS(NewEmisData!G:G, NewEmisData!$A:$A, $G218, NewEmisData!$B:$B, $A218, NewEmisData!$C:$C, $H218, NewEmisData!$D:$D, EC$6)</f>
        <v>1.54277976093114E-2</v>
      </c>
      <c r="ED218" s="1111">
        <f>SUMIFS(NewEmisData!H:H, NewEmisData!$A:$A, $G218, NewEmisData!$B:$B, $A218, NewEmisData!$C:$C, $H218, NewEmisData!$D:$D, ED$6)</f>
        <v>1.2984971623169601E-2</v>
      </c>
      <c r="EE218" s="1111">
        <f>SUMIFS(NewEmisData!I:I, NewEmisData!$A:$A, $G218, NewEmisData!$B:$B, $A218, NewEmisData!$C:$C, $H218, NewEmisData!$D:$D, EE$6)</f>
        <v>1.22605780123332E-2</v>
      </c>
      <c r="EF218" s="1111">
        <f>SUMIFS(NewEmisData!J:J, NewEmisData!$A:$A, $G218, NewEmisData!$B:$B, $A218, NewEmisData!$C:$C, $H218, NewEmisData!$D:$D, EF$6)</f>
        <v>1.20992421043245E-2</v>
      </c>
      <c r="EG218" s="1111">
        <f>SUMIFS(NewEmisData!K:K, NewEmisData!$A:$A, $G218, NewEmisData!$B:$B, $A218, NewEmisData!$C:$C, $H218, NewEmisData!$D:$D, EG$6)</f>
        <v>1.2123397445436401E-2</v>
      </c>
      <c r="EH218" s="1111">
        <f>SUMIFS(NewEmisData!L:L, NewEmisData!$A:$A, $G218, NewEmisData!$B:$B, $A218, NewEmisData!$C:$C, $H218, NewEmisData!$D:$D, EH$6)</f>
        <v>1.2132958592882499E-2</v>
      </c>
      <c r="EI218" s="1111">
        <f>SUMIFS(NewEmisData!M:M, NewEmisData!$A:$A, $G218, NewEmisData!$B:$B, $A218, NewEmisData!$C:$C, $H218, NewEmisData!$D:$D, EI$6)</f>
        <v>1.21315180972552E-2</v>
      </c>
      <c r="EJ218" s="1111">
        <f t="shared" si="318"/>
        <v>1.21315180972552E-2</v>
      </c>
      <c r="EK218" s="1111">
        <f t="shared" si="319"/>
        <v>1571.23838726393</v>
      </c>
      <c r="EL218" s="1111">
        <f t="shared" si="269"/>
        <v>1571.23838726393</v>
      </c>
      <c r="EM218" s="1111">
        <f t="shared" si="270"/>
        <v>1575.29652368133</v>
      </c>
      <c r="EN218" s="1111">
        <f t="shared" si="271"/>
        <v>1620.65726903051</v>
      </c>
      <c r="EO218" s="1111">
        <f t="shared" si="272"/>
        <v>1591.3958126743701</v>
      </c>
      <c r="EP218" s="1111">
        <f t="shared" si="273"/>
        <v>1568.18391586794</v>
      </c>
      <c r="EQ218" s="1111">
        <f t="shared" si="274"/>
        <v>1562.10113018675</v>
      </c>
      <c r="ER218" s="1111">
        <f t="shared" si="275"/>
        <v>1560.4729957351501</v>
      </c>
      <c r="ES218" s="1111">
        <f t="shared" si="276"/>
        <v>1560.1538107035101</v>
      </c>
      <c r="ET218" s="1111">
        <f t="shared" si="277"/>
        <v>1560.07677043992</v>
      </c>
      <c r="EU218" s="1111">
        <f t="shared" si="278"/>
        <v>1560.07677043992</v>
      </c>
      <c r="EV218" s="1111">
        <f t="shared" si="320"/>
        <v>4.4339350215429896</v>
      </c>
      <c r="EW218" s="1111">
        <f t="shared" si="259"/>
        <v>4.4339350215429896</v>
      </c>
      <c r="EX218" s="1111">
        <f t="shared" si="260"/>
        <v>3.9615409236254</v>
      </c>
      <c r="EY218" s="1111">
        <f t="shared" si="261"/>
        <v>1.33028401660566</v>
      </c>
      <c r="EZ218" s="1111">
        <f t="shared" si="262"/>
        <v>0.96801463367483198</v>
      </c>
      <c r="FA218" s="1111">
        <f t="shared" si="263"/>
        <v>0.810835029277582</v>
      </c>
      <c r="FB218" s="1111">
        <f t="shared" si="264"/>
        <v>0.73984590086297597</v>
      </c>
      <c r="FC218" s="1111">
        <f t="shared" si="265"/>
        <v>0.71912537608469196</v>
      </c>
      <c r="FD218" s="1111">
        <f t="shared" si="266"/>
        <v>0.71458926415217605</v>
      </c>
      <c r="FE218" s="1111">
        <f t="shared" si="267"/>
        <v>0.71327232452186995</v>
      </c>
      <c r="FF218" s="1111">
        <f t="shared" si="268"/>
        <v>0.71327232452186995</v>
      </c>
      <c r="FG218" s="1111">
        <f t="shared" si="291"/>
        <v>2.71879476544729E-2</v>
      </c>
      <c r="FH218" s="1111">
        <f t="shared" si="292"/>
        <v>2.71879476544729E-2</v>
      </c>
      <c r="FI218" s="1111">
        <f t="shared" si="293"/>
        <v>2.72581702920257E-2</v>
      </c>
      <c r="FJ218" s="1111">
        <f t="shared" si="294"/>
        <v>2.32491676049662E-2</v>
      </c>
      <c r="FK218" s="1111">
        <f t="shared" si="295"/>
        <v>2.28294094185802E-2</v>
      </c>
      <c r="FL218" s="1111">
        <f t="shared" si="296"/>
        <v>2.2496411359683499E-2</v>
      </c>
      <c r="FM218" s="1111">
        <f t="shared" si="297"/>
        <v>2.24091575903414E-2</v>
      </c>
      <c r="FN218" s="1111">
        <f t="shared" si="298"/>
        <v>2.2385789717233699E-2</v>
      </c>
      <c r="FO218" s="1111">
        <f t="shared" si="299"/>
        <v>2.23812039581394E-2</v>
      </c>
      <c r="FP218" s="1111">
        <f t="shared" si="300"/>
        <v>2.2380112251842499E-2</v>
      </c>
      <c r="FQ218" s="1111">
        <f t="shared" si="301"/>
        <v>2.2380112251842499E-2</v>
      </c>
      <c r="FR218" s="1111">
        <f t="shared" si="230"/>
        <v>0.29570181024604603</v>
      </c>
      <c r="FS218" s="1111">
        <f t="shared" si="231"/>
        <v>0.29570181024604603</v>
      </c>
      <c r="FT218" s="1111">
        <f t="shared" si="232"/>
        <v>0.31347002724777001</v>
      </c>
      <c r="FU218" s="1111">
        <f t="shared" si="233"/>
        <v>0.29348248729715698</v>
      </c>
      <c r="FV218" s="1111">
        <f t="shared" si="234"/>
        <v>0.29400895980241698</v>
      </c>
      <c r="FW218" s="1111">
        <f t="shared" si="235"/>
        <v>0.29451767447034</v>
      </c>
      <c r="FX218" s="1111">
        <f t="shared" si="236"/>
        <v>0.29481614241324999</v>
      </c>
      <c r="FY218" s="1111">
        <f t="shared" si="237"/>
        <v>0.29496671929746798</v>
      </c>
      <c r="FZ218" s="1111">
        <f t="shared" si="238"/>
        <v>0.29501247169592298</v>
      </c>
      <c r="GA218" s="1111">
        <f t="shared" si="239"/>
        <v>0.29502934324841701</v>
      </c>
      <c r="GB218" s="1111">
        <f t="shared" si="240"/>
        <v>0.29502934324841701</v>
      </c>
      <c r="GC218" s="1111">
        <f t="shared" si="279"/>
        <v>5.6205629802393201E-2</v>
      </c>
      <c r="GD218" s="1111">
        <f t="shared" si="280"/>
        <v>5.6205629802393201E-2</v>
      </c>
      <c r="GE218" s="1111">
        <f t="shared" si="281"/>
        <v>7.2194764578646903E-2</v>
      </c>
      <c r="GF218" s="1111">
        <f t="shared" si="282"/>
        <v>4.48839101088091E-2</v>
      </c>
      <c r="GG218" s="1111">
        <f t="shared" si="283"/>
        <v>4.4911356100480797E-2</v>
      </c>
      <c r="GH218" s="1111">
        <f t="shared" si="284"/>
        <v>4.52709454211217E-2</v>
      </c>
      <c r="GI218" s="1111">
        <f t="shared" si="285"/>
        <v>4.5510230108050102E-2</v>
      </c>
      <c r="GJ218" s="1111">
        <f t="shared" si="286"/>
        <v>4.5637724556064498E-2</v>
      </c>
      <c r="GK218" s="1111">
        <f t="shared" si="287"/>
        <v>4.56765897746194E-2</v>
      </c>
      <c r="GL218" s="1111">
        <f t="shared" si="288"/>
        <v>4.5691464860186798E-2</v>
      </c>
      <c r="GM218" s="1111">
        <f t="shared" si="289"/>
        <v>4.5691464860186798E-2</v>
      </c>
    </row>
    <row r="219" spans="1:195" x14ac:dyDescent="0.2">
      <c r="A219" s="1071" t="s">
        <v>188</v>
      </c>
      <c r="B219" s="1071" t="str">
        <f>Technologies!C130</f>
        <v>TMCNGIM</v>
      </c>
      <c r="C219" s="1071" t="str">
        <f>Technologies!D130</f>
        <v>Medium Duty Truck, Improved CNG</v>
      </c>
      <c r="D219" s="1071" t="str">
        <f>NewTech!D82</f>
        <v>bn-vmt, bn-vmt/a</v>
      </c>
      <c r="E219" s="1071" t="str">
        <f>NewTech!E82</f>
        <v>TMCNG</v>
      </c>
      <c r="F219" s="1071" t="str">
        <f>NewTech!F83</f>
        <v>TM</v>
      </c>
      <c r="G219" s="1110" t="s">
        <v>503</v>
      </c>
      <c r="H219" s="1110" t="s">
        <v>500</v>
      </c>
      <c r="I219" s="1112">
        <v>1</v>
      </c>
      <c r="J219" s="1111" t="str">
        <f t="shared" si="302"/>
        <v>Medium duty-GSL</v>
      </c>
      <c r="K219" s="1111">
        <f>SUMIFS(NewEmisData!E:E, NewEmisData!$A:$A, $G219, NewEmisData!$B:$B, $A219, NewEmisData!$C:$C, $H219, NewEmisData!$D:$D, K$6)</f>
        <v>1295.14987573646</v>
      </c>
      <c r="L219" s="1111">
        <f>SUMIFS(NewEmisData!F:F, NewEmisData!$A:$A, $G219, NewEmisData!$B:$B, $A219, NewEmisData!$C:$C, $H219, NewEmisData!$D:$D, L$6)</f>
        <v>1270.8053069328</v>
      </c>
      <c r="M219" s="1111">
        <f>SUMIFS(NewEmisData!G:G, NewEmisData!$A:$A, $G219, NewEmisData!$B:$B, $A219, NewEmisData!$C:$C, $H219, NewEmisData!$D:$D, M$6)</f>
        <v>1116.9310844665499</v>
      </c>
      <c r="N219" s="1111">
        <f>SUMIFS(NewEmisData!H:H, NewEmisData!$A:$A, $G219, NewEmisData!$B:$B, $A219, NewEmisData!$C:$C, $H219, NewEmisData!$D:$D, N$6)</f>
        <v>1096.47271752758</v>
      </c>
      <c r="O219" s="1111">
        <f>SUMIFS(NewEmisData!I:I, NewEmisData!$A:$A, $G219, NewEmisData!$B:$B, $A219, NewEmisData!$C:$C, $H219, NewEmisData!$D:$D, O$6)</f>
        <v>1080.35797958793</v>
      </c>
      <c r="P219" s="1111">
        <f>SUMIFS(NewEmisData!J:J, NewEmisData!$A:$A, $G219, NewEmisData!$B:$B, $A219, NewEmisData!$C:$C, $H219, NewEmisData!$D:$D, P$6)</f>
        <v>1076.1283631843501</v>
      </c>
      <c r="Q219" s="1111">
        <f>SUMIFS(NewEmisData!K:K, NewEmisData!$A:$A, $G219, NewEmisData!$B:$B, $A219, NewEmisData!$C:$C, $H219, NewEmisData!$D:$D, Q$6)</f>
        <v>1074.99841740493</v>
      </c>
      <c r="R219" s="1111">
        <f>SUMIFS(NewEmisData!L:L, NewEmisData!$A:$A, $G219, NewEmisData!$B:$B, $A219, NewEmisData!$C:$C, $H219, NewEmisData!$D:$D, R$6)</f>
        <v>1074.7768639159699</v>
      </c>
      <c r="S219" s="1111">
        <f>SUMIFS(NewEmisData!M:M, NewEmisData!$A:$A, $G219, NewEmisData!$B:$B, $A219, NewEmisData!$C:$C, $H219, NewEmisData!$D:$D, S$6)</f>
        <v>1074.7231317103101</v>
      </c>
      <c r="T219" s="1111">
        <f t="shared" si="290"/>
        <v>1074.7231317103101</v>
      </c>
      <c r="U219" s="1111">
        <f>SUMIFS(NewEmisData!E:E, NewEmisData!$A:$A, $G219, NewEmisData!$B:$B, $A219, NewEmisData!$C:$C, $H219, NewEmisData!$D:$D, U$6)</f>
        <v>4.7005442822918502</v>
      </c>
      <c r="V219" s="1111">
        <f>SUMIFS(NewEmisData!F:F, NewEmisData!$A:$A, $G219, NewEmisData!$B:$B, $A219, NewEmisData!$C:$C, $H219, NewEmisData!$D:$D, V$6)</f>
        <v>3.08259000861326</v>
      </c>
      <c r="W219" s="1111">
        <f>SUMIFS(NewEmisData!G:G, NewEmisData!$A:$A, $G219, NewEmisData!$B:$B, $A219, NewEmisData!$C:$C, $H219, NewEmisData!$D:$D, W$6)</f>
        <v>1.0390638212911101</v>
      </c>
      <c r="X219" s="1111">
        <f>SUMIFS(NewEmisData!H:H, NewEmisData!$A:$A, $G219, NewEmisData!$B:$B, $A219, NewEmisData!$C:$C, $H219, NewEmisData!$D:$D, X$6)</f>
        <v>0.75779261060598802</v>
      </c>
      <c r="Y219" s="1111">
        <f>SUMIFS(NewEmisData!I:I, NewEmisData!$A:$A, $G219, NewEmisData!$B:$B, $A219, NewEmisData!$C:$C, $H219, NewEmisData!$D:$D, Y$6)</f>
        <v>0.63538679073275195</v>
      </c>
      <c r="Z219" s="1111">
        <f>SUMIFS(NewEmisData!J:J, NewEmisData!$A:$A, $G219, NewEmisData!$B:$B, $A219, NewEmisData!$C:$C, $H219, NewEmisData!$D:$D, Z$6)</f>
        <v>0.580083255346031</v>
      </c>
      <c r="AA219" s="1111">
        <f>SUMIFS(NewEmisData!K:K, NewEmisData!$A:$A, $G219, NewEmisData!$B:$B, $A219, NewEmisData!$C:$C, $H219, NewEmisData!$D:$D, AA$6)</f>
        <v>0.56397155784451702</v>
      </c>
      <c r="AB219" s="1111">
        <f>SUMIFS(NewEmisData!L:L, NewEmisData!$A:$A, $G219, NewEmisData!$B:$B, $A219, NewEmisData!$C:$C, $H219, NewEmisData!$D:$D, AB$6)</f>
        <v>0.56043589289625795</v>
      </c>
      <c r="AC219" s="1111">
        <f>SUMIFS(NewEmisData!M:M, NewEmisData!$A:$A, $G219, NewEmisData!$B:$B, $A219, NewEmisData!$C:$C, $H219, NewEmisData!$D:$D, AC$6)</f>
        <v>0.55941898537579804</v>
      </c>
      <c r="AD219" s="1111">
        <f t="shared" ref="AD219:AD282" si="321">AC219</f>
        <v>0.55941898537579804</v>
      </c>
      <c r="AE219" s="1111">
        <f t="shared" si="303"/>
        <v>2.4310232310109099E-2</v>
      </c>
      <c r="AF219" s="1111">
        <f>SUMIFS(NewEmisData!E:E, NewEmisData!$A:$A, $G219, NewEmisData!$B:$B, $A219, NewEmisData!$C:$C, $H219, NewEmisData!$D:$D, AF$6)</f>
        <v>2.4310232310109099E-2</v>
      </c>
      <c r="AG219" s="1111">
        <f>SUMIFS(NewEmisData!F:F, NewEmisData!$A:$A, $G219, NewEmisData!$B:$B, $A219, NewEmisData!$C:$C, $H219, NewEmisData!$D:$D, AG$6)</f>
        <v>2.26976790505827E-2</v>
      </c>
      <c r="AH219" s="1111">
        <f>SUMIFS(NewEmisData!G:G, NewEmisData!$A:$A, $G219, NewEmisData!$B:$B, $A219, NewEmisData!$C:$C, $H219, NewEmisData!$D:$D, AH$6)</f>
        <v>1.6022950426801401E-2</v>
      </c>
      <c r="AI219" s="1111">
        <f>SUMIFS(NewEmisData!H:H, NewEmisData!$A:$A, $G219, NewEmisData!$B:$B, $A219, NewEmisData!$C:$C, $H219, NewEmisData!$D:$D, AI$6)</f>
        <v>1.5729470038709299E-2</v>
      </c>
      <c r="AJ219" s="1111">
        <f>SUMIFS(NewEmisData!I:I, NewEmisData!$A:$A, $G219, NewEmisData!$B:$B, $A219, NewEmisData!$C:$C, $H219, NewEmisData!$D:$D, AJ$6)</f>
        <v>1.5498287302921E-2</v>
      </c>
      <c r="AK219" s="1111">
        <f>SUMIFS(NewEmisData!J:J, NewEmisData!$A:$A, $G219, NewEmisData!$B:$B, $A219, NewEmisData!$C:$C, $H219, NewEmisData!$D:$D, AK$6)</f>
        <v>1.5437619705180801E-2</v>
      </c>
      <c r="AL219" s="1111">
        <f>SUMIFS(NewEmisData!K:K, NewEmisData!$A:$A, $G219, NewEmisData!$B:$B, $A219, NewEmisData!$C:$C, $H219, NewEmisData!$D:$D, AL$6)</f>
        <v>1.5421408919953399E-2</v>
      </c>
      <c r="AM219" s="1111">
        <f>SUMIFS(NewEmisData!L:L, NewEmisData!$A:$A, $G219, NewEmisData!$B:$B, $A219, NewEmisData!$C:$C, $H219, NewEmisData!$D:$D, AM$6)</f>
        <v>1.5418227354463399E-2</v>
      </c>
      <c r="AN219" s="1111">
        <f>SUMIFS(NewEmisData!M:M, NewEmisData!$A:$A, $G219, NewEmisData!$B:$B, $A219, NewEmisData!$C:$C, $H219, NewEmisData!$D:$D, AN$6)</f>
        <v>1.54174639116704E-2</v>
      </c>
      <c r="AO219" s="1111">
        <f t="shared" si="304"/>
        <v>1.54174639116704E-2</v>
      </c>
      <c r="AP219" s="1111">
        <f t="shared" si="305"/>
        <v>0.19559792469321799</v>
      </c>
      <c r="AQ219" s="1111">
        <f>SUMIFS(NewEmisData!E:E, NewEmisData!$A:$A, $G219, NewEmisData!$B:$B, $A219, NewEmisData!$C:$C, $H219, NewEmisData!$D:$D, AQ$6)</f>
        <v>0.19559792469321799</v>
      </c>
      <c r="AR219" s="1111">
        <f>SUMIFS(NewEmisData!F:F, NewEmisData!$A:$A, $G219, NewEmisData!$B:$B, $A219, NewEmisData!$C:$C, $H219, NewEmisData!$D:$D, AR$6)</f>
        <v>0.195854498358668</v>
      </c>
      <c r="AS219" s="1111">
        <f>SUMIFS(NewEmisData!G:G, NewEmisData!$A:$A, $G219, NewEmisData!$B:$B, $A219, NewEmisData!$C:$C, $H219, NewEmisData!$D:$D, AS$6)</f>
        <v>0.158834423055883</v>
      </c>
      <c r="AT219" s="1111">
        <f>SUMIFS(NewEmisData!H:H, NewEmisData!$A:$A, $G219, NewEmisData!$B:$B, $A219, NewEmisData!$C:$C, $H219, NewEmisData!$D:$D, AT$6)</f>
        <v>0.15912944493902401</v>
      </c>
      <c r="AU219" s="1111">
        <f>SUMIFS(NewEmisData!I:I, NewEmisData!$A:$A, $G219, NewEmisData!$B:$B, $A219, NewEmisData!$C:$C, $H219, NewEmisData!$D:$D, AU$6)</f>
        <v>0.159508665245508</v>
      </c>
      <c r="AV219" s="1111">
        <f>SUMIFS(NewEmisData!J:J, NewEmisData!$A:$A, $G219, NewEmisData!$B:$B, $A219, NewEmisData!$C:$C, $H219, NewEmisData!$D:$D, AV$6)</f>
        <v>0.15973496976197599</v>
      </c>
      <c r="AW219" s="1111">
        <f>SUMIFS(NewEmisData!K:K, NewEmisData!$A:$A, $G219, NewEmisData!$B:$B, $A219, NewEmisData!$C:$C, $H219, NewEmisData!$D:$D, AW$6)</f>
        <v>0.15985029461774</v>
      </c>
      <c r="AX219" s="1111">
        <f>SUMIFS(NewEmisData!L:L, NewEmisData!$A:$A, $G219, NewEmisData!$B:$B, $A219, NewEmisData!$C:$C, $H219, NewEmisData!$D:$D, AX$6)</f>
        <v>0.159884874617258</v>
      </c>
      <c r="AY219" s="1111">
        <f>SUMIFS(NewEmisData!M:M, NewEmisData!$A:$A, $G219, NewEmisData!$B:$B, $A219, NewEmisData!$C:$C, $H219, NewEmisData!$D:$D, AY$6)</f>
        <v>0.15989716821268901</v>
      </c>
      <c r="AZ219" s="1111">
        <f t="shared" si="306"/>
        <v>0.15989716821268901</v>
      </c>
      <c r="BA219" s="1111">
        <f t="shared" si="307"/>
        <v>6.1407596132052197E-2</v>
      </c>
      <c r="BB219" s="1111">
        <f>SUMIFS(NewEmisData!E:E, NewEmisData!$A:$A, $G219, NewEmisData!$B:$B, $A219, NewEmisData!$C:$C, $H219, NewEmisData!$D:$D, BB$6)</f>
        <v>6.1407596132052197E-2</v>
      </c>
      <c r="BC219" s="1111">
        <f>SUMIFS(NewEmisData!F:F, NewEmisData!$A:$A, $G219, NewEmisData!$B:$B, $A219, NewEmisData!$C:$C, $H219, NewEmisData!$D:$D, BC$6)</f>
        <v>5.5619399593761901E-2</v>
      </c>
      <c r="BD219" s="1111">
        <f>SUMIFS(NewEmisData!G:G, NewEmisData!$A:$A, $G219, NewEmisData!$B:$B, $A219, NewEmisData!$C:$C, $H219, NewEmisData!$D:$D, BD$6)</f>
        <v>2.6501774627894398E-2</v>
      </c>
      <c r="BE219" s="1111">
        <f>SUMIFS(NewEmisData!H:H, NewEmisData!$A:$A, $G219, NewEmisData!$B:$B, $A219, NewEmisData!$C:$C, $H219, NewEmisData!$D:$D, BE$6)</f>
        <v>2.6535568582948001E-2</v>
      </c>
      <c r="BF219" s="1111">
        <f>SUMIFS(NewEmisData!I:I, NewEmisData!$A:$A, $G219, NewEmisData!$B:$B, $A219, NewEmisData!$C:$C, $H219, NewEmisData!$D:$D, BF$6)</f>
        <v>2.68240676450552E-2</v>
      </c>
      <c r="BG219" s="1111">
        <f>SUMIFS(NewEmisData!J:J, NewEmisData!$A:$A, $G219, NewEmisData!$B:$B, $A219, NewEmisData!$C:$C, $H219, NewEmisData!$D:$D, BG$6)</f>
        <v>2.7011500327140701E-2</v>
      </c>
      <c r="BH219" s="1111">
        <f>SUMIFS(NewEmisData!K:K, NewEmisData!$A:$A, $G219, NewEmisData!$B:$B, $A219, NewEmisData!$C:$C, $H219, NewEmisData!$D:$D, BH$6)</f>
        <v>2.71105372443806E-2</v>
      </c>
      <c r="BI219" s="1111">
        <f>SUMIFS(NewEmisData!L:L, NewEmisData!$A:$A, $G219, NewEmisData!$B:$B, $A219, NewEmisData!$C:$C, $H219, NewEmisData!$D:$D, BI$6)</f>
        <v>2.7140215075382799E-2</v>
      </c>
      <c r="BJ219" s="1111">
        <f>SUMIFS(NewEmisData!M:M, NewEmisData!$A:$A, $G219, NewEmisData!$B:$B, $A219, NewEmisData!$C:$C, $H219, NewEmisData!$D:$D, BJ$6)</f>
        <v>2.7151187263261201E-2</v>
      </c>
      <c r="BK219" s="1111">
        <f t="shared" si="308"/>
        <v>2.7151187263261201E-2</v>
      </c>
      <c r="BL219" s="1111">
        <f t="shared" si="309"/>
        <v>37.072387310679602</v>
      </c>
      <c r="BM219" s="1111">
        <f>SUMIFS(NewEmisData!E:E, NewEmisData!$A:$A, $G219, NewEmisData!$B:$B, $A219, NewEmisData!$C:$C, $H219, NewEmisData!$D:$D, BM$6)</f>
        <v>37.072387310679602</v>
      </c>
      <c r="BN219" s="1111">
        <f>SUMIFS(NewEmisData!F:F, NewEmisData!$A:$A, $G219, NewEmisData!$B:$B, $A219, NewEmisData!$C:$C, $H219, NewEmisData!$D:$D, BN$6)</f>
        <v>25.792665103532201</v>
      </c>
      <c r="BO219" s="1111">
        <f>SUMIFS(NewEmisData!G:G, NewEmisData!$A:$A, $G219, NewEmisData!$B:$B, $A219, NewEmisData!$C:$C, $H219, NewEmisData!$D:$D, BO$6)</f>
        <v>9.5462177561034594</v>
      </c>
      <c r="BP219" s="1111">
        <f>SUMIFS(NewEmisData!H:H, NewEmisData!$A:$A, $G219, NewEmisData!$B:$B, $A219, NewEmisData!$C:$C, $H219, NewEmisData!$D:$D, BP$6)</f>
        <v>8.0392699220412105</v>
      </c>
      <c r="BQ219" s="1111">
        <f>SUMIFS(NewEmisData!I:I, NewEmisData!$A:$A, $G219, NewEmisData!$B:$B, $A219, NewEmisData!$C:$C, $H219, NewEmisData!$D:$D, BQ$6)</f>
        <v>7.5629439516014001</v>
      </c>
      <c r="BR219" s="1111">
        <f>SUMIFS(NewEmisData!J:J, NewEmisData!$A:$A, $G219, NewEmisData!$B:$B, $A219, NewEmisData!$C:$C, $H219, NewEmisData!$D:$D, BR$6)</f>
        <v>7.42380058325005</v>
      </c>
      <c r="BS219" s="1111">
        <f>SUMIFS(NewEmisData!K:K, NewEmisData!$A:$A, $G219, NewEmisData!$B:$B, $A219, NewEmisData!$C:$C, $H219, NewEmisData!$D:$D, BS$6)</f>
        <v>7.4426275255201499</v>
      </c>
      <c r="BT219" s="1111">
        <f>SUMIFS(NewEmisData!L:L, NewEmisData!$A:$A, $G219, NewEmisData!$B:$B, $A219, NewEmisData!$C:$C, $H219, NewEmisData!$D:$D, BT$6)</f>
        <v>7.4685453226779002</v>
      </c>
      <c r="BU219" s="1111">
        <f>SUMIFS(NewEmisData!M:M, NewEmisData!$A:$A, $G219, NewEmisData!$B:$B, $A219, NewEmisData!$C:$C, $H219, NewEmisData!$D:$D, BU$6)</f>
        <v>7.4852296254001702</v>
      </c>
      <c r="BV219" s="1111">
        <f t="shared" si="310"/>
        <v>7.4852296254001702</v>
      </c>
      <c r="BW219" s="1111">
        <f t="shared" si="311"/>
        <v>1.81554554352594</v>
      </c>
      <c r="BX219" s="1111">
        <f>SUMIFS(NewEmisData!E:E, NewEmisData!$A:$A, $G219, NewEmisData!$B:$B, $A219, NewEmisData!$C:$C, $H219, NewEmisData!$D:$D, BX$6)</f>
        <v>1.81554554352594</v>
      </c>
      <c r="BY219" s="1111">
        <f>SUMIFS(NewEmisData!F:F, NewEmisData!$A:$A, $G219, NewEmisData!$B:$B, $A219, NewEmisData!$C:$C, $H219, NewEmisData!$D:$D, BY$6)</f>
        <v>1.3100717618514499</v>
      </c>
      <c r="BZ219" s="1111">
        <f>SUMIFS(NewEmisData!G:G, NewEmisData!$A:$A, $G219, NewEmisData!$B:$B, $A219, NewEmisData!$C:$C, $H219, NewEmisData!$D:$D, BZ$6)</f>
        <v>0.39370379160048102</v>
      </c>
      <c r="CA219" s="1111">
        <f>SUMIFS(NewEmisData!H:H, NewEmisData!$A:$A, $G219, NewEmisData!$B:$B, $A219, NewEmisData!$C:$C, $H219, NewEmisData!$D:$D, CA$6)</f>
        <v>0.31228113561307103</v>
      </c>
      <c r="CB219" s="1111">
        <f>SUMIFS(NewEmisData!I:I, NewEmisData!$A:$A, $G219, NewEmisData!$B:$B, $A219, NewEmisData!$C:$C, $H219, NewEmisData!$D:$D, CB$6)</f>
        <v>0.28237497464649203</v>
      </c>
      <c r="CC219" s="1111">
        <f>SUMIFS(NewEmisData!J:J, NewEmisData!$A:$A, $G219, NewEmisData!$B:$B, $A219, NewEmisData!$C:$C, $H219, NewEmisData!$D:$D, CC$6)</f>
        <v>0.27043603612734302</v>
      </c>
      <c r="CD219" s="1111">
        <f>SUMIFS(NewEmisData!K:K, NewEmisData!$A:$A, $G219, NewEmisData!$B:$B, $A219, NewEmisData!$C:$C, $H219, NewEmisData!$D:$D, CD$6)</f>
        <v>0.26884074434480698</v>
      </c>
      <c r="CE219" s="1111">
        <f>SUMIFS(NewEmisData!L:L, NewEmisData!$A:$A, $G219, NewEmisData!$B:$B, $A219, NewEmisData!$C:$C, $H219, NewEmisData!$D:$D, CE$6)</f>
        <v>0.268857395941977</v>
      </c>
      <c r="CF219" s="1111">
        <f>SUMIFS(NewEmisData!M:M, NewEmisData!$A:$A, $G219, NewEmisData!$B:$B, $A219, NewEmisData!$C:$C, $H219, NewEmisData!$D:$D, CF$6)</f>
        <v>0.26888130166281199</v>
      </c>
      <c r="CG219" s="1111">
        <f t="shared" si="312"/>
        <v>0.26888130166281199</v>
      </c>
      <c r="CH219" s="1111">
        <f t="shared" si="313"/>
        <v>4.4354850737075603E-2</v>
      </c>
      <c r="CI219" s="1111">
        <f>SUMIFS(NewEmisData!E:E, NewEmisData!$A:$A, $G219, NewEmisData!$B:$B, $A219, NewEmisData!$C:$C, $H219, NewEmisData!$D:$D, CI$6)</f>
        <v>4.4354850737075603E-2</v>
      </c>
      <c r="CJ219" s="1111">
        <f>SUMIFS(NewEmisData!F:F, NewEmisData!$A:$A, $G219, NewEmisData!$B:$B, $A219, NewEmisData!$C:$C, $H219, NewEmisData!$D:$D, CJ$6)</f>
        <v>4.4606421809548602E-2</v>
      </c>
      <c r="CK219" s="1111">
        <f>SUMIFS(NewEmisData!G:G, NewEmisData!$A:$A, $G219, NewEmisData!$B:$B, $A219, NewEmisData!$C:$C, $H219, NewEmisData!$D:$D, CK$6)</f>
        <v>4.5833727376490101E-2</v>
      </c>
      <c r="CL219" s="1111">
        <f>SUMIFS(NewEmisData!H:H, NewEmisData!$A:$A, $G219, NewEmisData!$B:$B, $A219, NewEmisData!$C:$C, $H219, NewEmisData!$D:$D, CL$6)</f>
        <v>4.5835915019940797E-2</v>
      </c>
      <c r="CM219" s="1111">
        <f>SUMIFS(NewEmisData!I:I, NewEmisData!$A:$A, $G219, NewEmisData!$B:$B, $A219, NewEmisData!$C:$C, $H219, NewEmisData!$D:$D, CM$6)</f>
        <v>4.5836924876248103E-2</v>
      </c>
      <c r="CN219" s="1111">
        <f>SUMIFS(NewEmisData!J:J, NewEmisData!$A:$A, $G219, NewEmisData!$B:$B, $A219, NewEmisData!$C:$C, $H219, NewEmisData!$D:$D, CN$6)</f>
        <v>4.5837206762828597E-2</v>
      </c>
      <c r="CO219" s="1111">
        <f>SUMIFS(NewEmisData!K:K, NewEmisData!$A:$A, $G219, NewEmisData!$B:$B, $A219, NewEmisData!$C:$C, $H219, NewEmisData!$D:$D, CO$6)</f>
        <v>4.5837285402718399E-2</v>
      </c>
      <c r="CP219" s="1111">
        <f>SUMIFS(NewEmisData!L:L, NewEmisData!$A:$A, $G219, NewEmisData!$B:$B, $A219, NewEmisData!$C:$C, $H219, NewEmisData!$D:$D, CP$6)</f>
        <v>4.5837327743812703E-2</v>
      </c>
      <c r="CQ219" s="1111">
        <f>SUMIFS(NewEmisData!M:M, NewEmisData!$A:$A, $G219, NewEmisData!$B:$B, $A219, NewEmisData!$C:$C, $H219, NewEmisData!$D:$D, CQ$6)</f>
        <v>4.5837305828443899E-2</v>
      </c>
      <c r="CR219" s="1111">
        <f t="shared" si="314"/>
        <v>4.5837305828443899E-2</v>
      </c>
      <c r="CS219" s="1111">
        <f t="shared" si="315"/>
        <v>4.9787516424166102E-2</v>
      </c>
      <c r="CT219" s="1111">
        <f>SUMIFS(NewEmisData!E:E, NewEmisData!$A:$A, $G219, NewEmisData!$B:$B, $A219, NewEmisData!$C:$C, $H219, NewEmisData!$D:$D, CT$6)</f>
        <v>4.9787516424166102E-2</v>
      </c>
      <c r="CU219" s="1111">
        <f>SUMIFS(NewEmisData!F:F, NewEmisData!$A:$A, $G219, NewEmisData!$B:$B, $A219, NewEmisData!$C:$C, $H219, NewEmisData!$D:$D, CU$6)</f>
        <v>4.0085775499257799E-2</v>
      </c>
      <c r="CV219" s="1111">
        <f>SUMIFS(NewEmisData!G:G, NewEmisData!$A:$A, $G219, NewEmisData!$B:$B, $A219, NewEmisData!$C:$C, $H219, NewEmisData!$D:$D, CV$6)</f>
        <v>1.5231093201386501E-2</v>
      </c>
      <c r="CW219" s="1111">
        <f>SUMIFS(NewEmisData!H:H, NewEmisData!$A:$A, $G219, NewEmisData!$B:$B, $A219, NewEmisData!$C:$C, $H219, NewEmisData!$D:$D, CW$6)</f>
        <v>1.05082390102391E-2</v>
      </c>
      <c r="CX219" s="1111">
        <f>SUMIFS(NewEmisData!I:I, NewEmisData!$A:$A, $G219, NewEmisData!$B:$B, $A219, NewEmisData!$C:$C, $H219, NewEmisData!$D:$D, CX$6)</f>
        <v>9.2332663114354004E-3</v>
      </c>
      <c r="CY219" s="1111">
        <f>SUMIFS(NewEmisData!J:J, NewEmisData!$A:$A, $G219, NewEmisData!$B:$B, $A219, NewEmisData!$C:$C, $H219, NewEmisData!$D:$D, CY$6)</f>
        <v>8.8795270887270794E-3</v>
      </c>
      <c r="CZ219" s="1111">
        <f>SUMIFS(NewEmisData!K:K, NewEmisData!$A:$A, $G219, NewEmisData!$B:$B, $A219, NewEmisData!$C:$C, $H219, NewEmisData!$D:$D, CZ$6)</f>
        <v>8.8375979409894192E-3</v>
      </c>
      <c r="DA219" s="1111">
        <f>SUMIFS(NewEmisData!L:L, NewEmisData!$A:$A, $G219, NewEmisData!$B:$B, $A219, NewEmisData!$C:$C, $H219, NewEmisData!$D:$D, DA$6)</f>
        <v>8.8119276303445203E-3</v>
      </c>
      <c r="DB219" s="1111">
        <f>SUMIFS(NewEmisData!M:M, NewEmisData!$A:$A, $G219, NewEmisData!$B:$B, $A219, NewEmisData!$C:$C, $H219, NewEmisData!$D:$D, DB$6)</f>
        <v>8.8259459804548995E-3</v>
      </c>
      <c r="DC219" s="1111">
        <f t="shared" si="316"/>
        <v>8.8259459804548995E-3</v>
      </c>
      <c r="DD219" s="1111"/>
      <c r="DE219" s="1111"/>
      <c r="DF219" s="1111"/>
      <c r="DG219" s="1111"/>
      <c r="DH219" s="1111"/>
      <c r="DI219" s="1111"/>
      <c r="DJ219" s="1111"/>
      <c r="DK219" s="1111"/>
      <c r="DL219" s="1111"/>
      <c r="DM219" s="1111"/>
      <c r="DN219" s="1111"/>
      <c r="DO219" s="1111"/>
      <c r="DP219" s="1111"/>
      <c r="DQ219" s="1111"/>
      <c r="DR219" s="1111"/>
      <c r="DS219" s="1111"/>
      <c r="DT219" s="1111"/>
      <c r="DU219" s="1111"/>
      <c r="DV219" s="1111"/>
      <c r="DW219" s="1111"/>
      <c r="DX219" s="1111"/>
      <c r="DY219" s="1111"/>
      <c r="DZ219" s="1111">
        <f t="shared" si="317"/>
        <v>4.44098100343151E-2</v>
      </c>
      <c r="EA219" s="1111">
        <f>SUMIFS(NewEmisData!E:E, NewEmisData!$A:$A, $G219, NewEmisData!$B:$B, $A219, NewEmisData!$C:$C, $H219, NewEmisData!$D:$D, EA$6)</f>
        <v>4.44098100343151E-2</v>
      </c>
      <c r="EB219" s="1111">
        <f>SUMIFS(NewEmisData!F:F, NewEmisData!$A:$A, $G219, NewEmisData!$B:$B, $A219, NewEmisData!$C:$C, $H219, NewEmisData!$D:$D, EB$6)</f>
        <v>2.9304673870380101E-2</v>
      </c>
      <c r="EC219" s="1111">
        <f>SUMIFS(NewEmisData!G:G, NewEmisData!$A:$A, $G219, NewEmisData!$B:$B, $A219, NewEmisData!$C:$C, $H219, NewEmisData!$D:$D, EC$6)</f>
        <v>9.6598752165466002E-3</v>
      </c>
      <c r="ED219" s="1111">
        <f>SUMIFS(NewEmisData!H:H, NewEmisData!$A:$A, $G219, NewEmisData!$B:$B, $A219, NewEmisData!$C:$C, $H219, NewEmisData!$D:$D, ED$6)</f>
        <v>8.2574531868545402E-3</v>
      </c>
      <c r="EE219" s="1111">
        <f>SUMIFS(NewEmisData!I:I, NewEmisData!$A:$A, $G219, NewEmisData!$B:$B, $A219, NewEmisData!$C:$C, $H219, NewEmisData!$D:$D, EE$6)</f>
        <v>7.8634646205182502E-3</v>
      </c>
      <c r="EF219" s="1111">
        <f>SUMIFS(NewEmisData!J:J, NewEmisData!$A:$A, $G219, NewEmisData!$B:$B, $A219, NewEmisData!$C:$C, $H219, NewEmisData!$D:$D, EF$6)</f>
        <v>7.7933832365119603E-3</v>
      </c>
      <c r="EG219" s="1111">
        <f>SUMIFS(NewEmisData!K:K, NewEmisData!$A:$A, $G219, NewEmisData!$B:$B, $A219, NewEmisData!$C:$C, $H219, NewEmisData!$D:$D, EG$6)</f>
        <v>7.8217032086275798E-3</v>
      </c>
      <c r="EH219" s="1111">
        <f>SUMIFS(NewEmisData!L:L, NewEmisData!$A:$A, $G219, NewEmisData!$B:$B, $A219, NewEmisData!$C:$C, $H219, NewEmisData!$D:$D, EH$6)</f>
        <v>7.8307139594945199E-3</v>
      </c>
      <c r="EI219" s="1111">
        <f>SUMIFS(NewEmisData!M:M, NewEmisData!$A:$A, $G219, NewEmisData!$B:$B, $A219, NewEmisData!$C:$C, $H219, NewEmisData!$D:$D, EI$6)</f>
        <v>7.8300628211082704E-3</v>
      </c>
      <c r="EJ219" s="1111">
        <f t="shared" si="318"/>
        <v>7.8300628211082704E-3</v>
      </c>
      <c r="EK219" s="1111">
        <f t="shared" si="319"/>
        <v>1295.14987573646</v>
      </c>
      <c r="EL219" s="1111">
        <f t="shared" si="269"/>
        <v>1295.14987573646</v>
      </c>
      <c r="EM219" s="1111">
        <f t="shared" si="270"/>
        <v>1270.8053069328</v>
      </c>
      <c r="EN219" s="1111">
        <f t="shared" si="271"/>
        <v>1116.9310844665499</v>
      </c>
      <c r="EO219" s="1111">
        <f t="shared" si="272"/>
        <v>1096.47271752758</v>
      </c>
      <c r="EP219" s="1111">
        <f t="shared" si="273"/>
        <v>1080.35797958793</v>
      </c>
      <c r="EQ219" s="1111">
        <f t="shared" si="274"/>
        <v>1076.1283631843501</v>
      </c>
      <c r="ER219" s="1111">
        <f t="shared" si="275"/>
        <v>1074.99841740493</v>
      </c>
      <c r="ES219" s="1111">
        <f t="shared" si="276"/>
        <v>1074.7768639159699</v>
      </c>
      <c r="ET219" s="1111">
        <f t="shared" si="277"/>
        <v>1074.7231317103101</v>
      </c>
      <c r="EU219" s="1111">
        <f t="shared" si="278"/>
        <v>1074.7231317103101</v>
      </c>
      <c r="EV219" s="1111">
        <f t="shared" si="320"/>
        <v>4.7005442822918502</v>
      </c>
      <c r="EW219" s="1111">
        <f t="shared" si="259"/>
        <v>4.7005442822918502</v>
      </c>
      <c r="EX219" s="1111">
        <f t="shared" si="260"/>
        <v>3.08259000861326</v>
      </c>
      <c r="EY219" s="1111">
        <f t="shared" si="261"/>
        <v>1.0390638212911101</v>
      </c>
      <c r="EZ219" s="1111">
        <f t="shared" si="262"/>
        <v>0.75779261060598802</v>
      </c>
      <c r="FA219" s="1111">
        <f t="shared" si="263"/>
        <v>0.63538679073275195</v>
      </c>
      <c r="FB219" s="1111">
        <f t="shared" si="264"/>
        <v>0.580083255346031</v>
      </c>
      <c r="FC219" s="1111">
        <f t="shared" si="265"/>
        <v>0.56397155784451702</v>
      </c>
      <c r="FD219" s="1111">
        <f t="shared" si="266"/>
        <v>0.56043589289625795</v>
      </c>
      <c r="FE219" s="1111">
        <f t="shared" si="267"/>
        <v>0.55941898537579804</v>
      </c>
      <c r="FF219" s="1111">
        <f t="shared" si="268"/>
        <v>0.55941898537579804</v>
      </c>
      <c r="FG219" s="1111">
        <f t="shared" si="291"/>
        <v>2.4310232310109099E-2</v>
      </c>
      <c r="FH219" s="1111">
        <f t="shared" si="292"/>
        <v>2.4310232310109099E-2</v>
      </c>
      <c r="FI219" s="1111">
        <f t="shared" si="293"/>
        <v>2.26976790505827E-2</v>
      </c>
      <c r="FJ219" s="1111">
        <f t="shared" si="294"/>
        <v>1.6022950426801401E-2</v>
      </c>
      <c r="FK219" s="1111">
        <f t="shared" si="295"/>
        <v>1.5729470038709299E-2</v>
      </c>
      <c r="FL219" s="1111">
        <f t="shared" si="296"/>
        <v>1.5498287302921E-2</v>
      </c>
      <c r="FM219" s="1111">
        <f t="shared" si="297"/>
        <v>1.5437619705180801E-2</v>
      </c>
      <c r="FN219" s="1111">
        <f t="shared" si="298"/>
        <v>1.5421408919953399E-2</v>
      </c>
      <c r="FO219" s="1111">
        <f t="shared" si="299"/>
        <v>1.5418227354463399E-2</v>
      </c>
      <c r="FP219" s="1111">
        <f t="shared" si="300"/>
        <v>1.54174639116704E-2</v>
      </c>
      <c r="FQ219" s="1111">
        <f t="shared" si="301"/>
        <v>1.54174639116704E-2</v>
      </c>
      <c r="FR219" s="1111">
        <f t="shared" ref="FR219:FR282" si="322">AP219</f>
        <v>0.19559792469321799</v>
      </c>
      <c r="FS219" s="1111">
        <f t="shared" ref="FS219:FS282" si="323">AQ219</f>
        <v>0.19559792469321799</v>
      </c>
      <c r="FT219" s="1111">
        <f t="shared" ref="FT219:FT282" si="324">AR219</f>
        <v>0.195854498358668</v>
      </c>
      <c r="FU219" s="1111">
        <f t="shared" ref="FU219:FU282" si="325">AS219</f>
        <v>0.158834423055883</v>
      </c>
      <c r="FV219" s="1111">
        <f t="shared" ref="FV219:FV282" si="326">AT219</f>
        <v>0.15912944493902401</v>
      </c>
      <c r="FW219" s="1111">
        <f t="shared" ref="FW219:FW282" si="327">AU219</f>
        <v>0.159508665245508</v>
      </c>
      <c r="FX219" s="1111">
        <f t="shared" ref="FX219:FX282" si="328">AV219</f>
        <v>0.15973496976197599</v>
      </c>
      <c r="FY219" s="1111">
        <f t="shared" ref="FY219:FY282" si="329">AW219</f>
        <v>0.15985029461774</v>
      </c>
      <c r="FZ219" s="1111">
        <f t="shared" ref="FZ219:FZ282" si="330">AX219</f>
        <v>0.159884874617258</v>
      </c>
      <c r="GA219" s="1111">
        <f t="shared" ref="GA219:GA282" si="331">AY219</f>
        <v>0.15989716821268901</v>
      </c>
      <c r="GB219" s="1111">
        <f t="shared" ref="GB219:GB282" si="332">AZ219</f>
        <v>0.15989716821268901</v>
      </c>
      <c r="GC219" s="1111">
        <f t="shared" si="279"/>
        <v>6.1407596132052197E-2</v>
      </c>
      <c r="GD219" s="1111">
        <f t="shared" si="280"/>
        <v>6.1407596132052197E-2</v>
      </c>
      <c r="GE219" s="1111">
        <f t="shared" si="281"/>
        <v>5.5619399593761901E-2</v>
      </c>
      <c r="GF219" s="1111">
        <f t="shared" si="282"/>
        <v>2.6501774627894398E-2</v>
      </c>
      <c r="GG219" s="1111">
        <f t="shared" si="283"/>
        <v>2.6535568582948001E-2</v>
      </c>
      <c r="GH219" s="1111">
        <f t="shared" si="284"/>
        <v>2.68240676450552E-2</v>
      </c>
      <c r="GI219" s="1111">
        <f t="shared" si="285"/>
        <v>2.7011500327140701E-2</v>
      </c>
      <c r="GJ219" s="1111">
        <f t="shared" si="286"/>
        <v>2.71105372443806E-2</v>
      </c>
      <c r="GK219" s="1111">
        <f t="shared" si="287"/>
        <v>2.7140215075382799E-2</v>
      </c>
      <c r="GL219" s="1111">
        <f t="shared" si="288"/>
        <v>2.7151187263261201E-2</v>
      </c>
      <c r="GM219" s="1111">
        <f t="shared" si="289"/>
        <v>2.7151187263261201E-2</v>
      </c>
    </row>
    <row r="220" spans="1:195" x14ac:dyDescent="0.2">
      <c r="A220" s="1071" t="s">
        <v>190</v>
      </c>
      <c r="B220" s="1071" t="str">
        <f>Technologies!C130</f>
        <v>TMCNGIM</v>
      </c>
      <c r="C220" s="1071" t="str">
        <f>Technologies!D130</f>
        <v>Medium Duty Truck, Improved CNG</v>
      </c>
      <c r="D220" s="1071" t="str">
        <f>NewTech!D82</f>
        <v>bn-vmt, bn-vmt/a</v>
      </c>
      <c r="E220" s="1071" t="str">
        <f>NewTech!E82</f>
        <v>TMCNG</v>
      </c>
      <c r="F220" s="1071" t="str">
        <f>NewTech!F83</f>
        <v>TM</v>
      </c>
      <c r="G220" s="1110" t="s">
        <v>503</v>
      </c>
      <c r="H220" s="1110" t="s">
        <v>500</v>
      </c>
      <c r="I220" s="1112">
        <v>1</v>
      </c>
      <c r="J220" s="1111" t="str">
        <f t="shared" si="302"/>
        <v>Medium duty-GSL</v>
      </c>
      <c r="K220" s="1111">
        <f>SUMIFS(NewEmisData!E:E, NewEmisData!$A:$A, $G220, NewEmisData!$B:$B, $A220, NewEmisData!$C:$C, $H220, NewEmisData!$D:$D, K$6)</f>
        <v>1204.2704996203399</v>
      </c>
      <c r="L220" s="1111">
        <f>SUMIFS(NewEmisData!F:F, NewEmisData!$A:$A, $G220, NewEmisData!$B:$B, $A220, NewEmisData!$C:$C, $H220, NewEmisData!$D:$D, L$6)</f>
        <v>1280.9014839137801</v>
      </c>
      <c r="M220" s="1111">
        <f>SUMIFS(NewEmisData!G:G, NewEmisData!$A:$A, $G220, NewEmisData!$B:$B, $A220, NewEmisData!$C:$C, $H220, NewEmisData!$D:$D, M$6)</f>
        <v>1309.1277572440899</v>
      </c>
      <c r="N220" s="1111">
        <f>SUMIFS(NewEmisData!H:H, NewEmisData!$A:$A, $G220, NewEmisData!$B:$B, $A220, NewEmisData!$C:$C, $H220, NewEmisData!$D:$D, N$6)</f>
        <v>1277.5848439676099</v>
      </c>
      <c r="O220" s="1111">
        <f>SUMIFS(NewEmisData!I:I, NewEmisData!$A:$A, $G220, NewEmisData!$B:$B, $A220, NewEmisData!$C:$C, $H220, NewEmisData!$D:$D, O$6)</f>
        <v>1259.05503169493</v>
      </c>
      <c r="P220" s="1111">
        <f>SUMIFS(NewEmisData!J:J, NewEmisData!$A:$A, $G220, NewEmisData!$B:$B, $A220, NewEmisData!$C:$C, $H220, NewEmisData!$D:$D, P$6)</f>
        <v>1254.08723086747</v>
      </c>
      <c r="Q220" s="1111">
        <f>SUMIFS(NewEmisData!K:K, NewEmisData!$A:$A, $G220, NewEmisData!$B:$B, $A220, NewEmisData!$C:$C, $H220, NewEmisData!$D:$D, Q$6)</f>
        <v>1252.90461894546</v>
      </c>
      <c r="R220" s="1111">
        <f>SUMIFS(NewEmisData!L:L, NewEmisData!$A:$A, $G220, NewEmisData!$B:$B, $A220, NewEmisData!$C:$C, $H220, NewEmisData!$D:$D, R$6)</f>
        <v>1252.7104430173399</v>
      </c>
      <c r="S220" s="1111">
        <f>SUMIFS(NewEmisData!M:M, NewEmisData!$A:$A, $G220, NewEmisData!$B:$B, $A220, NewEmisData!$C:$C, $H220, NewEmisData!$D:$D, S$6)</f>
        <v>1252.6870397442001</v>
      </c>
      <c r="T220" s="1111">
        <f t="shared" si="290"/>
        <v>1252.6870397442001</v>
      </c>
      <c r="U220" s="1111">
        <f>SUMIFS(NewEmisData!E:E, NewEmisData!$A:$A, $G220, NewEmisData!$B:$B, $A220, NewEmisData!$C:$C, $H220, NewEmisData!$D:$D, U$6)</f>
        <v>4.3448715610080901</v>
      </c>
      <c r="V220" s="1111">
        <f>SUMIFS(NewEmisData!F:F, NewEmisData!$A:$A, $G220, NewEmisData!$B:$B, $A220, NewEmisData!$C:$C, $H220, NewEmisData!$D:$D, V$6)</f>
        <v>2.68000771941229</v>
      </c>
      <c r="W220" s="1111">
        <f>SUMIFS(NewEmisData!G:G, NewEmisData!$A:$A, $G220, NewEmisData!$B:$B, $A220, NewEmisData!$C:$C, $H220, NewEmisData!$D:$D, W$6)</f>
        <v>1.2701406141530101</v>
      </c>
      <c r="X220" s="1111">
        <f>SUMIFS(NewEmisData!H:H, NewEmisData!$A:$A, $G220, NewEmisData!$B:$B, $A220, NewEmisData!$C:$C, $H220, NewEmisData!$D:$D, X$6)</f>
        <v>0.89637025450783203</v>
      </c>
      <c r="Y220" s="1111">
        <f>SUMIFS(NewEmisData!I:I, NewEmisData!$A:$A, $G220, NewEmisData!$B:$B, $A220, NewEmisData!$C:$C, $H220, NewEmisData!$D:$D, Y$6)</f>
        <v>0.74230586472414295</v>
      </c>
      <c r="Z220" s="1111">
        <f>SUMIFS(NewEmisData!J:J, NewEmisData!$A:$A, $G220, NewEmisData!$B:$B, $A220, NewEmisData!$C:$C, $H220, NewEmisData!$D:$D, Z$6)</f>
        <v>0.67198096175904998</v>
      </c>
      <c r="AA220" s="1111">
        <f>SUMIFS(NewEmisData!K:K, NewEmisData!$A:$A, $G220, NewEmisData!$B:$B, $A220, NewEmisData!$C:$C, $H220, NewEmisData!$D:$D, AA$6)</f>
        <v>0.65082523068374698</v>
      </c>
      <c r="AB220" s="1111">
        <f>SUMIFS(NewEmisData!L:L, NewEmisData!$A:$A, $G220, NewEmisData!$B:$B, $A220, NewEmisData!$C:$C, $H220, NewEmisData!$D:$D, AB$6)</f>
        <v>0.64636795436825401</v>
      </c>
      <c r="AC220" s="1111">
        <f>SUMIFS(NewEmisData!M:M, NewEmisData!$A:$A, $G220, NewEmisData!$B:$B, $A220, NewEmisData!$C:$C, $H220, NewEmisData!$D:$D, AC$6)</f>
        <v>0.64488416341078902</v>
      </c>
      <c r="AD220" s="1111">
        <f t="shared" si="321"/>
        <v>0.64488416341078902</v>
      </c>
      <c r="AE220" s="1111">
        <f t="shared" si="303"/>
        <v>2.08381055217347E-2</v>
      </c>
      <c r="AF220" s="1111">
        <f>SUMIFS(NewEmisData!E:E, NewEmisData!$A:$A, $G220, NewEmisData!$B:$B, $A220, NewEmisData!$C:$C, $H220, NewEmisData!$D:$D, AF$6)</f>
        <v>2.08381055217347E-2</v>
      </c>
      <c r="AG220" s="1111">
        <f>SUMIFS(NewEmisData!F:F, NewEmisData!$A:$A, $G220, NewEmisData!$B:$B, $A220, NewEmisData!$C:$C, $H220, NewEmisData!$D:$D, AG$6)</f>
        <v>2.2164087103621902E-2</v>
      </c>
      <c r="AH220" s="1111">
        <f>SUMIFS(NewEmisData!G:G, NewEmisData!$A:$A, $G220, NewEmisData!$B:$B, $A220, NewEmisData!$C:$C, $H220, NewEmisData!$D:$D, AH$6)</f>
        <v>1.8780122769194701E-2</v>
      </c>
      <c r="AI220" s="1111">
        <f>SUMIFS(NewEmisData!H:H, NewEmisData!$A:$A, $G220, NewEmisData!$B:$B, $A220, NewEmisData!$C:$C, $H220, NewEmisData!$D:$D, AI$6)</f>
        <v>1.8327610114874E-2</v>
      </c>
      <c r="AJ220" s="1111">
        <f>SUMIFS(NewEmisData!I:I, NewEmisData!$A:$A, $G220, NewEmisData!$B:$B, $A220, NewEmisData!$C:$C, $H220, NewEmisData!$D:$D, AJ$6)</f>
        <v>1.8061800865337901E-2</v>
      </c>
      <c r="AK220" s="1111">
        <f>SUMIFS(NewEmisData!J:J, NewEmisData!$A:$A, $G220, NewEmisData!$B:$B, $A220, NewEmisData!$C:$C, $H220, NewEmisData!$D:$D, AK$6)</f>
        <v>1.79905289884639E-2</v>
      </c>
      <c r="AL220" s="1111">
        <f>SUMIFS(NewEmisData!K:K, NewEmisData!$A:$A, $G220, NewEmisData!$B:$B, $A220, NewEmisData!$C:$C, $H220, NewEmisData!$D:$D, AL$6)</f>
        <v>1.7973564507445701E-2</v>
      </c>
      <c r="AM220" s="1111">
        <f>SUMIFS(NewEmisData!L:L, NewEmisData!$A:$A, $G220, NewEmisData!$B:$B, $A220, NewEmisData!$C:$C, $H220, NewEmisData!$D:$D, AM$6)</f>
        <v>1.7970784643505301E-2</v>
      </c>
      <c r="AN220" s="1111">
        <f>SUMIFS(NewEmisData!M:M, NewEmisData!$A:$A, $G220, NewEmisData!$B:$B, $A220, NewEmisData!$C:$C, $H220, NewEmisData!$D:$D, AN$6)</f>
        <v>1.7970446963254401E-2</v>
      </c>
      <c r="AO220" s="1111">
        <f t="shared" si="304"/>
        <v>1.7970446963254401E-2</v>
      </c>
      <c r="AP220" s="1111">
        <f t="shared" si="305"/>
        <v>0.19574828311834699</v>
      </c>
      <c r="AQ220" s="1111">
        <f>SUMIFS(NewEmisData!E:E, NewEmisData!$A:$A, $G220, NewEmisData!$B:$B, $A220, NewEmisData!$C:$C, $H220, NewEmisData!$D:$D, AQ$6)</f>
        <v>0.19574828311834699</v>
      </c>
      <c r="AR220" s="1111">
        <f>SUMIFS(NewEmisData!F:F, NewEmisData!$A:$A, $G220, NewEmisData!$B:$B, $A220, NewEmisData!$C:$C, $H220, NewEmisData!$D:$D, AR$6)</f>
        <v>0.191259101148397</v>
      </c>
      <c r="AS220" s="1111">
        <f>SUMIFS(NewEmisData!G:G, NewEmisData!$A:$A, $G220, NewEmisData!$B:$B, $A220, NewEmisData!$C:$C, $H220, NewEmisData!$D:$D, AS$6)</f>
        <v>0.21457849181088401</v>
      </c>
      <c r="AT220" s="1111">
        <f>SUMIFS(NewEmisData!H:H, NewEmisData!$A:$A, $G220, NewEmisData!$B:$B, $A220, NewEmisData!$C:$C, $H220, NewEmisData!$D:$D, AT$6)</f>
        <v>0.215053494777702</v>
      </c>
      <c r="AU220" s="1111">
        <f>SUMIFS(NewEmisData!I:I, NewEmisData!$A:$A, $G220, NewEmisData!$B:$B, $A220, NewEmisData!$C:$C, $H220, NewEmisData!$D:$D, AU$6)</f>
        <v>0.21551298465650401</v>
      </c>
      <c r="AV220" s="1111">
        <f>SUMIFS(NewEmisData!J:J, NewEmisData!$A:$A, $G220, NewEmisData!$B:$B, $A220, NewEmisData!$C:$C, $H220, NewEmisData!$D:$D, AV$6)</f>
        <v>0.215835472913527</v>
      </c>
      <c r="AW220" s="1111">
        <f>SUMIFS(NewEmisData!K:K, NewEmisData!$A:$A, $G220, NewEmisData!$B:$B, $A220, NewEmisData!$C:$C, $H220, NewEmisData!$D:$D, AW$6)</f>
        <v>0.21602305396888299</v>
      </c>
      <c r="AX220" s="1111">
        <f>SUMIFS(NewEmisData!L:L, NewEmisData!$A:$A, $G220, NewEmisData!$B:$B, $A220, NewEmisData!$C:$C, $H220, NewEmisData!$D:$D, AX$6)</f>
        <v>0.21608589786817001</v>
      </c>
      <c r="AY220" s="1111">
        <f>SUMIFS(NewEmisData!M:M, NewEmisData!$A:$A, $G220, NewEmisData!$B:$B, $A220, NewEmisData!$C:$C, $H220, NewEmisData!$D:$D, AY$6)</f>
        <v>0.216113244270948</v>
      </c>
      <c r="AZ220" s="1111">
        <f t="shared" si="306"/>
        <v>0.216113244270948</v>
      </c>
      <c r="BA220" s="1111">
        <f t="shared" si="307"/>
        <v>4.1988899098410401E-2</v>
      </c>
      <c r="BB220" s="1111">
        <f>SUMIFS(NewEmisData!E:E, NewEmisData!$A:$A, $G220, NewEmisData!$B:$B, $A220, NewEmisData!$C:$C, $H220, NewEmisData!$D:$D, BB$6)</f>
        <v>4.1988899098410401E-2</v>
      </c>
      <c r="BC220" s="1111">
        <f>SUMIFS(NewEmisData!F:F, NewEmisData!$A:$A, $G220, NewEmisData!$B:$B, $A220, NewEmisData!$C:$C, $H220, NewEmisData!$D:$D, BC$6)</f>
        <v>4.04221270662211E-2</v>
      </c>
      <c r="BD220" s="1111">
        <f>SUMIFS(NewEmisData!G:G, NewEmisData!$A:$A, $G220, NewEmisData!$B:$B, $A220, NewEmisData!$C:$C, $H220, NewEmisData!$D:$D, BD$6)</f>
        <v>3.5246180151429399E-2</v>
      </c>
      <c r="BE220" s="1111">
        <f>SUMIFS(NewEmisData!H:H, NewEmisData!$A:$A, $G220, NewEmisData!$B:$B, $A220, NewEmisData!$C:$C, $H220, NewEmisData!$D:$D, BE$6)</f>
        <v>3.4950821311789601E-2</v>
      </c>
      <c r="BF220" s="1111">
        <f>SUMIFS(NewEmisData!I:I, NewEmisData!$A:$A, $G220, NewEmisData!$B:$B, $A220, NewEmisData!$C:$C, $H220, NewEmisData!$D:$D, BF$6)</f>
        <v>3.5285067945859602E-2</v>
      </c>
      <c r="BG220" s="1111">
        <f>SUMIFS(NewEmisData!J:J, NewEmisData!$A:$A, $G220, NewEmisData!$B:$B, $A220, NewEmisData!$C:$C, $H220, NewEmisData!$D:$D, BG$6)</f>
        <v>3.55346528981796E-2</v>
      </c>
      <c r="BH220" s="1111">
        <f>SUMIFS(NewEmisData!K:K, NewEmisData!$A:$A, $G220, NewEmisData!$B:$B, $A220, NewEmisData!$C:$C, $H220, NewEmisData!$D:$D, BH$6)</f>
        <v>3.5692682330647998E-2</v>
      </c>
      <c r="BI220" s="1111">
        <f>SUMIFS(NewEmisData!L:L, NewEmisData!$A:$A, $G220, NewEmisData!$B:$B, $A220, NewEmisData!$C:$C, $H220, NewEmisData!$D:$D, BI$6)</f>
        <v>3.57464219039118E-2</v>
      </c>
      <c r="BJ220" s="1111">
        <f>SUMIFS(NewEmisData!M:M, NewEmisData!$A:$A, $G220, NewEmisData!$B:$B, $A220, NewEmisData!$C:$C, $H220, NewEmisData!$D:$D, BJ$6)</f>
        <v>3.5770424866643502E-2</v>
      </c>
      <c r="BK220" s="1111">
        <f t="shared" si="308"/>
        <v>3.5770424866643502E-2</v>
      </c>
      <c r="BL220" s="1111">
        <f t="shared" si="309"/>
        <v>39.441467642192301</v>
      </c>
      <c r="BM220" s="1111">
        <f>SUMIFS(NewEmisData!E:E, NewEmisData!$A:$A, $G220, NewEmisData!$B:$B, $A220, NewEmisData!$C:$C, $H220, NewEmisData!$D:$D, BM$6)</f>
        <v>39.441467642192301</v>
      </c>
      <c r="BN220" s="1111">
        <f>SUMIFS(NewEmisData!F:F, NewEmisData!$A:$A, $G220, NewEmisData!$B:$B, $A220, NewEmisData!$C:$C, $H220, NewEmisData!$D:$D, BN$6)</f>
        <v>29.135339922672099</v>
      </c>
      <c r="BO220" s="1111">
        <f>SUMIFS(NewEmisData!G:G, NewEmisData!$A:$A, $G220, NewEmisData!$B:$B, $A220, NewEmisData!$C:$C, $H220, NewEmisData!$D:$D, BO$6)</f>
        <v>19.258881049018001</v>
      </c>
      <c r="BP220" s="1111">
        <f>SUMIFS(NewEmisData!H:H, NewEmisData!$A:$A, $G220, NewEmisData!$B:$B, $A220, NewEmisData!$C:$C, $H220, NewEmisData!$D:$D, BP$6)</f>
        <v>17.4734501170478</v>
      </c>
      <c r="BQ220" s="1111">
        <f>SUMIFS(NewEmisData!I:I, NewEmisData!$A:$A, $G220, NewEmisData!$B:$B, $A220, NewEmisData!$C:$C, $H220, NewEmisData!$D:$D, BQ$6)</f>
        <v>17.337238430015301</v>
      </c>
      <c r="BR220" s="1111">
        <f>SUMIFS(NewEmisData!J:J, NewEmisData!$A:$A, $G220, NewEmisData!$B:$B, $A220, NewEmisData!$C:$C, $H220, NewEmisData!$D:$D, BR$6)</f>
        <v>17.524592153612701</v>
      </c>
      <c r="BS220" s="1111">
        <f>SUMIFS(NewEmisData!K:K, NewEmisData!$A:$A, $G220, NewEmisData!$B:$B, $A220, NewEmisData!$C:$C, $H220, NewEmisData!$D:$D, BS$6)</f>
        <v>17.768817804957902</v>
      </c>
      <c r="BT220" s="1111">
        <f>SUMIFS(NewEmisData!L:L, NewEmisData!$A:$A, $G220, NewEmisData!$B:$B, $A220, NewEmisData!$C:$C, $H220, NewEmisData!$D:$D, BT$6)</f>
        <v>17.8951685945812</v>
      </c>
      <c r="BU220" s="1111">
        <f>SUMIFS(NewEmisData!M:M, NewEmisData!$A:$A, $G220, NewEmisData!$B:$B, $A220, NewEmisData!$C:$C, $H220, NewEmisData!$D:$D, BU$6)</f>
        <v>17.960459006708199</v>
      </c>
      <c r="BV220" s="1111">
        <f t="shared" si="310"/>
        <v>17.960459006708199</v>
      </c>
      <c r="BW220" s="1111">
        <f t="shared" si="311"/>
        <v>2.13040906292176</v>
      </c>
      <c r="BX220" s="1111">
        <f>SUMIFS(NewEmisData!E:E, NewEmisData!$A:$A, $G220, NewEmisData!$B:$B, $A220, NewEmisData!$C:$C, $H220, NewEmisData!$D:$D, BX$6)</f>
        <v>2.13040906292176</v>
      </c>
      <c r="BY220" s="1111">
        <f>SUMIFS(NewEmisData!F:F, NewEmisData!$A:$A, $G220, NewEmisData!$B:$B, $A220, NewEmisData!$C:$C, $H220, NewEmisData!$D:$D, BY$6)</f>
        <v>1.66747382008761</v>
      </c>
      <c r="BZ220" s="1111">
        <f>SUMIFS(NewEmisData!G:G, NewEmisData!$A:$A, $G220, NewEmisData!$B:$B, $A220, NewEmisData!$C:$C, $H220, NewEmisData!$D:$D, BZ$6)</f>
        <v>0.70330303970302899</v>
      </c>
      <c r="CA220" s="1111">
        <f>SUMIFS(NewEmisData!H:H, NewEmisData!$A:$A, $G220, NewEmisData!$B:$B, $A220, NewEmisData!$C:$C, $H220, NewEmisData!$D:$D, CA$6)</f>
        <v>0.53546087421873401</v>
      </c>
      <c r="CB220" s="1111">
        <f>SUMIFS(NewEmisData!I:I, NewEmisData!$A:$A, $G220, NewEmisData!$B:$B, $A220, NewEmisData!$C:$C, $H220, NewEmisData!$D:$D, CB$6)</f>
        <v>0.48025579187888601</v>
      </c>
      <c r="CC220" s="1111">
        <f>SUMIFS(NewEmisData!J:J, NewEmisData!$A:$A, $G220, NewEmisData!$B:$B, $A220, NewEmisData!$C:$C, $H220, NewEmisData!$D:$D, CC$6)</f>
        <v>0.45829574772287202</v>
      </c>
      <c r="CD220" s="1111">
        <f>SUMIFS(NewEmisData!K:K, NewEmisData!$A:$A, $G220, NewEmisData!$B:$B, $A220, NewEmisData!$C:$C, $H220, NewEmisData!$D:$D, CD$6)</f>
        <v>0.45669528314480901</v>
      </c>
      <c r="CE220" s="1111">
        <f>SUMIFS(NewEmisData!L:L, NewEmisData!$A:$A, $G220, NewEmisData!$B:$B, $A220, NewEmisData!$C:$C, $H220, NewEmisData!$D:$D, CE$6)</f>
        <v>0.45728549159308601</v>
      </c>
      <c r="CF220" s="1111">
        <f>SUMIFS(NewEmisData!M:M, NewEmisData!$A:$A, $G220, NewEmisData!$B:$B, $A220, NewEmisData!$C:$C, $H220, NewEmisData!$D:$D, CF$6)</f>
        <v>0.457470611587183</v>
      </c>
      <c r="CG220" s="1111">
        <f t="shared" si="312"/>
        <v>0.457470611587183</v>
      </c>
      <c r="CH220" s="1111">
        <f t="shared" si="313"/>
        <v>4.4380144922912999E-2</v>
      </c>
      <c r="CI220" s="1111">
        <f>SUMIFS(NewEmisData!E:E, NewEmisData!$A:$A, $G220, NewEmisData!$B:$B, $A220, NewEmisData!$C:$C, $H220, NewEmisData!$D:$D, CI$6)</f>
        <v>4.4380144922912999E-2</v>
      </c>
      <c r="CJ220" s="1111">
        <f>SUMIFS(NewEmisData!F:F, NewEmisData!$A:$A, $G220, NewEmisData!$B:$B, $A220, NewEmisData!$C:$C, $H220, NewEmisData!$D:$D, CJ$6)</f>
        <v>4.4596792152345799E-2</v>
      </c>
      <c r="CK220" s="1111">
        <f>SUMIFS(NewEmisData!G:G, NewEmisData!$A:$A, $G220, NewEmisData!$B:$B, $A220, NewEmisData!$C:$C, $H220, NewEmisData!$D:$D, CK$6)</f>
        <v>5.2215385084052102E-2</v>
      </c>
      <c r="CL220" s="1111">
        <f>SUMIFS(NewEmisData!H:H, NewEmisData!$A:$A, $G220, NewEmisData!$B:$B, $A220, NewEmisData!$C:$C, $H220, NewEmisData!$D:$D, CL$6)</f>
        <v>5.2195799002688101E-2</v>
      </c>
      <c r="CM220" s="1111">
        <f>SUMIFS(NewEmisData!I:I, NewEmisData!$A:$A, $G220, NewEmisData!$B:$B, $A220, NewEmisData!$C:$C, $H220, NewEmisData!$D:$D, CM$6)</f>
        <v>5.2195910515594697E-2</v>
      </c>
      <c r="CN220" s="1111">
        <f>SUMIFS(NewEmisData!J:J, NewEmisData!$A:$A, $G220, NewEmisData!$B:$B, $A220, NewEmisData!$C:$C, $H220, NewEmisData!$D:$D, CN$6)</f>
        <v>5.2195169525564397E-2</v>
      </c>
      <c r="CO220" s="1111">
        <f>SUMIFS(NewEmisData!K:K, NewEmisData!$A:$A, $G220, NewEmisData!$B:$B, $A220, NewEmisData!$C:$C, $H220, NewEmisData!$D:$D, CO$6)</f>
        <v>5.21950010452591E-2</v>
      </c>
      <c r="CP220" s="1111">
        <f>SUMIFS(NewEmisData!L:L, NewEmisData!$A:$A, $G220, NewEmisData!$B:$B, $A220, NewEmisData!$C:$C, $H220, NewEmisData!$D:$D, CP$6)</f>
        <v>5.2194984268704697E-2</v>
      </c>
      <c r="CQ220" s="1111">
        <f>SUMIFS(NewEmisData!M:M, NewEmisData!$A:$A, $G220, NewEmisData!$B:$B, $A220, NewEmisData!$C:$C, $H220, NewEmisData!$D:$D, CQ$6)</f>
        <v>5.2195021896544298E-2</v>
      </c>
      <c r="CR220" s="1111">
        <f t="shared" si="314"/>
        <v>5.2195021896544298E-2</v>
      </c>
      <c r="CS220" s="1111">
        <f t="shared" si="315"/>
        <v>7.6133150476987599E-2</v>
      </c>
      <c r="CT220" s="1111">
        <f>SUMIFS(NewEmisData!E:E, NewEmisData!$A:$A, $G220, NewEmisData!$B:$B, $A220, NewEmisData!$C:$C, $H220, NewEmisData!$D:$D, CT$6)</f>
        <v>7.6133150476987599E-2</v>
      </c>
      <c r="CU220" s="1111">
        <f>SUMIFS(NewEmisData!F:F, NewEmisData!$A:$A, $G220, NewEmisData!$B:$B, $A220, NewEmisData!$C:$C, $H220, NewEmisData!$D:$D, CU$6)</f>
        <v>5.1439402812130802E-2</v>
      </c>
      <c r="CV220" s="1111">
        <f>SUMIFS(NewEmisData!G:G, NewEmisData!$A:$A, $G220, NewEmisData!$B:$B, $A220, NewEmisData!$C:$C, $H220, NewEmisData!$D:$D, CV$6)</f>
        <v>3.2083061737757199E-2</v>
      </c>
      <c r="CW220" s="1111">
        <f>SUMIFS(NewEmisData!H:H, NewEmisData!$A:$A, $G220, NewEmisData!$B:$B, $A220, NewEmisData!$C:$C, $H220, NewEmisData!$D:$D, CW$6)</f>
        <v>2.1832894937405999E-2</v>
      </c>
      <c r="CX220" s="1111">
        <f>SUMIFS(NewEmisData!I:I, NewEmisData!$A:$A, $G220, NewEmisData!$B:$B, $A220, NewEmisData!$C:$C, $H220, NewEmisData!$D:$D, CX$6)</f>
        <v>1.87474521093988E-2</v>
      </c>
      <c r="CY220" s="1111">
        <f>SUMIFS(NewEmisData!J:J, NewEmisData!$A:$A, $G220, NewEmisData!$B:$B, $A220, NewEmisData!$C:$C, $H220, NewEmisData!$D:$D, CY$6)</f>
        <v>1.78599084478736E-2</v>
      </c>
      <c r="CZ220" s="1111">
        <f>SUMIFS(NewEmisData!K:K, NewEmisData!$A:$A, $G220, NewEmisData!$B:$B, $A220, NewEmisData!$C:$C, $H220, NewEmisData!$D:$D, CZ$6)</f>
        <v>1.7770003763788299E-2</v>
      </c>
      <c r="DA220" s="1111">
        <f>SUMIFS(NewEmisData!L:L, NewEmisData!$A:$A, $G220, NewEmisData!$B:$B, $A220, NewEmisData!$C:$C, $H220, NewEmisData!$D:$D, DA$6)</f>
        <v>1.7699213019639601E-2</v>
      </c>
      <c r="DB220" s="1111">
        <f>SUMIFS(NewEmisData!M:M, NewEmisData!$A:$A, $G220, NewEmisData!$B:$B, $A220, NewEmisData!$C:$C, $H220, NewEmisData!$D:$D, DB$6)</f>
        <v>1.7745127181989399E-2</v>
      </c>
      <c r="DC220" s="1111">
        <f t="shared" si="316"/>
        <v>1.7745127181989399E-2</v>
      </c>
      <c r="DD220" s="1111"/>
      <c r="DE220" s="1111"/>
      <c r="DF220" s="1111"/>
      <c r="DG220" s="1111"/>
      <c r="DH220" s="1111"/>
      <c r="DI220" s="1111"/>
      <c r="DJ220" s="1111"/>
      <c r="DK220" s="1111"/>
      <c r="DL220" s="1111"/>
      <c r="DM220" s="1111"/>
      <c r="DN220" s="1111"/>
      <c r="DO220" s="1111"/>
      <c r="DP220" s="1111"/>
      <c r="DQ220" s="1111"/>
      <c r="DR220" s="1111"/>
      <c r="DS220" s="1111"/>
      <c r="DT220" s="1111"/>
      <c r="DU220" s="1111"/>
      <c r="DV220" s="1111"/>
      <c r="DW220" s="1111"/>
      <c r="DX220" s="1111"/>
      <c r="DY220" s="1111"/>
      <c r="DZ220" s="1111">
        <f t="shared" si="317"/>
        <v>6.6239633822982896E-2</v>
      </c>
      <c r="EA220" s="1111">
        <f>SUMIFS(NewEmisData!E:E, NewEmisData!$A:$A, $G220, NewEmisData!$B:$B, $A220, NewEmisData!$C:$C, $H220, NewEmisData!$D:$D, EA$6)</f>
        <v>6.6239633822982896E-2</v>
      </c>
      <c r="EB220" s="1111">
        <f>SUMIFS(NewEmisData!F:F, NewEmisData!$A:$A, $G220, NewEmisData!$B:$B, $A220, NewEmisData!$C:$C, $H220, NewEmisData!$D:$D, EB$6)</f>
        <v>6.0237802679566702E-2</v>
      </c>
      <c r="EC220" s="1111">
        <f>SUMIFS(NewEmisData!G:G, NewEmisData!$A:$A, $G220, NewEmisData!$B:$B, $A220, NewEmisData!$C:$C, $H220, NewEmisData!$D:$D, EC$6)</f>
        <v>2.4353204424718701E-2</v>
      </c>
      <c r="ED220" s="1111">
        <f>SUMIFS(NewEmisData!H:H, NewEmisData!$A:$A, $G220, NewEmisData!$B:$B, $A220, NewEmisData!$C:$C, $H220, NewEmisData!$D:$D, ED$6)</f>
        <v>2.2100119730100499E-2</v>
      </c>
      <c r="EE220" s="1111">
        <f>SUMIFS(NewEmisData!I:I, NewEmisData!$A:$A, $G220, NewEmisData!$B:$B, $A220, NewEmisData!$C:$C, $H220, NewEmisData!$D:$D, EE$6)</f>
        <v>2.1582561219103999E-2</v>
      </c>
      <c r="EF220" s="1111">
        <f>SUMIFS(NewEmisData!J:J, NewEmisData!$A:$A, $G220, NewEmisData!$B:$B, $A220, NewEmisData!$C:$C, $H220, NewEmisData!$D:$D, EF$6)</f>
        <v>2.1614176302122898E-2</v>
      </c>
      <c r="EG220" s="1111">
        <f>SUMIFS(NewEmisData!K:K, NewEmisData!$A:$A, $G220, NewEmisData!$B:$B, $A220, NewEmisData!$C:$C, $H220, NewEmisData!$D:$D, EG$6)</f>
        <v>2.1778598474770299E-2</v>
      </c>
      <c r="EH220" s="1111">
        <f>SUMIFS(NewEmisData!L:L, NewEmisData!$A:$A, $G220, NewEmisData!$B:$B, $A220, NewEmisData!$C:$C, $H220, NewEmisData!$D:$D, EH$6)</f>
        <v>2.1823465682415499E-2</v>
      </c>
      <c r="EI220" s="1111">
        <f>SUMIFS(NewEmisData!M:M, NewEmisData!$A:$A, $G220, NewEmisData!$B:$B, $A220, NewEmisData!$C:$C, $H220, NewEmisData!$D:$D, EI$6)</f>
        <v>2.1824961400636101E-2</v>
      </c>
      <c r="EJ220" s="1111">
        <f t="shared" si="318"/>
        <v>2.1824961400636101E-2</v>
      </c>
      <c r="EK220" s="1111">
        <f t="shared" si="319"/>
        <v>1204.2704996203399</v>
      </c>
      <c r="EL220" s="1111">
        <f t="shared" si="269"/>
        <v>1204.2704996203399</v>
      </c>
      <c r="EM220" s="1111">
        <f t="shared" si="270"/>
        <v>1280.9014839137801</v>
      </c>
      <c r="EN220" s="1111">
        <f t="shared" si="271"/>
        <v>1309.1277572440899</v>
      </c>
      <c r="EO220" s="1111">
        <f t="shared" si="272"/>
        <v>1277.5848439676099</v>
      </c>
      <c r="EP220" s="1111">
        <f t="shared" si="273"/>
        <v>1259.05503169493</v>
      </c>
      <c r="EQ220" s="1111">
        <f t="shared" si="274"/>
        <v>1254.08723086747</v>
      </c>
      <c r="ER220" s="1111">
        <f t="shared" si="275"/>
        <v>1252.90461894546</v>
      </c>
      <c r="ES220" s="1111">
        <f t="shared" si="276"/>
        <v>1252.7104430173399</v>
      </c>
      <c r="ET220" s="1111">
        <f t="shared" si="277"/>
        <v>1252.6870397442001</v>
      </c>
      <c r="EU220" s="1111">
        <f t="shared" si="278"/>
        <v>1252.6870397442001</v>
      </c>
      <c r="EV220" s="1111">
        <f t="shared" si="320"/>
        <v>4.3448715610080901</v>
      </c>
      <c r="EW220" s="1111">
        <f t="shared" si="259"/>
        <v>4.3448715610080901</v>
      </c>
      <c r="EX220" s="1111">
        <f t="shared" si="260"/>
        <v>2.68000771941229</v>
      </c>
      <c r="EY220" s="1111">
        <f t="shared" si="261"/>
        <v>1.2701406141530101</v>
      </c>
      <c r="EZ220" s="1111">
        <f t="shared" si="262"/>
        <v>0.89637025450783203</v>
      </c>
      <c r="FA220" s="1111">
        <f t="shared" si="263"/>
        <v>0.74230586472414295</v>
      </c>
      <c r="FB220" s="1111">
        <f t="shared" si="264"/>
        <v>0.67198096175904998</v>
      </c>
      <c r="FC220" s="1111">
        <f t="shared" si="265"/>
        <v>0.65082523068374698</v>
      </c>
      <c r="FD220" s="1111">
        <f t="shared" si="266"/>
        <v>0.64636795436825401</v>
      </c>
      <c r="FE220" s="1111">
        <f t="shared" si="267"/>
        <v>0.64488416341078902</v>
      </c>
      <c r="FF220" s="1111">
        <f t="shared" si="268"/>
        <v>0.64488416341078902</v>
      </c>
      <c r="FG220" s="1111">
        <f t="shared" si="291"/>
        <v>2.08381055217347E-2</v>
      </c>
      <c r="FH220" s="1111">
        <f t="shared" si="292"/>
        <v>2.08381055217347E-2</v>
      </c>
      <c r="FI220" s="1111">
        <f t="shared" si="293"/>
        <v>2.2164087103621902E-2</v>
      </c>
      <c r="FJ220" s="1111">
        <f t="shared" si="294"/>
        <v>1.8780122769194701E-2</v>
      </c>
      <c r="FK220" s="1111">
        <f t="shared" si="295"/>
        <v>1.8327610114874E-2</v>
      </c>
      <c r="FL220" s="1111">
        <f t="shared" si="296"/>
        <v>1.8061800865337901E-2</v>
      </c>
      <c r="FM220" s="1111">
        <f t="shared" si="297"/>
        <v>1.79905289884639E-2</v>
      </c>
      <c r="FN220" s="1111">
        <f t="shared" si="298"/>
        <v>1.7973564507445701E-2</v>
      </c>
      <c r="FO220" s="1111">
        <f t="shared" si="299"/>
        <v>1.7970784643505301E-2</v>
      </c>
      <c r="FP220" s="1111">
        <f t="shared" si="300"/>
        <v>1.7970446963254401E-2</v>
      </c>
      <c r="FQ220" s="1111">
        <f t="shared" si="301"/>
        <v>1.7970446963254401E-2</v>
      </c>
      <c r="FR220" s="1111">
        <f t="shared" si="322"/>
        <v>0.19574828311834699</v>
      </c>
      <c r="FS220" s="1111">
        <f t="shared" si="323"/>
        <v>0.19574828311834699</v>
      </c>
      <c r="FT220" s="1111">
        <f t="shared" si="324"/>
        <v>0.191259101148397</v>
      </c>
      <c r="FU220" s="1111">
        <f t="shared" si="325"/>
        <v>0.21457849181088401</v>
      </c>
      <c r="FV220" s="1111">
        <f t="shared" si="326"/>
        <v>0.215053494777702</v>
      </c>
      <c r="FW220" s="1111">
        <f t="shared" si="327"/>
        <v>0.21551298465650401</v>
      </c>
      <c r="FX220" s="1111">
        <f t="shared" si="328"/>
        <v>0.215835472913527</v>
      </c>
      <c r="FY220" s="1111">
        <f t="shared" si="329"/>
        <v>0.21602305396888299</v>
      </c>
      <c r="FZ220" s="1111">
        <f t="shared" si="330"/>
        <v>0.21608589786817001</v>
      </c>
      <c r="GA220" s="1111">
        <f t="shared" si="331"/>
        <v>0.216113244270948</v>
      </c>
      <c r="GB220" s="1111">
        <f t="shared" si="332"/>
        <v>0.216113244270948</v>
      </c>
      <c r="GC220" s="1111">
        <f t="shared" si="279"/>
        <v>4.1988899098410401E-2</v>
      </c>
      <c r="GD220" s="1111">
        <f t="shared" si="280"/>
        <v>4.1988899098410401E-2</v>
      </c>
      <c r="GE220" s="1111">
        <f t="shared" si="281"/>
        <v>4.04221270662211E-2</v>
      </c>
      <c r="GF220" s="1111">
        <f t="shared" si="282"/>
        <v>3.5246180151429399E-2</v>
      </c>
      <c r="GG220" s="1111">
        <f t="shared" si="283"/>
        <v>3.4950821311789601E-2</v>
      </c>
      <c r="GH220" s="1111">
        <f t="shared" si="284"/>
        <v>3.5285067945859602E-2</v>
      </c>
      <c r="GI220" s="1111">
        <f t="shared" si="285"/>
        <v>3.55346528981796E-2</v>
      </c>
      <c r="GJ220" s="1111">
        <f t="shared" si="286"/>
        <v>3.5692682330647998E-2</v>
      </c>
      <c r="GK220" s="1111">
        <f t="shared" si="287"/>
        <v>3.57464219039118E-2</v>
      </c>
      <c r="GL220" s="1111">
        <f t="shared" si="288"/>
        <v>3.5770424866643502E-2</v>
      </c>
      <c r="GM220" s="1111">
        <f t="shared" si="289"/>
        <v>3.5770424866643502E-2</v>
      </c>
    </row>
    <row r="221" spans="1:195" x14ac:dyDescent="0.2">
      <c r="A221" s="1071" t="s">
        <v>182</v>
      </c>
      <c r="B221" s="1071" t="str">
        <f>Technologies!C131</f>
        <v>TMCNGAH</v>
      </c>
      <c r="C221" s="1071" t="str">
        <f>Technologies!D131</f>
        <v>Medium Duty Truck, Advanced Hybrid CNG</v>
      </c>
      <c r="D221" s="1071" t="str">
        <f>NewTech!D83</f>
        <v>bn-vmt, bn-vmt/a</v>
      </c>
      <c r="E221" s="1071" t="str">
        <f>NewTech!E83</f>
        <v>TMCNG</v>
      </c>
      <c r="F221" s="1071" t="str">
        <f>NewTech!F84</f>
        <v>TM</v>
      </c>
      <c r="G221" s="1110" t="s">
        <v>503</v>
      </c>
      <c r="H221" s="1110" t="s">
        <v>500</v>
      </c>
      <c r="I221" s="1112">
        <v>1</v>
      </c>
      <c r="J221" s="1111" t="str">
        <f t="shared" si="302"/>
        <v>Medium duty-GSL</v>
      </c>
      <c r="K221" s="1111">
        <f>SUMIFS(NewEmisData!E:E, NewEmisData!$A:$A, $G221, NewEmisData!$B:$B, $A221, NewEmisData!$C:$C, $H221, NewEmisData!$D:$D, K$6)</f>
        <v>1241.60800343195</v>
      </c>
      <c r="L221" s="1111">
        <f>SUMIFS(NewEmisData!F:F, NewEmisData!$A:$A, $G221, NewEmisData!$B:$B, $A221, NewEmisData!$C:$C, $H221, NewEmisData!$D:$D, L$6)</f>
        <v>1243.08928499321</v>
      </c>
      <c r="M221" s="1111">
        <f>SUMIFS(NewEmisData!G:G, NewEmisData!$A:$A, $G221, NewEmisData!$B:$B, $A221, NewEmisData!$C:$C, $H221, NewEmisData!$D:$D, M$6)</f>
        <v>1559.7377784626201</v>
      </c>
      <c r="N221" s="1111">
        <f>SUMIFS(NewEmisData!H:H, NewEmisData!$A:$A, $G221, NewEmisData!$B:$B, $A221, NewEmisData!$C:$C, $H221, NewEmisData!$D:$D, N$6)</f>
        <v>1531.1148438857699</v>
      </c>
      <c r="O221" s="1111">
        <f>SUMIFS(NewEmisData!I:I, NewEmisData!$A:$A, $G221, NewEmisData!$B:$B, $A221, NewEmisData!$C:$C, $H221, NewEmisData!$D:$D, O$6)</f>
        <v>1508.7877657548299</v>
      </c>
      <c r="P221" s="1111">
        <f>SUMIFS(NewEmisData!J:J, NewEmisData!$A:$A, $G221, NewEmisData!$B:$B, $A221, NewEmisData!$C:$C, $H221, NewEmisData!$D:$D, P$6)</f>
        <v>1502.9671636844901</v>
      </c>
      <c r="Q221" s="1111">
        <f>SUMIFS(NewEmisData!K:K, NewEmisData!$A:$A, $G221, NewEmisData!$B:$B, $A221, NewEmisData!$C:$C, $H221, NewEmisData!$D:$D, Q$6)</f>
        <v>1501.4395842993699</v>
      </c>
      <c r="R221" s="1111">
        <f>SUMIFS(NewEmisData!L:L, NewEmisData!$A:$A, $G221, NewEmisData!$B:$B, $A221, NewEmisData!$C:$C, $H221, NewEmisData!$D:$D, R$6)</f>
        <v>1501.15044041939</v>
      </c>
      <c r="S221" s="1111">
        <f>SUMIFS(NewEmisData!M:M, NewEmisData!$A:$A, $G221, NewEmisData!$B:$B, $A221, NewEmisData!$C:$C, $H221, NewEmisData!$D:$D, S$6)</f>
        <v>1501.0860905019599</v>
      </c>
      <c r="T221" s="1111">
        <f t="shared" si="290"/>
        <v>1501.0860905019599</v>
      </c>
      <c r="U221" s="1111">
        <f>SUMIFS(NewEmisData!E:E, NewEmisData!$A:$A, $G221, NewEmisData!$B:$B, $A221, NewEmisData!$C:$C, $H221, NewEmisData!$D:$D, U$6)</f>
        <v>4.1625657526614797</v>
      </c>
      <c r="V221" s="1111">
        <f>SUMIFS(NewEmisData!F:F, NewEmisData!$A:$A, $G221, NewEmisData!$B:$B, $A221, NewEmisData!$C:$C, $H221, NewEmisData!$D:$D, V$6)</f>
        <v>2.1578815518962502</v>
      </c>
      <c r="W221" s="1111">
        <f>SUMIFS(NewEmisData!G:G, NewEmisData!$A:$A, $G221, NewEmisData!$B:$B, $A221, NewEmisData!$C:$C, $H221, NewEmisData!$D:$D, W$6)</f>
        <v>1.30274636086792</v>
      </c>
      <c r="X221" s="1111">
        <f>SUMIFS(NewEmisData!H:H, NewEmisData!$A:$A, $G221, NewEmisData!$B:$B, $A221, NewEmisData!$C:$C, $H221, NewEmisData!$D:$D, X$6)</f>
        <v>0.94297953696777803</v>
      </c>
      <c r="Y221" s="1111">
        <f>SUMIFS(NewEmisData!I:I, NewEmisData!$A:$A, $G221, NewEmisData!$B:$B, $A221, NewEmisData!$C:$C, $H221, NewEmisData!$D:$D, Y$6)</f>
        <v>0.78815258031283297</v>
      </c>
      <c r="Z221" s="1111">
        <f>SUMIFS(NewEmisData!J:J, NewEmisData!$A:$A, $G221, NewEmisData!$B:$B, $A221, NewEmisData!$C:$C, $H221, NewEmisData!$D:$D, Z$6)</f>
        <v>0.71799894873057002</v>
      </c>
      <c r="AA221" s="1111">
        <f>SUMIFS(NewEmisData!K:K, NewEmisData!$A:$A, $G221, NewEmisData!$B:$B, $A221, NewEmisData!$C:$C, $H221, NewEmisData!$D:$D, AA$6)</f>
        <v>0.69737659475245495</v>
      </c>
      <c r="AB221" s="1111">
        <f>SUMIFS(NewEmisData!L:L, NewEmisData!$A:$A, $G221, NewEmisData!$B:$B, $A221, NewEmisData!$C:$C, $H221, NewEmisData!$D:$D, AB$6)</f>
        <v>0.69289982108465797</v>
      </c>
      <c r="AC221" s="1111">
        <f>SUMIFS(NewEmisData!M:M, NewEmisData!$A:$A, $G221, NewEmisData!$B:$B, $A221, NewEmisData!$C:$C, $H221, NewEmisData!$D:$D, AC$6)</f>
        <v>0.69155412460857602</v>
      </c>
      <c r="AD221" s="1111">
        <f t="shared" si="321"/>
        <v>0.69155412460857602</v>
      </c>
      <c r="AE221" s="1111">
        <f t="shared" si="303"/>
        <v>2.1484176158971701E-2</v>
      </c>
      <c r="AF221" s="1111">
        <f>SUMIFS(NewEmisData!E:E, NewEmisData!$A:$A, $G221, NewEmisData!$B:$B, $A221, NewEmisData!$C:$C, $H221, NewEmisData!$D:$D, AF$6)</f>
        <v>2.1484176158971701E-2</v>
      </c>
      <c r="AG221" s="1111">
        <f>SUMIFS(NewEmisData!F:F, NewEmisData!$A:$A, $G221, NewEmisData!$B:$B, $A221, NewEmisData!$C:$C, $H221, NewEmisData!$D:$D, AG$6)</f>
        <v>2.1509817808633099E-2</v>
      </c>
      <c r="AH221" s="1111">
        <f>SUMIFS(NewEmisData!G:G, NewEmisData!$A:$A, $G221, NewEmisData!$B:$B, $A221, NewEmisData!$C:$C, $H221, NewEmisData!$D:$D, AH$6)</f>
        <v>2.2375249866597498E-2</v>
      </c>
      <c r="AI221" s="1111">
        <f>SUMIFS(NewEmisData!H:H, NewEmisData!$A:$A, $G221, NewEmisData!$B:$B, $A221, NewEmisData!$C:$C, $H221, NewEmisData!$D:$D, AI$6)</f>
        <v>2.1964641718838499E-2</v>
      </c>
      <c r="AJ221" s="1111">
        <f>SUMIFS(NewEmisData!I:I, NewEmisData!$A:$A, $G221, NewEmisData!$B:$B, $A221, NewEmisData!$C:$C, $H221, NewEmisData!$D:$D, AJ$6)</f>
        <v>2.1644351533378101E-2</v>
      </c>
      <c r="AK221" s="1111">
        <f>SUMIFS(NewEmisData!J:J, NewEmisData!$A:$A, $G221, NewEmisData!$B:$B, $A221, NewEmisData!$C:$C, $H221, NewEmisData!$D:$D, AK$6)</f>
        <v>2.1560851881015301E-2</v>
      </c>
      <c r="AL221" s="1111">
        <f>SUMIFS(NewEmisData!K:K, NewEmisData!$A:$A, $G221, NewEmisData!$B:$B, $A221, NewEmisData!$C:$C, $H221, NewEmisData!$D:$D, AL$6)</f>
        <v>2.1538927343366401E-2</v>
      </c>
      <c r="AM221" s="1111">
        <f>SUMIFS(NewEmisData!L:L, NewEmisData!$A:$A, $G221, NewEmisData!$B:$B, $A221, NewEmisData!$C:$C, $H221, NewEmisData!$D:$D, AM$6)</f>
        <v>2.1534775827773901E-2</v>
      </c>
      <c r="AN221" s="1111">
        <f>SUMIFS(NewEmisData!M:M, NewEmisData!$A:$A, $G221, NewEmisData!$B:$B, $A221, NewEmisData!$C:$C, $H221, NewEmisData!$D:$D, AN$6)</f>
        <v>2.15338577914834E-2</v>
      </c>
      <c r="AO221" s="1111">
        <f t="shared" si="304"/>
        <v>2.15338577914834E-2</v>
      </c>
      <c r="AP221" s="1111">
        <f t="shared" si="305"/>
        <v>0.205584171442245</v>
      </c>
      <c r="AQ221" s="1111">
        <f>SUMIFS(NewEmisData!E:E, NewEmisData!$A:$A, $G221, NewEmisData!$B:$B, $A221, NewEmisData!$C:$C, $H221, NewEmisData!$D:$D, AQ$6)</f>
        <v>0.205584171442245</v>
      </c>
      <c r="AR221" s="1111">
        <f>SUMIFS(NewEmisData!F:F, NewEmisData!$A:$A, $G221, NewEmisData!$B:$B, $A221, NewEmisData!$C:$C, $H221, NewEmisData!$D:$D, AR$6)</f>
        <v>0.200703686535146</v>
      </c>
      <c r="AS221" s="1111">
        <f>SUMIFS(NewEmisData!G:G, NewEmisData!$A:$A, $G221, NewEmisData!$B:$B, $A221, NewEmisData!$C:$C, $H221, NewEmisData!$D:$D, AS$6)</f>
        <v>0.298432150084874</v>
      </c>
      <c r="AT221" s="1111">
        <f>SUMIFS(NewEmisData!H:H, NewEmisData!$A:$A, $G221, NewEmisData!$B:$B, $A221, NewEmisData!$C:$C, $H221, NewEmisData!$D:$D, AT$6)</f>
        <v>0.29892439751761801</v>
      </c>
      <c r="AU221" s="1111">
        <f>SUMIFS(NewEmisData!I:I, NewEmisData!$A:$A, $G221, NewEmisData!$B:$B, $A221, NewEmisData!$C:$C, $H221, NewEmisData!$D:$D, AU$6)</f>
        <v>0.29942291421429901</v>
      </c>
      <c r="AV221" s="1111">
        <f>SUMIFS(NewEmisData!J:J, NewEmisData!$A:$A, $G221, NewEmisData!$B:$B, $A221, NewEmisData!$C:$C, $H221, NewEmisData!$D:$D, AV$6)</f>
        <v>0.29972619462258399</v>
      </c>
      <c r="AW221" s="1111">
        <f>SUMIFS(NewEmisData!K:K, NewEmisData!$A:$A, $G221, NewEmisData!$B:$B, $A221, NewEmisData!$C:$C, $H221, NewEmisData!$D:$D, AW$6)</f>
        <v>0.29988559432946199</v>
      </c>
      <c r="AX221" s="1111">
        <f>SUMIFS(NewEmisData!L:L, NewEmisData!$A:$A, $G221, NewEmisData!$B:$B, $A221, NewEmisData!$C:$C, $H221, NewEmisData!$D:$D, AX$6)</f>
        <v>0.29993582308119998</v>
      </c>
      <c r="AY221" s="1111">
        <f>SUMIFS(NewEmisData!M:M, NewEmisData!$A:$A, $G221, NewEmisData!$B:$B, $A221, NewEmisData!$C:$C, $H221, NewEmisData!$D:$D, AY$6)</f>
        <v>0.299955436334361</v>
      </c>
      <c r="AZ221" s="1111">
        <f t="shared" si="306"/>
        <v>0.299955436334361</v>
      </c>
      <c r="BA221" s="1111">
        <f t="shared" si="307"/>
        <v>3.9334690996451198E-2</v>
      </c>
      <c r="BB221" s="1111">
        <f>SUMIFS(NewEmisData!E:E, NewEmisData!$A:$A, $G221, NewEmisData!$B:$B, $A221, NewEmisData!$C:$C, $H221, NewEmisData!$D:$D, BB$6)</f>
        <v>3.9334690996451198E-2</v>
      </c>
      <c r="BC221" s="1111">
        <f>SUMIFS(NewEmisData!F:F, NewEmisData!$A:$A, $G221, NewEmisData!$B:$B, $A221, NewEmisData!$C:$C, $H221, NewEmisData!$D:$D, BC$6)</f>
        <v>3.4631534960308699E-2</v>
      </c>
      <c r="BD221" s="1111">
        <f>SUMIFS(NewEmisData!G:G, NewEmisData!$A:$A, $G221, NewEmisData!$B:$B, $A221, NewEmisData!$C:$C, $H221, NewEmisData!$D:$D, BD$6)</f>
        <v>4.5448906099466301E-2</v>
      </c>
      <c r="BE221" s="1111">
        <f>SUMIFS(NewEmisData!H:H, NewEmisData!$A:$A, $G221, NewEmisData!$B:$B, $A221, NewEmisData!$C:$C, $H221, NewEmisData!$D:$D, BE$6)</f>
        <v>4.5413592229635001E-2</v>
      </c>
      <c r="BF221" s="1111">
        <f>SUMIFS(NewEmisData!I:I, NewEmisData!$A:$A, $G221, NewEmisData!$B:$B, $A221, NewEmisData!$C:$C, $H221, NewEmisData!$D:$D, BF$6)</f>
        <v>4.5762266359602698E-2</v>
      </c>
      <c r="BG221" s="1111">
        <f>SUMIFS(NewEmisData!J:J, NewEmisData!$A:$A, $G221, NewEmisData!$B:$B, $A221, NewEmisData!$C:$C, $H221, NewEmisData!$D:$D, BG$6)</f>
        <v>4.6004282113656897E-2</v>
      </c>
      <c r="BH221" s="1111">
        <f>SUMIFS(NewEmisData!K:K, NewEmisData!$A:$A, $G221, NewEmisData!$B:$B, $A221, NewEmisData!$C:$C, $H221, NewEmisData!$D:$D, BH$6)</f>
        <v>4.6139436899626303E-2</v>
      </c>
      <c r="BI221" s="1111">
        <f>SUMIFS(NewEmisData!L:L, NewEmisData!$A:$A, $G221, NewEmisData!$B:$B, $A221, NewEmisData!$C:$C, $H221, NewEmisData!$D:$D, BI$6)</f>
        <v>4.6182051454262997E-2</v>
      </c>
      <c r="BJ221" s="1111">
        <f>SUMIFS(NewEmisData!M:M, NewEmisData!$A:$A, $G221, NewEmisData!$B:$B, $A221, NewEmisData!$C:$C, $H221, NewEmisData!$D:$D, BJ$6)</f>
        <v>4.6199279391049702E-2</v>
      </c>
      <c r="BK221" s="1111">
        <f t="shared" si="308"/>
        <v>4.6199279391049702E-2</v>
      </c>
      <c r="BL221" s="1111">
        <f t="shared" si="309"/>
        <v>35.379082211376598</v>
      </c>
      <c r="BM221" s="1111">
        <f>SUMIFS(NewEmisData!E:E, NewEmisData!$A:$A, $G221, NewEmisData!$B:$B, $A221, NewEmisData!$C:$C, $H221, NewEmisData!$D:$D, BM$6)</f>
        <v>35.379082211376598</v>
      </c>
      <c r="BN221" s="1111">
        <f>SUMIFS(NewEmisData!F:F, NewEmisData!$A:$A, $G221, NewEmisData!$B:$B, $A221, NewEmisData!$C:$C, $H221, NewEmisData!$D:$D, BN$6)</f>
        <v>20.9802918509032</v>
      </c>
      <c r="BO221" s="1111">
        <f>SUMIFS(NewEmisData!G:G, NewEmisData!$A:$A, $G221, NewEmisData!$B:$B, $A221, NewEmisData!$C:$C, $H221, NewEmisData!$D:$D, BO$6)</f>
        <v>14.8071744303823</v>
      </c>
      <c r="BP221" s="1111">
        <f>SUMIFS(NewEmisData!H:H, NewEmisData!$A:$A, $G221, NewEmisData!$B:$B, $A221, NewEmisData!$C:$C, $H221, NewEmisData!$D:$D, BP$6)</f>
        <v>12.7817736031308</v>
      </c>
      <c r="BQ221" s="1111">
        <f>SUMIFS(NewEmisData!I:I, NewEmisData!$A:$A, $G221, NewEmisData!$B:$B, $A221, NewEmisData!$C:$C, $H221, NewEmisData!$D:$D, BQ$6)</f>
        <v>12.249879427369301</v>
      </c>
      <c r="BR221" s="1111">
        <f>SUMIFS(NewEmisData!J:J, NewEmisData!$A:$A, $G221, NewEmisData!$B:$B, $A221, NewEmisData!$C:$C, $H221, NewEmisData!$D:$D, BR$6)</f>
        <v>12.1493449959291</v>
      </c>
      <c r="BS221" s="1111">
        <f>SUMIFS(NewEmisData!K:K, NewEmisData!$A:$A, $G221, NewEmisData!$B:$B, $A221, NewEmisData!$C:$C, $H221, NewEmisData!$D:$D, BS$6)</f>
        <v>12.229795867911401</v>
      </c>
      <c r="BT221" s="1111">
        <f>SUMIFS(NewEmisData!L:L, NewEmisData!$A:$A, $G221, NewEmisData!$B:$B, $A221, NewEmisData!$C:$C, $H221, NewEmisData!$D:$D, BT$6)</f>
        <v>12.2882488120452</v>
      </c>
      <c r="BU221" s="1111">
        <f>SUMIFS(NewEmisData!M:M, NewEmisData!$A:$A, $G221, NewEmisData!$B:$B, $A221, NewEmisData!$C:$C, $H221, NewEmisData!$D:$D, BU$6)</f>
        <v>12.321950956593</v>
      </c>
      <c r="BV221" s="1111">
        <f t="shared" si="310"/>
        <v>12.321950956593</v>
      </c>
      <c r="BW221" s="1111">
        <f t="shared" si="311"/>
        <v>1.87362575135703</v>
      </c>
      <c r="BX221" s="1111">
        <f>SUMIFS(NewEmisData!E:E, NewEmisData!$A:$A, $G221, NewEmisData!$B:$B, $A221, NewEmisData!$C:$C, $H221, NewEmisData!$D:$D, BX$6)</f>
        <v>1.87362575135703</v>
      </c>
      <c r="BY221" s="1111">
        <f>SUMIFS(NewEmisData!F:F, NewEmisData!$A:$A, $G221, NewEmisData!$B:$B, $A221, NewEmisData!$C:$C, $H221, NewEmisData!$D:$D, BY$6)</f>
        <v>1.0527291712428299</v>
      </c>
      <c r="BZ221" s="1111">
        <f>SUMIFS(NewEmisData!G:G, NewEmisData!$A:$A, $G221, NewEmisData!$B:$B, $A221, NewEmisData!$C:$C, $H221, NewEmisData!$D:$D, BZ$6)</f>
        <v>0.690616026658735</v>
      </c>
      <c r="CA221" s="1111">
        <f>SUMIFS(NewEmisData!H:H, NewEmisData!$A:$A, $G221, NewEmisData!$B:$B, $A221, NewEmisData!$C:$C, $H221, NewEmisData!$D:$D, CA$6)</f>
        <v>0.54311164322371697</v>
      </c>
      <c r="CB221" s="1111">
        <f>SUMIFS(NewEmisData!I:I, NewEmisData!$A:$A, $G221, NewEmisData!$B:$B, $A221, NewEmisData!$C:$C, $H221, NewEmisData!$D:$D, CB$6)</f>
        <v>0.48887057427966502</v>
      </c>
      <c r="CC221" s="1111">
        <f>SUMIFS(NewEmisData!J:J, NewEmisData!$A:$A, $G221, NewEmisData!$B:$B, $A221, NewEmisData!$C:$C, $H221, NewEmisData!$D:$D, CC$6)</f>
        <v>0.46684418132935501</v>
      </c>
      <c r="CD221" s="1111">
        <f>SUMIFS(NewEmisData!K:K, NewEmisData!$A:$A, $G221, NewEmisData!$B:$B, $A221, NewEmisData!$C:$C, $H221, NewEmisData!$D:$D, CD$6)</f>
        <v>0.46389956383150999</v>
      </c>
      <c r="CE221" s="1111">
        <f>SUMIFS(NewEmisData!L:L, NewEmisData!$A:$A, $G221, NewEmisData!$B:$B, $A221, NewEmisData!$C:$C, $H221, NewEmisData!$D:$D, CE$6)</f>
        <v>0.46392493269586499</v>
      </c>
      <c r="CF221" s="1111">
        <f>SUMIFS(NewEmisData!M:M, NewEmisData!$A:$A, $G221, NewEmisData!$B:$B, $A221, NewEmisData!$C:$C, $H221, NewEmisData!$D:$D, CF$6)</f>
        <v>0.46396365606422402</v>
      </c>
      <c r="CG221" s="1111">
        <f t="shared" si="312"/>
        <v>0.46396365606422402</v>
      </c>
      <c r="CH221" s="1111">
        <f t="shared" si="313"/>
        <v>4.5385046654151703E-2</v>
      </c>
      <c r="CI221" s="1111">
        <f>SUMIFS(NewEmisData!E:E, NewEmisData!$A:$A, $G221, NewEmisData!$B:$B, $A221, NewEmisData!$C:$C, $H221, NewEmisData!$D:$D, CI$6)</f>
        <v>4.5385046654151703E-2</v>
      </c>
      <c r="CJ221" s="1111">
        <f>SUMIFS(NewEmisData!F:F, NewEmisData!$A:$A, $G221, NewEmisData!$B:$B, $A221, NewEmisData!$C:$C, $H221, NewEmisData!$D:$D, CJ$6)</f>
        <v>4.5393164724417102E-2</v>
      </c>
      <c r="CK221" s="1111">
        <f>SUMIFS(NewEmisData!G:G, NewEmisData!$A:$A, $G221, NewEmisData!$B:$B, $A221, NewEmisData!$C:$C, $H221, NewEmisData!$D:$D, CK$6)</f>
        <v>6.2513239349190994E-2</v>
      </c>
      <c r="CL221" s="1111">
        <f>SUMIFS(NewEmisData!H:H, NewEmisData!$A:$A, $G221, NewEmisData!$B:$B, $A221, NewEmisData!$C:$C, $H221, NewEmisData!$D:$D, CL$6)</f>
        <v>6.2512411846424906E-2</v>
      </c>
      <c r="CM221" s="1111">
        <f>SUMIFS(NewEmisData!I:I, NewEmisData!$A:$A, $G221, NewEmisData!$B:$B, $A221, NewEmisData!$C:$C, $H221, NewEmisData!$D:$D, CM$6)</f>
        <v>6.2512421474567897E-2</v>
      </c>
      <c r="CN221" s="1111">
        <f>SUMIFS(NewEmisData!J:J, NewEmisData!$A:$A, $G221, NewEmisData!$B:$B, $A221, NewEmisData!$C:$C, $H221, NewEmisData!$D:$D, CN$6)</f>
        <v>6.2512452306065502E-2</v>
      </c>
      <c r="CO221" s="1111">
        <f>SUMIFS(NewEmisData!K:K, NewEmisData!$A:$A, $G221, NewEmisData!$B:$B, $A221, NewEmisData!$C:$C, $H221, NewEmisData!$D:$D, CO$6)</f>
        <v>6.2512380916104907E-2</v>
      </c>
      <c r="CP221" s="1111">
        <f>SUMIFS(NewEmisData!L:L, NewEmisData!$A:$A, $G221, NewEmisData!$B:$B, $A221, NewEmisData!$C:$C, $H221, NewEmisData!$D:$D, CP$6)</f>
        <v>6.2512436309679606E-2</v>
      </c>
      <c r="CQ221" s="1111">
        <f>SUMIFS(NewEmisData!M:M, NewEmisData!$A:$A, $G221, NewEmisData!$B:$B, $A221, NewEmisData!$C:$C, $H221, NewEmisData!$D:$D, CQ$6)</f>
        <v>6.2512445317614407E-2</v>
      </c>
      <c r="CR221" s="1111">
        <f t="shared" si="314"/>
        <v>6.2512445317614407E-2</v>
      </c>
      <c r="CS221" s="1111">
        <f t="shared" si="315"/>
        <v>6.7564687236939897E-2</v>
      </c>
      <c r="CT221" s="1111">
        <f>SUMIFS(NewEmisData!E:E, NewEmisData!$A:$A, $G221, NewEmisData!$B:$B, $A221, NewEmisData!$C:$C, $H221, NewEmisData!$D:$D, CT$6)</f>
        <v>6.7564687236939897E-2</v>
      </c>
      <c r="CU221" s="1111">
        <f>SUMIFS(NewEmisData!F:F, NewEmisData!$A:$A, $G221, NewEmisData!$B:$B, $A221, NewEmisData!$C:$C, $H221, NewEmisData!$D:$D, CU$6)</f>
        <v>3.8153498607861998E-2</v>
      </c>
      <c r="CV221" s="1111">
        <f>SUMIFS(NewEmisData!G:G, NewEmisData!$A:$A, $G221, NewEmisData!$B:$B, $A221, NewEmisData!$C:$C, $H221, NewEmisData!$D:$D, CV$6)</f>
        <v>2.81821158126641E-2</v>
      </c>
      <c r="CW221" s="1111">
        <f>SUMIFS(NewEmisData!H:H, NewEmisData!$A:$A, $G221, NewEmisData!$B:$B, $A221, NewEmisData!$C:$C, $H221, NewEmisData!$D:$D, CW$6)</f>
        <v>1.9443003989977701E-2</v>
      </c>
      <c r="CX221" s="1111">
        <f>SUMIFS(NewEmisData!I:I, NewEmisData!$A:$A, $G221, NewEmisData!$B:$B, $A221, NewEmisData!$C:$C, $H221, NewEmisData!$D:$D, CX$6)</f>
        <v>1.7080157869544602E-2</v>
      </c>
      <c r="CY221" s="1111">
        <f>SUMIFS(NewEmisData!J:J, NewEmisData!$A:$A, $G221, NewEmisData!$B:$B, $A221, NewEmisData!$C:$C, $H221, NewEmisData!$D:$D, CY$6)</f>
        <v>1.6424318186297401E-2</v>
      </c>
      <c r="CZ221" s="1111">
        <f>SUMIFS(NewEmisData!K:K, NewEmisData!$A:$A, $G221, NewEmisData!$B:$B, $A221, NewEmisData!$C:$C, $H221, NewEmisData!$D:$D, CZ$6)</f>
        <v>1.63466414048998E-2</v>
      </c>
      <c r="DA221" s="1111">
        <f>SUMIFS(NewEmisData!L:L, NewEmisData!$A:$A, $G221, NewEmisData!$B:$B, $A221, NewEmisData!$C:$C, $H221, NewEmisData!$D:$D, DA$6)</f>
        <v>1.6299016097018101E-2</v>
      </c>
      <c r="DB221" s="1111">
        <f>SUMIFS(NewEmisData!M:M, NewEmisData!$A:$A, $G221, NewEmisData!$B:$B, $A221, NewEmisData!$C:$C, $H221, NewEmisData!$D:$D, DB$6)</f>
        <v>1.6325096857781201E-2</v>
      </c>
      <c r="DC221" s="1111">
        <f t="shared" si="316"/>
        <v>1.6325096857781201E-2</v>
      </c>
      <c r="DD221" s="1111">
        <v>8.4892895966475739E-3</v>
      </c>
      <c r="DE221" s="1111">
        <v>5.6212986616763754E-3</v>
      </c>
      <c r="DF221" s="1111">
        <v>3.3463487561708246E-3</v>
      </c>
      <c r="DG221" s="1111">
        <v>2.7660430299124659E-3</v>
      </c>
      <c r="DH221" s="1111">
        <v>2.682529091392567E-3</v>
      </c>
      <c r="DI221" s="1111">
        <v>2.703528873173607E-3</v>
      </c>
      <c r="DJ221" s="1111">
        <v>2.7128611055472259E-3</v>
      </c>
      <c r="DK221" s="1111">
        <v>2.7072751179577333E-3</v>
      </c>
      <c r="DL221" s="1111">
        <v>2.7166296978826691E-3</v>
      </c>
      <c r="DM221" s="1111">
        <v>2.7267399324404202E-3</v>
      </c>
      <c r="DN221" s="1111">
        <v>2.7267399324404202E-3</v>
      </c>
      <c r="DO221" s="1111">
        <v>2.7529093789717789E-2</v>
      </c>
      <c r="DP221" s="1111">
        <v>1.8547410667972192E-2</v>
      </c>
      <c r="DQ221" s="1111">
        <v>1.0623092960258752E-2</v>
      </c>
      <c r="DR221" s="1111">
        <v>8.2487146441313514E-3</v>
      </c>
      <c r="DS221" s="1111">
        <v>8.1824854069421117E-3</v>
      </c>
      <c r="DT221" s="1111">
        <v>8.1902625366083396E-3</v>
      </c>
      <c r="DU221" s="1111">
        <v>8.1985958492518836E-3</v>
      </c>
      <c r="DV221" s="1111">
        <v>8.1775758900627226E-3</v>
      </c>
      <c r="DW221" s="1111">
        <v>8.1943266682995095E-3</v>
      </c>
      <c r="DX221" s="1111">
        <v>8.2124081867554939E-3</v>
      </c>
      <c r="DY221" s="1111">
        <v>8.2124081867554939E-3</v>
      </c>
      <c r="DZ221" s="1111">
        <f t="shared" si="317"/>
        <v>5.0339270700679999E-2</v>
      </c>
      <c r="EA221" s="1111">
        <f>SUMIFS(NewEmisData!E:E, NewEmisData!$A:$A, $G221, NewEmisData!$B:$B, $A221, NewEmisData!$C:$C, $H221, NewEmisData!$D:$D, EA$6)</f>
        <v>5.0339270700679999E-2</v>
      </c>
      <c r="EB221" s="1111">
        <f>SUMIFS(NewEmisData!F:F, NewEmisData!$A:$A, $G221, NewEmisData!$B:$B, $A221, NewEmisData!$C:$C, $H221, NewEmisData!$D:$D, EB$6)</f>
        <v>2.98546172534019E-2</v>
      </c>
      <c r="EC221" s="1111">
        <f>SUMIFS(NewEmisData!G:G, NewEmisData!$A:$A, $G221, NewEmisData!$B:$B, $A221, NewEmisData!$C:$C, $H221, NewEmisData!$D:$D, EC$6)</f>
        <v>1.7913674894860999E-2</v>
      </c>
      <c r="ED221" s="1111">
        <f>SUMIFS(NewEmisData!H:H, NewEmisData!$A:$A, $G221, NewEmisData!$B:$B, $A221, NewEmisData!$C:$C, $H221, NewEmisData!$D:$D, ED$6)</f>
        <v>1.54314271118329E-2</v>
      </c>
      <c r="EE221" s="1111">
        <f>SUMIFS(NewEmisData!I:I, NewEmisData!$A:$A, $G221, NewEmisData!$B:$B, $A221, NewEmisData!$C:$C, $H221, NewEmisData!$D:$D, EE$6)</f>
        <v>1.4729599669098301E-2</v>
      </c>
      <c r="EF221" s="1111">
        <f>SUMIFS(NewEmisData!J:J, NewEmisData!$A:$A, $G221, NewEmisData!$B:$B, $A221, NewEmisData!$C:$C, $H221, NewEmisData!$D:$D, EF$6)</f>
        <v>1.46060589575112E-2</v>
      </c>
      <c r="EG221" s="1111">
        <f>SUMIFS(NewEmisData!K:K, NewEmisData!$A:$A, $G221, NewEmisData!$B:$B, $A221, NewEmisData!$C:$C, $H221, NewEmisData!$D:$D, EG$6)</f>
        <v>1.4662699121929501E-2</v>
      </c>
      <c r="EH221" s="1111">
        <f>SUMIFS(NewEmisData!L:L, NewEmisData!$A:$A, $G221, NewEmisData!$B:$B, $A221, NewEmisData!$C:$C, $H221, NewEmisData!$D:$D, EH$6)</f>
        <v>1.46806856975942E-2</v>
      </c>
      <c r="EI221" s="1111">
        <f>SUMIFS(NewEmisData!M:M, NewEmisData!$A:$A, $G221, NewEmisData!$B:$B, $A221, NewEmisData!$C:$C, $H221, NewEmisData!$D:$D, EI$6)</f>
        <v>1.4680172285676999E-2</v>
      </c>
      <c r="EJ221" s="1111">
        <f t="shared" si="318"/>
        <v>1.4680172285676999E-2</v>
      </c>
      <c r="EK221" s="1111">
        <f t="shared" si="319"/>
        <v>1241.60800343195</v>
      </c>
      <c r="EL221" s="1111">
        <f t="shared" si="269"/>
        <v>1241.60800343195</v>
      </c>
      <c r="EM221" s="1111">
        <f t="shared" si="270"/>
        <v>1243.08928499321</v>
      </c>
      <c r="EN221" s="1111">
        <f t="shared" si="271"/>
        <v>1559.7377784626201</v>
      </c>
      <c r="EO221" s="1111">
        <f t="shared" si="272"/>
        <v>1531.1148438857699</v>
      </c>
      <c r="EP221" s="1111">
        <f t="shared" si="273"/>
        <v>1508.7877657548299</v>
      </c>
      <c r="EQ221" s="1111">
        <f t="shared" si="274"/>
        <v>1502.9671636844901</v>
      </c>
      <c r="ER221" s="1111">
        <f t="shared" si="275"/>
        <v>1501.4395842993699</v>
      </c>
      <c r="ES221" s="1111">
        <f t="shared" si="276"/>
        <v>1501.15044041939</v>
      </c>
      <c r="ET221" s="1111">
        <f t="shared" si="277"/>
        <v>1501.0860905019599</v>
      </c>
      <c r="EU221" s="1111">
        <f t="shared" si="278"/>
        <v>1501.0860905019599</v>
      </c>
      <c r="EV221" s="1111">
        <f t="shared" si="320"/>
        <v>4.1625657526614797</v>
      </c>
      <c r="EW221" s="1111">
        <f t="shared" si="259"/>
        <v>4.1625657526614797</v>
      </c>
      <c r="EX221" s="1111">
        <f t="shared" si="260"/>
        <v>2.1578815518962502</v>
      </c>
      <c r="EY221" s="1111">
        <f t="shared" si="261"/>
        <v>1.30274636086792</v>
      </c>
      <c r="EZ221" s="1111">
        <f t="shared" si="262"/>
        <v>0.94297953696777803</v>
      </c>
      <c r="FA221" s="1111">
        <f t="shared" si="263"/>
        <v>0.78815258031283297</v>
      </c>
      <c r="FB221" s="1111">
        <f t="shared" si="264"/>
        <v>0.71799894873057002</v>
      </c>
      <c r="FC221" s="1111">
        <f t="shared" si="265"/>
        <v>0.69737659475245495</v>
      </c>
      <c r="FD221" s="1111">
        <f t="shared" si="266"/>
        <v>0.69289982108465797</v>
      </c>
      <c r="FE221" s="1111">
        <f t="shared" si="267"/>
        <v>0.69155412460857602</v>
      </c>
      <c r="FF221" s="1111">
        <f t="shared" si="268"/>
        <v>0.69155412460857602</v>
      </c>
      <c r="FG221" s="1111">
        <f t="shared" si="291"/>
        <v>2.1484176158971701E-2</v>
      </c>
      <c r="FH221" s="1111">
        <f t="shared" si="292"/>
        <v>2.1484176158971701E-2</v>
      </c>
      <c r="FI221" s="1111">
        <f t="shared" si="293"/>
        <v>2.1509817808633099E-2</v>
      </c>
      <c r="FJ221" s="1111">
        <f t="shared" si="294"/>
        <v>2.2375249866597498E-2</v>
      </c>
      <c r="FK221" s="1111">
        <f t="shared" si="295"/>
        <v>2.1964641718838499E-2</v>
      </c>
      <c r="FL221" s="1111">
        <f t="shared" si="296"/>
        <v>2.1644351533378101E-2</v>
      </c>
      <c r="FM221" s="1111">
        <f t="shared" si="297"/>
        <v>2.1560851881015301E-2</v>
      </c>
      <c r="FN221" s="1111">
        <f t="shared" si="298"/>
        <v>2.1538927343366401E-2</v>
      </c>
      <c r="FO221" s="1111">
        <f t="shared" si="299"/>
        <v>2.1534775827773901E-2</v>
      </c>
      <c r="FP221" s="1111">
        <f t="shared" si="300"/>
        <v>2.15338577914834E-2</v>
      </c>
      <c r="FQ221" s="1111">
        <f t="shared" si="301"/>
        <v>2.15338577914834E-2</v>
      </c>
      <c r="FR221" s="1111">
        <f t="shared" si="322"/>
        <v>0.205584171442245</v>
      </c>
      <c r="FS221" s="1111">
        <f t="shared" si="323"/>
        <v>0.205584171442245</v>
      </c>
      <c r="FT221" s="1111">
        <f t="shared" si="324"/>
        <v>0.200703686535146</v>
      </c>
      <c r="FU221" s="1111">
        <f t="shared" si="325"/>
        <v>0.298432150084874</v>
      </c>
      <c r="FV221" s="1111">
        <f t="shared" si="326"/>
        <v>0.29892439751761801</v>
      </c>
      <c r="FW221" s="1111">
        <f t="shared" si="327"/>
        <v>0.29942291421429901</v>
      </c>
      <c r="FX221" s="1111">
        <f t="shared" si="328"/>
        <v>0.29972619462258399</v>
      </c>
      <c r="FY221" s="1111">
        <f t="shared" si="329"/>
        <v>0.29988559432946199</v>
      </c>
      <c r="FZ221" s="1111">
        <f t="shared" si="330"/>
        <v>0.29993582308119998</v>
      </c>
      <c r="GA221" s="1111">
        <f t="shared" si="331"/>
        <v>0.299955436334361</v>
      </c>
      <c r="GB221" s="1111">
        <f t="shared" si="332"/>
        <v>0.299955436334361</v>
      </c>
      <c r="GC221" s="1111">
        <f t="shared" si="279"/>
        <v>3.9334690996451198E-2</v>
      </c>
      <c r="GD221" s="1111">
        <f t="shared" si="280"/>
        <v>3.9334690996451198E-2</v>
      </c>
      <c r="GE221" s="1111">
        <f t="shared" si="281"/>
        <v>3.4631534960308699E-2</v>
      </c>
      <c r="GF221" s="1111">
        <f t="shared" si="282"/>
        <v>4.5448906099466301E-2</v>
      </c>
      <c r="GG221" s="1111">
        <f t="shared" si="283"/>
        <v>4.5413592229635001E-2</v>
      </c>
      <c r="GH221" s="1111">
        <f t="shared" si="284"/>
        <v>4.5762266359602698E-2</v>
      </c>
      <c r="GI221" s="1111">
        <f t="shared" si="285"/>
        <v>4.6004282113656897E-2</v>
      </c>
      <c r="GJ221" s="1111">
        <f t="shared" si="286"/>
        <v>4.6139436899626303E-2</v>
      </c>
      <c r="GK221" s="1111">
        <f t="shared" si="287"/>
        <v>4.6182051454262997E-2</v>
      </c>
      <c r="GL221" s="1111">
        <f t="shared" si="288"/>
        <v>4.6199279391049702E-2</v>
      </c>
      <c r="GM221" s="1111">
        <f t="shared" si="289"/>
        <v>4.6199279391049702E-2</v>
      </c>
    </row>
    <row r="222" spans="1:195" x14ac:dyDescent="0.2">
      <c r="A222" s="1071" t="s">
        <v>184</v>
      </c>
      <c r="B222" s="1071" t="str">
        <f>Technologies!C131</f>
        <v>TMCNGAH</v>
      </c>
      <c r="C222" s="1071" t="str">
        <f>Technologies!D131</f>
        <v>Medium Duty Truck, Advanced Hybrid CNG</v>
      </c>
      <c r="D222" s="1071" t="str">
        <f>NewTech!D83</f>
        <v>bn-vmt, bn-vmt/a</v>
      </c>
      <c r="E222" s="1071" t="str">
        <f>NewTech!E83</f>
        <v>TMCNG</v>
      </c>
      <c r="F222" s="1071" t="str">
        <f>NewTech!F84</f>
        <v>TM</v>
      </c>
      <c r="G222" s="1110" t="s">
        <v>503</v>
      </c>
      <c r="H222" s="1110" t="s">
        <v>500</v>
      </c>
      <c r="I222" s="1112">
        <v>1</v>
      </c>
      <c r="J222" s="1111" t="str">
        <f t="shared" si="302"/>
        <v>Medium duty-GSL</v>
      </c>
      <c r="K222" s="1111">
        <f>SUMIFS(NewEmisData!E:E, NewEmisData!$A:$A, $G222, NewEmisData!$B:$B, $A222, NewEmisData!$C:$C, $H222, NewEmisData!$D:$D, K$6)</f>
        <v>1125.6531994791601</v>
      </c>
      <c r="L222" s="1111">
        <f>SUMIFS(NewEmisData!F:F, NewEmisData!$A:$A, $G222, NewEmisData!$B:$B, $A222, NewEmisData!$C:$C, $H222, NewEmisData!$D:$D, L$6)</f>
        <v>1129.51230354672</v>
      </c>
      <c r="M222" s="1111">
        <f>SUMIFS(NewEmisData!G:G, NewEmisData!$A:$A, $G222, NewEmisData!$B:$B, $A222, NewEmisData!$C:$C, $H222, NewEmisData!$D:$D, M$6)</f>
        <v>1334.28865010909</v>
      </c>
      <c r="N222" s="1111">
        <f>SUMIFS(NewEmisData!H:H, NewEmisData!$A:$A, $G222, NewEmisData!$B:$B, $A222, NewEmisData!$C:$C, $H222, NewEmisData!$D:$D, N$6)</f>
        <v>1309.4477161980601</v>
      </c>
      <c r="O222" s="1111">
        <f>SUMIFS(NewEmisData!I:I, NewEmisData!$A:$A, $G222, NewEmisData!$B:$B, $A222, NewEmisData!$C:$C, $H222, NewEmisData!$D:$D, O$6)</f>
        <v>1290.2789800169201</v>
      </c>
      <c r="P222" s="1111">
        <f>SUMIFS(NewEmisData!J:J, NewEmisData!$A:$A, $G222, NewEmisData!$B:$B, $A222, NewEmisData!$C:$C, $H222, NewEmisData!$D:$D, P$6)</f>
        <v>1285.24459420581</v>
      </c>
      <c r="Q222" s="1111">
        <f>SUMIFS(NewEmisData!K:K, NewEmisData!$A:$A, $G222, NewEmisData!$B:$B, $A222, NewEmisData!$C:$C, $H222, NewEmisData!$D:$D, Q$6)</f>
        <v>1283.9086141387199</v>
      </c>
      <c r="R222" s="1111">
        <f>SUMIFS(NewEmisData!L:L, NewEmisData!$A:$A, $G222, NewEmisData!$B:$B, $A222, NewEmisData!$C:$C, $H222, NewEmisData!$D:$D, R$6)</f>
        <v>1283.64917953798</v>
      </c>
      <c r="S222" s="1111">
        <f>SUMIFS(NewEmisData!M:M, NewEmisData!$A:$A, $G222, NewEmisData!$B:$B, $A222, NewEmisData!$C:$C, $H222, NewEmisData!$D:$D, S$6)</f>
        <v>1283.5882413572699</v>
      </c>
      <c r="T222" s="1111">
        <f t="shared" si="290"/>
        <v>1283.5882413572699</v>
      </c>
      <c r="U222" s="1111">
        <f>SUMIFS(NewEmisData!E:E, NewEmisData!$A:$A, $G222, NewEmisData!$B:$B, $A222, NewEmisData!$C:$C, $H222, NewEmisData!$D:$D, U$6)</f>
        <v>3.9696963814368802</v>
      </c>
      <c r="V222" s="1111">
        <f>SUMIFS(NewEmisData!F:F, NewEmisData!$A:$A, $G222, NewEmisData!$B:$B, $A222, NewEmisData!$C:$C, $H222, NewEmisData!$D:$D, V$6)</f>
        <v>2.1292045893653802</v>
      </c>
      <c r="W222" s="1111">
        <f>SUMIFS(NewEmisData!G:G, NewEmisData!$A:$A, $G222, NewEmisData!$B:$B, $A222, NewEmisData!$C:$C, $H222, NewEmisData!$D:$D, W$6)</f>
        <v>1.1780347139767999</v>
      </c>
      <c r="X222" s="1111">
        <f>SUMIFS(NewEmisData!H:H, NewEmisData!$A:$A, $G222, NewEmisData!$B:$B, $A222, NewEmisData!$C:$C, $H222, NewEmisData!$D:$D, X$6)</f>
        <v>0.85616837461707895</v>
      </c>
      <c r="Y222" s="1111">
        <f>SUMIFS(NewEmisData!I:I, NewEmisData!$A:$A, $G222, NewEmisData!$B:$B, $A222, NewEmisData!$C:$C, $H222, NewEmisData!$D:$D, Y$6)</f>
        <v>0.71679914036882397</v>
      </c>
      <c r="Z222" s="1111">
        <f>SUMIFS(NewEmisData!J:J, NewEmisData!$A:$A, $G222, NewEmisData!$B:$B, $A222, NewEmisData!$C:$C, $H222, NewEmisData!$D:$D, Z$6)</f>
        <v>0.653734873709785</v>
      </c>
      <c r="AA222" s="1111">
        <f>SUMIFS(NewEmisData!K:K, NewEmisData!$A:$A, $G222, NewEmisData!$B:$B, $A222, NewEmisData!$C:$C, $H222, NewEmisData!$D:$D, AA$6)</f>
        <v>0.63529466077774999</v>
      </c>
      <c r="AB222" s="1111">
        <f>SUMIFS(NewEmisData!L:L, NewEmisData!$A:$A, $G222, NewEmisData!$B:$B, $A222, NewEmisData!$C:$C, $H222, NewEmisData!$D:$D, AB$6)</f>
        <v>0.63126465139316401</v>
      </c>
      <c r="AC222" s="1111">
        <f>SUMIFS(NewEmisData!M:M, NewEmisData!$A:$A, $G222, NewEmisData!$B:$B, $A222, NewEmisData!$C:$C, $H222, NewEmisData!$D:$D, AC$6)</f>
        <v>0.63008499106767202</v>
      </c>
      <c r="AD222" s="1111">
        <f t="shared" si="321"/>
        <v>0.63008499106767202</v>
      </c>
      <c r="AE222" s="1111">
        <f t="shared" si="303"/>
        <v>1.94777471026268E-2</v>
      </c>
      <c r="AF222" s="1111">
        <f>SUMIFS(NewEmisData!E:E, NewEmisData!$A:$A, $G222, NewEmisData!$B:$B, $A222, NewEmisData!$C:$C, $H222, NewEmisData!$D:$D, AF$6)</f>
        <v>1.94777471026268E-2</v>
      </c>
      <c r="AG222" s="1111">
        <f>SUMIFS(NewEmisData!F:F, NewEmisData!$A:$A, $G222, NewEmisData!$B:$B, $A222, NewEmisData!$C:$C, $H222, NewEmisData!$D:$D, AG$6)</f>
        <v>1.95445323749391E-2</v>
      </c>
      <c r="AH222" s="1111">
        <f>SUMIFS(NewEmisData!G:G, NewEmisData!$A:$A, $G222, NewEmisData!$B:$B, $A222, NewEmisData!$C:$C, $H222, NewEmisData!$D:$D, AH$6)</f>
        <v>1.9141058004132301E-2</v>
      </c>
      <c r="AI222" s="1111">
        <f>SUMIFS(NewEmisData!H:H, NewEmisData!$A:$A, $G222, NewEmisData!$B:$B, $A222, NewEmisData!$C:$C, $H222, NewEmisData!$D:$D, AI$6)</f>
        <v>1.8784705993390102E-2</v>
      </c>
      <c r="AJ222" s="1111">
        <f>SUMIFS(NewEmisData!I:I, NewEmisData!$A:$A, $G222, NewEmisData!$B:$B, $A222, NewEmisData!$C:$C, $H222, NewEmisData!$D:$D, AJ$6)</f>
        <v>1.85097249042331E-2</v>
      </c>
      <c r="AK222" s="1111">
        <f>SUMIFS(NewEmisData!J:J, NewEmisData!$A:$A, $G222, NewEmisData!$B:$B, $A222, NewEmisData!$C:$C, $H222, NewEmisData!$D:$D, AK$6)</f>
        <v>1.8437510106673601E-2</v>
      </c>
      <c r="AL222" s="1111">
        <f>SUMIFS(NewEmisData!K:K, NewEmisData!$A:$A, $G222, NewEmisData!$B:$B, $A222, NewEmisData!$C:$C, $H222, NewEmisData!$D:$D, AL$6)</f>
        <v>1.8418333813220399E-2</v>
      </c>
      <c r="AM222" s="1111">
        <f>SUMIFS(NewEmisData!L:L, NewEmisData!$A:$A, $G222, NewEmisData!$B:$B, $A222, NewEmisData!$C:$C, $H222, NewEmisData!$D:$D, AM$6)</f>
        <v>1.8414616467845198E-2</v>
      </c>
      <c r="AN222" s="1111">
        <f>SUMIFS(NewEmisData!M:M, NewEmisData!$A:$A, $G222, NewEmisData!$B:$B, $A222, NewEmisData!$C:$C, $H222, NewEmisData!$D:$D, AN$6)</f>
        <v>1.84137339980028E-2</v>
      </c>
      <c r="AO222" s="1111">
        <f t="shared" si="304"/>
        <v>1.84137339980028E-2</v>
      </c>
      <c r="AP222" s="1111">
        <f t="shared" si="305"/>
        <v>0.16277138632680399</v>
      </c>
      <c r="AQ222" s="1111">
        <f>SUMIFS(NewEmisData!E:E, NewEmisData!$A:$A, $G222, NewEmisData!$B:$B, $A222, NewEmisData!$C:$C, $H222, NewEmisData!$D:$D, AQ$6)</f>
        <v>0.16277138632680399</v>
      </c>
      <c r="AR222" s="1111">
        <f>SUMIFS(NewEmisData!F:F, NewEmisData!$A:$A, $G222, NewEmisData!$B:$B, $A222, NewEmisData!$C:$C, $H222, NewEmisData!$D:$D, AR$6)</f>
        <v>0.15749210557477999</v>
      </c>
      <c r="AS222" s="1111">
        <f>SUMIFS(NewEmisData!G:G, NewEmisData!$A:$A, $G222, NewEmisData!$B:$B, $A222, NewEmisData!$C:$C, $H222, NewEmisData!$D:$D, AS$6)</f>
        <v>0.22213105998277299</v>
      </c>
      <c r="AT222" s="1111">
        <f>SUMIFS(NewEmisData!H:H, NewEmisData!$A:$A, $G222, NewEmisData!$B:$B, $A222, NewEmisData!$C:$C, $H222, NewEmisData!$D:$D, AT$6)</f>
        <v>0.22256905483131201</v>
      </c>
      <c r="AU222" s="1111">
        <f>SUMIFS(NewEmisData!I:I, NewEmisData!$A:$A, $G222, NewEmisData!$B:$B, $A222, NewEmisData!$C:$C, $H222, NewEmisData!$D:$D, AU$6)</f>
        <v>0.223017594102533</v>
      </c>
      <c r="AV222" s="1111">
        <f>SUMIFS(NewEmisData!J:J, NewEmisData!$A:$A, $G222, NewEmisData!$B:$B, $A222, NewEmisData!$C:$C, $H222, NewEmisData!$D:$D, AV$6)</f>
        <v>0.22328437261219899</v>
      </c>
      <c r="AW222" s="1111">
        <f>SUMIFS(NewEmisData!K:K, NewEmisData!$A:$A, $G222, NewEmisData!$B:$B, $A222, NewEmisData!$C:$C, $H222, NewEmisData!$D:$D, AW$6)</f>
        <v>0.22342028408578701</v>
      </c>
      <c r="AX222" s="1111">
        <f>SUMIFS(NewEmisData!L:L, NewEmisData!$A:$A, $G222, NewEmisData!$B:$B, $A222, NewEmisData!$C:$C, $H222, NewEmisData!$D:$D, AX$6)</f>
        <v>0.22346164064811899</v>
      </c>
      <c r="AY222" s="1111">
        <f>SUMIFS(NewEmisData!M:M, NewEmisData!$A:$A, $G222, NewEmisData!$B:$B, $A222, NewEmisData!$C:$C, $H222, NewEmisData!$D:$D, AY$6)</f>
        <v>0.22347689751407299</v>
      </c>
      <c r="AZ222" s="1111">
        <f t="shared" si="306"/>
        <v>0.22347689751407299</v>
      </c>
      <c r="BA222" s="1111">
        <f t="shared" si="307"/>
        <v>3.3085277901506199E-2</v>
      </c>
      <c r="BB222" s="1111">
        <f>SUMIFS(NewEmisData!E:E, NewEmisData!$A:$A, $G222, NewEmisData!$B:$B, $A222, NewEmisData!$C:$C, $H222, NewEmisData!$D:$D, BB$6)</f>
        <v>3.3085277901506199E-2</v>
      </c>
      <c r="BC222" s="1111">
        <f>SUMIFS(NewEmisData!F:F, NewEmisData!$A:$A, $G222, NewEmisData!$B:$B, $A222, NewEmisData!$C:$C, $H222, NewEmisData!$D:$D, BC$6)</f>
        <v>2.8088278695018499E-2</v>
      </c>
      <c r="BD222" s="1111">
        <f>SUMIFS(NewEmisData!G:G, NewEmisData!$A:$A, $G222, NewEmisData!$B:$B, $A222, NewEmisData!$C:$C, $H222, NewEmisData!$D:$D, BD$6)</f>
        <v>3.5249470703337199E-2</v>
      </c>
      <c r="BE222" s="1111">
        <f>SUMIFS(NewEmisData!H:H, NewEmisData!$A:$A, $G222, NewEmisData!$B:$B, $A222, NewEmisData!$C:$C, $H222, NewEmisData!$D:$D, BE$6)</f>
        <v>3.5278230321982601E-2</v>
      </c>
      <c r="BF222" s="1111">
        <f>SUMIFS(NewEmisData!I:I, NewEmisData!$A:$A, $G222, NewEmisData!$B:$B, $A222, NewEmisData!$C:$C, $H222, NewEmisData!$D:$D, BF$6)</f>
        <v>3.5607078221125799E-2</v>
      </c>
      <c r="BG222" s="1111">
        <f>SUMIFS(NewEmisData!J:J, NewEmisData!$A:$A, $G222, NewEmisData!$B:$B, $A222, NewEmisData!$C:$C, $H222, NewEmisData!$D:$D, BG$6)</f>
        <v>3.5823183054303799E-2</v>
      </c>
      <c r="BH222" s="1111">
        <f>SUMIFS(NewEmisData!K:K, NewEmisData!$A:$A, $G222, NewEmisData!$B:$B, $A222, NewEmisData!$C:$C, $H222, NewEmisData!$D:$D, BH$6)</f>
        <v>3.5938864982074499E-2</v>
      </c>
      <c r="BI222" s="1111">
        <f>SUMIFS(NewEmisData!L:L, NewEmisData!$A:$A, $G222, NewEmisData!$B:$B, $A222, NewEmisData!$C:$C, $H222, NewEmisData!$D:$D, BI$6)</f>
        <v>3.5974176634088799E-2</v>
      </c>
      <c r="BJ222" s="1111">
        <f>SUMIFS(NewEmisData!M:M, NewEmisData!$A:$A, $G222, NewEmisData!$B:$B, $A222, NewEmisData!$C:$C, $H222, NewEmisData!$D:$D, BJ$6)</f>
        <v>3.59876115686096E-2</v>
      </c>
      <c r="BK222" s="1111">
        <f t="shared" si="308"/>
        <v>3.59876115686096E-2</v>
      </c>
      <c r="BL222" s="1111">
        <f t="shared" si="309"/>
        <v>30.519264024443402</v>
      </c>
      <c r="BM222" s="1111">
        <f>SUMIFS(NewEmisData!E:E, NewEmisData!$A:$A, $G222, NewEmisData!$B:$B, $A222, NewEmisData!$C:$C, $H222, NewEmisData!$D:$D, BM$6)</f>
        <v>30.519264024443402</v>
      </c>
      <c r="BN222" s="1111">
        <f>SUMIFS(NewEmisData!F:F, NewEmisData!$A:$A, $G222, NewEmisData!$B:$B, $A222, NewEmisData!$C:$C, $H222, NewEmisData!$D:$D, BN$6)</f>
        <v>17.7548638520019</v>
      </c>
      <c r="BO222" s="1111">
        <f>SUMIFS(NewEmisData!G:G, NewEmisData!$A:$A, $G222, NewEmisData!$B:$B, $A222, NewEmisData!$C:$C, $H222, NewEmisData!$D:$D, BO$6)</f>
        <v>11.769795592664099</v>
      </c>
      <c r="BP222" s="1111">
        <f>SUMIFS(NewEmisData!H:H, NewEmisData!$A:$A, $G222, NewEmisData!$B:$B, $A222, NewEmisData!$C:$C, $H222, NewEmisData!$D:$D, BP$6)</f>
        <v>10.027249561844799</v>
      </c>
      <c r="BQ222" s="1111">
        <f>SUMIFS(NewEmisData!I:I, NewEmisData!$A:$A, $G222, NewEmisData!$B:$B, $A222, NewEmisData!$C:$C, $H222, NewEmisData!$D:$D, BQ$6)</f>
        <v>9.5164175607240296</v>
      </c>
      <c r="BR222" s="1111">
        <f>SUMIFS(NewEmisData!J:J, NewEmisData!$A:$A, $G222, NewEmisData!$B:$B, $A222, NewEmisData!$C:$C, $H222, NewEmisData!$D:$D, BR$6)</f>
        <v>9.3871226242105301</v>
      </c>
      <c r="BS222" s="1111">
        <f>SUMIFS(NewEmisData!K:K, NewEmisData!$A:$A, $G222, NewEmisData!$B:$B, $A222, NewEmisData!$C:$C, $H222, NewEmisData!$D:$D, BS$6)</f>
        <v>9.4290563886524001</v>
      </c>
      <c r="BT222" s="1111">
        <f>SUMIFS(NewEmisData!L:L, NewEmisData!$A:$A, $G222, NewEmisData!$B:$B, $A222, NewEmisData!$C:$C, $H222, NewEmisData!$D:$D, BT$6)</f>
        <v>9.4677016030619807</v>
      </c>
      <c r="BU222" s="1111">
        <f>SUMIFS(NewEmisData!M:M, NewEmisData!$A:$A, $G222, NewEmisData!$B:$B, $A222, NewEmisData!$C:$C, $H222, NewEmisData!$D:$D, BU$6)</f>
        <v>9.4911287930921109</v>
      </c>
      <c r="BV222" s="1111">
        <f t="shared" si="310"/>
        <v>9.4911287930921109</v>
      </c>
      <c r="BW222" s="1111">
        <f t="shared" si="311"/>
        <v>1.4331518530549801</v>
      </c>
      <c r="BX222" s="1111">
        <f>SUMIFS(NewEmisData!E:E, NewEmisData!$A:$A, $G222, NewEmisData!$B:$B, $A222, NewEmisData!$C:$C, $H222, NewEmisData!$D:$D, BX$6)</f>
        <v>1.4331518530549801</v>
      </c>
      <c r="BY222" s="1111">
        <f>SUMIFS(NewEmisData!F:F, NewEmisData!$A:$A, $G222, NewEmisData!$B:$B, $A222, NewEmisData!$C:$C, $H222, NewEmisData!$D:$D, BY$6)</f>
        <v>0.82554141247932</v>
      </c>
      <c r="BZ222" s="1111">
        <f>SUMIFS(NewEmisData!G:G, NewEmisData!$A:$A, $G222, NewEmisData!$B:$B, $A222, NewEmisData!$C:$C, $H222, NewEmisData!$D:$D, BZ$6)</f>
        <v>0.52934059761176699</v>
      </c>
      <c r="CA222" s="1111">
        <f>SUMIFS(NewEmisData!H:H, NewEmisData!$A:$A, $G222, NewEmisData!$B:$B, $A222, NewEmisData!$C:$C, $H222, NewEmisData!$D:$D, CA$6)</f>
        <v>0.41820996508437402</v>
      </c>
      <c r="CB222" s="1111">
        <f>SUMIFS(NewEmisData!I:I, NewEmisData!$A:$A, $G222, NewEmisData!$B:$B, $A222, NewEmisData!$C:$C, $H222, NewEmisData!$D:$D, CB$6)</f>
        <v>0.37730109294103098</v>
      </c>
      <c r="CC222" s="1111">
        <f>SUMIFS(NewEmisData!J:J, NewEmisData!$A:$A, $G222, NewEmisData!$B:$B, $A222, NewEmisData!$C:$C, $H222, NewEmisData!$D:$D, CC$6)</f>
        <v>0.36080370260189998</v>
      </c>
      <c r="CD222" s="1111">
        <f>SUMIFS(NewEmisData!K:K, NewEmisData!$A:$A, $G222, NewEmisData!$B:$B, $A222, NewEmisData!$C:$C, $H222, NewEmisData!$D:$D, CD$6)</f>
        <v>0.35854771789443002</v>
      </c>
      <c r="CE222" s="1111">
        <f>SUMIFS(NewEmisData!L:L, NewEmisData!$A:$A, $G222, NewEmisData!$B:$B, $A222, NewEmisData!$C:$C, $H222, NewEmisData!$D:$D, CE$6)</f>
        <v>0.35854167304512202</v>
      </c>
      <c r="CF222" s="1111">
        <f>SUMIFS(NewEmisData!M:M, NewEmisData!$A:$A, $G222, NewEmisData!$B:$B, $A222, NewEmisData!$C:$C, $H222, NewEmisData!$D:$D, CF$6)</f>
        <v>0.35855864650360297</v>
      </c>
      <c r="CG222" s="1111">
        <f t="shared" si="312"/>
        <v>0.35855864650360297</v>
      </c>
      <c r="CH222" s="1111">
        <f t="shared" si="313"/>
        <v>4.3399426569524099E-2</v>
      </c>
      <c r="CI222" s="1111">
        <f>SUMIFS(NewEmisData!E:E, NewEmisData!$A:$A, $G222, NewEmisData!$B:$B, $A222, NewEmisData!$C:$C, $H222, NewEmisData!$D:$D, CI$6)</f>
        <v>4.3399426569524099E-2</v>
      </c>
      <c r="CJ222" s="1111">
        <f>SUMIFS(NewEmisData!F:F, NewEmisData!$A:$A, $G222, NewEmisData!$B:$B, $A222, NewEmisData!$C:$C, $H222, NewEmisData!$D:$D, CJ$6)</f>
        <v>4.3414607751202899E-2</v>
      </c>
      <c r="CK222" s="1111">
        <f>SUMIFS(NewEmisData!G:G, NewEmisData!$A:$A, $G222, NewEmisData!$B:$B, $A222, NewEmisData!$C:$C, $H222, NewEmisData!$D:$D, CK$6)</f>
        <v>5.4993981735290499E-2</v>
      </c>
      <c r="CL222" s="1111">
        <f>SUMIFS(NewEmisData!H:H, NewEmisData!$A:$A, $G222, NewEmisData!$B:$B, $A222, NewEmisData!$C:$C, $H222, NewEmisData!$D:$D, CL$6)</f>
        <v>5.4993786232210601E-2</v>
      </c>
      <c r="CM222" s="1111">
        <f>SUMIFS(NewEmisData!I:I, NewEmisData!$A:$A, $G222, NewEmisData!$B:$B, $A222, NewEmisData!$C:$C, $H222, NewEmisData!$D:$D, CM$6)</f>
        <v>5.49943755829881E-2</v>
      </c>
      <c r="CN222" s="1111">
        <f>SUMIFS(NewEmisData!J:J, NewEmisData!$A:$A, $G222, NewEmisData!$B:$B, $A222, NewEmisData!$C:$C, $H222, NewEmisData!$D:$D, CN$6)</f>
        <v>5.4994520767338101E-2</v>
      </c>
      <c r="CO222" s="1111">
        <f>SUMIFS(NewEmisData!K:K, NewEmisData!$A:$A, $G222, NewEmisData!$B:$B, $A222, NewEmisData!$C:$C, $H222, NewEmisData!$D:$D, CO$6)</f>
        <v>5.4994541597587002E-2</v>
      </c>
      <c r="CP222" s="1111">
        <f>SUMIFS(NewEmisData!L:L, NewEmisData!$A:$A, $G222, NewEmisData!$B:$B, $A222, NewEmisData!$C:$C, $H222, NewEmisData!$D:$D, CP$6)</f>
        <v>5.4994553673977098E-2</v>
      </c>
      <c r="CQ222" s="1111">
        <f>SUMIFS(NewEmisData!M:M, NewEmisData!$A:$A, $G222, NewEmisData!$B:$B, $A222, NewEmisData!$C:$C, $H222, NewEmisData!$D:$D, CQ$6)</f>
        <v>5.4994550577738499E-2</v>
      </c>
      <c r="CR222" s="1111">
        <f t="shared" si="314"/>
        <v>5.4994550577738499E-2</v>
      </c>
      <c r="CS222" s="1111">
        <f t="shared" si="315"/>
        <v>4.8977354146498502E-2</v>
      </c>
      <c r="CT222" s="1111">
        <f>SUMIFS(NewEmisData!E:E, NewEmisData!$A:$A, $G222, NewEmisData!$B:$B, $A222, NewEmisData!$C:$C, $H222, NewEmisData!$D:$D, CT$6)</f>
        <v>4.8977354146498502E-2</v>
      </c>
      <c r="CU222" s="1111">
        <f>SUMIFS(NewEmisData!F:F, NewEmisData!$A:$A, $G222, NewEmisData!$B:$B, $A222, NewEmisData!$C:$C, $H222, NewEmisData!$D:$D, CU$6)</f>
        <v>2.8470713504453099E-2</v>
      </c>
      <c r="CV222" s="1111">
        <f>SUMIFS(NewEmisData!G:G, NewEmisData!$A:$A, $G222, NewEmisData!$B:$B, $A222, NewEmisData!$C:$C, $H222, NewEmisData!$D:$D, CV$6)</f>
        <v>2.1189978152056602E-2</v>
      </c>
      <c r="CW222" s="1111">
        <f>SUMIFS(NewEmisData!H:H, NewEmisData!$A:$A, $G222, NewEmisData!$B:$B, $A222, NewEmisData!$C:$C, $H222, NewEmisData!$D:$D, CW$6)</f>
        <v>1.46389058287662E-2</v>
      </c>
      <c r="CX222" s="1111">
        <f>SUMIFS(NewEmisData!I:I, NewEmisData!$A:$A, $G222, NewEmisData!$B:$B, $A222, NewEmisData!$C:$C, $H222, NewEmisData!$D:$D, CX$6)</f>
        <v>1.28792587479717E-2</v>
      </c>
      <c r="CY222" s="1111">
        <f>SUMIFS(NewEmisData!J:J, NewEmisData!$A:$A, $G222, NewEmisData!$B:$B, $A222, NewEmisData!$C:$C, $H222, NewEmisData!$D:$D, CY$6)</f>
        <v>1.23921680979683E-2</v>
      </c>
      <c r="CZ222" s="1111">
        <f>SUMIFS(NewEmisData!K:K, NewEmisData!$A:$A, $G222, NewEmisData!$B:$B, $A222, NewEmisData!$C:$C, $H222, NewEmisData!$D:$D, CZ$6)</f>
        <v>1.23336041545112E-2</v>
      </c>
      <c r="DA222" s="1111">
        <f>SUMIFS(NewEmisData!L:L, NewEmisData!$A:$A, $G222, NewEmisData!$B:$B, $A222, NewEmisData!$C:$C, $H222, NewEmisData!$D:$D, DA$6)</f>
        <v>1.22985211601931E-2</v>
      </c>
      <c r="DB222" s="1111">
        <f>SUMIFS(NewEmisData!M:M, NewEmisData!$A:$A, $G222, NewEmisData!$B:$B, $A222, NewEmisData!$C:$C, $H222, NewEmisData!$D:$D, DB$6)</f>
        <v>1.2317402931661E-2</v>
      </c>
      <c r="DC222" s="1111">
        <f t="shared" si="316"/>
        <v>1.2317402931661E-2</v>
      </c>
      <c r="DD222" s="1111"/>
      <c r="DE222" s="1111"/>
      <c r="DF222" s="1111"/>
      <c r="DG222" s="1111"/>
      <c r="DH222" s="1111"/>
      <c r="DI222" s="1111"/>
      <c r="DJ222" s="1111"/>
      <c r="DK222" s="1111"/>
      <c r="DL222" s="1111"/>
      <c r="DM222" s="1111"/>
      <c r="DN222" s="1111"/>
      <c r="DO222" s="1111"/>
      <c r="DP222" s="1111"/>
      <c r="DQ222" s="1111"/>
      <c r="DR222" s="1111"/>
      <c r="DS222" s="1111"/>
      <c r="DT222" s="1111"/>
      <c r="DU222" s="1111"/>
      <c r="DV222" s="1111"/>
      <c r="DW222" s="1111"/>
      <c r="DX222" s="1111"/>
      <c r="DY222" s="1111"/>
      <c r="DZ222" s="1111">
        <f t="shared" si="317"/>
        <v>3.8110257804810699E-2</v>
      </c>
      <c r="EA222" s="1111">
        <f>SUMIFS(NewEmisData!E:E, NewEmisData!$A:$A, $G222, NewEmisData!$B:$B, $A222, NewEmisData!$C:$C, $H222, NewEmisData!$D:$D, EA$6)</f>
        <v>3.8110257804810699E-2</v>
      </c>
      <c r="EB222" s="1111">
        <f>SUMIFS(NewEmisData!F:F, NewEmisData!$A:$A, $G222, NewEmisData!$B:$B, $A222, NewEmisData!$C:$C, $H222, NewEmisData!$D:$D, EB$6)</f>
        <v>2.0417199912842899E-2</v>
      </c>
      <c r="EC222" s="1111">
        <f>SUMIFS(NewEmisData!G:G, NewEmisData!$A:$A, $G222, NewEmisData!$B:$B, $A222, NewEmisData!$C:$C, $H222, NewEmisData!$D:$D, EC$6)</f>
        <v>1.30642962548774E-2</v>
      </c>
      <c r="ED222" s="1111">
        <f>SUMIFS(NewEmisData!H:H, NewEmisData!$A:$A, $G222, NewEmisData!$B:$B, $A222, NewEmisData!$C:$C, $H222, NewEmisData!$D:$D, ED$6)</f>
        <v>1.11738363859457E-2</v>
      </c>
      <c r="EE222" s="1111">
        <f>SUMIFS(NewEmisData!I:I, NewEmisData!$A:$A, $G222, NewEmisData!$B:$B, $A222, NewEmisData!$C:$C, $H222, NewEmisData!$D:$D, EE$6)</f>
        <v>1.0636123173322E-2</v>
      </c>
      <c r="EF222" s="1111">
        <f>SUMIFS(NewEmisData!J:J, NewEmisData!$A:$A, $G222, NewEmisData!$B:$B, $A222, NewEmisData!$C:$C, $H222, NewEmisData!$D:$D, EF$6)</f>
        <v>1.0535248987316E-2</v>
      </c>
      <c r="EG222" s="1111">
        <f>SUMIFS(NewEmisData!K:K, NewEmisData!$A:$A, $G222, NewEmisData!$B:$B, $A222, NewEmisData!$C:$C, $H222, NewEmisData!$D:$D, EG$6)</f>
        <v>1.0571182579202899E-2</v>
      </c>
      <c r="EH222" s="1111">
        <f>SUMIFS(NewEmisData!L:L, NewEmisData!$A:$A, $G222, NewEmisData!$B:$B, $A222, NewEmisData!$C:$C, $H222, NewEmisData!$D:$D, EH$6)</f>
        <v>1.05827805921651E-2</v>
      </c>
      <c r="EI222" s="1111">
        <f>SUMIFS(NewEmisData!M:M, NewEmisData!$A:$A, $G222, NewEmisData!$B:$B, $A222, NewEmisData!$C:$C, $H222, NewEmisData!$D:$D, EI$6)</f>
        <v>1.05816969285468E-2</v>
      </c>
      <c r="EJ222" s="1111">
        <f t="shared" si="318"/>
        <v>1.05816969285468E-2</v>
      </c>
      <c r="EK222" s="1111">
        <f t="shared" si="319"/>
        <v>1125.6531994791601</v>
      </c>
      <c r="EL222" s="1111">
        <f t="shared" si="269"/>
        <v>1125.6531994791601</v>
      </c>
      <c r="EM222" s="1111">
        <f t="shared" si="270"/>
        <v>1129.51230354672</v>
      </c>
      <c r="EN222" s="1111">
        <f t="shared" si="271"/>
        <v>1334.28865010909</v>
      </c>
      <c r="EO222" s="1111">
        <f t="shared" si="272"/>
        <v>1309.4477161980601</v>
      </c>
      <c r="EP222" s="1111">
        <f t="shared" si="273"/>
        <v>1290.2789800169201</v>
      </c>
      <c r="EQ222" s="1111">
        <f t="shared" si="274"/>
        <v>1285.24459420581</v>
      </c>
      <c r="ER222" s="1111">
        <f t="shared" si="275"/>
        <v>1283.9086141387199</v>
      </c>
      <c r="ES222" s="1111">
        <f t="shared" si="276"/>
        <v>1283.64917953798</v>
      </c>
      <c r="ET222" s="1111">
        <f t="shared" si="277"/>
        <v>1283.5882413572699</v>
      </c>
      <c r="EU222" s="1111">
        <f t="shared" si="278"/>
        <v>1283.5882413572699</v>
      </c>
      <c r="EV222" s="1111">
        <f t="shared" si="320"/>
        <v>3.9696963814368802</v>
      </c>
      <c r="EW222" s="1111">
        <f t="shared" si="259"/>
        <v>3.9696963814368802</v>
      </c>
      <c r="EX222" s="1111">
        <f t="shared" si="260"/>
        <v>2.1292045893653802</v>
      </c>
      <c r="EY222" s="1111">
        <f t="shared" si="261"/>
        <v>1.1780347139767999</v>
      </c>
      <c r="EZ222" s="1111">
        <f t="shared" si="262"/>
        <v>0.85616837461707895</v>
      </c>
      <c r="FA222" s="1111">
        <f t="shared" si="263"/>
        <v>0.71679914036882397</v>
      </c>
      <c r="FB222" s="1111">
        <f t="shared" si="264"/>
        <v>0.653734873709785</v>
      </c>
      <c r="FC222" s="1111">
        <f t="shared" si="265"/>
        <v>0.63529466077774999</v>
      </c>
      <c r="FD222" s="1111">
        <f t="shared" si="266"/>
        <v>0.63126465139316401</v>
      </c>
      <c r="FE222" s="1111">
        <f t="shared" si="267"/>
        <v>0.63008499106767202</v>
      </c>
      <c r="FF222" s="1111">
        <f t="shared" si="268"/>
        <v>0.63008499106767202</v>
      </c>
      <c r="FG222" s="1111">
        <f t="shared" si="291"/>
        <v>1.94777471026268E-2</v>
      </c>
      <c r="FH222" s="1111">
        <f t="shared" si="292"/>
        <v>1.94777471026268E-2</v>
      </c>
      <c r="FI222" s="1111">
        <f t="shared" si="293"/>
        <v>1.95445323749391E-2</v>
      </c>
      <c r="FJ222" s="1111">
        <f t="shared" si="294"/>
        <v>1.9141058004132301E-2</v>
      </c>
      <c r="FK222" s="1111">
        <f t="shared" si="295"/>
        <v>1.8784705993390102E-2</v>
      </c>
      <c r="FL222" s="1111">
        <f t="shared" si="296"/>
        <v>1.85097249042331E-2</v>
      </c>
      <c r="FM222" s="1111">
        <f t="shared" si="297"/>
        <v>1.8437510106673601E-2</v>
      </c>
      <c r="FN222" s="1111">
        <f t="shared" si="298"/>
        <v>1.8418333813220399E-2</v>
      </c>
      <c r="FO222" s="1111">
        <f t="shared" si="299"/>
        <v>1.8414616467845198E-2</v>
      </c>
      <c r="FP222" s="1111">
        <f t="shared" si="300"/>
        <v>1.84137339980028E-2</v>
      </c>
      <c r="FQ222" s="1111">
        <f t="shared" si="301"/>
        <v>1.84137339980028E-2</v>
      </c>
      <c r="FR222" s="1111">
        <f t="shared" si="322"/>
        <v>0.16277138632680399</v>
      </c>
      <c r="FS222" s="1111">
        <f t="shared" si="323"/>
        <v>0.16277138632680399</v>
      </c>
      <c r="FT222" s="1111">
        <f t="shared" si="324"/>
        <v>0.15749210557477999</v>
      </c>
      <c r="FU222" s="1111">
        <f t="shared" si="325"/>
        <v>0.22213105998277299</v>
      </c>
      <c r="FV222" s="1111">
        <f t="shared" si="326"/>
        <v>0.22256905483131201</v>
      </c>
      <c r="FW222" s="1111">
        <f t="shared" si="327"/>
        <v>0.223017594102533</v>
      </c>
      <c r="FX222" s="1111">
        <f t="shared" si="328"/>
        <v>0.22328437261219899</v>
      </c>
      <c r="FY222" s="1111">
        <f t="shared" si="329"/>
        <v>0.22342028408578701</v>
      </c>
      <c r="FZ222" s="1111">
        <f t="shared" si="330"/>
        <v>0.22346164064811899</v>
      </c>
      <c r="GA222" s="1111">
        <f t="shared" si="331"/>
        <v>0.22347689751407299</v>
      </c>
      <c r="GB222" s="1111">
        <f t="shared" si="332"/>
        <v>0.22347689751407299</v>
      </c>
      <c r="GC222" s="1111">
        <f t="shared" si="279"/>
        <v>3.3085277901506199E-2</v>
      </c>
      <c r="GD222" s="1111">
        <f t="shared" si="280"/>
        <v>3.3085277901506199E-2</v>
      </c>
      <c r="GE222" s="1111">
        <f t="shared" si="281"/>
        <v>2.8088278695018499E-2</v>
      </c>
      <c r="GF222" s="1111">
        <f t="shared" si="282"/>
        <v>3.5249470703337199E-2</v>
      </c>
      <c r="GG222" s="1111">
        <f t="shared" si="283"/>
        <v>3.5278230321982601E-2</v>
      </c>
      <c r="GH222" s="1111">
        <f t="shared" si="284"/>
        <v>3.5607078221125799E-2</v>
      </c>
      <c r="GI222" s="1111">
        <f t="shared" si="285"/>
        <v>3.5823183054303799E-2</v>
      </c>
      <c r="GJ222" s="1111">
        <f t="shared" si="286"/>
        <v>3.5938864982074499E-2</v>
      </c>
      <c r="GK222" s="1111">
        <f t="shared" si="287"/>
        <v>3.5974176634088799E-2</v>
      </c>
      <c r="GL222" s="1111">
        <f t="shared" si="288"/>
        <v>3.59876115686096E-2</v>
      </c>
      <c r="GM222" s="1111">
        <f t="shared" si="289"/>
        <v>3.59876115686096E-2</v>
      </c>
    </row>
    <row r="223" spans="1:195" x14ac:dyDescent="0.2">
      <c r="A223" s="1071" t="s">
        <v>186</v>
      </c>
      <c r="B223" s="1071" t="str">
        <f>Technologies!C131</f>
        <v>TMCNGAH</v>
      </c>
      <c r="C223" s="1071" t="str">
        <f>Technologies!D131</f>
        <v>Medium Duty Truck, Advanced Hybrid CNG</v>
      </c>
      <c r="D223" s="1071" t="str">
        <f>NewTech!D83</f>
        <v>bn-vmt, bn-vmt/a</v>
      </c>
      <c r="E223" s="1071" t="str">
        <f>NewTech!E83</f>
        <v>TMCNG</v>
      </c>
      <c r="F223" s="1071" t="str">
        <f>NewTech!F84</f>
        <v>TM</v>
      </c>
      <c r="G223" s="1110" t="s">
        <v>503</v>
      </c>
      <c r="H223" s="1110" t="s">
        <v>500</v>
      </c>
      <c r="I223" s="1112">
        <v>1</v>
      </c>
      <c r="J223" s="1111" t="str">
        <f t="shared" si="302"/>
        <v>Medium duty-GSL</v>
      </c>
      <c r="K223" s="1111">
        <f>SUMIFS(NewEmisData!E:E, NewEmisData!$A:$A, $G223, NewEmisData!$B:$B, $A223, NewEmisData!$C:$C, $H223, NewEmisData!$D:$D, K$6)</f>
        <v>1571.23838726393</v>
      </c>
      <c r="L223" s="1111">
        <f>SUMIFS(NewEmisData!F:F, NewEmisData!$A:$A, $G223, NewEmisData!$B:$B, $A223, NewEmisData!$C:$C, $H223, NewEmisData!$D:$D, L$6)</f>
        <v>1575.29652368133</v>
      </c>
      <c r="M223" s="1111">
        <f>SUMIFS(NewEmisData!G:G, NewEmisData!$A:$A, $G223, NewEmisData!$B:$B, $A223, NewEmisData!$C:$C, $H223, NewEmisData!$D:$D, M$6)</f>
        <v>1620.65726903051</v>
      </c>
      <c r="N223" s="1111">
        <f>SUMIFS(NewEmisData!H:H, NewEmisData!$A:$A, $G223, NewEmisData!$B:$B, $A223, NewEmisData!$C:$C, $H223, NewEmisData!$D:$D, N$6)</f>
        <v>1591.3958126743701</v>
      </c>
      <c r="O223" s="1111">
        <f>SUMIFS(NewEmisData!I:I, NewEmisData!$A:$A, $G223, NewEmisData!$B:$B, $A223, NewEmisData!$C:$C, $H223, NewEmisData!$D:$D, O$6)</f>
        <v>1568.18391586794</v>
      </c>
      <c r="P223" s="1111">
        <f>SUMIFS(NewEmisData!J:J, NewEmisData!$A:$A, $G223, NewEmisData!$B:$B, $A223, NewEmisData!$C:$C, $H223, NewEmisData!$D:$D, P$6)</f>
        <v>1562.10113018675</v>
      </c>
      <c r="Q223" s="1111">
        <f>SUMIFS(NewEmisData!K:K, NewEmisData!$A:$A, $G223, NewEmisData!$B:$B, $A223, NewEmisData!$C:$C, $H223, NewEmisData!$D:$D, Q$6)</f>
        <v>1560.4729957351501</v>
      </c>
      <c r="R223" s="1111">
        <f>SUMIFS(NewEmisData!L:L, NewEmisData!$A:$A, $G223, NewEmisData!$B:$B, $A223, NewEmisData!$C:$C, $H223, NewEmisData!$D:$D, R$6)</f>
        <v>1560.1538107035101</v>
      </c>
      <c r="S223" s="1111">
        <f>SUMIFS(NewEmisData!M:M, NewEmisData!$A:$A, $G223, NewEmisData!$B:$B, $A223, NewEmisData!$C:$C, $H223, NewEmisData!$D:$D, S$6)</f>
        <v>1560.07677043992</v>
      </c>
      <c r="T223" s="1111">
        <f t="shared" si="290"/>
        <v>1560.07677043992</v>
      </c>
      <c r="U223" s="1111">
        <f>SUMIFS(NewEmisData!E:E, NewEmisData!$A:$A, $G223, NewEmisData!$B:$B, $A223, NewEmisData!$C:$C, $H223, NewEmisData!$D:$D, U$6)</f>
        <v>4.4339350215429896</v>
      </c>
      <c r="V223" s="1111">
        <f>SUMIFS(NewEmisData!F:F, NewEmisData!$A:$A, $G223, NewEmisData!$B:$B, $A223, NewEmisData!$C:$C, $H223, NewEmisData!$D:$D, V$6)</f>
        <v>3.9615409236254</v>
      </c>
      <c r="W223" s="1111">
        <f>SUMIFS(NewEmisData!G:G, NewEmisData!$A:$A, $G223, NewEmisData!$B:$B, $A223, NewEmisData!$C:$C, $H223, NewEmisData!$D:$D, W$6)</f>
        <v>1.33028401660566</v>
      </c>
      <c r="X223" s="1111">
        <f>SUMIFS(NewEmisData!H:H, NewEmisData!$A:$A, $G223, NewEmisData!$B:$B, $A223, NewEmisData!$C:$C, $H223, NewEmisData!$D:$D, X$6)</f>
        <v>0.96801463367483198</v>
      </c>
      <c r="Y223" s="1111">
        <f>SUMIFS(NewEmisData!I:I, NewEmisData!$A:$A, $G223, NewEmisData!$B:$B, $A223, NewEmisData!$C:$C, $H223, NewEmisData!$D:$D, Y$6)</f>
        <v>0.810835029277582</v>
      </c>
      <c r="Z223" s="1111">
        <f>SUMIFS(NewEmisData!J:J, NewEmisData!$A:$A, $G223, NewEmisData!$B:$B, $A223, NewEmisData!$C:$C, $H223, NewEmisData!$D:$D, Z$6)</f>
        <v>0.73984590086297597</v>
      </c>
      <c r="AA223" s="1111">
        <f>SUMIFS(NewEmisData!K:K, NewEmisData!$A:$A, $G223, NewEmisData!$B:$B, $A223, NewEmisData!$C:$C, $H223, NewEmisData!$D:$D, AA$6)</f>
        <v>0.71912537608469196</v>
      </c>
      <c r="AB223" s="1111">
        <f>SUMIFS(NewEmisData!L:L, NewEmisData!$A:$A, $G223, NewEmisData!$B:$B, $A223, NewEmisData!$C:$C, $H223, NewEmisData!$D:$D, AB$6)</f>
        <v>0.71458926415217605</v>
      </c>
      <c r="AC223" s="1111">
        <f>SUMIFS(NewEmisData!M:M, NewEmisData!$A:$A, $G223, NewEmisData!$B:$B, $A223, NewEmisData!$C:$C, $H223, NewEmisData!$D:$D, AC$6)</f>
        <v>0.71327232452186995</v>
      </c>
      <c r="AD223" s="1111">
        <f t="shared" si="321"/>
        <v>0.71327232452186995</v>
      </c>
      <c r="AE223" s="1111">
        <f t="shared" si="303"/>
        <v>2.71879476544729E-2</v>
      </c>
      <c r="AF223" s="1111">
        <f>SUMIFS(NewEmisData!E:E, NewEmisData!$A:$A, $G223, NewEmisData!$B:$B, $A223, NewEmisData!$C:$C, $H223, NewEmisData!$D:$D, AF$6)</f>
        <v>2.71879476544729E-2</v>
      </c>
      <c r="AG223" s="1111">
        <f>SUMIFS(NewEmisData!F:F, NewEmisData!$A:$A, $G223, NewEmisData!$B:$B, $A223, NewEmisData!$C:$C, $H223, NewEmisData!$D:$D, AG$6)</f>
        <v>2.72581702920257E-2</v>
      </c>
      <c r="AH223" s="1111">
        <f>SUMIFS(NewEmisData!G:G, NewEmisData!$A:$A, $G223, NewEmisData!$B:$B, $A223, NewEmisData!$C:$C, $H223, NewEmisData!$D:$D, AH$6)</f>
        <v>2.32491676049662E-2</v>
      </c>
      <c r="AI223" s="1111">
        <f>SUMIFS(NewEmisData!H:H, NewEmisData!$A:$A, $G223, NewEmisData!$B:$B, $A223, NewEmisData!$C:$C, $H223, NewEmisData!$D:$D, AI$6)</f>
        <v>2.28294094185802E-2</v>
      </c>
      <c r="AJ223" s="1111">
        <f>SUMIFS(NewEmisData!I:I, NewEmisData!$A:$A, $G223, NewEmisData!$B:$B, $A223, NewEmisData!$C:$C, $H223, NewEmisData!$D:$D, AJ$6)</f>
        <v>2.2496411359683499E-2</v>
      </c>
      <c r="AK223" s="1111">
        <f>SUMIFS(NewEmisData!J:J, NewEmisData!$A:$A, $G223, NewEmisData!$B:$B, $A223, NewEmisData!$C:$C, $H223, NewEmisData!$D:$D, AK$6)</f>
        <v>2.24091575903414E-2</v>
      </c>
      <c r="AL223" s="1111">
        <f>SUMIFS(NewEmisData!K:K, NewEmisData!$A:$A, $G223, NewEmisData!$B:$B, $A223, NewEmisData!$C:$C, $H223, NewEmisData!$D:$D, AL$6)</f>
        <v>2.2385789717233699E-2</v>
      </c>
      <c r="AM223" s="1111">
        <f>SUMIFS(NewEmisData!L:L, NewEmisData!$A:$A, $G223, NewEmisData!$B:$B, $A223, NewEmisData!$C:$C, $H223, NewEmisData!$D:$D, AM$6)</f>
        <v>2.23812039581394E-2</v>
      </c>
      <c r="AN223" s="1111">
        <f>SUMIFS(NewEmisData!M:M, NewEmisData!$A:$A, $G223, NewEmisData!$B:$B, $A223, NewEmisData!$C:$C, $H223, NewEmisData!$D:$D, AN$6)</f>
        <v>2.2380112251842499E-2</v>
      </c>
      <c r="AO223" s="1111">
        <f t="shared" si="304"/>
        <v>2.2380112251842499E-2</v>
      </c>
      <c r="AP223" s="1111">
        <f t="shared" si="305"/>
        <v>0.29570181024604603</v>
      </c>
      <c r="AQ223" s="1111">
        <f>SUMIFS(NewEmisData!E:E, NewEmisData!$A:$A, $G223, NewEmisData!$B:$B, $A223, NewEmisData!$C:$C, $H223, NewEmisData!$D:$D, AQ$6)</f>
        <v>0.29570181024604603</v>
      </c>
      <c r="AR223" s="1111">
        <f>SUMIFS(NewEmisData!F:F, NewEmisData!$A:$A, $G223, NewEmisData!$B:$B, $A223, NewEmisData!$C:$C, $H223, NewEmisData!$D:$D, AR$6)</f>
        <v>0.31347002724777001</v>
      </c>
      <c r="AS223" s="1111">
        <f>SUMIFS(NewEmisData!G:G, NewEmisData!$A:$A, $G223, NewEmisData!$B:$B, $A223, NewEmisData!$C:$C, $H223, NewEmisData!$D:$D, AS$6)</f>
        <v>0.29348248729715698</v>
      </c>
      <c r="AT223" s="1111">
        <f>SUMIFS(NewEmisData!H:H, NewEmisData!$A:$A, $G223, NewEmisData!$B:$B, $A223, NewEmisData!$C:$C, $H223, NewEmisData!$D:$D, AT$6)</f>
        <v>0.29400895980241698</v>
      </c>
      <c r="AU223" s="1111">
        <f>SUMIFS(NewEmisData!I:I, NewEmisData!$A:$A, $G223, NewEmisData!$B:$B, $A223, NewEmisData!$C:$C, $H223, NewEmisData!$D:$D, AU$6)</f>
        <v>0.29451767447034</v>
      </c>
      <c r="AV223" s="1111">
        <f>SUMIFS(NewEmisData!J:J, NewEmisData!$A:$A, $G223, NewEmisData!$B:$B, $A223, NewEmisData!$C:$C, $H223, NewEmisData!$D:$D, AV$6)</f>
        <v>0.29481614241324999</v>
      </c>
      <c r="AW223" s="1111">
        <f>SUMIFS(NewEmisData!K:K, NewEmisData!$A:$A, $G223, NewEmisData!$B:$B, $A223, NewEmisData!$C:$C, $H223, NewEmisData!$D:$D, AW$6)</f>
        <v>0.29496671929746798</v>
      </c>
      <c r="AX223" s="1111">
        <f>SUMIFS(NewEmisData!L:L, NewEmisData!$A:$A, $G223, NewEmisData!$B:$B, $A223, NewEmisData!$C:$C, $H223, NewEmisData!$D:$D, AX$6)</f>
        <v>0.29501247169592298</v>
      </c>
      <c r="AY223" s="1111">
        <f>SUMIFS(NewEmisData!M:M, NewEmisData!$A:$A, $G223, NewEmisData!$B:$B, $A223, NewEmisData!$C:$C, $H223, NewEmisData!$D:$D, AY$6)</f>
        <v>0.29502934324841701</v>
      </c>
      <c r="AZ223" s="1111">
        <f t="shared" si="306"/>
        <v>0.29502934324841701</v>
      </c>
      <c r="BA223" s="1111">
        <f t="shared" si="307"/>
        <v>5.6205629802393201E-2</v>
      </c>
      <c r="BB223" s="1111">
        <f>SUMIFS(NewEmisData!E:E, NewEmisData!$A:$A, $G223, NewEmisData!$B:$B, $A223, NewEmisData!$C:$C, $H223, NewEmisData!$D:$D, BB$6)</f>
        <v>5.6205629802393201E-2</v>
      </c>
      <c r="BC223" s="1111">
        <f>SUMIFS(NewEmisData!F:F, NewEmisData!$A:$A, $G223, NewEmisData!$B:$B, $A223, NewEmisData!$C:$C, $H223, NewEmisData!$D:$D, BC$6)</f>
        <v>7.2194764578646903E-2</v>
      </c>
      <c r="BD223" s="1111">
        <f>SUMIFS(NewEmisData!G:G, NewEmisData!$A:$A, $G223, NewEmisData!$B:$B, $A223, NewEmisData!$C:$C, $H223, NewEmisData!$D:$D, BD$6)</f>
        <v>4.48839101088091E-2</v>
      </c>
      <c r="BE223" s="1111">
        <f>SUMIFS(NewEmisData!H:H, NewEmisData!$A:$A, $G223, NewEmisData!$B:$B, $A223, NewEmisData!$C:$C, $H223, NewEmisData!$D:$D, BE$6)</f>
        <v>4.4911356100480797E-2</v>
      </c>
      <c r="BF223" s="1111">
        <f>SUMIFS(NewEmisData!I:I, NewEmisData!$A:$A, $G223, NewEmisData!$B:$B, $A223, NewEmisData!$C:$C, $H223, NewEmisData!$D:$D, BF$6)</f>
        <v>4.52709454211217E-2</v>
      </c>
      <c r="BG223" s="1111">
        <f>SUMIFS(NewEmisData!J:J, NewEmisData!$A:$A, $G223, NewEmisData!$B:$B, $A223, NewEmisData!$C:$C, $H223, NewEmisData!$D:$D, BG$6)</f>
        <v>4.5510230108050102E-2</v>
      </c>
      <c r="BH223" s="1111">
        <f>SUMIFS(NewEmisData!K:K, NewEmisData!$A:$A, $G223, NewEmisData!$B:$B, $A223, NewEmisData!$C:$C, $H223, NewEmisData!$D:$D, BH$6)</f>
        <v>4.5637724556064498E-2</v>
      </c>
      <c r="BI223" s="1111">
        <f>SUMIFS(NewEmisData!L:L, NewEmisData!$A:$A, $G223, NewEmisData!$B:$B, $A223, NewEmisData!$C:$C, $H223, NewEmisData!$D:$D, BI$6)</f>
        <v>4.56765897746194E-2</v>
      </c>
      <c r="BJ223" s="1111">
        <f>SUMIFS(NewEmisData!M:M, NewEmisData!$A:$A, $G223, NewEmisData!$B:$B, $A223, NewEmisData!$C:$C, $H223, NewEmisData!$D:$D, BJ$6)</f>
        <v>4.5691464860186798E-2</v>
      </c>
      <c r="BK223" s="1111">
        <f t="shared" si="308"/>
        <v>4.5691464860186798E-2</v>
      </c>
      <c r="BL223" s="1111">
        <f t="shared" si="309"/>
        <v>36.177292371673602</v>
      </c>
      <c r="BM223" s="1111">
        <f>SUMIFS(NewEmisData!E:E, NewEmisData!$A:$A, $G223, NewEmisData!$B:$B, $A223, NewEmisData!$C:$C, $H223, NewEmisData!$D:$D, BM$6)</f>
        <v>36.177292371673602</v>
      </c>
      <c r="BN223" s="1111">
        <f>SUMIFS(NewEmisData!F:F, NewEmisData!$A:$A, $G223, NewEmisData!$B:$B, $A223, NewEmisData!$C:$C, $H223, NewEmisData!$D:$D, BN$6)</f>
        <v>37.664857731196101</v>
      </c>
      <c r="BO223" s="1111">
        <f>SUMIFS(NewEmisData!G:G, NewEmisData!$A:$A, $G223, NewEmisData!$B:$B, $A223, NewEmisData!$C:$C, $H223, NewEmisData!$D:$D, BO$6)</f>
        <v>13.345526144115</v>
      </c>
      <c r="BP223" s="1111">
        <f>SUMIFS(NewEmisData!H:H, NewEmisData!$A:$A, $G223, NewEmisData!$B:$B, $A223, NewEmisData!$C:$C, $H223, NewEmisData!$D:$D, BP$6)</f>
        <v>11.2726393432321</v>
      </c>
      <c r="BQ223" s="1111">
        <f>SUMIFS(NewEmisData!I:I, NewEmisData!$A:$A, $G223, NewEmisData!$B:$B, $A223, NewEmisData!$C:$C, $H223, NewEmisData!$D:$D, BQ$6)</f>
        <v>10.6231110988618</v>
      </c>
      <c r="BR223" s="1111">
        <f>SUMIFS(NewEmisData!J:J, NewEmisData!$A:$A, $G223, NewEmisData!$B:$B, $A223, NewEmisData!$C:$C, $H223, NewEmisData!$D:$D, BR$6)</f>
        <v>10.435587854097999</v>
      </c>
      <c r="BS223" s="1111">
        <f>SUMIFS(NewEmisData!K:K, NewEmisData!$A:$A, $G223, NewEmisData!$B:$B, $A223, NewEmisData!$C:$C, $H223, NewEmisData!$D:$D, BS$6)</f>
        <v>10.465169362167</v>
      </c>
      <c r="BT223" s="1111">
        <f>SUMIFS(NewEmisData!L:L, NewEmisData!$A:$A, $G223, NewEmisData!$B:$B, $A223, NewEmisData!$C:$C, $H223, NewEmisData!$D:$D, BT$6)</f>
        <v>10.5025719676633</v>
      </c>
      <c r="BU223" s="1111">
        <f>SUMIFS(NewEmisData!M:M, NewEmisData!$A:$A, $G223, NewEmisData!$B:$B, $A223, NewEmisData!$C:$C, $H223, NewEmisData!$D:$D, BU$6)</f>
        <v>10.526416150576599</v>
      </c>
      <c r="BV223" s="1111">
        <f t="shared" si="310"/>
        <v>10.526416150576599</v>
      </c>
      <c r="BW223" s="1111">
        <f t="shared" si="311"/>
        <v>2.2547746276717899</v>
      </c>
      <c r="BX223" s="1111">
        <f>SUMIFS(NewEmisData!E:E, NewEmisData!$A:$A, $G223, NewEmisData!$B:$B, $A223, NewEmisData!$C:$C, $H223, NewEmisData!$D:$D, BX$6)</f>
        <v>2.2547746276717899</v>
      </c>
      <c r="BY223" s="1111">
        <f>SUMIFS(NewEmisData!F:F, NewEmisData!$A:$A, $G223, NewEmisData!$B:$B, $A223, NewEmisData!$C:$C, $H223, NewEmisData!$D:$D, BY$6)</f>
        <v>2.8652548693587798</v>
      </c>
      <c r="BZ223" s="1111">
        <f>SUMIFS(NewEmisData!G:G, NewEmisData!$A:$A, $G223, NewEmisData!$B:$B, $A223, NewEmisData!$C:$C, $H223, NewEmisData!$D:$D, BZ$6)</f>
        <v>0.66453606773915896</v>
      </c>
      <c r="CA223" s="1111">
        <f>SUMIFS(NewEmisData!H:H, NewEmisData!$A:$A, $G223, NewEmisData!$B:$B, $A223, NewEmisData!$C:$C, $H223, NewEmisData!$D:$D, CA$6)</f>
        <v>0.52696134881096601</v>
      </c>
      <c r="CB223" s="1111">
        <f>SUMIFS(NewEmisData!I:I, NewEmisData!$A:$A, $G223, NewEmisData!$B:$B, $A223, NewEmisData!$C:$C, $H223, NewEmisData!$D:$D, CB$6)</f>
        <v>0.475085091842188</v>
      </c>
      <c r="CC223" s="1111">
        <f>SUMIFS(NewEmisData!J:J, NewEmisData!$A:$A, $G223, NewEmisData!$B:$B, $A223, NewEmisData!$C:$C, $H223, NewEmisData!$D:$D, CC$6)</f>
        <v>0.45399199428257297</v>
      </c>
      <c r="CD223" s="1111">
        <f>SUMIFS(NewEmisData!K:K, NewEmisData!$A:$A, $G223, NewEmisData!$B:$B, $A223, NewEmisData!$C:$C, $H223, NewEmisData!$D:$D, CD$6)</f>
        <v>0.45084584233142999</v>
      </c>
      <c r="CE223" s="1111">
        <f>SUMIFS(NewEmisData!L:L, NewEmisData!$A:$A, $G223, NewEmisData!$B:$B, $A223, NewEmisData!$C:$C, $H223, NewEmisData!$D:$D, CE$6)</f>
        <v>0.450741469309828</v>
      </c>
      <c r="CF223" s="1111">
        <f>SUMIFS(NewEmisData!M:M, NewEmisData!$A:$A, $G223, NewEmisData!$B:$B, $A223, NewEmisData!$C:$C, $H223, NewEmisData!$D:$D, CF$6)</f>
        <v>0.45074449890965201</v>
      </c>
      <c r="CG223" s="1111">
        <f t="shared" si="312"/>
        <v>0.45074449890965201</v>
      </c>
      <c r="CH223" s="1111">
        <f t="shared" si="313"/>
        <v>5.7867400606941198E-2</v>
      </c>
      <c r="CI223" s="1111">
        <f>SUMIFS(NewEmisData!E:E, NewEmisData!$A:$A, $G223, NewEmisData!$B:$B, $A223, NewEmisData!$C:$C, $H223, NewEmisData!$D:$D, CI$6)</f>
        <v>5.7867400606941198E-2</v>
      </c>
      <c r="CJ223" s="1111">
        <f>SUMIFS(NewEmisData!F:F, NewEmisData!$A:$A, $G223, NewEmisData!$B:$B, $A223, NewEmisData!$C:$C, $H223, NewEmisData!$D:$D, CJ$6)</f>
        <v>5.7868748340902797E-2</v>
      </c>
      <c r="CK223" s="1111">
        <f>SUMIFS(NewEmisData!G:G, NewEmisData!$A:$A, $G223, NewEmisData!$B:$B, $A223, NewEmisData!$C:$C, $H223, NewEmisData!$D:$D, CK$6)</f>
        <v>6.6009929070185699E-2</v>
      </c>
      <c r="CL223" s="1111">
        <f>SUMIFS(NewEmisData!H:H, NewEmisData!$A:$A, $G223, NewEmisData!$B:$B, $A223, NewEmisData!$C:$C, $H223, NewEmisData!$D:$D, CL$6)</f>
        <v>6.6010246689438001E-2</v>
      </c>
      <c r="CM223" s="1111">
        <f>SUMIFS(NewEmisData!I:I, NewEmisData!$A:$A, $G223, NewEmisData!$B:$B, $A223, NewEmisData!$C:$C, $H223, NewEmisData!$D:$D, CM$6)</f>
        <v>6.6010539794431194E-2</v>
      </c>
      <c r="CN223" s="1111">
        <f>SUMIFS(NewEmisData!J:J, NewEmisData!$A:$A, $G223, NewEmisData!$B:$B, $A223, NewEmisData!$C:$C, $H223, NewEmisData!$D:$D, CN$6)</f>
        <v>6.6010651142724794E-2</v>
      </c>
      <c r="CO223" s="1111">
        <f>SUMIFS(NewEmisData!K:K, NewEmisData!$A:$A, $G223, NewEmisData!$B:$B, $A223, NewEmisData!$C:$C, $H223, NewEmisData!$D:$D, CO$6)</f>
        <v>6.60106383420173E-2</v>
      </c>
      <c r="CP223" s="1111">
        <f>SUMIFS(NewEmisData!L:L, NewEmisData!$A:$A, $G223, NewEmisData!$B:$B, $A223, NewEmisData!$C:$C, $H223, NewEmisData!$D:$D, CP$6)</f>
        <v>6.6010618394000603E-2</v>
      </c>
      <c r="CQ223" s="1111">
        <f>SUMIFS(NewEmisData!M:M, NewEmisData!$A:$A, $G223, NewEmisData!$B:$B, $A223, NewEmisData!$C:$C, $H223, NewEmisData!$D:$D, CQ$6)</f>
        <v>6.6010633444598496E-2</v>
      </c>
      <c r="CR223" s="1111">
        <f t="shared" si="314"/>
        <v>6.6010633444598496E-2</v>
      </c>
      <c r="CS223" s="1111">
        <f t="shared" si="315"/>
        <v>7.2164995475767907E-2</v>
      </c>
      <c r="CT223" s="1111">
        <f>SUMIFS(NewEmisData!E:E, NewEmisData!$A:$A, $G223, NewEmisData!$B:$B, $A223, NewEmisData!$C:$C, $H223, NewEmisData!$D:$D, CT$6)</f>
        <v>7.2164995475767907E-2</v>
      </c>
      <c r="CU223" s="1111">
        <f>SUMIFS(NewEmisData!F:F, NewEmisData!$A:$A, $G223, NewEmisData!$B:$B, $A223, NewEmisData!$C:$C, $H223, NewEmisData!$D:$D, CU$6)</f>
        <v>6.4879251441518196E-2</v>
      </c>
      <c r="CV223" s="1111">
        <f>SUMIFS(NewEmisData!G:G, NewEmisData!$A:$A, $G223, NewEmisData!$B:$B, $A223, NewEmisData!$C:$C, $H223, NewEmisData!$D:$D, CV$6)</f>
        <v>2.6568003004939798E-2</v>
      </c>
      <c r="CW223" s="1111">
        <f>SUMIFS(NewEmisData!H:H, NewEmisData!$A:$A, $G223, NewEmisData!$B:$B, $A223, NewEmisData!$C:$C, $H223, NewEmisData!$D:$D, CW$6)</f>
        <v>1.84437934507856E-2</v>
      </c>
      <c r="CX223" s="1111">
        <f>SUMIFS(NewEmisData!I:I, NewEmisData!$A:$A, $G223, NewEmisData!$B:$B, $A223, NewEmisData!$C:$C, $H223, NewEmisData!$D:$D, CX$6)</f>
        <v>1.6327699656927399E-2</v>
      </c>
      <c r="CY223" s="1111">
        <f>SUMIFS(NewEmisData!J:J, NewEmisData!$A:$A, $G223, NewEmisData!$B:$B, $A223, NewEmisData!$C:$C, $H223, NewEmisData!$D:$D, CY$6)</f>
        <v>1.5748807787192998E-2</v>
      </c>
      <c r="CZ223" s="1111">
        <f>SUMIFS(NewEmisData!K:K, NewEmisData!$A:$A, $G223, NewEmisData!$B:$B, $A223, NewEmisData!$C:$C, $H223, NewEmisData!$D:$D, CZ$6)</f>
        <v>1.5674972697843501E-2</v>
      </c>
      <c r="DA223" s="1111">
        <f>SUMIFS(NewEmisData!L:L, NewEmisData!$A:$A, $G223, NewEmisData!$B:$B, $A223, NewEmisData!$C:$C, $H223, NewEmisData!$D:$D, DA$6)</f>
        <v>1.56348406818691E-2</v>
      </c>
      <c r="DB223" s="1111">
        <f>SUMIFS(NewEmisData!M:M, NewEmisData!$A:$A, $G223, NewEmisData!$B:$B, $A223, NewEmisData!$C:$C, $H223, NewEmisData!$D:$D, DB$6)</f>
        <v>1.5654725632317699E-2</v>
      </c>
      <c r="DC223" s="1111">
        <f t="shared" si="316"/>
        <v>1.5654725632317699E-2</v>
      </c>
      <c r="DD223" s="1111"/>
      <c r="DE223" s="1111"/>
      <c r="DF223" s="1111"/>
      <c r="DG223" s="1111"/>
      <c r="DH223" s="1111"/>
      <c r="DI223" s="1111"/>
      <c r="DJ223" s="1111"/>
      <c r="DK223" s="1111"/>
      <c r="DL223" s="1111"/>
      <c r="DM223" s="1111"/>
      <c r="DN223" s="1111"/>
      <c r="DO223" s="1111"/>
      <c r="DP223" s="1111"/>
      <c r="DQ223" s="1111"/>
      <c r="DR223" s="1111"/>
      <c r="DS223" s="1111"/>
      <c r="DT223" s="1111"/>
      <c r="DU223" s="1111"/>
      <c r="DV223" s="1111"/>
      <c r="DW223" s="1111"/>
      <c r="DX223" s="1111"/>
      <c r="DY223" s="1111"/>
      <c r="DZ223" s="1111">
        <f t="shared" si="317"/>
        <v>7.65679998253877E-2</v>
      </c>
      <c r="EA223" s="1111">
        <f>SUMIFS(NewEmisData!E:E, NewEmisData!$A:$A, $G223, NewEmisData!$B:$B, $A223, NewEmisData!$C:$C, $H223, NewEmisData!$D:$D, EA$6)</f>
        <v>7.65679998253877E-2</v>
      </c>
      <c r="EB223" s="1111">
        <f>SUMIFS(NewEmisData!F:F, NewEmisData!$A:$A, $G223, NewEmisData!$B:$B, $A223, NewEmisData!$C:$C, $H223, NewEmisData!$D:$D, EB$6)</f>
        <v>0.109010255412455</v>
      </c>
      <c r="EC223" s="1111">
        <f>SUMIFS(NewEmisData!G:G, NewEmisData!$A:$A, $G223, NewEmisData!$B:$B, $A223, NewEmisData!$C:$C, $H223, NewEmisData!$D:$D, EC$6)</f>
        <v>1.54277976093114E-2</v>
      </c>
      <c r="ED223" s="1111">
        <f>SUMIFS(NewEmisData!H:H, NewEmisData!$A:$A, $G223, NewEmisData!$B:$B, $A223, NewEmisData!$C:$C, $H223, NewEmisData!$D:$D, ED$6)</f>
        <v>1.2984971623169601E-2</v>
      </c>
      <c r="EE223" s="1111">
        <f>SUMIFS(NewEmisData!I:I, NewEmisData!$A:$A, $G223, NewEmisData!$B:$B, $A223, NewEmisData!$C:$C, $H223, NewEmisData!$D:$D, EE$6)</f>
        <v>1.22605780123332E-2</v>
      </c>
      <c r="EF223" s="1111">
        <f>SUMIFS(NewEmisData!J:J, NewEmisData!$A:$A, $G223, NewEmisData!$B:$B, $A223, NewEmisData!$C:$C, $H223, NewEmisData!$D:$D, EF$6)</f>
        <v>1.20992421043245E-2</v>
      </c>
      <c r="EG223" s="1111">
        <f>SUMIFS(NewEmisData!K:K, NewEmisData!$A:$A, $G223, NewEmisData!$B:$B, $A223, NewEmisData!$C:$C, $H223, NewEmisData!$D:$D, EG$6)</f>
        <v>1.2123397445436401E-2</v>
      </c>
      <c r="EH223" s="1111">
        <f>SUMIFS(NewEmisData!L:L, NewEmisData!$A:$A, $G223, NewEmisData!$B:$B, $A223, NewEmisData!$C:$C, $H223, NewEmisData!$D:$D, EH$6)</f>
        <v>1.2132958592882499E-2</v>
      </c>
      <c r="EI223" s="1111">
        <f>SUMIFS(NewEmisData!M:M, NewEmisData!$A:$A, $G223, NewEmisData!$B:$B, $A223, NewEmisData!$C:$C, $H223, NewEmisData!$D:$D, EI$6)</f>
        <v>1.21315180972552E-2</v>
      </c>
      <c r="EJ223" s="1111">
        <f t="shared" si="318"/>
        <v>1.21315180972552E-2</v>
      </c>
      <c r="EK223" s="1111">
        <f t="shared" si="319"/>
        <v>1571.23838726393</v>
      </c>
      <c r="EL223" s="1111">
        <f t="shared" si="269"/>
        <v>1571.23838726393</v>
      </c>
      <c r="EM223" s="1111">
        <f t="shared" si="270"/>
        <v>1575.29652368133</v>
      </c>
      <c r="EN223" s="1111">
        <f t="shared" si="271"/>
        <v>1620.65726903051</v>
      </c>
      <c r="EO223" s="1111">
        <f t="shared" si="272"/>
        <v>1591.3958126743701</v>
      </c>
      <c r="EP223" s="1111">
        <f t="shared" si="273"/>
        <v>1568.18391586794</v>
      </c>
      <c r="EQ223" s="1111">
        <f t="shared" si="274"/>
        <v>1562.10113018675</v>
      </c>
      <c r="ER223" s="1111">
        <f t="shared" si="275"/>
        <v>1560.4729957351501</v>
      </c>
      <c r="ES223" s="1111">
        <f t="shared" si="276"/>
        <v>1560.1538107035101</v>
      </c>
      <c r="ET223" s="1111">
        <f t="shared" si="277"/>
        <v>1560.07677043992</v>
      </c>
      <c r="EU223" s="1111">
        <f t="shared" si="278"/>
        <v>1560.07677043992</v>
      </c>
      <c r="EV223" s="1111">
        <f t="shared" si="320"/>
        <v>4.4339350215429896</v>
      </c>
      <c r="EW223" s="1111">
        <f t="shared" ref="EW223:EW286" si="333">U223</f>
        <v>4.4339350215429896</v>
      </c>
      <c r="EX223" s="1111">
        <f t="shared" ref="EX223:EX286" si="334">V223</f>
        <v>3.9615409236254</v>
      </c>
      <c r="EY223" s="1111">
        <f t="shared" ref="EY223:EY286" si="335">W223</f>
        <v>1.33028401660566</v>
      </c>
      <c r="EZ223" s="1111">
        <f t="shared" ref="EZ223:EZ286" si="336">X223</f>
        <v>0.96801463367483198</v>
      </c>
      <c r="FA223" s="1111">
        <f t="shared" ref="FA223:FA286" si="337">Y223</f>
        <v>0.810835029277582</v>
      </c>
      <c r="FB223" s="1111">
        <f t="shared" ref="FB223:FB286" si="338">Z223</f>
        <v>0.73984590086297597</v>
      </c>
      <c r="FC223" s="1111">
        <f t="shared" ref="FC223:FC286" si="339">AA223</f>
        <v>0.71912537608469196</v>
      </c>
      <c r="FD223" s="1111">
        <f t="shared" ref="FD223:FD286" si="340">AB223</f>
        <v>0.71458926415217605</v>
      </c>
      <c r="FE223" s="1111">
        <f t="shared" ref="FE223:FE286" si="341">AC223</f>
        <v>0.71327232452186995</v>
      </c>
      <c r="FF223" s="1111">
        <f t="shared" ref="FF223:FF286" si="342">AD223</f>
        <v>0.71327232452186995</v>
      </c>
      <c r="FG223" s="1111">
        <f t="shared" si="291"/>
        <v>2.71879476544729E-2</v>
      </c>
      <c r="FH223" s="1111">
        <f t="shared" si="292"/>
        <v>2.71879476544729E-2</v>
      </c>
      <c r="FI223" s="1111">
        <f t="shared" si="293"/>
        <v>2.72581702920257E-2</v>
      </c>
      <c r="FJ223" s="1111">
        <f t="shared" si="294"/>
        <v>2.32491676049662E-2</v>
      </c>
      <c r="FK223" s="1111">
        <f t="shared" si="295"/>
        <v>2.28294094185802E-2</v>
      </c>
      <c r="FL223" s="1111">
        <f t="shared" si="296"/>
        <v>2.2496411359683499E-2</v>
      </c>
      <c r="FM223" s="1111">
        <f t="shared" si="297"/>
        <v>2.24091575903414E-2</v>
      </c>
      <c r="FN223" s="1111">
        <f t="shared" si="298"/>
        <v>2.2385789717233699E-2</v>
      </c>
      <c r="FO223" s="1111">
        <f t="shared" si="299"/>
        <v>2.23812039581394E-2</v>
      </c>
      <c r="FP223" s="1111">
        <f t="shared" si="300"/>
        <v>2.2380112251842499E-2</v>
      </c>
      <c r="FQ223" s="1111">
        <f t="shared" si="301"/>
        <v>2.2380112251842499E-2</v>
      </c>
      <c r="FR223" s="1111">
        <f t="shared" si="322"/>
        <v>0.29570181024604603</v>
      </c>
      <c r="FS223" s="1111">
        <f t="shared" si="323"/>
        <v>0.29570181024604603</v>
      </c>
      <c r="FT223" s="1111">
        <f t="shared" si="324"/>
        <v>0.31347002724777001</v>
      </c>
      <c r="FU223" s="1111">
        <f t="shared" si="325"/>
        <v>0.29348248729715698</v>
      </c>
      <c r="FV223" s="1111">
        <f t="shared" si="326"/>
        <v>0.29400895980241698</v>
      </c>
      <c r="FW223" s="1111">
        <f t="shared" si="327"/>
        <v>0.29451767447034</v>
      </c>
      <c r="FX223" s="1111">
        <f t="shared" si="328"/>
        <v>0.29481614241324999</v>
      </c>
      <c r="FY223" s="1111">
        <f t="shared" si="329"/>
        <v>0.29496671929746798</v>
      </c>
      <c r="FZ223" s="1111">
        <f t="shared" si="330"/>
        <v>0.29501247169592298</v>
      </c>
      <c r="GA223" s="1111">
        <f t="shared" si="331"/>
        <v>0.29502934324841701</v>
      </c>
      <c r="GB223" s="1111">
        <f t="shared" si="332"/>
        <v>0.29502934324841701</v>
      </c>
      <c r="GC223" s="1111">
        <f t="shared" si="279"/>
        <v>5.6205629802393201E-2</v>
      </c>
      <c r="GD223" s="1111">
        <f t="shared" si="280"/>
        <v>5.6205629802393201E-2</v>
      </c>
      <c r="GE223" s="1111">
        <f t="shared" si="281"/>
        <v>7.2194764578646903E-2</v>
      </c>
      <c r="GF223" s="1111">
        <f t="shared" si="282"/>
        <v>4.48839101088091E-2</v>
      </c>
      <c r="GG223" s="1111">
        <f t="shared" si="283"/>
        <v>4.4911356100480797E-2</v>
      </c>
      <c r="GH223" s="1111">
        <f t="shared" si="284"/>
        <v>4.52709454211217E-2</v>
      </c>
      <c r="GI223" s="1111">
        <f t="shared" si="285"/>
        <v>4.5510230108050102E-2</v>
      </c>
      <c r="GJ223" s="1111">
        <f t="shared" si="286"/>
        <v>4.5637724556064498E-2</v>
      </c>
      <c r="GK223" s="1111">
        <f t="shared" si="287"/>
        <v>4.56765897746194E-2</v>
      </c>
      <c r="GL223" s="1111">
        <f t="shared" si="288"/>
        <v>4.5691464860186798E-2</v>
      </c>
      <c r="GM223" s="1111">
        <f t="shared" si="289"/>
        <v>4.5691464860186798E-2</v>
      </c>
    </row>
    <row r="224" spans="1:195" x14ac:dyDescent="0.2">
      <c r="A224" s="1071" t="s">
        <v>188</v>
      </c>
      <c r="B224" s="1071" t="str">
        <f>Technologies!C131</f>
        <v>TMCNGAH</v>
      </c>
      <c r="C224" s="1071" t="str">
        <f>Technologies!D131</f>
        <v>Medium Duty Truck, Advanced Hybrid CNG</v>
      </c>
      <c r="D224" s="1071" t="str">
        <f>NewTech!D83</f>
        <v>bn-vmt, bn-vmt/a</v>
      </c>
      <c r="E224" s="1071" t="str">
        <f>NewTech!E83</f>
        <v>TMCNG</v>
      </c>
      <c r="F224" s="1071" t="str">
        <f>NewTech!F84</f>
        <v>TM</v>
      </c>
      <c r="G224" s="1110" t="s">
        <v>503</v>
      </c>
      <c r="H224" s="1110" t="s">
        <v>500</v>
      </c>
      <c r="I224" s="1112">
        <v>1</v>
      </c>
      <c r="J224" s="1111" t="str">
        <f t="shared" si="302"/>
        <v>Medium duty-GSL</v>
      </c>
      <c r="K224" s="1111">
        <f>SUMIFS(NewEmisData!E:E, NewEmisData!$A:$A, $G224, NewEmisData!$B:$B, $A224, NewEmisData!$C:$C, $H224, NewEmisData!$D:$D, K$6)</f>
        <v>1295.14987573646</v>
      </c>
      <c r="L224" s="1111">
        <f>SUMIFS(NewEmisData!F:F, NewEmisData!$A:$A, $G224, NewEmisData!$B:$B, $A224, NewEmisData!$C:$C, $H224, NewEmisData!$D:$D, L$6)</f>
        <v>1270.8053069328</v>
      </c>
      <c r="M224" s="1111">
        <f>SUMIFS(NewEmisData!G:G, NewEmisData!$A:$A, $G224, NewEmisData!$B:$B, $A224, NewEmisData!$C:$C, $H224, NewEmisData!$D:$D, M$6)</f>
        <v>1116.9310844665499</v>
      </c>
      <c r="N224" s="1111">
        <f>SUMIFS(NewEmisData!H:H, NewEmisData!$A:$A, $G224, NewEmisData!$B:$B, $A224, NewEmisData!$C:$C, $H224, NewEmisData!$D:$D, N$6)</f>
        <v>1096.47271752758</v>
      </c>
      <c r="O224" s="1111">
        <f>SUMIFS(NewEmisData!I:I, NewEmisData!$A:$A, $G224, NewEmisData!$B:$B, $A224, NewEmisData!$C:$C, $H224, NewEmisData!$D:$D, O$6)</f>
        <v>1080.35797958793</v>
      </c>
      <c r="P224" s="1111">
        <f>SUMIFS(NewEmisData!J:J, NewEmisData!$A:$A, $G224, NewEmisData!$B:$B, $A224, NewEmisData!$C:$C, $H224, NewEmisData!$D:$D, P$6)</f>
        <v>1076.1283631843501</v>
      </c>
      <c r="Q224" s="1111">
        <f>SUMIFS(NewEmisData!K:K, NewEmisData!$A:$A, $G224, NewEmisData!$B:$B, $A224, NewEmisData!$C:$C, $H224, NewEmisData!$D:$D, Q$6)</f>
        <v>1074.99841740493</v>
      </c>
      <c r="R224" s="1111">
        <f>SUMIFS(NewEmisData!L:L, NewEmisData!$A:$A, $G224, NewEmisData!$B:$B, $A224, NewEmisData!$C:$C, $H224, NewEmisData!$D:$D, R$6)</f>
        <v>1074.7768639159699</v>
      </c>
      <c r="S224" s="1111">
        <f>SUMIFS(NewEmisData!M:M, NewEmisData!$A:$A, $G224, NewEmisData!$B:$B, $A224, NewEmisData!$C:$C, $H224, NewEmisData!$D:$D, S$6)</f>
        <v>1074.7231317103101</v>
      </c>
      <c r="T224" s="1111">
        <f t="shared" si="290"/>
        <v>1074.7231317103101</v>
      </c>
      <c r="U224" s="1111">
        <f>SUMIFS(NewEmisData!E:E, NewEmisData!$A:$A, $G224, NewEmisData!$B:$B, $A224, NewEmisData!$C:$C, $H224, NewEmisData!$D:$D, U$6)</f>
        <v>4.7005442822918502</v>
      </c>
      <c r="V224" s="1111">
        <f>SUMIFS(NewEmisData!F:F, NewEmisData!$A:$A, $G224, NewEmisData!$B:$B, $A224, NewEmisData!$C:$C, $H224, NewEmisData!$D:$D, V$6)</f>
        <v>3.08259000861326</v>
      </c>
      <c r="W224" s="1111">
        <f>SUMIFS(NewEmisData!G:G, NewEmisData!$A:$A, $G224, NewEmisData!$B:$B, $A224, NewEmisData!$C:$C, $H224, NewEmisData!$D:$D, W$6)</f>
        <v>1.0390638212911101</v>
      </c>
      <c r="X224" s="1111">
        <f>SUMIFS(NewEmisData!H:H, NewEmisData!$A:$A, $G224, NewEmisData!$B:$B, $A224, NewEmisData!$C:$C, $H224, NewEmisData!$D:$D, X$6)</f>
        <v>0.75779261060598802</v>
      </c>
      <c r="Y224" s="1111">
        <f>SUMIFS(NewEmisData!I:I, NewEmisData!$A:$A, $G224, NewEmisData!$B:$B, $A224, NewEmisData!$C:$C, $H224, NewEmisData!$D:$D, Y$6)</f>
        <v>0.63538679073275195</v>
      </c>
      <c r="Z224" s="1111">
        <f>SUMIFS(NewEmisData!J:J, NewEmisData!$A:$A, $G224, NewEmisData!$B:$B, $A224, NewEmisData!$C:$C, $H224, NewEmisData!$D:$D, Z$6)</f>
        <v>0.580083255346031</v>
      </c>
      <c r="AA224" s="1111">
        <f>SUMIFS(NewEmisData!K:K, NewEmisData!$A:$A, $G224, NewEmisData!$B:$B, $A224, NewEmisData!$C:$C, $H224, NewEmisData!$D:$D, AA$6)</f>
        <v>0.56397155784451702</v>
      </c>
      <c r="AB224" s="1111">
        <f>SUMIFS(NewEmisData!L:L, NewEmisData!$A:$A, $G224, NewEmisData!$B:$B, $A224, NewEmisData!$C:$C, $H224, NewEmisData!$D:$D, AB$6)</f>
        <v>0.56043589289625795</v>
      </c>
      <c r="AC224" s="1111">
        <f>SUMIFS(NewEmisData!M:M, NewEmisData!$A:$A, $G224, NewEmisData!$B:$B, $A224, NewEmisData!$C:$C, $H224, NewEmisData!$D:$D, AC$6)</f>
        <v>0.55941898537579804</v>
      </c>
      <c r="AD224" s="1111">
        <f t="shared" si="321"/>
        <v>0.55941898537579804</v>
      </c>
      <c r="AE224" s="1111">
        <f t="shared" si="303"/>
        <v>2.4310232310109099E-2</v>
      </c>
      <c r="AF224" s="1111">
        <f>SUMIFS(NewEmisData!E:E, NewEmisData!$A:$A, $G224, NewEmisData!$B:$B, $A224, NewEmisData!$C:$C, $H224, NewEmisData!$D:$D, AF$6)</f>
        <v>2.4310232310109099E-2</v>
      </c>
      <c r="AG224" s="1111">
        <f>SUMIFS(NewEmisData!F:F, NewEmisData!$A:$A, $G224, NewEmisData!$B:$B, $A224, NewEmisData!$C:$C, $H224, NewEmisData!$D:$D, AG$6)</f>
        <v>2.26976790505827E-2</v>
      </c>
      <c r="AH224" s="1111">
        <f>SUMIFS(NewEmisData!G:G, NewEmisData!$A:$A, $G224, NewEmisData!$B:$B, $A224, NewEmisData!$C:$C, $H224, NewEmisData!$D:$D, AH$6)</f>
        <v>1.6022950426801401E-2</v>
      </c>
      <c r="AI224" s="1111">
        <f>SUMIFS(NewEmisData!H:H, NewEmisData!$A:$A, $G224, NewEmisData!$B:$B, $A224, NewEmisData!$C:$C, $H224, NewEmisData!$D:$D, AI$6)</f>
        <v>1.5729470038709299E-2</v>
      </c>
      <c r="AJ224" s="1111">
        <f>SUMIFS(NewEmisData!I:I, NewEmisData!$A:$A, $G224, NewEmisData!$B:$B, $A224, NewEmisData!$C:$C, $H224, NewEmisData!$D:$D, AJ$6)</f>
        <v>1.5498287302921E-2</v>
      </c>
      <c r="AK224" s="1111">
        <f>SUMIFS(NewEmisData!J:J, NewEmisData!$A:$A, $G224, NewEmisData!$B:$B, $A224, NewEmisData!$C:$C, $H224, NewEmisData!$D:$D, AK$6)</f>
        <v>1.5437619705180801E-2</v>
      </c>
      <c r="AL224" s="1111">
        <f>SUMIFS(NewEmisData!K:K, NewEmisData!$A:$A, $G224, NewEmisData!$B:$B, $A224, NewEmisData!$C:$C, $H224, NewEmisData!$D:$D, AL$6)</f>
        <v>1.5421408919953399E-2</v>
      </c>
      <c r="AM224" s="1111">
        <f>SUMIFS(NewEmisData!L:L, NewEmisData!$A:$A, $G224, NewEmisData!$B:$B, $A224, NewEmisData!$C:$C, $H224, NewEmisData!$D:$D, AM$6)</f>
        <v>1.5418227354463399E-2</v>
      </c>
      <c r="AN224" s="1111">
        <f>SUMIFS(NewEmisData!M:M, NewEmisData!$A:$A, $G224, NewEmisData!$B:$B, $A224, NewEmisData!$C:$C, $H224, NewEmisData!$D:$D, AN$6)</f>
        <v>1.54174639116704E-2</v>
      </c>
      <c r="AO224" s="1111">
        <f t="shared" si="304"/>
        <v>1.54174639116704E-2</v>
      </c>
      <c r="AP224" s="1111">
        <f t="shared" si="305"/>
        <v>0.19559792469321799</v>
      </c>
      <c r="AQ224" s="1111">
        <f>SUMIFS(NewEmisData!E:E, NewEmisData!$A:$A, $G224, NewEmisData!$B:$B, $A224, NewEmisData!$C:$C, $H224, NewEmisData!$D:$D, AQ$6)</f>
        <v>0.19559792469321799</v>
      </c>
      <c r="AR224" s="1111">
        <f>SUMIFS(NewEmisData!F:F, NewEmisData!$A:$A, $G224, NewEmisData!$B:$B, $A224, NewEmisData!$C:$C, $H224, NewEmisData!$D:$D, AR$6)</f>
        <v>0.195854498358668</v>
      </c>
      <c r="AS224" s="1111">
        <f>SUMIFS(NewEmisData!G:G, NewEmisData!$A:$A, $G224, NewEmisData!$B:$B, $A224, NewEmisData!$C:$C, $H224, NewEmisData!$D:$D, AS$6)</f>
        <v>0.158834423055883</v>
      </c>
      <c r="AT224" s="1111">
        <f>SUMIFS(NewEmisData!H:H, NewEmisData!$A:$A, $G224, NewEmisData!$B:$B, $A224, NewEmisData!$C:$C, $H224, NewEmisData!$D:$D, AT$6)</f>
        <v>0.15912944493902401</v>
      </c>
      <c r="AU224" s="1111">
        <f>SUMIFS(NewEmisData!I:I, NewEmisData!$A:$A, $G224, NewEmisData!$B:$B, $A224, NewEmisData!$C:$C, $H224, NewEmisData!$D:$D, AU$6)</f>
        <v>0.159508665245508</v>
      </c>
      <c r="AV224" s="1111">
        <f>SUMIFS(NewEmisData!J:J, NewEmisData!$A:$A, $G224, NewEmisData!$B:$B, $A224, NewEmisData!$C:$C, $H224, NewEmisData!$D:$D, AV$6)</f>
        <v>0.15973496976197599</v>
      </c>
      <c r="AW224" s="1111">
        <f>SUMIFS(NewEmisData!K:K, NewEmisData!$A:$A, $G224, NewEmisData!$B:$B, $A224, NewEmisData!$C:$C, $H224, NewEmisData!$D:$D, AW$6)</f>
        <v>0.15985029461774</v>
      </c>
      <c r="AX224" s="1111">
        <f>SUMIFS(NewEmisData!L:L, NewEmisData!$A:$A, $G224, NewEmisData!$B:$B, $A224, NewEmisData!$C:$C, $H224, NewEmisData!$D:$D, AX$6)</f>
        <v>0.159884874617258</v>
      </c>
      <c r="AY224" s="1111">
        <f>SUMIFS(NewEmisData!M:M, NewEmisData!$A:$A, $G224, NewEmisData!$B:$B, $A224, NewEmisData!$C:$C, $H224, NewEmisData!$D:$D, AY$6)</f>
        <v>0.15989716821268901</v>
      </c>
      <c r="AZ224" s="1111">
        <f t="shared" si="306"/>
        <v>0.15989716821268901</v>
      </c>
      <c r="BA224" s="1111">
        <f t="shared" si="307"/>
        <v>6.1407596132052197E-2</v>
      </c>
      <c r="BB224" s="1111">
        <f>SUMIFS(NewEmisData!E:E, NewEmisData!$A:$A, $G224, NewEmisData!$B:$B, $A224, NewEmisData!$C:$C, $H224, NewEmisData!$D:$D, BB$6)</f>
        <v>6.1407596132052197E-2</v>
      </c>
      <c r="BC224" s="1111">
        <f>SUMIFS(NewEmisData!F:F, NewEmisData!$A:$A, $G224, NewEmisData!$B:$B, $A224, NewEmisData!$C:$C, $H224, NewEmisData!$D:$D, BC$6)</f>
        <v>5.5619399593761901E-2</v>
      </c>
      <c r="BD224" s="1111">
        <f>SUMIFS(NewEmisData!G:G, NewEmisData!$A:$A, $G224, NewEmisData!$B:$B, $A224, NewEmisData!$C:$C, $H224, NewEmisData!$D:$D, BD$6)</f>
        <v>2.6501774627894398E-2</v>
      </c>
      <c r="BE224" s="1111">
        <f>SUMIFS(NewEmisData!H:H, NewEmisData!$A:$A, $G224, NewEmisData!$B:$B, $A224, NewEmisData!$C:$C, $H224, NewEmisData!$D:$D, BE$6)</f>
        <v>2.6535568582948001E-2</v>
      </c>
      <c r="BF224" s="1111">
        <f>SUMIFS(NewEmisData!I:I, NewEmisData!$A:$A, $G224, NewEmisData!$B:$B, $A224, NewEmisData!$C:$C, $H224, NewEmisData!$D:$D, BF$6)</f>
        <v>2.68240676450552E-2</v>
      </c>
      <c r="BG224" s="1111">
        <f>SUMIFS(NewEmisData!J:J, NewEmisData!$A:$A, $G224, NewEmisData!$B:$B, $A224, NewEmisData!$C:$C, $H224, NewEmisData!$D:$D, BG$6)</f>
        <v>2.7011500327140701E-2</v>
      </c>
      <c r="BH224" s="1111">
        <f>SUMIFS(NewEmisData!K:K, NewEmisData!$A:$A, $G224, NewEmisData!$B:$B, $A224, NewEmisData!$C:$C, $H224, NewEmisData!$D:$D, BH$6)</f>
        <v>2.71105372443806E-2</v>
      </c>
      <c r="BI224" s="1111">
        <f>SUMIFS(NewEmisData!L:L, NewEmisData!$A:$A, $G224, NewEmisData!$B:$B, $A224, NewEmisData!$C:$C, $H224, NewEmisData!$D:$D, BI$6)</f>
        <v>2.7140215075382799E-2</v>
      </c>
      <c r="BJ224" s="1111">
        <f>SUMIFS(NewEmisData!M:M, NewEmisData!$A:$A, $G224, NewEmisData!$B:$B, $A224, NewEmisData!$C:$C, $H224, NewEmisData!$D:$D, BJ$6)</f>
        <v>2.7151187263261201E-2</v>
      </c>
      <c r="BK224" s="1111">
        <f t="shared" si="308"/>
        <v>2.7151187263261201E-2</v>
      </c>
      <c r="BL224" s="1111">
        <f t="shared" si="309"/>
        <v>37.072387310679602</v>
      </c>
      <c r="BM224" s="1111">
        <f>SUMIFS(NewEmisData!E:E, NewEmisData!$A:$A, $G224, NewEmisData!$B:$B, $A224, NewEmisData!$C:$C, $H224, NewEmisData!$D:$D, BM$6)</f>
        <v>37.072387310679602</v>
      </c>
      <c r="BN224" s="1111">
        <f>SUMIFS(NewEmisData!F:F, NewEmisData!$A:$A, $G224, NewEmisData!$B:$B, $A224, NewEmisData!$C:$C, $H224, NewEmisData!$D:$D, BN$6)</f>
        <v>25.792665103532201</v>
      </c>
      <c r="BO224" s="1111">
        <f>SUMIFS(NewEmisData!G:G, NewEmisData!$A:$A, $G224, NewEmisData!$B:$B, $A224, NewEmisData!$C:$C, $H224, NewEmisData!$D:$D, BO$6)</f>
        <v>9.5462177561034594</v>
      </c>
      <c r="BP224" s="1111">
        <f>SUMIFS(NewEmisData!H:H, NewEmisData!$A:$A, $G224, NewEmisData!$B:$B, $A224, NewEmisData!$C:$C, $H224, NewEmisData!$D:$D, BP$6)</f>
        <v>8.0392699220412105</v>
      </c>
      <c r="BQ224" s="1111">
        <f>SUMIFS(NewEmisData!I:I, NewEmisData!$A:$A, $G224, NewEmisData!$B:$B, $A224, NewEmisData!$C:$C, $H224, NewEmisData!$D:$D, BQ$6)</f>
        <v>7.5629439516014001</v>
      </c>
      <c r="BR224" s="1111">
        <f>SUMIFS(NewEmisData!J:J, NewEmisData!$A:$A, $G224, NewEmisData!$B:$B, $A224, NewEmisData!$C:$C, $H224, NewEmisData!$D:$D, BR$6)</f>
        <v>7.42380058325005</v>
      </c>
      <c r="BS224" s="1111">
        <f>SUMIFS(NewEmisData!K:K, NewEmisData!$A:$A, $G224, NewEmisData!$B:$B, $A224, NewEmisData!$C:$C, $H224, NewEmisData!$D:$D, BS$6)</f>
        <v>7.4426275255201499</v>
      </c>
      <c r="BT224" s="1111">
        <f>SUMIFS(NewEmisData!L:L, NewEmisData!$A:$A, $G224, NewEmisData!$B:$B, $A224, NewEmisData!$C:$C, $H224, NewEmisData!$D:$D, BT$6)</f>
        <v>7.4685453226779002</v>
      </c>
      <c r="BU224" s="1111">
        <f>SUMIFS(NewEmisData!M:M, NewEmisData!$A:$A, $G224, NewEmisData!$B:$B, $A224, NewEmisData!$C:$C, $H224, NewEmisData!$D:$D, BU$6)</f>
        <v>7.4852296254001702</v>
      </c>
      <c r="BV224" s="1111">
        <f t="shared" si="310"/>
        <v>7.4852296254001702</v>
      </c>
      <c r="BW224" s="1111">
        <f t="shared" si="311"/>
        <v>1.81554554352594</v>
      </c>
      <c r="BX224" s="1111">
        <f>SUMIFS(NewEmisData!E:E, NewEmisData!$A:$A, $G224, NewEmisData!$B:$B, $A224, NewEmisData!$C:$C, $H224, NewEmisData!$D:$D, BX$6)</f>
        <v>1.81554554352594</v>
      </c>
      <c r="BY224" s="1111">
        <f>SUMIFS(NewEmisData!F:F, NewEmisData!$A:$A, $G224, NewEmisData!$B:$B, $A224, NewEmisData!$C:$C, $H224, NewEmisData!$D:$D, BY$6)</f>
        <v>1.3100717618514499</v>
      </c>
      <c r="BZ224" s="1111">
        <f>SUMIFS(NewEmisData!G:G, NewEmisData!$A:$A, $G224, NewEmisData!$B:$B, $A224, NewEmisData!$C:$C, $H224, NewEmisData!$D:$D, BZ$6)</f>
        <v>0.39370379160048102</v>
      </c>
      <c r="CA224" s="1111">
        <f>SUMIFS(NewEmisData!H:H, NewEmisData!$A:$A, $G224, NewEmisData!$B:$B, $A224, NewEmisData!$C:$C, $H224, NewEmisData!$D:$D, CA$6)</f>
        <v>0.31228113561307103</v>
      </c>
      <c r="CB224" s="1111">
        <f>SUMIFS(NewEmisData!I:I, NewEmisData!$A:$A, $G224, NewEmisData!$B:$B, $A224, NewEmisData!$C:$C, $H224, NewEmisData!$D:$D, CB$6)</f>
        <v>0.28237497464649203</v>
      </c>
      <c r="CC224" s="1111">
        <f>SUMIFS(NewEmisData!J:J, NewEmisData!$A:$A, $G224, NewEmisData!$B:$B, $A224, NewEmisData!$C:$C, $H224, NewEmisData!$D:$D, CC$6)</f>
        <v>0.27043603612734302</v>
      </c>
      <c r="CD224" s="1111">
        <f>SUMIFS(NewEmisData!K:K, NewEmisData!$A:$A, $G224, NewEmisData!$B:$B, $A224, NewEmisData!$C:$C, $H224, NewEmisData!$D:$D, CD$6)</f>
        <v>0.26884074434480698</v>
      </c>
      <c r="CE224" s="1111">
        <f>SUMIFS(NewEmisData!L:L, NewEmisData!$A:$A, $G224, NewEmisData!$B:$B, $A224, NewEmisData!$C:$C, $H224, NewEmisData!$D:$D, CE$6)</f>
        <v>0.268857395941977</v>
      </c>
      <c r="CF224" s="1111">
        <f>SUMIFS(NewEmisData!M:M, NewEmisData!$A:$A, $G224, NewEmisData!$B:$B, $A224, NewEmisData!$C:$C, $H224, NewEmisData!$D:$D, CF$6)</f>
        <v>0.26888130166281199</v>
      </c>
      <c r="CG224" s="1111">
        <f t="shared" si="312"/>
        <v>0.26888130166281199</v>
      </c>
      <c r="CH224" s="1111">
        <f t="shared" si="313"/>
        <v>4.4354850737075603E-2</v>
      </c>
      <c r="CI224" s="1111">
        <f>SUMIFS(NewEmisData!E:E, NewEmisData!$A:$A, $G224, NewEmisData!$B:$B, $A224, NewEmisData!$C:$C, $H224, NewEmisData!$D:$D, CI$6)</f>
        <v>4.4354850737075603E-2</v>
      </c>
      <c r="CJ224" s="1111">
        <f>SUMIFS(NewEmisData!F:F, NewEmisData!$A:$A, $G224, NewEmisData!$B:$B, $A224, NewEmisData!$C:$C, $H224, NewEmisData!$D:$D, CJ$6)</f>
        <v>4.4606421809548602E-2</v>
      </c>
      <c r="CK224" s="1111">
        <f>SUMIFS(NewEmisData!G:G, NewEmisData!$A:$A, $G224, NewEmisData!$B:$B, $A224, NewEmisData!$C:$C, $H224, NewEmisData!$D:$D, CK$6)</f>
        <v>4.5833727376490101E-2</v>
      </c>
      <c r="CL224" s="1111">
        <f>SUMIFS(NewEmisData!H:H, NewEmisData!$A:$A, $G224, NewEmisData!$B:$B, $A224, NewEmisData!$C:$C, $H224, NewEmisData!$D:$D, CL$6)</f>
        <v>4.5835915019940797E-2</v>
      </c>
      <c r="CM224" s="1111">
        <f>SUMIFS(NewEmisData!I:I, NewEmisData!$A:$A, $G224, NewEmisData!$B:$B, $A224, NewEmisData!$C:$C, $H224, NewEmisData!$D:$D, CM$6)</f>
        <v>4.5836924876248103E-2</v>
      </c>
      <c r="CN224" s="1111">
        <f>SUMIFS(NewEmisData!J:J, NewEmisData!$A:$A, $G224, NewEmisData!$B:$B, $A224, NewEmisData!$C:$C, $H224, NewEmisData!$D:$D, CN$6)</f>
        <v>4.5837206762828597E-2</v>
      </c>
      <c r="CO224" s="1111">
        <f>SUMIFS(NewEmisData!K:K, NewEmisData!$A:$A, $G224, NewEmisData!$B:$B, $A224, NewEmisData!$C:$C, $H224, NewEmisData!$D:$D, CO$6)</f>
        <v>4.5837285402718399E-2</v>
      </c>
      <c r="CP224" s="1111">
        <f>SUMIFS(NewEmisData!L:L, NewEmisData!$A:$A, $G224, NewEmisData!$B:$B, $A224, NewEmisData!$C:$C, $H224, NewEmisData!$D:$D, CP$6)</f>
        <v>4.5837327743812703E-2</v>
      </c>
      <c r="CQ224" s="1111">
        <f>SUMIFS(NewEmisData!M:M, NewEmisData!$A:$A, $G224, NewEmisData!$B:$B, $A224, NewEmisData!$C:$C, $H224, NewEmisData!$D:$D, CQ$6)</f>
        <v>4.5837305828443899E-2</v>
      </c>
      <c r="CR224" s="1111">
        <f t="shared" si="314"/>
        <v>4.5837305828443899E-2</v>
      </c>
      <c r="CS224" s="1111">
        <f t="shared" si="315"/>
        <v>4.9787516424166102E-2</v>
      </c>
      <c r="CT224" s="1111">
        <f>SUMIFS(NewEmisData!E:E, NewEmisData!$A:$A, $G224, NewEmisData!$B:$B, $A224, NewEmisData!$C:$C, $H224, NewEmisData!$D:$D, CT$6)</f>
        <v>4.9787516424166102E-2</v>
      </c>
      <c r="CU224" s="1111">
        <f>SUMIFS(NewEmisData!F:F, NewEmisData!$A:$A, $G224, NewEmisData!$B:$B, $A224, NewEmisData!$C:$C, $H224, NewEmisData!$D:$D, CU$6)</f>
        <v>4.0085775499257799E-2</v>
      </c>
      <c r="CV224" s="1111">
        <f>SUMIFS(NewEmisData!G:G, NewEmisData!$A:$A, $G224, NewEmisData!$B:$B, $A224, NewEmisData!$C:$C, $H224, NewEmisData!$D:$D, CV$6)</f>
        <v>1.5231093201386501E-2</v>
      </c>
      <c r="CW224" s="1111">
        <f>SUMIFS(NewEmisData!H:H, NewEmisData!$A:$A, $G224, NewEmisData!$B:$B, $A224, NewEmisData!$C:$C, $H224, NewEmisData!$D:$D, CW$6)</f>
        <v>1.05082390102391E-2</v>
      </c>
      <c r="CX224" s="1111">
        <f>SUMIFS(NewEmisData!I:I, NewEmisData!$A:$A, $G224, NewEmisData!$B:$B, $A224, NewEmisData!$C:$C, $H224, NewEmisData!$D:$D, CX$6)</f>
        <v>9.2332663114354004E-3</v>
      </c>
      <c r="CY224" s="1111">
        <f>SUMIFS(NewEmisData!J:J, NewEmisData!$A:$A, $G224, NewEmisData!$B:$B, $A224, NewEmisData!$C:$C, $H224, NewEmisData!$D:$D, CY$6)</f>
        <v>8.8795270887270794E-3</v>
      </c>
      <c r="CZ224" s="1111">
        <f>SUMIFS(NewEmisData!K:K, NewEmisData!$A:$A, $G224, NewEmisData!$B:$B, $A224, NewEmisData!$C:$C, $H224, NewEmisData!$D:$D, CZ$6)</f>
        <v>8.8375979409894192E-3</v>
      </c>
      <c r="DA224" s="1111">
        <f>SUMIFS(NewEmisData!L:L, NewEmisData!$A:$A, $G224, NewEmisData!$B:$B, $A224, NewEmisData!$C:$C, $H224, NewEmisData!$D:$D, DA$6)</f>
        <v>8.8119276303445203E-3</v>
      </c>
      <c r="DB224" s="1111">
        <f>SUMIFS(NewEmisData!M:M, NewEmisData!$A:$A, $G224, NewEmisData!$B:$B, $A224, NewEmisData!$C:$C, $H224, NewEmisData!$D:$D, DB$6)</f>
        <v>8.8259459804548995E-3</v>
      </c>
      <c r="DC224" s="1111">
        <f t="shared" si="316"/>
        <v>8.8259459804548995E-3</v>
      </c>
      <c r="DD224" s="1111"/>
      <c r="DE224" s="1111"/>
      <c r="DF224" s="1111"/>
      <c r="DG224" s="1111"/>
      <c r="DH224" s="1111"/>
      <c r="DI224" s="1111"/>
      <c r="DJ224" s="1111"/>
      <c r="DK224" s="1111"/>
      <c r="DL224" s="1111"/>
      <c r="DM224" s="1111"/>
      <c r="DN224" s="1111"/>
      <c r="DO224" s="1111"/>
      <c r="DP224" s="1111"/>
      <c r="DQ224" s="1111"/>
      <c r="DR224" s="1111"/>
      <c r="DS224" s="1111"/>
      <c r="DT224" s="1111"/>
      <c r="DU224" s="1111"/>
      <c r="DV224" s="1111"/>
      <c r="DW224" s="1111"/>
      <c r="DX224" s="1111"/>
      <c r="DY224" s="1111"/>
      <c r="DZ224" s="1111">
        <f t="shared" si="317"/>
        <v>4.44098100343151E-2</v>
      </c>
      <c r="EA224" s="1111">
        <f>SUMIFS(NewEmisData!E:E, NewEmisData!$A:$A, $G224, NewEmisData!$B:$B, $A224, NewEmisData!$C:$C, $H224, NewEmisData!$D:$D, EA$6)</f>
        <v>4.44098100343151E-2</v>
      </c>
      <c r="EB224" s="1111">
        <f>SUMIFS(NewEmisData!F:F, NewEmisData!$A:$A, $G224, NewEmisData!$B:$B, $A224, NewEmisData!$C:$C, $H224, NewEmisData!$D:$D, EB$6)</f>
        <v>2.9304673870380101E-2</v>
      </c>
      <c r="EC224" s="1111">
        <f>SUMIFS(NewEmisData!G:G, NewEmisData!$A:$A, $G224, NewEmisData!$B:$B, $A224, NewEmisData!$C:$C, $H224, NewEmisData!$D:$D, EC$6)</f>
        <v>9.6598752165466002E-3</v>
      </c>
      <c r="ED224" s="1111">
        <f>SUMIFS(NewEmisData!H:H, NewEmisData!$A:$A, $G224, NewEmisData!$B:$B, $A224, NewEmisData!$C:$C, $H224, NewEmisData!$D:$D, ED$6)</f>
        <v>8.2574531868545402E-3</v>
      </c>
      <c r="EE224" s="1111">
        <f>SUMIFS(NewEmisData!I:I, NewEmisData!$A:$A, $G224, NewEmisData!$B:$B, $A224, NewEmisData!$C:$C, $H224, NewEmisData!$D:$D, EE$6)</f>
        <v>7.8634646205182502E-3</v>
      </c>
      <c r="EF224" s="1111">
        <f>SUMIFS(NewEmisData!J:J, NewEmisData!$A:$A, $G224, NewEmisData!$B:$B, $A224, NewEmisData!$C:$C, $H224, NewEmisData!$D:$D, EF$6)</f>
        <v>7.7933832365119603E-3</v>
      </c>
      <c r="EG224" s="1111">
        <f>SUMIFS(NewEmisData!K:K, NewEmisData!$A:$A, $G224, NewEmisData!$B:$B, $A224, NewEmisData!$C:$C, $H224, NewEmisData!$D:$D, EG$6)</f>
        <v>7.8217032086275798E-3</v>
      </c>
      <c r="EH224" s="1111">
        <f>SUMIFS(NewEmisData!L:L, NewEmisData!$A:$A, $G224, NewEmisData!$B:$B, $A224, NewEmisData!$C:$C, $H224, NewEmisData!$D:$D, EH$6)</f>
        <v>7.8307139594945199E-3</v>
      </c>
      <c r="EI224" s="1111">
        <f>SUMIFS(NewEmisData!M:M, NewEmisData!$A:$A, $G224, NewEmisData!$B:$B, $A224, NewEmisData!$C:$C, $H224, NewEmisData!$D:$D, EI$6)</f>
        <v>7.8300628211082704E-3</v>
      </c>
      <c r="EJ224" s="1111">
        <f t="shared" si="318"/>
        <v>7.8300628211082704E-3</v>
      </c>
      <c r="EK224" s="1111">
        <f t="shared" si="319"/>
        <v>1295.14987573646</v>
      </c>
      <c r="EL224" s="1111">
        <f t="shared" ref="EL224:EL287" si="343">K224</f>
        <v>1295.14987573646</v>
      </c>
      <c r="EM224" s="1111">
        <f t="shared" ref="EM224:EM287" si="344">L224</f>
        <v>1270.8053069328</v>
      </c>
      <c r="EN224" s="1111">
        <f t="shared" ref="EN224:EN287" si="345">M224</f>
        <v>1116.9310844665499</v>
      </c>
      <c r="EO224" s="1111">
        <f t="shared" ref="EO224:EO287" si="346">N224</f>
        <v>1096.47271752758</v>
      </c>
      <c r="EP224" s="1111">
        <f t="shared" ref="EP224:EP287" si="347">O224</f>
        <v>1080.35797958793</v>
      </c>
      <c r="EQ224" s="1111">
        <f t="shared" ref="EQ224:EQ287" si="348">P224</f>
        <v>1076.1283631843501</v>
      </c>
      <c r="ER224" s="1111">
        <f t="shared" ref="ER224:ER287" si="349">Q224</f>
        <v>1074.99841740493</v>
      </c>
      <c r="ES224" s="1111">
        <f t="shared" ref="ES224:ES287" si="350">R224</f>
        <v>1074.7768639159699</v>
      </c>
      <c r="ET224" s="1111">
        <f t="shared" ref="ET224:ET287" si="351">S224</f>
        <v>1074.7231317103101</v>
      </c>
      <c r="EU224" s="1111">
        <f t="shared" ref="EU224:EU287" si="352">T224</f>
        <v>1074.7231317103101</v>
      </c>
      <c r="EV224" s="1111">
        <f t="shared" si="320"/>
        <v>4.7005442822918502</v>
      </c>
      <c r="EW224" s="1111">
        <f t="shared" si="333"/>
        <v>4.7005442822918502</v>
      </c>
      <c r="EX224" s="1111">
        <f t="shared" si="334"/>
        <v>3.08259000861326</v>
      </c>
      <c r="EY224" s="1111">
        <f t="shared" si="335"/>
        <v>1.0390638212911101</v>
      </c>
      <c r="EZ224" s="1111">
        <f t="shared" si="336"/>
        <v>0.75779261060598802</v>
      </c>
      <c r="FA224" s="1111">
        <f t="shared" si="337"/>
        <v>0.63538679073275195</v>
      </c>
      <c r="FB224" s="1111">
        <f t="shared" si="338"/>
        <v>0.580083255346031</v>
      </c>
      <c r="FC224" s="1111">
        <f t="shared" si="339"/>
        <v>0.56397155784451702</v>
      </c>
      <c r="FD224" s="1111">
        <f t="shared" si="340"/>
        <v>0.56043589289625795</v>
      </c>
      <c r="FE224" s="1111">
        <f t="shared" si="341"/>
        <v>0.55941898537579804</v>
      </c>
      <c r="FF224" s="1111">
        <f t="shared" si="342"/>
        <v>0.55941898537579804</v>
      </c>
      <c r="FG224" s="1111">
        <f t="shared" si="291"/>
        <v>2.4310232310109099E-2</v>
      </c>
      <c r="FH224" s="1111">
        <f t="shared" si="292"/>
        <v>2.4310232310109099E-2</v>
      </c>
      <c r="FI224" s="1111">
        <f t="shared" si="293"/>
        <v>2.26976790505827E-2</v>
      </c>
      <c r="FJ224" s="1111">
        <f t="shared" si="294"/>
        <v>1.6022950426801401E-2</v>
      </c>
      <c r="FK224" s="1111">
        <f t="shared" si="295"/>
        <v>1.5729470038709299E-2</v>
      </c>
      <c r="FL224" s="1111">
        <f t="shared" si="296"/>
        <v>1.5498287302921E-2</v>
      </c>
      <c r="FM224" s="1111">
        <f t="shared" si="297"/>
        <v>1.5437619705180801E-2</v>
      </c>
      <c r="FN224" s="1111">
        <f t="shared" si="298"/>
        <v>1.5421408919953399E-2</v>
      </c>
      <c r="FO224" s="1111">
        <f t="shared" si="299"/>
        <v>1.5418227354463399E-2</v>
      </c>
      <c r="FP224" s="1111">
        <f t="shared" si="300"/>
        <v>1.54174639116704E-2</v>
      </c>
      <c r="FQ224" s="1111">
        <f t="shared" si="301"/>
        <v>1.54174639116704E-2</v>
      </c>
      <c r="FR224" s="1111">
        <f t="shared" si="322"/>
        <v>0.19559792469321799</v>
      </c>
      <c r="FS224" s="1111">
        <f t="shared" si="323"/>
        <v>0.19559792469321799</v>
      </c>
      <c r="FT224" s="1111">
        <f t="shared" si="324"/>
        <v>0.195854498358668</v>
      </c>
      <c r="FU224" s="1111">
        <f t="shared" si="325"/>
        <v>0.158834423055883</v>
      </c>
      <c r="FV224" s="1111">
        <f t="shared" si="326"/>
        <v>0.15912944493902401</v>
      </c>
      <c r="FW224" s="1111">
        <f t="shared" si="327"/>
        <v>0.159508665245508</v>
      </c>
      <c r="FX224" s="1111">
        <f t="shared" si="328"/>
        <v>0.15973496976197599</v>
      </c>
      <c r="FY224" s="1111">
        <f t="shared" si="329"/>
        <v>0.15985029461774</v>
      </c>
      <c r="FZ224" s="1111">
        <f t="shared" si="330"/>
        <v>0.159884874617258</v>
      </c>
      <c r="GA224" s="1111">
        <f t="shared" si="331"/>
        <v>0.15989716821268901</v>
      </c>
      <c r="GB224" s="1111">
        <f t="shared" si="332"/>
        <v>0.15989716821268901</v>
      </c>
      <c r="GC224" s="1111">
        <f t="shared" ref="GC224:GC287" si="353">BA224</f>
        <v>6.1407596132052197E-2</v>
      </c>
      <c r="GD224" s="1111">
        <f t="shared" ref="GD224:GD287" si="354">BB224</f>
        <v>6.1407596132052197E-2</v>
      </c>
      <c r="GE224" s="1111">
        <f t="shared" ref="GE224:GE287" si="355">BC224</f>
        <v>5.5619399593761901E-2</v>
      </c>
      <c r="GF224" s="1111">
        <f t="shared" ref="GF224:GF287" si="356">BD224</f>
        <v>2.6501774627894398E-2</v>
      </c>
      <c r="GG224" s="1111">
        <f t="shared" ref="GG224:GG287" si="357">BE224</f>
        <v>2.6535568582948001E-2</v>
      </c>
      <c r="GH224" s="1111">
        <f t="shared" ref="GH224:GH287" si="358">BF224</f>
        <v>2.68240676450552E-2</v>
      </c>
      <c r="GI224" s="1111">
        <f t="shared" ref="GI224:GI287" si="359">BG224</f>
        <v>2.7011500327140701E-2</v>
      </c>
      <c r="GJ224" s="1111">
        <f t="shared" ref="GJ224:GJ287" si="360">BH224</f>
        <v>2.71105372443806E-2</v>
      </c>
      <c r="GK224" s="1111">
        <f t="shared" ref="GK224:GK287" si="361">BI224</f>
        <v>2.7140215075382799E-2</v>
      </c>
      <c r="GL224" s="1111">
        <f t="shared" ref="GL224:GL287" si="362">BJ224</f>
        <v>2.7151187263261201E-2</v>
      </c>
      <c r="GM224" s="1111">
        <f t="shared" ref="GM224:GM287" si="363">BK224</f>
        <v>2.7151187263261201E-2</v>
      </c>
    </row>
    <row r="225" spans="1:195" x14ac:dyDescent="0.2">
      <c r="A225" s="1071" t="s">
        <v>190</v>
      </c>
      <c r="B225" s="1071" t="str">
        <f>Technologies!C131</f>
        <v>TMCNGAH</v>
      </c>
      <c r="C225" s="1071" t="str">
        <f>Technologies!D131</f>
        <v>Medium Duty Truck, Advanced Hybrid CNG</v>
      </c>
      <c r="D225" s="1071" t="str">
        <f>NewTech!D83</f>
        <v>bn-vmt, bn-vmt/a</v>
      </c>
      <c r="E225" s="1071" t="str">
        <f>NewTech!E83</f>
        <v>TMCNG</v>
      </c>
      <c r="F225" s="1071" t="str">
        <f>NewTech!F84</f>
        <v>TM</v>
      </c>
      <c r="G225" s="1110" t="s">
        <v>503</v>
      </c>
      <c r="H225" s="1110" t="s">
        <v>500</v>
      </c>
      <c r="I225" s="1112">
        <v>1</v>
      </c>
      <c r="J225" s="1111" t="str">
        <f t="shared" si="302"/>
        <v>Medium duty-GSL</v>
      </c>
      <c r="K225" s="1111">
        <f>SUMIFS(NewEmisData!E:E, NewEmisData!$A:$A, $G225, NewEmisData!$B:$B, $A225, NewEmisData!$C:$C, $H225, NewEmisData!$D:$D, K$6)</f>
        <v>1204.2704996203399</v>
      </c>
      <c r="L225" s="1111">
        <f>SUMIFS(NewEmisData!F:F, NewEmisData!$A:$A, $G225, NewEmisData!$B:$B, $A225, NewEmisData!$C:$C, $H225, NewEmisData!$D:$D, L$6)</f>
        <v>1280.9014839137801</v>
      </c>
      <c r="M225" s="1111">
        <f>SUMIFS(NewEmisData!G:G, NewEmisData!$A:$A, $G225, NewEmisData!$B:$B, $A225, NewEmisData!$C:$C, $H225, NewEmisData!$D:$D, M$6)</f>
        <v>1309.1277572440899</v>
      </c>
      <c r="N225" s="1111">
        <f>SUMIFS(NewEmisData!H:H, NewEmisData!$A:$A, $G225, NewEmisData!$B:$B, $A225, NewEmisData!$C:$C, $H225, NewEmisData!$D:$D, N$6)</f>
        <v>1277.5848439676099</v>
      </c>
      <c r="O225" s="1111">
        <f>SUMIFS(NewEmisData!I:I, NewEmisData!$A:$A, $G225, NewEmisData!$B:$B, $A225, NewEmisData!$C:$C, $H225, NewEmisData!$D:$D, O$6)</f>
        <v>1259.05503169493</v>
      </c>
      <c r="P225" s="1111">
        <f>SUMIFS(NewEmisData!J:J, NewEmisData!$A:$A, $G225, NewEmisData!$B:$B, $A225, NewEmisData!$C:$C, $H225, NewEmisData!$D:$D, P$6)</f>
        <v>1254.08723086747</v>
      </c>
      <c r="Q225" s="1111">
        <f>SUMIFS(NewEmisData!K:K, NewEmisData!$A:$A, $G225, NewEmisData!$B:$B, $A225, NewEmisData!$C:$C, $H225, NewEmisData!$D:$D, Q$6)</f>
        <v>1252.90461894546</v>
      </c>
      <c r="R225" s="1111">
        <f>SUMIFS(NewEmisData!L:L, NewEmisData!$A:$A, $G225, NewEmisData!$B:$B, $A225, NewEmisData!$C:$C, $H225, NewEmisData!$D:$D, R$6)</f>
        <v>1252.7104430173399</v>
      </c>
      <c r="S225" s="1111">
        <f>SUMIFS(NewEmisData!M:M, NewEmisData!$A:$A, $G225, NewEmisData!$B:$B, $A225, NewEmisData!$C:$C, $H225, NewEmisData!$D:$D, S$6)</f>
        <v>1252.6870397442001</v>
      </c>
      <c r="T225" s="1111">
        <f t="shared" si="290"/>
        <v>1252.6870397442001</v>
      </c>
      <c r="U225" s="1111">
        <f>SUMIFS(NewEmisData!E:E, NewEmisData!$A:$A, $G225, NewEmisData!$B:$B, $A225, NewEmisData!$C:$C, $H225, NewEmisData!$D:$D, U$6)</f>
        <v>4.3448715610080901</v>
      </c>
      <c r="V225" s="1111">
        <f>SUMIFS(NewEmisData!F:F, NewEmisData!$A:$A, $G225, NewEmisData!$B:$B, $A225, NewEmisData!$C:$C, $H225, NewEmisData!$D:$D, V$6)</f>
        <v>2.68000771941229</v>
      </c>
      <c r="W225" s="1111">
        <f>SUMIFS(NewEmisData!G:G, NewEmisData!$A:$A, $G225, NewEmisData!$B:$B, $A225, NewEmisData!$C:$C, $H225, NewEmisData!$D:$D, W$6)</f>
        <v>1.2701406141530101</v>
      </c>
      <c r="X225" s="1111">
        <f>SUMIFS(NewEmisData!H:H, NewEmisData!$A:$A, $G225, NewEmisData!$B:$B, $A225, NewEmisData!$C:$C, $H225, NewEmisData!$D:$D, X$6)</f>
        <v>0.89637025450783203</v>
      </c>
      <c r="Y225" s="1111">
        <f>SUMIFS(NewEmisData!I:I, NewEmisData!$A:$A, $G225, NewEmisData!$B:$B, $A225, NewEmisData!$C:$C, $H225, NewEmisData!$D:$D, Y$6)</f>
        <v>0.74230586472414295</v>
      </c>
      <c r="Z225" s="1111">
        <f>SUMIFS(NewEmisData!J:J, NewEmisData!$A:$A, $G225, NewEmisData!$B:$B, $A225, NewEmisData!$C:$C, $H225, NewEmisData!$D:$D, Z$6)</f>
        <v>0.67198096175904998</v>
      </c>
      <c r="AA225" s="1111">
        <f>SUMIFS(NewEmisData!K:K, NewEmisData!$A:$A, $G225, NewEmisData!$B:$B, $A225, NewEmisData!$C:$C, $H225, NewEmisData!$D:$D, AA$6)</f>
        <v>0.65082523068374698</v>
      </c>
      <c r="AB225" s="1111">
        <f>SUMIFS(NewEmisData!L:L, NewEmisData!$A:$A, $G225, NewEmisData!$B:$B, $A225, NewEmisData!$C:$C, $H225, NewEmisData!$D:$D, AB$6)</f>
        <v>0.64636795436825401</v>
      </c>
      <c r="AC225" s="1111">
        <f>SUMIFS(NewEmisData!M:M, NewEmisData!$A:$A, $G225, NewEmisData!$B:$B, $A225, NewEmisData!$C:$C, $H225, NewEmisData!$D:$D, AC$6)</f>
        <v>0.64488416341078902</v>
      </c>
      <c r="AD225" s="1111">
        <f t="shared" si="321"/>
        <v>0.64488416341078902</v>
      </c>
      <c r="AE225" s="1111">
        <f t="shared" si="303"/>
        <v>2.08381055217347E-2</v>
      </c>
      <c r="AF225" s="1111">
        <f>SUMIFS(NewEmisData!E:E, NewEmisData!$A:$A, $G225, NewEmisData!$B:$B, $A225, NewEmisData!$C:$C, $H225, NewEmisData!$D:$D, AF$6)</f>
        <v>2.08381055217347E-2</v>
      </c>
      <c r="AG225" s="1111">
        <f>SUMIFS(NewEmisData!F:F, NewEmisData!$A:$A, $G225, NewEmisData!$B:$B, $A225, NewEmisData!$C:$C, $H225, NewEmisData!$D:$D, AG$6)</f>
        <v>2.2164087103621902E-2</v>
      </c>
      <c r="AH225" s="1111">
        <f>SUMIFS(NewEmisData!G:G, NewEmisData!$A:$A, $G225, NewEmisData!$B:$B, $A225, NewEmisData!$C:$C, $H225, NewEmisData!$D:$D, AH$6)</f>
        <v>1.8780122769194701E-2</v>
      </c>
      <c r="AI225" s="1111">
        <f>SUMIFS(NewEmisData!H:H, NewEmisData!$A:$A, $G225, NewEmisData!$B:$B, $A225, NewEmisData!$C:$C, $H225, NewEmisData!$D:$D, AI$6)</f>
        <v>1.8327610114874E-2</v>
      </c>
      <c r="AJ225" s="1111">
        <f>SUMIFS(NewEmisData!I:I, NewEmisData!$A:$A, $G225, NewEmisData!$B:$B, $A225, NewEmisData!$C:$C, $H225, NewEmisData!$D:$D, AJ$6)</f>
        <v>1.8061800865337901E-2</v>
      </c>
      <c r="AK225" s="1111">
        <f>SUMIFS(NewEmisData!J:J, NewEmisData!$A:$A, $G225, NewEmisData!$B:$B, $A225, NewEmisData!$C:$C, $H225, NewEmisData!$D:$D, AK$6)</f>
        <v>1.79905289884639E-2</v>
      </c>
      <c r="AL225" s="1111">
        <f>SUMIFS(NewEmisData!K:K, NewEmisData!$A:$A, $G225, NewEmisData!$B:$B, $A225, NewEmisData!$C:$C, $H225, NewEmisData!$D:$D, AL$6)</f>
        <v>1.7973564507445701E-2</v>
      </c>
      <c r="AM225" s="1111">
        <f>SUMIFS(NewEmisData!L:L, NewEmisData!$A:$A, $G225, NewEmisData!$B:$B, $A225, NewEmisData!$C:$C, $H225, NewEmisData!$D:$D, AM$6)</f>
        <v>1.7970784643505301E-2</v>
      </c>
      <c r="AN225" s="1111">
        <f>SUMIFS(NewEmisData!M:M, NewEmisData!$A:$A, $G225, NewEmisData!$B:$B, $A225, NewEmisData!$C:$C, $H225, NewEmisData!$D:$D, AN$6)</f>
        <v>1.7970446963254401E-2</v>
      </c>
      <c r="AO225" s="1111">
        <f t="shared" si="304"/>
        <v>1.7970446963254401E-2</v>
      </c>
      <c r="AP225" s="1111">
        <f t="shared" si="305"/>
        <v>0.19574828311834699</v>
      </c>
      <c r="AQ225" s="1111">
        <f>SUMIFS(NewEmisData!E:E, NewEmisData!$A:$A, $G225, NewEmisData!$B:$B, $A225, NewEmisData!$C:$C, $H225, NewEmisData!$D:$D, AQ$6)</f>
        <v>0.19574828311834699</v>
      </c>
      <c r="AR225" s="1111">
        <f>SUMIFS(NewEmisData!F:F, NewEmisData!$A:$A, $G225, NewEmisData!$B:$B, $A225, NewEmisData!$C:$C, $H225, NewEmisData!$D:$D, AR$6)</f>
        <v>0.191259101148397</v>
      </c>
      <c r="AS225" s="1111">
        <f>SUMIFS(NewEmisData!G:G, NewEmisData!$A:$A, $G225, NewEmisData!$B:$B, $A225, NewEmisData!$C:$C, $H225, NewEmisData!$D:$D, AS$6)</f>
        <v>0.21457849181088401</v>
      </c>
      <c r="AT225" s="1111">
        <f>SUMIFS(NewEmisData!H:H, NewEmisData!$A:$A, $G225, NewEmisData!$B:$B, $A225, NewEmisData!$C:$C, $H225, NewEmisData!$D:$D, AT$6)</f>
        <v>0.215053494777702</v>
      </c>
      <c r="AU225" s="1111">
        <f>SUMIFS(NewEmisData!I:I, NewEmisData!$A:$A, $G225, NewEmisData!$B:$B, $A225, NewEmisData!$C:$C, $H225, NewEmisData!$D:$D, AU$6)</f>
        <v>0.21551298465650401</v>
      </c>
      <c r="AV225" s="1111">
        <f>SUMIFS(NewEmisData!J:J, NewEmisData!$A:$A, $G225, NewEmisData!$B:$B, $A225, NewEmisData!$C:$C, $H225, NewEmisData!$D:$D, AV$6)</f>
        <v>0.215835472913527</v>
      </c>
      <c r="AW225" s="1111">
        <f>SUMIFS(NewEmisData!K:K, NewEmisData!$A:$A, $G225, NewEmisData!$B:$B, $A225, NewEmisData!$C:$C, $H225, NewEmisData!$D:$D, AW$6)</f>
        <v>0.21602305396888299</v>
      </c>
      <c r="AX225" s="1111">
        <f>SUMIFS(NewEmisData!L:L, NewEmisData!$A:$A, $G225, NewEmisData!$B:$B, $A225, NewEmisData!$C:$C, $H225, NewEmisData!$D:$D, AX$6)</f>
        <v>0.21608589786817001</v>
      </c>
      <c r="AY225" s="1111">
        <f>SUMIFS(NewEmisData!M:M, NewEmisData!$A:$A, $G225, NewEmisData!$B:$B, $A225, NewEmisData!$C:$C, $H225, NewEmisData!$D:$D, AY$6)</f>
        <v>0.216113244270948</v>
      </c>
      <c r="AZ225" s="1111">
        <f t="shared" si="306"/>
        <v>0.216113244270948</v>
      </c>
      <c r="BA225" s="1111">
        <f t="shared" si="307"/>
        <v>4.1988899098410401E-2</v>
      </c>
      <c r="BB225" s="1111">
        <f>SUMIFS(NewEmisData!E:E, NewEmisData!$A:$A, $G225, NewEmisData!$B:$B, $A225, NewEmisData!$C:$C, $H225, NewEmisData!$D:$D, BB$6)</f>
        <v>4.1988899098410401E-2</v>
      </c>
      <c r="BC225" s="1111">
        <f>SUMIFS(NewEmisData!F:F, NewEmisData!$A:$A, $G225, NewEmisData!$B:$B, $A225, NewEmisData!$C:$C, $H225, NewEmisData!$D:$D, BC$6)</f>
        <v>4.04221270662211E-2</v>
      </c>
      <c r="BD225" s="1111">
        <f>SUMIFS(NewEmisData!G:G, NewEmisData!$A:$A, $G225, NewEmisData!$B:$B, $A225, NewEmisData!$C:$C, $H225, NewEmisData!$D:$D, BD$6)</f>
        <v>3.5246180151429399E-2</v>
      </c>
      <c r="BE225" s="1111">
        <f>SUMIFS(NewEmisData!H:H, NewEmisData!$A:$A, $G225, NewEmisData!$B:$B, $A225, NewEmisData!$C:$C, $H225, NewEmisData!$D:$D, BE$6)</f>
        <v>3.4950821311789601E-2</v>
      </c>
      <c r="BF225" s="1111">
        <f>SUMIFS(NewEmisData!I:I, NewEmisData!$A:$A, $G225, NewEmisData!$B:$B, $A225, NewEmisData!$C:$C, $H225, NewEmisData!$D:$D, BF$6)</f>
        <v>3.5285067945859602E-2</v>
      </c>
      <c r="BG225" s="1111">
        <f>SUMIFS(NewEmisData!J:J, NewEmisData!$A:$A, $G225, NewEmisData!$B:$B, $A225, NewEmisData!$C:$C, $H225, NewEmisData!$D:$D, BG$6)</f>
        <v>3.55346528981796E-2</v>
      </c>
      <c r="BH225" s="1111">
        <f>SUMIFS(NewEmisData!K:K, NewEmisData!$A:$A, $G225, NewEmisData!$B:$B, $A225, NewEmisData!$C:$C, $H225, NewEmisData!$D:$D, BH$6)</f>
        <v>3.5692682330647998E-2</v>
      </c>
      <c r="BI225" s="1111">
        <f>SUMIFS(NewEmisData!L:L, NewEmisData!$A:$A, $G225, NewEmisData!$B:$B, $A225, NewEmisData!$C:$C, $H225, NewEmisData!$D:$D, BI$6)</f>
        <v>3.57464219039118E-2</v>
      </c>
      <c r="BJ225" s="1111">
        <f>SUMIFS(NewEmisData!M:M, NewEmisData!$A:$A, $G225, NewEmisData!$B:$B, $A225, NewEmisData!$C:$C, $H225, NewEmisData!$D:$D, BJ$6)</f>
        <v>3.5770424866643502E-2</v>
      </c>
      <c r="BK225" s="1111">
        <f t="shared" si="308"/>
        <v>3.5770424866643502E-2</v>
      </c>
      <c r="BL225" s="1111">
        <f t="shared" si="309"/>
        <v>39.441467642192301</v>
      </c>
      <c r="BM225" s="1111">
        <f>SUMIFS(NewEmisData!E:E, NewEmisData!$A:$A, $G225, NewEmisData!$B:$B, $A225, NewEmisData!$C:$C, $H225, NewEmisData!$D:$D, BM$6)</f>
        <v>39.441467642192301</v>
      </c>
      <c r="BN225" s="1111">
        <f>SUMIFS(NewEmisData!F:F, NewEmisData!$A:$A, $G225, NewEmisData!$B:$B, $A225, NewEmisData!$C:$C, $H225, NewEmisData!$D:$D, BN$6)</f>
        <v>29.135339922672099</v>
      </c>
      <c r="BO225" s="1111">
        <f>SUMIFS(NewEmisData!G:G, NewEmisData!$A:$A, $G225, NewEmisData!$B:$B, $A225, NewEmisData!$C:$C, $H225, NewEmisData!$D:$D, BO$6)</f>
        <v>19.258881049018001</v>
      </c>
      <c r="BP225" s="1111">
        <f>SUMIFS(NewEmisData!H:H, NewEmisData!$A:$A, $G225, NewEmisData!$B:$B, $A225, NewEmisData!$C:$C, $H225, NewEmisData!$D:$D, BP$6)</f>
        <v>17.4734501170478</v>
      </c>
      <c r="BQ225" s="1111">
        <f>SUMIFS(NewEmisData!I:I, NewEmisData!$A:$A, $G225, NewEmisData!$B:$B, $A225, NewEmisData!$C:$C, $H225, NewEmisData!$D:$D, BQ$6)</f>
        <v>17.337238430015301</v>
      </c>
      <c r="BR225" s="1111">
        <f>SUMIFS(NewEmisData!J:J, NewEmisData!$A:$A, $G225, NewEmisData!$B:$B, $A225, NewEmisData!$C:$C, $H225, NewEmisData!$D:$D, BR$6)</f>
        <v>17.524592153612701</v>
      </c>
      <c r="BS225" s="1111">
        <f>SUMIFS(NewEmisData!K:K, NewEmisData!$A:$A, $G225, NewEmisData!$B:$B, $A225, NewEmisData!$C:$C, $H225, NewEmisData!$D:$D, BS$6)</f>
        <v>17.768817804957902</v>
      </c>
      <c r="BT225" s="1111">
        <f>SUMIFS(NewEmisData!L:L, NewEmisData!$A:$A, $G225, NewEmisData!$B:$B, $A225, NewEmisData!$C:$C, $H225, NewEmisData!$D:$D, BT$6)</f>
        <v>17.8951685945812</v>
      </c>
      <c r="BU225" s="1111">
        <f>SUMIFS(NewEmisData!M:M, NewEmisData!$A:$A, $G225, NewEmisData!$B:$B, $A225, NewEmisData!$C:$C, $H225, NewEmisData!$D:$D, BU$6)</f>
        <v>17.960459006708199</v>
      </c>
      <c r="BV225" s="1111">
        <f t="shared" si="310"/>
        <v>17.960459006708199</v>
      </c>
      <c r="BW225" s="1111">
        <f t="shared" si="311"/>
        <v>2.13040906292176</v>
      </c>
      <c r="BX225" s="1111">
        <f>SUMIFS(NewEmisData!E:E, NewEmisData!$A:$A, $G225, NewEmisData!$B:$B, $A225, NewEmisData!$C:$C, $H225, NewEmisData!$D:$D, BX$6)</f>
        <v>2.13040906292176</v>
      </c>
      <c r="BY225" s="1111">
        <f>SUMIFS(NewEmisData!F:F, NewEmisData!$A:$A, $G225, NewEmisData!$B:$B, $A225, NewEmisData!$C:$C, $H225, NewEmisData!$D:$D, BY$6)</f>
        <v>1.66747382008761</v>
      </c>
      <c r="BZ225" s="1111">
        <f>SUMIFS(NewEmisData!G:G, NewEmisData!$A:$A, $G225, NewEmisData!$B:$B, $A225, NewEmisData!$C:$C, $H225, NewEmisData!$D:$D, BZ$6)</f>
        <v>0.70330303970302899</v>
      </c>
      <c r="CA225" s="1111">
        <f>SUMIFS(NewEmisData!H:H, NewEmisData!$A:$A, $G225, NewEmisData!$B:$B, $A225, NewEmisData!$C:$C, $H225, NewEmisData!$D:$D, CA$6)</f>
        <v>0.53546087421873401</v>
      </c>
      <c r="CB225" s="1111">
        <f>SUMIFS(NewEmisData!I:I, NewEmisData!$A:$A, $G225, NewEmisData!$B:$B, $A225, NewEmisData!$C:$C, $H225, NewEmisData!$D:$D, CB$6)</f>
        <v>0.48025579187888601</v>
      </c>
      <c r="CC225" s="1111">
        <f>SUMIFS(NewEmisData!J:J, NewEmisData!$A:$A, $G225, NewEmisData!$B:$B, $A225, NewEmisData!$C:$C, $H225, NewEmisData!$D:$D, CC$6)</f>
        <v>0.45829574772287202</v>
      </c>
      <c r="CD225" s="1111">
        <f>SUMIFS(NewEmisData!K:K, NewEmisData!$A:$A, $G225, NewEmisData!$B:$B, $A225, NewEmisData!$C:$C, $H225, NewEmisData!$D:$D, CD$6)</f>
        <v>0.45669528314480901</v>
      </c>
      <c r="CE225" s="1111">
        <f>SUMIFS(NewEmisData!L:L, NewEmisData!$A:$A, $G225, NewEmisData!$B:$B, $A225, NewEmisData!$C:$C, $H225, NewEmisData!$D:$D, CE$6)</f>
        <v>0.45728549159308601</v>
      </c>
      <c r="CF225" s="1111">
        <f>SUMIFS(NewEmisData!M:M, NewEmisData!$A:$A, $G225, NewEmisData!$B:$B, $A225, NewEmisData!$C:$C, $H225, NewEmisData!$D:$D, CF$6)</f>
        <v>0.457470611587183</v>
      </c>
      <c r="CG225" s="1111">
        <f t="shared" si="312"/>
        <v>0.457470611587183</v>
      </c>
      <c r="CH225" s="1111">
        <f t="shared" si="313"/>
        <v>4.4380144922912999E-2</v>
      </c>
      <c r="CI225" s="1111">
        <f>SUMIFS(NewEmisData!E:E, NewEmisData!$A:$A, $G225, NewEmisData!$B:$B, $A225, NewEmisData!$C:$C, $H225, NewEmisData!$D:$D, CI$6)</f>
        <v>4.4380144922912999E-2</v>
      </c>
      <c r="CJ225" s="1111">
        <f>SUMIFS(NewEmisData!F:F, NewEmisData!$A:$A, $G225, NewEmisData!$B:$B, $A225, NewEmisData!$C:$C, $H225, NewEmisData!$D:$D, CJ$6)</f>
        <v>4.4596792152345799E-2</v>
      </c>
      <c r="CK225" s="1111">
        <f>SUMIFS(NewEmisData!G:G, NewEmisData!$A:$A, $G225, NewEmisData!$B:$B, $A225, NewEmisData!$C:$C, $H225, NewEmisData!$D:$D, CK$6)</f>
        <v>5.2215385084052102E-2</v>
      </c>
      <c r="CL225" s="1111">
        <f>SUMIFS(NewEmisData!H:H, NewEmisData!$A:$A, $G225, NewEmisData!$B:$B, $A225, NewEmisData!$C:$C, $H225, NewEmisData!$D:$D, CL$6)</f>
        <v>5.2195799002688101E-2</v>
      </c>
      <c r="CM225" s="1111">
        <f>SUMIFS(NewEmisData!I:I, NewEmisData!$A:$A, $G225, NewEmisData!$B:$B, $A225, NewEmisData!$C:$C, $H225, NewEmisData!$D:$D, CM$6)</f>
        <v>5.2195910515594697E-2</v>
      </c>
      <c r="CN225" s="1111">
        <f>SUMIFS(NewEmisData!J:J, NewEmisData!$A:$A, $G225, NewEmisData!$B:$B, $A225, NewEmisData!$C:$C, $H225, NewEmisData!$D:$D, CN$6)</f>
        <v>5.2195169525564397E-2</v>
      </c>
      <c r="CO225" s="1111">
        <f>SUMIFS(NewEmisData!K:K, NewEmisData!$A:$A, $G225, NewEmisData!$B:$B, $A225, NewEmisData!$C:$C, $H225, NewEmisData!$D:$D, CO$6)</f>
        <v>5.21950010452591E-2</v>
      </c>
      <c r="CP225" s="1111">
        <f>SUMIFS(NewEmisData!L:L, NewEmisData!$A:$A, $G225, NewEmisData!$B:$B, $A225, NewEmisData!$C:$C, $H225, NewEmisData!$D:$D, CP$6)</f>
        <v>5.2194984268704697E-2</v>
      </c>
      <c r="CQ225" s="1111">
        <f>SUMIFS(NewEmisData!M:M, NewEmisData!$A:$A, $G225, NewEmisData!$B:$B, $A225, NewEmisData!$C:$C, $H225, NewEmisData!$D:$D, CQ$6)</f>
        <v>5.2195021896544298E-2</v>
      </c>
      <c r="CR225" s="1111">
        <f t="shared" si="314"/>
        <v>5.2195021896544298E-2</v>
      </c>
      <c r="CS225" s="1111">
        <f t="shared" si="315"/>
        <v>7.6133150476987599E-2</v>
      </c>
      <c r="CT225" s="1111">
        <f>SUMIFS(NewEmisData!E:E, NewEmisData!$A:$A, $G225, NewEmisData!$B:$B, $A225, NewEmisData!$C:$C, $H225, NewEmisData!$D:$D, CT$6)</f>
        <v>7.6133150476987599E-2</v>
      </c>
      <c r="CU225" s="1111">
        <f>SUMIFS(NewEmisData!F:F, NewEmisData!$A:$A, $G225, NewEmisData!$B:$B, $A225, NewEmisData!$C:$C, $H225, NewEmisData!$D:$D, CU$6)</f>
        <v>5.1439402812130802E-2</v>
      </c>
      <c r="CV225" s="1111">
        <f>SUMIFS(NewEmisData!G:G, NewEmisData!$A:$A, $G225, NewEmisData!$B:$B, $A225, NewEmisData!$C:$C, $H225, NewEmisData!$D:$D, CV$6)</f>
        <v>3.2083061737757199E-2</v>
      </c>
      <c r="CW225" s="1111">
        <f>SUMIFS(NewEmisData!H:H, NewEmisData!$A:$A, $G225, NewEmisData!$B:$B, $A225, NewEmisData!$C:$C, $H225, NewEmisData!$D:$D, CW$6)</f>
        <v>2.1832894937405999E-2</v>
      </c>
      <c r="CX225" s="1111">
        <f>SUMIFS(NewEmisData!I:I, NewEmisData!$A:$A, $G225, NewEmisData!$B:$B, $A225, NewEmisData!$C:$C, $H225, NewEmisData!$D:$D, CX$6)</f>
        <v>1.87474521093988E-2</v>
      </c>
      <c r="CY225" s="1111">
        <f>SUMIFS(NewEmisData!J:J, NewEmisData!$A:$A, $G225, NewEmisData!$B:$B, $A225, NewEmisData!$C:$C, $H225, NewEmisData!$D:$D, CY$6)</f>
        <v>1.78599084478736E-2</v>
      </c>
      <c r="CZ225" s="1111">
        <f>SUMIFS(NewEmisData!K:K, NewEmisData!$A:$A, $G225, NewEmisData!$B:$B, $A225, NewEmisData!$C:$C, $H225, NewEmisData!$D:$D, CZ$6)</f>
        <v>1.7770003763788299E-2</v>
      </c>
      <c r="DA225" s="1111">
        <f>SUMIFS(NewEmisData!L:L, NewEmisData!$A:$A, $G225, NewEmisData!$B:$B, $A225, NewEmisData!$C:$C, $H225, NewEmisData!$D:$D, DA$6)</f>
        <v>1.7699213019639601E-2</v>
      </c>
      <c r="DB225" s="1111">
        <f>SUMIFS(NewEmisData!M:M, NewEmisData!$A:$A, $G225, NewEmisData!$B:$B, $A225, NewEmisData!$C:$C, $H225, NewEmisData!$D:$D, DB$6)</f>
        <v>1.7745127181989399E-2</v>
      </c>
      <c r="DC225" s="1111">
        <f t="shared" si="316"/>
        <v>1.7745127181989399E-2</v>
      </c>
      <c r="DD225" s="1111"/>
      <c r="DE225" s="1111"/>
      <c r="DF225" s="1111"/>
      <c r="DG225" s="1111"/>
      <c r="DH225" s="1111"/>
      <c r="DI225" s="1111"/>
      <c r="DJ225" s="1111"/>
      <c r="DK225" s="1111"/>
      <c r="DL225" s="1111"/>
      <c r="DM225" s="1111"/>
      <c r="DN225" s="1111"/>
      <c r="DO225" s="1111"/>
      <c r="DP225" s="1111"/>
      <c r="DQ225" s="1111"/>
      <c r="DR225" s="1111"/>
      <c r="DS225" s="1111"/>
      <c r="DT225" s="1111"/>
      <c r="DU225" s="1111"/>
      <c r="DV225" s="1111"/>
      <c r="DW225" s="1111"/>
      <c r="DX225" s="1111"/>
      <c r="DY225" s="1111"/>
      <c r="DZ225" s="1111">
        <f t="shared" si="317"/>
        <v>6.6239633822982896E-2</v>
      </c>
      <c r="EA225" s="1111">
        <f>SUMIFS(NewEmisData!E:E, NewEmisData!$A:$A, $G225, NewEmisData!$B:$B, $A225, NewEmisData!$C:$C, $H225, NewEmisData!$D:$D, EA$6)</f>
        <v>6.6239633822982896E-2</v>
      </c>
      <c r="EB225" s="1111">
        <f>SUMIFS(NewEmisData!F:F, NewEmisData!$A:$A, $G225, NewEmisData!$B:$B, $A225, NewEmisData!$C:$C, $H225, NewEmisData!$D:$D, EB$6)</f>
        <v>6.0237802679566702E-2</v>
      </c>
      <c r="EC225" s="1111">
        <f>SUMIFS(NewEmisData!G:G, NewEmisData!$A:$A, $G225, NewEmisData!$B:$B, $A225, NewEmisData!$C:$C, $H225, NewEmisData!$D:$D, EC$6)</f>
        <v>2.4353204424718701E-2</v>
      </c>
      <c r="ED225" s="1111">
        <f>SUMIFS(NewEmisData!H:H, NewEmisData!$A:$A, $G225, NewEmisData!$B:$B, $A225, NewEmisData!$C:$C, $H225, NewEmisData!$D:$D, ED$6)</f>
        <v>2.2100119730100499E-2</v>
      </c>
      <c r="EE225" s="1111">
        <f>SUMIFS(NewEmisData!I:I, NewEmisData!$A:$A, $G225, NewEmisData!$B:$B, $A225, NewEmisData!$C:$C, $H225, NewEmisData!$D:$D, EE$6)</f>
        <v>2.1582561219103999E-2</v>
      </c>
      <c r="EF225" s="1111">
        <f>SUMIFS(NewEmisData!J:J, NewEmisData!$A:$A, $G225, NewEmisData!$B:$B, $A225, NewEmisData!$C:$C, $H225, NewEmisData!$D:$D, EF$6)</f>
        <v>2.1614176302122898E-2</v>
      </c>
      <c r="EG225" s="1111">
        <f>SUMIFS(NewEmisData!K:K, NewEmisData!$A:$A, $G225, NewEmisData!$B:$B, $A225, NewEmisData!$C:$C, $H225, NewEmisData!$D:$D, EG$6)</f>
        <v>2.1778598474770299E-2</v>
      </c>
      <c r="EH225" s="1111">
        <f>SUMIFS(NewEmisData!L:L, NewEmisData!$A:$A, $G225, NewEmisData!$B:$B, $A225, NewEmisData!$C:$C, $H225, NewEmisData!$D:$D, EH$6)</f>
        <v>2.1823465682415499E-2</v>
      </c>
      <c r="EI225" s="1111">
        <f>SUMIFS(NewEmisData!M:M, NewEmisData!$A:$A, $G225, NewEmisData!$B:$B, $A225, NewEmisData!$C:$C, $H225, NewEmisData!$D:$D, EI$6)</f>
        <v>2.1824961400636101E-2</v>
      </c>
      <c r="EJ225" s="1111">
        <f t="shared" si="318"/>
        <v>2.1824961400636101E-2</v>
      </c>
      <c r="EK225" s="1111">
        <f t="shared" si="319"/>
        <v>1204.2704996203399</v>
      </c>
      <c r="EL225" s="1111">
        <f t="shared" si="343"/>
        <v>1204.2704996203399</v>
      </c>
      <c r="EM225" s="1111">
        <f t="shared" si="344"/>
        <v>1280.9014839137801</v>
      </c>
      <c r="EN225" s="1111">
        <f t="shared" si="345"/>
        <v>1309.1277572440899</v>
      </c>
      <c r="EO225" s="1111">
        <f t="shared" si="346"/>
        <v>1277.5848439676099</v>
      </c>
      <c r="EP225" s="1111">
        <f t="shared" si="347"/>
        <v>1259.05503169493</v>
      </c>
      <c r="EQ225" s="1111">
        <f t="shared" si="348"/>
        <v>1254.08723086747</v>
      </c>
      <c r="ER225" s="1111">
        <f t="shared" si="349"/>
        <v>1252.90461894546</v>
      </c>
      <c r="ES225" s="1111">
        <f t="shared" si="350"/>
        <v>1252.7104430173399</v>
      </c>
      <c r="ET225" s="1111">
        <f t="shared" si="351"/>
        <v>1252.6870397442001</v>
      </c>
      <c r="EU225" s="1111">
        <f t="shared" si="352"/>
        <v>1252.6870397442001</v>
      </c>
      <c r="EV225" s="1111">
        <f t="shared" si="320"/>
        <v>4.3448715610080901</v>
      </c>
      <c r="EW225" s="1111">
        <f t="shared" si="333"/>
        <v>4.3448715610080901</v>
      </c>
      <c r="EX225" s="1111">
        <f t="shared" si="334"/>
        <v>2.68000771941229</v>
      </c>
      <c r="EY225" s="1111">
        <f t="shared" si="335"/>
        <v>1.2701406141530101</v>
      </c>
      <c r="EZ225" s="1111">
        <f t="shared" si="336"/>
        <v>0.89637025450783203</v>
      </c>
      <c r="FA225" s="1111">
        <f t="shared" si="337"/>
        <v>0.74230586472414295</v>
      </c>
      <c r="FB225" s="1111">
        <f t="shared" si="338"/>
        <v>0.67198096175904998</v>
      </c>
      <c r="FC225" s="1111">
        <f t="shared" si="339"/>
        <v>0.65082523068374698</v>
      </c>
      <c r="FD225" s="1111">
        <f t="shared" si="340"/>
        <v>0.64636795436825401</v>
      </c>
      <c r="FE225" s="1111">
        <f t="shared" si="341"/>
        <v>0.64488416341078902</v>
      </c>
      <c r="FF225" s="1111">
        <f t="shared" si="342"/>
        <v>0.64488416341078902</v>
      </c>
      <c r="FG225" s="1111">
        <f t="shared" si="291"/>
        <v>2.08381055217347E-2</v>
      </c>
      <c r="FH225" s="1111">
        <f t="shared" si="292"/>
        <v>2.08381055217347E-2</v>
      </c>
      <c r="FI225" s="1111">
        <f t="shared" si="293"/>
        <v>2.2164087103621902E-2</v>
      </c>
      <c r="FJ225" s="1111">
        <f t="shared" si="294"/>
        <v>1.8780122769194701E-2</v>
      </c>
      <c r="FK225" s="1111">
        <f t="shared" si="295"/>
        <v>1.8327610114874E-2</v>
      </c>
      <c r="FL225" s="1111">
        <f t="shared" si="296"/>
        <v>1.8061800865337901E-2</v>
      </c>
      <c r="FM225" s="1111">
        <f t="shared" si="297"/>
        <v>1.79905289884639E-2</v>
      </c>
      <c r="FN225" s="1111">
        <f t="shared" si="298"/>
        <v>1.7973564507445701E-2</v>
      </c>
      <c r="FO225" s="1111">
        <f t="shared" si="299"/>
        <v>1.7970784643505301E-2</v>
      </c>
      <c r="FP225" s="1111">
        <f t="shared" si="300"/>
        <v>1.7970446963254401E-2</v>
      </c>
      <c r="FQ225" s="1111">
        <f t="shared" si="301"/>
        <v>1.7970446963254401E-2</v>
      </c>
      <c r="FR225" s="1111">
        <f t="shared" si="322"/>
        <v>0.19574828311834699</v>
      </c>
      <c r="FS225" s="1111">
        <f t="shared" si="323"/>
        <v>0.19574828311834699</v>
      </c>
      <c r="FT225" s="1111">
        <f t="shared" si="324"/>
        <v>0.191259101148397</v>
      </c>
      <c r="FU225" s="1111">
        <f t="shared" si="325"/>
        <v>0.21457849181088401</v>
      </c>
      <c r="FV225" s="1111">
        <f t="shared" si="326"/>
        <v>0.215053494777702</v>
      </c>
      <c r="FW225" s="1111">
        <f t="shared" si="327"/>
        <v>0.21551298465650401</v>
      </c>
      <c r="FX225" s="1111">
        <f t="shared" si="328"/>
        <v>0.215835472913527</v>
      </c>
      <c r="FY225" s="1111">
        <f t="shared" si="329"/>
        <v>0.21602305396888299</v>
      </c>
      <c r="FZ225" s="1111">
        <f t="shared" si="330"/>
        <v>0.21608589786817001</v>
      </c>
      <c r="GA225" s="1111">
        <f t="shared" si="331"/>
        <v>0.216113244270948</v>
      </c>
      <c r="GB225" s="1111">
        <f t="shared" si="332"/>
        <v>0.216113244270948</v>
      </c>
      <c r="GC225" s="1111">
        <f t="shared" si="353"/>
        <v>4.1988899098410401E-2</v>
      </c>
      <c r="GD225" s="1111">
        <f t="shared" si="354"/>
        <v>4.1988899098410401E-2</v>
      </c>
      <c r="GE225" s="1111">
        <f t="shared" si="355"/>
        <v>4.04221270662211E-2</v>
      </c>
      <c r="GF225" s="1111">
        <f t="shared" si="356"/>
        <v>3.5246180151429399E-2</v>
      </c>
      <c r="GG225" s="1111">
        <f t="shared" si="357"/>
        <v>3.4950821311789601E-2</v>
      </c>
      <c r="GH225" s="1111">
        <f t="shared" si="358"/>
        <v>3.5285067945859602E-2</v>
      </c>
      <c r="GI225" s="1111">
        <f t="shared" si="359"/>
        <v>3.55346528981796E-2</v>
      </c>
      <c r="GJ225" s="1111">
        <f t="shared" si="360"/>
        <v>3.5692682330647998E-2</v>
      </c>
      <c r="GK225" s="1111">
        <f t="shared" si="361"/>
        <v>3.57464219039118E-2</v>
      </c>
      <c r="GL225" s="1111">
        <f t="shared" si="362"/>
        <v>3.5770424866643502E-2</v>
      </c>
      <c r="GM225" s="1111">
        <f t="shared" si="363"/>
        <v>3.5770424866643502E-2</v>
      </c>
    </row>
    <row r="226" spans="1:195" x14ac:dyDescent="0.2">
      <c r="A226" s="1071" t="str">
        <f>Technologies!B132</f>
        <v>*R2,R3,R4,R5,R6</v>
      </c>
      <c r="B226" s="1071" t="str">
        <f>Technologies!C132</f>
        <v>TMLPGC10</v>
      </c>
      <c r="C226" s="1071" t="str">
        <f>Technologies!D132</f>
        <v>Medium Duty Truck, LPG, 2010</v>
      </c>
      <c r="D226" s="1071" t="str">
        <f>NewTech!D84</f>
        <v>bn-vmt, bn-vmt/a</v>
      </c>
      <c r="E226" s="1071" t="str">
        <f>NewTech!E84</f>
        <v>TMCNG</v>
      </c>
      <c r="F226" s="1071" t="str">
        <f>NewTech!F85</f>
        <v>TM</v>
      </c>
      <c r="G226" s="1110" t="s">
        <v>503</v>
      </c>
      <c r="H226" s="1110" t="s">
        <v>504</v>
      </c>
      <c r="I226" s="1112">
        <v>1</v>
      </c>
      <c r="J226" s="1111" t="str">
        <f t="shared" si="302"/>
        <v>Medium duty-LPG</v>
      </c>
      <c r="K226" s="1111">
        <v>1024.9098860783799</v>
      </c>
      <c r="L226" s="1111">
        <v>1023.8416424501853</v>
      </c>
      <c r="M226" s="1111">
        <v>1002.610860283342</v>
      </c>
      <c r="N226" s="1111">
        <v>983.34438014505497</v>
      </c>
      <c r="O226" s="1111">
        <v>970.51765711223641</v>
      </c>
      <c r="P226" s="1111">
        <v>970.66880507815347</v>
      </c>
      <c r="Q226" s="1111">
        <v>970.80700116387698</v>
      </c>
      <c r="R226" s="1111">
        <v>970.84570807801265</v>
      </c>
      <c r="S226" s="1111">
        <v>970.87965809759112</v>
      </c>
      <c r="T226" s="1111">
        <f t="shared" si="290"/>
        <v>970.87965809759112</v>
      </c>
      <c r="U226" s="1111">
        <v>3.2484448279914133</v>
      </c>
      <c r="V226" s="1111">
        <v>2.1596022698342212</v>
      </c>
      <c r="W226" s="1111">
        <v>0.62505215172901885</v>
      </c>
      <c r="X226" s="1111">
        <v>0.40404331445138347</v>
      </c>
      <c r="Y226" s="1111">
        <v>0.34788628450434311</v>
      </c>
      <c r="Z226" s="1111">
        <v>0.32064175677218243</v>
      </c>
      <c r="AA226" s="1111">
        <v>0.31989050995325125</v>
      </c>
      <c r="AB226" s="1111">
        <v>0.32014894307520569</v>
      </c>
      <c r="AC226" s="1111">
        <v>0.32038736461206235</v>
      </c>
      <c r="AD226" s="1111">
        <f t="shared" si="321"/>
        <v>0.32038736461206235</v>
      </c>
      <c r="AE226" s="1111">
        <v>5.7948489428758992E-2</v>
      </c>
      <c r="AF226" s="1111">
        <v>2.4723919298954539E-2</v>
      </c>
      <c r="AG226" s="1111">
        <v>1.9040920921305056E-2</v>
      </c>
      <c r="AH226" s="1111">
        <v>6.3702531665615278E-3</v>
      </c>
      <c r="AI226" s="1111">
        <v>6.2478402934947148E-3</v>
      </c>
      <c r="AJ226" s="1111">
        <v>6.166345668648503E-3</v>
      </c>
      <c r="AK226" s="1111">
        <v>6.1673063931836801E-3</v>
      </c>
      <c r="AL226" s="1111">
        <v>6.1681857117805031E-3</v>
      </c>
      <c r="AM226" s="1111">
        <v>6.1684314408994266E-3</v>
      </c>
      <c r="AN226" s="1111">
        <v>6.1686474259003343E-3</v>
      </c>
      <c r="AO226" s="1111">
        <v>6.1686474259003343E-3</v>
      </c>
      <c r="AP226" s="1111">
        <v>0.1190158264537565</v>
      </c>
      <c r="AQ226" s="1111">
        <v>0.10075563591980095</v>
      </c>
      <c r="AR226" s="1111">
        <v>8.5090364449992392E-2</v>
      </c>
      <c r="AS226" s="1111">
        <v>7.9754963212143051E-2</v>
      </c>
      <c r="AT226" s="1111">
        <v>7.9423720740838075E-2</v>
      </c>
      <c r="AU226" s="1111">
        <v>7.9460423470200742E-2</v>
      </c>
      <c r="AV226" s="1111">
        <v>7.9486694135981986E-2</v>
      </c>
      <c r="AW226" s="1111">
        <v>7.9449539176928527E-2</v>
      </c>
      <c r="AX226" s="1111">
        <v>7.9487074138769528E-2</v>
      </c>
      <c r="AY226" s="1111">
        <v>7.9527154221948865E-2</v>
      </c>
      <c r="AZ226" s="1111">
        <v>7.9527154221948865E-2</v>
      </c>
      <c r="BA226" s="1111">
        <v>5.7580859856890439E-2</v>
      </c>
      <c r="BB226" s="1111">
        <v>4.1023733938729483E-2</v>
      </c>
      <c r="BC226" s="1111">
        <v>2.7113959704865298E-2</v>
      </c>
      <c r="BD226" s="1111">
        <v>2.2869313974904899E-2</v>
      </c>
      <c r="BE226" s="1111">
        <v>2.2684793483013801E-2</v>
      </c>
      <c r="BF226" s="1111">
        <v>2.2713987250038748E-2</v>
      </c>
      <c r="BG226" s="1111">
        <v>2.2734621437019834E-2</v>
      </c>
      <c r="BH226" s="1111">
        <v>2.2699758182424035E-2</v>
      </c>
      <c r="BI226" s="1111">
        <v>2.2732175036057987E-2</v>
      </c>
      <c r="BJ226" s="1111">
        <v>2.276708076132309E-2</v>
      </c>
      <c r="BK226" s="1111">
        <v>2.276708076132309E-2</v>
      </c>
      <c r="BL226" s="1111">
        <v>47.678155221521145</v>
      </c>
      <c r="BM226" s="1111">
        <v>28.609095013295647</v>
      </c>
      <c r="BN226" s="1111">
        <v>21.124906310888324</v>
      </c>
      <c r="BO226" s="1111">
        <v>14.961900107008688</v>
      </c>
      <c r="BP226" s="1111">
        <v>13.109541779712702</v>
      </c>
      <c r="BQ226" s="1111">
        <v>13.005234196706718</v>
      </c>
      <c r="BR226" s="1111">
        <v>12.892985529905035</v>
      </c>
      <c r="BS226" s="1111">
        <v>13.083334539881974</v>
      </c>
      <c r="BT226" s="1111">
        <v>13.074652169296424</v>
      </c>
      <c r="BU226" s="1111">
        <v>13.05488552680287</v>
      </c>
      <c r="BV226" s="1111">
        <v>13.05488552680287</v>
      </c>
      <c r="BW226" s="1111">
        <v>1.8226650732841354</v>
      </c>
      <c r="BX226" s="1111">
        <v>1.1809143065556256</v>
      </c>
      <c r="BY226" s="1111">
        <v>0.79278777998526584</v>
      </c>
      <c r="BZ226" s="1111">
        <v>0.45614614926221181</v>
      </c>
      <c r="CA226" s="1111">
        <v>0.37818308455705596</v>
      </c>
      <c r="CB226" s="1111">
        <v>0.35764043346434599</v>
      </c>
      <c r="CC226" s="1111">
        <v>0.34736031707345472</v>
      </c>
      <c r="CD226" s="1111">
        <v>0.34477515254349145</v>
      </c>
      <c r="CE226" s="1111">
        <v>0.3465054488400755</v>
      </c>
      <c r="CF226" s="1111">
        <v>0.34846247232826794</v>
      </c>
      <c r="CG226" s="1111">
        <v>0.34846247232826794</v>
      </c>
      <c r="CH226" s="1111">
        <v>3.8620852914178952E-2</v>
      </c>
      <c r="CI226" s="1111">
        <v>3.8627783402945544E-2</v>
      </c>
      <c r="CJ226" s="1111">
        <v>3.8613051350330344E-2</v>
      </c>
      <c r="CK226" s="1111">
        <v>3.8622146935394765E-2</v>
      </c>
      <c r="CL226" s="1111">
        <v>3.8632520149477954E-2</v>
      </c>
      <c r="CM226" s="1111">
        <v>3.8634438613029676E-2</v>
      </c>
      <c r="CN226" s="1111">
        <v>3.8633795545186811E-2</v>
      </c>
      <c r="CO226" s="1111">
        <v>3.8633245219676197E-2</v>
      </c>
      <c r="CP226" s="1111">
        <v>3.863292330339977E-2</v>
      </c>
      <c r="CQ226" s="1111">
        <v>3.8632643081261714E-2</v>
      </c>
      <c r="CR226" s="1111">
        <v>3.8632643081261714E-2</v>
      </c>
      <c r="CS226" s="1111">
        <v>4.4291742677605699</v>
      </c>
      <c r="CT226" s="1111">
        <v>3.2484448279914133</v>
      </c>
      <c r="CU226" s="1111">
        <v>2.1596022698342212</v>
      </c>
      <c r="CV226" s="1111">
        <v>0.62505215172901885</v>
      </c>
      <c r="CW226" s="1111">
        <v>0.40404331445138347</v>
      </c>
      <c r="CX226" s="1111">
        <v>0.34788628450434311</v>
      </c>
      <c r="CY226" s="1111">
        <v>0.32064175677218243</v>
      </c>
      <c r="CZ226" s="1111">
        <v>0.31989050995325125</v>
      </c>
      <c r="DA226" s="1111">
        <v>0.32014894307520569</v>
      </c>
      <c r="DB226" s="1111">
        <v>0.32038736461206235</v>
      </c>
      <c r="DC226" s="1111">
        <v>0.32038736461206235</v>
      </c>
      <c r="DD226" s="1111">
        <v>8.4892895966475739E-3</v>
      </c>
      <c r="DE226" s="1111">
        <v>5.6212986616763754E-3</v>
      </c>
      <c r="DF226" s="1111">
        <v>3.3463487561708246E-3</v>
      </c>
      <c r="DG226" s="1111">
        <v>2.7660430299124659E-3</v>
      </c>
      <c r="DH226" s="1111">
        <v>2.682529091392567E-3</v>
      </c>
      <c r="DI226" s="1111">
        <v>2.703528873173607E-3</v>
      </c>
      <c r="DJ226" s="1111">
        <v>2.7128611055472259E-3</v>
      </c>
      <c r="DK226" s="1111">
        <v>2.7072751179577333E-3</v>
      </c>
      <c r="DL226" s="1111">
        <v>2.7166296978826691E-3</v>
      </c>
      <c r="DM226" s="1111">
        <v>2.7267399324404202E-3</v>
      </c>
      <c r="DN226" s="1111">
        <v>2.7267399324404202E-3</v>
      </c>
      <c r="DO226" s="1111">
        <v>2.7529093789717789E-2</v>
      </c>
      <c r="DP226" s="1111">
        <v>1.8547410667972192E-2</v>
      </c>
      <c r="DQ226" s="1111">
        <v>1.0623092960258752E-2</v>
      </c>
      <c r="DR226" s="1111">
        <v>8.2487146441313514E-3</v>
      </c>
      <c r="DS226" s="1111">
        <v>8.1824854069421117E-3</v>
      </c>
      <c r="DT226" s="1111">
        <v>8.1902625366083396E-3</v>
      </c>
      <c r="DU226" s="1111">
        <v>8.1985958492518836E-3</v>
      </c>
      <c r="DV226" s="1111">
        <v>8.1775758900627226E-3</v>
      </c>
      <c r="DW226" s="1111">
        <v>8.1943266682995095E-3</v>
      </c>
      <c r="DX226" s="1111">
        <v>8.2124081867554939E-3</v>
      </c>
      <c r="DY226" s="1111">
        <v>8.2124081867554939E-3</v>
      </c>
      <c r="DZ226" s="1111">
        <v>7.2850976862382816E-2</v>
      </c>
      <c r="EA226" s="1111">
        <v>2.3247256819711605E-2</v>
      </c>
      <c r="EB226" s="1111">
        <v>1.7922222186484007E-2</v>
      </c>
      <c r="EC226" s="1111">
        <v>1.8672233355716359E-2</v>
      </c>
      <c r="ED226" s="1111">
        <v>1.8714907624014312E-2</v>
      </c>
      <c r="EE226" s="1111">
        <v>1.8697083426745816E-2</v>
      </c>
      <c r="EF226" s="1111">
        <v>1.833681175454855E-2</v>
      </c>
      <c r="EG226" s="1111">
        <v>1.8522163599694705E-2</v>
      </c>
      <c r="EH226" s="1111">
        <v>1.8560680786894514E-2</v>
      </c>
      <c r="EI226" s="1111">
        <v>1.8594044483779569E-2</v>
      </c>
      <c r="EJ226" s="1111">
        <v>1.8594044483779569E-2</v>
      </c>
      <c r="EK226" s="1111">
        <v>1023.1964313892872</v>
      </c>
      <c r="EL226" s="1111">
        <f t="shared" si="343"/>
        <v>1024.9098860783799</v>
      </c>
      <c r="EM226" s="1111">
        <f t="shared" si="344"/>
        <v>1023.8416424501853</v>
      </c>
      <c r="EN226" s="1111">
        <f t="shared" si="345"/>
        <v>1002.610860283342</v>
      </c>
      <c r="EO226" s="1111">
        <f t="shared" si="346"/>
        <v>983.34438014505497</v>
      </c>
      <c r="EP226" s="1111">
        <f t="shared" si="347"/>
        <v>970.51765711223641</v>
      </c>
      <c r="EQ226" s="1111">
        <f t="shared" si="348"/>
        <v>970.66880507815347</v>
      </c>
      <c r="ER226" s="1111">
        <f t="shared" si="349"/>
        <v>970.80700116387698</v>
      </c>
      <c r="ES226" s="1111">
        <f t="shared" si="350"/>
        <v>970.84570807801265</v>
      </c>
      <c r="ET226" s="1111">
        <f t="shared" si="351"/>
        <v>970.87965809759112</v>
      </c>
      <c r="EU226" s="1111">
        <f t="shared" si="352"/>
        <v>970.87965809759112</v>
      </c>
      <c r="EV226" s="1111">
        <v>4.4291742677605699</v>
      </c>
      <c r="EW226" s="1111">
        <f t="shared" si="333"/>
        <v>3.2484448279914133</v>
      </c>
      <c r="EX226" s="1111">
        <f t="shared" si="334"/>
        <v>2.1596022698342212</v>
      </c>
      <c r="EY226" s="1111">
        <f t="shared" si="335"/>
        <v>0.62505215172901885</v>
      </c>
      <c r="EZ226" s="1111">
        <f t="shared" si="336"/>
        <v>0.40404331445138347</v>
      </c>
      <c r="FA226" s="1111">
        <f t="shared" si="337"/>
        <v>0.34788628450434311</v>
      </c>
      <c r="FB226" s="1111">
        <f t="shared" si="338"/>
        <v>0.32064175677218243</v>
      </c>
      <c r="FC226" s="1111">
        <f t="shared" si="339"/>
        <v>0.31989050995325125</v>
      </c>
      <c r="FD226" s="1111">
        <f t="shared" si="340"/>
        <v>0.32014894307520569</v>
      </c>
      <c r="FE226" s="1111">
        <f t="shared" si="341"/>
        <v>0.32038736461206235</v>
      </c>
      <c r="FF226" s="1111">
        <f t="shared" si="342"/>
        <v>0.32038736461206235</v>
      </c>
      <c r="FG226" s="1111">
        <f t="shared" si="291"/>
        <v>5.7948489428758992E-2</v>
      </c>
      <c r="FH226" s="1111">
        <f t="shared" si="292"/>
        <v>2.4723919298954539E-2</v>
      </c>
      <c r="FI226" s="1111">
        <f t="shared" si="293"/>
        <v>1.9040920921305056E-2</v>
      </c>
      <c r="FJ226" s="1111">
        <f t="shared" si="294"/>
        <v>6.3702531665615278E-3</v>
      </c>
      <c r="FK226" s="1111">
        <f t="shared" si="295"/>
        <v>6.2478402934947148E-3</v>
      </c>
      <c r="FL226" s="1111">
        <f t="shared" si="296"/>
        <v>6.166345668648503E-3</v>
      </c>
      <c r="FM226" s="1111">
        <f t="shared" si="297"/>
        <v>6.1673063931836801E-3</v>
      </c>
      <c r="FN226" s="1111">
        <f t="shared" si="298"/>
        <v>6.1681857117805031E-3</v>
      </c>
      <c r="FO226" s="1111">
        <f t="shared" si="299"/>
        <v>6.1684314408994266E-3</v>
      </c>
      <c r="FP226" s="1111">
        <f t="shared" si="300"/>
        <v>6.1686474259003343E-3</v>
      </c>
      <c r="FQ226" s="1111">
        <f t="shared" si="301"/>
        <v>6.1686474259003343E-3</v>
      </c>
      <c r="FR226" s="1111">
        <f t="shared" si="322"/>
        <v>0.1190158264537565</v>
      </c>
      <c r="FS226" s="1111">
        <f t="shared" si="323"/>
        <v>0.10075563591980095</v>
      </c>
      <c r="FT226" s="1111">
        <f t="shared" si="324"/>
        <v>8.5090364449992392E-2</v>
      </c>
      <c r="FU226" s="1111">
        <f t="shared" si="325"/>
        <v>7.9754963212143051E-2</v>
      </c>
      <c r="FV226" s="1111">
        <f t="shared" si="326"/>
        <v>7.9423720740838075E-2</v>
      </c>
      <c r="FW226" s="1111">
        <f t="shared" si="327"/>
        <v>7.9460423470200742E-2</v>
      </c>
      <c r="FX226" s="1111">
        <f t="shared" si="328"/>
        <v>7.9486694135981986E-2</v>
      </c>
      <c r="FY226" s="1111">
        <f t="shared" si="329"/>
        <v>7.9449539176928527E-2</v>
      </c>
      <c r="FZ226" s="1111">
        <f t="shared" si="330"/>
        <v>7.9487074138769528E-2</v>
      </c>
      <c r="GA226" s="1111">
        <f t="shared" si="331"/>
        <v>7.9527154221948865E-2</v>
      </c>
      <c r="GB226" s="1111">
        <f t="shared" si="332"/>
        <v>7.9527154221948865E-2</v>
      </c>
      <c r="GC226" s="1111">
        <f t="shared" si="353"/>
        <v>5.7580859856890439E-2</v>
      </c>
      <c r="GD226" s="1111">
        <f t="shared" si="354"/>
        <v>4.1023733938729483E-2</v>
      </c>
      <c r="GE226" s="1111">
        <f t="shared" si="355"/>
        <v>2.7113959704865298E-2</v>
      </c>
      <c r="GF226" s="1111">
        <f t="shared" si="356"/>
        <v>2.2869313974904899E-2</v>
      </c>
      <c r="GG226" s="1111">
        <f t="shared" si="357"/>
        <v>2.2684793483013801E-2</v>
      </c>
      <c r="GH226" s="1111">
        <f t="shared" si="358"/>
        <v>2.2713987250038748E-2</v>
      </c>
      <c r="GI226" s="1111">
        <f t="shared" si="359"/>
        <v>2.2734621437019834E-2</v>
      </c>
      <c r="GJ226" s="1111">
        <f t="shared" si="360"/>
        <v>2.2699758182424035E-2</v>
      </c>
      <c r="GK226" s="1111">
        <f t="shared" si="361"/>
        <v>2.2732175036057987E-2</v>
      </c>
      <c r="GL226" s="1111">
        <f t="shared" si="362"/>
        <v>2.276708076132309E-2</v>
      </c>
      <c r="GM226" s="1111">
        <f t="shared" si="363"/>
        <v>2.276708076132309E-2</v>
      </c>
    </row>
    <row r="227" spans="1:195" x14ac:dyDescent="0.2">
      <c r="A227" s="1071" t="str">
        <f>Technologies!B133</f>
        <v>*R2,R3,R4,R5,R6</v>
      </c>
      <c r="B227" s="1071" t="str">
        <f>Technologies!C133</f>
        <v>TMLPGC</v>
      </c>
      <c r="C227" s="1071" t="str">
        <f>Technologies!D133</f>
        <v>Medium Duty Truck, Conventional LPG</v>
      </c>
      <c r="D227" s="1071" t="str">
        <f>NewTech!D82</f>
        <v>bn-vmt, bn-vmt/a</v>
      </c>
      <c r="E227" s="1071" t="str">
        <f>NewTech!E85</f>
        <v>TRNLPG1</v>
      </c>
      <c r="F227" s="1071" t="str">
        <f>NewTech!F86</f>
        <v>TM</v>
      </c>
      <c r="G227" s="1110" t="s">
        <v>503</v>
      </c>
      <c r="H227" s="1110" t="s">
        <v>504</v>
      </c>
      <c r="I227" s="1112">
        <v>1</v>
      </c>
      <c r="J227" s="1111" t="str">
        <f t="shared" si="302"/>
        <v>Medium duty-LPG</v>
      </c>
      <c r="K227" s="1111">
        <v>1024.9098860783799</v>
      </c>
      <c r="L227" s="1111">
        <v>1023.8416424501853</v>
      </c>
      <c r="M227" s="1111">
        <v>1002.610860283342</v>
      </c>
      <c r="N227" s="1111">
        <v>983.34438014505497</v>
      </c>
      <c r="O227" s="1111">
        <v>970.51765711223641</v>
      </c>
      <c r="P227" s="1111">
        <v>970.66880507815347</v>
      </c>
      <c r="Q227" s="1111">
        <v>970.80700116387698</v>
      </c>
      <c r="R227" s="1111">
        <v>970.84570807801265</v>
      </c>
      <c r="S227" s="1111">
        <v>970.87965809759112</v>
      </c>
      <c r="T227" s="1111">
        <f t="shared" ref="T227:T290" si="364">S227</f>
        <v>970.87965809759112</v>
      </c>
      <c r="U227" s="1111">
        <v>3.2484448279914133</v>
      </c>
      <c r="V227" s="1111">
        <v>2.1596022698342212</v>
      </c>
      <c r="W227" s="1111">
        <v>0.62505215172901885</v>
      </c>
      <c r="X227" s="1111">
        <v>0.40404331445138347</v>
      </c>
      <c r="Y227" s="1111">
        <v>0.34788628450434311</v>
      </c>
      <c r="Z227" s="1111">
        <v>0.32064175677218243</v>
      </c>
      <c r="AA227" s="1111">
        <v>0.31989050995325125</v>
      </c>
      <c r="AB227" s="1111">
        <v>0.32014894307520569</v>
      </c>
      <c r="AC227" s="1111">
        <v>0.32038736461206235</v>
      </c>
      <c r="AD227" s="1111">
        <f t="shared" si="321"/>
        <v>0.32038736461206235</v>
      </c>
      <c r="AE227" s="1111">
        <v>5.7948489428758992E-2</v>
      </c>
      <c r="AF227" s="1111">
        <v>2.4723919298954539E-2</v>
      </c>
      <c r="AG227" s="1111">
        <v>1.9040920921305056E-2</v>
      </c>
      <c r="AH227" s="1111">
        <v>6.3702531665615278E-3</v>
      </c>
      <c r="AI227" s="1111">
        <v>6.2478402934947148E-3</v>
      </c>
      <c r="AJ227" s="1111">
        <v>6.166345668648503E-3</v>
      </c>
      <c r="AK227" s="1111">
        <v>6.1673063931836801E-3</v>
      </c>
      <c r="AL227" s="1111">
        <v>6.1681857117805031E-3</v>
      </c>
      <c r="AM227" s="1111">
        <v>6.1684314408994266E-3</v>
      </c>
      <c r="AN227" s="1111">
        <v>6.1686474259003343E-3</v>
      </c>
      <c r="AO227" s="1111">
        <v>6.1686474259003343E-3</v>
      </c>
      <c r="AP227" s="1111">
        <v>0.1190158264537565</v>
      </c>
      <c r="AQ227" s="1111">
        <v>0.10075563591980095</v>
      </c>
      <c r="AR227" s="1111">
        <v>8.5090364449992392E-2</v>
      </c>
      <c r="AS227" s="1111">
        <v>7.9754963212143051E-2</v>
      </c>
      <c r="AT227" s="1111">
        <v>7.9423720740838075E-2</v>
      </c>
      <c r="AU227" s="1111">
        <v>7.9460423470200742E-2</v>
      </c>
      <c r="AV227" s="1111">
        <v>7.9486694135981986E-2</v>
      </c>
      <c r="AW227" s="1111">
        <v>7.9449539176928527E-2</v>
      </c>
      <c r="AX227" s="1111">
        <v>7.9487074138769528E-2</v>
      </c>
      <c r="AY227" s="1111">
        <v>7.9527154221948865E-2</v>
      </c>
      <c r="AZ227" s="1111">
        <v>7.9527154221948865E-2</v>
      </c>
      <c r="BA227" s="1111">
        <v>5.7580859856890439E-2</v>
      </c>
      <c r="BB227" s="1111">
        <v>4.1023733938729483E-2</v>
      </c>
      <c r="BC227" s="1111">
        <v>2.7113959704865298E-2</v>
      </c>
      <c r="BD227" s="1111">
        <v>2.2869313974904899E-2</v>
      </c>
      <c r="BE227" s="1111">
        <v>2.2684793483013801E-2</v>
      </c>
      <c r="BF227" s="1111">
        <v>2.2713987250038748E-2</v>
      </c>
      <c r="BG227" s="1111">
        <v>2.2734621437019834E-2</v>
      </c>
      <c r="BH227" s="1111">
        <v>2.2699758182424035E-2</v>
      </c>
      <c r="BI227" s="1111">
        <v>2.2732175036057987E-2</v>
      </c>
      <c r="BJ227" s="1111">
        <v>2.276708076132309E-2</v>
      </c>
      <c r="BK227" s="1111">
        <v>2.276708076132309E-2</v>
      </c>
      <c r="BL227" s="1111">
        <v>47.678155221521145</v>
      </c>
      <c r="BM227" s="1111">
        <v>28.609095013295647</v>
      </c>
      <c r="BN227" s="1111">
        <v>21.124906310888324</v>
      </c>
      <c r="BO227" s="1111">
        <v>14.961900107008688</v>
      </c>
      <c r="BP227" s="1111">
        <v>13.109541779712702</v>
      </c>
      <c r="BQ227" s="1111">
        <v>13.005234196706718</v>
      </c>
      <c r="BR227" s="1111">
        <v>12.892985529905035</v>
      </c>
      <c r="BS227" s="1111">
        <v>13.083334539881974</v>
      </c>
      <c r="BT227" s="1111">
        <v>13.074652169296424</v>
      </c>
      <c r="BU227" s="1111">
        <v>13.05488552680287</v>
      </c>
      <c r="BV227" s="1111">
        <v>13.05488552680287</v>
      </c>
      <c r="BW227" s="1111">
        <v>1.8226650732841354</v>
      </c>
      <c r="BX227" s="1111">
        <v>1.1809143065556256</v>
      </c>
      <c r="BY227" s="1111">
        <v>0.79278777998526584</v>
      </c>
      <c r="BZ227" s="1111">
        <v>0.45614614926221181</v>
      </c>
      <c r="CA227" s="1111">
        <v>0.37818308455705596</v>
      </c>
      <c r="CB227" s="1111">
        <v>0.35764043346434599</v>
      </c>
      <c r="CC227" s="1111">
        <v>0.34736031707345472</v>
      </c>
      <c r="CD227" s="1111">
        <v>0.34477515254349145</v>
      </c>
      <c r="CE227" s="1111">
        <v>0.3465054488400755</v>
      </c>
      <c r="CF227" s="1111">
        <v>0.34846247232826794</v>
      </c>
      <c r="CG227" s="1111">
        <v>0.34846247232826794</v>
      </c>
      <c r="CH227" s="1111">
        <v>3.8620852914178952E-2</v>
      </c>
      <c r="CI227" s="1111">
        <v>3.8627783402945544E-2</v>
      </c>
      <c r="CJ227" s="1111">
        <v>3.8613051350330344E-2</v>
      </c>
      <c r="CK227" s="1111">
        <v>3.8622146935394765E-2</v>
      </c>
      <c r="CL227" s="1111">
        <v>3.8632520149477954E-2</v>
      </c>
      <c r="CM227" s="1111">
        <v>3.8634438613029676E-2</v>
      </c>
      <c r="CN227" s="1111">
        <v>3.8633795545186811E-2</v>
      </c>
      <c r="CO227" s="1111">
        <v>3.8633245219676197E-2</v>
      </c>
      <c r="CP227" s="1111">
        <v>3.863292330339977E-2</v>
      </c>
      <c r="CQ227" s="1111">
        <v>3.8632643081261714E-2</v>
      </c>
      <c r="CR227" s="1111">
        <v>3.8632643081261714E-2</v>
      </c>
      <c r="CS227" s="1111">
        <v>4.4291742677605699</v>
      </c>
      <c r="CT227" s="1111">
        <v>3.2484448279914133</v>
      </c>
      <c r="CU227" s="1111">
        <v>2.1596022698342212</v>
      </c>
      <c r="CV227" s="1111">
        <v>0.62505215172901885</v>
      </c>
      <c r="CW227" s="1111">
        <v>0.40404331445138347</v>
      </c>
      <c r="CX227" s="1111">
        <v>0.34788628450434311</v>
      </c>
      <c r="CY227" s="1111">
        <v>0.32064175677218243</v>
      </c>
      <c r="CZ227" s="1111">
        <v>0.31989050995325125</v>
      </c>
      <c r="DA227" s="1111">
        <v>0.32014894307520569</v>
      </c>
      <c r="DB227" s="1111">
        <v>0.32038736461206235</v>
      </c>
      <c r="DC227" s="1111">
        <v>0.32038736461206235</v>
      </c>
      <c r="DD227" s="1111">
        <v>8.4892895966475739E-3</v>
      </c>
      <c r="DE227" s="1111">
        <v>5.6212986616763754E-3</v>
      </c>
      <c r="DF227" s="1111">
        <v>3.3463487561708246E-3</v>
      </c>
      <c r="DG227" s="1111">
        <v>2.7660430299124659E-3</v>
      </c>
      <c r="DH227" s="1111">
        <v>2.682529091392567E-3</v>
      </c>
      <c r="DI227" s="1111">
        <v>2.703528873173607E-3</v>
      </c>
      <c r="DJ227" s="1111">
        <v>2.7128611055472259E-3</v>
      </c>
      <c r="DK227" s="1111">
        <v>2.7072751179577333E-3</v>
      </c>
      <c r="DL227" s="1111">
        <v>2.7166296978826691E-3</v>
      </c>
      <c r="DM227" s="1111">
        <v>2.7267399324404202E-3</v>
      </c>
      <c r="DN227" s="1111">
        <v>2.7267399324404202E-3</v>
      </c>
      <c r="DO227" s="1111">
        <v>2.7529093789717789E-2</v>
      </c>
      <c r="DP227" s="1111">
        <v>1.8547410667972192E-2</v>
      </c>
      <c r="DQ227" s="1111">
        <v>1.0623092960258752E-2</v>
      </c>
      <c r="DR227" s="1111">
        <v>8.2487146441313514E-3</v>
      </c>
      <c r="DS227" s="1111">
        <v>8.1824854069421117E-3</v>
      </c>
      <c r="DT227" s="1111">
        <v>8.1902625366083396E-3</v>
      </c>
      <c r="DU227" s="1111">
        <v>8.1985958492518836E-3</v>
      </c>
      <c r="DV227" s="1111">
        <v>8.1775758900627226E-3</v>
      </c>
      <c r="DW227" s="1111">
        <v>8.1943266682995095E-3</v>
      </c>
      <c r="DX227" s="1111">
        <v>8.2124081867554939E-3</v>
      </c>
      <c r="DY227" s="1111">
        <v>8.2124081867554939E-3</v>
      </c>
      <c r="DZ227" s="1111">
        <v>7.2850976862382816E-2</v>
      </c>
      <c r="EA227" s="1111">
        <v>2.3247256819711605E-2</v>
      </c>
      <c r="EB227" s="1111">
        <v>1.7922222186484007E-2</v>
      </c>
      <c r="EC227" s="1111">
        <v>1.8672233355716359E-2</v>
      </c>
      <c r="ED227" s="1111">
        <v>1.8714907624014312E-2</v>
      </c>
      <c r="EE227" s="1111">
        <v>1.8697083426745816E-2</v>
      </c>
      <c r="EF227" s="1111">
        <v>1.833681175454855E-2</v>
      </c>
      <c r="EG227" s="1111">
        <v>1.8522163599694705E-2</v>
      </c>
      <c r="EH227" s="1111">
        <v>1.8560680786894514E-2</v>
      </c>
      <c r="EI227" s="1111">
        <v>1.8594044483779569E-2</v>
      </c>
      <c r="EJ227" s="1111">
        <v>1.8594044483779569E-2</v>
      </c>
      <c r="EK227" s="1111">
        <v>1023.1964313892872</v>
      </c>
      <c r="EL227" s="1111">
        <f t="shared" si="343"/>
        <v>1024.9098860783799</v>
      </c>
      <c r="EM227" s="1111">
        <f t="shared" si="344"/>
        <v>1023.8416424501853</v>
      </c>
      <c r="EN227" s="1111">
        <f t="shared" si="345"/>
        <v>1002.610860283342</v>
      </c>
      <c r="EO227" s="1111">
        <f t="shared" si="346"/>
        <v>983.34438014505497</v>
      </c>
      <c r="EP227" s="1111">
        <f t="shared" si="347"/>
        <v>970.51765711223641</v>
      </c>
      <c r="EQ227" s="1111">
        <f t="shared" si="348"/>
        <v>970.66880507815347</v>
      </c>
      <c r="ER227" s="1111">
        <f t="shared" si="349"/>
        <v>970.80700116387698</v>
      </c>
      <c r="ES227" s="1111">
        <f t="shared" si="350"/>
        <v>970.84570807801265</v>
      </c>
      <c r="ET227" s="1111">
        <f t="shared" si="351"/>
        <v>970.87965809759112</v>
      </c>
      <c r="EU227" s="1111">
        <f t="shared" si="352"/>
        <v>970.87965809759112</v>
      </c>
      <c r="EV227" s="1111">
        <v>4.4291742677605699</v>
      </c>
      <c r="EW227" s="1111">
        <f t="shared" si="333"/>
        <v>3.2484448279914133</v>
      </c>
      <c r="EX227" s="1111">
        <f t="shared" si="334"/>
        <v>2.1596022698342212</v>
      </c>
      <c r="EY227" s="1111">
        <f t="shared" si="335"/>
        <v>0.62505215172901885</v>
      </c>
      <c r="EZ227" s="1111">
        <f t="shared" si="336"/>
        <v>0.40404331445138347</v>
      </c>
      <c r="FA227" s="1111">
        <f t="shared" si="337"/>
        <v>0.34788628450434311</v>
      </c>
      <c r="FB227" s="1111">
        <f t="shared" si="338"/>
        <v>0.32064175677218243</v>
      </c>
      <c r="FC227" s="1111">
        <f t="shared" si="339"/>
        <v>0.31989050995325125</v>
      </c>
      <c r="FD227" s="1111">
        <f t="shared" si="340"/>
        <v>0.32014894307520569</v>
      </c>
      <c r="FE227" s="1111">
        <f t="shared" si="341"/>
        <v>0.32038736461206235</v>
      </c>
      <c r="FF227" s="1111">
        <f t="shared" si="342"/>
        <v>0.32038736461206235</v>
      </c>
      <c r="FG227" s="1111">
        <f t="shared" si="291"/>
        <v>5.7948489428758992E-2</v>
      </c>
      <c r="FH227" s="1111">
        <f t="shared" si="292"/>
        <v>2.4723919298954539E-2</v>
      </c>
      <c r="FI227" s="1111">
        <f t="shared" si="293"/>
        <v>1.9040920921305056E-2</v>
      </c>
      <c r="FJ227" s="1111">
        <f t="shared" si="294"/>
        <v>6.3702531665615278E-3</v>
      </c>
      <c r="FK227" s="1111">
        <f t="shared" si="295"/>
        <v>6.2478402934947148E-3</v>
      </c>
      <c r="FL227" s="1111">
        <f t="shared" si="296"/>
        <v>6.166345668648503E-3</v>
      </c>
      <c r="FM227" s="1111">
        <f t="shared" si="297"/>
        <v>6.1673063931836801E-3</v>
      </c>
      <c r="FN227" s="1111">
        <f t="shared" si="298"/>
        <v>6.1681857117805031E-3</v>
      </c>
      <c r="FO227" s="1111">
        <f t="shared" si="299"/>
        <v>6.1684314408994266E-3</v>
      </c>
      <c r="FP227" s="1111">
        <f t="shared" si="300"/>
        <v>6.1686474259003343E-3</v>
      </c>
      <c r="FQ227" s="1111">
        <f t="shared" si="301"/>
        <v>6.1686474259003343E-3</v>
      </c>
      <c r="FR227" s="1111">
        <f t="shared" si="322"/>
        <v>0.1190158264537565</v>
      </c>
      <c r="FS227" s="1111">
        <f t="shared" si="323"/>
        <v>0.10075563591980095</v>
      </c>
      <c r="FT227" s="1111">
        <f t="shared" si="324"/>
        <v>8.5090364449992392E-2</v>
      </c>
      <c r="FU227" s="1111">
        <f t="shared" si="325"/>
        <v>7.9754963212143051E-2</v>
      </c>
      <c r="FV227" s="1111">
        <f t="shared" si="326"/>
        <v>7.9423720740838075E-2</v>
      </c>
      <c r="FW227" s="1111">
        <f t="shared" si="327"/>
        <v>7.9460423470200742E-2</v>
      </c>
      <c r="FX227" s="1111">
        <f t="shared" si="328"/>
        <v>7.9486694135981986E-2</v>
      </c>
      <c r="FY227" s="1111">
        <f t="shared" si="329"/>
        <v>7.9449539176928527E-2</v>
      </c>
      <c r="FZ227" s="1111">
        <f t="shared" si="330"/>
        <v>7.9487074138769528E-2</v>
      </c>
      <c r="GA227" s="1111">
        <f t="shared" si="331"/>
        <v>7.9527154221948865E-2</v>
      </c>
      <c r="GB227" s="1111">
        <f t="shared" si="332"/>
        <v>7.9527154221948865E-2</v>
      </c>
      <c r="GC227" s="1111">
        <f t="shared" si="353"/>
        <v>5.7580859856890439E-2</v>
      </c>
      <c r="GD227" s="1111">
        <f t="shared" si="354"/>
        <v>4.1023733938729483E-2</v>
      </c>
      <c r="GE227" s="1111">
        <f t="shared" si="355"/>
        <v>2.7113959704865298E-2</v>
      </c>
      <c r="GF227" s="1111">
        <f t="shared" si="356"/>
        <v>2.2869313974904899E-2</v>
      </c>
      <c r="GG227" s="1111">
        <f t="shared" si="357"/>
        <v>2.2684793483013801E-2</v>
      </c>
      <c r="GH227" s="1111">
        <f t="shared" si="358"/>
        <v>2.2713987250038748E-2</v>
      </c>
      <c r="GI227" s="1111">
        <f t="shared" si="359"/>
        <v>2.2734621437019834E-2</v>
      </c>
      <c r="GJ227" s="1111">
        <f t="shared" si="360"/>
        <v>2.2699758182424035E-2</v>
      </c>
      <c r="GK227" s="1111">
        <f t="shared" si="361"/>
        <v>2.2732175036057987E-2</v>
      </c>
      <c r="GL227" s="1111">
        <f t="shared" si="362"/>
        <v>2.276708076132309E-2</v>
      </c>
      <c r="GM227" s="1111">
        <f t="shared" si="363"/>
        <v>2.276708076132309E-2</v>
      </c>
    </row>
    <row r="228" spans="1:195" x14ac:dyDescent="0.2">
      <c r="A228" s="1071" t="str">
        <f>Technologies!B134</f>
        <v>*R2,R3,R4,R5,R6</v>
      </c>
      <c r="B228" s="1071" t="str">
        <f>Technologies!C134</f>
        <v>TMLPGIM</v>
      </c>
      <c r="C228" s="1071" t="str">
        <f>Technologies!D134</f>
        <v>Medium Duty Truck, Improved LPG</v>
      </c>
      <c r="D228" s="1071" t="str">
        <f>NewTech!D83</f>
        <v>bn-vmt, bn-vmt/a</v>
      </c>
      <c r="E228" s="1071" t="str">
        <f>NewTech!E86</f>
        <v>TRNLPG1</v>
      </c>
      <c r="F228" s="1071" t="str">
        <f>NewTech!F87</f>
        <v>TM</v>
      </c>
      <c r="G228" s="1110" t="s">
        <v>503</v>
      </c>
      <c r="H228" s="1110" t="s">
        <v>504</v>
      </c>
      <c r="I228" s="1112">
        <v>1</v>
      </c>
      <c r="J228" s="1111" t="str">
        <f t="shared" si="302"/>
        <v>Medium duty-LPG</v>
      </c>
      <c r="K228" s="1111">
        <v>1024.9098860783799</v>
      </c>
      <c r="L228" s="1111">
        <v>1023.8416424501853</v>
      </c>
      <c r="M228" s="1111">
        <v>1002.610860283342</v>
      </c>
      <c r="N228" s="1111">
        <v>983.34438014505497</v>
      </c>
      <c r="O228" s="1111">
        <v>970.51765711223641</v>
      </c>
      <c r="P228" s="1111">
        <v>970.66880507815347</v>
      </c>
      <c r="Q228" s="1111">
        <v>970.80700116387698</v>
      </c>
      <c r="R228" s="1111">
        <v>970.84570807801265</v>
      </c>
      <c r="S228" s="1111">
        <v>970.87965809759112</v>
      </c>
      <c r="T228" s="1111">
        <f t="shared" si="364"/>
        <v>970.87965809759112</v>
      </c>
      <c r="U228" s="1111">
        <v>3.2484448279914133</v>
      </c>
      <c r="V228" s="1111">
        <v>2.1596022698342212</v>
      </c>
      <c r="W228" s="1111">
        <v>0.62505215172901885</v>
      </c>
      <c r="X228" s="1111">
        <v>0.40404331445138347</v>
      </c>
      <c r="Y228" s="1111">
        <v>0.34788628450434311</v>
      </c>
      <c r="Z228" s="1111">
        <v>0.32064175677218243</v>
      </c>
      <c r="AA228" s="1111">
        <v>0.31989050995325125</v>
      </c>
      <c r="AB228" s="1111">
        <v>0.32014894307520569</v>
      </c>
      <c r="AC228" s="1111">
        <v>0.32038736461206235</v>
      </c>
      <c r="AD228" s="1111">
        <f t="shared" si="321"/>
        <v>0.32038736461206235</v>
      </c>
      <c r="AE228" s="1111">
        <v>5.7948489428758992E-2</v>
      </c>
      <c r="AF228" s="1111">
        <v>2.4723919298954539E-2</v>
      </c>
      <c r="AG228" s="1111">
        <v>1.9040920921305056E-2</v>
      </c>
      <c r="AH228" s="1111">
        <v>6.3702531665615278E-3</v>
      </c>
      <c r="AI228" s="1111">
        <v>6.2478402934947148E-3</v>
      </c>
      <c r="AJ228" s="1111">
        <v>6.166345668648503E-3</v>
      </c>
      <c r="AK228" s="1111">
        <v>6.1673063931836801E-3</v>
      </c>
      <c r="AL228" s="1111">
        <v>6.1681857117805031E-3</v>
      </c>
      <c r="AM228" s="1111">
        <v>6.1684314408994266E-3</v>
      </c>
      <c r="AN228" s="1111">
        <v>6.1686474259003343E-3</v>
      </c>
      <c r="AO228" s="1111">
        <v>6.1686474259003343E-3</v>
      </c>
      <c r="AP228" s="1111">
        <v>0.1190158264537565</v>
      </c>
      <c r="AQ228" s="1111">
        <v>0.10075563591980095</v>
      </c>
      <c r="AR228" s="1111">
        <v>8.5090364449992392E-2</v>
      </c>
      <c r="AS228" s="1111">
        <v>7.9754963212143051E-2</v>
      </c>
      <c r="AT228" s="1111">
        <v>7.9423720740838075E-2</v>
      </c>
      <c r="AU228" s="1111">
        <v>7.9460423470200742E-2</v>
      </c>
      <c r="AV228" s="1111">
        <v>7.9486694135981986E-2</v>
      </c>
      <c r="AW228" s="1111">
        <v>7.9449539176928527E-2</v>
      </c>
      <c r="AX228" s="1111">
        <v>7.9487074138769528E-2</v>
      </c>
      <c r="AY228" s="1111">
        <v>7.9527154221948865E-2</v>
      </c>
      <c r="AZ228" s="1111">
        <v>7.9527154221948865E-2</v>
      </c>
      <c r="BA228" s="1111">
        <v>5.7580859856890439E-2</v>
      </c>
      <c r="BB228" s="1111">
        <v>4.1023733938729483E-2</v>
      </c>
      <c r="BC228" s="1111">
        <v>2.7113959704865298E-2</v>
      </c>
      <c r="BD228" s="1111">
        <v>2.2869313974904899E-2</v>
      </c>
      <c r="BE228" s="1111">
        <v>2.2684793483013801E-2</v>
      </c>
      <c r="BF228" s="1111">
        <v>2.2713987250038748E-2</v>
      </c>
      <c r="BG228" s="1111">
        <v>2.2734621437019834E-2</v>
      </c>
      <c r="BH228" s="1111">
        <v>2.2699758182424035E-2</v>
      </c>
      <c r="BI228" s="1111">
        <v>2.2732175036057987E-2</v>
      </c>
      <c r="BJ228" s="1111">
        <v>2.276708076132309E-2</v>
      </c>
      <c r="BK228" s="1111">
        <v>2.276708076132309E-2</v>
      </c>
      <c r="BL228" s="1111">
        <v>47.678155221521145</v>
      </c>
      <c r="BM228" s="1111">
        <v>28.609095013295647</v>
      </c>
      <c r="BN228" s="1111">
        <v>21.124906310888324</v>
      </c>
      <c r="BO228" s="1111">
        <v>14.961900107008688</v>
      </c>
      <c r="BP228" s="1111">
        <v>13.109541779712702</v>
      </c>
      <c r="BQ228" s="1111">
        <v>13.005234196706718</v>
      </c>
      <c r="BR228" s="1111">
        <v>12.892985529905035</v>
      </c>
      <c r="BS228" s="1111">
        <v>13.083334539881974</v>
      </c>
      <c r="BT228" s="1111">
        <v>13.074652169296424</v>
      </c>
      <c r="BU228" s="1111">
        <v>13.05488552680287</v>
      </c>
      <c r="BV228" s="1111">
        <v>13.05488552680287</v>
      </c>
      <c r="BW228" s="1111">
        <v>1.8226650732841354</v>
      </c>
      <c r="BX228" s="1111">
        <v>1.1809143065556256</v>
      </c>
      <c r="BY228" s="1111">
        <v>0.79278777998526584</v>
      </c>
      <c r="BZ228" s="1111">
        <v>0.45614614926221181</v>
      </c>
      <c r="CA228" s="1111">
        <v>0.37818308455705596</v>
      </c>
      <c r="CB228" s="1111">
        <v>0.35764043346434599</v>
      </c>
      <c r="CC228" s="1111">
        <v>0.34736031707345472</v>
      </c>
      <c r="CD228" s="1111">
        <v>0.34477515254349145</v>
      </c>
      <c r="CE228" s="1111">
        <v>0.3465054488400755</v>
      </c>
      <c r="CF228" s="1111">
        <v>0.34846247232826794</v>
      </c>
      <c r="CG228" s="1111">
        <v>0.34846247232826794</v>
      </c>
      <c r="CH228" s="1111">
        <v>3.8620852914178952E-2</v>
      </c>
      <c r="CI228" s="1111">
        <v>3.8627783402945544E-2</v>
      </c>
      <c r="CJ228" s="1111">
        <v>3.8613051350330344E-2</v>
      </c>
      <c r="CK228" s="1111">
        <v>3.8622146935394765E-2</v>
      </c>
      <c r="CL228" s="1111">
        <v>3.8632520149477954E-2</v>
      </c>
      <c r="CM228" s="1111">
        <v>3.8634438613029676E-2</v>
      </c>
      <c r="CN228" s="1111">
        <v>3.8633795545186811E-2</v>
      </c>
      <c r="CO228" s="1111">
        <v>3.8633245219676197E-2</v>
      </c>
      <c r="CP228" s="1111">
        <v>3.863292330339977E-2</v>
      </c>
      <c r="CQ228" s="1111">
        <v>3.8632643081261714E-2</v>
      </c>
      <c r="CR228" s="1111">
        <v>3.8632643081261714E-2</v>
      </c>
      <c r="CS228" s="1111">
        <v>4.4291742677605699</v>
      </c>
      <c r="CT228" s="1111">
        <v>3.2484448279914133</v>
      </c>
      <c r="CU228" s="1111">
        <v>2.1596022698342212</v>
      </c>
      <c r="CV228" s="1111">
        <v>0.62505215172901885</v>
      </c>
      <c r="CW228" s="1111">
        <v>0.40404331445138347</v>
      </c>
      <c r="CX228" s="1111">
        <v>0.34788628450434311</v>
      </c>
      <c r="CY228" s="1111">
        <v>0.32064175677218243</v>
      </c>
      <c r="CZ228" s="1111">
        <v>0.31989050995325125</v>
      </c>
      <c r="DA228" s="1111">
        <v>0.32014894307520569</v>
      </c>
      <c r="DB228" s="1111">
        <v>0.32038736461206235</v>
      </c>
      <c r="DC228" s="1111">
        <v>0.32038736461206235</v>
      </c>
      <c r="DD228" s="1111">
        <v>8.4892895966475739E-3</v>
      </c>
      <c r="DE228" s="1111">
        <v>5.6212986616763754E-3</v>
      </c>
      <c r="DF228" s="1111">
        <v>3.3463487561708246E-3</v>
      </c>
      <c r="DG228" s="1111">
        <v>2.7660430299124659E-3</v>
      </c>
      <c r="DH228" s="1111">
        <v>2.682529091392567E-3</v>
      </c>
      <c r="DI228" s="1111">
        <v>2.703528873173607E-3</v>
      </c>
      <c r="DJ228" s="1111">
        <v>2.7128611055472259E-3</v>
      </c>
      <c r="DK228" s="1111">
        <v>2.7072751179577333E-3</v>
      </c>
      <c r="DL228" s="1111">
        <v>2.7166296978826691E-3</v>
      </c>
      <c r="DM228" s="1111">
        <v>2.7267399324404202E-3</v>
      </c>
      <c r="DN228" s="1111">
        <v>2.7267399324404202E-3</v>
      </c>
      <c r="DO228" s="1111">
        <v>2.7529093789717789E-2</v>
      </c>
      <c r="DP228" s="1111">
        <v>1.8547410667972192E-2</v>
      </c>
      <c r="DQ228" s="1111">
        <v>1.0623092960258752E-2</v>
      </c>
      <c r="DR228" s="1111">
        <v>8.2487146441313514E-3</v>
      </c>
      <c r="DS228" s="1111">
        <v>8.1824854069421117E-3</v>
      </c>
      <c r="DT228" s="1111">
        <v>8.1902625366083396E-3</v>
      </c>
      <c r="DU228" s="1111">
        <v>8.1985958492518836E-3</v>
      </c>
      <c r="DV228" s="1111">
        <v>8.1775758900627226E-3</v>
      </c>
      <c r="DW228" s="1111">
        <v>8.1943266682995095E-3</v>
      </c>
      <c r="DX228" s="1111">
        <v>8.2124081867554939E-3</v>
      </c>
      <c r="DY228" s="1111">
        <v>8.2124081867554939E-3</v>
      </c>
      <c r="DZ228" s="1111">
        <v>7.2850976862382816E-2</v>
      </c>
      <c r="EA228" s="1111">
        <v>2.3247256819711605E-2</v>
      </c>
      <c r="EB228" s="1111">
        <v>1.7922222186484007E-2</v>
      </c>
      <c r="EC228" s="1111">
        <v>1.8672233355716359E-2</v>
      </c>
      <c r="ED228" s="1111">
        <v>1.8714907624014312E-2</v>
      </c>
      <c r="EE228" s="1111">
        <v>1.8697083426745816E-2</v>
      </c>
      <c r="EF228" s="1111">
        <v>1.833681175454855E-2</v>
      </c>
      <c r="EG228" s="1111">
        <v>1.8522163599694705E-2</v>
      </c>
      <c r="EH228" s="1111">
        <v>1.8560680786894514E-2</v>
      </c>
      <c r="EI228" s="1111">
        <v>1.8594044483779569E-2</v>
      </c>
      <c r="EJ228" s="1111">
        <v>1.8594044483779569E-2</v>
      </c>
      <c r="EK228" s="1111">
        <v>1023.1964313892872</v>
      </c>
      <c r="EL228" s="1111">
        <f t="shared" si="343"/>
        <v>1024.9098860783799</v>
      </c>
      <c r="EM228" s="1111">
        <f t="shared" si="344"/>
        <v>1023.8416424501853</v>
      </c>
      <c r="EN228" s="1111">
        <f t="shared" si="345"/>
        <v>1002.610860283342</v>
      </c>
      <c r="EO228" s="1111">
        <f t="shared" si="346"/>
        <v>983.34438014505497</v>
      </c>
      <c r="EP228" s="1111">
        <f t="shared" si="347"/>
        <v>970.51765711223641</v>
      </c>
      <c r="EQ228" s="1111">
        <f t="shared" si="348"/>
        <v>970.66880507815347</v>
      </c>
      <c r="ER228" s="1111">
        <f t="shared" si="349"/>
        <v>970.80700116387698</v>
      </c>
      <c r="ES228" s="1111">
        <f t="shared" si="350"/>
        <v>970.84570807801265</v>
      </c>
      <c r="ET228" s="1111">
        <f t="shared" si="351"/>
        <v>970.87965809759112</v>
      </c>
      <c r="EU228" s="1111">
        <f t="shared" si="352"/>
        <v>970.87965809759112</v>
      </c>
      <c r="EV228" s="1111">
        <v>4.4291742677605699</v>
      </c>
      <c r="EW228" s="1111">
        <f t="shared" si="333"/>
        <v>3.2484448279914133</v>
      </c>
      <c r="EX228" s="1111">
        <f t="shared" si="334"/>
        <v>2.1596022698342212</v>
      </c>
      <c r="EY228" s="1111">
        <f t="shared" si="335"/>
        <v>0.62505215172901885</v>
      </c>
      <c r="EZ228" s="1111">
        <f t="shared" si="336"/>
        <v>0.40404331445138347</v>
      </c>
      <c r="FA228" s="1111">
        <f t="shared" si="337"/>
        <v>0.34788628450434311</v>
      </c>
      <c r="FB228" s="1111">
        <f t="shared" si="338"/>
        <v>0.32064175677218243</v>
      </c>
      <c r="FC228" s="1111">
        <f t="shared" si="339"/>
        <v>0.31989050995325125</v>
      </c>
      <c r="FD228" s="1111">
        <f t="shared" si="340"/>
        <v>0.32014894307520569</v>
      </c>
      <c r="FE228" s="1111">
        <f t="shared" si="341"/>
        <v>0.32038736461206235</v>
      </c>
      <c r="FF228" s="1111">
        <f t="shared" si="342"/>
        <v>0.32038736461206235</v>
      </c>
      <c r="FG228" s="1111">
        <f t="shared" si="291"/>
        <v>5.7948489428758992E-2</v>
      </c>
      <c r="FH228" s="1111">
        <f t="shared" si="292"/>
        <v>2.4723919298954539E-2</v>
      </c>
      <c r="FI228" s="1111">
        <f t="shared" si="293"/>
        <v>1.9040920921305056E-2</v>
      </c>
      <c r="FJ228" s="1111">
        <f t="shared" si="294"/>
        <v>6.3702531665615278E-3</v>
      </c>
      <c r="FK228" s="1111">
        <f t="shared" si="295"/>
        <v>6.2478402934947148E-3</v>
      </c>
      <c r="FL228" s="1111">
        <f t="shared" si="296"/>
        <v>6.166345668648503E-3</v>
      </c>
      <c r="FM228" s="1111">
        <f t="shared" si="297"/>
        <v>6.1673063931836801E-3</v>
      </c>
      <c r="FN228" s="1111">
        <f t="shared" si="298"/>
        <v>6.1681857117805031E-3</v>
      </c>
      <c r="FO228" s="1111">
        <f t="shared" si="299"/>
        <v>6.1684314408994266E-3</v>
      </c>
      <c r="FP228" s="1111">
        <f t="shared" si="300"/>
        <v>6.1686474259003343E-3</v>
      </c>
      <c r="FQ228" s="1111">
        <f t="shared" si="301"/>
        <v>6.1686474259003343E-3</v>
      </c>
      <c r="FR228" s="1111">
        <f t="shared" si="322"/>
        <v>0.1190158264537565</v>
      </c>
      <c r="FS228" s="1111">
        <f t="shared" si="323"/>
        <v>0.10075563591980095</v>
      </c>
      <c r="FT228" s="1111">
        <f t="shared" si="324"/>
        <v>8.5090364449992392E-2</v>
      </c>
      <c r="FU228" s="1111">
        <f t="shared" si="325"/>
        <v>7.9754963212143051E-2</v>
      </c>
      <c r="FV228" s="1111">
        <f t="shared" si="326"/>
        <v>7.9423720740838075E-2</v>
      </c>
      <c r="FW228" s="1111">
        <f t="shared" si="327"/>
        <v>7.9460423470200742E-2</v>
      </c>
      <c r="FX228" s="1111">
        <f t="shared" si="328"/>
        <v>7.9486694135981986E-2</v>
      </c>
      <c r="FY228" s="1111">
        <f t="shared" si="329"/>
        <v>7.9449539176928527E-2</v>
      </c>
      <c r="FZ228" s="1111">
        <f t="shared" si="330"/>
        <v>7.9487074138769528E-2</v>
      </c>
      <c r="GA228" s="1111">
        <f t="shared" si="331"/>
        <v>7.9527154221948865E-2</v>
      </c>
      <c r="GB228" s="1111">
        <f t="shared" si="332"/>
        <v>7.9527154221948865E-2</v>
      </c>
      <c r="GC228" s="1111">
        <f t="shared" si="353"/>
        <v>5.7580859856890439E-2</v>
      </c>
      <c r="GD228" s="1111">
        <f t="shared" si="354"/>
        <v>4.1023733938729483E-2</v>
      </c>
      <c r="GE228" s="1111">
        <f t="shared" si="355"/>
        <v>2.7113959704865298E-2</v>
      </c>
      <c r="GF228" s="1111">
        <f t="shared" si="356"/>
        <v>2.2869313974904899E-2</v>
      </c>
      <c r="GG228" s="1111">
        <f t="shared" si="357"/>
        <v>2.2684793483013801E-2</v>
      </c>
      <c r="GH228" s="1111">
        <f t="shared" si="358"/>
        <v>2.2713987250038748E-2</v>
      </c>
      <c r="GI228" s="1111">
        <f t="shared" si="359"/>
        <v>2.2734621437019834E-2</v>
      </c>
      <c r="GJ228" s="1111">
        <f t="shared" si="360"/>
        <v>2.2699758182424035E-2</v>
      </c>
      <c r="GK228" s="1111">
        <f t="shared" si="361"/>
        <v>2.2732175036057987E-2</v>
      </c>
      <c r="GL228" s="1111">
        <f t="shared" si="362"/>
        <v>2.276708076132309E-2</v>
      </c>
      <c r="GM228" s="1111">
        <f t="shared" si="363"/>
        <v>2.276708076132309E-2</v>
      </c>
    </row>
    <row r="229" spans="1:195" x14ac:dyDescent="0.2">
      <c r="A229" s="1071" t="str">
        <f>Technologies!B135</f>
        <v>*R2,R3,R4,R5,R6</v>
      </c>
      <c r="B229" s="1071" t="str">
        <f>Technologies!C135</f>
        <v>TMLPGAH</v>
      </c>
      <c r="C229" s="1071" t="str">
        <f>Technologies!D135</f>
        <v>Medium Duty Truck, Advanced Hybrid LPG</v>
      </c>
      <c r="D229" s="1071" t="str">
        <f>NewTech!D84</f>
        <v>bn-vmt, bn-vmt/a</v>
      </c>
      <c r="E229" s="1071" t="str">
        <f>NewTech!E87</f>
        <v>TRNLPG1</v>
      </c>
      <c r="F229" s="1071" t="str">
        <f>NewTech!F88</f>
        <v>TM</v>
      </c>
      <c r="G229" s="1110" t="s">
        <v>503</v>
      </c>
      <c r="H229" s="1110" t="s">
        <v>504</v>
      </c>
      <c r="I229" s="1112">
        <v>1</v>
      </c>
      <c r="J229" s="1111" t="str">
        <f t="shared" si="302"/>
        <v>Medium duty-LPG</v>
      </c>
      <c r="K229" s="1111">
        <v>1024.9098860783799</v>
      </c>
      <c r="L229" s="1111">
        <v>1023.8416424501853</v>
      </c>
      <c r="M229" s="1111">
        <v>1002.610860283342</v>
      </c>
      <c r="N229" s="1111">
        <v>983.34438014505497</v>
      </c>
      <c r="O229" s="1111">
        <v>970.51765711223641</v>
      </c>
      <c r="P229" s="1111">
        <v>970.66880507815347</v>
      </c>
      <c r="Q229" s="1111">
        <v>970.80700116387698</v>
      </c>
      <c r="R229" s="1111">
        <v>970.84570807801265</v>
      </c>
      <c r="S229" s="1111">
        <v>970.87965809759112</v>
      </c>
      <c r="T229" s="1111">
        <f t="shared" si="364"/>
        <v>970.87965809759112</v>
      </c>
      <c r="U229" s="1111">
        <v>3.2484448279914133</v>
      </c>
      <c r="V229" s="1111">
        <v>2.1596022698342212</v>
      </c>
      <c r="W229" s="1111">
        <v>0.62505215172901885</v>
      </c>
      <c r="X229" s="1111">
        <v>0.40404331445138347</v>
      </c>
      <c r="Y229" s="1111">
        <v>0.34788628450434311</v>
      </c>
      <c r="Z229" s="1111">
        <v>0.32064175677218243</v>
      </c>
      <c r="AA229" s="1111">
        <v>0.31989050995325125</v>
      </c>
      <c r="AB229" s="1111">
        <v>0.32014894307520569</v>
      </c>
      <c r="AC229" s="1111">
        <v>0.32038736461206235</v>
      </c>
      <c r="AD229" s="1111">
        <f t="shared" si="321"/>
        <v>0.32038736461206235</v>
      </c>
      <c r="AE229" s="1111">
        <v>5.7948489428758992E-2</v>
      </c>
      <c r="AF229" s="1111">
        <v>2.4723919298954539E-2</v>
      </c>
      <c r="AG229" s="1111">
        <v>1.9040920921305056E-2</v>
      </c>
      <c r="AH229" s="1111">
        <v>6.3702531665615278E-3</v>
      </c>
      <c r="AI229" s="1111">
        <v>6.2478402934947148E-3</v>
      </c>
      <c r="AJ229" s="1111">
        <v>6.166345668648503E-3</v>
      </c>
      <c r="AK229" s="1111">
        <v>6.1673063931836801E-3</v>
      </c>
      <c r="AL229" s="1111">
        <v>6.1681857117805031E-3</v>
      </c>
      <c r="AM229" s="1111">
        <v>6.1684314408994266E-3</v>
      </c>
      <c r="AN229" s="1111">
        <v>6.1686474259003343E-3</v>
      </c>
      <c r="AO229" s="1111">
        <v>6.1686474259003343E-3</v>
      </c>
      <c r="AP229" s="1111">
        <v>0.1190158264537565</v>
      </c>
      <c r="AQ229" s="1111">
        <v>0.10075563591980095</v>
      </c>
      <c r="AR229" s="1111">
        <v>8.5090364449992392E-2</v>
      </c>
      <c r="AS229" s="1111">
        <v>7.9754963212143051E-2</v>
      </c>
      <c r="AT229" s="1111">
        <v>7.9423720740838075E-2</v>
      </c>
      <c r="AU229" s="1111">
        <v>7.9460423470200742E-2</v>
      </c>
      <c r="AV229" s="1111">
        <v>7.9486694135981986E-2</v>
      </c>
      <c r="AW229" s="1111">
        <v>7.9449539176928527E-2</v>
      </c>
      <c r="AX229" s="1111">
        <v>7.9487074138769528E-2</v>
      </c>
      <c r="AY229" s="1111">
        <v>7.9527154221948865E-2</v>
      </c>
      <c r="AZ229" s="1111">
        <v>7.9527154221948865E-2</v>
      </c>
      <c r="BA229" s="1111">
        <v>5.7580859856890439E-2</v>
      </c>
      <c r="BB229" s="1111">
        <v>4.1023733938729483E-2</v>
      </c>
      <c r="BC229" s="1111">
        <v>2.7113959704865298E-2</v>
      </c>
      <c r="BD229" s="1111">
        <v>2.2869313974904899E-2</v>
      </c>
      <c r="BE229" s="1111">
        <v>2.2684793483013801E-2</v>
      </c>
      <c r="BF229" s="1111">
        <v>2.2713987250038748E-2</v>
      </c>
      <c r="BG229" s="1111">
        <v>2.2734621437019834E-2</v>
      </c>
      <c r="BH229" s="1111">
        <v>2.2699758182424035E-2</v>
      </c>
      <c r="BI229" s="1111">
        <v>2.2732175036057987E-2</v>
      </c>
      <c r="BJ229" s="1111">
        <v>2.276708076132309E-2</v>
      </c>
      <c r="BK229" s="1111">
        <v>2.276708076132309E-2</v>
      </c>
      <c r="BL229" s="1111">
        <v>47.678155221521145</v>
      </c>
      <c r="BM229" s="1111">
        <v>28.609095013295647</v>
      </c>
      <c r="BN229" s="1111">
        <v>21.124906310888324</v>
      </c>
      <c r="BO229" s="1111">
        <v>14.961900107008688</v>
      </c>
      <c r="BP229" s="1111">
        <v>13.109541779712702</v>
      </c>
      <c r="BQ229" s="1111">
        <v>13.005234196706718</v>
      </c>
      <c r="BR229" s="1111">
        <v>12.892985529905035</v>
      </c>
      <c r="BS229" s="1111">
        <v>13.083334539881974</v>
      </c>
      <c r="BT229" s="1111">
        <v>13.074652169296424</v>
      </c>
      <c r="BU229" s="1111">
        <v>13.05488552680287</v>
      </c>
      <c r="BV229" s="1111">
        <v>13.05488552680287</v>
      </c>
      <c r="BW229" s="1111">
        <v>1.8226650732841354</v>
      </c>
      <c r="BX229" s="1111">
        <v>1.1809143065556256</v>
      </c>
      <c r="BY229" s="1111">
        <v>0.79278777998526584</v>
      </c>
      <c r="BZ229" s="1111">
        <v>0.45614614926221181</v>
      </c>
      <c r="CA229" s="1111">
        <v>0.37818308455705596</v>
      </c>
      <c r="CB229" s="1111">
        <v>0.35764043346434599</v>
      </c>
      <c r="CC229" s="1111">
        <v>0.34736031707345472</v>
      </c>
      <c r="CD229" s="1111">
        <v>0.34477515254349145</v>
      </c>
      <c r="CE229" s="1111">
        <v>0.3465054488400755</v>
      </c>
      <c r="CF229" s="1111">
        <v>0.34846247232826794</v>
      </c>
      <c r="CG229" s="1111">
        <v>0.34846247232826794</v>
      </c>
      <c r="CH229" s="1111">
        <v>3.8620852914178952E-2</v>
      </c>
      <c r="CI229" s="1111">
        <v>3.8627783402945544E-2</v>
      </c>
      <c r="CJ229" s="1111">
        <v>3.8613051350330344E-2</v>
      </c>
      <c r="CK229" s="1111">
        <v>3.8622146935394765E-2</v>
      </c>
      <c r="CL229" s="1111">
        <v>3.8632520149477954E-2</v>
      </c>
      <c r="CM229" s="1111">
        <v>3.8634438613029676E-2</v>
      </c>
      <c r="CN229" s="1111">
        <v>3.8633795545186811E-2</v>
      </c>
      <c r="CO229" s="1111">
        <v>3.8633245219676197E-2</v>
      </c>
      <c r="CP229" s="1111">
        <v>3.863292330339977E-2</v>
      </c>
      <c r="CQ229" s="1111">
        <v>3.8632643081261714E-2</v>
      </c>
      <c r="CR229" s="1111">
        <v>3.8632643081261714E-2</v>
      </c>
      <c r="CS229" s="1111">
        <v>4.4291742677605699</v>
      </c>
      <c r="CT229" s="1111">
        <v>3.2484448279914133</v>
      </c>
      <c r="CU229" s="1111">
        <v>2.1596022698342212</v>
      </c>
      <c r="CV229" s="1111">
        <v>0.62505215172901885</v>
      </c>
      <c r="CW229" s="1111">
        <v>0.40404331445138347</v>
      </c>
      <c r="CX229" s="1111">
        <v>0.34788628450434311</v>
      </c>
      <c r="CY229" s="1111">
        <v>0.32064175677218243</v>
      </c>
      <c r="CZ229" s="1111">
        <v>0.31989050995325125</v>
      </c>
      <c r="DA229" s="1111">
        <v>0.32014894307520569</v>
      </c>
      <c r="DB229" s="1111">
        <v>0.32038736461206235</v>
      </c>
      <c r="DC229" s="1111">
        <v>0.32038736461206235</v>
      </c>
      <c r="DD229" s="1111">
        <v>8.4892895966475739E-3</v>
      </c>
      <c r="DE229" s="1111">
        <v>5.6212986616763754E-3</v>
      </c>
      <c r="DF229" s="1111">
        <v>3.3463487561708246E-3</v>
      </c>
      <c r="DG229" s="1111">
        <v>2.7660430299124659E-3</v>
      </c>
      <c r="DH229" s="1111">
        <v>2.682529091392567E-3</v>
      </c>
      <c r="DI229" s="1111">
        <v>2.703528873173607E-3</v>
      </c>
      <c r="DJ229" s="1111">
        <v>2.7128611055472259E-3</v>
      </c>
      <c r="DK229" s="1111">
        <v>2.7072751179577333E-3</v>
      </c>
      <c r="DL229" s="1111">
        <v>2.7166296978826691E-3</v>
      </c>
      <c r="DM229" s="1111">
        <v>2.7267399324404202E-3</v>
      </c>
      <c r="DN229" s="1111">
        <v>2.7267399324404202E-3</v>
      </c>
      <c r="DO229" s="1111">
        <v>2.7529093789717789E-2</v>
      </c>
      <c r="DP229" s="1111">
        <v>1.8547410667972192E-2</v>
      </c>
      <c r="DQ229" s="1111">
        <v>1.0623092960258752E-2</v>
      </c>
      <c r="DR229" s="1111">
        <v>8.2487146441313514E-3</v>
      </c>
      <c r="DS229" s="1111">
        <v>8.1824854069421117E-3</v>
      </c>
      <c r="DT229" s="1111">
        <v>8.1902625366083396E-3</v>
      </c>
      <c r="DU229" s="1111">
        <v>8.1985958492518836E-3</v>
      </c>
      <c r="DV229" s="1111">
        <v>8.1775758900627226E-3</v>
      </c>
      <c r="DW229" s="1111">
        <v>8.1943266682995095E-3</v>
      </c>
      <c r="DX229" s="1111">
        <v>8.2124081867554939E-3</v>
      </c>
      <c r="DY229" s="1111">
        <v>8.2124081867554939E-3</v>
      </c>
      <c r="DZ229" s="1111">
        <v>7.2850976862382816E-2</v>
      </c>
      <c r="EA229" s="1111">
        <v>2.3247256819711605E-2</v>
      </c>
      <c r="EB229" s="1111">
        <v>1.7922222186484007E-2</v>
      </c>
      <c r="EC229" s="1111">
        <v>1.8672233355716359E-2</v>
      </c>
      <c r="ED229" s="1111">
        <v>1.8714907624014312E-2</v>
      </c>
      <c r="EE229" s="1111">
        <v>1.8697083426745816E-2</v>
      </c>
      <c r="EF229" s="1111">
        <v>1.833681175454855E-2</v>
      </c>
      <c r="EG229" s="1111">
        <v>1.8522163599694705E-2</v>
      </c>
      <c r="EH229" s="1111">
        <v>1.8560680786894514E-2</v>
      </c>
      <c r="EI229" s="1111">
        <v>1.8594044483779569E-2</v>
      </c>
      <c r="EJ229" s="1111">
        <v>1.8594044483779569E-2</v>
      </c>
      <c r="EK229" s="1111">
        <v>1023.1964313892872</v>
      </c>
      <c r="EL229" s="1111">
        <f t="shared" si="343"/>
        <v>1024.9098860783799</v>
      </c>
      <c r="EM229" s="1111">
        <f t="shared" si="344"/>
        <v>1023.8416424501853</v>
      </c>
      <c r="EN229" s="1111">
        <f t="shared" si="345"/>
        <v>1002.610860283342</v>
      </c>
      <c r="EO229" s="1111">
        <f t="shared" si="346"/>
        <v>983.34438014505497</v>
      </c>
      <c r="EP229" s="1111">
        <f t="shared" si="347"/>
        <v>970.51765711223641</v>
      </c>
      <c r="EQ229" s="1111">
        <f t="shared" si="348"/>
        <v>970.66880507815347</v>
      </c>
      <c r="ER229" s="1111">
        <f t="shared" si="349"/>
        <v>970.80700116387698</v>
      </c>
      <c r="ES229" s="1111">
        <f t="shared" si="350"/>
        <v>970.84570807801265</v>
      </c>
      <c r="ET229" s="1111">
        <f t="shared" si="351"/>
        <v>970.87965809759112</v>
      </c>
      <c r="EU229" s="1111">
        <f t="shared" si="352"/>
        <v>970.87965809759112</v>
      </c>
      <c r="EV229" s="1111">
        <v>4.4291742677605699</v>
      </c>
      <c r="EW229" s="1111">
        <f t="shared" si="333"/>
        <v>3.2484448279914133</v>
      </c>
      <c r="EX229" s="1111">
        <f t="shared" si="334"/>
        <v>2.1596022698342212</v>
      </c>
      <c r="EY229" s="1111">
        <f t="shared" si="335"/>
        <v>0.62505215172901885</v>
      </c>
      <c r="EZ229" s="1111">
        <f t="shared" si="336"/>
        <v>0.40404331445138347</v>
      </c>
      <c r="FA229" s="1111">
        <f t="shared" si="337"/>
        <v>0.34788628450434311</v>
      </c>
      <c r="FB229" s="1111">
        <f t="shared" si="338"/>
        <v>0.32064175677218243</v>
      </c>
      <c r="FC229" s="1111">
        <f t="shared" si="339"/>
        <v>0.31989050995325125</v>
      </c>
      <c r="FD229" s="1111">
        <f t="shared" si="340"/>
        <v>0.32014894307520569</v>
      </c>
      <c r="FE229" s="1111">
        <f t="shared" si="341"/>
        <v>0.32038736461206235</v>
      </c>
      <c r="FF229" s="1111">
        <f t="shared" si="342"/>
        <v>0.32038736461206235</v>
      </c>
      <c r="FG229" s="1111">
        <f t="shared" si="291"/>
        <v>5.7948489428758992E-2</v>
      </c>
      <c r="FH229" s="1111">
        <f t="shared" si="292"/>
        <v>2.4723919298954539E-2</v>
      </c>
      <c r="FI229" s="1111">
        <f t="shared" si="293"/>
        <v>1.9040920921305056E-2</v>
      </c>
      <c r="FJ229" s="1111">
        <f t="shared" si="294"/>
        <v>6.3702531665615278E-3</v>
      </c>
      <c r="FK229" s="1111">
        <f t="shared" si="295"/>
        <v>6.2478402934947148E-3</v>
      </c>
      <c r="FL229" s="1111">
        <f t="shared" si="296"/>
        <v>6.166345668648503E-3</v>
      </c>
      <c r="FM229" s="1111">
        <f t="shared" si="297"/>
        <v>6.1673063931836801E-3</v>
      </c>
      <c r="FN229" s="1111">
        <f t="shared" si="298"/>
        <v>6.1681857117805031E-3</v>
      </c>
      <c r="FO229" s="1111">
        <f t="shared" si="299"/>
        <v>6.1684314408994266E-3</v>
      </c>
      <c r="FP229" s="1111">
        <f t="shared" si="300"/>
        <v>6.1686474259003343E-3</v>
      </c>
      <c r="FQ229" s="1111">
        <f t="shared" si="301"/>
        <v>6.1686474259003343E-3</v>
      </c>
      <c r="FR229" s="1111">
        <f t="shared" si="322"/>
        <v>0.1190158264537565</v>
      </c>
      <c r="FS229" s="1111">
        <f t="shared" si="323"/>
        <v>0.10075563591980095</v>
      </c>
      <c r="FT229" s="1111">
        <f t="shared" si="324"/>
        <v>8.5090364449992392E-2</v>
      </c>
      <c r="FU229" s="1111">
        <f t="shared" si="325"/>
        <v>7.9754963212143051E-2</v>
      </c>
      <c r="FV229" s="1111">
        <f t="shared" si="326"/>
        <v>7.9423720740838075E-2</v>
      </c>
      <c r="FW229" s="1111">
        <f t="shared" si="327"/>
        <v>7.9460423470200742E-2</v>
      </c>
      <c r="FX229" s="1111">
        <f t="shared" si="328"/>
        <v>7.9486694135981986E-2</v>
      </c>
      <c r="FY229" s="1111">
        <f t="shared" si="329"/>
        <v>7.9449539176928527E-2</v>
      </c>
      <c r="FZ229" s="1111">
        <f t="shared" si="330"/>
        <v>7.9487074138769528E-2</v>
      </c>
      <c r="GA229" s="1111">
        <f t="shared" si="331"/>
        <v>7.9527154221948865E-2</v>
      </c>
      <c r="GB229" s="1111">
        <f t="shared" si="332"/>
        <v>7.9527154221948865E-2</v>
      </c>
      <c r="GC229" s="1111">
        <f t="shared" si="353"/>
        <v>5.7580859856890439E-2</v>
      </c>
      <c r="GD229" s="1111">
        <f t="shared" si="354"/>
        <v>4.1023733938729483E-2</v>
      </c>
      <c r="GE229" s="1111">
        <f t="shared" si="355"/>
        <v>2.7113959704865298E-2</v>
      </c>
      <c r="GF229" s="1111">
        <f t="shared" si="356"/>
        <v>2.2869313974904899E-2</v>
      </c>
      <c r="GG229" s="1111">
        <f t="shared" si="357"/>
        <v>2.2684793483013801E-2</v>
      </c>
      <c r="GH229" s="1111">
        <f t="shared" si="358"/>
        <v>2.2713987250038748E-2</v>
      </c>
      <c r="GI229" s="1111">
        <f t="shared" si="359"/>
        <v>2.2734621437019834E-2</v>
      </c>
      <c r="GJ229" s="1111">
        <f t="shared" si="360"/>
        <v>2.2699758182424035E-2</v>
      </c>
      <c r="GK229" s="1111">
        <f t="shared" si="361"/>
        <v>2.2732175036057987E-2</v>
      </c>
      <c r="GL229" s="1111">
        <f t="shared" si="362"/>
        <v>2.276708076132309E-2</v>
      </c>
      <c r="GM229" s="1111">
        <f t="shared" si="363"/>
        <v>2.276708076132309E-2</v>
      </c>
    </row>
    <row r="230" spans="1:195" x14ac:dyDescent="0.2">
      <c r="A230" s="1071" t="s">
        <v>182</v>
      </c>
      <c r="B230" s="1071" t="str">
        <f>Technologies!C143</f>
        <v>THSGSL10</v>
      </c>
      <c r="C230" s="1071" t="str">
        <f>Technologies!D143</f>
        <v>Heavy Truck, Short Haul, Gasoline, 2010</v>
      </c>
      <c r="D230" s="1071" t="str">
        <f>NewTech!D96</f>
        <v>bn-vmt, bn-vmt/a</v>
      </c>
      <c r="E230" s="1071" t="str">
        <f>Commodities!C47</f>
        <v>THGSL</v>
      </c>
      <c r="F230" s="1071" t="s">
        <v>98</v>
      </c>
      <c r="G230" s="1110" t="s">
        <v>505</v>
      </c>
      <c r="H230" s="1110" t="s">
        <v>500</v>
      </c>
      <c r="I230" s="1112">
        <v>1</v>
      </c>
      <c r="J230" s="1111" t="str">
        <f t="shared" si="302"/>
        <v>Heavy duty short haul truck-GSL</v>
      </c>
      <c r="K230" s="1111">
        <f>SUMIFS(NewEmisData!E:E, NewEmisData!$A:$A, $G230, NewEmisData!$B:$B, $A230, NewEmisData!$C:$C, $H230, NewEmisData!$D:$D, K$6)</f>
        <v>1261.7193045716699</v>
      </c>
      <c r="L230" s="1111">
        <f>SUMIFS(NewEmisData!F:F, NewEmisData!$A:$A, $G230, NewEmisData!$B:$B, $A230, NewEmisData!$C:$C, $H230, NewEmisData!$D:$D, L$6)</f>
        <v>1249.12075772399</v>
      </c>
      <c r="M230" s="1111">
        <f>SUMIFS(NewEmisData!G:G, NewEmisData!$A:$A, $G230, NewEmisData!$B:$B, $A230, NewEmisData!$C:$C, $H230, NewEmisData!$D:$D, M$6)</f>
        <v>1645.5452306145801</v>
      </c>
      <c r="N230" s="1111">
        <f>SUMIFS(NewEmisData!H:H, NewEmisData!$A:$A, $G230, NewEmisData!$B:$B, $A230, NewEmisData!$C:$C, $H230, NewEmisData!$D:$D, N$6)</f>
        <v>1615.5067230397001</v>
      </c>
      <c r="O230" s="1111">
        <f>SUMIFS(NewEmisData!I:I, NewEmisData!$A:$A, $G230, NewEmisData!$B:$B, $A230, NewEmisData!$C:$C, $H230, NewEmisData!$D:$D, O$6)</f>
        <v>1561.96512576184</v>
      </c>
      <c r="P230" s="1111">
        <f>SUMIFS(NewEmisData!J:J, NewEmisData!$A:$A, $G230, NewEmisData!$B:$B, $A230, NewEmisData!$C:$C, $H230, NewEmisData!$D:$D, P$6)</f>
        <v>1548.35062809069</v>
      </c>
      <c r="Q230" s="1111">
        <f>SUMIFS(NewEmisData!K:K, NewEmisData!$A:$A, $G230, NewEmisData!$B:$B, $A230, NewEmisData!$C:$C, $H230, NewEmisData!$D:$D, Q$6)</f>
        <v>1545.11245308096</v>
      </c>
      <c r="R230" s="1111">
        <f>SUMIFS(NewEmisData!L:L, NewEmisData!$A:$A, $G230, NewEmisData!$B:$B, $A230, NewEmisData!$C:$C, $H230, NewEmisData!$D:$D, R$6)</f>
        <v>1544.5579062120401</v>
      </c>
      <c r="S230" s="1111">
        <f>SUMIFS(NewEmisData!M:M, NewEmisData!$A:$A, $G230, NewEmisData!$B:$B, $A230, NewEmisData!$C:$C, $H230, NewEmisData!$D:$D, S$6)</f>
        <v>1544.55231111378</v>
      </c>
      <c r="T230" s="1111">
        <f t="shared" si="364"/>
        <v>1544.55231111378</v>
      </c>
      <c r="U230" s="1111">
        <f>SUMIFS(NewEmisData!E:E, NewEmisData!$A:$A, $G230, NewEmisData!$B:$B, $A230, NewEmisData!$C:$C, $H230, NewEmisData!$D:$D, U$6)</f>
        <v>5.0421157380649202</v>
      </c>
      <c r="V230" s="1111">
        <f>SUMIFS(NewEmisData!F:F, NewEmisData!$A:$A, $G230, NewEmisData!$B:$B, $A230, NewEmisData!$C:$C, $H230, NewEmisData!$D:$D, V$6)</f>
        <v>2.6891275593082402</v>
      </c>
      <c r="W230" s="1111">
        <f>SUMIFS(NewEmisData!G:G, NewEmisData!$A:$A, $G230, NewEmisData!$B:$B, $A230, NewEmisData!$C:$C, $H230, NewEmisData!$D:$D, W$6)</f>
        <v>1.59672970269866</v>
      </c>
      <c r="X230" s="1111">
        <f>SUMIFS(NewEmisData!H:H, NewEmisData!$A:$A, $G230, NewEmisData!$B:$B, $A230, NewEmisData!$C:$C, $H230, NewEmisData!$D:$D, X$6)</f>
        <v>1.2533988169049</v>
      </c>
      <c r="Y230" s="1111">
        <f>SUMIFS(NewEmisData!I:I, NewEmisData!$A:$A, $G230, NewEmisData!$B:$B, $A230, NewEmisData!$C:$C, $H230, NewEmisData!$D:$D, Y$6)</f>
        <v>1.1377603861924299</v>
      </c>
      <c r="Z230" s="1111">
        <f>SUMIFS(NewEmisData!J:J, NewEmisData!$A:$A, $G230, NewEmisData!$B:$B, $A230, NewEmisData!$C:$C, $H230, NewEmisData!$D:$D, Z$6)</f>
        <v>1.11657517091755</v>
      </c>
      <c r="AA230" s="1111">
        <f>SUMIFS(NewEmisData!K:K, NewEmisData!$A:$A, $G230, NewEmisData!$B:$B, $A230, NewEmisData!$C:$C, $H230, NewEmisData!$D:$D, AA$6)</f>
        <v>1.10785037464988</v>
      </c>
      <c r="AB230" s="1111">
        <f>SUMIFS(NewEmisData!L:L, NewEmisData!$A:$A, $G230, NewEmisData!$B:$B, $A230, NewEmisData!$C:$C, $H230, NewEmisData!$D:$D, AB$6)</f>
        <v>1.10808970467776</v>
      </c>
      <c r="AC230" s="1111">
        <f>SUMIFS(NewEmisData!M:M, NewEmisData!$A:$A, $G230, NewEmisData!$B:$B, $A230, NewEmisData!$C:$C, $H230, NewEmisData!$D:$D, AC$6)</f>
        <v>1.10829058082377</v>
      </c>
      <c r="AD230" s="1111">
        <f t="shared" si="321"/>
        <v>1.10829058082377</v>
      </c>
      <c r="AE230" s="1111">
        <f t="shared" ref="AE230:AE244" si="365">AF230</f>
        <v>2.18321680952577E-2</v>
      </c>
      <c r="AF230" s="1111">
        <f>SUMIFS(NewEmisData!E:E, NewEmisData!$A:$A, $G230, NewEmisData!$B:$B, $A230, NewEmisData!$C:$C, $H230, NewEmisData!$D:$D, AF$6)</f>
        <v>2.18321680952577E-2</v>
      </c>
      <c r="AG230" s="1111">
        <f>SUMIFS(NewEmisData!F:F, NewEmisData!$A:$A, $G230, NewEmisData!$B:$B, $A230, NewEmisData!$C:$C, $H230, NewEmisData!$D:$D, AG$6)</f>
        <v>2.1614175028351099E-2</v>
      </c>
      <c r="AH230" s="1111">
        <f>SUMIFS(NewEmisData!G:G, NewEmisData!$A:$A, $G230, NewEmisData!$B:$B, $A230, NewEmisData!$C:$C, $H230, NewEmisData!$D:$D, AH$6)</f>
        <v>2.3606201662977298E-2</v>
      </c>
      <c r="AI230" s="1111">
        <f>SUMIFS(NewEmisData!H:H, NewEmisData!$A:$A, $G230, NewEmisData!$B:$B, $A230, NewEmisData!$C:$C, $H230, NewEmisData!$D:$D, AI$6)</f>
        <v>2.3175292056127901E-2</v>
      </c>
      <c r="AJ230" s="1111">
        <f>SUMIFS(NewEmisData!I:I, NewEmisData!$A:$A, $G230, NewEmisData!$B:$B, $A230, NewEmisData!$C:$C, $H230, NewEmisData!$D:$D, AJ$6)</f>
        <v>2.2407191257778802E-2</v>
      </c>
      <c r="AK230" s="1111">
        <f>SUMIFS(NewEmisData!J:J, NewEmisData!$A:$A, $G230, NewEmisData!$B:$B, $A230, NewEmisData!$C:$C, $H230, NewEmisData!$D:$D, AK$6)</f>
        <v>2.2211896644643399E-2</v>
      </c>
      <c r="AL230" s="1111">
        <f>SUMIFS(NewEmisData!K:K, NewEmisData!$A:$A, $G230, NewEmisData!$B:$B, $A230, NewEmisData!$C:$C, $H230, NewEmisData!$D:$D, AL$6)</f>
        <v>2.21654317430676E-2</v>
      </c>
      <c r="AM230" s="1111">
        <f>SUMIFS(NewEmisData!L:L, NewEmisData!$A:$A, $G230, NewEmisData!$B:$B, $A230, NewEmisData!$C:$C, $H230, NewEmisData!$D:$D, AM$6)</f>
        <v>2.21574783013113E-2</v>
      </c>
      <c r="AN230" s="1111">
        <f>SUMIFS(NewEmisData!M:M, NewEmisData!$A:$A, $G230, NewEmisData!$B:$B, $A230, NewEmisData!$C:$C, $H230, NewEmisData!$D:$D, AN$6)</f>
        <v>2.21574091915673E-2</v>
      </c>
      <c r="AO230" s="1111">
        <f t="shared" ref="AO230:AO244" si="366">AN230</f>
        <v>2.21574091915673E-2</v>
      </c>
      <c r="AP230" s="1111">
        <f t="shared" ref="AP230:AP244" si="367">AQ230</f>
        <v>0.37498220674272298</v>
      </c>
      <c r="AQ230" s="1111">
        <f>SUMIFS(NewEmisData!E:E, NewEmisData!$A:$A, $G230, NewEmisData!$B:$B, $A230, NewEmisData!$C:$C, $H230, NewEmisData!$D:$D, AQ$6)</f>
        <v>0.37498220674272298</v>
      </c>
      <c r="AR230" s="1111">
        <f>SUMIFS(NewEmisData!F:F, NewEmisData!$A:$A, $G230, NewEmisData!$B:$B, $A230, NewEmisData!$C:$C, $H230, NewEmisData!$D:$D, AR$6)</f>
        <v>0.30800096091118401</v>
      </c>
      <c r="AS230" s="1111">
        <f>SUMIFS(NewEmisData!G:G, NewEmisData!$A:$A, $G230, NewEmisData!$B:$B, $A230, NewEmisData!$C:$C, $H230, NewEmisData!$D:$D, AS$6)</f>
        <v>0.47876990917977102</v>
      </c>
      <c r="AT230" s="1111">
        <f>SUMIFS(NewEmisData!H:H, NewEmisData!$A:$A, $G230, NewEmisData!$B:$B, $A230, NewEmisData!$C:$C, $H230, NewEmisData!$D:$D, AT$6)</f>
        <v>0.47474601446343401</v>
      </c>
      <c r="AU230" s="1111">
        <f>SUMIFS(NewEmisData!I:I, NewEmisData!$A:$A, $G230, NewEmisData!$B:$B, $A230, NewEmisData!$C:$C, $H230, NewEmisData!$D:$D, AU$6)</f>
        <v>0.462592935753106</v>
      </c>
      <c r="AV230" s="1111">
        <f>SUMIFS(NewEmisData!J:J, NewEmisData!$A:$A, $G230, NewEmisData!$B:$B, $A230, NewEmisData!$C:$C, $H230, NewEmisData!$D:$D, AV$6)</f>
        <v>0.45943594701357998</v>
      </c>
      <c r="AW230" s="1111">
        <f>SUMIFS(NewEmisData!K:K, NewEmisData!$A:$A, $G230, NewEmisData!$B:$B, $A230, NewEmisData!$C:$C, $H230, NewEmisData!$D:$D, AW$6)</f>
        <v>0.45873466896290599</v>
      </c>
      <c r="AX230" s="1111">
        <f>SUMIFS(NewEmisData!L:L, NewEmisData!$A:$A, $G230, NewEmisData!$B:$B, $A230, NewEmisData!$C:$C, $H230, NewEmisData!$D:$D, AX$6)</f>
        <v>0.45859669819349802</v>
      </c>
      <c r="AY230" s="1111">
        <f>SUMIFS(NewEmisData!M:M, NewEmisData!$A:$A, $G230, NewEmisData!$B:$B, $A230, NewEmisData!$C:$C, $H230, NewEmisData!$D:$D, AY$6)</f>
        <v>0.458612118231494</v>
      </c>
      <c r="AZ230" s="1111">
        <f t="shared" ref="AZ230:AZ244" si="368">AY230</f>
        <v>0.458612118231494</v>
      </c>
      <c r="BA230" s="1111">
        <f t="shared" ref="BA230:BA244" si="369">BB230</f>
        <v>0.110253629274602</v>
      </c>
      <c r="BB230" s="1111">
        <f>SUMIFS(NewEmisData!E:E, NewEmisData!$A:$A, $G230, NewEmisData!$B:$B, $A230, NewEmisData!$C:$C, $H230, NewEmisData!$D:$D, BB$6)</f>
        <v>0.110253629274602</v>
      </c>
      <c r="BC230" s="1111">
        <f>SUMIFS(NewEmisData!F:F, NewEmisData!$A:$A, $G230, NewEmisData!$B:$B, $A230, NewEmisData!$C:$C, $H230, NewEmisData!$D:$D, BC$6)</f>
        <v>5.10415619775157E-2</v>
      </c>
      <c r="BD230" s="1111">
        <f>SUMIFS(NewEmisData!G:G, NewEmisData!$A:$A, $G230, NewEmisData!$B:$B, $A230, NewEmisData!$C:$C, $H230, NewEmisData!$D:$D, BD$6)</f>
        <v>6.9684988099320805E-2</v>
      </c>
      <c r="BE230" s="1111">
        <f>SUMIFS(NewEmisData!H:H, NewEmisData!$A:$A, $G230, NewEmisData!$B:$B, $A230, NewEmisData!$C:$C, $H230, NewEmisData!$D:$D, BE$6)</f>
        <v>6.9040658676098196E-2</v>
      </c>
      <c r="BF230" s="1111">
        <f>SUMIFS(NewEmisData!I:I, NewEmisData!$A:$A, $G230, NewEmisData!$B:$B, $A230, NewEmisData!$C:$C, $H230, NewEmisData!$D:$D, BF$6)</f>
        <v>6.6765177638673803E-2</v>
      </c>
      <c r="BG230" s="1111">
        <f>SUMIFS(NewEmisData!J:J, NewEmisData!$A:$A, $G230, NewEmisData!$B:$B, $A230, NewEmisData!$C:$C, $H230, NewEmisData!$D:$D, BG$6)</f>
        <v>6.6229434848786198E-2</v>
      </c>
      <c r="BH230" s="1111">
        <f>SUMIFS(NewEmisData!K:K, NewEmisData!$A:$A, $G230, NewEmisData!$B:$B, $A230, NewEmisData!$C:$C, $H230, NewEmisData!$D:$D, BH$6)</f>
        <v>6.6102443905475594E-2</v>
      </c>
      <c r="BI230" s="1111">
        <f>SUMIFS(NewEmisData!L:L, NewEmisData!$A:$A, $G230, NewEmisData!$B:$B, $A230, NewEmisData!$C:$C, $H230, NewEmisData!$D:$D, BI$6)</f>
        <v>6.6105381584131498E-2</v>
      </c>
      <c r="BJ230" s="1111">
        <f>SUMIFS(NewEmisData!M:M, NewEmisData!$A:$A, $G230, NewEmisData!$B:$B, $A230, NewEmisData!$C:$C, $H230, NewEmisData!$D:$D, BJ$6)</f>
        <v>6.6121307340381005E-2</v>
      </c>
      <c r="BK230" s="1111">
        <f t="shared" ref="BK230:BK244" si="370">BJ230</f>
        <v>6.6121307340381005E-2</v>
      </c>
      <c r="BL230" s="1111">
        <f t="shared" ref="BL230:BL244" si="371">BM230</f>
        <v>58.234105162975901</v>
      </c>
      <c r="BM230" s="1111">
        <f>SUMIFS(NewEmisData!E:E, NewEmisData!$A:$A, $G230, NewEmisData!$B:$B, $A230, NewEmisData!$C:$C, $H230, NewEmisData!$D:$D, BM$6)</f>
        <v>58.234105162975901</v>
      </c>
      <c r="BN230" s="1111">
        <f>SUMIFS(NewEmisData!F:F, NewEmisData!$A:$A, $G230, NewEmisData!$B:$B, $A230, NewEmisData!$C:$C, $H230, NewEmisData!$D:$D, BN$6)</f>
        <v>33.622567193752097</v>
      </c>
      <c r="BO230" s="1111">
        <f>SUMIFS(NewEmisData!G:G, NewEmisData!$A:$A, $G230, NewEmisData!$B:$B, $A230, NewEmisData!$C:$C, $H230, NewEmisData!$D:$D, BO$6)</f>
        <v>22.365559009141499</v>
      </c>
      <c r="BP230" s="1111">
        <f>SUMIFS(NewEmisData!H:H, NewEmisData!$A:$A, $G230, NewEmisData!$B:$B, $A230, NewEmisData!$C:$C, $H230, NewEmisData!$D:$D, BP$6)</f>
        <v>20.003128322257201</v>
      </c>
      <c r="BQ230" s="1111">
        <f>SUMIFS(NewEmisData!I:I, NewEmisData!$A:$A, $G230, NewEmisData!$B:$B, $A230, NewEmisData!$C:$C, $H230, NewEmisData!$D:$D, BQ$6)</f>
        <v>20.195447260462402</v>
      </c>
      <c r="BR230" s="1111">
        <f>SUMIFS(NewEmisData!J:J, NewEmisData!$A:$A, $G230, NewEmisData!$B:$B, $A230, NewEmisData!$C:$C, $H230, NewEmisData!$D:$D, BR$6)</f>
        <v>20.8243673392587</v>
      </c>
      <c r="BS230" s="1111">
        <f>SUMIFS(NewEmisData!K:K, NewEmisData!$A:$A, $G230, NewEmisData!$B:$B, $A230, NewEmisData!$C:$C, $H230, NewEmisData!$D:$D, BS$6)</f>
        <v>20.9804766424047</v>
      </c>
      <c r="BT230" s="1111">
        <f>SUMIFS(NewEmisData!L:L, NewEmisData!$A:$A, $G230, NewEmisData!$B:$B, $A230, NewEmisData!$C:$C, $H230, NewEmisData!$D:$D, BT$6)</f>
        <v>21.2133429593407</v>
      </c>
      <c r="BU230" s="1111">
        <f>SUMIFS(NewEmisData!M:M, NewEmisData!$A:$A, $G230, NewEmisData!$B:$B, $A230, NewEmisData!$C:$C, $H230, NewEmisData!$D:$D, BU$6)</f>
        <v>21.2954024378494</v>
      </c>
      <c r="BV230" s="1111">
        <f t="shared" ref="BV230:BV244" si="372">BU230</f>
        <v>21.2954024378494</v>
      </c>
      <c r="BW230" s="1111">
        <f t="shared" ref="BW230:BW244" si="373">BX230</f>
        <v>3.64761393243701</v>
      </c>
      <c r="BX230" s="1111">
        <f>SUMIFS(NewEmisData!E:E, NewEmisData!$A:$A, $G230, NewEmisData!$B:$B, $A230, NewEmisData!$C:$C, $H230, NewEmisData!$D:$D, BX$6)</f>
        <v>3.64761393243701</v>
      </c>
      <c r="BY230" s="1111">
        <f>SUMIFS(NewEmisData!F:F, NewEmisData!$A:$A, $G230, NewEmisData!$B:$B, $A230, NewEmisData!$C:$C, $H230, NewEmisData!$D:$D, BY$6)</f>
        <v>1.49818839927699</v>
      </c>
      <c r="BZ230" s="1111">
        <f>SUMIFS(NewEmisData!G:G, NewEmisData!$A:$A, $G230, NewEmisData!$B:$B, $A230, NewEmisData!$C:$C, $H230, NewEmisData!$D:$D, BZ$6)</f>
        <v>0.86599323443475895</v>
      </c>
      <c r="CA230" s="1111">
        <f>SUMIFS(NewEmisData!H:H, NewEmisData!$A:$A, $G230, NewEmisData!$B:$B, $A230, NewEmisData!$C:$C, $H230, NewEmisData!$D:$D, CA$6)</f>
        <v>0.66124009173105702</v>
      </c>
      <c r="CB230" s="1111">
        <f>SUMIFS(NewEmisData!I:I, NewEmisData!$A:$A, $G230, NewEmisData!$B:$B, $A230, NewEmisData!$C:$C, $H230, NewEmisData!$D:$D, CB$6)</f>
        <v>0.59061098160806302</v>
      </c>
      <c r="CC230" s="1111">
        <f>SUMIFS(NewEmisData!J:J, NewEmisData!$A:$A, $G230, NewEmisData!$B:$B, $A230, NewEmisData!$C:$C, $H230, NewEmisData!$D:$D, CC$6)</f>
        <v>0.58137460363365601</v>
      </c>
      <c r="CD230" s="1111">
        <f>SUMIFS(NewEmisData!K:K, NewEmisData!$A:$A, $G230, NewEmisData!$B:$B, $A230, NewEmisData!$C:$C, $H230, NewEmisData!$D:$D, CD$6)</f>
        <v>0.57503033366723</v>
      </c>
      <c r="CE230" s="1111">
        <f>SUMIFS(NewEmisData!L:L, NewEmisData!$A:$A, $G230, NewEmisData!$B:$B, $A230, NewEmisData!$C:$C, $H230, NewEmisData!$D:$D, CE$6)</f>
        <v>0.578080207454851</v>
      </c>
      <c r="CF230" s="1111">
        <f>SUMIFS(NewEmisData!M:M, NewEmisData!$A:$A, $G230, NewEmisData!$B:$B, $A230, NewEmisData!$C:$C, $H230, NewEmisData!$D:$D, CF$6)</f>
        <v>0.57875611374779701</v>
      </c>
      <c r="CG230" s="1111">
        <f t="shared" ref="CG230:CG244" si="374">CF230</f>
        <v>0.57875611374779701</v>
      </c>
      <c r="CH230" s="1111">
        <f t="shared" ref="CH230:CH244" si="375">CI230</f>
        <v>4.5387333445833802E-2</v>
      </c>
      <c r="CI230" s="1111">
        <f>SUMIFS(NewEmisData!E:E, NewEmisData!$A:$A, $G230, NewEmisData!$B:$B, $A230, NewEmisData!$C:$C, $H230, NewEmisData!$D:$D, CI$6)</f>
        <v>4.5387333445833802E-2</v>
      </c>
      <c r="CJ230" s="1111">
        <f>SUMIFS(NewEmisData!F:F, NewEmisData!$A:$A, $G230, NewEmisData!$B:$B, $A230, NewEmisData!$C:$C, $H230, NewEmisData!$D:$D, CJ$6)</f>
        <v>4.5385137405685602E-2</v>
      </c>
      <c r="CK230" s="1111">
        <f>SUMIFS(NewEmisData!G:G, NewEmisData!$A:$A, $G230, NewEmisData!$B:$B, $A230, NewEmisData!$C:$C, $H230, NewEmisData!$D:$D, CK$6)</f>
        <v>6.2585802863492496E-2</v>
      </c>
      <c r="CL230" s="1111">
        <f>SUMIFS(NewEmisData!H:H, NewEmisData!$A:$A, $G230, NewEmisData!$B:$B, $A230, NewEmisData!$C:$C, $H230, NewEmisData!$D:$D, CL$6)</f>
        <v>6.2570457425533493E-2</v>
      </c>
      <c r="CM230" s="1111">
        <f>SUMIFS(NewEmisData!I:I, NewEmisData!$A:$A, $G230, NewEmisData!$B:$B, $A230, NewEmisData!$C:$C, $H230, NewEmisData!$D:$D, CM$6)</f>
        <v>6.2526825017837198E-2</v>
      </c>
      <c r="CN230" s="1111">
        <f>SUMIFS(NewEmisData!J:J, NewEmisData!$A:$A, $G230, NewEmisData!$B:$B, $A230, NewEmisData!$C:$C, $H230, NewEmisData!$D:$D, CN$6)</f>
        <v>6.2515199827795506E-2</v>
      </c>
      <c r="CO230" s="1111">
        <f>SUMIFS(NewEmisData!K:K, NewEmisData!$A:$A, $G230, NewEmisData!$B:$B, $A230, NewEmisData!$C:$C, $H230, NewEmisData!$D:$D, CO$6)</f>
        <v>6.2512659799535894E-2</v>
      </c>
      <c r="CP230" s="1111">
        <f>SUMIFS(NewEmisData!L:L, NewEmisData!$A:$A, $G230, NewEmisData!$B:$B, $A230, NewEmisData!$C:$C, $H230, NewEmisData!$D:$D, CP$6)</f>
        <v>6.2511995706699006E-2</v>
      </c>
      <c r="CQ230" s="1111">
        <f>SUMIFS(NewEmisData!M:M, NewEmisData!$A:$A, $G230, NewEmisData!$B:$B, $A230, NewEmisData!$C:$C, $H230, NewEmisData!$D:$D, CQ$6)</f>
        <v>6.2512032461297801E-2</v>
      </c>
      <c r="CR230" s="1111">
        <f t="shared" ref="CR230:CR244" si="376">CQ230</f>
        <v>6.2512032461297801E-2</v>
      </c>
      <c r="CS230" s="1111">
        <f t="shared" ref="CS230:CS244" si="377">CT230</f>
        <v>7.45806670433007E-2</v>
      </c>
      <c r="CT230" s="1111">
        <f>SUMIFS(NewEmisData!E:E, NewEmisData!$A:$A, $G230, NewEmisData!$B:$B, $A230, NewEmisData!$C:$C, $H230, NewEmisData!$D:$D, CT$6)</f>
        <v>7.45806670433007E-2</v>
      </c>
      <c r="CU230" s="1111">
        <f>SUMIFS(NewEmisData!F:F, NewEmisData!$A:$A, $G230, NewEmisData!$B:$B, $A230, NewEmisData!$C:$C, $H230, NewEmisData!$D:$D, CU$6)</f>
        <v>4.11694236212614E-2</v>
      </c>
      <c r="CV230" s="1111">
        <f>SUMIFS(NewEmisData!G:G, NewEmisData!$A:$A, $G230, NewEmisData!$B:$B, $A230, NewEmisData!$C:$C, $H230, NewEmisData!$D:$D, CV$6)</f>
        <v>2.8985978458602801E-2</v>
      </c>
      <c r="CW230" s="1111">
        <f>SUMIFS(NewEmisData!H:H, NewEmisData!$A:$A, $G230, NewEmisData!$B:$B, $A230, NewEmisData!$C:$C, $H230, NewEmisData!$D:$D, CW$6)</f>
        <v>2.0012914871466302E-2</v>
      </c>
      <c r="CX230" s="1111">
        <f>SUMIFS(NewEmisData!I:I, NewEmisData!$A:$A, $G230, NewEmisData!$B:$B, $A230, NewEmisData!$C:$C, $H230, NewEmisData!$D:$D, CX$6)</f>
        <v>1.70994949062814E-2</v>
      </c>
      <c r="CY230" s="1111">
        <f>SUMIFS(NewEmisData!J:J, NewEmisData!$A:$A, $G230, NewEmisData!$B:$B, $A230, NewEmisData!$C:$C, $H230, NewEmisData!$D:$D, CY$6)</f>
        <v>1.6621401634368399E-2</v>
      </c>
      <c r="CZ230" s="1111">
        <f>SUMIFS(NewEmisData!K:K, NewEmisData!$A:$A, $G230, NewEmisData!$B:$B, $A230, NewEmisData!$C:$C, $H230, NewEmisData!$D:$D, CZ$6)</f>
        <v>1.62276934153717E-2</v>
      </c>
      <c r="DA230" s="1111">
        <f>SUMIFS(NewEmisData!L:L, NewEmisData!$A:$A, $G230, NewEmisData!$B:$B, $A230, NewEmisData!$C:$C, $H230, NewEmisData!$D:$D, DA$6)</f>
        <v>1.6300252431035001E-2</v>
      </c>
      <c r="DB230" s="1111">
        <f>SUMIFS(NewEmisData!M:M, NewEmisData!$A:$A, $G230, NewEmisData!$B:$B, $A230, NewEmisData!$C:$C, $H230, NewEmisData!$D:$D, DB$6)</f>
        <v>1.6326186183154599E-2</v>
      </c>
      <c r="DC230" s="1111">
        <f t="shared" ref="DC230:DC244" si="378">DB230</f>
        <v>1.6326186183154599E-2</v>
      </c>
      <c r="DD230" s="1111">
        <v>8.4618435807310901E-3</v>
      </c>
      <c r="DE230" s="1111">
        <v>5.582477734601141E-3</v>
      </c>
      <c r="DF230" s="1111">
        <v>3.3037857638444934E-3</v>
      </c>
      <c r="DG230" s="1111">
        <v>2.7435421434771584E-3</v>
      </c>
      <c r="DH230" s="1111">
        <v>2.6596327326652057E-3</v>
      </c>
      <c r="DI230" s="1111">
        <v>2.6810534446588602E-3</v>
      </c>
      <c r="DJ230" s="1111">
        <v>2.68992317602929E-3</v>
      </c>
      <c r="DK230" s="1111">
        <v>2.6843011275704282E-3</v>
      </c>
      <c r="DL230" s="1111">
        <v>2.693521842385466E-3</v>
      </c>
      <c r="DM230" s="1111">
        <v>2.7034957820921053E-3</v>
      </c>
      <c r="DN230" s="1111">
        <v>2.7034957820921053E-3</v>
      </c>
      <c r="DO230" s="1111">
        <v>2.733686553814714E-2</v>
      </c>
      <c r="DP230" s="1111">
        <v>1.8332271788011459E-2</v>
      </c>
      <c r="DQ230" s="1111">
        <v>1.0522373499872563E-2</v>
      </c>
      <c r="DR230" s="1111">
        <v>8.2106858583474232E-3</v>
      </c>
      <c r="DS230" s="1111">
        <v>8.1464823839333782E-3</v>
      </c>
      <c r="DT230" s="1111">
        <v>8.1548441301475764E-3</v>
      </c>
      <c r="DU230" s="1111">
        <v>8.1625855885729438E-3</v>
      </c>
      <c r="DV230" s="1111">
        <v>8.1414389894490409E-3</v>
      </c>
      <c r="DW230" s="1111">
        <v>8.1579958309337917E-3</v>
      </c>
      <c r="DX230" s="1111">
        <v>8.1758856290748885E-3</v>
      </c>
      <c r="DY230" s="1111">
        <v>8.1758856290748885E-3</v>
      </c>
      <c r="DZ230" s="1111">
        <f t="shared" ref="DZ230:DZ244" si="379">EA230</f>
        <v>0.17782774655845099</v>
      </c>
      <c r="EA230" s="1111">
        <f>SUMIFS(NewEmisData!E:E, NewEmisData!$A:$A, $G230, NewEmisData!$B:$B, $A230, NewEmisData!$C:$C, $H230, NewEmisData!$D:$D, EA$6)</f>
        <v>0.17782774655845099</v>
      </c>
      <c r="EB230" s="1111">
        <f>SUMIFS(NewEmisData!F:F, NewEmisData!$A:$A, $G230, NewEmisData!$B:$B, $A230, NewEmisData!$C:$C, $H230, NewEmisData!$D:$D, EB$6)</f>
        <v>4.9445543705968001E-2</v>
      </c>
      <c r="EC230" s="1111">
        <f>SUMIFS(NewEmisData!G:G, NewEmisData!$A:$A, $G230, NewEmisData!$B:$B, $A230, NewEmisData!$C:$C, $H230, NewEmisData!$D:$D, EC$6)</f>
        <v>2.14914790323418E-2</v>
      </c>
      <c r="ED230" s="1111">
        <f>SUMIFS(NewEmisData!H:H, NewEmisData!$A:$A, $G230, NewEmisData!$B:$B, $A230, NewEmisData!$C:$C, $H230, NewEmisData!$D:$D, ED$6)</f>
        <v>1.74631086819735E-2</v>
      </c>
      <c r="EE230" s="1111">
        <f>SUMIFS(NewEmisData!I:I, NewEmisData!$A:$A, $G230, NewEmisData!$B:$B, $A230, NewEmisData!$C:$C, $H230, NewEmisData!$D:$D, EE$6)</f>
        <v>1.7306502140019699E-2</v>
      </c>
      <c r="EF230" s="1111">
        <f>SUMIFS(NewEmisData!J:J, NewEmisData!$A:$A, $G230, NewEmisData!$B:$B, $A230, NewEmisData!$C:$C, $H230, NewEmisData!$D:$D, EF$6)</f>
        <v>1.77413796860907E-2</v>
      </c>
      <c r="EG230" s="1111">
        <f>SUMIFS(NewEmisData!K:K, NewEmisData!$A:$A, $G230, NewEmisData!$B:$B, $A230, NewEmisData!$C:$C, $H230, NewEmisData!$D:$D, EG$6)</f>
        <v>1.7873917726394802E-2</v>
      </c>
      <c r="EH230" s="1111">
        <f>SUMIFS(NewEmisData!L:L, NewEmisData!$A:$A, $G230, NewEmisData!$B:$B, $A230, NewEmisData!$C:$C, $H230, NewEmisData!$D:$D, EH$6)</f>
        <v>1.8044608652160399E-2</v>
      </c>
      <c r="EI230" s="1111">
        <f>SUMIFS(NewEmisData!M:M, NewEmisData!$A:$A, $G230, NewEmisData!$B:$B, $A230, NewEmisData!$C:$C, $H230, NewEmisData!$D:$D, EI$6)</f>
        <v>1.8102357634055401E-2</v>
      </c>
      <c r="EJ230" s="1111">
        <f t="shared" ref="EJ230:EJ244" si="380">EI230</f>
        <v>1.8102357634055401E-2</v>
      </c>
      <c r="EK230" s="1111">
        <f t="shared" ref="EK230:EK244" si="381">EL230</f>
        <v>1261.7193045716699</v>
      </c>
      <c r="EL230" s="1111">
        <f t="shared" si="343"/>
        <v>1261.7193045716699</v>
      </c>
      <c r="EM230" s="1111">
        <f t="shared" si="344"/>
        <v>1249.12075772399</v>
      </c>
      <c r="EN230" s="1111">
        <f t="shared" si="345"/>
        <v>1645.5452306145801</v>
      </c>
      <c r="EO230" s="1111">
        <f t="shared" si="346"/>
        <v>1615.5067230397001</v>
      </c>
      <c r="EP230" s="1111">
        <f t="shared" si="347"/>
        <v>1561.96512576184</v>
      </c>
      <c r="EQ230" s="1111">
        <f t="shared" si="348"/>
        <v>1548.35062809069</v>
      </c>
      <c r="ER230" s="1111">
        <f t="shared" si="349"/>
        <v>1545.11245308096</v>
      </c>
      <c r="ES230" s="1111">
        <f t="shared" si="350"/>
        <v>1544.5579062120401</v>
      </c>
      <c r="ET230" s="1111">
        <f t="shared" si="351"/>
        <v>1544.55231111378</v>
      </c>
      <c r="EU230" s="1111">
        <f t="shared" si="352"/>
        <v>1544.55231111378</v>
      </c>
      <c r="EV230" s="1111">
        <f t="shared" ref="EV230:EV244" si="382">EW230</f>
        <v>5.0421157380649202</v>
      </c>
      <c r="EW230" s="1111">
        <f t="shared" si="333"/>
        <v>5.0421157380649202</v>
      </c>
      <c r="EX230" s="1111">
        <f t="shared" si="334"/>
        <v>2.6891275593082402</v>
      </c>
      <c r="EY230" s="1111">
        <f t="shared" si="335"/>
        <v>1.59672970269866</v>
      </c>
      <c r="EZ230" s="1111">
        <f t="shared" si="336"/>
        <v>1.2533988169049</v>
      </c>
      <c r="FA230" s="1111">
        <f t="shared" si="337"/>
        <v>1.1377603861924299</v>
      </c>
      <c r="FB230" s="1111">
        <f t="shared" si="338"/>
        <v>1.11657517091755</v>
      </c>
      <c r="FC230" s="1111">
        <f t="shared" si="339"/>
        <v>1.10785037464988</v>
      </c>
      <c r="FD230" s="1111">
        <f t="shared" si="340"/>
        <v>1.10808970467776</v>
      </c>
      <c r="FE230" s="1111">
        <f t="shared" si="341"/>
        <v>1.10829058082377</v>
      </c>
      <c r="FF230" s="1111">
        <f t="shared" si="342"/>
        <v>1.10829058082377</v>
      </c>
      <c r="FG230" s="1111">
        <f t="shared" si="291"/>
        <v>2.18321680952577E-2</v>
      </c>
      <c r="FH230" s="1111">
        <f t="shared" si="292"/>
        <v>2.18321680952577E-2</v>
      </c>
      <c r="FI230" s="1111">
        <f t="shared" si="293"/>
        <v>2.1614175028351099E-2</v>
      </c>
      <c r="FJ230" s="1111">
        <f t="shared" si="294"/>
        <v>2.3606201662977298E-2</v>
      </c>
      <c r="FK230" s="1111">
        <f t="shared" si="295"/>
        <v>2.3175292056127901E-2</v>
      </c>
      <c r="FL230" s="1111">
        <f t="shared" si="296"/>
        <v>2.2407191257778802E-2</v>
      </c>
      <c r="FM230" s="1111">
        <f t="shared" si="297"/>
        <v>2.2211896644643399E-2</v>
      </c>
      <c r="FN230" s="1111">
        <f t="shared" si="298"/>
        <v>2.21654317430676E-2</v>
      </c>
      <c r="FO230" s="1111">
        <f t="shared" si="299"/>
        <v>2.21574783013113E-2</v>
      </c>
      <c r="FP230" s="1111">
        <f t="shared" si="300"/>
        <v>2.21574091915673E-2</v>
      </c>
      <c r="FQ230" s="1111">
        <f t="shared" si="301"/>
        <v>2.21574091915673E-2</v>
      </c>
      <c r="FR230" s="1111">
        <f t="shared" si="322"/>
        <v>0.37498220674272298</v>
      </c>
      <c r="FS230" s="1111">
        <f t="shared" si="323"/>
        <v>0.37498220674272298</v>
      </c>
      <c r="FT230" s="1111">
        <f t="shared" si="324"/>
        <v>0.30800096091118401</v>
      </c>
      <c r="FU230" s="1111">
        <f t="shared" si="325"/>
        <v>0.47876990917977102</v>
      </c>
      <c r="FV230" s="1111">
        <f t="shared" si="326"/>
        <v>0.47474601446343401</v>
      </c>
      <c r="FW230" s="1111">
        <f t="shared" si="327"/>
        <v>0.462592935753106</v>
      </c>
      <c r="FX230" s="1111">
        <f t="shared" si="328"/>
        <v>0.45943594701357998</v>
      </c>
      <c r="FY230" s="1111">
        <f t="shared" si="329"/>
        <v>0.45873466896290599</v>
      </c>
      <c r="FZ230" s="1111">
        <f t="shared" si="330"/>
        <v>0.45859669819349802</v>
      </c>
      <c r="GA230" s="1111">
        <f t="shared" si="331"/>
        <v>0.458612118231494</v>
      </c>
      <c r="GB230" s="1111">
        <f t="shared" si="332"/>
        <v>0.458612118231494</v>
      </c>
      <c r="GC230" s="1111">
        <f t="shared" si="353"/>
        <v>0.110253629274602</v>
      </c>
      <c r="GD230" s="1111">
        <f t="shared" si="354"/>
        <v>0.110253629274602</v>
      </c>
      <c r="GE230" s="1111">
        <f t="shared" si="355"/>
        <v>5.10415619775157E-2</v>
      </c>
      <c r="GF230" s="1111">
        <f t="shared" si="356"/>
        <v>6.9684988099320805E-2</v>
      </c>
      <c r="GG230" s="1111">
        <f t="shared" si="357"/>
        <v>6.9040658676098196E-2</v>
      </c>
      <c r="GH230" s="1111">
        <f t="shared" si="358"/>
        <v>6.6765177638673803E-2</v>
      </c>
      <c r="GI230" s="1111">
        <f t="shared" si="359"/>
        <v>6.6229434848786198E-2</v>
      </c>
      <c r="GJ230" s="1111">
        <f t="shared" si="360"/>
        <v>6.6102443905475594E-2</v>
      </c>
      <c r="GK230" s="1111">
        <f t="shared" si="361"/>
        <v>6.6105381584131498E-2</v>
      </c>
      <c r="GL230" s="1111">
        <f t="shared" si="362"/>
        <v>6.6121307340381005E-2</v>
      </c>
      <c r="GM230" s="1111">
        <f t="shared" si="363"/>
        <v>6.6121307340381005E-2</v>
      </c>
    </row>
    <row r="231" spans="1:195" x14ac:dyDescent="0.2">
      <c r="A231" s="1071" t="s">
        <v>184</v>
      </c>
      <c r="B231" s="1071" t="str">
        <f>Technologies!C143</f>
        <v>THSGSL10</v>
      </c>
      <c r="C231" s="1071" t="str">
        <f>Technologies!D143</f>
        <v>Heavy Truck, Short Haul, Gasoline, 2010</v>
      </c>
      <c r="D231" s="1071" t="str">
        <f>NewTech!D96</f>
        <v>bn-vmt, bn-vmt/a</v>
      </c>
      <c r="E231" s="1071" t="str">
        <f>Commodities!C47</f>
        <v>THGSL</v>
      </c>
      <c r="F231" s="1071" t="s">
        <v>98</v>
      </c>
      <c r="G231" s="1110" t="s">
        <v>505</v>
      </c>
      <c r="H231" s="1110" t="s">
        <v>500</v>
      </c>
      <c r="I231" s="1112">
        <v>1</v>
      </c>
      <c r="J231" s="1111" t="str">
        <f t="shared" si="302"/>
        <v>Heavy duty short haul truck-GSL</v>
      </c>
      <c r="K231" s="1111">
        <f>SUMIFS(NewEmisData!E:E, NewEmisData!$A:$A, $G231, NewEmisData!$B:$B, $A231, NewEmisData!$C:$C, $H231, NewEmisData!$D:$D, K$6)</f>
        <v>1130.1167624525301</v>
      </c>
      <c r="L231" s="1111">
        <f>SUMIFS(NewEmisData!F:F, NewEmisData!$A:$A, $G231, NewEmisData!$B:$B, $A231, NewEmisData!$C:$C, $H231, NewEmisData!$D:$D, L$6)</f>
        <v>1130.8984145920599</v>
      </c>
      <c r="M231" s="1111">
        <f>SUMIFS(NewEmisData!G:G, NewEmisData!$A:$A, $G231, NewEmisData!$B:$B, $A231, NewEmisData!$C:$C, $H231, NewEmisData!$D:$D, M$6)</f>
        <v>1405.3513402599599</v>
      </c>
      <c r="N231" s="1111">
        <f>SUMIFS(NewEmisData!H:H, NewEmisData!$A:$A, $G231, NewEmisData!$B:$B, $A231, NewEmisData!$C:$C, $H231, NewEmisData!$D:$D, N$6)</f>
        <v>1379.6052405171799</v>
      </c>
      <c r="O231" s="1111">
        <f>SUMIFS(NewEmisData!I:I, NewEmisData!$A:$A, $G231, NewEmisData!$B:$B, $A231, NewEmisData!$C:$C, $H231, NewEmisData!$D:$D, O$6)</f>
        <v>1334.4147184286501</v>
      </c>
      <c r="P231" s="1111">
        <f>SUMIFS(NewEmisData!J:J, NewEmisData!$A:$A, $G231, NewEmisData!$B:$B, $A231, NewEmisData!$C:$C, $H231, NewEmisData!$D:$D, P$6)</f>
        <v>1322.9454628220101</v>
      </c>
      <c r="Q231" s="1111">
        <f>SUMIFS(NewEmisData!K:K, NewEmisData!$A:$A, $G231, NewEmisData!$B:$B, $A231, NewEmisData!$C:$C, $H231, NewEmisData!$D:$D, Q$6)</f>
        <v>1320.2157375614299</v>
      </c>
      <c r="R231" s="1111">
        <f>SUMIFS(NewEmisData!L:L, NewEmisData!$A:$A, $G231, NewEmisData!$B:$B, $A231, NewEmisData!$C:$C, $H231, NewEmisData!$D:$D, R$6)</f>
        <v>1319.7277214958499</v>
      </c>
      <c r="S231" s="1111">
        <f>SUMIFS(NewEmisData!M:M, NewEmisData!$A:$A, $G231, NewEmisData!$B:$B, $A231, NewEmisData!$C:$C, $H231, NewEmisData!$D:$D, S$6)</f>
        <v>1319.71246990391</v>
      </c>
      <c r="T231" s="1111">
        <f t="shared" si="364"/>
        <v>1319.71246990391</v>
      </c>
      <c r="U231" s="1111">
        <f>SUMIFS(NewEmisData!E:E, NewEmisData!$A:$A, $G231, NewEmisData!$B:$B, $A231, NewEmisData!$C:$C, $H231, NewEmisData!$D:$D, U$6)</f>
        <v>4.0566113456988298</v>
      </c>
      <c r="V231" s="1111">
        <f>SUMIFS(NewEmisData!F:F, NewEmisData!$A:$A, $G231, NewEmisData!$B:$B, $A231, NewEmisData!$C:$C, $H231, NewEmisData!$D:$D, V$6)</f>
        <v>2.5724270871349901</v>
      </c>
      <c r="W231" s="1111">
        <f>SUMIFS(NewEmisData!G:G, NewEmisData!$A:$A, $G231, NewEmisData!$B:$B, $A231, NewEmisData!$C:$C, $H231, NewEmisData!$D:$D, W$6)</f>
        <v>1.4424895677524801</v>
      </c>
      <c r="X231" s="1111">
        <f>SUMIFS(NewEmisData!H:H, NewEmisData!$A:$A, $G231, NewEmisData!$B:$B, $A231, NewEmisData!$C:$C, $H231, NewEmisData!$D:$D, X$6)</f>
        <v>1.13924742539507</v>
      </c>
      <c r="Y231" s="1111">
        <f>SUMIFS(NewEmisData!I:I, NewEmisData!$A:$A, $G231, NewEmisData!$B:$B, $A231, NewEmisData!$C:$C, $H231, NewEmisData!$D:$D, Y$6)</f>
        <v>1.03965564636638</v>
      </c>
      <c r="Z231" s="1111">
        <f>SUMIFS(NewEmisData!J:J, NewEmisData!$A:$A, $G231, NewEmisData!$B:$B, $A231, NewEmisData!$C:$C, $H231, NewEmisData!$D:$D, Z$6)</f>
        <v>1.02198349229239</v>
      </c>
      <c r="AA231" s="1111">
        <f>SUMIFS(NewEmisData!K:K, NewEmisData!$A:$A, $G231, NewEmisData!$B:$B, $A231, NewEmisData!$C:$C, $H231, NewEmisData!$D:$D, AA$6)</f>
        <v>1.0148563657413801</v>
      </c>
      <c r="AB231" s="1111">
        <f>SUMIFS(NewEmisData!L:L, NewEmisData!$A:$A, $G231, NewEmisData!$B:$B, $A231, NewEmisData!$C:$C, $H231, NewEmisData!$D:$D, AB$6)</f>
        <v>1.01503532465236</v>
      </c>
      <c r="AC231" s="1111">
        <f>SUMIFS(NewEmisData!M:M, NewEmisData!$A:$A, $G231, NewEmisData!$B:$B, $A231, NewEmisData!$C:$C, $H231, NewEmisData!$D:$D, AC$6)</f>
        <v>1.0151899457145299</v>
      </c>
      <c r="AD231" s="1111">
        <f t="shared" si="321"/>
        <v>1.0151899457145299</v>
      </c>
      <c r="AE231" s="1111">
        <f t="shared" si="365"/>
        <v>1.9554990283156898E-2</v>
      </c>
      <c r="AF231" s="1111">
        <f>SUMIFS(NewEmisData!E:E, NewEmisData!$A:$A, $G231, NewEmisData!$B:$B, $A231, NewEmisData!$C:$C, $H231, NewEmisData!$D:$D, AF$6)</f>
        <v>1.9554990283156898E-2</v>
      </c>
      <c r="AG231" s="1111">
        <f>SUMIFS(NewEmisData!F:F, NewEmisData!$A:$A, $G231, NewEmisData!$B:$B, $A231, NewEmisData!$C:$C, $H231, NewEmisData!$D:$D, AG$6)</f>
        <v>1.95685182638505E-2</v>
      </c>
      <c r="AH231" s="1111">
        <f>SUMIFS(NewEmisData!G:G, NewEmisData!$A:$A, $G231, NewEmisData!$B:$B, $A231, NewEmisData!$C:$C, $H231, NewEmisData!$D:$D, AH$6)</f>
        <v>2.01604922584692E-2</v>
      </c>
      <c r="AI231" s="1111">
        <f>SUMIFS(NewEmisData!H:H, NewEmisData!$A:$A, $G231, NewEmisData!$B:$B, $A231, NewEmisData!$C:$C, $H231, NewEmisData!$D:$D, AI$6)</f>
        <v>1.97911521572584E-2</v>
      </c>
      <c r="AJ231" s="1111">
        <f>SUMIFS(NewEmisData!I:I, NewEmisData!$A:$A, $G231, NewEmisData!$B:$B, $A231, NewEmisData!$C:$C, $H231, NewEmisData!$D:$D, AJ$6)</f>
        <v>1.9142873562620798E-2</v>
      </c>
      <c r="AK231" s="1111">
        <f>SUMIFS(NewEmisData!J:J, NewEmisData!$A:$A, $G231, NewEmisData!$B:$B, $A231, NewEmisData!$C:$C, $H231, NewEmisData!$D:$D, AK$6)</f>
        <v>1.89783356086532E-2</v>
      </c>
      <c r="AL231" s="1111">
        <f>SUMIFS(NewEmisData!K:K, NewEmisData!$A:$A, $G231, NewEmisData!$B:$B, $A231, NewEmisData!$C:$C, $H231, NewEmisData!$D:$D, AL$6)</f>
        <v>1.8939180344523601E-2</v>
      </c>
      <c r="AM231" s="1111">
        <f>SUMIFS(NewEmisData!L:L, NewEmisData!$A:$A, $G231, NewEmisData!$B:$B, $A231, NewEmisData!$C:$C, $H231, NewEmisData!$D:$D, AM$6)</f>
        <v>1.8932175415884701E-2</v>
      </c>
      <c r="AN231" s="1111">
        <f>SUMIFS(NewEmisData!M:M, NewEmisData!$A:$A, $G231, NewEmisData!$B:$B, $A231, NewEmisData!$C:$C, $H231, NewEmisData!$D:$D, AN$6)</f>
        <v>1.89319567223225E-2</v>
      </c>
      <c r="AO231" s="1111">
        <f t="shared" si="366"/>
        <v>1.89319567223225E-2</v>
      </c>
      <c r="AP231" s="1111">
        <f t="shared" si="367"/>
        <v>0.25577646184958402</v>
      </c>
      <c r="AQ231" s="1111">
        <f>SUMIFS(NewEmisData!E:E, NewEmisData!$A:$A, $G231, NewEmisData!$B:$B, $A231, NewEmisData!$C:$C, $H231, NewEmisData!$D:$D, AQ$6)</f>
        <v>0.25577646184958402</v>
      </c>
      <c r="AR231" s="1111">
        <f>SUMIFS(NewEmisData!F:F, NewEmisData!$A:$A, $G231, NewEmisData!$B:$B, $A231, NewEmisData!$C:$C, $H231, NewEmisData!$D:$D, AR$6)</f>
        <v>0.23859206785442999</v>
      </c>
      <c r="AS231" s="1111">
        <f>SUMIFS(NewEmisData!G:G, NewEmisData!$A:$A, $G231, NewEmisData!$B:$B, $A231, NewEmisData!$C:$C, $H231, NewEmisData!$D:$D, AS$6)</f>
        <v>0.351764857744302</v>
      </c>
      <c r="AT231" s="1111">
        <f>SUMIFS(NewEmisData!H:H, NewEmisData!$A:$A, $G231, NewEmisData!$B:$B, $A231, NewEmisData!$C:$C, $H231, NewEmisData!$D:$D, AT$6)</f>
        <v>0.34931824303782499</v>
      </c>
      <c r="AU231" s="1111">
        <f>SUMIFS(NewEmisData!I:I, NewEmisData!$A:$A, $G231, NewEmisData!$B:$B, $A231, NewEmisData!$C:$C, $H231, NewEmisData!$D:$D, AU$6)</f>
        <v>0.34154946312290901</v>
      </c>
      <c r="AV231" s="1111">
        <f>SUMIFS(NewEmisData!J:J, NewEmisData!$A:$A, $G231, NewEmisData!$B:$B, $A231, NewEmisData!$C:$C, $H231, NewEmisData!$D:$D, AV$6)</f>
        <v>0.33956199269290699</v>
      </c>
      <c r="AW231" s="1111">
        <f>SUMIFS(NewEmisData!K:K, NewEmisData!$A:$A, $G231, NewEmisData!$B:$B, $A231, NewEmisData!$C:$C, $H231, NewEmisData!$D:$D, AW$6)</f>
        <v>0.33912280958847202</v>
      </c>
      <c r="AX231" s="1111">
        <f>SUMIFS(NewEmisData!L:L, NewEmisData!$A:$A, $G231, NewEmisData!$B:$B, $A231, NewEmisData!$C:$C, $H231, NewEmisData!$D:$D, AX$6)</f>
        <v>0.33904138785011401</v>
      </c>
      <c r="AY231" s="1111">
        <f>SUMIFS(NewEmisData!M:M, NewEmisData!$A:$A, $G231, NewEmisData!$B:$B, $A231, NewEmisData!$C:$C, $H231, NewEmisData!$D:$D, AY$6)</f>
        <v>0.33905343527213999</v>
      </c>
      <c r="AZ231" s="1111">
        <f t="shared" si="368"/>
        <v>0.33905343527213999</v>
      </c>
      <c r="BA231" s="1111">
        <f t="shared" si="369"/>
        <v>5.4814467904693999E-2</v>
      </c>
      <c r="BB231" s="1111">
        <f>SUMIFS(NewEmisData!E:E, NewEmisData!$A:$A, $G231, NewEmisData!$B:$B, $A231, NewEmisData!$C:$C, $H231, NewEmisData!$D:$D, BB$6)</f>
        <v>5.4814467904693999E-2</v>
      </c>
      <c r="BC231" s="1111">
        <f>SUMIFS(NewEmisData!F:F, NewEmisData!$A:$A, $G231, NewEmisData!$B:$B, $A231, NewEmisData!$C:$C, $H231, NewEmisData!$D:$D, BC$6)</f>
        <v>3.9660843522864801E-2</v>
      </c>
      <c r="BD231" s="1111">
        <f>SUMIFS(NewEmisData!G:G, NewEmisData!$A:$A, $G231, NewEmisData!$B:$B, $A231, NewEmisData!$C:$C, $H231, NewEmisData!$D:$D, BD$6)</f>
        <v>5.2889801360665199E-2</v>
      </c>
      <c r="BE231" s="1111">
        <f>SUMIFS(NewEmisData!H:H, NewEmisData!$A:$A, $G231, NewEmisData!$B:$B, $A231, NewEmisData!$C:$C, $H231, NewEmisData!$D:$D, BE$6)</f>
        <v>5.2551386947303103E-2</v>
      </c>
      <c r="BF231" s="1111">
        <f>SUMIFS(NewEmisData!I:I, NewEmisData!$A:$A, $G231, NewEmisData!$B:$B, $A231, NewEmisData!$C:$C, $H231, NewEmisData!$D:$D, BF$6)</f>
        <v>5.0945334073008497E-2</v>
      </c>
      <c r="BG231" s="1111">
        <f>SUMIFS(NewEmisData!J:J, NewEmisData!$A:$A, $G231, NewEmisData!$B:$B, $A231, NewEmisData!$C:$C, $H231, NewEmisData!$D:$D, BG$6)</f>
        <v>5.0580577350149397E-2</v>
      </c>
      <c r="BH231" s="1111">
        <f>SUMIFS(NewEmisData!K:K, NewEmisData!$A:$A, $G231, NewEmisData!$B:$B, $A231, NewEmisData!$C:$C, $H231, NewEmisData!$D:$D, BH$6)</f>
        <v>5.0495841537682197E-2</v>
      </c>
      <c r="BI231" s="1111">
        <f>SUMIFS(NewEmisData!L:L, NewEmisData!$A:$A, $G231, NewEmisData!$B:$B, $A231, NewEmisData!$C:$C, $H231, NewEmisData!$D:$D, BI$6)</f>
        <v>5.0500593811481399E-2</v>
      </c>
      <c r="BJ231" s="1111">
        <f>SUMIFS(NewEmisData!M:M, NewEmisData!$A:$A, $G231, NewEmisData!$B:$B, $A231, NewEmisData!$C:$C, $H231, NewEmisData!$D:$D, BJ$6)</f>
        <v>5.0513012114000298E-2</v>
      </c>
      <c r="BK231" s="1111">
        <f t="shared" si="370"/>
        <v>5.0513012114000298E-2</v>
      </c>
      <c r="BL231" s="1111">
        <f t="shared" si="371"/>
        <v>32.184051509772999</v>
      </c>
      <c r="BM231" s="1111">
        <f>SUMIFS(NewEmisData!E:E, NewEmisData!$A:$A, $G231, NewEmisData!$B:$B, $A231, NewEmisData!$C:$C, $H231, NewEmisData!$D:$D, BM$6)</f>
        <v>32.184051509772999</v>
      </c>
      <c r="BN231" s="1111">
        <f>SUMIFS(NewEmisData!F:F, NewEmisData!$A:$A, $G231, NewEmisData!$B:$B, $A231, NewEmisData!$C:$C, $H231, NewEmisData!$D:$D, BN$6)</f>
        <v>25.790545556992701</v>
      </c>
      <c r="BO231" s="1111">
        <f>SUMIFS(NewEmisData!G:G, NewEmisData!$A:$A, $G231, NewEmisData!$B:$B, $A231, NewEmisData!$C:$C, $H231, NewEmisData!$D:$D, BO$6)</f>
        <v>17.593987471051999</v>
      </c>
      <c r="BP231" s="1111">
        <f>SUMIFS(NewEmisData!H:H, NewEmisData!$A:$A, $G231, NewEmisData!$B:$B, $A231, NewEmisData!$C:$C, $H231, NewEmisData!$D:$D, BP$6)</f>
        <v>15.548032809457499</v>
      </c>
      <c r="BQ231" s="1111">
        <f>SUMIFS(NewEmisData!I:I, NewEmisData!$A:$A, $G231, NewEmisData!$B:$B, $A231, NewEmisData!$C:$C, $H231, NewEmisData!$D:$D, BQ$6)</f>
        <v>15.5605262464888</v>
      </c>
      <c r="BR231" s="1111">
        <f>SUMIFS(NewEmisData!J:J, NewEmisData!$A:$A, $G231, NewEmisData!$B:$B, $A231, NewEmisData!$C:$C, $H231, NewEmisData!$D:$D, BR$6)</f>
        <v>15.9871963814061</v>
      </c>
      <c r="BS231" s="1111">
        <f>SUMIFS(NewEmisData!K:K, NewEmisData!$A:$A, $G231, NewEmisData!$B:$B, $A231, NewEmisData!$C:$C, $H231, NewEmisData!$D:$D, BS$6)</f>
        <v>16.091605975104901</v>
      </c>
      <c r="BT231" s="1111">
        <f>SUMIFS(NewEmisData!L:L, NewEmisData!$A:$A, $G231, NewEmisData!$B:$B, $A231, NewEmisData!$C:$C, $H231, NewEmisData!$D:$D, BT$6)</f>
        <v>16.2582160020517</v>
      </c>
      <c r="BU231" s="1111">
        <f>SUMIFS(NewEmisData!M:M, NewEmisData!$A:$A, $G231, NewEmisData!$B:$B, $A231, NewEmisData!$C:$C, $H231, NewEmisData!$D:$D, BU$6)</f>
        <v>16.317714638715799</v>
      </c>
      <c r="BV231" s="1111">
        <f t="shared" si="372"/>
        <v>16.317714638715799</v>
      </c>
      <c r="BW231" s="1111">
        <f t="shared" si="373"/>
        <v>1.6076832062105699</v>
      </c>
      <c r="BX231" s="1111">
        <f>SUMIFS(NewEmisData!E:E, NewEmisData!$A:$A, $G231, NewEmisData!$B:$B, $A231, NewEmisData!$C:$C, $H231, NewEmisData!$D:$D, BX$6)</f>
        <v>1.6076832062105699</v>
      </c>
      <c r="BY231" s="1111">
        <f>SUMIFS(NewEmisData!F:F, NewEmisData!$A:$A, $G231, NewEmisData!$B:$B, $A231, NewEmisData!$C:$C, $H231, NewEmisData!$D:$D, BY$6)</f>
        <v>1.07737691728375</v>
      </c>
      <c r="BZ231" s="1111">
        <f>SUMIFS(NewEmisData!G:G, NewEmisData!$A:$A, $G231, NewEmisData!$B:$B, $A231, NewEmisData!$C:$C, $H231, NewEmisData!$D:$D, BZ$6)</f>
        <v>0.66089486679656995</v>
      </c>
      <c r="CA231" s="1111">
        <f>SUMIFS(NewEmisData!H:H, NewEmisData!$A:$A, $G231, NewEmisData!$B:$B, $A231, NewEmisData!$C:$C, $H231, NewEmisData!$D:$D, CA$6)</f>
        <v>0.50665329469086795</v>
      </c>
      <c r="CB231" s="1111">
        <f>SUMIFS(NewEmisData!I:I, NewEmisData!$A:$A, $G231, NewEmisData!$B:$B, $A231, NewEmisData!$C:$C, $H231, NewEmisData!$D:$D, CB$6)</f>
        <v>0.45395027729947901</v>
      </c>
      <c r="CC231" s="1111">
        <f>SUMIFS(NewEmisData!J:J, NewEmisData!$A:$A, $G231, NewEmisData!$B:$B, $A231, NewEmisData!$C:$C, $H231, NewEmisData!$D:$D, CC$6)</f>
        <v>0.44710959546622903</v>
      </c>
      <c r="CD231" s="1111">
        <f>SUMIFS(NewEmisData!K:K, NewEmisData!$A:$A, $G231, NewEmisData!$B:$B, $A231, NewEmisData!$C:$C, $H231, NewEmisData!$D:$D, CD$6)</f>
        <v>0.44246515211993698</v>
      </c>
      <c r="CE231" s="1111">
        <f>SUMIFS(NewEmisData!L:L, NewEmisData!$A:$A, $G231, NewEmisData!$B:$B, $A231, NewEmisData!$C:$C, $H231, NewEmisData!$D:$D, CE$6)</f>
        <v>0.44466448973498501</v>
      </c>
      <c r="CF231" s="1111">
        <f>SUMIFS(NewEmisData!M:M, NewEmisData!$A:$A, $G231, NewEmisData!$B:$B, $A231, NewEmisData!$C:$C, $H231, NewEmisData!$D:$D, CF$6)</f>
        <v>0.44515250539012002</v>
      </c>
      <c r="CG231" s="1111">
        <f t="shared" si="374"/>
        <v>0.44515250539012002</v>
      </c>
      <c r="CH231" s="1111">
        <f t="shared" si="375"/>
        <v>4.3399422117819303E-2</v>
      </c>
      <c r="CI231" s="1111">
        <f>SUMIFS(NewEmisData!E:E, NewEmisData!$A:$A, $G231, NewEmisData!$B:$B, $A231, NewEmisData!$C:$C, $H231, NewEmisData!$D:$D, CI$6)</f>
        <v>4.3399422117819303E-2</v>
      </c>
      <c r="CJ231" s="1111">
        <f>SUMIFS(NewEmisData!F:F, NewEmisData!$A:$A, $G231, NewEmisData!$B:$B, $A231, NewEmisData!$C:$C, $H231, NewEmisData!$D:$D, CJ$6)</f>
        <v>4.3400015102987403E-2</v>
      </c>
      <c r="CK231" s="1111">
        <f>SUMIFS(NewEmisData!G:G, NewEmisData!$A:$A, $G231, NewEmisData!$B:$B, $A231, NewEmisData!$C:$C, $H231, NewEmisData!$D:$D, CK$6)</f>
        <v>5.51180775849354E-2</v>
      </c>
      <c r="CL231" s="1111">
        <f>SUMIFS(NewEmisData!H:H, NewEmisData!$A:$A, $G231, NewEmisData!$B:$B, $A231, NewEmisData!$C:$C, $H231, NewEmisData!$D:$D, CL$6)</f>
        <v>5.5092760124654402E-2</v>
      </c>
      <c r="CM231" s="1111">
        <f>SUMIFS(NewEmisData!I:I, NewEmisData!$A:$A, $G231, NewEmisData!$B:$B, $A231, NewEmisData!$C:$C, $H231, NewEmisData!$D:$D, CM$6)</f>
        <v>5.5018575060889002E-2</v>
      </c>
      <c r="CN231" s="1111">
        <f>SUMIFS(NewEmisData!J:J, NewEmisData!$A:$A, $G231, NewEmisData!$B:$B, $A231, NewEmisData!$C:$C, $H231, NewEmisData!$D:$D, CN$6)</f>
        <v>5.4999024433032603E-2</v>
      </c>
      <c r="CO231" s="1111">
        <f>SUMIFS(NewEmisData!K:K, NewEmisData!$A:$A, $G231, NewEmisData!$B:$B, $A231, NewEmisData!$C:$C, $H231, NewEmisData!$D:$D, CO$6)</f>
        <v>5.49947267932255E-2</v>
      </c>
      <c r="CP231" s="1111">
        <f>SUMIFS(NewEmisData!L:L, NewEmisData!$A:$A, $G231, NewEmisData!$B:$B, $A231, NewEmisData!$C:$C, $H231, NewEmisData!$D:$D, CP$6)</f>
        <v>5.4993686114600697E-2</v>
      </c>
      <c r="CQ231" s="1111">
        <f>SUMIFS(NewEmisData!M:M, NewEmisData!$A:$A, $G231, NewEmisData!$B:$B, $A231, NewEmisData!$C:$C, $H231, NewEmisData!$D:$D, CQ$6)</f>
        <v>5.4993670901738401E-2</v>
      </c>
      <c r="CR231" s="1111">
        <f t="shared" si="376"/>
        <v>5.4993670901738401E-2</v>
      </c>
      <c r="CS231" s="1111">
        <f t="shared" si="377"/>
        <v>4.2091134803139398E-2</v>
      </c>
      <c r="CT231" s="1111">
        <f>SUMIFS(NewEmisData!E:E, NewEmisData!$A:$A, $G231, NewEmisData!$B:$B, $A231, NewEmisData!$C:$C, $H231, NewEmisData!$D:$D, CT$6)</f>
        <v>4.2091134803139398E-2</v>
      </c>
      <c r="CU231" s="1111">
        <f>SUMIFS(NewEmisData!F:F, NewEmisData!$A:$A, $G231, NewEmisData!$B:$B, $A231, NewEmisData!$C:$C, $H231, NewEmisData!$D:$D, CU$6)</f>
        <v>2.9413368678447099E-2</v>
      </c>
      <c r="CV231" s="1111">
        <f>SUMIFS(NewEmisData!G:G, NewEmisData!$A:$A, $G231, NewEmisData!$B:$B, $A231, NewEmisData!$C:$C, $H231, NewEmisData!$D:$D, CV$6)</f>
        <v>2.1908117014146501E-2</v>
      </c>
      <c r="CW231" s="1111">
        <f>SUMIFS(NewEmisData!H:H, NewEmisData!$A:$A, $G231, NewEmisData!$B:$B, $A231, NewEmisData!$C:$C, $H231, NewEmisData!$D:$D, CW$6)</f>
        <v>1.51235650548124E-2</v>
      </c>
      <c r="CX231" s="1111">
        <f>SUMIFS(NewEmisData!I:I, NewEmisData!$A:$A, $G231, NewEmisData!$B:$B, $A231, NewEmisData!$C:$C, $H231, NewEmisData!$D:$D, CX$6)</f>
        <v>1.29093526067743E-2</v>
      </c>
      <c r="CY231" s="1111">
        <f>SUMIFS(NewEmisData!J:J, NewEmisData!$A:$A, $G231, NewEmisData!$B:$B, $A231, NewEmisData!$C:$C, $H231, NewEmisData!$D:$D, CY$6)</f>
        <v>1.25399672188876E-2</v>
      </c>
      <c r="CZ231" s="1111">
        <f>SUMIFS(NewEmisData!K:K, NewEmisData!$A:$A, $G231, NewEmisData!$B:$B, $A231, NewEmisData!$C:$C, $H231, NewEmisData!$D:$D, CZ$6)</f>
        <v>1.2248391252448299E-2</v>
      </c>
      <c r="DA231" s="1111">
        <f>SUMIFS(NewEmisData!L:L, NewEmisData!$A:$A, $G231, NewEmisData!$B:$B, $A231, NewEmisData!$C:$C, $H231, NewEmisData!$D:$D, DA$6)</f>
        <v>1.22999318738547E-2</v>
      </c>
      <c r="DB231" s="1111">
        <f>SUMIFS(NewEmisData!M:M, NewEmisData!$A:$A, $G231, NewEmisData!$B:$B, $A231, NewEmisData!$C:$C, $H231, NewEmisData!$D:$D, DB$6)</f>
        <v>1.23186618660251E-2</v>
      </c>
      <c r="DC231" s="1111">
        <f t="shared" si="378"/>
        <v>1.23186618660251E-2</v>
      </c>
      <c r="DD231" s="1111"/>
      <c r="DE231" s="1111"/>
      <c r="DF231" s="1111"/>
      <c r="DG231" s="1111"/>
      <c r="DH231" s="1111"/>
      <c r="DI231" s="1111"/>
      <c r="DJ231" s="1111"/>
      <c r="DK231" s="1111"/>
      <c r="DL231" s="1111"/>
      <c r="DM231" s="1111"/>
      <c r="DN231" s="1111"/>
      <c r="DO231" s="1111"/>
      <c r="DP231" s="1111"/>
      <c r="DQ231" s="1111"/>
      <c r="DR231" s="1111"/>
      <c r="DS231" s="1111"/>
      <c r="DT231" s="1111"/>
      <c r="DU231" s="1111"/>
      <c r="DV231" s="1111"/>
      <c r="DW231" s="1111"/>
      <c r="DX231" s="1111"/>
      <c r="DY231" s="1111"/>
      <c r="DZ231" s="1111">
        <f t="shared" si="379"/>
        <v>5.7853229299281397E-2</v>
      </c>
      <c r="EA231" s="1111">
        <f>SUMIFS(NewEmisData!E:E, NewEmisData!$A:$A, $G231, NewEmisData!$B:$B, $A231, NewEmisData!$C:$C, $H231, NewEmisData!$D:$D, EA$6)</f>
        <v>5.7853229299281397E-2</v>
      </c>
      <c r="EB231" s="1111">
        <f>SUMIFS(NewEmisData!F:F, NewEmisData!$A:$A, $G231, NewEmisData!$B:$B, $A231, NewEmisData!$C:$C, $H231, NewEmisData!$D:$D, EB$6)</f>
        <v>2.9073352809047302E-2</v>
      </c>
      <c r="EC231" s="1111">
        <f>SUMIFS(NewEmisData!G:G, NewEmisData!$A:$A, $G231, NewEmisData!$B:$B, $A231, NewEmisData!$C:$C, $H231, NewEmisData!$D:$D, EC$6)</f>
        <v>1.58088583493518E-2</v>
      </c>
      <c r="ED231" s="1111">
        <f>SUMIFS(NewEmisData!H:H, NewEmisData!$A:$A, $G231, NewEmisData!$B:$B, $A231, NewEmisData!$C:$C, $H231, NewEmisData!$D:$D, ED$6)</f>
        <v>1.27598175965856E-2</v>
      </c>
      <c r="EE231" s="1111">
        <f>SUMIFS(NewEmisData!I:I, NewEmisData!$A:$A, $G231, NewEmisData!$B:$B, $A231, NewEmisData!$C:$C, $H231, NewEmisData!$D:$D, EE$6)</f>
        <v>1.25765761718582E-2</v>
      </c>
      <c r="EF231" s="1111">
        <f>SUMIFS(NewEmisData!J:J, NewEmisData!$A:$A, $G231, NewEmisData!$B:$B, $A231, NewEmisData!$C:$C, $H231, NewEmisData!$D:$D, EF$6)</f>
        <v>1.28662791289052E-2</v>
      </c>
      <c r="EG231" s="1111">
        <f>SUMIFS(NewEmisData!K:K, NewEmisData!$A:$A, $G231, NewEmisData!$B:$B, $A231, NewEmisData!$C:$C, $H231, NewEmisData!$D:$D, EG$6)</f>
        <v>1.2955321110398099E-2</v>
      </c>
      <c r="EH231" s="1111">
        <f>SUMIFS(NewEmisData!L:L, NewEmisData!$A:$A, $G231, NewEmisData!$B:$B, $A231, NewEmisData!$C:$C, $H231, NewEmisData!$D:$D, EH$6)</f>
        <v>1.30753171444039E-2</v>
      </c>
      <c r="EI231" s="1111">
        <f>SUMIFS(NewEmisData!M:M, NewEmisData!$A:$A, $G231, NewEmisData!$B:$B, $A231, NewEmisData!$C:$C, $H231, NewEmisData!$D:$D, EI$6)</f>
        <v>1.31164603255322E-2</v>
      </c>
      <c r="EJ231" s="1111">
        <f t="shared" si="380"/>
        <v>1.31164603255322E-2</v>
      </c>
      <c r="EK231" s="1111">
        <f t="shared" si="381"/>
        <v>1130.1167624525301</v>
      </c>
      <c r="EL231" s="1111">
        <f t="shared" si="343"/>
        <v>1130.1167624525301</v>
      </c>
      <c r="EM231" s="1111">
        <f t="shared" si="344"/>
        <v>1130.8984145920599</v>
      </c>
      <c r="EN231" s="1111">
        <f t="shared" si="345"/>
        <v>1405.3513402599599</v>
      </c>
      <c r="EO231" s="1111">
        <f t="shared" si="346"/>
        <v>1379.6052405171799</v>
      </c>
      <c r="EP231" s="1111">
        <f t="shared" si="347"/>
        <v>1334.4147184286501</v>
      </c>
      <c r="EQ231" s="1111">
        <f t="shared" si="348"/>
        <v>1322.9454628220101</v>
      </c>
      <c r="ER231" s="1111">
        <f t="shared" si="349"/>
        <v>1320.2157375614299</v>
      </c>
      <c r="ES231" s="1111">
        <f t="shared" si="350"/>
        <v>1319.7277214958499</v>
      </c>
      <c r="ET231" s="1111">
        <f t="shared" si="351"/>
        <v>1319.71246990391</v>
      </c>
      <c r="EU231" s="1111">
        <f t="shared" si="352"/>
        <v>1319.71246990391</v>
      </c>
      <c r="EV231" s="1111">
        <f t="shared" si="382"/>
        <v>4.0566113456988298</v>
      </c>
      <c r="EW231" s="1111">
        <f t="shared" si="333"/>
        <v>4.0566113456988298</v>
      </c>
      <c r="EX231" s="1111">
        <f t="shared" si="334"/>
        <v>2.5724270871349901</v>
      </c>
      <c r="EY231" s="1111">
        <f t="shared" si="335"/>
        <v>1.4424895677524801</v>
      </c>
      <c r="EZ231" s="1111">
        <f t="shared" si="336"/>
        <v>1.13924742539507</v>
      </c>
      <c r="FA231" s="1111">
        <f t="shared" si="337"/>
        <v>1.03965564636638</v>
      </c>
      <c r="FB231" s="1111">
        <f t="shared" si="338"/>
        <v>1.02198349229239</v>
      </c>
      <c r="FC231" s="1111">
        <f t="shared" si="339"/>
        <v>1.0148563657413801</v>
      </c>
      <c r="FD231" s="1111">
        <f t="shared" si="340"/>
        <v>1.01503532465236</v>
      </c>
      <c r="FE231" s="1111">
        <f t="shared" si="341"/>
        <v>1.0151899457145299</v>
      </c>
      <c r="FF231" s="1111">
        <f t="shared" si="342"/>
        <v>1.0151899457145299</v>
      </c>
      <c r="FG231" s="1111">
        <f t="shared" si="291"/>
        <v>1.9554990283156898E-2</v>
      </c>
      <c r="FH231" s="1111">
        <f t="shared" si="292"/>
        <v>1.9554990283156898E-2</v>
      </c>
      <c r="FI231" s="1111">
        <f t="shared" si="293"/>
        <v>1.95685182638505E-2</v>
      </c>
      <c r="FJ231" s="1111">
        <f t="shared" si="294"/>
        <v>2.01604922584692E-2</v>
      </c>
      <c r="FK231" s="1111">
        <f t="shared" si="295"/>
        <v>1.97911521572584E-2</v>
      </c>
      <c r="FL231" s="1111">
        <f t="shared" si="296"/>
        <v>1.9142873562620798E-2</v>
      </c>
      <c r="FM231" s="1111">
        <f t="shared" si="297"/>
        <v>1.89783356086532E-2</v>
      </c>
      <c r="FN231" s="1111">
        <f t="shared" si="298"/>
        <v>1.8939180344523601E-2</v>
      </c>
      <c r="FO231" s="1111">
        <f t="shared" si="299"/>
        <v>1.8932175415884701E-2</v>
      </c>
      <c r="FP231" s="1111">
        <f t="shared" si="300"/>
        <v>1.89319567223225E-2</v>
      </c>
      <c r="FQ231" s="1111">
        <f t="shared" si="301"/>
        <v>1.89319567223225E-2</v>
      </c>
      <c r="FR231" s="1111">
        <f t="shared" si="322"/>
        <v>0.25577646184958402</v>
      </c>
      <c r="FS231" s="1111">
        <f t="shared" si="323"/>
        <v>0.25577646184958402</v>
      </c>
      <c r="FT231" s="1111">
        <f t="shared" si="324"/>
        <v>0.23859206785442999</v>
      </c>
      <c r="FU231" s="1111">
        <f t="shared" si="325"/>
        <v>0.351764857744302</v>
      </c>
      <c r="FV231" s="1111">
        <f t="shared" si="326"/>
        <v>0.34931824303782499</v>
      </c>
      <c r="FW231" s="1111">
        <f t="shared" si="327"/>
        <v>0.34154946312290901</v>
      </c>
      <c r="FX231" s="1111">
        <f t="shared" si="328"/>
        <v>0.33956199269290699</v>
      </c>
      <c r="FY231" s="1111">
        <f t="shared" si="329"/>
        <v>0.33912280958847202</v>
      </c>
      <c r="FZ231" s="1111">
        <f t="shared" si="330"/>
        <v>0.33904138785011401</v>
      </c>
      <c r="GA231" s="1111">
        <f t="shared" si="331"/>
        <v>0.33905343527213999</v>
      </c>
      <c r="GB231" s="1111">
        <f t="shared" si="332"/>
        <v>0.33905343527213999</v>
      </c>
      <c r="GC231" s="1111">
        <f t="shared" si="353"/>
        <v>5.4814467904693999E-2</v>
      </c>
      <c r="GD231" s="1111">
        <f t="shared" si="354"/>
        <v>5.4814467904693999E-2</v>
      </c>
      <c r="GE231" s="1111">
        <f t="shared" si="355"/>
        <v>3.9660843522864801E-2</v>
      </c>
      <c r="GF231" s="1111">
        <f t="shared" si="356"/>
        <v>5.2889801360665199E-2</v>
      </c>
      <c r="GG231" s="1111">
        <f t="shared" si="357"/>
        <v>5.2551386947303103E-2</v>
      </c>
      <c r="GH231" s="1111">
        <f t="shared" si="358"/>
        <v>5.0945334073008497E-2</v>
      </c>
      <c r="GI231" s="1111">
        <f t="shared" si="359"/>
        <v>5.0580577350149397E-2</v>
      </c>
      <c r="GJ231" s="1111">
        <f t="shared" si="360"/>
        <v>5.0495841537682197E-2</v>
      </c>
      <c r="GK231" s="1111">
        <f t="shared" si="361"/>
        <v>5.0500593811481399E-2</v>
      </c>
      <c r="GL231" s="1111">
        <f t="shared" si="362"/>
        <v>5.0513012114000298E-2</v>
      </c>
      <c r="GM231" s="1111">
        <f t="shared" si="363"/>
        <v>5.0513012114000298E-2</v>
      </c>
    </row>
    <row r="232" spans="1:195" x14ac:dyDescent="0.2">
      <c r="A232" s="1071" t="s">
        <v>186</v>
      </c>
      <c r="B232" s="1071" t="str">
        <f>Technologies!C143</f>
        <v>THSGSL10</v>
      </c>
      <c r="C232" s="1071" t="str">
        <f>Technologies!D143</f>
        <v>Heavy Truck, Short Haul, Gasoline, 2010</v>
      </c>
      <c r="D232" s="1071" t="str">
        <f>NewTech!D96</f>
        <v>bn-vmt, bn-vmt/a</v>
      </c>
      <c r="E232" s="1071" t="str">
        <f>Commodities!C47</f>
        <v>THGSL</v>
      </c>
      <c r="F232" s="1071" t="s">
        <v>98</v>
      </c>
      <c r="G232" s="1110" t="s">
        <v>505</v>
      </c>
      <c r="H232" s="1110" t="s">
        <v>500</v>
      </c>
      <c r="I232" s="1112">
        <v>1</v>
      </c>
      <c r="J232" s="1111" t="str">
        <f t="shared" si="302"/>
        <v>Heavy duty short haul truck-GSL</v>
      </c>
      <c r="K232" s="1111">
        <f>SUMIFS(NewEmisData!E:E, NewEmisData!$A:$A, $G232, NewEmisData!$B:$B, $A232, NewEmisData!$C:$C, $H232, NewEmisData!$D:$D, K$6)</f>
        <v>1638.3455086040899</v>
      </c>
      <c r="L232" s="1111">
        <f>SUMIFS(NewEmisData!F:F, NewEmisData!$A:$A, $G232, NewEmisData!$B:$B, $A232, NewEmisData!$C:$C, $H232, NewEmisData!$D:$D, L$6)</f>
        <v>1597.91146698485</v>
      </c>
      <c r="M232" s="1111">
        <f>SUMIFS(NewEmisData!G:G, NewEmisData!$A:$A, $G232, NewEmisData!$B:$B, $A232, NewEmisData!$C:$C, $H232, NewEmisData!$D:$D, M$6)</f>
        <v>1675.8815285015601</v>
      </c>
      <c r="N232" s="1111">
        <f>SUMIFS(NewEmisData!H:H, NewEmisData!$A:$A, $G232, NewEmisData!$B:$B, $A232, NewEmisData!$C:$C, $H232, NewEmisData!$D:$D, N$6)</f>
        <v>1650.32431693742</v>
      </c>
      <c r="O232" s="1111">
        <f>SUMIFS(NewEmisData!I:I, NewEmisData!$A:$A, $G232, NewEmisData!$B:$B, $A232, NewEmisData!$C:$C, $H232, NewEmisData!$D:$D, O$6)</f>
        <v>1614.69992415768</v>
      </c>
      <c r="P232" s="1111">
        <f>SUMIFS(NewEmisData!J:J, NewEmisData!$A:$A, $G232, NewEmisData!$B:$B, $A232, NewEmisData!$C:$C, $H232, NewEmisData!$D:$D, P$6)</f>
        <v>1606.15558948889</v>
      </c>
      <c r="Q232" s="1111">
        <f>SUMIFS(NewEmisData!K:K, NewEmisData!$A:$A, $G232, NewEmisData!$B:$B, $A232, NewEmisData!$C:$C, $H232, NewEmisData!$D:$D, Q$6)</f>
        <v>1604.0186206973899</v>
      </c>
      <c r="R232" s="1111">
        <f>SUMIFS(NewEmisData!L:L, NewEmisData!$A:$A, $G232, NewEmisData!$B:$B, $A232, NewEmisData!$C:$C, $H232, NewEmisData!$D:$D, R$6)</f>
        <v>1603.71196653328</v>
      </c>
      <c r="S232" s="1111">
        <f>SUMIFS(NewEmisData!M:M, NewEmisData!$A:$A, $G232, NewEmisData!$B:$B, $A232, NewEmisData!$C:$C, $H232, NewEmisData!$D:$D, S$6)</f>
        <v>1603.6927150798599</v>
      </c>
      <c r="T232" s="1111">
        <f t="shared" si="364"/>
        <v>1603.6927150798599</v>
      </c>
      <c r="U232" s="1111">
        <f>SUMIFS(NewEmisData!E:E, NewEmisData!$A:$A, $G232, NewEmisData!$B:$B, $A232, NewEmisData!$C:$C, $H232, NewEmisData!$D:$D, U$6)</f>
        <v>9.1319765062058504</v>
      </c>
      <c r="V232" s="1111">
        <f>SUMIFS(NewEmisData!F:F, NewEmisData!$A:$A, $G232, NewEmisData!$B:$B, $A232, NewEmisData!$C:$C, $H232, NewEmisData!$D:$D, V$6)</f>
        <v>5.5211126740351997</v>
      </c>
      <c r="W232" s="1111">
        <f>SUMIFS(NewEmisData!G:G, NewEmisData!$A:$A, $G232, NewEmisData!$B:$B, $A232, NewEmisData!$C:$C, $H232, NewEmisData!$D:$D, W$6)</f>
        <v>1.6178749329459601</v>
      </c>
      <c r="X232" s="1111">
        <f>SUMIFS(NewEmisData!H:H, NewEmisData!$A:$A, $G232, NewEmisData!$B:$B, $A232, NewEmisData!$C:$C, $H232, NewEmisData!$D:$D, X$6)</f>
        <v>1.2717662893164099</v>
      </c>
      <c r="Y232" s="1111">
        <f>SUMIFS(NewEmisData!I:I, NewEmisData!$A:$A, $G232, NewEmisData!$B:$B, $A232, NewEmisData!$C:$C, $H232, NewEmisData!$D:$D, Y$6)</f>
        <v>1.1726866302876999</v>
      </c>
      <c r="Z232" s="1111">
        <f>SUMIFS(NewEmisData!J:J, NewEmisData!$A:$A, $G232, NewEmisData!$B:$B, $A232, NewEmisData!$C:$C, $H232, NewEmisData!$D:$D, Z$6)</f>
        <v>1.1568218913658399</v>
      </c>
      <c r="AA232" s="1111">
        <f>SUMIFS(NewEmisData!K:K, NewEmisData!$A:$A, $G232, NewEmisData!$B:$B, $A232, NewEmisData!$C:$C, $H232, NewEmisData!$D:$D, AA$6)</f>
        <v>1.1498419858081399</v>
      </c>
      <c r="AB232" s="1111">
        <f>SUMIFS(NewEmisData!L:L, NewEmisData!$A:$A, $G232, NewEmisData!$B:$B, $A232, NewEmisData!$C:$C, $H232, NewEmisData!$D:$D, AB$6)</f>
        <v>1.1502565377520699</v>
      </c>
      <c r="AC232" s="1111">
        <f>SUMIFS(NewEmisData!M:M, NewEmisData!$A:$A, $G232, NewEmisData!$B:$B, $A232, NewEmisData!$C:$C, $H232, NewEmisData!$D:$D, AC$6)</f>
        <v>1.15043111371947</v>
      </c>
      <c r="AD232" s="1111">
        <f t="shared" si="321"/>
        <v>1.15043111371947</v>
      </c>
      <c r="AE232" s="1111">
        <f t="shared" si="365"/>
        <v>2.8349118417612802E-2</v>
      </c>
      <c r="AF232" s="1111">
        <f>SUMIFS(NewEmisData!E:E, NewEmisData!$A:$A, $G232, NewEmisData!$B:$B, $A232, NewEmisData!$C:$C, $H232, NewEmisData!$D:$D, AF$6)</f>
        <v>2.8349118417612802E-2</v>
      </c>
      <c r="AG232" s="1111">
        <f>SUMIFS(NewEmisData!F:F, NewEmisData!$A:$A, $G232, NewEmisData!$B:$B, $A232, NewEmisData!$C:$C, $H232, NewEmisData!$D:$D, AG$6)</f>
        <v>2.7649475988106201E-2</v>
      </c>
      <c r="AH232" s="1111">
        <f>SUMIFS(NewEmisData!G:G, NewEmisData!$A:$A, $G232, NewEmisData!$B:$B, $A232, NewEmisData!$C:$C, $H232, NewEmisData!$D:$D, AH$6)</f>
        <v>2.4041393237435399E-2</v>
      </c>
      <c r="AI232" s="1111">
        <f>SUMIFS(NewEmisData!H:H, NewEmisData!$A:$A, $G232, NewEmisData!$B:$B, $A232, NewEmisData!$C:$C, $H232, NewEmisData!$D:$D, AI$6)</f>
        <v>2.3674756516432201E-2</v>
      </c>
      <c r="AJ232" s="1111">
        <f>SUMIFS(NewEmisData!I:I, NewEmisData!$A:$A, $G232, NewEmisData!$B:$B, $A232, NewEmisData!$C:$C, $H232, NewEmisData!$D:$D, AJ$6)</f>
        <v>2.3163709294895699E-2</v>
      </c>
      <c r="AK232" s="1111">
        <f>SUMIFS(NewEmisData!J:J, NewEmisData!$A:$A, $G232, NewEmisData!$B:$B, $A232, NewEmisData!$C:$C, $H232, NewEmisData!$D:$D, AK$6)</f>
        <v>2.30411322742359E-2</v>
      </c>
      <c r="AL232" s="1111">
        <f>SUMIFS(NewEmisData!K:K, NewEmisData!$A:$A, $G232, NewEmisData!$B:$B, $A232, NewEmisData!$C:$C, $H232, NewEmisData!$D:$D, AL$6)</f>
        <v>2.30104772532812E-2</v>
      </c>
      <c r="AM232" s="1111">
        <f>SUMIFS(NewEmisData!L:L, NewEmisData!$A:$A, $G232, NewEmisData!$B:$B, $A232, NewEmisData!$C:$C, $H232, NewEmisData!$D:$D, AM$6)</f>
        <v>2.3006075572322301E-2</v>
      </c>
      <c r="AN232" s="1111">
        <f>SUMIFS(NewEmisData!M:M, NewEmisData!$A:$A, $G232, NewEmisData!$B:$B, $A232, NewEmisData!$C:$C, $H232, NewEmisData!$D:$D, AN$6)</f>
        <v>2.30058103409179E-2</v>
      </c>
      <c r="AO232" s="1111">
        <f t="shared" si="366"/>
        <v>2.30058103409179E-2</v>
      </c>
      <c r="AP232" s="1111">
        <f t="shared" si="367"/>
        <v>0.73529708323819798</v>
      </c>
      <c r="AQ232" s="1111">
        <f>SUMIFS(NewEmisData!E:E, NewEmisData!$A:$A, $G232, NewEmisData!$B:$B, $A232, NewEmisData!$C:$C, $H232, NewEmisData!$D:$D, AQ$6)</f>
        <v>0.73529708323819798</v>
      </c>
      <c r="AR232" s="1111">
        <f>SUMIFS(NewEmisData!F:F, NewEmisData!$A:$A, $G232, NewEmisData!$B:$B, $A232, NewEmisData!$C:$C, $H232, NewEmisData!$D:$D, AR$6)</f>
        <v>0.50377232353792301</v>
      </c>
      <c r="AS232" s="1111">
        <f>SUMIFS(NewEmisData!G:G, NewEmisData!$A:$A, $G232, NewEmisData!$B:$B, $A232, NewEmisData!$C:$C, $H232, NewEmisData!$D:$D, AS$6)</f>
        <v>0.46277242259546703</v>
      </c>
      <c r="AT232" s="1111">
        <f>SUMIFS(NewEmisData!H:H, NewEmisData!$A:$A, $G232, NewEmisData!$B:$B, $A232, NewEmisData!$C:$C, $H232, NewEmisData!$D:$D, AT$6)</f>
        <v>0.460021400855742</v>
      </c>
      <c r="AU232" s="1111">
        <f>SUMIFS(NewEmisData!I:I, NewEmisData!$A:$A, $G232, NewEmisData!$B:$B, $A232, NewEmisData!$C:$C, $H232, NewEmisData!$D:$D, AU$6)</f>
        <v>0.452859239004402</v>
      </c>
      <c r="AV232" s="1111">
        <f>SUMIFS(NewEmisData!J:J, NewEmisData!$A:$A, $G232, NewEmisData!$B:$B, $A232, NewEmisData!$C:$C, $H232, NewEmisData!$D:$D, AV$6)</f>
        <v>0.451173530693247</v>
      </c>
      <c r="AW232" s="1111">
        <f>SUMIFS(NewEmisData!K:K, NewEmisData!$A:$A, $G232, NewEmisData!$B:$B, $A232, NewEmisData!$C:$C, $H232, NewEmisData!$D:$D, AW$6)</f>
        <v>0.450827249569491</v>
      </c>
      <c r="AX232" s="1111">
        <f>SUMIFS(NewEmisData!L:L, NewEmisData!$A:$A, $G232, NewEmisData!$B:$B, $A232, NewEmisData!$C:$C, $H232, NewEmisData!$D:$D, AX$6)</f>
        <v>0.45077517726501898</v>
      </c>
      <c r="AY232" s="1111">
        <f>SUMIFS(NewEmisData!M:M, NewEmisData!$A:$A, $G232, NewEmisData!$B:$B, $A232, NewEmisData!$C:$C, $H232, NewEmisData!$D:$D, AY$6)</f>
        <v>0.45078915116546198</v>
      </c>
      <c r="AZ232" s="1111">
        <f t="shared" si="368"/>
        <v>0.45078915116546198</v>
      </c>
      <c r="BA232" s="1111">
        <f t="shared" si="369"/>
        <v>0.32686256972546901</v>
      </c>
      <c r="BB232" s="1111">
        <f>SUMIFS(NewEmisData!E:E, NewEmisData!$A:$A, $G232, NewEmisData!$B:$B, $A232, NewEmisData!$C:$C, $H232, NewEmisData!$D:$D, BB$6)</f>
        <v>0.32686256972546901</v>
      </c>
      <c r="BC232" s="1111">
        <f>SUMIFS(NewEmisData!F:F, NewEmisData!$A:$A, $G232, NewEmisData!$B:$B, $A232, NewEmisData!$C:$C, $H232, NewEmisData!$D:$D, BC$6)</f>
        <v>0.12210843934221401</v>
      </c>
      <c r="BD232" s="1111">
        <f>SUMIFS(NewEmisData!G:G, NewEmisData!$A:$A, $G232, NewEmisData!$B:$B, $A232, NewEmisData!$C:$C, $H232, NewEmisData!$D:$D, BD$6)</f>
        <v>6.7146210191433603E-2</v>
      </c>
      <c r="BE232" s="1111">
        <f>SUMIFS(NewEmisData!H:H, NewEmisData!$A:$A, $G232, NewEmisData!$B:$B, $A232, NewEmisData!$C:$C, $H232, NewEmisData!$D:$D, BE$6)</f>
        <v>6.6587970120787598E-2</v>
      </c>
      <c r="BF232" s="1111">
        <f>SUMIFS(NewEmisData!I:I, NewEmisData!$A:$A, $G232, NewEmisData!$B:$B, $A232, NewEmisData!$C:$C, $H232, NewEmisData!$D:$D, BF$6)</f>
        <v>6.5405051516030002E-2</v>
      </c>
      <c r="BG232" s="1111">
        <f>SUMIFS(NewEmisData!J:J, NewEmisData!$A:$A, $G232, NewEmisData!$B:$B, $A232, NewEmisData!$C:$C, $H232, NewEmisData!$D:$D, BG$6)</f>
        <v>6.5233637829240507E-2</v>
      </c>
      <c r="BH232" s="1111">
        <f>SUMIFS(NewEmisData!K:K, NewEmisData!$A:$A, $G232, NewEmisData!$B:$B, $A232, NewEmisData!$C:$C, $H232, NewEmisData!$D:$D, BH$6)</f>
        <v>6.5212571890131396E-2</v>
      </c>
      <c r="BI232" s="1111">
        <f>SUMIFS(NewEmisData!L:L, NewEmisData!$A:$A, $G232, NewEmisData!$B:$B, $A232, NewEmisData!$C:$C, $H232, NewEmisData!$D:$D, BI$6)</f>
        <v>6.5238116883072003E-2</v>
      </c>
      <c r="BJ232" s="1111">
        <f>SUMIFS(NewEmisData!M:M, NewEmisData!$A:$A, $G232, NewEmisData!$B:$B, $A232, NewEmisData!$C:$C, $H232, NewEmisData!$D:$D, BJ$6)</f>
        <v>6.5252352689838797E-2</v>
      </c>
      <c r="BK232" s="1111">
        <f t="shared" si="370"/>
        <v>6.5252352689838797E-2</v>
      </c>
      <c r="BL232" s="1111">
        <f t="shared" si="371"/>
        <v>130.83848080286899</v>
      </c>
      <c r="BM232" s="1111">
        <f>SUMIFS(NewEmisData!E:E, NewEmisData!$A:$A, $G232, NewEmisData!$B:$B, $A232, NewEmisData!$C:$C, $H232, NewEmisData!$D:$D, BM$6)</f>
        <v>130.83848080286899</v>
      </c>
      <c r="BN232" s="1111">
        <f>SUMIFS(NewEmisData!F:F, NewEmisData!$A:$A, $G232, NewEmisData!$B:$B, $A232, NewEmisData!$C:$C, $H232, NewEmisData!$D:$D, BN$6)</f>
        <v>69.1513563753808</v>
      </c>
      <c r="BO232" s="1111">
        <f>SUMIFS(NewEmisData!G:G, NewEmisData!$A:$A, $G232, NewEmisData!$B:$B, $A232, NewEmisData!$C:$C, $H232, NewEmisData!$D:$D, BO$6)</f>
        <v>19.817984760190502</v>
      </c>
      <c r="BP232" s="1111">
        <f>SUMIFS(NewEmisData!H:H, NewEmisData!$A:$A, $G232, NewEmisData!$B:$B, $A232, NewEmisData!$C:$C, $H232, NewEmisData!$D:$D, BP$6)</f>
        <v>17.220719333709599</v>
      </c>
      <c r="BQ232" s="1111">
        <f>SUMIFS(NewEmisData!I:I, NewEmisData!$A:$A, $G232, NewEmisData!$B:$B, $A232, NewEmisData!$C:$C, $H232, NewEmisData!$D:$D, BQ$6)</f>
        <v>17.138637099239801</v>
      </c>
      <c r="BR232" s="1111">
        <f>SUMIFS(NewEmisData!J:J, NewEmisData!$A:$A, $G232, NewEmisData!$B:$B, $A232, NewEmisData!$C:$C, $H232, NewEmisData!$D:$D, BR$6)</f>
        <v>17.632152503072199</v>
      </c>
      <c r="BS232" s="1111">
        <f>SUMIFS(NewEmisData!K:K, NewEmisData!$A:$A, $G232, NewEmisData!$B:$B, $A232, NewEmisData!$C:$C, $H232, NewEmisData!$D:$D, BS$6)</f>
        <v>17.755687797126999</v>
      </c>
      <c r="BT232" s="1111">
        <f>SUMIFS(NewEmisData!L:L, NewEmisData!$A:$A, $G232, NewEmisData!$B:$B, $A232, NewEmisData!$C:$C, $H232, NewEmisData!$D:$D, BT$6)</f>
        <v>17.941584451804498</v>
      </c>
      <c r="BU232" s="1111">
        <f>SUMIFS(NewEmisData!M:M, NewEmisData!$A:$A, $G232, NewEmisData!$B:$B, $A232, NewEmisData!$C:$C, $H232, NewEmisData!$D:$D, BU$6)</f>
        <v>18.0048069260293</v>
      </c>
      <c r="BV232" s="1111">
        <f t="shared" si="372"/>
        <v>18.0048069260293</v>
      </c>
      <c r="BW232" s="1111">
        <f t="shared" si="373"/>
        <v>10.6632197589814</v>
      </c>
      <c r="BX232" s="1111">
        <f>SUMIFS(NewEmisData!E:E, NewEmisData!$A:$A, $G232, NewEmisData!$B:$B, $A232, NewEmisData!$C:$C, $H232, NewEmisData!$D:$D, BX$6)</f>
        <v>10.6632197589814</v>
      </c>
      <c r="BY232" s="1111">
        <f>SUMIFS(NewEmisData!F:F, NewEmisData!$A:$A, $G232, NewEmisData!$B:$B, $A232, NewEmisData!$C:$C, $H232, NewEmisData!$D:$D, BY$6)</f>
        <v>4.8239495150941396</v>
      </c>
      <c r="BZ232" s="1111">
        <f>SUMIFS(NewEmisData!G:G, NewEmisData!$A:$A, $G232, NewEmisData!$B:$B, $A232, NewEmisData!$C:$C, $H232, NewEmisData!$D:$D, BZ$6)</f>
        <v>0.81908851058061705</v>
      </c>
      <c r="CA232" s="1111">
        <f>SUMIFS(NewEmisData!H:H, NewEmisData!$A:$A, $G232, NewEmisData!$B:$B, $A232, NewEmisData!$C:$C, $H232, NewEmisData!$D:$D, CA$6)</f>
        <v>0.62586158145999404</v>
      </c>
      <c r="CB232" s="1111">
        <f>SUMIFS(NewEmisData!I:I, NewEmisData!$A:$A, $G232, NewEmisData!$B:$B, $A232, NewEmisData!$C:$C, $H232, NewEmisData!$D:$D, CB$6)</f>
        <v>0.57122462058997703</v>
      </c>
      <c r="CC232" s="1111">
        <f>SUMIFS(NewEmisData!J:J, NewEmisData!$A:$A, $G232, NewEmisData!$B:$B, $A232, NewEmisData!$C:$C, $H232, NewEmisData!$D:$D, CC$6)</f>
        <v>0.56704170620868999</v>
      </c>
      <c r="CD232" s="1111">
        <f>SUMIFS(NewEmisData!K:K, NewEmisData!$A:$A, $G232, NewEmisData!$B:$B, $A232, NewEmisData!$C:$C, $H232, NewEmisData!$D:$D, CD$6)</f>
        <v>0.56343324146208396</v>
      </c>
      <c r="CE232" s="1111">
        <f>SUMIFS(NewEmisData!L:L, NewEmisData!$A:$A, $G232, NewEmisData!$B:$B, $A232, NewEmisData!$C:$C, $H232, NewEmisData!$D:$D, CE$6)</f>
        <v>0.56643140863739405</v>
      </c>
      <c r="CF232" s="1111">
        <f>SUMIFS(NewEmisData!M:M, NewEmisData!$A:$A, $G232, NewEmisData!$B:$B, $A232, NewEmisData!$C:$C, $H232, NewEmisData!$D:$D, CF$6)</f>
        <v>0.56703635625762505</v>
      </c>
      <c r="CG232" s="1111">
        <f t="shared" si="374"/>
        <v>0.56703635625762505</v>
      </c>
      <c r="CH232" s="1111">
        <f t="shared" si="375"/>
        <v>5.78767923405668E-2</v>
      </c>
      <c r="CI232" s="1111">
        <f>SUMIFS(NewEmisData!E:E, NewEmisData!$A:$A, $G232, NewEmisData!$B:$B, $A232, NewEmisData!$C:$C, $H232, NewEmisData!$D:$D, CI$6)</f>
        <v>5.78767923405668E-2</v>
      </c>
      <c r="CJ232" s="1111">
        <f>SUMIFS(NewEmisData!F:F, NewEmisData!$A:$A, $G232, NewEmisData!$B:$B, $A232, NewEmisData!$C:$C, $H232, NewEmisData!$D:$D, CJ$6)</f>
        <v>5.7878614167795599E-2</v>
      </c>
      <c r="CK232" s="1111">
        <f>SUMIFS(NewEmisData!G:G, NewEmisData!$A:$A, $G232, NewEmisData!$B:$B, $A232, NewEmisData!$C:$C, $H232, NewEmisData!$D:$D, CK$6)</f>
        <v>6.6011734406023898E-2</v>
      </c>
      <c r="CL232" s="1111">
        <f>SUMIFS(NewEmisData!H:H, NewEmisData!$A:$A, $G232, NewEmisData!$B:$B, $A232, NewEmisData!$C:$C, $H232, NewEmisData!$D:$D, CL$6)</f>
        <v>6.6011880543447907E-2</v>
      </c>
      <c r="CM232" s="1111">
        <f>SUMIFS(NewEmisData!I:I, NewEmisData!$A:$A, $G232, NewEmisData!$B:$B, $A232, NewEmisData!$C:$C, $H232, NewEmisData!$D:$D, CM$6)</f>
        <v>6.60108416242811E-2</v>
      </c>
      <c r="CN232" s="1111">
        <f>SUMIFS(NewEmisData!J:J, NewEmisData!$A:$A, $G232, NewEmisData!$B:$B, $A232, NewEmisData!$C:$C, $H232, NewEmisData!$D:$D, CN$6)</f>
        <v>6.6010592604017995E-2</v>
      </c>
      <c r="CO232" s="1111">
        <f>SUMIFS(NewEmisData!K:K, NewEmisData!$A:$A, $G232, NewEmisData!$B:$B, $A232, NewEmisData!$C:$C, $H232, NewEmisData!$D:$D, CO$6)</f>
        <v>6.6010460965888904E-2</v>
      </c>
      <c r="CP232" s="1111">
        <f>SUMIFS(NewEmisData!L:L, NewEmisData!$A:$A, $G232, NewEmisData!$B:$B, $A232, NewEmisData!$C:$C, $H232, NewEmisData!$D:$D, CP$6)</f>
        <v>6.6010507177606106E-2</v>
      </c>
      <c r="CQ232" s="1111">
        <f>SUMIFS(NewEmisData!M:M, NewEmisData!$A:$A, $G232, NewEmisData!$B:$B, $A232, NewEmisData!$C:$C, $H232, NewEmisData!$D:$D, CQ$6)</f>
        <v>6.6010478652079901E-2</v>
      </c>
      <c r="CR232" s="1111">
        <f t="shared" si="376"/>
        <v>6.6010478652079901E-2</v>
      </c>
      <c r="CS232" s="1111">
        <f t="shared" si="377"/>
        <v>0.136220551325273</v>
      </c>
      <c r="CT232" s="1111">
        <f>SUMIFS(NewEmisData!E:E, NewEmisData!$A:$A, $G232, NewEmisData!$B:$B, $A232, NewEmisData!$C:$C, $H232, NewEmisData!$D:$D, CT$6)</f>
        <v>0.136220551325273</v>
      </c>
      <c r="CU232" s="1111">
        <f>SUMIFS(NewEmisData!F:F, NewEmisData!$A:$A, $G232, NewEmisData!$B:$B, $A232, NewEmisData!$C:$C, $H232, NewEmisData!$D:$D, CU$6)</f>
        <v>7.8581411328771694E-2</v>
      </c>
      <c r="CV232" s="1111">
        <f>SUMIFS(NewEmisData!G:G, NewEmisData!$A:$A, $G232, NewEmisData!$B:$B, $A232, NewEmisData!$C:$C, $H232, NewEmisData!$D:$D, CV$6)</f>
        <v>2.7901639783808298E-2</v>
      </c>
      <c r="CW232" s="1111">
        <f>SUMIFS(NewEmisData!H:H, NewEmisData!$A:$A, $G232, NewEmisData!$B:$B, $A232, NewEmisData!$C:$C, $H232, NewEmisData!$D:$D, CW$6)</f>
        <v>1.918958657892E-2</v>
      </c>
      <c r="CX232" s="1111">
        <f>SUMIFS(NewEmisData!I:I, NewEmisData!$A:$A, $G232, NewEmisData!$B:$B, $A232, NewEmisData!$C:$C, $H232, NewEmisData!$D:$D, CX$6)</f>
        <v>1.63653759329912E-2</v>
      </c>
      <c r="CY232" s="1111">
        <f>SUMIFS(NewEmisData!J:J, NewEmisData!$A:$A, $G232, NewEmisData!$B:$B, $A232, NewEmisData!$C:$C, $H232, NewEmisData!$D:$D, CY$6)</f>
        <v>1.5904522358171299E-2</v>
      </c>
      <c r="CZ232" s="1111">
        <f>SUMIFS(NewEmisData!K:K, NewEmisData!$A:$A, $G232, NewEmisData!$B:$B, $A232, NewEmisData!$C:$C, $H232, NewEmisData!$D:$D, CZ$6)</f>
        <v>1.55783654289861E-2</v>
      </c>
      <c r="DA232" s="1111">
        <f>SUMIFS(NewEmisData!L:L, NewEmisData!$A:$A, $G232, NewEmisData!$B:$B, $A232, NewEmisData!$C:$C, $H232, NewEmisData!$D:$D, DA$6)</f>
        <v>1.5635092695124999E-2</v>
      </c>
      <c r="DB232" s="1111">
        <f>SUMIFS(NewEmisData!M:M, NewEmisData!$A:$A, $G232, NewEmisData!$B:$B, $A232, NewEmisData!$C:$C, $H232, NewEmisData!$D:$D, DB$6)</f>
        <v>1.5654923502366299E-2</v>
      </c>
      <c r="DC232" s="1111">
        <f t="shared" si="378"/>
        <v>1.5654923502366299E-2</v>
      </c>
      <c r="DD232" s="1111"/>
      <c r="DE232" s="1111"/>
      <c r="DF232" s="1111"/>
      <c r="DG232" s="1111"/>
      <c r="DH232" s="1111"/>
      <c r="DI232" s="1111"/>
      <c r="DJ232" s="1111"/>
      <c r="DK232" s="1111"/>
      <c r="DL232" s="1111"/>
      <c r="DM232" s="1111"/>
      <c r="DN232" s="1111"/>
      <c r="DO232" s="1111"/>
      <c r="DP232" s="1111"/>
      <c r="DQ232" s="1111"/>
      <c r="DR232" s="1111"/>
      <c r="DS232" s="1111"/>
      <c r="DT232" s="1111"/>
      <c r="DU232" s="1111"/>
      <c r="DV232" s="1111"/>
      <c r="DW232" s="1111"/>
      <c r="DX232" s="1111"/>
      <c r="DY232" s="1111"/>
      <c r="DZ232" s="1111">
        <f t="shared" si="379"/>
        <v>0.62504346102021602</v>
      </c>
      <c r="EA232" s="1111">
        <f>SUMIFS(NewEmisData!E:E, NewEmisData!$A:$A, $G232, NewEmisData!$B:$B, $A232, NewEmisData!$C:$C, $H232, NewEmisData!$D:$D, EA$6)</f>
        <v>0.62504346102021602</v>
      </c>
      <c r="EB232" s="1111">
        <f>SUMIFS(NewEmisData!F:F, NewEmisData!$A:$A, $G232, NewEmisData!$B:$B, $A232, NewEmisData!$C:$C, $H232, NewEmisData!$D:$D, EB$6)</f>
        <v>0.23204922511968301</v>
      </c>
      <c r="EC232" s="1111">
        <f>SUMIFS(NewEmisData!G:G, NewEmisData!$A:$A, $G232, NewEmisData!$B:$B, $A232, NewEmisData!$C:$C, $H232, NewEmisData!$D:$D, EC$6)</f>
        <v>1.8847290687364501E-2</v>
      </c>
      <c r="ED232" s="1111">
        <f>SUMIFS(NewEmisData!H:H, NewEmisData!$A:$A, $G232, NewEmisData!$B:$B, $A232, NewEmisData!$C:$C, $H232, NewEmisData!$D:$D, ED$6)</f>
        <v>1.50181456752262E-2</v>
      </c>
      <c r="EE232" s="1111">
        <f>SUMIFS(NewEmisData!I:I, NewEmisData!$A:$A, $G232, NewEmisData!$B:$B, $A232, NewEmisData!$C:$C, $H232, NewEmisData!$D:$D, EE$6)</f>
        <v>1.46208045841804E-2</v>
      </c>
      <c r="EF232" s="1111">
        <f>SUMIFS(NewEmisData!J:J, NewEmisData!$A:$A, $G232, NewEmisData!$B:$B, $A232, NewEmisData!$C:$C, $H232, NewEmisData!$D:$D, EF$6)</f>
        <v>1.49239047594049E-2</v>
      </c>
      <c r="EG232" s="1111">
        <f>SUMIFS(NewEmisData!K:K, NewEmisData!$A:$A, $G232, NewEmisData!$B:$B, $A232, NewEmisData!$C:$C, $H232, NewEmisData!$D:$D, EG$6)</f>
        <v>1.5019413019286301E-2</v>
      </c>
      <c r="EH232" s="1111">
        <f>SUMIFS(NewEmisData!L:L, NewEmisData!$A:$A, $G232, NewEmisData!$B:$B, $A232, NewEmisData!$C:$C, $H232, NewEmisData!$D:$D, EH$6)</f>
        <v>1.5153092065068799E-2</v>
      </c>
      <c r="EI232" s="1111">
        <f>SUMIFS(NewEmisData!M:M, NewEmisData!$A:$A, $G232, NewEmisData!$B:$B, $A232, NewEmisData!$C:$C, $H232, NewEmisData!$D:$D, EI$6)</f>
        <v>1.5197280715758399E-2</v>
      </c>
      <c r="EJ232" s="1111">
        <f t="shared" si="380"/>
        <v>1.5197280715758399E-2</v>
      </c>
      <c r="EK232" s="1111">
        <f t="shared" si="381"/>
        <v>1638.3455086040899</v>
      </c>
      <c r="EL232" s="1111">
        <f t="shared" si="343"/>
        <v>1638.3455086040899</v>
      </c>
      <c r="EM232" s="1111">
        <f t="shared" si="344"/>
        <v>1597.91146698485</v>
      </c>
      <c r="EN232" s="1111">
        <f t="shared" si="345"/>
        <v>1675.8815285015601</v>
      </c>
      <c r="EO232" s="1111">
        <f t="shared" si="346"/>
        <v>1650.32431693742</v>
      </c>
      <c r="EP232" s="1111">
        <f t="shared" si="347"/>
        <v>1614.69992415768</v>
      </c>
      <c r="EQ232" s="1111">
        <f t="shared" si="348"/>
        <v>1606.15558948889</v>
      </c>
      <c r="ER232" s="1111">
        <f t="shared" si="349"/>
        <v>1604.0186206973899</v>
      </c>
      <c r="ES232" s="1111">
        <f t="shared" si="350"/>
        <v>1603.71196653328</v>
      </c>
      <c r="ET232" s="1111">
        <f t="shared" si="351"/>
        <v>1603.6927150798599</v>
      </c>
      <c r="EU232" s="1111">
        <f t="shared" si="352"/>
        <v>1603.6927150798599</v>
      </c>
      <c r="EV232" s="1111">
        <f t="shared" si="382"/>
        <v>9.1319765062058504</v>
      </c>
      <c r="EW232" s="1111">
        <f t="shared" si="333"/>
        <v>9.1319765062058504</v>
      </c>
      <c r="EX232" s="1111">
        <f t="shared" si="334"/>
        <v>5.5211126740351997</v>
      </c>
      <c r="EY232" s="1111">
        <f t="shared" si="335"/>
        <v>1.6178749329459601</v>
      </c>
      <c r="EZ232" s="1111">
        <f t="shared" si="336"/>
        <v>1.2717662893164099</v>
      </c>
      <c r="FA232" s="1111">
        <f t="shared" si="337"/>
        <v>1.1726866302876999</v>
      </c>
      <c r="FB232" s="1111">
        <f t="shared" si="338"/>
        <v>1.1568218913658399</v>
      </c>
      <c r="FC232" s="1111">
        <f t="shared" si="339"/>
        <v>1.1498419858081399</v>
      </c>
      <c r="FD232" s="1111">
        <f t="shared" si="340"/>
        <v>1.1502565377520699</v>
      </c>
      <c r="FE232" s="1111">
        <f t="shared" si="341"/>
        <v>1.15043111371947</v>
      </c>
      <c r="FF232" s="1111">
        <f t="shared" si="342"/>
        <v>1.15043111371947</v>
      </c>
      <c r="FG232" s="1111">
        <f t="shared" si="291"/>
        <v>2.8349118417612802E-2</v>
      </c>
      <c r="FH232" s="1111">
        <f t="shared" si="292"/>
        <v>2.8349118417612802E-2</v>
      </c>
      <c r="FI232" s="1111">
        <f t="shared" si="293"/>
        <v>2.7649475988106201E-2</v>
      </c>
      <c r="FJ232" s="1111">
        <f t="shared" si="294"/>
        <v>2.4041393237435399E-2</v>
      </c>
      <c r="FK232" s="1111">
        <f t="shared" si="295"/>
        <v>2.3674756516432201E-2</v>
      </c>
      <c r="FL232" s="1111">
        <f t="shared" si="296"/>
        <v>2.3163709294895699E-2</v>
      </c>
      <c r="FM232" s="1111">
        <f t="shared" si="297"/>
        <v>2.30411322742359E-2</v>
      </c>
      <c r="FN232" s="1111">
        <f t="shared" si="298"/>
        <v>2.30104772532812E-2</v>
      </c>
      <c r="FO232" s="1111">
        <f t="shared" si="299"/>
        <v>2.3006075572322301E-2</v>
      </c>
      <c r="FP232" s="1111">
        <f t="shared" si="300"/>
        <v>2.30058103409179E-2</v>
      </c>
      <c r="FQ232" s="1111">
        <f t="shared" si="301"/>
        <v>2.30058103409179E-2</v>
      </c>
      <c r="FR232" s="1111">
        <f t="shared" si="322"/>
        <v>0.73529708323819798</v>
      </c>
      <c r="FS232" s="1111">
        <f t="shared" si="323"/>
        <v>0.73529708323819798</v>
      </c>
      <c r="FT232" s="1111">
        <f t="shared" si="324"/>
        <v>0.50377232353792301</v>
      </c>
      <c r="FU232" s="1111">
        <f t="shared" si="325"/>
        <v>0.46277242259546703</v>
      </c>
      <c r="FV232" s="1111">
        <f t="shared" si="326"/>
        <v>0.460021400855742</v>
      </c>
      <c r="FW232" s="1111">
        <f t="shared" si="327"/>
        <v>0.452859239004402</v>
      </c>
      <c r="FX232" s="1111">
        <f t="shared" si="328"/>
        <v>0.451173530693247</v>
      </c>
      <c r="FY232" s="1111">
        <f t="shared" si="329"/>
        <v>0.450827249569491</v>
      </c>
      <c r="FZ232" s="1111">
        <f t="shared" si="330"/>
        <v>0.45077517726501898</v>
      </c>
      <c r="GA232" s="1111">
        <f t="shared" si="331"/>
        <v>0.45078915116546198</v>
      </c>
      <c r="GB232" s="1111">
        <f t="shared" si="332"/>
        <v>0.45078915116546198</v>
      </c>
      <c r="GC232" s="1111">
        <f t="shared" si="353"/>
        <v>0.32686256972546901</v>
      </c>
      <c r="GD232" s="1111">
        <f t="shared" si="354"/>
        <v>0.32686256972546901</v>
      </c>
      <c r="GE232" s="1111">
        <f t="shared" si="355"/>
        <v>0.12210843934221401</v>
      </c>
      <c r="GF232" s="1111">
        <f t="shared" si="356"/>
        <v>6.7146210191433603E-2</v>
      </c>
      <c r="GG232" s="1111">
        <f t="shared" si="357"/>
        <v>6.6587970120787598E-2</v>
      </c>
      <c r="GH232" s="1111">
        <f t="shared" si="358"/>
        <v>6.5405051516030002E-2</v>
      </c>
      <c r="GI232" s="1111">
        <f t="shared" si="359"/>
        <v>6.5233637829240507E-2</v>
      </c>
      <c r="GJ232" s="1111">
        <f t="shared" si="360"/>
        <v>6.5212571890131396E-2</v>
      </c>
      <c r="GK232" s="1111">
        <f t="shared" si="361"/>
        <v>6.5238116883072003E-2</v>
      </c>
      <c r="GL232" s="1111">
        <f t="shared" si="362"/>
        <v>6.5252352689838797E-2</v>
      </c>
      <c r="GM232" s="1111">
        <f t="shared" si="363"/>
        <v>6.5252352689838797E-2</v>
      </c>
    </row>
    <row r="233" spans="1:195" x14ac:dyDescent="0.2">
      <c r="A233" s="1071" t="s">
        <v>188</v>
      </c>
      <c r="B233" s="1071" t="str">
        <f>Technologies!C143</f>
        <v>THSGSL10</v>
      </c>
      <c r="C233" s="1071" t="str">
        <f>Technologies!D143</f>
        <v>Heavy Truck, Short Haul, Gasoline, 2010</v>
      </c>
      <c r="D233" s="1071" t="str">
        <f>NewTech!D96</f>
        <v>bn-vmt, bn-vmt/a</v>
      </c>
      <c r="E233" s="1071" t="str">
        <f>Commodities!C47</f>
        <v>THGSL</v>
      </c>
      <c r="F233" s="1071" t="s">
        <v>98</v>
      </c>
      <c r="G233" s="1110" t="s">
        <v>505</v>
      </c>
      <c r="H233" s="1110" t="s">
        <v>500</v>
      </c>
      <c r="I233" s="1112">
        <v>1</v>
      </c>
      <c r="J233" s="1111" t="str">
        <f t="shared" si="302"/>
        <v>Heavy duty short haul truck-GSL</v>
      </c>
      <c r="K233" s="1111">
        <f>SUMIFS(NewEmisData!E:E, NewEmisData!$A:$A, $G233, NewEmisData!$B:$B, $A233, NewEmisData!$C:$C, $H233, NewEmisData!$D:$D, K$6)</f>
        <v>1245.3418505198399</v>
      </c>
      <c r="L233" s="1111">
        <f>SUMIFS(NewEmisData!F:F, NewEmisData!$A:$A, $G233, NewEmisData!$B:$B, $A233, NewEmisData!$C:$C, $H233, NewEmisData!$D:$D, L$6)</f>
        <v>1233.52680028807</v>
      </c>
      <c r="M233" s="1111">
        <f>SUMIFS(NewEmisData!G:G, NewEmisData!$A:$A, $G233, NewEmisData!$B:$B, $A233, NewEmisData!$C:$C, $H233, NewEmisData!$D:$D, M$6)</f>
        <v>1155.77413052821</v>
      </c>
      <c r="N233" s="1111">
        <f>SUMIFS(NewEmisData!H:H, NewEmisData!$A:$A, $G233, NewEmisData!$B:$B, $A233, NewEmisData!$C:$C, $H233, NewEmisData!$D:$D, N$6)</f>
        <v>1137.9436610154601</v>
      </c>
      <c r="O233" s="1111">
        <f>SUMIFS(NewEmisData!I:I, NewEmisData!$A:$A, $G233, NewEmisData!$B:$B, $A233, NewEmisData!$C:$C, $H233, NewEmisData!$D:$D, O$6)</f>
        <v>1112.6987382597499</v>
      </c>
      <c r="P233" s="1111">
        <f>SUMIFS(NewEmisData!J:J, NewEmisData!$A:$A, $G233, NewEmisData!$B:$B, $A233, NewEmisData!$C:$C, $H233, NewEmisData!$D:$D, P$6)</f>
        <v>1106.54119248744</v>
      </c>
      <c r="Q233" s="1111">
        <f>SUMIFS(NewEmisData!K:K, NewEmisData!$A:$A, $G233, NewEmisData!$B:$B, $A233, NewEmisData!$C:$C, $H233, NewEmisData!$D:$D, Q$6)</f>
        <v>1105.0069411203201</v>
      </c>
      <c r="R233" s="1111">
        <f>SUMIFS(NewEmisData!L:L, NewEmisData!$A:$A, $G233, NewEmisData!$B:$B, $A233, NewEmisData!$C:$C, $H233, NewEmisData!$D:$D, R$6)</f>
        <v>1104.77778091038</v>
      </c>
      <c r="S233" s="1111">
        <f>SUMIFS(NewEmisData!M:M, NewEmisData!$A:$A, $G233, NewEmisData!$B:$B, $A233, NewEmisData!$C:$C, $H233, NewEmisData!$D:$D, S$6)</f>
        <v>1104.7649925096</v>
      </c>
      <c r="T233" s="1111">
        <f t="shared" si="364"/>
        <v>1104.7649925096</v>
      </c>
      <c r="U233" s="1111">
        <f>SUMIFS(NewEmisData!E:E, NewEmisData!$A:$A, $G233, NewEmisData!$B:$B, $A233, NewEmisData!$C:$C, $H233, NewEmisData!$D:$D, U$6)</f>
        <v>4.9618269183312798</v>
      </c>
      <c r="V233" s="1111">
        <f>SUMIFS(NewEmisData!F:F, NewEmisData!$A:$A, $G233, NewEmisData!$B:$B, $A233, NewEmisData!$C:$C, $H233, NewEmisData!$D:$D, V$6)</f>
        <v>3.5223524226374598</v>
      </c>
      <c r="W233" s="1111">
        <f>SUMIFS(NewEmisData!G:G, NewEmisData!$A:$A, $G233, NewEmisData!$B:$B, $A233, NewEmisData!$C:$C, $H233, NewEmisData!$D:$D, W$6)</f>
        <v>1.2618027970035901</v>
      </c>
      <c r="X233" s="1111">
        <f>SUMIFS(NewEmisData!H:H, NewEmisData!$A:$A, $G233, NewEmisData!$B:$B, $A233, NewEmisData!$C:$C, $H233, NewEmisData!$D:$D, X$6)</f>
        <v>0.99784143742540199</v>
      </c>
      <c r="Y233" s="1111">
        <f>SUMIFS(NewEmisData!I:I, NewEmisData!$A:$A, $G233, NewEmisData!$B:$B, $A233, NewEmisData!$C:$C, $H233, NewEmisData!$D:$D, Y$6)</f>
        <v>0.92115341275504903</v>
      </c>
      <c r="Z233" s="1111">
        <f>SUMIFS(NewEmisData!J:J, NewEmisData!$A:$A, $G233, NewEmisData!$B:$B, $A233, NewEmisData!$C:$C, $H233, NewEmisData!$D:$D, Z$6)</f>
        <v>0.90873745362837199</v>
      </c>
      <c r="AA233" s="1111">
        <f>SUMIFS(NewEmisData!K:K, NewEmisData!$A:$A, $G233, NewEmisData!$B:$B, $A233, NewEmisData!$C:$C, $H233, NewEmisData!$D:$D, AA$6)</f>
        <v>0.903404659383922</v>
      </c>
      <c r="AB233" s="1111">
        <f>SUMIFS(NewEmisData!L:L, NewEmisData!$A:$A, $G233, NewEmisData!$B:$B, $A233, NewEmisData!$C:$C, $H233, NewEmisData!$D:$D, AB$6)</f>
        <v>0.90367749375583695</v>
      </c>
      <c r="AC233" s="1111">
        <f>SUMIFS(NewEmisData!M:M, NewEmisData!$A:$A, $G233, NewEmisData!$B:$B, $A233, NewEmisData!$C:$C, $H233, NewEmisData!$D:$D, AC$6)</f>
        <v>0.90380303336619205</v>
      </c>
      <c r="AD233" s="1111">
        <f t="shared" si="321"/>
        <v>0.90380303336619205</v>
      </c>
      <c r="AE233" s="1111">
        <f t="shared" si="365"/>
        <v>2.2268353622481699E-2</v>
      </c>
      <c r="AF233" s="1111">
        <f>SUMIFS(NewEmisData!E:E, NewEmisData!$A:$A, $G233, NewEmisData!$B:$B, $A233, NewEmisData!$C:$C, $H233, NewEmisData!$D:$D, AF$6)</f>
        <v>2.2268353622481699E-2</v>
      </c>
      <c r="AG233" s="1111">
        <f>SUMIFS(NewEmisData!F:F, NewEmisData!$A:$A, $G233, NewEmisData!$B:$B, $A233, NewEmisData!$C:$C, $H233, NewEmisData!$D:$D, AG$6)</f>
        <v>2.15800397384973E-2</v>
      </c>
      <c r="AH233" s="1111">
        <f>SUMIFS(NewEmisData!G:G, NewEmisData!$A:$A, $G233, NewEmisData!$B:$B, $A233, NewEmisData!$C:$C, $H233, NewEmisData!$D:$D, AH$6)</f>
        <v>1.6580182769147099E-2</v>
      </c>
      <c r="AI233" s="1111">
        <f>SUMIFS(NewEmisData!H:H, NewEmisData!$A:$A, $G233, NewEmisData!$B:$B, $A233, NewEmisData!$C:$C, $H233, NewEmisData!$D:$D, AI$6)</f>
        <v>1.6324389370389901E-2</v>
      </c>
      <c r="AJ233" s="1111">
        <f>SUMIFS(NewEmisData!I:I, NewEmisData!$A:$A, $G233, NewEmisData!$B:$B, $A233, NewEmisData!$C:$C, $H233, NewEmisData!$D:$D, AJ$6)</f>
        <v>1.5962239345052798E-2</v>
      </c>
      <c r="AK233" s="1111">
        <f>SUMIFS(NewEmisData!J:J, NewEmisData!$A:$A, $G233, NewEmisData!$B:$B, $A233, NewEmisData!$C:$C, $H233, NewEmisData!$D:$D, AK$6)</f>
        <v>1.5873905588610002E-2</v>
      </c>
      <c r="AL233" s="1111">
        <f>SUMIFS(NewEmisData!K:K, NewEmisData!$A:$A, $G233, NewEmisData!$B:$B, $A233, NewEmisData!$C:$C, $H233, NewEmisData!$D:$D, AL$6)</f>
        <v>1.5851896144737601E-2</v>
      </c>
      <c r="AM233" s="1111">
        <f>SUMIFS(NewEmisData!L:L, NewEmisData!$A:$A, $G233, NewEmisData!$B:$B, $A233, NewEmisData!$C:$C, $H233, NewEmisData!$D:$D, AM$6)</f>
        <v>1.58486207061387E-2</v>
      </c>
      <c r="AN233" s="1111">
        <f>SUMIFS(NewEmisData!M:M, NewEmisData!$A:$A, $G233, NewEmisData!$B:$B, $A233, NewEmisData!$C:$C, $H233, NewEmisData!$D:$D, AN$6)</f>
        <v>1.5848421937017101E-2</v>
      </c>
      <c r="AO233" s="1111">
        <f t="shared" si="366"/>
        <v>1.5848421937017101E-2</v>
      </c>
      <c r="AP233" s="1111">
        <f t="shared" si="367"/>
        <v>0.316522847739098</v>
      </c>
      <c r="AQ233" s="1111">
        <f>SUMIFS(NewEmisData!E:E, NewEmisData!$A:$A, $G233, NewEmisData!$B:$B, $A233, NewEmisData!$C:$C, $H233, NewEmisData!$D:$D, AQ$6)</f>
        <v>0.316522847739098</v>
      </c>
      <c r="AR233" s="1111">
        <f>SUMIFS(NewEmisData!F:F, NewEmisData!$A:$A, $G233, NewEmisData!$B:$B, $A233, NewEmisData!$C:$C, $H233, NewEmisData!$D:$D, AR$6)</f>
        <v>0.296906260657962</v>
      </c>
      <c r="AS233" s="1111">
        <f>SUMIFS(NewEmisData!G:G, NewEmisData!$A:$A, $G233, NewEmisData!$B:$B, $A233, NewEmisData!$C:$C, $H233, NewEmisData!$D:$D, AS$6)</f>
        <v>0.23822746383424401</v>
      </c>
      <c r="AT233" s="1111">
        <f>SUMIFS(NewEmisData!H:H, NewEmisData!$A:$A, $G233, NewEmisData!$B:$B, $A233, NewEmisData!$C:$C, $H233, NewEmisData!$D:$D, AT$6)</f>
        <v>0.23861290236278199</v>
      </c>
      <c r="AU233" s="1111">
        <f>SUMIFS(NewEmisData!I:I, NewEmisData!$A:$A, $G233, NewEmisData!$B:$B, $A233, NewEmisData!$C:$C, $H233, NewEmisData!$D:$D, AU$6)</f>
        <v>0.23938243498850501</v>
      </c>
      <c r="AV233" s="1111">
        <f>SUMIFS(NewEmisData!J:J, NewEmisData!$A:$A, $G233, NewEmisData!$B:$B, $A233, NewEmisData!$C:$C, $H233, NewEmisData!$D:$D, AV$6)</f>
        <v>0.23966935323295199</v>
      </c>
      <c r="AW233" s="1111">
        <f>SUMIFS(NewEmisData!K:K, NewEmisData!$A:$A, $G233, NewEmisData!$B:$B, $A233, NewEmisData!$C:$C, $H233, NewEmisData!$D:$D, AW$6)</f>
        <v>0.239739729662128</v>
      </c>
      <c r="AX233" s="1111">
        <f>SUMIFS(NewEmisData!L:L, NewEmisData!$A:$A, $G233, NewEmisData!$B:$B, $A233, NewEmisData!$C:$C, $H233, NewEmisData!$D:$D, AX$6)</f>
        <v>0.239781897722738</v>
      </c>
      <c r="AY233" s="1111">
        <f>SUMIFS(NewEmisData!M:M, NewEmisData!$A:$A, $G233, NewEmisData!$B:$B, $A233, NewEmisData!$C:$C, $H233, NewEmisData!$D:$D, AY$6)</f>
        <v>0.23979416449461</v>
      </c>
      <c r="AZ233" s="1111">
        <f t="shared" si="368"/>
        <v>0.23979416449461</v>
      </c>
      <c r="BA233" s="1111">
        <f t="shared" si="369"/>
        <v>8.6551780570898199E-2</v>
      </c>
      <c r="BB233" s="1111">
        <f>SUMIFS(NewEmisData!E:E, NewEmisData!$A:$A, $G233, NewEmisData!$B:$B, $A233, NewEmisData!$C:$C, $H233, NewEmisData!$D:$D, BB$6)</f>
        <v>8.6551780570898199E-2</v>
      </c>
      <c r="BC233" s="1111">
        <f>SUMIFS(NewEmisData!F:F, NewEmisData!$A:$A, $G233, NewEmisData!$B:$B, $A233, NewEmisData!$C:$C, $H233, NewEmisData!$D:$D, BC$6)</f>
        <v>6.4372293434568101E-2</v>
      </c>
      <c r="BD233" s="1111">
        <f>SUMIFS(NewEmisData!G:G, NewEmisData!$A:$A, $G233, NewEmisData!$B:$B, $A233, NewEmisData!$C:$C, $H233, NewEmisData!$D:$D, BD$6)</f>
        <v>3.7426910923255501E-2</v>
      </c>
      <c r="BE233" s="1111">
        <f>SUMIFS(NewEmisData!H:H, NewEmisData!$A:$A, $G233, NewEmisData!$B:$B, $A233, NewEmisData!$C:$C, $H233, NewEmisData!$D:$D, BE$6)</f>
        <v>3.7415863467985699E-2</v>
      </c>
      <c r="BF233" s="1111">
        <f>SUMIFS(NewEmisData!I:I, NewEmisData!$A:$A, $G233, NewEmisData!$B:$B, $A233, NewEmisData!$C:$C, $H233, NewEmisData!$D:$D, BF$6)</f>
        <v>3.7155994555793902E-2</v>
      </c>
      <c r="BG233" s="1111">
        <f>SUMIFS(NewEmisData!J:J, NewEmisData!$A:$A, $G233, NewEmisData!$B:$B, $A233, NewEmisData!$C:$C, $H233, NewEmisData!$D:$D, BG$6)</f>
        <v>3.71692451762419E-2</v>
      </c>
      <c r="BH233" s="1111">
        <f>SUMIFS(NewEmisData!K:K, NewEmisData!$A:$A, $G233, NewEmisData!$B:$B, $A233, NewEmisData!$C:$C, $H233, NewEmisData!$D:$D, BH$6)</f>
        <v>3.71792258741903E-2</v>
      </c>
      <c r="BI233" s="1111">
        <f>SUMIFS(NewEmisData!L:L, NewEmisData!$A:$A, $G233, NewEmisData!$B:$B, $A233, NewEmisData!$C:$C, $H233, NewEmisData!$D:$D, BI$6)</f>
        <v>3.7203306400845099E-2</v>
      </c>
      <c r="BJ233" s="1111">
        <f>SUMIFS(NewEmisData!M:M, NewEmisData!$A:$A, $G233, NewEmisData!$B:$B, $A233, NewEmisData!$C:$C, $H233, NewEmisData!$D:$D, BJ$6)</f>
        <v>3.7213861680524402E-2</v>
      </c>
      <c r="BK233" s="1111">
        <f t="shared" si="370"/>
        <v>3.7213861680524402E-2</v>
      </c>
      <c r="BL233" s="1111">
        <f t="shared" si="371"/>
        <v>44.405857011560997</v>
      </c>
      <c r="BM233" s="1111">
        <f>SUMIFS(NewEmisData!E:E, NewEmisData!$A:$A, $G233, NewEmisData!$B:$B, $A233, NewEmisData!$C:$C, $H233, NewEmisData!$D:$D, BM$6)</f>
        <v>44.405857011560997</v>
      </c>
      <c r="BN233" s="1111">
        <f>SUMIFS(NewEmisData!F:F, NewEmisData!$A:$A, $G233, NewEmisData!$B:$B, $A233, NewEmisData!$C:$C, $H233, NewEmisData!$D:$D, BN$6)</f>
        <v>36.848029493126198</v>
      </c>
      <c r="BO233" s="1111">
        <f>SUMIFS(NewEmisData!G:G, NewEmisData!$A:$A, $G233, NewEmisData!$B:$B, $A233, NewEmisData!$C:$C, $H233, NewEmisData!$D:$D, BO$6)</f>
        <v>14.0750386718197</v>
      </c>
      <c r="BP233" s="1111">
        <f>SUMIFS(NewEmisData!H:H, NewEmisData!$A:$A, $G233, NewEmisData!$B:$B, $A233, NewEmisData!$C:$C, $H233, NewEmisData!$D:$D, BP$6)</f>
        <v>12.254998131296899</v>
      </c>
      <c r="BQ233" s="1111">
        <f>SUMIFS(NewEmisData!I:I, NewEmisData!$A:$A, $G233, NewEmisData!$B:$B, $A233, NewEmisData!$C:$C, $H233, NewEmisData!$D:$D, BQ$6)</f>
        <v>12.2179762392729</v>
      </c>
      <c r="BR233" s="1111">
        <f>SUMIFS(NewEmisData!J:J, NewEmisData!$A:$A, $G233, NewEmisData!$B:$B, $A233, NewEmisData!$C:$C, $H233, NewEmisData!$D:$D, BR$6)</f>
        <v>12.5483128548097</v>
      </c>
      <c r="BS233" s="1111">
        <f>SUMIFS(NewEmisData!K:K, NewEmisData!$A:$A, $G233, NewEmisData!$B:$B, $A233, NewEmisData!$C:$C, $H233, NewEmisData!$D:$D, BS$6)</f>
        <v>12.6290552691631</v>
      </c>
      <c r="BT233" s="1111">
        <f>SUMIFS(NewEmisData!L:L, NewEmisData!$A:$A, $G233, NewEmisData!$B:$B, $A233, NewEmisData!$C:$C, $H233, NewEmisData!$D:$D, BT$6)</f>
        <v>12.756109867155899</v>
      </c>
      <c r="BU233" s="1111">
        <f>SUMIFS(NewEmisData!M:M, NewEmisData!$A:$A, $G233, NewEmisData!$B:$B, $A233, NewEmisData!$C:$C, $H233, NewEmisData!$D:$D, BU$6)</f>
        <v>12.800533369187299</v>
      </c>
      <c r="BV233" s="1111">
        <f t="shared" si="372"/>
        <v>12.800533369187299</v>
      </c>
      <c r="BW233" s="1111">
        <f t="shared" si="373"/>
        <v>2.14680819384954</v>
      </c>
      <c r="BX233" s="1111">
        <f>SUMIFS(NewEmisData!E:E, NewEmisData!$A:$A, $G233, NewEmisData!$B:$B, $A233, NewEmisData!$C:$C, $H233, NewEmisData!$D:$D, BX$6)</f>
        <v>2.14680819384954</v>
      </c>
      <c r="BY233" s="1111">
        <f>SUMIFS(NewEmisData!F:F, NewEmisData!$A:$A, $G233, NewEmisData!$B:$B, $A233, NewEmisData!$C:$C, $H233, NewEmisData!$D:$D, BY$6)</f>
        <v>1.6414932721656601</v>
      </c>
      <c r="BZ233" s="1111">
        <f>SUMIFS(NewEmisData!G:G, NewEmisData!$A:$A, $G233, NewEmisData!$B:$B, $A233, NewEmisData!$C:$C, $H233, NewEmisData!$D:$D, BZ$6)</f>
        <v>0.47923130880280401</v>
      </c>
      <c r="CA233" s="1111">
        <f>SUMIFS(NewEmisData!H:H, NewEmisData!$A:$A, $G233, NewEmisData!$B:$B, $A233, NewEmisData!$C:$C, $H233, NewEmisData!$D:$D, CA$6)</f>
        <v>0.36532781197988201</v>
      </c>
      <c r="CB233" s="1111">
        <f>SUMIFS(NewEmisData!I:I, NewEmisData!$A:$A, $G233, NewEmisData!$B:$B, $A233, NewEmisData!$C:$C, $H233, NewEmisData!$D:$D, CB$6)</f>
        <v>0.334636907672411</v>
      </c>
      <c r="CC233" s="1111">
        <f>SUMIFS(NewEmisData!J:J, NewEmisData!$A:$A, $G233, NewEmisData!$B:$B, $A233, NewEmisData!$C:$C, $H233, NewEmisData!$D:$D, CC$6)</f>
        <v>0.33199768040625</v>
      </c>
      <c r="CD233" s="1111">
        <f>SUMIFS(NewEmisData!K:K, NewEmisData!$A:$A, $G233, NewEmisData!$B:$B, $A233, NewEmisData!$C:$C, $H233, NewEmisData!$D:$D, CD$6)</f>
        <v>0.32940217473438299</v>
      </c>
      <c r="CE233" s="1111">
        <f>SUMIFS(NewEmisData!L:L, NewEmisData!$A:$A, $G233, NewEmisData!$B:$B, $A233, NewEmisData!$C:$C, $H233, NewEmisData!$D:$D, CE$6)</f>
        <v>0.33126268454531199</v>
      </c>
      <c r="CF233" s="1111">
        <f>SUMIFS(NewEmisData!M:M, NewEmisData!$A:$A, $G233, NewEmisData!$B:$B, $A233, NewEmisData!$C:$C, $H233, NewEmisData!$D:$D, CF$6)</f>
        <v>0.331634896570775</v>
      </c>
      <c r="CG233" s="1111">
        <f t="shared" si="374"/>
        <v>0.331634896570775</v>
      </c>
      <c r="CH233" s="1111">
        <f t="shared" si="375"/>
        <v>4.49194482849559E-2</v>
      </c>
      <c r="CI233" s="1111">
        <f>SUMIFS(NewEmisData!E:E, NewEmisData!$A:$A, $G233, NewEmisData!$B:$B, $A233, NewEmisData!$C:$C, $H233, NewEmisData!$D:$D, CI$6)</f>
        <v>4.49194482849559E-2</v>
      </c>
      <c r="CJ233" s="1111">
        <f>SUMIFS(NewEmisData!F:F, NewEmisData!$A:$A, $G233, NewEmisData!$B:$B, $A233, NewEmisData!$C:$C, $H233, NewEmisData!$D:$D, CJ$6)</f>
        <v>4.5044780297083503E-2</v>
      </c>
      <c r="CK233" s="1111">
        <f>SUMIFS(NewEmisData!G:G, NewEmisData!$A:$A, $G233, NewEmisData!$B:$B, $A233, NewEmisData!$C:$C, $H233, NewEmisData!$D:$D, CK$6)</f>
        <v>4.5736190408202697E-2</v>
      </c>
      <c r="CL233" s="1111">
        <f>SUMIFS(NewEmisData!H:H, NewEmisData!$A:$A, $G233, NewEmisData!$B:$B, $A233, NewEmisData!$C:$C, $H233, NewEmisData!$D:$D, CL$6)</f>
        <v>4.5759494534362899E-2</v>
      </c>
      <c r="CM233" s="1111">
        <f>SUMIFS(NewEmisData!I:I, NewEmisData!$A:$A, $G233, NewEmisData!$B:$B, $A233, NewEmisData!$C:$C, $H233, NewEmisData!$D:$D, CM$6)</f>
        <v>4.5817996189111899E-2</v>
      </c>
      <c r="CN233" s="1111">
        <f>SUMIFS(NewEmisData!J:J, NewEmisData!$A:$A, $G233, NewEmisData!$B:$B, $A233, NewEmisData!$C:$C, $H233, NewEmisData!$D:$D, CN$6)</f>
        <v>4.5833049406016901E-2</v>
      </c>
      <c r="CO233" s="1111">
        <f>SUMIFS(NewEmisData!K:K, NewEmisData!$A:$A, $G233, NewEmisData!$B:$B, $A233, NewEmisData!$C:$C, $H233, NewEmisData!$D:$D, CO$6)</f>
        <v>4.5836329184160897E-2</v>
      </c>
      <c r="CP233" s="1111">
        <f>SUMIFS(NewEmisData!L:L, NewEmisData!$A:$A, $G233, NewEmisData!$B:$B, $A233, NewEmisData!$C:$C, $H233, NewEmisData!$D:$D, CP$6)</f>
        <v>4.58372025008323E-2</v>
      </c>
      <c r="CQ233" s="1111">
        <f>SUMIFS(NewEmisData!M:M, NewEmisData!$A:$A, $G233, NewEmisData!$B:$B, $A233, NewEmisData!$C:$C, $H233, NewEmisData!$D:$D, CQ$6)</f>
        <v>4.5837179172897799E-2</v>
      </c>
      <c r="CR233" s="1111">
        <f t="shared" si="376"/>
        <v>4.5837179172897799E-2</v>
      </c>
      <c r="CS233" s="1111">
        <f t="shared" si="377"/>
        <v>4.23785786247831E-2</v>
      </c>
      <c r="CT233" s="1111">
        <f>SUMIFS(NewEmisData!E:E, NewEmisData!$A:$A, $G233, NewEmisData!$B:$B, $A233, NewEmisData!$C:$C, $H233, NewEmisData!$D:$D, CT$6)</f>
        <v>4.23785786247831E-2</v>
      </c>
      <c r="CU233" s="1111">
        <f>SUMIFS(NewEmisData!F:F, NewEmisData!$A:$A, $G233, NewEmisData!$B:$B, $A233, NewEmisData!$C:$C, $H233, NewEmisData!$D:$D, CU$6)</f>
        <v>3.6476147142376902E-2</v>
      </c>
      <c r="CV233" s="1111">
        <f>SUMIFS(NewEmisData!G:G, NewEmisData!$A:$A, $G233, NewEmisData!$B:$B, $A233, NewEmisData!$C:$C, $H233, NewEmisData!$D:$D, CV$6)</f>
        <v>1.5910071003880501E-2</v>
      </c>
      <c r="CW233" s="1111">
        <f>SUMIFS(NewEmisData!H:H, NewEmisData!$A:$A, $G233, NewEmisData!$B:$B, $A233, NewEmisData!$C:$C, $H233, NewEmisData!$D:$D, CW$6)</f>
        <v>1.0887161334639401E-2</v>
      </c>
      <c r="CX233" s="1111">
        <f>SUMIFS(NewEmisData!I:I, NewEmisData!$A:$A, $G233, NewEmisData!$B:$B, $A233, NewEmisData!$C:$C, $H233, NewEmisData!$D:$D, CX$6)</f>
        <v>9.2481178897355007E-3</v>
      </c>
      <c r="CY233" s="1111">
        <f>SUMIFS(NewEmisData!J:J, NewEmisData!$A:$A, $G233, NewEmisData!$B:$B, $A233, NewEmisData!$C:$C, $H233, NewEmisData!$D:$D, CY$6)</f>
        <v>8.9851479443452901E-3</v>
      </c>
      <c r="CZ233" s="1111">
        <f>SUMIFS(NewEmisData!K:K, NewEmisData!$A:$A, $G233, NewEmisData!$B:$B, $A233, NewEmisData!$C:$C, $H233, NewEmisData!$D:$D, CZ$6)</f>
        <v>8.7728322711615007E-3</v>
      </c>
      <c r="DA233" s="1111">
        <f>SUMIFS(NewEmisData!L:L, NewEmisData!$A:$A, $G233, NewEmisData!$B:$B, $A233, NewEmisData!$C:$C, $H233, NewEmisData!$D:$D, DA$6)</f>
        <v>8.8121160479205408E-3</v>
      </c>
      <c r="DB233" s="1111">
        <f>SUMIFS(NewEmisData!M:M, NewEmisData!$A:$A, $G233, NewEmisData!$B:$B, $A233, NewEmisData!$C:$C, $H233, NewEmisData!$D:$D, DB$6)</f>
        <v>8.8260551340968493E-3</v>
      </c>
      <c r="DC233" s="1111">
        <f t="shared" si="378"/>
        <v>8.8260551340968493E-3</v>
      </c>
      <c r="DD233" s="1111"/>
      <c r="DE233" s="1111"/>
      <c r="DF233" s="1111"/>
      <c r="DG233" s="1111"/>
      <c r="DH233" s="1111"/>
      <c r="DI233" s="1111"/>
      <c r="DJ233" s="1111"/>
      <c r="DK233" s="1111"/>
      <c r="DL233" s="1111"/>
      <c r="DM233" s="1111"/>
      <c r="DN233" s="1111"/>
      <c r="DO233" s="1111"/>
      <c r="DP233" s="1111"/>
      <c r="DQ233" s="1111"/>
      <c r="DR233" s="1111"/>
      <c r="DS233" s="1111"/>
      <c r="DT233" s="1111"/>
      <c r="DU233" s="1111"/>
      <c r="DV233" s="1111"/>
      <c r="DW233" s="1111"/>
      <c r="DX233" s="1111"/>
      <c r="DY233" s="1111"/>
      <c r="DZ233" s="1111">
        <f t="shared" si="379"/>
        <v>7.9223624422698202E-2</v>
      </c>
      <c r="EA233" s="1111">
        <f>SUMIFS(NewEmisData!E:E, NewEmisData!$A:$A, $G233, NewEmisData!$B:$B, $A233, NewEmisData!$C:$C, $H233, NewEmisData!$D:$D, EA$6)</f>
        <v>7.9223624422698202E-2</v>
      </c>
      <c r="EB233" s="1111">
        <f>SUMIFS(NewEmisData!F:F, NewEmisData!$A:$A, $G233, NewEmisData!$B:$B, $A233, NewEmisData!$C:$C, $H233, NewEmisData!$D:$D, EB$6)</f>
        <v>4.9616772406464199E-2</v>
      </c>
      <c r="EC233" s="1111">
        <f>SUMIFS(NewEmisData!G:G, NewEmisData!$A:$A, $G233, NewEmisData!$B:$B, $A233, NewEmisData!$C:$C, $H233, NewEmisData!$D:$D, EC$6)</f>
        <v>1.1730401934771701E-2</v>
      </c>
      <c r="ED233" s="1111">
        <f>SUMIFS(NewEmisData!H:H, NewEmisData!$A:$A, $G233, NewEmisData!$B:$B, $A233, NewEmisData!$C:$C, $H233, NewEmisData!$D:$D, ED$6)</f>
        <v>9.4240573443951908E-3</v>
      </c>
      <c r="EE233" s="1111">
        <f>SUMIFS(NewEmisData!I:I, NewEmisData!$A:$A, $G233, NewEmisData!$B:$B, $A233, NewEmisData!$C:$C, $H233, NewEmisData!$D:$D, EE$6)</f>
        <v>9.2771376980736696E-3</v>
      </c>
      <c r="EF233" s="1111">
        <f>SUMIFS(NewEmisData!J:J, NewEmisData!$A:$A, $G233, NewEmisData!$B:$B, $A233, NewEmisData!$C:$C, $H233, NewEmisData!$D:$D, EF$6)</f>
        <v>9.4970065030402697E-3</v>
      </c>
      <c r="EG233" s="1111">
        <f>SUMIFS(NewEmisData!K:K, NewEmisData!$A:$A, $G233, NewEmisData!$B:$B, $A233, NewEmisData!$C:$C, $H233, NewEmisData!$D:$D, EG$6)</f>
        <v>9.5652604789833208E-3</v>
      </c>
      <c r="EH233" s="1111">
        <f>SUMIFS(NewEmisData!L:L, NewEmisData!$A:$A, $G233, NewEmisData!$B:$B, $A233, NewEmisData!$C:$C, $H233, NewEmisData!$D:$D, EH$6)</f>
        <v>9.6560772920169392E-3</v>
      </c>
      <c r="EI233" s="1111">
        <f>SUMIFS(NewEmisData!M:M, NewEmisData!$A:$A, $G233, NewEmisData!$B:$B, $A233, NewEmisData!$C:$C, $H233, NewEmisData!$D:$D, EI$6)</f>
        <v>9.6867337196690894E-3</v>
      </c>
      <c r="EJ233" s="1111">
        <f t="shared" si="380"/>
        <v>9.6867337196690894E-3</v>
      </c>
      <c r="EK233" s="1111">
        <f t="shared" si="381"/>
        <v>1245.3418505198399</v>
      </c>
      <c r="EL233" s="1111">
        <f t="shared" si="343"/>
        <v>1245.3418505198399</v>
      </c>
      <c r="EM233" s="1111">
        <f t="shared" si="344"/>
        <v>1233.52680028807</v>
      </c>
      <c r="EN233" s="1111">
        <f t="shared" si="345"/>
        <v>1155.77413052821</v>
      </c>
      <c r="EO233" s="1111">
        <f t="shared" si="346"/>
        <v>1137.9436610154601</v>
      </c>
      <c r="EP233" s="1111">
        <f t="shared" si="347"/>
        <v>1112.6987382597499</v>
      </c>
      <c r="EQ233" s="1111">
        <f t="shared" si="348"/>
        <v>1106.54119248744</v>
      </c>
      <c r="ER233" s="1111">
        <f t="shared" si="349"/>
        <v>1105.0069411203201</v>
      </c>
      <c r="ES233" s="1111">
        <f t="shared" si="350"/>
        <v>1104.77778091038</v>
      </c>
      <c r="ET233" s="1111">
        <f t="shared" si="351"/>
        <v>1104.7649925096</v>
      </c>
      <c r="EU233" s="1111">
        <f t="shared" si="352"/>
        <v>1104.7649925096</v>
      </c>
      <c r="EV233" s="1111">
        <f t="shared" si="382"/>
        <v>4.9618269183312798</v>
      </c>
      <c r="EW233" s="1111">
        <f t="shared" si="333"/>
        <v>4.9618269183312798</v>
      </c>
      <c r="EX233" s="1111">
        <f t="shared" si="334"/>
        <v>3.5223524226374598</v>
      </c>
      <c r="EY233" s="1111">
        <f t="shared" si="335"/>
        <v>1.2618027970035901</v>
      </c>
      <c r="EZ233" s="1111">
        <f t="shared" si="336"/>
        <v>0.99784143742540199</v>
      </c>
      <c r="FA233" s="1111">
        <f t="shared" si="337"/>
        <v>0.92115341275504903</v>
      </c>
      <c r="FB233" s="1111">
        <f t="shared" si="338"/>
        <v>0.90873745362837199</v>
      </c>
      <c r="FC233" s="1111">
        <f t="shared" si="339"/>
        <v>0.903404659383922</v>
      </c>
      <c r="FD233" s="1111">
        <f t="shared" si="340"/>
        <v>0.90367749375583695</v>
      </c>
      <c r="FE233" s="1111">
        <f t="shared" si="341"/>
        <v>0.90380303336619205</v>
      </c>
      <c r="FF233" s="1111">
        <f t="shared" si="342"/>
        <v>0.90380303336619205</v>
      </c>
      <c r="FG233" s="1111">
        <f t="shared" si="291"/>
        <v>2.2268353622481699E-2</v>
      </c>
      <c r="FH233" s="1111">
        <f t="shared" si="292"/>
        <v>2.2268353622481699E-2</v>
      </c>
      <c r="FI233" s="1111">
        <f t="shared" si="293"/>
        <v>2.15800397384973E-2</v>
      </c>
      <c r="FJ233" s="1111">
        <f t="shared" si="294"/>
        <v>1.6580182769147099E-2</v>
      </c>
      <c r="FK233" s="1111">
        <f t="shared" si="295"/>
        <v>1.6324389370389901E-2</v>
      </c>
      <c r="FL233" s="1111">
        <f t="shared" si="296"/>
        <v>1.5962239345052798E-2</v>
      </c>
      <c r="FM233" s="1111">
        <f t="shared" si="297"/>
        <v>1.5873905588610002E-2</v>
      </c>
      <c r="FN233" s="1111">
        <f t="shared" si="298"/>
        <v>1.5851896144737601E-2</v>
      </c>
      <c r="FO233" s="1111">
        <f t="shared" si="299"/>
        <v>1.58486207061387E-2</v>
      </c>
      <c r="FP233" s="1111">
        <f t="shared" si="300"/>
        <v>1.5848421937017101E-2</v>
      </c>
      <c r="FQ233" s="1111">
        <f t="shared" si="301"/>
        <v>1.5848421937017101E-2</v>
      </c>
      <c r="FR233" s="1111">
        <f t="shared" si="322"/>
        <v>0.316522847739098</v>
      </c>
      <c r="FS233" s="1111">
        <f t="shared" si="323"/>
        <v>0.316522847739098</v>
      </c>
      <c r="FT233" s="1111">
        <f t="shared" si="324"/>
        <v>0.296906260657962</v>
      </c>
      <c r="FU233" s="1111">
        <f t="shared" si="325"/>
        <v>0.23822746383424401</v>
      </c>
      <c r="FV233" s="1111">
        <f t="shared" si="326"/>
        <v>0.23861290236278199</v>
      </c>
      <c r="FW233" s="1111">
        <f t="shared" si="327"/>
        <v>0.23938243498850501</v>
      </c>
      <c r="FX233" s="1111">
        <f t="shared" si="328"/>
        <v>0.23966935323295199</v>
      </c>
      <c r="FY233" s="1111">
        <f t="shared" si="329"/>
        <v>0.239739729662128</v>
      </c>
      <c r="FZ233" s="1111">
        <f t="shared" si="330"/>
        <v>0.239781897722738</v>
      </c>
      <c r="GA233" s="1111">
        <f t="shared" si="331"/>
        <v>0.23979416449461</v>
      </c>
      <c r="GB233" s="1111">
        <f t="shared" si="332"/>
        <v>0.23979416449461</v>
      </c>
      <c r="GC233" s="1111">
        <f t="shared" si="353"/>
        <v>8.6551780570898199E-2</v>
      </c>
      <c r="GD233" s="1111">
        <f t="shared" si="354"/>
        <v>8.6551780570898199E-2</v>
      </c>
      <c r="GE233" s="1111">
        <f t="shared" si="355"/>
        <v>6.4372293434568101E-2</v>
      </c>
      <c r="GF233" s="1111">
        <f t="shared" si="356"/>
        <v>3.7426910923255501E-2</v>
      </c>
      <c r="GG233" s="1111">
        <f t="shared" si="357"/>
        <v>3.7415863467985699E-2</v>
      </c>
      <c r="GH233" s="1111">
        <f t="shared" si="358"/>
        <v>3.7155994555793902E-2</v>
      </c>
      <c r="GI233" s="1111">
        <f t="shared" si="359"/>
        <v>3.71692451762419E-2</v>
      </c>
      <c r="GJ233" s="1111">
        <f t="shared" si="360"/>
        <v>3.71792258741903E-2</v>
      </c>
      <c r="GK233" s="1111">
        <f t="shared" si="361"/>
        <v>3.7203306400845099E-2</v>
      </c>
      <c r="GL233" s="1111">
        <f t="shared" si="362"/>
        <v>3.7213861680524402E-2</v>
      </c>
      <c r="GM233" s="1111">
        <f t="shared" si="363"/>
        <v>3.7213861680524402E-2</v>
      </c>
    </row>
    <row r="234" spans="1:195" x14ac:dyDescent="0.2">
      <c r="A234" s="1071" t="s">
        <v>190</v>
      </c>
      <c r="B234" s="1071" t="str">
        <f>Technologies!C143</f>
        <v>THSGSL10</v>
      </c>
      <c r="C234" s="1071" t="str">
        <f>Technologies!D143</f>
        <v>Heavy Truck, Short Haul, Gasoline, 2010</v>
      </c>
      <c r="D234" s="1071" t="str">
        <f>NewTech!D96</f>
        <v>bn-vmt, bn-vmt/a</v>
      </c>
      <c r="E234" s="1071" t="str">
        <f>Commodities!C47</f>
        <v>THGSL</v>
      </c>
      <c r="F234" s="1071" t="s">
        <v>98</v>
      </c>
      <c r="G234" s="1110" t="s">
        <v>505</v>
      </c>
      <c r="H234" s="1110" t="s">
        <v>500</v>
      </c>
      <c r="I234" s="1112">
        <v>1</v>
      </c>
      <c r="J234" s="1111" t="str">
        <f t="shared" si="302"/>
        <v>Heavy duty short haul truck-GSL</v>
      </c>
      <c r="K234" s="1111">
        <f>SUMIFS(NewEmisData!E:E, NewEmisData!$A:$A, $G234, NewEmisData!$B:$B, $A234, NewEmisData!$C:$C, $H234, NewEmisData!$D:$D, K$6)</f>
        <v>1241.38928176117</v>
      </c>
      <c r="L234" s="1111">
        <f>SUMIFS(NewEmisData!F:F, NewEmisData!$A:$A, $G234, NewEmisData!$B:$B, $A234, NewEmisData!$C:$C, $H234, NewEmisData!$D:$D, L$6)</f>
        <v>1226.10777955711</v>
      </c>
      <c r="M234" s="1111">
        <f>SUMIFS(NewEmisData!G:G, NewEmisData!$A:$A, $G234, NewEmisData!$B:$B, $A234, NewEmisData!$C:$C, $H234, NewEmisData!$D:$D, M$6)</f>
        <v>1383.33894651986</v>
      </c>
      <c r="N234" s="1111">
        <f>SUMIFS(NewEmisData!H:H, NewEmisData!$A:$A, $G234, NewEmisData!$B:$B, $A234, NewEmisData!$C:$C, $H234, NewEmisData!$D:$D, N$6)</f>
        <v>1356.5010921445701</v>
      </c>
      <c r="O234" s="1111">
        <f>SUMIFS(NewEmisData!I:I, NewEmisData!$A:$A, $G234, NewEmisData!$B:$B, $A234, NewEmisData!$C:$C, $H234, NewEmisData!$D:$D, O$6)</f>
        <v>1306.9931195674901</v>
      </c>
      <c r="P234" s="1111">
        <f>SUMIFS(NewEmisData!J:J, NewEmisData!$A:$A, $G234, NewEmisData!$B:$B, $A234, NewEmisData!$C:$C, $H234, NewEmisData!$D:$D, P$6)</f>
        <v>1294.5393575191799</v>
      </c>
      <c r="Q234" s="1111">
        <f>SUMIFS(NewEmisData!K:K, NewEmisData!$A:$A, $G234, NewEmisData!$B:$B, $A234, NewEmisData!$C:$C, $H234, NewEmisData!$D:$D, Q$6)</f>
        <v>1291.60029261402</v>
      </c>
      <c r="R234" s="1111">
        <f>SUMIFS(NewEmisData!L:L, NewEmisData!$A:$A, $G234, NewEmisData!$B:$B, $A234, NewEmisData!$C:$C, $H234, NewEmisData!$D:$D, R$6)</f>
        <v>1291.22786948009</v>
      </c>
      <c r="S234" s="1111">
        <f>SUMIFS(NewEmisData!M:M, NewEmisData!$A:$A, $G234, NewEmisData!$B:$B, $A234, NewEmisData!$C:$C, $H234, NewEmisData!$D:$D, S$6)</f>
        <v>1291.2762589420699</v>
      </c>
      <c r="T234" s="1111">
        <f t="shared" si="364"/>
        <v>1291.2762589420699</v>
      </c>
      <c r="U234" s="1111">
        <f>SUMIFS(NewEmisData!E:E, NewEmisData!$A:$A, $G234, NewEmisData!$B:$B, $A234, NewEmisData!$C:$C, $H234, NewEmisData!$D:$D, U$6)</f>
        <v>6.2719490238573599</v>
      </c>
      <c r="V234" s="1111">
        <f>SUMIFS(NewEmisData!F:F, NewEmisData!$A:$A, $G234, NewEmisData!$B:$B, $A234, NewEmisData!$C:$C, $H234, NewEmisData!$D:$D, V$6)</f>
        <v>3.54586562371545</v>
      </c>
      <c r="W234" s="1111">
        <f>SUMIFS(NewEmisData!G:G, NewEmisData!$A:$A, $G234, NewEmisData!$B:$B, $A234, NewEmisData!$C:$C, $H234, NewEmisData!$D:$D, W$6)</f>
        <v>1.5390863619428401</v>
      </c>
      <c r="X234" s="1111">
        <f>SUMIFS(NewEmisData!H:H, NewEmisData!$A:$A, $G234, NewEmisData!$B:$B, $A234, NewEmisData!$C:$C, $H234, NewEmisData!$D:$D, X$6)</f>
        <v>1.17307553707704</v>
      </c>
      <c r="Y234" s="1111">
        <f>SUMIFS(NewEmisData!I:I, NewEmisData!$A:$A, $G234, NewEmisData!$B:$B, $A234, NewEmisData!$C:$C, $H234, NewEmisData!$D:$D, Y$6)</f>
        <v>1.0487695492759499</v>
      </c>
      <c r="Z234" s="1111">
        <f>SUMIFS(NewEmisData!J:J, NewEmisData!$A:$A, $G234, NewEmisData!$B:$B, $A234, NewEmisData!$C:$C, $H234, NewEmisData!$D:$D, Z$6)</f>
        <v>1.0243777697646099</v>
      </c>
      <c r="AA234" s="1111">
        <f>SUMIFS(NewEmisData!K:K, NewEmisData!$A:$A, $G234, NewEmisData!$B:$B, $A234, NewEmisData!$C:$C, $H234, NewEmisData!$D:$D, AA$6)</f>
        <v>1.01315476025102</v>
      </c>
      <c r="AB234" s="1111">
        <f>SUMIFS(NewEmisData!L:L, NewEmisData!$A:$A, $G234, NewEmisData!$B:$B, $A234, NewEmisData!$C:$C, $H234, NewEmisData!$D:$D, AB$6)</f>
        <v>1.01368282027686</v>
      </c>
      <c r="AC234" s="1111">
        <f>SUMIFS(NewEmisData!M:M, NewEmisData!$A:$A, $G234, NewEmisData!$B:$B, $A234, NewEmisData!$C:$C, $H234, NewEmisData!$D:$D, AC$6)</f>
        <v>1.0139821488193099</v>
      </c>
      <c r="AD234" s="1111">
        <f t="shared" si="321"/>
        <v>1.0139821488193099</v>
      </c>
      <c r="AE234" s="1111">
        <f t="shared" si="365"/>
        <v>2.1480399186289099E-2</v>
      </c>
      <c r="AF234" s="1111">
        <f>SUMIFS(NewEmisData!E:E, NewEmisData!$A:$A, $G234, NewEmisData!$B:$B, $A234, NewEmisData!$C:$C, $H234, NewEmisData!$D:$D, AF$6)</f>
        <v>2.1480399186289099E-2</v>
      </c>
      <c r="AG234" s="1111">
        <f>SUMIFS(NewEmisData!F:F, NewEmisData!$A:$A, $G234, NewEmisData!$B:$B, $A234, NewEmisData!$C:$C, $H234, NewEmisData!$D:$D, AG$6)</f>
        <v>2.12159707578937E-2</v>
      </c>
      <c r="AH234" s="1111">
        <f>SUMIFS(NewEmisData!G:G, NewEmisData!$A:$A, $G234, NewEmisData!$B:$B, $A234, NewEmisData!$C:$C, $H234, NewEmisData!$D:$D, AH$6)</f>
        <v>1.98447183890453E-2</v>
      </c>
      <c r="AI234" s="1111">
        <f>SUMIFS(NewEmisData!H:H, NewEmisData!$A:$A, $G234, NewEmisData!$B:$B, $A234, NewEmisData!$C:$C, $H234, NewEmisData!$D:$D, AI$6)</f>
        <v>1.9459715058680899E-2</v>
      </c>
      <c r="AJ234" s="1111">
        <f>SUMIFS(NewEmisData!I:I, NewEmisData!$A:$A, $G234, NewEmisData!$B:$B, $A234, NewEmisData!$C:$C, $H234, NewEmisData!$D:$D, AJ$6)</f>
        <v>1.8749491555680699E-2</v>
      </c>
      <c r="AK234" s="1111">
        <f>SUMIFS(NewEmisData!J:J, NewEmisData!$A:$A, $G234, NewEmisData!$B:$B, $A234, NewEmisData!$C:$C, $H234, NewEmisData!$D:$D, AK$6)</f>
        <v>1.8570836872203001E-2</v>
      </c>
      <c r="AL234" s="1111">
        <f>SUMIFS(NewEmisData!K:K, NewEmisData!$A:$A, $G234, NewEmisData!$B:$B, $A234, NewEmisData!$C:$C, $H234, NewEmisData!$D:$D, AL$6)</f>
        <v>1.8528673088893999E-2</v>
      </c>
      <c r="AM234" s="1111">
        <f>SUMIFS(NewEmisData!L:L, NewEmisData!$A:$A, $G234, NewEmisData!$B:$B, $A234, NewEmisData!$C:$C, $H234, NewEmisData!$D:$D, AM$6)</f>
        <v>1.8523329942848499E-2</v>
      </c>
      <c r="AN234" s="1111">
        <f>SUMIFS(NewEmisData!M:M, NewEmisData!$A:$A, $G234, NewEmisData!$B:$B, $A234, NewEmisData!$C:$C, $H234, NewEmisData!$D:$D, AN$6)</f>
        <v>1.85240308404678E-2</v>
      </c>
      <c r="AO234" s="1111">
        <f t="shared" si="366"/>
        <v>1.85240308404678E-2</v>
      </c>
      <c r="AP234" s="1111">
        <f t="shared" si="367"/>
        <v>0.431302480142082</v>
      </c>
      <c r="AQ234" s="1111">
        <f>SUMIFS(NewEmisData!E:E, NewEmisData!$A:$A, $G234, NewEmisData!$B:$B, $A234, NewEmisData!$C:$C, $H234, NewEmisData!$D:$D, AQ$6)</f>
        <v>0.431302480142082</v>
      </c>
      <c r="AR234" s="1111">
        <f>SUMIFS(NewEmisData!F:F, NewEmisData!$A:$A, $G234, NewEmisData!$B:$B, $A234, NewEmisData!$C:$C, $H234, NewEmisData!$D:$D, AR$6)</f>
        <v>0.30380256982536802</v>
      </c>
      <c r="AS234" s="1111">
        <f>SUMIFS(NewEmisData!G:G, NewEmisData!$A:$A, $G234, NewEmisData!$B:$B, $A234, NewEmisData!$C:$C, $H234, NewEmisData!$D:$D, AS$6)</f>
        <v>0.33709491699606497</v>
      </c>
      <c r="AT234" s="1111">
        <f>SUMIFS(NewEmisData!H:H, NewEmisData!$A:$A, $G234, NewEmisData!$B:$B, $A234, NewEmisData!$C:$C, $H234, NewEmisData!$D:$D, AT$6)</f>
        <v>0.33516632877566999</v>
      </c>
      <c r="AU234" s="1111">
        <f>SUMIFS(NewEmisData!I:I, NewEmisData!$A:$A, $G234, NewEmisData!$B:$B, $A234, NewEmisData!$C:$C, $H234, NewEmisData!$D:$D, AU$6)</f>
        <v>0.32912031916096701</v>
      </c>
      <c r="AV234" s="1111">
        <f>SUMIFS(NewEmisData!J:J, NewEmisData!$A:$A, $G234, NewEmisData!$B:$B, $A234, NewEmisData!$C:$C, $H234, NewEmisData!$D:$D, AV$6)</f>
        <v>0.32758501468683399</v>
      </c>
      <c r="AW234" s="1111">
        <f>SUMIFS(NewEmisData!K:K, NewEmisData!$A:$A, $G234, NewEmisData!$B:$B, $A234, NewEmisData!$C:$C, $H234, NewEmisData!$D:$D, AW$6)</f>
        <v>0.32722883547270099</v>
      </c>
      <c r="AX234" s="1111">
        <f>SUMIFS(NewEmisData!L:L, NewEmisData!$A:$A, $G234, NewEmisData!$B:$B, $A234, NewEmisData!$C:$C, $H234, NewEmisData!$D:$D, AX$6)</f>
        <v>0.32719882154575503</v>
      </c>
      <c r="AY234" s="1111">
        <f>SUMIFS(NewEmisData!M:M, NewEmisData!$A:$A, $G234, NewEmisData!$B:$B, $A234, NewEmisData!$C:$C, $H234, NewEmisData!$D:$D, AY$6)</f>
        <v>0.327223389729702</v>
      </c>
      <c r="AZ234" s="1111">
        <f t="shared" si="368"/>
        <v>0.327223389729702</v>
      </c>
      <c r="BA234" s="1111">
        <f t="shared" si="369"/>
        <v>0.17747003545562401</v>
      </c>
      <c r="BB234" s="1111">
        <f>SUMIFS(NewEmisData!E:E, NewEmisData!$A:$A, $G234, NewEmisData!$B:$B, $A234, NewEmisData!$C:$C, $H234, NewEmisData!$D:$D, BB$6)</f>
        <v>0.17747003545562401</v>
      </c>
      <c r="BC234" s="1111">
        <f>SUMIFS(NewEmisData!F:F, NewEmisData!$A:$A, $G234, NewEmisData!$B:$B, $A234, NewEmisData!$C:$C, $H234, NewEmisData!$D:$D, BC$6)</f>
        <v>6.4774980240540195E-2</v>
      </c>
      <c r="BD234" s="1111">
        <f>SUMIFS(NewEmisData!G:G, NewEmisData!$A:$A, $G234, NewEmisData!$B:$B, $A234, NewEmisData!$C:$C, $H234, NewEmisData!$D:$D, BD$6)</f>
        <v>5.2197571243419401E-2</v>
      </c>
      <c r="BE234" s="1111">
        <f>SUMIFS(NewEmisData!H:H, NewEmisData!$A:$A, $G234, NewEmisData!$B:$B, $A234, NewEmisData!$C:$C, $H234, NewEmisData!$D:$D, BE$6)</f>
        <v>5.1709470142354899E-2</v>
      </c>
      <c r="BF234" s="1111">
        <f>SUMIFS(NewEmisData!I:I, NewEmisData!$A:$A, $G234, NewEmisData!$B:$B, $A234, NewEmisData!$C:$C, $H234, NewEmisData!$D:$D, BF$6)</f>
        <v>5.0080554256354597E-2</v>
      </c>
      <c r="BG234" s="1111">
        <f>SUMIFS(NewEmisData!J:J, NewEmisData!$A:$A, $G234, NewEmisData!$B:$B, $A234, NewEmisData!$C:$C, $H234, NewEmisData!$D:$D, BG$6)</f>
        <v>4.9730195246478197E-2</v>
      </c>
      <c r="BH234" s="1111">
        <f>SUMIFS(NewEmisData!K:K, NewEmisData!$A:$A, $G234, NewEmisData!$B:$B, $A234, NewEmisData!$C:$C, $H234, NewEmisData!$D:$D, BH$6)</f>
        <v>4.9636064827908E-2</v>
      </c>
      <c r="BI234" s="1111">
        <f>SUMIFS(NewEmisData!L:L, NewEmisData!$A:$A, $G234, NewEmisData!$B:$B, $A234, NewEmisData!$C:$C, $H234, NewEmisData!$D:$D, BI$6)</f>
        <v>4.96653353802936E-2</v>
      </c>
      <c r="BJ234" s="1111">
        <f>SUMIFS(NewEmisData!M:M, NewEmisData!$A:$A, $G234, NewEmisData!$B:$B, $A234, NewEmisData!$C:$C, $H234, NewEmisData!$D:$D, BJ$6)</f>
        <v>4.9688283166283001E-2</v>
      </c>
      <c r="BK234" s="1111">
        <f t="shared" si="370"/>
        <v>4.9688283166283001E-2</v>
      </c>
      <c r="BL234" s="1111">
        <f t="shared" si="371"/>
        <v>90.191733728878702</v>
      </c>
      <c r="BM234" s="1111">
        <f>SUMIFS(NewEmisData!E:E, NewEmisData!$A:$A, $G234, NewEmisData!$B:$B, $A234, NewEmisData!$C:$C, $H234, NewEmisData!$D:$D, BM$6)</f>
        <v>90.191733728878702</v>
      </c>
      <c r="BN234" s="1111">
        <f>SUMIFS(NewEmisData!F:F, NewEmisData!$A:$A, $G234, NewEmisData!$B:$B, $A234, NewEmisData!$C:$C, $H234, NewEmisData!$D:$D, BN$6)</f>
        <v>57.854593707734402</v>
      </c>
      <c r="BO234" s="1111">
        <f>SUMIFS(NewEmisData!G:G, NewEmisData!$A:$A, $G234, NewEmisData!$B:$B, $A234, NewEmisData!$C:$C, $H234, NewEmisData!$D:$D, BO$6)</f>
        <v>30.439196833936801</v>
      </c>
      <c r="BP234" s="1111">
        <f>SUMIFS(NewEmisData!H:H, NewEmisData!$A:$A, $G234, NewEmisData!$B:$B, $A234, NewEmisData!$C:$C, $H234, NewEmisData!$D:$D, BP$6)</f>
        <v>28.2649013216366</v>
      </c>
      <c r="BQ234" s="1111">
        <f>SUMIFS(NewEmisData!I:I, NewEmisData!$A:$A, $G234, NewEmisData!$B:$B, $A234, NewEmisData!$C:$C, $H234, NewEmisData!$D:$D, BQ$6)</f>
        <v>29.534698697919499</v>
      </c>
      <c r="BR234" s="1111">
        <f>SUMIFS(NewEmisData!J:J, NewEmisData!$A:$A, $G234, NewEmisData!$B:$B, $A234, NewEmisData!$C:$C, $H234, NewEmisData!$D:$D, BR$6)</f>
        <v>30.882451342188901</v>
      </c>
      <c r="BS234" s="1111">
        <f>SUMIFS(NewEmisData!K:K, NewEmisData!$A:$A, $G234, NewEmisData!$B:$B, $A234, NewEmisData!$C:$C, $H234, NewEmisData!$D:$D, BS$6)</f>
        <v>31.2274964250777</v>
      </c>
      <c r="BT234" s="1111">
        <f>SUMIFS(NewEmisData!L:L, NewEmisData!$A:$A, $G234, NewEmisData!$B:$B, $A234, NewEmisData!$C:$C, $H234, NewEmisData!$D:$D, BT$6)</f>
        <v>31.6561745639336</v>
      </c>
      <c r="BU234" s="1111">
        <f>SUMIFS(NewEmisData!M:M, NewEmisData!$A:$A, $G234, NewEmisData!$B:$B, $A234, NewEmisData!$C:$C, $H234, NewEmisData!$D:$D, BU$6)</f>
        <v>31.800591464728001</v>
      </c>
      <c r="BV234" s="1111">
        <f t="shared" si="372"/>
        <v>31.800591464728001</v>
      </c>
      <c r="BW234" s="1111">
        <f t="shared" si="373"/>
        <v>6.1897171455643996</v>
      </c>
      <c r="BX234" s="1111">
        <f>SUMIFS(NewEmisData!E:E, NewEmisData!$A:$A, $G234, NewEmisData!$B:$B, $A234, NewEmisData!$C:$C, $H234, NewEmisData!$D:$D, BX$6)</f>
        <v>6.1897171455643996</v>
      </c>
      <c r="BY234" s="1111">
        <f>SUMIFS(NewEmisData!F:F, NewEmisData!$A:$A, $G234, NewEmisData!$B:$B, $A234, NewEmisData!$C:$C, $H234, NewEmisData!$D:$D, BY$6)</f>
        <v>2.9467128361474</v>
      </c>
      <c r="BZ234" s="1111">
        <f>SUMIFS(NewEmisData!G:G, NewEmisData!$A:$A, $G234, NewEmisData!$B:$B, $A234, NewEmisData!$C:$C, $H234, NewEmisData!$D:$D, BZ$6)</f>
        <v>0.87646546659881797</v>
      </c>
      <c r="CA234" s="1111">
        <f>SUMIFS(NewEmisData!H:H, NewEmisData!$A:$A, $G234, NewEmisData!$B:$B, $A234, NewEmisData!$C:$C, $H234, NewEmisData!$D:$D, CA$6)</f>
        <v>0.63725747288066603</v>
      </c>
      <c r="CB234" s="1111">
        <f>SUMIFS(NewEmisData!I:I, NewEmisData!$A:$A, $G234, NewEmisData!$B:$B, $A234, NewEmisData!$C:$C, $H234, NewEmisData!$D:$D, CB$6)</f>
        <v>0.56209464698364098</v>
      </c>
      <c r="CC234" s="1111">
        <f>SUMIFS(NewEmisData!J:J, NewEmisData!$A:$A, $G234, NewEmisData!$B:$B, $A234, NewEmisData!$C:$C, $H234, NewEmisData!$D:$D, CC$6)</f>
        <v>0.55142425018993102</v>
      </c>
      <c r="CD234" s="1111">
        <f>SUMIFS(NewEmisData!K:K, NewEmisData!$A:$A, $G234, NewEmisData!$B:$B, $A234, NewEmisData!$C:$C, $H234, NewEmisData!$D:$D, CD$6)</f>
        <v>0.54197445474169104</v>
      </c>
      <c r="CE234" s="1111">
        <f>SUMIFS(NewEmisData!L:L, NewEmisData!$A:$A, $G234, NewEmisData!$B:$B, $A234, NewEmisData!$C:$C, $H234, NewEmisData!$D:$D, CE$6)</f>
        <v>0.54705176135937394</v>
      </c>
      <c r="CF234" s="1111">
        <f>SUMIFS(NewEmisData!M:M, NewEmisData!$A:$A, $G234, NewEmisData!$B:$B, $A234, NewEmisData!$C:$C, $H234, NewEmisData!$D:$D, CF$6)</f>
        <v>0.54797129774840603</v>
      </c>
      <c r="CG234" s="1111">
        <f t="shared" si="374"/>
        <v>0.54797129774840603</v>
      </c>
      <c r="CH234" s="1111">
        <f t="shared" si="375"/>
        <v>4.4374916412660802E-2</v>
      </c>
      <c r="CI234" s="1111">
        <f>SUMIFS(NewEmisData!E:E, NewEmisData!$A:$A, $G234, NewEmisData!$B:$B, $A234, NewEmisData!$C:$C, $H234, NewEmisData!$D:$D, CI$6)</f>
        <v>4.4374916412660802E-2</v>
      </c>
      <c r="CJ234" s="1111">
        <f>SUMIFS(NewEmisData!F:F, NewEmisData!$A:$A, $G234, NewEmisData!$B:$B, $A234, NewEmisData!$C:$C, $H234, NewEmisData!$D:$D, CJ$6)</f>
        <v>4.4376196385727797E-2</v>
      </c>
      <c r="CK234" s="1111">
        <f>SUMIFS(NewEmisData!G:G, NewEmisData!$A:$A, $G234, NewEmisData!$B:$B, $A234, NewEmisData!$C:$C, $H234, NewEmisData!$D:$D, CK$6)</f>
        <v>5.2118868523528802E-2</v>
      </c>
      <c r="CL234" s="1111">
        <f>SUMIFS(NewEmisData!H:H, NewEmisData!$A:$A, $G234, NewEmisData!$B:$B, $A234, NewEmisData!$C:$C, $H234, NewEmisData!$D:$D, CL$6)</f>
        <v>5.2132349413666103E-2</v>
      </c>
      <c r="CM234" s="1111">
        <f>SUMIFS(NewEmisData!I:I, NewEmisData!$A:$A, $G234, NewEmisData!$B:$B, $A234, NewEmisData!$C:$C, $H234, NewEmisData!$D:$D, CM$6)</f>
        <v>5.21711043619991E-2</v>
      </c>
      <c r="CN234" s="1111">
        <f>SUMIFS(NewEmisData!J:J, NewEmisData!$A:$A, $G234, NewEmisData!$B:$B, $A234, NewEmisData!$C:$C, $H234, NewEmisData!$D:$D, CN$6)</f>
        <v>5.2181552336128E-2</v>
      </c>
      <c r="CO234" s="1111">
        <f>SUMIFS(NewEmisData!K:K, NewEmisData!$A:$A, $G234, NewEmisData!$B:$B, $A234, NewEmisData!$C:$C, $H234, NewEmisData!$D:$D, CO$6)</f>
        <v>5.21837897669589E-2</v>
      </c>
      <c r="CP234" s="1111">
        <f>SUMIFS(NewEmisData!L:L, NewEmisData!$A:$A, $G234, NewEmisData!$B:$B, $A234, NewEmisData!$C:$C, $H234, NewEmisData!$D:$D, CP$6)</f>
        <v>5.2184377186595597E-2</v>
      </c>
      <c r="CQ234" s="1111">
        <f>SUMIFS(NewEmisData!M:M, NewEmisData!$A:$A, $G234, NewEmisData!$B:$B, $A234, NewEmisData!$C:$C, $H234, NewEmisData!$D:$D, CQ$6)</f>
        <v>5.2184437559851103E-2</v>
      </c>
      <c r="CR234" s="1111">
        <f t="shared" si="376"/>
        <v>5.2184437559851103E-2</v>
      </c>
      <c r="CS234" s="1111">
        <f t="shared" si="377"/>
        <v>0.10324282903592</v>
      </c>
      <c r="CT234" s="1111">
        <f>SUMIFS(NewEmisData!E:E, NewEmisData!$A:$A, $G234, NewEmisData!$B:$B, $A234, NewEmisData!$C:$C, $H234, NewEmisData!$D:$D, CT$6)</f>
        <v>0.10324282903592</v>
      </c>
      <c r="CU234" s="1111">
        <f>SUMIFS(NewEmisData!F:F, NewEmisData!$A:$A, $G234, NewEmisData!$B:$B, $A234, NewEmisData!$C:$C, $H234, NewEmisData!$D:$D, CU$6)</f>
        <v>6.5839025751757901E-2</v>
      </c>
      <c r="CV234" s="1111">
        <f>SUMIFS(NewEmisData!G:G, NewEmisData!$A:$A, $G234, NewEmisData!$B:$B, $A234, NewEmisData!$C:$C, $H234, NewEmisData!$D:$D, CV$6)</f>
        <v>3.3013078185438E-2</v>
      </c>
      <c r="CW234" s="1111">
        <f>SUMIFS(NewEmisData!H:H, NewEmisData!$A:$A, $G234, NewEmisData!$B:$B, $A234, NewEmisData!$C:$C, $H234, NewEmisData!$D:$D, CW$6)</f>
        <v>2.22676216275507E-2</v>
      </c>
      <c r="CX234" s="1111">
        <f>SUMIFS(NewEmisData!I:I, NewEmisData!$A:$A, $G234, NewEmisData!$B:$B, $A234, NewEmisData!$C:$C, $H234, NewEmisData!$D:$D, CX$6)</f>
        <v>1.8691589461130299E-2</v>
      </c>
      <c r="CY234" s="1111">
        <f>SUMIFS(NewEmisData!J:J, NewEmisData!$A:$A, $G234, NewEmisData!$B:$B, $A234, NewEmisData!$C:$C, $H234, NewEmisData!$D:$D, CY$6)</f>
        <v>1.8191418075059002E-2</v>
      </c>
      <c r="CZ234" s="1111">
        <f>SUMIFS(NewEmisData!K:K, NewEmisData!$A:$A, $G234, NewEmisData!$B:$B, $A234, NewEmisData!$C:$C, $H234, NewEmisData!$D:$D, CZ$6)</f>
        <v>1.75998124004558E-2</v>
      </c>
      <c r="DA234" s="1111">
        <f>SUMIFS(NewEmisData!L:L, NewEmisData!$A:$A, $G234, NewEmisData!$B:$B, $A234, NewEmisData!$C:$C, $H234, NewEmisData!$D:$D, DA$6)</f>
        <v>1.77356234724158E-2</v>
      </c>
      <c r="DB234" s="1111">
        <f>SUMIFS(NewEmisData!M:M, NewEmisData!$A:$A, $G234, NewEmisData!$B:$B, $A234, NewEmisData!$C:$C, $H234, NewEmisData!$D:$D, DB$6)</f>
        <v>1.7781712985484099E-2</v>
      </c>
      <c r="DC234" s="1111">
        <f t="shared" si="378"/>
        <v>1.7781712985484099E-2</v>
      </c>
      <c r="DD234" s="1111"/>
      <c r="DE234" s="1111"/>
      <c r="DF234" s="1111"/>
      <c r="DG234" s="1111"/>
      <c r="DH234" s="1111"/>
      <c r="DI234" s="1111"/>
      <c r="DJ234" s="1111"/>
      <c r="DK234" s="1111"/>
      <c r="DL234" s="1111"/>
      <c r="DM234" s="1111"/>
      <c r="DN234" s="1111"/>
      <c r="DO234" s="1111"/>
      <c r="DP234" s="1111"/>
      <c r="DQ234" s="1111"/>
      <c r="DR234" s="1111"/>
      <c r="DS234" s="1111"/>
      <c r="DT234" s="1111"/>
      <c r="DU234" s="1111"/>
      <c r="DV234" s="1111"/>
      <c r="DW234" s="1111"/>
      <c r="DX234" s="1111"/>
      <c r="DY234" s="1111"/>
      <c r="DZ234" s="1111">
        <f t="shared" si="379"/>
        <v>0.34764874845075999</v>
      </c>
      <c r="EA234" s="1111">
        <f>SUMIFS(NewEmisData!E:E, NewEmisData!$A:$A, $G234, NewEmisData!$B:$B, $A234, NewEmisData!$C:$C, $H234, NewEmisData!$D:$D, EA$6)</f>
        <v>0.34764874845075999</v>
      </c>
      <c r="EB234" s="1111">
        <f>SUMIFS(NewEmisData!F:F, NewEmisData!$A:$A, $G234, NewEmisData!$B:$B, $A234, NewEmisData!$C:$C, $H234, NewEmisData!$D:$D, EB$6)</f>
        <v>0.14142715332318501</v>
      </c>
      <c r="EC234" s="1111">
        <f>SUMIFS(NewEmisData!G:G, NewEmisData!$A:$A, $G234, NewEmisData!$B:$B, $A234, NewEmisData!$C:$C, $H234, NewEmisData!$D:$D, EC$6)</f>
        <v>2.8640359201048099E-2</v>
      </c>
      <c r="ED234" s="1111">
        <f>SUMIFS(NewEmisData!H:H, NewEmisData!$A:$A, $G234, NewEmisData!$B:$B, $A234, NewEmisData!$C:$C, $H234, NewEmisData!$D:$D, ED$6)</f>
        <v>2.3851757275478599E-2</v>
      </c>
      <c r="EE234" s="1111">
        <f>SUMIFS(NewEmisData!I:I, NewEmisData!$A:$A, $G234, NewEmisData!$B:$B, $A234, NewEmisData!$C:$C, $H234, NewEmisData!$D:$D, EE$6)</f>
        <v>2.44690782189021E-2</v>
      </c>
      <c r="EF234" s="1111">
        <f>SUMIFS(NewEmisData!J:J, NewEmisData!$A:$A, $G234, NewEmisData!$B:$B, $A234, NewEmisData!$C:$C, $H234, NewEmisData!$D:$D, EF$6)</f>
        <v>2.5450390210075498E-2</v>
      </c>
      <c r="EG234" s="1111">
        <f>SUMIFS(NewEmisData!K:K, NewEmisData!$A:$A, $G234, NewEmisData!$B:$B, $A234, NewEmisData!$C:$C, $H234, NewEmisData!$D:$D, EG$6)</f>
        <v>2.5745715046546401E-2</v>
      </c>
      <c r="EH234" s="1111">
        <f>SUMIFS(NewEmisData!L:L, NewEmisData!$A:$A, $G234, NewEmisData!$B:$B, $A234, NewEmisData!$C:$C, $H234, NewEmisData!$D:$D, EH$6)</f>
        <v>2.6059342938699701E-2</v>
      </c>
      <c r="EI234" s="1111">
        <f>SUMIFS(NewEmisData!M:M, NewEmisData!$A:$A, $G234, NewEmisData!$B:$B, $A234, NewEmisData!$C:$C, $H234, NewEmisData!$D:$D, EI$6)</f>
        <v>2.6160400057414299E-2</v>
      </c>
      <c r="EJ234" s="1111">
        <f t="shared" si="380"/>
        <v>2.6160400057414299E-2</v>
      </c>
      <c r="EK234" s="1111">
        <f t="shared" si="381"/>
        <v>1241.38928176117</v>
      </c>
      <c r="EL234" s="1111">
        <f t="shared" si="343"/>
        <v>1241.38928176117</v>
      </c>
      <c r="EM234" s="1111">
        <f t="shared" si="344"/>
        <v>1226.10777955711</v>
      </c>
      <c r="EN234" s="1111">
        <f t="shared" si="345"/>
        <v>1383.33894651986</v>
      </c>
      <c r="EO234" s="1111">
        <f t="shared" si="346"/>
        <v>1356.5010921445701</v>
      </c>
      <c r="EP234" s="1111">
        <f t="shared" si="347"/>
        <v>1306.9931195674901</v>
      </c>
      <c r="EQ234" s="1111">
        <f t="shared" si="348"/>
        <v>1294.5393575191799</v>
      </c>
      <c r="ER234" s="1111">
        <f t="shared" si="349"/>
        <v>1291.60029261402</v>
      </c>
      <c r="ES234" s="1111">
        <f t="shared" si="350"/>
        <v>1291.22786948009</v>
      </c>
      <c r="ET234" s="1111">
        <f t="shared" si="351"/>
        <v>1291.2762589420699</v>
      </c>
      <c r="EU234" s="1111">
        <f t="shared" si="352"/>
        <v>1291.2762589420699</v>
      </c>
      <c r="EV234" s="1111">
        <f t="shared" si="382"/>
        <v>6.2719490238573599</v>
      </c>
      <c r="EW234" s="1111">
        <f t="shared" si="333"/>
        <v>6.2719490238573599</v>
      </c>
      <c r="EX234" s="1111">
        <f t="shared" si="334"/>
        <v>3.54586562371545</v>
      </c>
      <c r="EY234" s="1111">
        <f t="shared" si="335"/>
        <v>1.5390863619428401</v>
      </c>
      <c r="EZ234" s="1111">
        <f t="shared" si="336"/>
        <v>1.17307553707704</v>
      </c>
      <c r="FA234" s="1111">
        <f t="shared" si="337"/>
        <v>1.0487695492759499</v>
      </c>
      <c r="FB234" s="1111">
        <f t="shared" si="338"/>
        <v>1.0243777697646099</v>
      </c>
      <c r="FC234" s="1111">
        <f t="shared" si="339"/>
        <v>1.01315476025102</v>
      </c>
      <c r="FD234" s="1111">
        <f t="shared" si="340"/>
        <v>1.01368282027686</v>
      </c>
      <c r="FE234" s="1111">
        <f t="shared" si="341"/>
        <v>1.0139821488193099</v>
      </c>
      <c r="FF234" s="1111">
        <f t="shared" si="342"/>
        <v>1.0139821488193099</v>
      </c>
      <c r="FG234" s="1111">
        <f t="shared" si="291"/>
        <v>2.1480399186289099E-2</v>
      </c>
      <c r="FH234" s="1111">
        <f t="shared" si="292"/>
        <v>2.1480399186289099E-2</v>
      </c>
      <c r="FI234" s="1111">
        <f t="shared" si="293"/>
        <v>2.12159707578937E-2</v>
      </c>
      <c r="FJ234" s="1111">
        <f t="shared" si="294"/>
        <v>1.98447183890453E-2</v>
      </c>
      <c r="FK234" s="1111">
        <f t="shared" si="295"/>
        <v>1.9459715058680899E-2</v>
      </c>
      <c r="FL234" s="1111">
        <f t="shared" si="296"/>
        <v>1.8749491555680699E-2</v>
      </c>
      <c r="FM234" s="1111">
        <f t="shared" si="297"/>
        <v>1.8570836872203001E-2</v>
      </c>
      <c r="FN234" s="1111">
        <f t="shared" si="298"/>
        <v>1.8528673088893999E-2</v>
      </c>
      <c r="FO234" s="1111">
        <f t="shared" si="299"/>
        <v>1.8523329942848499E-2</v>
      </c>
      <c r="FP234" s="1111">
        <f t="shared" si="300"/>
        <v>1.85240308404678E-2</v>
      </c>
      <c r="FQ234" s="1111">
        <f t="shared" si="301"/>
        <v>1.85240308404678E-2</v>
      </c>
      <c r="FR234" s="1111">
        <f t="shared" si="322"/>
        <v>0.431302480142082</v>
      </c>
      <c r="FS234" s="1111">
        <f t="shared" si="323"/>
        <v>0.431302480142082</v>
      </c>
      <c r="FT234" s="1111">
        <f t="shared" si="324"/>
        <v>0.30380256982536802</v>
      </c>
      <c r="FU234" s="1111">
        <f t="shared" si="325"/>
        <v>0.33709491699606497</v>
      </c>
      <c r="FV234" s="1111">
        <f t="shared" si="326"/>
        <v>0.33516632877566999</v>
      </c>
      <c r="FW234" s="1111">
        <f t="shared" si="327"/>
        <v>0.32912031916096701</v>
      </c>
      <c r="FX234" s="1111">
        <f t="shared" si="328"/>
        <v>0.32758501468683399</v>
      </c>
      <c r="FY234" s="1111">
        <f t="shared" si="329"/>
        <v>0.32722883547270099</v>
      </c>
      <c r="FZ234" s="1111">
        <f t="shared" si="330"/>
        <v>0.32719882154575503</v>
      </c>
      <c r="GA234" s="1111">
        <f t="shared" si="331"/>
        <v>0.327223389729702</v>
      </c>
      <c r="GB234" s="1111">
        <f t="shared" si="332"/>
        <v>0.327223389729702</v>
      </c>
      <c r="GC234" s="1111">
        <f t="shared" si="353"/>
        <v>0.17747003545562401</v>
      </c>
      <c r="GD234" s="1111">
        <f t="shared" si="354"/>
        <v>0.17747003545562401</v>
      </c>
      <c r="GE234" s="1111">
        <f t="shared" si="355"/>
        <v>6.4774980240540195E-2</v>
      </c>
      <c r="GF234" s="1111">
        <f t="shared" si="356"/>
        <v>5.2197571243419401E-2</v>
      </c>
      <c r="GG234" s="1111">
        <f t="shared" si="357"/>
        <v>5.1709470142354899E-2</v>
      </c>
      <c r="GH234" s="1111">
        <f t="shared" si="358"/>
        <v>5.0080554256354597E-2</v>
      </c>
      <c r="GI234" s="1111">
        <f t="shared" si="359"/>
        <v>4.9730195246478197E-2</v>
      </c>
      <c r="GJ234" s="1111">
        <f t="shared" si="360"/>
        <v>4.9636064827908E-2</v>
      </c>
      <c r="GK234" s="1111">
        <f t="shared" si="361"/>
        <v>4.96653353802936E-2</v>
      </c>
      <c r="GL234" s="1111">
        <f t="shared" si="362"/>
        <v>4.9688283166283001E-2</v>
      </c>
      <c r="GM234" s="1111">
        <f t="shared" si="363"/>
        <v>4.9688283166283001E-2</v>
      </c>
    </row>
    <row r="235" spans="1:195" x14ac:dyDescent="0.2">
      <c r="A235" s="1071" t="s">
        <v>182</v>
      </c>
      <c r="B235" s="1071" t="str">
        <f>Technologies!C145</f>
        <v>THSDSLC10</v>
      </c>
      <c r="C235" s="1071" t="str">
        <f>Technologies!D145</f>
        <v>Heavy Truck, Short Haul, Conventional Diesel 2010</v>
      </c>
      <c r="D235" s="1071" t="str">
        <f>NewTech!D97</f>
        <v>bn-vmt, bn-vmt/a</v>
      </c>
      <c r="E235" s="1071" t="str">
        <f>Commodities!C$44</f>
        <v>THDSL</v>
      </c>
      <c r="F235" s="1071" t="s">
        <v>98</v>
      </c>
      <c r="G235" s="1110" t="s">
        <v>505</v>
      </c>
      <c r="H235" s="1110" t="s">
        <v>499</v>
      </c>
      <c r="I235" s="1112">
        <v>1</v>
      </c>
      <c r="J235" s="1111" t="str">
        <f t="shared" si="302"/>
        <v>Heavy duty short haul truck-DSL</v>
      </c>
      <c r="K235" s="1111">
        <f>SUMIFS(NewEmisData!E:E, NewEmisData!$A:$A, $G235, NewEmisData!$B:$B, $A235, NewEmisData!$C:$C, $H235, NewEmisData!$D:$D, K$6)</f>
        <v>1482.5754764799101</v>
      </c>
      <c r="L235" s="1111">
        <f>SUMIFS(NewEmisData!F:F, NewEmisData!$A:$A, $G235, NewEmisData!$B:$B, $A235, NewEmisData!$C:$C, $H235, NewEmisData!$D:$D, L$6)</f>
        <v>1635.6442478660899</v>
      </c>
      <c r="M235" s="1111">
        <f>SUMIFS(NewEmisData!G:G, NewEmisData!$A:$A, $G235, NewEmisData!$B:$B, $A235, NewEmisData!$C:$C, $H235, NewEmisData!$D:$D, M$6)</f>
        <v>2107.1372534500802</v>
      </c>
      <c r="N235" s="1111">
        <f>SUMIFS(NewEmisData!H:H, NewEmisData!$A:$A, $G235, NewEmisData!$B:$B, $A235, NewEmisData!$C:$C, $H235, NewEmisData!$D:$D, N$6)</f>
        <v>2071.9319953702902</v>
      </c>
      <c r="O235" s="1111">
        <f>SUMIFS(NewEmisData!I:I, NewEmisData!$A:$A, $G235, NewEmisData!$B:$B, $A235, NewEmisData!$C:$C, $H235, NewEmisData!$D:$D, O$6)</f>
        <v>2048.5012080599699</v>
      </c>
      <c r="P235" s="1111">
        <f>SUMIFS(NewEmisData!J:J, NewEmisData!$A:$A, $G235, NewEmisData!$B:$B, $A235, NewEmisData!$C:$C, $H235, NewEmisData!$D:$D, P$6)</f>
        <v>2041.23090502932</v>
      </c>
      <c r="Q235" s="1111">
        <f>SUMIFS(NewEmisData!K:K, NewEmisData!$A:$A, $G235, NewEmisData!$B:$B, $A235, NewEmisData!$C:$C, $H235, NewEmisData!$D:$D, Q$6)</f>
        <v>2038.8712683316101</v>
      </c>
      <c r="R235" s="1111">
        <f>SUMIFS(NewEmisData!L:L, NewEmisData!$A:$A, $G235, NewEmisData!$B:$B, $A235, NewEmisData!$C:$C, $H235, NewEmisData!$D:$D, R$6)</f>
        <v>2037.89380685326</v>
      </c>
      <c r="S235" s="1111">
        <f>SUMIFS(NewEmisData!M:M, NewEmisData!$A:$A, $G235, NewEmisData!$B:$B, $A235, NewEmisData!$C:$C, $H235, NewEmisData!$D:$D, S$6)</f>
        <v>2037.18147825705</v>
      </c>
      <c r="T235" s="1111">
        <f t="shared" si="364"/>
        <v>2037.18147825705</v>
      </c>
      <c r="U235" s="1111">
        <f>SUMIFS(NewEmisData!E:E, NewEmisData!$A:$A, $G235, NewEmisData!$B:$B, $A235, NewEmisData!$C:$C, $H235, NewEmisData!$D:$D, U$6)</f>
        <v>11.638950039279999</v>
      </c>
      <c r="V235" s="1111">
        <f>SUMIFS(NewEmisData!F:F, NewEmisData!$A:$A, $G235, NewEmisData!$B:$B, $A235, NewEmisData!$C:$C, $H235, NewEmisData!$D:$D, V$6)</f>
        <v>6.7839244745049401</v>
      </c>
      <c r="W235" s="1111">
        <f>SUMIFS(NewEmisData!G:G, NewEmisData!$A:$A, $G235, NewEmisData!$B:$B, $A235, NewEmisData!$C:$C, $H235, NewEmisData!$D:$D, W$6)</f>
        <v>4.3925354378646304</v>
      </c>
      <c r="X235" s="1111">
        <f>SUMIFS(NewEmisData!H:H, NewEmisData!$A:$A, $G235, NewEmisData!$B:$B, $A235, NewEmisData!$C:$C, $H235, NewEmisData!$D:$D, X$6)</f>
        <v>2.6191347420861701</v>
      </c>
      <c r="Y235" s="1111">
        <f>SUMIFS(NewEmisData!I:I, NewEmisData!$A:$A, $G235, NewEmisData!$B:$B, $A235, NewEmisData!$C:$C, $H235, NewEmisData!$D:$D, Y$6)</f>
        <v>2.06534470659102</v>
      </c>
      <c r="Z235" s="1111">
        <f>SUMIFS(NewEmisData!J:J, NewEmisData!$A:$A, $G235, NewEmisData!$B:$B, $A235, NewEmisData!$C:$C, $H235, NewEmisData!$D:$D, Z$6)</f>
        <v>1.9514955612034099</v>
      </c>
      <c r="AA235" s="1111">
        <f>SUMIFS(NewEmisData!K:K, NewEmisData!$A:$A, $G235, NewEmisData!$B:$B, $A235, NewEmisData!$C:$C, $H235, NewEmisData!$D:$D, AA$6)</f>
        <v>1.9247847205619899</v>
      </c>
      <c r="AB235" s="1111">
        <f>SUMIFS(NewEmisData!L:L, NewEmisData!$A:$A, $G235, NewEmisData!$B:$B, $A235, NewEmisData!$C:$C, $H235, NewEmisData!$D:$D, AB$6)</f>
        <v>1.9239170224512001</v>
      </c>
      <c r="AC235" s="1111">
        <f>SUMIFS(NewEmisData!M:M, NewEmisData!$A:$A, $G235, NewEmisData!$B:$B, $A235, NewEmisData!$C:$C, $H235, NewEmisData!$D:$D, AC$6)</f>
        <v>1.92345457739672</v>
      </c>
      <c r="AD235" s="1111">
        <f t="shared" si="321"/>
        <v>1.92345457739672</v>
      </c>
      <c r="AE235" s="1111">
        <f t="shared" si="365"/>
        <v>3.6844240816642601E-2</v>
      </c>
      <c r="AF235" s="1111">
        <f>SUMIFS(NewEmisData!E:E, NewEmisData!$A:$A, $G235, NewEmisData!$B:$B, $A235, NewEmisData!$C:$C, $H235, NewEmisData!$D:$D, AF$6)</f>
        <v>3.6844240816642601E-2</v>
      </c>
      <c r="AG235" s="1111">
        <f>SUMIFS(NewEmisData!F:F, NewEmisData!$A:$A, $G235, NewEmisData!$B:$B, $A235, NewEmisData!$C:$C, $H235, NewEmisData!$D:$D, AG$6)</f>
        <v>3.9353507212849297E-2</v>
      </c>
      <c r="AH235" s="1111">
        <f>SUMIFS(NewEmisData!G:G, NewEmisData!$A:$A, $G235, NewEmisData!$B:$B, $A235, NewEmisData!$C:$C, $H235, NewEmisData!$D:$D, AH$6)</f>
        <v>1.7702463178777099E-2</v>
      </c>
      <c r="AI235" s="1111">
        <f>SUMIFS(NewEmisData!H:H, NewEmisData!$A:$A, $G235, NewEmisData!$B:$B, $A235, NewEmisData!$C:$C, $H235, NewEmisData!$D:$D, AI$6)</f>
        <v>1.7311059741913899E-2</v>
      </c>
      <c r="AJ235" s="1111">
        <f>SUMIFS(NewEmisData!I:I, NewEmisData!$A:$A, $G235, NewEmisData!$B:$B, $A235, NewEmisData!$C:$C, $H235, NewEmisData!$D:$D, AJ$6)</f>
        <v>1.70853991434037E-2</v>
      </c>
      <c r="AK235" s="1111">
        <f>SUMIFS(NewEmisData!J:J, NewEmisData!$A:$A, $G235, NewEmisData!$B:$B, $A235, NewEmisData!$C:$C, $H235, NewEmisData!$D:$D, AK$6)</f>
        <v>1.70195621794277E-2</v>
      </c>
      <c r="AL235" s="1111">
        <f>SUMIFS(NewEmisData!K:K, NewEmisData!$A:$A, $G235, NewEmisData!$B:$B, $A235, NewEmisData!$C:$C, $H235, NewEmisData!$D:$D, AL$6)</f>
        <v>1.69983226363635E-2</v>
      </c>
      <c r="AM235" s="1111">
        <f>SUMIFS(NewEmisData!L:L, NewEmisData!$A:$A, $G235, NewEmisData!$B:$B, $A235, NewEmisData!$C:$C, $H235, NewEmisData!$D:$D, AM$6)</f>
        <v>1.6990168303807101E-2</v>
      </c>
      <c r="AN235" s="1111">
        <f>SUMIFS(NewEmisData!M:M, NewEmisData!$A:$A, $G235, NewEmisData!$B:$B, $A235, NewEmisData!$C:$C, $H235, NewEmisData!$D:$D, AN$6)</f>
        <v>1.69842326570817E-2</v>
      </c>
      <c r="AO235" s="1111">
        <f t="shared" si="366"/>
        <v>1.69842326570817E-2</v>
      </c>
      <c r="AP235" s="1111">
        <f t="shared" si="367"/>
        <v>1.2647150782943599</v>
      </c>
      <c r="AQ235" s="1111">
        <f>SUMIFS(NewEmisData!E:E, NewEmisData!$A:$A, $G235, NewEmisData!$B:$B, $A235, NewEmisData!$C:$C, $H235, NewEmisData!$D:$D, AQ$6)</f>
        <v>1.2647150782943599</v>
      </c>
      <c r="AR235" s="1111">
        <f>SUMIFS(NewEmisData!F:F, NewEmisData!$A:$A, $G235, NewEmisData!$B:$B, $A235, NewEmisData!$C:$C, $H235, NewEmisData!$D:$D, AR$6)</f>
        <v>0.82297495230985995</v>
      </c>
      <c r="AS235" s="1111">
        <f>SUMIFS(NewEmisData!G:G, NewEmisData!$A:$A, $G235, NewEmisData!$B:$B, $A235, NewEmisData!$C:$C, $H235, NewEmisData!$D:$D, AS$6)</f>
        <v>0.78295839522434196</v>
      </c>
      <c r="AT235" s="1111">
        <f>SUMIFS(NewEmisData!H:H, NewEmisData!$A:$A, $G235, NewEmisData!$B:$B, $A235, NewEmisData!$C:$C, $H235, NewEmisData!$D:$D, AT$6)</f>
        <v>0.68016675260069404</v>
      </c>
      <c r="AU235" s="1111">
        <f>SUMIFS(NewEmisData!I:I, NewEmisData!$A:$A, $G235, NewEmisData!$B:$B, $A235, NewEmisData!$C:$C, $H235, NewEmisData!$D:$D, AU$6)</f>
        <v>0.64888550894506702</v>
      </c>
      <c r="AV235" s="1111">
        <f>SUMIFS(NewEmisData!J:J, NewEmisData!$A:$A, $G235, NewEmisData!$B:$B, $A235, NewEmisData!$C:$C, $H235, NewEmisData!$D:$D, AV$6)</f>
        <v>0.64362415371119697</v>
      </c>
      <c r="AW235" s="1111">
        <f>SUMIFS(NewEmisData!K:K, NewEmisData!$A:$A, $G235, NewEmisData!$B:$B, $A235, NewEmisData!$C:$C, $H235, NewEmisData!$D:$D, AW$6)</f>
        <v>0.64216665150257801</v>
      </c>
      <c r="AX235" s="1111">
        <f>SUMIFS(NewEmisData!L:L, NewEmisData!$A:$A, $G235, NewEmisData!$B:$B, $A235, NewEmisData!$C:$C, $H235, NewEmisData!$D:$D, AX$6)</f>
        <v>0.64212477573891902</v>
      </c>
      <c r="AY235" s="1111">
        <f>SUMIFS(NewEmisData!M:M, NewEmisData!$A:$A, $G235, NewEmisData!$B:$B, $A235, NewEmisData!$C:$C, $H235, NewEmisData!$D:$D, AY$6)</f>
        <v>0.64210952076406802</v>
      </c>
      <c r="AZ235" s="1111">
        <f t="shared" si="368"/>
        <v>0.64210952076406802</v>
      </c>
      <c r="BA235" s="1111">
        <f t="shared" si="369"/>
        <v>0.85268225231092398</v>
      </c>
      <c r="BB235" s="1111">
        <f>SUMIFS(NewEmisData!E:E, NewEmisData!$A:$A, $G235, NewEmisData!$B:$B, $A235, NewEmisData!$C:$C, $H235, NewEmisData!$D:$D, BB$6)</f>
        <v>0.85268225231092398</v>
      </c>
      <c r="BC235" s="1111">
        <f>SUMIFS(NewEmisData!F:F, NewEmisData!$A:$A, $G235, NewEmisData!$B:$B, $A235, NewEmisData!$C:$C, $H235, NewEmisData!$D:$D, BC$6)</f>
        <v>0.44197863249122399</v>
      </c>
      <c r="BD235" s="1111">
        <f>SUMIFS(NewEmisData!G:G, NewEmisData!$A:$A, $G235, NewEmisData!$B:$B, $A235, NewEmisData!$C:$C, $H235, NewEmisData!$D:$D, BD$6)</f>
        <v>0.24083520219764601</v>
      </c>
      <c r="BE235" s="1111">
        <f>SUMIFS(NewEmisData!H:H, NewEmisData!$A:$A, $G235, NewEmisData!$B:$B, $A235, NewEmisData!$C:$C, $H235, NewEmisData!$D:$D, BE$6)</f>
        <v>0.148362414161788</v>
      </c>
      <c r="BF235" s="1111">
        <f>SUMIFS(NewEmisData!I:I, NewEmisData!$A:$A, $G235, NewEmisData!$B:$B, $A235, NewEmisData!$C:$C, $H235, NewEmisData!$D:$D, BF$6)</f>
        <v>0.11982020029779999</v>
      </c>
      <c r="BG235" s="1111">
        <f>SUMIFS(NewEmisData!J:J, NewEmisData!$A:$A, $G235, NewEmisData!$B:$B, $A235, NewEmisData!$C:$C, $H235, NewEmisData!$D:$D, BG$6)</f>
        <v>0.115075397080156</v>
      </c>
      <c r="BH235" s="1111">
        <f>SUMIFS(NewEmisData!K:K, NewEmisData!$A:$A, $G235, NewEmisData!$B:$B, $A235, NewEmisData!$C:$C, $H235, NewEmisData!$D:$D, BH$6)</f>
        <v>0.113741063740516</v>
      </c>
      <c r="BI235" s="1111">
        <f>SUMIFS(NewEmisData!L:L, NewEmisData!$A:$A, $G235, NewEmisData!$B:$B, $A235, NewEmisData!$C:$C, $H235, NewEmisData!$D:$D, BI$6)</f>
        <v>0.113717400839903</v>
      </c>
      <c r="BJ235" s="1111">
        <f>SUMIFS(NewEmisData!M:M, NewEmisData!$A:$A, $G235, NewEmisData!$B:$B, $A235, NewEmisData!$C:$C, $H235, NewEmisData!$D:$D, BJ$6)</f>
        <v>0.11370438522677</v>
      </c>
      <c r="BK235" s="1111">
        <f t="shared" si="370"/>
        <v>0.11370438522677</v>
      </c>
      <c r="BL235" s="1111">
        <f t="shared" si="371"/>
        <v>5.0328469585193201</v>
      </c>
      <c r="BM235" s="1111">
        <f>SUMIFS(NewEmisData!E:E, NewEmisData!$A:$A, $G235, NewEmisData!$B:$B, $A235, NewEmisData!$C:$C, $H235, NewEmisData!$D:$D, BM$6)</f>
        <v>5.0328469585193201</v>
      </c>
      <c r="BN235" s="1111">
        <f>SUMIFS(NewEmisData!F:F, NewEmisData!$A:$A, $G235, NewEmisData!$B:$B, $A235, NewEmisData!$C:$C, $H235, NewEmisData!$D:$D, BN$6)</f>
        <v>2.6827852293663099</v>
      </c>
      <c r="BO235" s="1111">
        <f>SUMIFS(NewEmisData!G:G, NewEmisData!$A:$A, $G235, NewEmisData!$B:$B, $A235, NewEmisData!$C:$C, $H235, NewEmisData!$D:$D, BO$6)</f>
        <v>1.7356120209921699</v>
      </c>
      <c r="BP235" s="1111">
        <f>SUMIFS(NewEmisData!H:H, NewEmisData!$A:$A, $G235, NewEmisData!$B:$B, $A235, NewEmisData!$C:$C, $H235, NewEmisData!$D:$D, BP$6)</f>
        <v>1.1963534366450099</v>
      </c>
      <c r="BQ235" s="1111">
        <f>SUMIFS(NewEmisData!I:I, NewEmisData!$A:$A, $G235, NewEmisData!$B:$B, $A235, NewEmisData!$C:$C, $H235, NewEmisData!$D:$D, BQ$6)</f>
        <v>1.0323047664296401</v>
      </c>
      <c r="BR235" s="1111">
        <f>SUMIFS(NewEmisData!J:J, NewEmisData!$A:$A, $G235, NewEmisData!$B:$B, $A235, NewEmisData!$C:$C, $H235, NewEmisData!$D:$D, BR$6)</f>
        <v>0.995595558537549</v>
      </c>
      <c r="BS235" s="1111">
        <f>SUMIFS(NewEmisData!K:K, NewEmisData!$A:$A, $G235, NewEmisData!$B:$B, $A235, NewEmisData!$C:$C, $H235, NewEmisData!$D:$D, BS$6)</f>
        <v>0.98556754943244496</v>
      </c>
      <c r="BT235" s="1111">
        <f>SUMIFS(NewEmisData!L:L, NewEmisData!$A:$A, $G235, NewEmisData!$B:$B, $A235, NewEmisData!$C:$C, $H235, NewEmisData!$D:$D, BT$6)</f>
        <v>0.98409018482975696</v>
      </c>
      <c r="BU235" s="1111">
        <f>SUMIFS(NewEmisData!M:M, NewEmisData!$A:$A, $G235, NewEmisData!$B:$B, $A235, NewEmisData!$C:$C, $H235, NewEmisData!$D:$D, BU$6)</f>
        <v>0.98392055504691101</v>
      </c>
      <c r="BV235" s="1111">
        <f t="shared" si="372"/>
        <v>0.98392055504691101</v>
      </c>
      <c r="BW235" s="1111">
        <f t="shared" si="373"/>
        <v>1.47076719543515</v>
      </c>
      <c r="BX235" s="1111">
        <f>SUMIFS(NewEmisData!E:E, NewEmisData!$A:$A, $G235, NewEmisData!$B:$B, $A235, NewEmisData!$C:$C, $H235, NewEmisData!$D:$D, BX$6)</f>
        <v>1.47076719543515</v>
      </c>
      <c r="BY235" s="1111">
        <f>SUMIFS(NewEmisData!F:F, NewEmisData!$A:$A, $G235, NewEmisData!$B:$B, $A235, NewEmisData!$C:$C, $H235, NewEmisData!$D:$D, BY$6)</f>
        <v>0.68796701308964903</v>
      </c>
      <c r="BZ235" s="1111">
        <f>SUMIFS(NewEmisData!G:G, NewEmisData!$A:$A, $G235, NewEmisData!$B:$B, $A235, NewEmisData!$C:$C, $H235, NewEmisData!$D:$D, BZ$6)</f>
        <v>0.402812160133037</v>
      </c>
      <c r="CA235" s="1111">
        <f>SUMIFS(NewEmisData!H:H, NewEmisData!$A:$A, $G235, NewEmisData!$B:$B, $A235, NewEmisData!$C:$C, $H235, NewEmisData!$D:$D, CA$6)</f>
        <v>0.22250982610906</v>
      </c>
      <c r="CB235" s="1111">
        <f>SUMIFS(NewEmisData!I:I, NewEmisData!$A:$A, $G235, NewEmisData!$B:$B, $A235, NewEmisData!$C:$C, $H235, NewEmisData!$D:$D, CB$6)</f>
        <v>0.16724007620430001</v>
      </c>
      <c r="CC235" s="1111">
        <f>SUMIFS(NewEmisData!J:J, NewEmisData!$A:$A, $G235, NewEmisData!$B:$B, $A235, NewEmisData!$C:$C, $H235, NewEmisData!$D:$D, CC$6)</f>
        <v>0.15629916703885099</v>
      </c>
      <c r="CD235" s="1111">
        <f>SUMIFS(NewEmisData!K:K, NewEmisData!$A:$A, $G235, NewEmisData!$B:$B, $A235, NewEmisData!$C:$C, $H235, NewEmisData!$D:$D, CD$6)</f>
        <v>0.15328186767858501</v>
      </c>
      <c r="CE235" s="1111">
        <f>SUMIFS(NewEmisData!L:L, NewEmisData!$A:$A, $G235, NewEmisData!$B:$B, $A235, NewEmisData!$C:$C, $H235, NewEmisData!$D:$D, CE$6)</f>
        <v>0.15319941180844801</v>
      </c>
      <c r="CF235" s="1111">
        <f>SUMIFS(NewEmisData!M:M, NewEmisData!$A:$A, $G235, NewEmisData!$B:$B, $A235, NewEmisData!$C:$C, $H235, NewEmisData!$D:$D, CF$6)</f>
        <v>0.15317662764687001</v>
      </c>
      <c r="CG235" s="1111">
        <f t="shared" si="374"/>
        <v>0.15317662764687001</v>
      </c>
      <c r="CH235" s="1111">
        <f t="shared" si="375"/>
        <v>2.7376905675536502E-2</v>
      </c>
      <c r="CI235" s="1111">
        <f>SUMIFS(NewEmisData!E:E, NewEmisData!$A:$A, $G235, NewEmisData!$B:$B, $A235, NewEmisData!$C:$C, $H235, NewEmisData!$D:$D, CI$6)</f>
        <v>2.7376905675536502E-2</v>
      </c>
      <c r="CJ235" s="1111">
        <f>SUMIFS(NewEmisData!F:F, NewEmisData!$A:$A, $G235, NewEmisData!$B:$B, $A235, NewEmisData!$C:$C, $H235, NewEmisData!$D:$D, CJ$6)</f>
        <v>2.7641391273496001E-2</v>
      </c>
      <c r="CK235" s="1111">
        <f>SUMIFS(NewEmisData!G:G, NewEmisData!$A:$A, $G235, NewEmisData!$B:$B, $A235, NewEmisData!$C:$C, $H235, NewEmisData!$D:$D, CK$6)</f>
        <v>3.7783493564809902E-2</v>
      </c>
      <c r="CL235" s="1111">
        <f>SUMIFS(NewEmisData!H:H, NewEmisData!$A:$A, $G235, NewEmisData!$B:$B, $A235, NewEmisData!$C:$C, $H235, NewEmisData!$D:$D, CL$6)</f>
        <v>3.7791768560113202E-2</v>
      </c>
      <c r="CM235" s="1111">
        <f>SUMIFS(NewEmisData!I:I, NewEmisData!$A:$A, $G235, NewEmisData!$B:$B, $A235, NewEmisData!$C:$C, $H235, NewEmisData!$D:$D, CM$6)</f>
        <v>3.7796042393498999E-2</v>
      </c>
      <c r="CN235" s="1111">
        <f>SUMIFS(NewEmisData!J:J, NewEmisData!$A:$A, $G235, NewEmisData!$B:$B, $A235, NewEmisData!$C:$C, $H235, NewEmisData!$D:$D, CN$6)</f>
        <v>3.7797273059285798E-2</v>
      </c>
      <c r="CO235" s="1111">
        <f>SUMIFS(NewEmisData!K:K, NewEmisData!$A:$A, $G235, NewEmisData!$B:$B, $A235, NewEmisData!$C:$C, $H235, NewEmisData!$D:$D, CO$6)</f>
        <v>3.7797290465285301E-2</v>
      </c>
      <c r="CP235" s="1111">
        <f>SUMIFS(NewEmisData!L:L, NewEmisData!$A:$A, $G235, NewEmisData!$B:$B, $A235, NewEmisData!$C:$C, $H235, NewEmisData!$D:$D, CP$6)</f>
        <v>3.77969592669226E-2</v>
      </c>
      <c r="CQ235" s="1111">
        <f>SUMIFS(NewEmisData!M:M, NewEmisData!$A:$A, $G235, NewEmisData!$B:$B, $A235, NewEmisData!$C:$C, $H235, NewEmisData!$D:$D, CQ$6)</f>
        <v>3.7796456239744897E-2</v>
      </c>
      <c r="CR235" s="1111">
        <f t="shared" si="376"/>
        <v>3.7796456239744897E-2</v>
      </c>
      <c r="CS235" s="1111">
        <f t="shared" si="377"/>
        <v>4.5435437093963096E-3</v>
      </c>
      <c r="CT235" s="1111">
        <f>SUMIFS(NewEmisData!E:E, NewEmisData!$A:$A, $G235, NewEmisData!$B:$B, $A235, NewEmisData!$C:$C, $H235, NewEmisData!$D:$D, CT$6)</f>
        <v>4.5435437093963096E-3</v>
      </c>
      <c r="CU235" s="1111">
        <f>SUMIFS(NewEmisData!F:F, NewEmisData!$A:$A, $G235, NewEmisData!$B:$B, $A235, NewEmisData!$C:$C, $H235, NewEmisData!$D:$D, CU$6)</f>
        <v>4.4398754909713801E-3</v>
      </c>
      <c r="CV235" s="1111">
        <f>SUMIFS(NewEmisData!G:G, NewEmisData!$A:$A, $G235, NewEmisData!$B:$B, $A235, NewEmisData!$C:$C, $H235, NewEmisData!$D:$D, CV$6)</f>
        <v>6.8039701300534198E-3</v>
      </c>
      <c r="CW235" s="1111">
        <f>SUMIFS(NewEmisData!H:H, NewEmisData!$A:$A, $G235, NewEmisData!$B:$B, $A235, NewEmisData!$C:$C, $H235, NewEmisData!$D:$D, CW$6)</f>
        <v>6.7823537903093098E-3</v>
      </c>
      <c r="CX235" s="1111">
        <f>SUMIFS(NewEmisData!I:I, NewEmisData!$A:$A, $G235, NewEmisData!$B:$B, $A235, NewEmisData!$C:$C, $H235, NewEmisData!$D:$D, CX$6)</f>
        <v>6.7664266882471596E-3</v>
      </c>
      <c r="CY235" s="1111">
        <f>SUMIFS(NewEmisData!J:J, NewEmisData!$A:$A, $G235, NewEmisData!$B:$B, $A235, NewEmisData!$C:$C, $H235, NewEmisData!$D:$D, CY$6)</f>
        <v>6.7587032892351797E-3</v>
      </c>
      <c r="CZ235" s="1111">
        <f>SUMIFS(NewEmisData!K:K, NewEmisData!$A:$A, $G235, NewEmisData!$B:$B, $A235, NewEmisData!$C:$C, $H235, NewEmisData!$D:$D, CZ$6)</f>
        <v>6.7553372449461798E-3</v>
      </c>
      <c r="DA235" s="1111">
        <f>SUMIFS(NewEmisData!L:L, NewEmisData!$A:$A, $G235, NewEmisData!$B:$B, $A235, NewEmisData!$C:$C, $H235, NewEmisData!$D:$D, DA$6)</f>
        <v>6.75420201921096E-3</v>
      </c>
      <c r="DB235" s="1111">
        <f>SUMIFS(NewEmisData!M:M, NewEmisData!$A:$A, $G235, NewEmisData!$B:$B, $A235, NewEmisData!$C:$C, $H235, NewEmisData!$D:$D, DB$6)</f>
        <v>6.7544025642624697E-3</v>
      </c>
      <c r="DC235" s="1111">
        <f t="shared" si="378"/>
        <v>6.7544025642624697E-3</v>
      </c>
      <c r="DD235" s="1111">
        <v>0.39397857160683847</v>
      </c>
      <c r="DE235" s="1111">
        <v>0.22910001041476069</v>
      </c>
      <c r="DF235" s="1111">
        <v>9.3891703000443583E-2</v>
      </c>
      <c r="DG235" s="1111">
        <v>1.7189501227545343E-2</v>
      </c>
      <c r="DH235" s="1111">
        <v>1.6160522719819933E-3</v>
      </c>
      <c r="DI235" s="1111">
        <v>1.6049653935622851E-3</v>
      </c>
      <c r="DJ235" s="1111">
        <v>1.6049983985356002E-3</v>
      </c>
      <c r="DK235" s="1111">
        <v>1.6098230122520154E-3</v>
      </c>
      <c r="DL235" s="1111">
        <v>1.6179747100716357E-3</v>
      </c>
      <c r="DM235" s="1111">
        <v>1.6245560853542357E-3</v>
      </c>
      <c r="DN235" s="1111">
        <v>1.6245560853542357E-3</v>
      </c>
      <c r="DO235" s="1111">
        <v>0.2153272217366988</v>
      </c>
      <c r="DP235" s="1111">
        <v>0.14953249017733392</v>
      </c>
      <c r="DQ235" s="1111">
        <v>6.7441600946284805E-2</v>
      </c>
      <c r="DR235" s="1111">
        <v>1.3565246309733816E-2</v>
      </c>
      <c r="DS235" s="1111">
        <v>2.8097295233125079E-3</v>
      </c>
      <c r="DT235" s="1111">
        <v>2.7904533416799396E-3</v>
      </c>
      <c r="DU235" s="1111">
        <v>2.7905106381460811E-3</v>
      </c>
      <c r="DV235" s="1111">
        <v>2.798898953096617E-3</v>
      </c>
      <c r="DW235" s="1111">
        <v>2.8130718384443347E-3</v>
      </c>
      <c r="DX235" s="1111">
        <v>2.824514428110457E-3</v>
      </c>
      <c r="DY235" s="1111">
        <v>2.824514428110457E-3</v>
      </c>
      <c r="DZ235" s="1111">
        <f t="shared" si="379"/>
        <v>2.0740750969478802E-2</v>
      </c>
      <c r="EA235" s="1111">
        <f>SUMIFS(NewEmisData!E:E, NewEmisData!$A:$A, $G235, NewEmisData!$B:$B, $A235, NewEmisData!$C:$C, $H235, NewEmisData!$D:$D, EA$6)</f>
        <v>2.0740750969478802E-2</v>
      </c>
      <c r="EB235" s="1111">
        <f>SUMIFS(NewEmisData!F:F, NewEmisData!$A:$A, $G235, NewEmisData!$B:$B, $A235, NewEmisData!$C:$C, $H235, NewEmisData!$D:$D, EB$6)</f>
        <v>7.9476630685157604E-2</v>
      </c>
      <c r="EC235" s="1111">
        <f>SUMIFS(NewEmisData!G:G, NewEmisData!$A:$A, $G235, NewEmisData!$B:$B, $A235, NewEmisData!$C:$C, $H235, NewEmisData!$D:$D, EC$6)</f>
        <v>0.132995121584536</v>
      </c>
      <c r="ED235" s="1111">
        <f>SUMIFS(NewEmisData!H:H, NewEmisData!$A:$A, $G235, NewEmisData!$B:$B, $A235, NewEmisData!$C:$C, $H235, NewEmisData!$D:$D, ED$6)</f>
        <v>0.13480815363144</v>
      </c>
      <c r="EE235" s="1111">
        <f>SUMIFS(NewEmisData!I:I, NewEmisData!$A:$A, $G235, NewEmisData!$B:$B, $A235, NewEmisData!$C:$C, $H235, NewEmisData!$D:$D, EE$6)</f>
        <v>0.13505884947628399</v>
      </c>
      <c r="EF235" s="1111">
        <f>SUMIFS(NewEmisData!J:J, NewEmisData!$A:$A, $G235, NewEmisData!$B:$B, $A235, NewEmisData!$C:$C, $H235, NewEmisData!$D:$D, EF$6)</f>
        <v>0.13476923534058399</v>
      </c>
      <c r="EG235" s="1111">
        <f>SUMIFS(NewEmisData!K:K, NewEmisData!$A:$A, $G235, NewEmisData!$B:$B, $A235, NewEmisData!$C:$C, $H235, NewEmisData!$D:$D, EG$6)</f>
        <v>0.13483063017123001</v>
      </c>
      <c r="EH235" s="1111">
        <f>SUMIFS(NewEmisData!L:L, NewEmisData!$A:$A, $G235, NewEmisData!$B:$B, $A235, NewEmisData!$C:$C, $H235, NewEmisData!$D:$D, EH$6)</f>
        <v>0.13476298539555601</v>
      </c>
      <c r="EI235" s="1111">
        <f>SUMIFS(NewEmisData!M:M, NewEmisData!$A:$A, $G235, NewEmisData!$B:$B, $A235, NewEmisData!$C:$C, $H235, NewEmisData!$D:$D, EI$6)</f>
        <v>0.134758213223449</v>
      </c>
      <c r="EJ235" s="1111">
        <f t="shared" si="380"/>
        <v>0.134758213223449</v>
      </c>
      <c r="EK235" s="1111">
        <f t="shared" si="381"/>
        <v>1482.5754764799101</v>
      </c>
      <c r="EL235" s="1111">
        <f t="shared" si="343"/>
        <v>1482.5754764799101</v>
      </c>
      <c r="EM235" s="1111">
        <f t="shared" si="344"/>
        <v>1635.6442478660899</v>
      </c>
      <c r="EN235" s="1111">
        <f t="shared" si="345"/>
        <v>2107.1372534500802</v>
      </c>
      <c r="EO235" s="1111">
        <f t="shared" si="346"/>
        <v>2071.9319953702902</v>
      </c>
      <c r="EP235" s="1111">
        <f t="shared" si="347"/>
        <v>2048.5012080599699</v>
      </c>
      <c r="EQ235" s="1111">
        <f t="shared" si="348"/>
        <v>2041.23090502932</v>
      </c>
      <c r="ER235" s="1111">
        <f t="shared" si="349"/>
        <v>2038.8712683316101</v>
      </c>
      <c r="ES235" s="1111">
        <f t="shared" si="350"/>
        <v>2037.89380685326</v>
      </c>
      <c r="ET235" s="1111">
        <f t="shared" si="351"/>
        <v>2037.18147825705</v>
      </c>
      <c r="EU235" s="1111">
        <f t="shared" si="352"/>
        <v>2037.18147825705</v>
      </c>
      <c r="EV235" s="1111">
        <f t="shared" si="382"/>
        <v>11.638950039279999</v>
      </c>
      <c r="EW235" s="1111">
        <f t="shared" si="333"/>
        <v>11.638950039279999</v>
      </c>
      <c r="EX235" s="1111">
        <f t="shared" si="334"/>
        <v>6.7839244745049401</v>
      </c>
      <c r="EY235" s="1111">
        <f t="shared" si="335"/>
        <v>4.3925354378646304</v>
      </c>
      <c r="EZ235" s="1111">
        <f t="shared" si="336"/>
        <v>2.6191347420861701</v>
      </c>
      <c r="FA235" s="1111">
        <f t="shared" si="337"/>
        <v>2.06534470659102</v>
      </c>
      <c r="FB235" s="1111">
        <f t="shared" si="338"/>
        <v>1.9514955612034099</v>
      </c>
      <c r="FC235" s="1111">
        <f t="shared" si="339"/>
        <v>1.9247847205619899</v>
      </c>
      <c r="FD235" s="1111">
        <f t="shared" si="340"/>
        <v>1.9239170224512001</v>
      </c>
      <c r="FE235" s="1111">
        <f t="shared" si="341"/>
        <v>1.92345457739672</v>
      </c>
      <c r="FF235" s="1111">
        <f t="shared" si="342"/>
        <v>1.92345457739672</v>
      </c>
      <c r="FG235" s="1111">
        <f t="shared" si="291"/>
        <v>3.6844240816642601E-2</v>
      </c>
      <c r="FH235" s="1111">
        <f t="shared" si="292"/>
        <v>3.6844240816642601E-2</v>
      </c>
      <c r="FI235" s="1111">
        <f t="shared" si="293"/>
        <v>3.9353507212849297E-2</v>
      </c>
      <c r="FJ235" s="1111">
        <f t="shared" si="294"/>
        <v>1.7702463178777099E-2</v>
      </c>
      <c r="FK235" s="1111">
        <f t="shared" si="295"/>
        <v>1.7311059741913899E-2</v>
      </c>
      <c r="FL235" s="1111">
        <f t="shared" si="296"/>
        <v>1.70853991434037E-2</v>
      </c>
      <c r="FM235" s="1111">
        <f t="shared" si="297"/>
        <v>1.70195621794277E-2</v>
      </c>
      <c r="FN235" s="1111">
        <f t="shared" si="298"/>
        <v>1.69983226363635E-2</v>
      </c>
      <c r="FO235" s="1111">
        <f t="shared" si="299"/>
        <v>1.6990168303807101E-2</v>
      </c>
      <c r="FP235" s="1111">
        <f t="shared" si="300"/>
        <v>1.69842326570817E-2</v>
      </c>
      <c r="FQ235" s="1111">
        <f t="shared" si="301"/>
        <v>1.69842326570817E-2</v>
      </c>
      <c r="FR235" s="1111">
        <f t="shared" si="322"/>
        <v>1.2647150782943599</v>
      </c>
      <c r="FS235" s="1111">
        <f t="shared" si="323"/>
        <v>1.2647150782943599</v>
      </c>
      <c r="FT235" s="1111">
        <f t="shared" si="324"/>
        <v>0.82297495230985995</v>
      </c>
      <c r="FU235" s="1111">
        <f t="shared" si="325"/>
        <v>0.78295839522434196</v>
      </c>
      <c r="FV235" s="1111">
        <f t="shared" si="326"/>
        <v>0.68016675260069404</v>
      </c>
      <c r="FW235" s="1111">
        <f t="shared" si="327"/>
        <v>0.64888550894506702</v>
      </c>
      <c r="FX235" s="1111">
        <f t="shared" si="328"/>
        <v>0.64362415371119697</v>
      </c>
      <c r="FY235" s="1111">
        <f t="shared" si="329"/>
        <v>0.64216665150257801</v>
      </c>
      <c r="FZ235" s="1111">
        <f t="shared" si="330"/>
        <v>0.64212477573891902</v>
      </c>
      <c r="GA235" s="1111">
        <f t="shared" si="331"/>
        <v>0.64210952076406802</v>
      </c>
      <c r="GB235" s="1111">
        <f t="shared" si="332"/>
        <v>0.64210952076406802</v>
      </c>
      <c r="GC235" s="1111">
        <f t="shared" si="353"/>
        <v>0.85268225231092398</v>
      </c>
      <c r="GD235" s="1111">
        <f t="shared" si="354"/>
        <v>0.85268225231092398</v>
      </c>
      <c r="GE235" s="1111">
        <f t="shared" si="355"/>
        <v>0.44197863249122399</v>
      </c>
      <c r="GF235" s="1111">
        <f t="shared" si="356"/>
        <v>0.24083520219764601</v>
      </c>
      <c r="GG235" s="1111">
        <f t="shared" si="357"/>
        <v>0.148362414161788</v>
      </c>
      <c r="GH235" s="1111">
        <f t="shared" si="358"/>
        <v>0.11982020029779999</v>
      </c>
      <c r="GI235" s="1111">
        <f t="shared" si="359"/>
        <v>0.115075397080156</v>
      </c>
      <c r="GJ235" s="1111">
        <f t="shared" si="360"/>
        <v>0.113741063740516</v>
      </c>
      <c r="GK235" s="1111">
        <f t="shared" si="361"/>
        <v>0.113717400839903</v>
      </c>
      <c r="GL235" s="1111">
        <f t="shared" si="362"/>
        <v>0.11370438522677</v>
      </c>
      <c r="GM235" s="1111">
        <f t="shared" si="363"/>
        <v>0.11370438522677</v>
      </c>
    </row>
    <row r="236" spans="1:195" x14ac:dyDescent="0.2">
      <c r="A236" s="1071" t="s">
        <v>184</v>
      </c>
      <c r="B236" s="1071" t="str">
        <f>Technologies!C145</f>
        <v>THSDSLC10</v>
      </c>
      <c r="C236" s="1071" t="str">
        <f>Technologies!D145</f>
        <v>Heavy Truck, Short Haul, Conventional Diesel 2010</v>
      </c>
      <c r="D236" s="1071" t="str">
        <f>NewTech!D97</f>
        <v>bn-vmt, bn-vmt/a</v>
      </c>
      <c r="E236" s="1071" t="str">
        <f>Commodities!C$44</f>
        <v>THDSL</v>
      </c>
      <c r="F236" s="1071" t="s">
        <v>98</v>
      </c>
      <c r="G236" s="1110" t="s">
        <v>505</v>
      </c>
      <c r="H236" s="1110" t="s">
        <v>499</v>
      </c>
      <c r="I236" s="1112">
        <v>1</v>
      </c>
      <c r="J236" s="1111" t="str">
        <f t="shared" si="302"/>
        <v>Heavy duty short haul truck-DSL</v>
      </c>
      <c r="K236" s="1111">
        <f>SUMIFS(NewEmisData!E:E, NewEmisData!$A:$A, $G236, NewEmisData!$B:$B, $A236, NewEmisData!$C:$C, $H236, NewEmisData!$D:$D, K$6)</f>
        <v>1319.49151917881</v>
      </c>
      <c r="L236" s="1111">
        <f>SUMIFS(NewEmisData!F:F, NewEmisData!$A:$A, $G236, NewEmisData!$B:$B, $A236, NewEmisData!$C:$C, $H236, NewEmisData!$D:$D, L$6)</f>
        <v>1464.7581509516101</v>
      </c>
      <c r="M236" s="1111">
        <f>SUMIFS(NewEmisData!G:G, NewEmisData!$A:$A, $G236, NewEmisData!$B:$B, $A236, NewEmisData!$C:$C, $H236, NewEmisData!$D:$D, M$6)</f>
        <v>1799.86335243286</v>
      </c>
      <c r="N236" s="1111">
        <f>SUMIFS(NewEmisData!H:H, NewEmisData!$A:$A, $G236, NewEmisData!$B:$B, $A236, NewEmisData!$C:$C, $H236, NewEmisData!$D:$D, N$6)</f>
        <v>1770.55999347335</v>
      </c>
      <c r="O236" s="1111">
        <f>SUMIFS(NewEmisData!I:I, NewEmisData!$A:$A, $G236, NewEmisData!$B:$B, $A236, NewEmisData!$C:$C, $H236, NewEmisData!$D:$D, O$6)</f>
        <v>1751.5422550708799</v>
      </c>
      <c r="P236" s="1111">
        <f>SUMIFS(NewEmisData!J:J, NewEmisData!$A:$A, $G236, NewEmisData!$B:$B, $A236, NewEmisData!$C:$C, $H236, NewEmisData!$D:$D, P$6)</f>
        <v>1745.6010707511</v>
      </c>
      <c r="Q236" s="1111">
        <f>SUMIFS(NewEmisData!K:K, NewEmisData!$A:$A, $G236, NewEmisData!$B:$B, $A236, NewEmisData!$C:$C, $H236, NewEmisData!$D:$D, Q$6)</f>
        <v>1743.5885799002001</v>
      </c>
      <c r="R236" s="1111">
        <f>SUMIFS(NewEmisData!L:L, NewEmisData!$A:$A, $G236, NewEmisData!$B:$B, $A236, NewEmisData!$C:$C, $H236, NewEmisData!$D:$D, R$6)</f>
        <v>1742.6485789820999</v>
      </c>
      <c r="S236" s="1111">
        <f>SUMIFS(NewEmisData!M:M, NewEmisData!$A:$A, $G236, NewEmisData!$B:$B, $A236, NewEmisData!$C:$C, $H236, NewEmisData!$D:$D, S$6)</f>
        <v>1741.9127550599401</v>
      </c>
      <c r="T236" s="1111">
        <f t="shared" si="364"/>
        <v>1741.9127550599401</v>
      </c>
      <c r="U236" s="1111">
        <f>SUMIFS(NewEmisData!E:E, NewEmisData!$A:$A, $G236, NewEmisData!$B:$B, $A236, NewEmisData!$C:$C, $H236, NewEmisData!$D:$D, U$6)</f>
        <v>10.6053442608649</v>
      </c>
      <c r="V236" s="1111">
        <f>SUMIFS(NewEmisData!F:F, NewEmisData!$A:$A, $G236, NewEmisData!$B:$B, $A236, NewEmisData!$C:$C, $H236, NewEmisData!$D:$D, V$6)</f>
        <v>6.5449635614234403</v>
      </c>
      <c r="W236" s="1111">
        <f>SUMIFS(NewEmisData!G:G, NewEmisData!$A:$A, $G236, NewEmisData!$B:$B, $A236, NewEmisData!$C:$C, $H236, NewEmisData!$D:$D, W$6)</f>
        <v>3.6787180180936701</v>
      </c>
      <c r="X236" s="1111">
        <f>SUMIFS(NewEmisData!H:H, NewEmisData!$A:$A, $G236, NewEmisData!$B:$B, $A236, NewEmisData!$C:$C, $H236, NewEmisData!$D:$D, X$6)</f>
        <v>2.2004570236663401</v>
      </c>
      <c r="Y236" s="1111">
        <f>SUMIFS(NewEmisData!I:I, NewEmisData!$A:$A, $G236, NewEmisData!$B:$B, $A236, NewEmisData!$C:$C, $H236, NewEmisData!$D:$D, Y$6)</f>
        <v>1.7396673866677801</v>
      </c>
      <c r="Z236" s="1111">
        <f>SUMIFS(NewEmisData!J:J, NewEmisData!$A:$A, $G236, NewEmisData!$B:$B, $A236, NewEmisData!$C:$C, $H236, NewEmisData!$D:$D, Z$6)</f>
        <v>1.64503462199088</v>
      </c>
      <c r="AA236" s="1111">
        <f>SUMIFS(NewEmisData!K:K, NewEmisData!$A:$A, $G236, NewEmisData!$B:$B, $A236, NewEmisData!$C:$C, $H236, NewEmisData!$D:$D, AA$6)</f>
        <v>1.62266726199586</v>
      </c>
      <c r="AB236" s="1111">
        <f>SUMIFS(NewEmisData!L:L, NewEmisData!$A:$A, $G236, NewEmisData!$B:$B, $A236, NewEmisData!$C:$C, $H236, NewEmisData!$D:$D, AB$6)</f>
        <v>1.62186968240176</v>
      </c>
      <c r="AC236" s="1111">
        <f>SUMIFS(NewEmisData!M:M, NewEmisData!$A:$A, $G236, NewEmisData!$B:$B, $A236, NewEmisData!$C:$C, $H236, NewEmisData!$D:$D, AC$6)</f>
        <v>1.62139928384052</v>
      </c>
      <c r="AD236" s="1111">
        <f t="shared" si="321"/>
        <v>1.62139928384052</v>
      </c>
      <c r="AE236" s="1111">
        <f t="shared" si="365"/>
        <v>3.2753858750071897E-2</v>
      </c>
      <c r="AF236" s="1111">
        <f>SUMIFS(NewEmisData!E:E, NewEmisData!$A:$A, $G236, NewEmisData!$B:$B, $A236, NewEmisData!$C:$C, $H236, NewEmisData!$D:$D, AF$6)</f>
        <v>3.2753858750071897E-2</v>
      </c>
      <c r="AG236" s="1111">
        <f>SUMIFS(NewEmisData!F:F, NewEmisData!$A:$A, $G236, NewEmisData!$B:$B, $A236, NewEmisData!$C:$C, $H236, NewEmisData!$D:$D, AG$6)</f>
        <v>3.5451037141744003E-2</v>
      </c>
      <c r="AH236" s="1111">
        <f>SUMIFS(NewEmisData!G:G, NewEmisData!$A:$A, $G236, NewEmisData!$B:$B, $A236, NewEmisData!$C:$C, $H236, NewEmisData!$D:$D, AH$6)</f>
        <v>1.5119273460284501E-2</v>
      </c>
      <c r="AI236" s="1111">
        <f>SUMIFS(NewEmisData!H:H, NewEmisData!$A:$A, $G236, NewEmisData!$B:$B, $A236, NewEmisData!$C:$C, $H236, NewEmisData!$D:$D, AI$6)</f>
        <v>1.47924708148466E-2</v>
      </c>
      <c r="AJ236" s="1111">
        <f>SUMIFS(NewEmisData!I:I, NewEmisData!$A:$A, $G236, NewEmisData!$B:$B, $A236, NewEmisData!$C:$C, $H236, NewEmisData!$D:$D, AJ$6)</f>
        <v>1.4608534822893701E-2</v>
      </c>
      <c r="AK236" s="1111">
        <f>SUMIFS(NewEmisData!J:J, NewEmisData!$A:$A, $G236, NewEmisData!$B:$B, $A236, NewEmisData!$C:$C, $H236, NewEmisData!$D:$D, AK$6)</f>
        <v>1.45546061834944E-2</v>
      </c>
      <c r="AL236" s="1111">
        <f>SUMIFS(NewEmisData!K:K, NewEmisData!$A:$A, $G236, NewEmisData!$B:$B, $A236, NewEmisData!$C:$C, $H236, NewEmisData!$D:$D, AL$6)</f>
        <v>1.4536510442551E-2</v>
      </c>
      <c r="AM236" s="1111">
        <f>SUMIFS(NewEmisData!L:L, NewEmisData!$A:$A, $G236, NewEmisData!$B:$B, $A236, NewEmisData!$C:$C, $H236, NewEmisData!$D:$D, AM$6)</f>
        <v>1.4528668182896999E-2</v>
      </c>
      <c r="AN236" s="1111">
        <f>SUMIFS(NewEmisData!M:M, NewEmisData!$A:$A, $G236, NewEmisData!$B:$B, $A236, NewEmisData!$C:$C, $H236, NewEmisData!$D:$D, AN$6)</f>
        <v>1.45225405658348E-2</v>
      </c>
      <c r="AO236" s="1111">
        <f t="shared" si="366"/>
        <v>1.45225405658348E-2</v>
      </c>
      <c r="AP236" s="1111">
        <f t="shared" si="367"/>
        <v>1.04983400982203</v>
      </c>
      <c r="AQ236" s="1111">
        <f>SUMIFS(NewEmisData!E:E, NewEmisData!$A:$A, $G236, NewEmisData!$B:$B, $A236, NewEmisData!$C:$C, $H236, NewEmisData!$D:$D, AQ$6)</f>
        <v>1.04983400982203</v>
      </c>
      <c r="AR236" s="1111">
        <f>SUMIFS(NewEmisData!F:F, NewEmisData!$A:$A, $G236, NewEmisData!$B:$B, $A236, NewEmisData!$C:$C, $H236, NewEmisData!$D:$D, AR$6)</f>
        <v>0.72832653653898105</v>
      </c>
      <c r="AS236" s="1111">
        <f>SUMIFS(NewEmisData!G:G, NewEmisData!$A:$A, $G236, NewEmisData!$B:$B, $A236, NewEmisData!$C:$C, $H236, NewEmisData!$D:$D, AS$6)</f>
        <v>0.58427614618818202</v>
      </c>
      <c r="AT236" s="1111">
        <f>SUMIFS(NewEmisData!H:H, NewEmisData!$A:$A, $G236, NewEmisData!$B:$B, $A236, NewEmisData!$C:$C, $H236, NewEmisData!$D:$D, AT$6)</f>
        <v>0.50134292856914997</v>
      </c>
      <c r="AU236" s="1111">
        <f>SUMIFS(NewEmisData!I:I, NewEmisData!$A:$A, $G236, NewEmisData!$B:$B, $A236, NewEmisData!$C:$C, $H236, NewEmisData!$D:$D, AU$6)</f>
        <v>0.47618546496589997</v>
      </c>
      <c r="AV236" s="1111">
        <f>SUMIFS(NewEmisData!J:J, NewEmisData!$A:$A, $G236, NewEmisData!$B:$B, $A236, NewEmisData!$C:$C, $H236, NewEmisData!$D:$D, AV$6)</f>
        <v>0.47190149656039998</v>
      </c>
      <c r="AW236" s="1111">
        <f>SUMIFS(NewEmisData!K:K, NewEmisData!$A:$A, $G236, NewEmisData!$B:$B, $A236, NewEmisData!$C:$C, $H236, NewEmisData!$D:$D, AW$6)</f>
        <v>0.47071689819165202</v>
      </c>
      <c r="AX236" s="1111">
        <f>SUMIFS(NewEmisData!L:L, NewEmisData!$A:$A, $G236, NewEmisData!$B:$B, $A236, NewEmisData!$C:$C, $H236, NewEmisData!$D:$D, AX$6)</f>
        <v>0.47069343749269799</v>
      </c>
      <c r="AY236" s="1111">
        <f>SUMIFS(NewEmisData!M:M, NewEmisData!$A:$A, $G236, NewEmisData!$B:$B, $A236, NewEmisData!$C:$C, $H236, NewEmisData!$D:$D, AY$6)</f>
        <v>0.47069114341764501</v>
      </c>
      <c r="AZ236" s="1111">
        <f t="shared" si="368"/>
        <v>0.47069114341764501</v>
      </c>
      <c r="BA236" s="1111">
        <f t="shared" si="369"/>
        <v>0.72578410583292197</v>
      </c>
      <c r="BB236" s="1111">
        <f>SUMIFS(NewEmisData!E:E, NewEmisData!$A:$A, $G236, NewEmisData!$B:$B, $A236, NewEmisData!$C:$C, $H236, NewEmisData!$D:$D, BB$6)</f>
        <v>0.72578410583292197</v>
      </c>
      <c r="BC236" s="1111">
        <f>SUMIFS(NewEmisData!F:F, NewEmisData!$A:$A, $G236, NewEmisData!$B:$B, $A236, NewEmisData!$C:$C, $H236, NewEmisData!$D:$D, BC$6)</f>
        <v>0.42763209762876098</v>
      </c>
      <c r="BD236" s="1111">
        <f>SUMIFS(NewEmisData!G:G, NewEmisData!$A:$A, $G236, NewEmisData!$B:$B, $A236, NewEmisData!$C:$C, $H236, NewEmisData!$D:$D, BD$6)</f>
        <v>0.18944103926397299</v>
      </c>
      <c r="BE236" s="1111">
        <f>SUMIFS(NewEmisData!H:H, NewEmisData!$A:$A, $G236, NewEmisData!$B:$B, $A236, NewEmisData!$C:$C, $H236, NewEmisData!$D:$D, BE$6)</f>
        <v>0.114666499637313</v>
      </c>
      <c r="BF236" s="1111">
        <f>SUMIFS(NewEmisData!I:I, NewEmisData!$A:$A, $G236, NewEmisData!$B:$B, $A236, NewEmisData!$C:$C, $H236, NewEmisData!$D:$D, BF$6)</f>
        <v>9.1724132402913702E-2</v>
      </c>
      <c r="BG236" s="1111">
        <f>SUMIFS(NewEmisData!J:J, NewEmisData!$A:$A, $G236, NewEmisData!$B:$B, $A236, NewEmisData!$C:$C, $H236, NewEmisData!$D:$D, BG$6)</f>
        <v>8.7857141954733695E-2</v>
      </c>
      <c r="BH236" s="1111">
        <f>SUMIFS(NewEmisData!K:K, NewEmisData!$A:$A, $G236, NewEmisData!$B:$B, $A236, NewEmisData!$C:$C, $H236, NewEmisData!$D:$D, BH$6)</f>
        <v>8.6767275626484494E-2</v>
      </c>
      <c r="BI236" s="1111">
        <f>SUMIFS(NewEmisData!L:L, NewEmisData!$A:$A, $G236, NewEmisData!$B:$B, $A236, NewEmisData!$C:$C, $H236, NewEmisData!$D:$D, BI$6)</f>
        <v>8.6748879396040507E-2</v>
      </c>
      <c r="BJ236" s="1111">
        <f>SUMIFS(NewEmisData!M:M, NewEmisData!$A:$A, $G236, NewEmisData!$B:$B, $A236, NewEmisData!$C:$C, $H236, NewEmisData!$D:$D, BJ$6)</f>
        <v>8.67391289437488E-2</v>
      </c>
      <c r="BK236" s="1111">
        <f t="shared" si="370"/>
        <v>8.67391289437488E-2</v>
      </c>
      <c r="BL236" s="1111">
        <f t="shared" si="371"/>
        <v>4.3049508481768202</v>
      </c>
      <c r="BM236" s="1111">
        <f>SUMIFS(NewEmisData!E:E, NewEmisData!$A:$A, $G236, NewEmisData!$B:$B, $A236, NewEmisData!$C:$C, $H236, NewEmisData!$D:$D, BM$6)</f>
        <v>4.3049508481768202</v>
      </c>
      <c r="BN236" s="1111">
        <f>SUMIFS(NewEmisData!F:F, NewEmisData!$A:$A, $G236, NewEmisData!$B:$B, $A236, NewEmisData!$C:$C, $H236, NewEmisData!$D:$D, BN$6)</f>
        <v>2.5543682877581499</v>
      </c>
      <c r="BO236" s="1111">
        <f>SUMIFS(NewEmisData!G:G, NewEmisData!$A:$A, $G236, NewEmisData!$B:$B, $A236, NewEmisData!$C:$C, $H236, NewEmisData!$D:$D, BO$6)</f>
        <v>1.41557635494585</v>
      </c>
      <c r="BP236" s="1111">
        <f>SUMIFS(NewEmisData!H:H, NewEmisData!$A:$A, $G236, NewEmisData!$B:$B, $A236, NewEmisData!$C:$C, $H236, NewEmisData!$D:$D, BP$6)</f>
        <v>0.97239499404962104</v>
      </c>
      <c r="BQ236" s="1111">
        <f>SUMIFS(NewEmisData!I:I, NewEmisData!$A:$A, $G236, NewEmisData!$B:$B, $A236, NewEmisData!$C:$C, $H236, NewEmisData!$D:$D, BQ$6)</f>
        <v>0.83818353775375698</v>
      </c>
      <c r="BR236" s="1111">
        <f>SUMIFS(NewEmisData!J:J, NewEmisData!$A:$A, $G236, NewEmisData!$B:$B, $A236, NewEmisData!$C:$C, $H236, NewEmisData!$D:$D, BR$6)</f>
        <v>0.80843597247967702</v>
      </c>
      <c r="BS236" s="1111">
        <f>SUMIFS(NewEmisData!K:K, NewEmisData!$A:$A, $G236, NewEmisData!$B:$B, $A236, NewEmisData!$C:$C, $H236, NewEmisData!$D:$D, BS$6)</f>
        <v>0.80034145030903103</v>
      </c>
      <c r="BT236" s="1111">
        <f>SUMIFS(NewEmisData!L:L, NewEmisData!$A:$A, $G236, NewEmisData!$B:$B, $A236, NewEmisData!$C:$C, $H236, NewEmisData!$D:$D, BT$6)</f>
        <v>0.79923379896798996</v>
      </c>
      <c r="BU236" s="1111">
        <f>SUMIFS(NewEmisData!M:M, NewEmisData!$A:$A, $G236, NewEmisData!$B:$B, $A236, NewEmisData!$C:$C, $H236, NewEmisData!$D:$D, BU$6)</f>
        <v>0.799086633890294</v>
      </c>
      <c r="BV236" s="1111">
        <f t="shared" si="372"/>
        <v>0.799086633890294</v>
      </c>
      <c r="BW236" s="1111">
        <f t="shared" si="373"/>
        <v>1.2471069760284099</v>
      </c>
      <c r="BX236" s="1111">
        <f>SUMIFS(NewEmisData!E:E, NewEmisData!$A:$A, $G236, NewEmisData!$B:$B, $A236, NewEmisData!$C:$C, $H236, NewEmisData!$D:$D, BX$6)</f>
        <v>1.2471069760284099</v>
      </c>
      <c r="BY236" s="1111">
        <f>SUMIFS(NewEmisData!F:F, NewEmisData!$A:$A, $G236, NewEmisData!$B:$B, $A236, NewEmisData!$C:$C, $H236, NewEmisData!$D:$D, BY$6)</f>
        <v>0.66664518440710496</v>
      </c>
      <c r="BZ236" s="1111">
        <f>SUMIFS(NewEmisData!G:G, NewEmisData!$A:$A, $G236, NewEmisData!$B:$B, $A236, NewEmisData!$C:$C, $H236, NewEmisData!$D:$D, BZ$6)</f>
        <v>0.32007282630831302</v>
      </c>
      <c r="CA236" s="1111">
        <f>SUMIFS(NewEmisData!H:H, NewEmisData!$A:$A, $G236, NewEmisData!$B:$B, $A236, NewEmisData!$C:$C, $H236, NewEmisData!$D:$D, CA$6)</f>
        <v>0.176542353194966</v>
      </c>
      <c r="CB236" s="1111">
        <f>SUMIFS(NewEmisData!I:I, NewEmisData!$A:$A, $G236, NewEmisData!$B:$B, $A236, NewEmisData!$C:$C, $H236, NewEmisData!$D:$D, CB$6)</f>
        <v>0.132926153663285</v>
      </c>
      <c r="CC236" s="1111">
        <f>SUMIFS(NewEmisData!J:J, NewEmisData!$A:$A, $G236, NewEmisData!$B:$B, $A236, NewEmisData!$C:$C, $H236, NewEmisData!$D:$D, CC$6)</f>
        <v>0.12423141693730599</v>
      </c>
      <c r="CD236" s="1111">
        <f>SUMIFS(NewEmisData!K:K, NewEmisData!$A:$A, $G236, NewEmisData!$B:$B, $A236, NewEmisData!$C:$C, $H236, NewEmisData!$D:$D, CD$6)</f>
        <v>0.121871982031799</v>
      </c>
      <c r="CE236" s="1111">
        <f>SUMIFS(NewEmisData!L:L, NewEmisData!$A:$A, $G236, NewEmisData!$B:$B, $A236, NewEmisData!$C:$C, $H236, NewEmisData!$D:$D, CE$6)</f>
        <v>0.121809764298298</v>
      </c>
      <c r="CF236" s="1111">
        <f>SUMIFS(NewEmisData!M:M, NewEmisData!$A:$A, $G236, NewEmisData!$B:$B, $A236, NewEmisData!$C:$C, $H236, NewEmisData!$D:$D, CF$6)</f>
        <v>0.121789215464539</v>
      </c>
      <c r="CG236" s="1111">
        <f t="shared" si="374"/>
        <v>0.121789215464539</v>
      </c>
      <c r="CH236" s="1111">
        <f t="shared" si="375"/>
        <v>2.61956847346188E-2</v>
      </c>
      <c r="CI236" s="1111">
        <f>SUMIFS(NewEmisData!E:E, NewEmisData!$A:$A, $G236, NewEmisData!$B:$B, $A236, NewEmisData!$C:$C, $H236, NewEmisData!$D:$D, CI$6)</f>
        <v>2.61956847346188E-2</v>
      </c>
      <c r="CJ236" s="1111">
        <f>SUMIFS(NewEmisData!F:F, NewEmisData!$A:$A, $G236, NewEmisData!$B:$B, $A236, NewEmisData!$C:$C, $H236, NewEmisData!$D:$D, CJ$6)</f>
        <v>2.6459582282205199E-2</v>
      </c>
      <c r="CK236" s="1111">
        <f>SUMIFS(NewEmisData!G:G, NewEmisData!$A:$A, $G236, NewEmisData!$B:$B, $A236, NewEmisData!$C:$C, $H236, NewEmisData!$D:$D, CK$6)</f>
        <v>3.3469493870709799E-2</v>
      </c>
      <c r="CL236" s="1111">
        <f>SUMIFS(NewEmisData!H:H, NewEmisData!$A:$A, $G236, NewEmisData!$B:$B, $A236, NewEmisData!$C:$C, $H236, NewEmisData!$D:$D, CL$6)</f>
        <v>3.3485441021182498E-2</v>
      </c>
      <c r="CM236" s="1111">
        <f>SUMIFS(NewEmisData!I:I, NewEmisData!$A:$A, $G236, NewEmisData!$B:$B, $A236, NewEmisData!$C:$C, $H236, NewEmisData!$D:$D, CM$6)</f>
        <v>3.3493620207947897E-2</v>
      </c>
      <c r="CN236" s="1111">
        <f>SUMIFS(NewEmisData!J:J, NewEmisData!$A:$A, $G236, NewEmisData!$B:$B, $A236, NewEmisData!$C:$C, $H236, NewEmisData!$D:$D, CN$6)</f>
        <v>3.3495964958687903E-2</v>
      </c>
      <c r="CO236" s="1111">
        <f>SUMIFS(NewEmisData!K:K, NewEmisData!$A:$A, $G236, NewEmisData!$B:$B, $A236, NewEmisData!$C:$C, $H236, NewEmisData!$D:$D, CO$6)</f>
        <v>3.3495912000105203E-2</v>
      </c>
      <c r="CP236" s="1111">
        <f>SUMIFS(NewEmisData!L:L, NewEmisData!$A:$A, $G236, NewEmisData!$B:$B, $A236, NewEmisData!$C:$C, $H236, NewEmisData!$D:$D, CP$6)</f>
        <v>3.3495078771151397E-2</v>
      </c>
      <c r="CQ236" s="1111">
        <f>SUMIFS(NewEmisData!M:M, NewEmisData!$A:$A, $G236, NewEmisData!$B:$B, $A236, NewEmisData!$C:$C, $H236, NewEmisData!$D:$D, CQ$6)</f>
        <v>3.34940363554617E-2</v>
      </c>
      <c r="CR236" s="1111">
        <f t="shared" si="376"/>
        <v>3.34940363554617E-2</v>
      </c>
      <c r="CS236" s="1111">
        <f t="shared" si="377"/>
        <v>3.5917736289565799E-3</v>
      </c>
      <c r="CT236" s="1111">
        <f>SUMIFS(NewEmisData!E:E, NewEmisData!$A:$A, $G236, NewEmisData!$B:$B, $A236, NewEmisData!$C:$C, $H236, NewEmisData!$D:$D, CT$6)</f>
        <v>3.5917736289565799E-3</v>
      </c>
      <c r="CU236" s="1111">
        <f>SUMIFS(NewEmisData!F:F, NewEmisData!$A:$A, $G236, NewEmisData!$B:$B, $A236, NewEmisData!$C:$C, $H236, NewEmisData!$D:$D, CU$6)</f>
        <v>3.6091903831295602E-3</v>
      </c>
      <c r="CV236" s="1111">
        <f>SUMIFS(NewEmisData!G:G, NewEmisData!$A:$A, $G236, NewEmisData!$B:$B, $A236, NewEmisData!$C:$C, $H236, NewEmisData!$D:$D, CV$6)</f>
        <v>5.2505206053814202E-3</v>
      </c>
      <c r="CW236" s="1111">
        <f>SUMIFS(NewEmisData!H:H, NewEmisData!$A:$A, $G236, NewEmisData!$B:$B, $A236, NewEmisData!$C:$C, $H236, NewEmisData!$D:$D, CW$6)</f>
        <v>5.2355362521004402E-3</v>
      </c>
      <c r="CX236" s="1111">
        <f>SUMIFS(NewEmisData!I:I, NewEmisData!$A:$A, $G236, NewEmisData!$B:$B, $A236, NewEmisData!$C:$C, $H236, NewEmisData!$D:$D, CX$6)</f>
        <v>5.2243063278227799E-3</v>
      </c>
      <c r="CY236" s="1111">
        <f>SUMIFS(NewEmisData!J:J, NewEmisData!$A:$A, $G236, NewEmisData!$B:$B, $A236, NewEmisData!$C:$C, $H236, NewEmisData!$D:$D, CY$6)</f>
        <v>5.2188288195051304E-3</v>
      </c>
      <c r="CZ236" s="1111">
        <f>SUMIFS(NewEmisData!K:K, NewEmisData!$A:$A, $G236, NewEmisData!$B:$B, $A236, NewEmisData!$C:$C, $H236, NewEmisData!$D:$D, CZ$6)</f>
        <v>5.2164145073888097E-3</v>
      </c>
      <c r="DA236" s="1111">
        <f>SUMIFS(NewEmisData!L:L, NewEmisData!$A:$A, $G236, NewEmisData!$B:$B, $A236, NewEmisData!$C:$C, $H236, NewEmisData!$D:$D, DA$6)</f>
        <v>5.2155948103937101E-3</v>
      </c>
      <c r="DB236" s="1111">
        <f>SUMIFS(NewEmisData!M:M, NewEmisData!$A:$A, $G236, NewEmisData!$B:$B, $A236, NewEmisData!$C:$C, $H236, NewEmisData!$D:$D, DB$6)</f>
        <v>5.2157496356988403E-3</v>
      </c>
      <c r="DC236" s="1111">
        <f t="shared" si="378"/>
        <v>5.2157496356988403E-3</v>
      </c>
      <c r="DD236" s="1111"/>
      <c r="DE236" s="1111"/>
      <c r="DF236" s="1111"/>
      <c r="DG236" s="1111"/>
      <c r="DH236" s="1111"/>
      <c r="DI236" s="1111"/>
      <c r="DJ236" s="1111"/>
      <c r="DK236" s="1111"/>
      <c r="DL236" s="1111"/>
      <c r="DM236" s="1111"/>
      <c r="DN236" s="1111"/>
      <c r="DO236" s="1111"/>
      <c r="DP236" s="1111"/>
      <c r="DQ236" s="1111"/>
      <c r="DR236" s="1111"/>
      <c r="DS236" s="1111"/>
      <c r="DT236" s="1111"/>
      <c r="DU236" s="1111"/>
      <c r="DV236" s="1111"/>
      <c r="DW236" s="1111"/>
      <c r="DX236" s="1111"/>
      <c r="DY236" s="1111"/>
      <c r="DZ236" s="1111">
        <f t="shared" si="379"/>
        <v>1.80110275159466E-2</v>
      </c>
      <c r="EA236" s="1111">
        <f>SUMIFS(NewEmisData!E:E, NewEmisData!$A:$A, $G236, NewEmisData!$B:$B, $A236, NewEmisData!$C:$C, $H236, NewEmisData!$D:$D, EA$6)</f>
        <v>1.80110275159466E-2</v>
      </c>
      <c r="EB236" s="1111">
        <f>SUMIFS(NewEmisData!F:F, NewEmisData!$A:$A, $G236, NewEmisData!$B:$B, $A236, NewEmisData!$C:$C, $H236, NewEmisData!$D:$D, EB$6)</f>
        <v>5.9415032543044199E-2</v>
      </c>
      <c r="EC236" s="1111">
        <f>SUMIFS(NewEmisData!G:G, NewEmisData!$A:$A, $G236, NewEmisData!$B:$B, $A236, NewEmisData!$C:$C, $H236, NewEmisData!$D:$D, EC$6)</f>
        <v>0.10406778688120299</v>
      </c>
      <c r="ED236" s="1111">
        <f>SUMIFS(NewEmisData!H:H, NewEmisData!$A:$A, $G236, NewEmisData!$B:$B, $A236, NewEmisData!$C:$C, $H236, NewEmisData!$D:$D, ED$6)</f>
        <v>0.105321093135052</v>
      </c>
      <c r="EE236" s="1111">
        <f>SUMIFS(NewEmisData!I:I, NewEmisData!$A:$A, $G236, NewEmisData!$B:$B, $A236, NewEmisData!$C:$C, $H236, NewEmisData!$D:$D, EE$6)</f>
        <v>0.10543994105987201</v>
      </c>
      <c r="EF236" s="1111">
        <f>SUMIFS(NewEmisData!J:J, NewEmisData!$A:$A, $G236, NewEmisData!$B:$B, $A236, NewEmisData!$C:$C, $H236, NewEmisData!$D:$D, EF$6)</f>
        <v>0.105208381907267</v>
      </c>
      <c r="EG236" s="1111">
        <f>SUMIFS(NewEmisData!K:K, NewEmisData!$A:$A, $G236, NewEmisData!$B:$B, $A236, NewEmisData!$C:$C, $H236, NewEmisData!$D:$D, EG$6)</f>
        <v>0.105244034731584</v>
      </c>
      <c r="EH236" s="1111">
        <f>SUMIFS(NewEmisData!L:L, NewEmisData!$A:$A, $G236, NewEmisData!$B:$B, $A236, NewEmisData!$C:$C, $H236, NewEmisData!$D:$D, EH$6)</f>
        <v>0.10519712220805</v>
      </c>
      <c r="EI236" s="1111">
        <f>SUMIFS(NewEmisData!M:M, NewEmisData!$A:$A, $G236, NewEmisData!$B:$B, $A236, NewEmisData!$C:$C, $H236, NewEmisData!$D:$D, EI$6)</f>
        <v>0.105194222004308</v>
      </c>
      <c r="EJ236" s="1111">
        <f t="shared" si="380"/>
        <v>0.105194222004308</v>
      </c>
      <c r="EK236" s="1111">
        <f t="shared" si="381"/>
        <v>1319.49151917881</v>
      </c>
      <c r="EL236" s="1111">
        <f t="shared" si="343"/>
        <v>1319.49151917881</v>
      </c>
      <c r="EM236" s="1111">
        <f t="shared" si="344"/>
        <v>1464.7581509516101</v>
      </c>
      <c r="EN236" s="1111">
        <f t="shared" si="345"/>
        <v>1799.86335243286</v>
      </c>
      <c r="EO236" s="1111">
        <f t="shared" si="346"/>
        <v>1770.55999347335</v>
      </c>
      <c r="EP236" s="1111">
        <f t="shared" si="347"/>
        <v>1751.5422550708799</v>
      </c>
      <c r="EQ236" s="1111">
        <f t="shared" si="348"/>
        <v>1745.6010707511</v>
      </c>
      <c r="ER236" s="1111">
        <f t="shared" si="349"/>
        <v>1743.5885799002001</v>
      </c>
      <c r="ES236" s="1111">
        <f t="shared" si="350"/>
        <v>1742.6485789820999</v>
      </c>
      <c r="ET236" s="1111">
        <f t="shared" si="351"/>
        <v>1741.9127550599401</v>
      </c>
      <c r="EU236" s="1111">
        <f t="shared" si="352"/>
        <v>1741.9127550599401</v>
      </c>
      <c r="EV236" s="1111">
        <f t="shared" si="382"/>
        <v>10.6053442608649</v>
      </c>
      <c r="EW236" s="1111">
        <f t="shared" si="333"/>
        <v>10.6053442608649</v>
      </c>
      <c r="EX236" s="1111">
        <f t="shared" si="334"/>
        <v>6.5449635614234403</v>
      </c>
      <c r="EY236" s="1111">
        <f t="shared" si="335"/>
        <v>3.6787180180936701</v>
      </c>
      <c r="EZ236" s="1111">
        <f t="shared" si="336"/>
        <v>2.2004570236663401</v>
      </c>
      <c r="FA236" s="1111">
        <f t="shared" si="337"/>
        <v>1.7396673866677801</v>
      </c>
      <c r="FB236" s="1111">
        <f t="shared" si="338"/>
        <v>1.64503462199088</v>
      </c>
      <c r="FC236" s="1111">
        <f t="shared" si="339"/>
        <v>1.62266726199586</v>
      </c>
      <c r="FD236" s="1111">
        <f t="shared" si="340"/>
        <v>1.62186968240176</v>
      </c>
      <c r="FE236" s="1111">
        <f t="shared" si="341"/>
        <v>1.62139928384052</v>
      </c>
      <c r="FF236" s="1111">
        <f t="shared" si="342"/>
        <v>1.62139928384052</v>
      </c>
      <c r="FG236" s="1111">
        <f t="shared" si="291"/>
        <v>3.2753858750071897E-2</v>
      </c>
      <c r="FH236" s="1111">
        <f t="shared" si="292"/>
        <v>3.2753858750071897E-2</v>
      </c>
      <c r="FI236" s="1111">
        <f t="shared" si="293"/>
        <v>3.5451037141744003E-2</v>
      </c>
      <c r="FJ236" s="1111">
        <f t="shared" si="294"/>
        <v>1.5119273460284501E-2</v>
      </c>
      <c r="FK236" s="1111">
        <f t="shared" si="295"/>
        <v>1.47924708148466E-2</v>
      </c>
      <c r="FL236" s="1111">
        <f t="shared" si="296"/>
        <v>1.4608534822893701E-2</v>
      </c>
      <c r="FM236" s="1111">
        <f t="shared" si="297"/>
        <v>1.45546061834944E-2</v>
      </c>
      <c r="FN236" s="1111">
        <f t="shared" si="298"/>
        <v>1.4536510442551E-2</v>
      </c>
      <c r="FO236" s="1111">
        <f t="shared" si="299"/>
        <v>1.4528668182896999E-2</v>
      </c>
      <c r="FP236" s="1111">
        <f t="shared" si="300"/>
        <v>1.45225405658348E-2</v>
      </c>
      <c r="FQ236" s="1111">
        <f t="shared" si="301"/>
        <v>1.45225405658348E-2</v>
      </c>
      <c r="FR236" s="1111">
        <f t="shared" si="322"/>
        <v>1.04983400982203</v>
      </c>
      <c r="FS236" s="1111">
        <f t="shared" si="323"/>
        <v>1.04983400982203</v>
      </c>
      <c r="FT236" s="1111">
        <f t="shared" si="324"/>
        <v>0.72832653653898105</v>
      </c>
      <c r="FU236" s="1111">
        <f t="shared" si="325"/>
        <v>0.58427614618818202</v>
      </c>
      <c r="FV236" s="1111">
        <f t="shared" si="326"/>
        <v>0.50134292856914997</v>
      </c>
      <c r="FW236" s="1111">
        <f t="shared" si="327"/>
        <v>0.47618546496589997</v>
      </c>
      <c r="FX236" s="1111">
        <f t="shared" si="328"/>
        <v>0.47190149656039998</v>
      </c>
      <c r="FY236" s="1111">
        <f t="shared" si="329"/>
        <v>0.47071689819165202</v>
      </c>
      <c r="FZ236" s="1111">
        <f t="shared" si="330"/>
        <v>0.47069343749269799</v>
      </c>
      <c r="GA236" s="1111">
        <f t="shared" si="331"/>
        <v>0.47069114341764501</v>
      </c>
      <c r="GB236" s="1111">
        <f t="shared" si="332"/>
        <v>0.47069114341764501</v>
      </c>
      <c r="GC236" s="1111">
        <f t="shared" si="353"/>
        <v>0.72578410583292197</v>
      </c>
      <c r="GD236" s="1111">
        <f t="shared" si="354"/>
        <v>0.72578410583292197</v>
      </c>
      <c r="GE236" s="1111">
        <f t="shared" si="355"/>
        <v>0.42763209762876098</v>
      </c>
      <c r="GF236" s="1111">
        <f t="shared" si="356"/>
        <v>0.18944103926397299</v>
      </c>
      <c r="GG236" s="1111">
        <f t="shared" si="357"/>
        <v>0.114666499637313</v>
      </c>
      <c r="GH236" s="1111">
        <f t="shared" si="358"/>
        <v>9.1724132402913702E-2</v>
      </c>
      <c r="GI236" s="1111">
        <f t="shared" si="359"/>
        <v>8.7857141954733695E-2</v>
      </c>
      <c r="GJ236" s="1111">
        <f t="shared" si="360"/>
        <v>8.6767275626484494E-2</v>
      </c>
      <c r="GK236" s="1111">
        <f t="shared" si="361"/>
        <v>8.6748879396040507E-2</v>
      </c>
      <c r="GL236" s="1111">
        <f t="shared" si="362"/>
        <v>8.67391289437488E-2</v>
      </c>
      <c r="GM236" s="1111">
        <f t="shared" si="363"/>
        <v>8.67391289437488E-2</v>
      </c>
    </row>
    <row r="237" spans="1:195" x14ac:dyDescent="0.2">
      <c r="A237" s="1071" t="s">
        <v>186</v>
      </c>
      <c r="B237" s="1071" t="str">
        <f>Technologies!C145</f>
        <v>THSDSLC10</v>
      </c>
      <c r="C237" s="1071" t="str">
        <f>Technologies!D145</f>
        <v>Heavy Truck, Short Haul, Conventional Diesel 2010</v>
      </c>
      <c r="D237" s="1071" t="str">
        <f>NewTech!D97</f>
        <v>bn-vmt, bn-vmt/a</v>
      </c>
      <c r="E237" s="1071" t="str">
        <f>Commodities!C$44</f>
        <v>THDSL</v>
      </c>
      <c r="F237" s="1071" t="s">
        <v>98</v>
      </c>
      <c r="G237" s="1110" t="s">
        <v>505</v>
      </c>
      <c r="H237" s="1110" t="s">
        <v>499</v>
      </c>
      <c r="I237" s="1112">
        <v>1</v>
      </c>
      <c r="J237" s="1111" t="str">
        <f t="shared" si="302"/>
        <v>Heavy duty short haul truck-DSL</v>
      </c>
      <c r="K237" s="1111">
        <f>SUMIFS(NewEmisData!E:E, NewEmisData!$A:$A, $G237, NewEmisData!$B:$B, $A237, NewEmisData!$C:$C, $H237, NewEmisData!$D:$D, K$6)</f>
        <v>1965.3480196129899</v>
      </c>
      <c r="L237" s="1111">
        <f>SUMIFS(NewEmisData!F:F, NewEmisData!$A:$A, $G237, NewEmisData!$B:$B, $A237, NewEmisData!$C:$C, $H237, NewEmisData!$D:$D, L$6)</f>
        <v>2010.3216718511901</v>
      </c>
      <c r="M237" s="1111">
        <f>SUMIFS(NewEmisData!G:G, NewEmisData!$A:$A, $G237, NewEmisData!$B:$B, $A237, NewEmisData!$C:$C, $H237, NewEmisData!$D:$D, M$6)</f>
        <v>2090.4906656609201</v>
      </c>
      <c r="N237" s="1111">
        <f>SUMIFS(NewEmisData!H:H, NewEmisData!$A:$A, $G237, NewEmisData!$B:$B, $A237, NewEmisData!$C:$C, $H237, NewEmisData!$D:$D, N$6)</f>
        <v>2053.9539193064902</v>
      </c>
      <c r="O237" s="1111">
        <f>SUMIFS(NewEmisData!I:I, NewEmisData!$A:$A, $G237, NewEmisData!$B:$B, $A237, NewEmisData!$C:$C, $H237, NewEmisData!$D:$D, O$6)</f>
        <v>2027.8421991422999</v>
      </c>
      <c r="P237" s="1111">
        <f>SUMIFS(NewEmisData!J:J, NewEmisData!$A:$A, $G237, NewEmisData!$B:$B, $A237, NewEmisData!$C:$C, $H237, NewEmisData!$D:$D, P$6)</f>
        <v>2019.45150345712</v>
      </c>
      <c r="Q237" s="1111">
        <f>SUMIFS(NewEmisData!K:K, NewEmisData!$A:$A, $G237, NewEmisData!$B:$B, $A237, NewEmisData!$C:$C, $H237, NewEmisData!$D:$D, Q$6)</f>
        <v>2016.54651893857</v>
      </c>
      <c r="R237" s="1111">
        <f>SUMIFS(NewEmisData!L:L, NewEmisData!$A:$A, $G237, NewEmisData!$B:$B, $A237, NewEmisData!$C:$C, $H237, NewEmisData!$D:$D, R$6)</f>
        <v>2015.2058723386001</v>
      </c>
      <c r="S237" s="1111">
        <f>SUMIFS(NewEmisData!M:M, NewEmisData!$A:$A, $G237, NewEmisData!$B:$B, $A237, NewEmisData!$C:$C, $H237, NewEmisData!$D:$D, S$6)</f>
        <v>2014.2294332377901</v>
      </c>
      <c r="T237" s="1111">
        <f t="shared" si="364"/>
        <v>2014.2294332377901</v>
      </c>
      <c r="U237" s="1111">
        <f>SUMIFS(NewEmisData!E:E, NewEmisData!$A:$A, $G237, NewEmisData!$B:$B, $A237, NewEmisData!$C:$C, $H237, NewEmisData!$D:$D, U$6)</f>
        <v>16.5695691882601</v>
      </c>
      <c r="V237" s="1111">
        <f>SUMIFS(NewEmisData!F:F, NewEmisData!$A:$A, $G237, NewEmisData!$B:$B, $A237, NewEmisData!$C:$C, $H237, NewEmisData!$D:$D, V$6)</f>
        <v>10.1915554047669</v>
      </c>
      <c r="W237" s="1111">
        <f>SUMIFS(NewEmisData!G:G, NewEmisData!$A:$A, $G237, NewEmisData!$B:$B, $A237, NewEmisData!$C:$C, $H237, NewEmisData!$D:$D, W$6)</f>
        <v>4.7067883339263101</v>
      </c>
      <c r="X237" s="1111">
        <f>SUMIFS(NewEmisData!H:H, NewEmisData!$A:$A, $G237, NewEmisData!$B:$B, $A237, NewEmisData!$C:$C, $H237, NewEmisData!$D:$D, X$6)</f>
        <v>2.74964441255411</v>
      </c>
      <c r="Y237" s="1111">
        <f>SUMIFS(NewEmisData!I:I, NewEmisData!$A:$A, $G237, NewEmisData!$B:$B, $A237, NewEmisData!$C:$C, $H237, NewEmisData!$D:$D, Y$6)</f>
        <v>2.1250543631144501</v>
      </c>
      <c r="Z237" s="1111">
        <f>SUMIFS(NewEmisData!J:J, NewEmisData!$A:$A, $G237, NewEmisData!$B:$B, $A237, NewEmisData!$C:$C, $H237, NewEmisData!$D:$D, Z$6)</f>
        <v>1.99369533696212</v>
      </c>
      <c r="AA237" s="1111">
        <f>SUMIFS(NewEmisData!K:K, NewEmisData!$A:$A, $G237, NewEmisData!$B:$B, $A237, NewEmisData!$C:$C, $H237, NewEmisData!$D:$D, AA$6)</f>
        <v>1.9596642716443899</v>
      </c>
      <c r="AB237" s="1111">
        <f>SUMIFS(NewEmisData!L:L, NewEmisData!$A:$A, $G237, NewEmisData!$B:$B, $A237, NewEmisData!$C:$C, $H237, NewEmisData!$D:$D, AB$6)</f>
        <v>1.95841045438728</v>
      </c>
      <c r="AC237" s="1111">
        <f>SUMIFS(NewEmisData!M:M, NewEmisData!$A:$A, $G237, NewEmisData!$B:$B, $A237, NewEmisData!$C:$C, $H237, NewEmisData!$D:$D, AC$6)</f>
        <v>1.95772834946656</v>
      </c>
      <c r="AD237" s="1111">
        <f t="shared" si="321"/>
        <v>1.95772834946656</v>
      </c>
      <c r="AE237" s="1111">
        <f t="shared" si="365"/>
        <v>4.8505368718434902E-2</v>
      </c>
      <c r="AF237" s="1111">
        <f>SUMIFS(NewEmisData!E:E, NewEmisData!$A:$A, $G237, NewEmisData!$B:$B, $A237, NewEmisData!$C:$C, $H237, NewEmisData!$D:$D, AF$6)</f>
        <v>4.8505368718434902E-2</v>
      </c>
      <c r="AG237" s="1111">
        <f>SUMIFS(NewEmisData!F:F, NewEmisData!$A:$A, $G237, NewEmisData!$B:$B, $A237, NewEmisData!$C:$C, $H237, NewEmisData!$D:$D, AG$6)</f>
        <v>4.8325981488473099E-2</v>
      </c>
      <c r="AH237" s="1111">
        <f>SUMIFS(NewEmisData!G:G, NewEmisData!$A:$A, $G237, NewEmisData!$B:$B, $A237, NewEmisData!$C:$C, $H237, NewEmisData!$D:$D, AH$6)</f>
        <v>1.7576572280014201E-2</v>
      </c>
      <c r="AI237" s="1111">
        <f>SUMIFS(NewEmisData!H:H, NewEmisData!$A:$A, $G237, NewEmisData!$B:$B, $A237, NewEmisData!$C:$C, $H237, NewEmisData!$D:$D, AI$6)</f>
        <v>1.7166395112910501E-2</v>
      </c>
      <c r="AJ237" s="1111">
        <f>SUMIFS(NewEmisData!I:I, NewEmisData!$A:$A, $G237, NewEmisData!$B:$B, $A237, NewEmisData!$C:$C, $H237, NewEmisData!$D:$D, AJ$6)</f>
        <v>1.6914594935806299E-2</v>
      </c>
      <c r="AK237" s="1111">
        <f>SUMIFS(NewEmisData!J:J, NewEmisData!$A:$A, $G237, NewEmisData!$B:$B, $A237, NewEmisData!$C:$C, $H237, NewEmisData!$D:$D, AK$6)</f>
        <v>1.68383799937354E-2</v>
      </c>
      <c r="AL237" s="1111">
        <f>SUMIFS(NewEmisData!K:K, NewEmisData!$A:$A, $G237, NewEmisData!$B:$B, $A237, NewEmisData!$C:$C, $H237, NewEmisData!$D:$D, AL$6)</f>
        <v>1.6812194631633502E-2</v>
      </c>
      <c r="AM237" s="1111">
        <f>SUMIFS(NewEmisData!L:L, NewEmisData!$A:$A, $G237, NewEmisData!$B:$B, $A237, NewEmisData!$C:$C, $H237, NewEmisData!$D:$D, AM$6)</f>
        <v>1.6801008524208499E-2</v>
      </c>
      <c r="AN237" s="1111">
        <f>SUMIFS(NewEmisData!M:M, NewEmisData!$A:$A, $G237, NewEmisData!$B:$B, $A237, NewEmisData!$C:$C, $H237, NewEmisData!$D:$D, AN$6)</f>
        <v>1.6792875741706501E-2</v>
      </c>
      <c r="AO237" s="1111">
        <f t="shared" si="366"/>
        <v>1.6792875741706501E-2</v>
      </c>
      <c r="AP237" s="1111">
        <f t="shared" si="367"/>
        <v>1.7897176326082</v>
      </c>
      <c r="AQ237" s="1111">
        <f>SUMIFS(NewEmisData!E:E, NewEmisData!$A:$A, $G237, NewEmisData!$B:$B, $A237, NewEmisData!$C:$C, $H237, NewEmisData!$D:$D, AQ$6)</f>
        <v>1.7897176326082</v>
      </c>
      <c r="AR237" s="1111">
        <f>SUMIFS(NewEmisData!F:F, NewEmisData!$A:$A, $G237, NewEmisData!$B:$B, $A237, NewEmisData!$C:$C, $H237, NewEmisData!$D:$D, AR$6)</f>
        <v>1.28184142907446</v>
      </c>
      <c r="AS237" s="1111">
        <f>SUMIFS(NewEmisData!G:G, NewEmisData!$A:$A, $G237, NewEmisData!$B:$B, $A237, NewEmisData!$C:$C, $H237, NewEmisData!$D:$D, AS$6)</f>
        <v>0.80585430140276804</v>
      </c>
      <c r="AT237" s="1111">
        <f>SUMIFS(NewEmisData!H:H, NewEmisData!$A:$A, $G237, NewEmisData!$B:$B, $A237, NewEmisData!$C:$C, $H237, NewEmisData!$D:$D, AT$6)</f>
        <v>0.69183592997618704</v>
      </c>
      <c r="AU237" s="1111">
        <f>SUMIFS(NewEmisData!I:I, NewEmisData!$A:$A, $G237, NewEmisData!$B:$B, $A237, NewEmisData!$C:$C, $H237, NewEmisData!$D:$D, AU$6)</f>
        <v>0.65551295326080194</v>
      </c>
      <c r="AV237" s="1111">
        <f>SUMIFS(NewEmisData!J:J, NewEmisData!$A:$A, $G237, NewEmisData!$B:$B, $A237, NewEmisData!$C:$C, $H237, NewEmisData!$D:$D, AV$6)</f>
        <v>0.64912663136166204</v>
      </c>
      <c r="AW237" s="1111">
        <f>SUMIFS(NewEmisData!K:K, NewEmisData!$A:$A, $G237, NewEmisData!$B:$B, $A237, NewEmisData!$C:$C, $H237, NewEmisData!$D:$D, AW$6)</f>
        <v>0.64721406840414997</v>
      </c>
      <c r="AX237" s="1111">
        <f>SUMIFS(NewEmisData!L:L, NewEmisData!$A:$A, $G237, NewEmisData!$B:$B, $A237, NewEmisData!$C:$C, $H237, NewEmisData!$D:$D, AX$6)</f>
        <v>0.64706992112985595</v>
      </c>
      <c r="AY237" s="1111">
        <f>SUMIFS(NewEmisData!M:M, NewEmisData!$A:$A, $G237, NewEmisData!$B:$B, $A237, NewEmisData!$C:$C, $H237, NewEmisData!$D:$D, AY$6)</f>
        <v>0.64695129381422201</v>
      </c>
      <c r="AZ237" s="1111">
        <f t="shared" si="368"/>
        <v>0.64695129381422201</v>
      </c>
      <c r="BA237" s="1111">
        <f t="shared" si="369"/>
        <v>1.18048167941492</v>
      </c>
      <c r="BB237" s="1111">
        <f>SUMIFS(NewEmisData!E:E, NewEmisData!$A:$A, $G237, NewEmisData!$B:$B, $A237, NewEmisData!$C:$C, $H237, NewEmisData!$D:$D, BB$6)</f>
        <v>1.18048167941492</v>
      </c>
      <c r="BC237" s="1111">
        <f>SUMIFS(NewEmisData!F:F, NewEmisData!$A:$A, $G237, NewEmisData!$B:$B, $A237, NewEmisData!$C:$C, $H237, NewEmisData!$D:$D, BC$6)</f>
        <v>0.70883111477306904</v>
      </c>
      <c r="BD237" s="1111">
        <f>SUMIFS(NewEmisData!G:G, NewEmisData!$A:$A, $G237, NewEmisData!$B:$B, $A237, NewEmisData!$C:$C, $H237, NewEmisData!$D:$D, BD$6)</f>
        <v>0.25820081252871602</v>
      </c>
      <c r="BE237" s="1111">
        <f>SUMIFS(NewEmisData!H:H, NewEmisData!$A:$A, $G237, NewEmisData!$B:$B, $A237, NewEmisData!$C:$C, $H237, NewEmisData!$D:$D, BE$6)</f>
        <v>0.154936314509238</v>
      </c>
      <c r="BF237" s="1111">
        <f>SUMIFS(NewEmisData!I:I, NewEmisData!$A:$A, $G237, NewEmisData!$B:$B, $A237, NewEmisData!$C:$C, $H237, NewEmisData!$D:$D, BF$6)</f>
        <v>0.12145150227391199</v>
      </c>
      <c r="BG237" s="1111">
        <f>SUMIFS(NewEmisData!J:J, NewEmisData!$A:$A, $G237, NewEmisData!$B:$B, $A237, NewEmisData!$C:$C, $H237, NewEmisData!$D:$D, BG$6)</f>
        <v>0.11561207466260399</v>
      </c>
      <c r="BH237" s="1111">
        <f>SUMIFS(NewEmisData!K:K, NewEmisData!$A:$A, $G237, NewEmisData!$B:$B, $A237, NewEmisData!$C:$C, $H237, NewEmisData!$D:$D, BH$6)</f>
        <v>0.113890264164102</v>
      </c>
      <c r="BI237" s="1111">
        <f>SUMIFS(NewEmisData!L:L, NewEmisData!$A:$A, $G237, NewEmisData!$B:$B, $A237, NewEmisData!$C:$C, $H237, NewEmisData!$D:$D, BI$6)</f>
        <v>0.11384461486997199</v>
      </c>
      <c r="BJ237" s="1111">
        <f>SUMIFS(NewEmisData!M:M, NewEmisData!$A:$A, $G237, NewEmisData!$B:$B, $A237, NewEmisData!$C:$C, $H237, NewEmisData!$D:$D, BJ$6)</f>
        <v>0.11381252319809999</v>
      </c>
      <c r="BK237" s="1111">
        <f t="shared" si="370"/>
        <v>0.11381252319809999</v>
      </c>
      <c r="BL237" s="1111">
        <f t="shared" si="371"/>
        <v>6.0456420020261303</v>
      </c>
      <c r="BM237" s="1111">
        <f>SUMIFS(NewEmisData!E:E, NewEmisData!$A:$A, $G237, NewEmisData!$B:$B, $A237, NewEmisData!$C:$C, $H237, NewEmisData!$D:$D, BM$6)</f>
        <v>6.0456420020261303</v>
      </c>
      <c r="BN237" s="1111">
        <f>SUMIFS(NewEmisData!F:F, NewEmisData!$A:$A, $G237, NewEmisData!$B:$B, $A237, NewEmisData!$C:$C, $H237, NewEmisData!$D:$D, BN$6)</f>
        <v>3.6427551386991199</v>
      </c>
      <c r="BO237" s="1111">
        <f>SUMIFS(NewEmisData!G:G, NewEmisData!$A:$A, $G237, NewEmisData!$B:$B, $A237, NewEmisData!$C:$C, $H237, NewEmisData!$D:$D, BO$6)</f>
        <v>1.8452011446226499</v>
      </c>
      <c r="BP237" s="1111">
        <f>SUMIFS(NewEmisData!H:H, NewEmisData!$A:$A, $G237, NewEmisData!$B:$B, $A237, NewEmisData!$C:$C, $H237, NewEmisData!$D:$D, BP$6)</f>
        <v>1.24194770746088</v>
      </c>
      <c r="BQ237" s="1111">
        <f>SUMIFS(NewEmisData!I:I, NewEmisData!$A:$A, $G237, NewEmisData!$B:$B, $A237, NewEmisData!$C:$C, $H237, NewEmisData!$D:$D, BQ$6)</f>
        <v>1.0526499630644499</v>
      </c>
      <c r="BR237" s="1111">
        <f>SUMIFS(NewEmisData!J:J, NewEmisData!$A:$A, $G237, NewEmisData!$B:$B, $A237, NewEmisData!$C:$C, $H237, NewEmisData!$D:$D, BR$6)</f>
        <v>1.0089819104633899</v>
      </c>
      <c r="BS237" s="1111">
        <f>SUMIFS(NewEmisData!K:K, NewEmisData!$A:$A, $G237, NewEmisData!$B:$B, $A237, NewEmisData!$C:$C, $H237, NewEmisData!$D:$D, BS$6)</f>
        <v>0.99667122961969301</v>
      </c>
      <c r="BT237" s="1111">
        <f>SUMIFS(NewEmisData!L:L, NewEmisData!$A:$A, $G237, NewEmisData!$B:$B, $A237, NewEmisData!$C:$C, $H237, NewEmisData!$D:$D, BT$6)</f>
        <v>0.99500593481504396</v>
      </c>
      <c r="BU237" s="1111">
        <f>SUMIFS(NewEmisData!M:M, NewEmisData!$A:$A, $G237, NewEmisData!$B:$B, $A237, NewEmisData!$C:$C, $H237, NewEmisData!$D:$D, BU$6)</f>
        <v>0.99474590902717697</v>
      </c>
      <c r="BV237" s="1111">
        <f t="shared" si="372"/>
        <v>0.99474590902717697</v>
      </c>
      <c r="BW237" s="1111">
        <f t="shared" si="373"/>
        <v>1.8523245224272999</v>
      </c>
      <c r="BX237" s="1111">
        <f>SUMIFS(NewEmisData!E:E, NewEmisData!$A:$A, $G237, NewEmisData!$B:$B, $A237, NewEmisData!$C:$C, $H237, NewEmisData!$D:$D, BX$6)</f>
        <v>1.8523245224272999</v>
      </c>
      <c r="BY237" s="1111">
        <f>SUMIFS(NewEmisData!F:F, NewEmisData!$A:$A, $G237, NewEmisData!$B:$B, $A237, NewEmisData!$C:$C, $H237, NewEmisData!$D:$D, BY$6)</f>
        <v>0.98457686139596001</v>
      </c>
      <c r="BZ237" s="1111">
        <f>SUMIFS(NewEmisData!G:G, NewEmisData!$A:$A, $G237, NewEmisData!$B:$B, $A237, NewEmisData!$C:$C, $H237, NewEmisData!$D:$D, BZ$6)</f>
        <v>0.454054708098104</v>
      </c>
      <c r="CA237" s="1111">
        <f>SUMIFS(NewEmisData!H:H, NewEmisData!$A:$A, $G237, NewEmisData!$B:$B, $A237, NewEmisData!$C:$C, $H237, NewEmisData!$D:$D, CA$6)</f>
        <v>0.24241218334548201</v>
      </c>
      <c r="CB237" s="1111">
        <f>SUMIFS(NewEmisData!I:I, NewEmisData!$A:$A, $G237, NewEmisData!$B:$B, $A237, NewEmisData!$C:$C, $H237, NewEmisData!$D:$D, CB$6)</f>
        <v>0.17574053877664</v>
      </c>
      <c r="CC237" s="1111">
        <f>SUMIFS(NewEmisData!J:J, NewEmisData!$A:$A, $G237, NewEmisData!$B:$B, $A237, NewEmisData!$C:$C, $H237, NewEmisData!$D:$D, CC$6)</f>
        <v>0.16190467325511401</v>
      </c>
      <c r="CD237" s="1111">
        <f>SUMIFS(NewEmisData!K:K, NewEmisData!$A:$A, $G237, NewEmisData!$B:$B, $A237, NewEmisData!$C:$C, $H237, NewEmisData!$D:$D, CD$6)</f>
        <v>0.15802874340941001</v>
      </c>
      <c r="CE237" s="1111">
        <f>SUMIFS(NewEmisData!L:L, NewEmisData!$A:$A, $G237, NewEmisData!$B:$B, $A237, NewEmisData!$C:$C, $H237, NewEmisData!$D:$D, CE$6)</f>
        <v>0.157924905411398</v>
      </c>
      <c r="CF237" s="1111">
        <f>SUMIFS(NewEmisData!M:M, NewEmisData!$A:$A, $G237, NewEmisData!$B:$B, $A237, NewEmisData!$C:$C, $H237, NewEmisData!$D:$D, CF$6)</f>
        <v>0.157888725635105</v>
      </c>
      <c r="CG237" s="1111">
        <f t="shared" si="374"/>
        <v>0.157888725635105</v>
      </c>
      <c r="CH237" s="1111">
        <f t="shared" si="375"/>
        <v>3.4893521946962498E-2</v>
      </c>
      <c r="CI237" s="1111">
        <f>SUMIFS(NewEmisData!E:E, NewEmisData!$A:$A, $G237, NewEmisData!$B:$B, $A237, NewEmisData!$C:$C, $H237, NewEmisData!$D:$D, CI$6)</f>
        <v>3.4893521946962498E-2</v>
      </c>
      <c r="CJ237" s="1111">
        <f>SUMIFS(NewEmisData!F:F, NewEmisData!$A:$A, $G237, NewEmisData!$B:$B, $A237, NewEmisData!$C:$C, $H237, NewEmisData!$D:$D, CJ$6)</f>
        <v>3.49788451002516E-2</v>
      </c>
      <c r="CK237" s="1111">
        <f>SUMIFS(NewEmisData!G:G, NewEmisData!$A:$A, $G237, NewEmisData!$B:$B, $A237, NewEmisData!$C:$C, $H237, NewEmisData!$D:$D, CK$6)</f>
        <v>3.9639501952122097E-2</v>
      </c>
      <c r="CL237" s="1111">
        <f>SUMIFS(NewEmisData!H:H, NewEmisData!$A:$A, $G237, NewEmisData!$B:$B, $A237, NewEmisData!$C:$C, $H237, NewEmisData!$D:$D, CL$6)</f>
        <v>3.9638483794636602E-2</v>
      </c>
      <c r="CM237" s="1111">
        <f>SUMIFS(NewEmisData!I:I, NewEmisData!$A:$A, $G237, NewEmisData!$B:$B, $A237, NewEmisData!$C:$C, $H237, NewEmisData!$D:$D, CM$6)</f>
        <v>3.9638118042141998E-2</v>
      </c>
      <c r="CN237" s="1111">
        <f>SUMIFS(NewEmisData!J:J, NewEmisData!$A:$A, $G237, NewEmisData!$B:$B, $A237, NewEmisData!$C:$C, $H237, NewEmisData!$D:$D, CN$6)</f>
        <v>3.9638000963104603E-2</v>
      </c>
      <c r="CO237" s="1111">
        <f>SUMIFS(NewEmisData!K:K, NewEmisData!$A:$A, $G237, NewEmisData!$B:$B, $A237, NewEmisData!$C:$C, $H237, NewEmisData!$D:$D, CO$6)</f>
        <v>3.9637988546095397E-2</v>
      </c>
      <c r="CP237" s="1111">
        <f>SUMIFS(NewEmisData!L:L, NewEmisData!$A:$A, $G237, NewEmisData!$B:$B, $A237, NewEmisData!$C:$C, $H237, NewEmisData!$D:$D, CP$6)</f>
        <v>3.9637972152367001E-2</v>
      </c>
      <c r="CQ237" s="1111">
        <f>SUMIFS(NewEmisData!M:M, NewEmisData!$A:$A, $G237, NewEmisData!$B:$B, $A237, NewEmisData!$C:$C, $H237, NewEmisData!$D:$D, CQ$6)</f>
        <v>3.9637979680126299E-2</v>
      </c>
      <c r="CR237" s="1111">
        <f t="shared" si="376"/>
        <v>3.9637979680126299E-2</v>
      </c>
      <c r="CS237" s="1111">
        <f t="shared" si="377"/>
        <v>6.6753767747216204E-3</v>
      </c>
      <c r="CT237" s="1111">
        <f>SUMIFS(NewEmisData!E:E, NewEmisData!$A:$A, $G237, NewEmisData!$B:$B, $A237, NewEmisData!$C:$C, $H237, NewEmisData!$D:$D, CT$6)</f>
        <v>6.6753767747216204E-3</v>
      </c>
      <c r="CU237" s="1111">
        <f>SUMIFS(NewEmisData!F:F, NewEmisData!$A:$A, $G237, NewEmisData!$B:$B, $A237, NewEmisData!$C:$C, $H237, NewEmisData!$D:$D, CU$6)</f>
        <v>6.5547982937163097E-3</v>
      </c>
      <c r="CV237" s="1111">
        <f>SUMIFS(NewEmisData!G:G, NewEmisData!$A:$A, $G237, NewEmisData!$B:$B, $A237, NewEmisData!$C:$C, $H237, NewEmisData!$D:$D, CV$6)</f>
        <v>7.2957432936417597E-3</v>
      </c>
      <c r="CW237" s="1111">
        <f>SUMIFS(NewEmisData!H:H, NewEmisData!$A:$A, $G237, NewEmisData!$B:$B, $A237, NewEmisData!$C:$C, $H237, NewEmisData!$D:$D, CW$6)</f>
        <v>7.2823273262305702E-3</v>
      </c>
      <c r="CX237" s="1111">
        <f>SUMIFS(NewEmisData!I:I, NewEmisData!$A:$A, $G237, NewEmisData!$B:$B, $A237, NewEmisData!$C:$C, $H237, NewEmisData!$D:$D, CX$6)</f>
        <v>7.2700258541815799E-3</v>
      </c>
      <c r="CY237" s="1111">
        <f>SUMIFS(NewEmisData!J:J, NewEmisData!$A:$A, $G237, NewEmisData!$B:$B, $A237, NewEmisData!$C:$C, $H237, NewEmisData!$D:$D, CY$6)</f>
        <v>7.2630982878354698E-3</v>
      </c>
      <c r="CZ237" s="1111">
        <f>SUMIFS(NewEmisData!K:K, NewEmisData!$A:$A, $G237, NewEmisData!$B:$B, $A237, NewEmisData!$C:$C, $H237, NewEmisData!$D:$D, CZ$6)</f>
        <v>7.25966994665462E-3</v>
      </c>
      <c r="DA237" s="1111">
        <f>SUMIFS(NewEmisData!L:L, NewEmisData!$A:$A, $G237, NewEmisData!$B:$B, $A237, NewEmisData!$C:$C, $H237, NewEmisData!$D:$D, DA$6)</f>
        <v>7.2582639480360299E-3</v>
      </c>
      <c r="DB237" s="1111">
        <f>SUMIFS(NewEmisData!M:M, NewEmisData!$A:$A, $G237, NewEmisData!$B:$B, $A237, NewEmisData!$C:$C, $H237, NewEmisData!$D:$D, DB$6)</f>
        <v>7.2582397653682199E-3</v>
      </c>
      <c r="DC237" s="1111">
        <f t="shared" si="378"/>
        <v>7.2582397653682199E-3</v>
      </c>
      <c r="DD237" s="1111"/>
      <c r="DE237" s="1111"/>
      <c r="DF237" s="1111"/>
      <c r="DG237" s="1111"/>
      <c r="DH237" s="1111"/>
      <c r="DI237" s="1111"/>
      <c r="DJ237" s="1111"/>
      <c r="DK237" s="1111"/>
      <c r="DL237" s="1111"/>
      <c r="DM237" s="1111"/>
      <c r="DN237" s="1111"/>
      <c r="DO237" s="1111"/>
      <c r="DP237" s="1111"/>
      <c r="DQ237" s="1111"/>
      <c r="DR237" s="1111"/>
      <c r="DS237" s="1111"/>
      <c r="DT237" s="1111"/>
      <c r="DU237" s="1111"/>
      <c r="DV237" s="1111"/>
      <c r="DW237" s="1111"/>
      <c r="DX237" s="1111"/>
      <c r="DY237" s="1111"/>
      <c r="DZ237" s="1111">
        <f t="shared" si="379"/>
        <v>3.9006976025732602E-2</v>
      </c>
      <c r="EA237" s="1111">
        <f>SUMIFS(NewEmisData!E:E, NewEmisData!$A:$A, $G237, NewEmisData!$B:$B, $A237, NewEmisData!$C:$C, $H237, NewEmisData!$D:$D, EA$6)</f>
        <v>3.9006976025732602E-2</v>
      </c>
      <c r="EB237" s="1111">
        <f>SUMIFS(NewEmisData!F:F, NewEmisData!$A:$A, $G237, NewEmisData!$B:$B, $A237, NewEmisData!$C:$C, $H237, NewEmisData!$D:$D, EB$6)</f>
        <v>9.7382260752850197E-2</v>
      </c>
      <c r="EC237" s="1111">
        <f>SUMIFS(NewEmisData!G:G, NewEmisData!$A:$A, $G237, NewEmisData!$B:$B, $A237, NewEmisData!$C:$C, $H237, NewEmisData!$D:$D, EC$6)</f>
        <v>0.14046349386005799</v>
      </c>
      <c r="ED237" s="1111">
        <f>SUMIFS(NewEmisData!H:H, NewEmisData!$A:$A, $G237, NewEmisData!$B:$B, $A237, NewEmisData!$C:$C, $H237, NewEmisData!$D:$D, ED$6)</f>
        <v>0.14210473049514299</v>
      </c>
      <c r="EE237" s="1111">
        <f>SUMIFS(NewEmisData!I:I, NewEmisData!$A:$A, $G237, NewEmisData!$B:$B, $A237, NewEmisData!$C:$C, $H237, NewEmisData!$D:$D, EE$6)</f>
        <v>0.142376657618557</v>
      </c>
      <c r="EF237" s="1111">
        <f>SUMIFS(NewEmisData!J:J, NewEmisData!$A:$A, $G237, NewEmisData!$B:$B, $A237, NewEmisData!$C:$C, $H237, NewEmisData!$D:$D, EF$6)</f>
        <v>0.14206400587052001</v>
      </c>
      <c r="EG237" s="1111">
        <f>SUMIFS(NewEmisData!K:K, NewEmisData!$A:$A, $G237, NewEmisData!$B:$B, $A237, NewEmisData!$C:$C, $H237, NewEmisData!$D:$D, EG$6)</f>
        <v>0.142101863494736</v>
      </c>
      <c r="EH237" s="1111">
        <f>SUMIFS(NewEmisData!L:L, NewEmisData!$A:$A, $G237, NewEmisData!$B:$B, $A237, NewEmisData!$C:$C, $H237, NewEmisData!$D:$D, EH$6)</f>
        <v>0.142019923590127</v>
      </c>
      <c r="EI237" s="1111">
        <f>SUMIFS(NewEmisData!M:M, NewEmisData!$A:$A, $G237, NewEmisData!$B:$B, $A237, NewEmisData!$C:$C, $H237, NewEmisData!$D:$D, EI$6)</f>
        <v>0.142008262982282</v>
      </c>
      <c r="EJ237" s="1111">
        <f t="shared" si="380"/>
        <v>0.142008262982282</v>
      </c>
      <c r="EK237" s="1111">
        <f t="shared" si="381"/>
        <v>1965.3480196129899</v>
      </c>
      <c r="EL237" s="1111">
        <f t="shared" si="343"/>
        <v>1965.3480196129899</v>
      </c>
      <c r="EM237" s="1111">
        <f t="shared" si="344"/>
        <v>2010.3216718511901</v>
      </c>
      <c r="EN237" s="1111">
        <f t="shared" si="345"/>
        <v>2090.4906656609201</v>
      </c>
      <c r="EO237" s="1111">
        <f t="shared" si="346"/>
        <v>2053.9539193064902</v>
      </c>
      <c r="EP237" s="1111">
        <f t="shared" si="347"/>
        <v>2027.8421991422999</v>
      </c>
      <c r="EQ237" s="1111">
        <f t="shared" si="348"/>
        <v>2019.45150345712</v>
      </c>
      <c r="ER237" s="1111">
        <f t="shared" si="349"/>
        <v>2016.54651893857</v>
      </c>
      <c r="ES237" s="1111">
        <f t="shared" si="350"/>
        <v>2015.2058723386001</v>
      </c>
      <c r="ET237" s="1111">
        <f t="shared" si="351"/>
        <v>2014.2294332377901</v>
      </c>
      <c r="EU237" s="1111">
        <f t="shared" si="352"/>
        <v>2014.2294332377901</v>
      </c>
      <c r="EV237" s="1111">
        <f t="shared" si="382"/>
        <v>16.5695691882601</v>
      </c>
      <c r="EW237" s="1111">
        <f t="shared" si="333"/>
        <v>16.5695691882601</v>
      </c>
      <c r="EX237" s="1111">
        <f t="shared" si="334"/>
        <v>10.1915554047669</v>
      </c>
      <c r="EY237" s="1111">
        <f t="shared" si="335"/>
        <v>4.7067883339263101</v>
      </c>
      <c r="EZ237" s="1111">
        <f t="shared" si="336"/>
        <v>2.74964441255411</v>
      </c>
      <c r="FA237" s="1111">
        <f t="shared" si="337"/>
        <v>2.1250543631144501</v>
      </c>
      <c r="FB237" s="1111">
        <f t="shared" si="338"/>
        <v>1.99369533696212</v>
      </c>
      <c r="FC237" s="1111">
        <f t="shared" si="339"/>
        <v>1.9596642716443899</v>
      </c>
      <c r="FD237" s="1111">
        <f t="shared" si="340"/>
        <v>1.95841045438728</v>
      </c>
      <c r="FE237" s="1111">
        <f t="shared" si="341"/>
        <v>1.95772834946656</v>
      </c>
      <c r="FF237" s="1111">
        <f t="shared" si="342"/>
        <v>1.95772834946656</v>
      </c>
      <c r="FG237" s="1111">
        <f t="shared" si="291"/>
        <v>4.8505368718434902E-2</v>
      </c>
      <c r="FH237" s="1111">
        <f t="shared" si="292"/>
        <v>4.8505368718434902E-2</v>
      </c>
      <c r="FI237" s="1111">
        <f t="shared" si="293"/>
        <v>4.8325981488473099E-2</v>
      </c>
      <c r="FJ237" s="1111">
        <f t="shared" si="294"/>
        <v>1.7576572280014201E-2</v>
      </c>
      <c r="FK237" s="1111">
        <f t="shared" si="295"/>
        <v>1.7166395112910501E-2</v>
      </c>
      <c r="FL237" s="1111">
        <f t="shared" si="296"/>
        <v>1.6914594935806299E-2</v>
      </c>
      <c r="FM237" s="1111">
        <f t="shared" si="297"/>
        <v>1.68383799937354E-2</v>
      </c>
      <c r="FN237" s="1111">
        <f t="shared" si="298"/>
        <v>1.6812194631633502E-2</v>
      </c>
      <c r="FO237" s="1111">
        <f t="shared" si="299"/>
        <v>1.6801008524208499E-2</v>
      </c>
      <c r="FP237" s="1111">
        <f t="shared" si="300"/>
        <v>1.6792875741706501E-2</v>
      </c>
      <c r="FQ237" s="1111">
        <f t="shared" si="301"/>
        <v>1.6792875741706501E-2</v>
      </c>
      <c r="FR237" s="1111">
        <f t="shared" si="322"/>
        <v>1.7897176326082</v>
      </c>
      <c r="FS237" s="1111">
        <f t="shared" si="323"/>
        <v>1.7897176326082</v>
      </c>
      <c r="FT237" s="1111">
        <f t="shared" si="324"/>
        <v>1.28184142907446</v>
      </c>
      <c r="FU237" s="1111">
        <f t="shared" si="325"/>
        <v>0.80585430140276804</v>
      </c>
      <c r="FV237" s="1111">
        <f t="shared" si="326"/>
        <v>0.69183592997618704</v>
      </c>
      <c r="FW237" s="1111">
        <f t="shared" si="327"/>
        <v>0.65551295326080194</v>
      </c>
      <c r="FX237" s="1111">
        <f t="shared" si="328"/>
        <v>0.64912663136166204</v>
      </c>
      <c r="FY237" s="1111">
        <f t="shared" si="329"/>
        <v>0.64721406840414997</v>
      </c>
      <c r="FZ237" s="1111">
        <f t="shared" si="330"/>
        <v>0.64706992112985595</v>
      </c>
      <c r="GA237" s="1111">
        <f t="shared" si="331"/>
        <v>0.64695129381422201</v>
      </c>
      <c r="GB237" s="1111">
        <f t="shared" si="332"/>
        <v>0.64695129381422201</v>
      </c>
      <c r="GC237" s="1111">
        <f t="shared" si="353"/>
        <v>1.18048167941492</v>
      </c>
      <c r="GD237" s="1111">
        <f t="shared" si="354"/>
        <v>1.18048167941492</v>
      </c>
      <c r="GE237" s="1111">
        <f t="shared" si="355"/>
        <v>0.70883111477306904</v>
      </c>
      <c r="GF237" s="1111">
        <f t="shared" si="356"/>
        <v>0.25820081252871602</v>
      </c>
      <c r="GG237" s="1111">
        <f t="shared" si="357"/>
        <v>0.154936314509238</v>
      </c>
      <c r="GH237" s="1111">
        <f t="shared" si="358"/>
        <v>0.12145150227391199</v>
      </c>
      <c r="GI237" s="1111">
        <f t="shared" si="359"/>
        <v>0.11561207466260399</v>
      </c>
      <c r="GJ237" s="1111">
        <f t="shared" si="360"/>
        <v>0.113890264164102</v>
      </c>
      <c r="GK237" s="1111">
        <f t="shared" si="361"/>
        <v>0.11384461486997199</v>
      </c>
      <c r="GL237" s="1111">
        <f t="shared" si="362"/>
        <v>0.11381252319809999</v>
      </c>
      <c r="GM237" s="1111">
        <f t="shared" si="363"/>
        <v>0.11381252319809999</v>
      </c>
    </row>
    <row r="238" spans="1:195" x14ac:dyDescent="0.2">
      <c r="A238" s="1071" t="s">
        <v>188</v>
      </c>
      <c r="B238" s="1071" t="str">
        <f>Technologies!C145</f>
        <v>THSDSLC10</v>
      </c>
      <c r="C238" s="1071" t="str">
        <f>Technologies!D145</f>
        <v>Heavy Truck, Short Haul, Conventional Diesel 2010</v>
      </c>
      <c r="D238" s="1071" t="str">
        <f>NewTech!D97</f>
        <v>bn-vmt, bn-vmt/a</v>
      </c>
      <c r="E238" s="1071" t="str">
        <f>Commodities!C$44</f>
        <v>THDSL</v>
      </c>
      <c r="F238" s="1071" t="s">
        <v>98</v>
      </c>
      <c r="G238" s="1110" t="s">
        <v>505</v>
      </c>
      <c r="H238" s="1110" t="s">
        <v>499</v>
      </c>
      <c r="I238" s="1112">
        <v>1</v>
      </c>
      <c r="J238" s="1111" t="str">
        <f t="shared" si="302"/>
        <v>Heavy duty short haul truck-DSL</v>
      </c>
      <c r="K238" s="1111">
        <f>SUMIFS(NewEmisData!E:E, NewEmisData!$A:$A, $G238, NewEmisData!$B:$B, $A238, NewEmisData!$C:$C, $H238, NewEmisData!$D:$D, K$6)</f>
        <v>1669.0822501080099</v>
      </c>
      <c r="L238" s="1111">
        <f>SUMIFS(NewEmisData!F:F, NewEmisData!$A:$A, $G238, NewEmisData!$B:$B, $A238, NewEmisData!$C:$C, $H238, NewEmisData!$D:$D, L$6)</f>
        <v>1673.1688001129</v>
      </c>
      <c r="M238" s="1111">
        <f>SUMIFS(NewEmisData!G:G, NewEmisData!$A:$A, $G238, NewEmisData!$B:$B, $A238, NewEmisData!$C:$C, $H238, NewEmisData!$D:$D, M$6)</f>
        <v>1365.67564571155</v>
      </c>
      <c r="N238" s="1111">
        <f>SUMIFS(NewEmisData!H:H, NewEmisData!$A:$A, $G238, NewEmisData!$B:$B, $A238, NewEmisData!$C:$C, $H238, NewEmisData!$D:$D, N$6)</f>
        <v>1340.2430368273101</v>
      </c>
      <c r="O238" s="1111">
        <f>SUMIFS(NewEmisData!I:I, NewEmisData!$A:$A, $G238, NewEmisData!$B:$B, $A238, NewEmisData!$C:$C, $H238, NewEmisData!$D:$D, O$6)</f>
        <v>1322.8450856147599</v>
      </c>
      <c r="P238" s="1111">
        <f>SUMIFS(NewEmisData!J:J, NewEmisData!$A:$A, $G238, NewEmisData!$B:$B, $A238, NewEmisData!$C:$C, $H238, NewEmisData!$D:$D, P$6)</f>
        <v>1317.23072914767</v>
      </c>
      <c r="Q238" s="1111">
        <f>SUMIFS(NewEmisData!K:K, NewEmisData!$A:$A, $G238, NewEmisData!$B:$B, $A238, NewEmisData!$C:$C, $H238, NewEmisData!$D:$D, Q$6)</f>
        <v>1315.3450285164099</v>
      </c>
      <c r="R238" s="1111">
        <f>SUMIFS(NewEmisData!L:L, NewEmisData!$A:$A, $G238, NewEmisData!$B:$B, $A238, NewEmisData!$C:$C, $H238, NewEmisData!$D:$D, R$6)</f>
        <v>1314.50089135955</v>
      </c>
      <c r="S238" s="1111">
        <f>SUMIFS(NewEmisData!M:M, NewEmisData!$A:$A, $G238, NewEmisData!$B:$B, $A238, NewEmisData!$C:$C, $H238, NewEmisData!$D:$D, S$6)</f>
        <v>1313.88241213587</v>
      </c>
      <c r="T238" s="1111">
        <f t="shared" si="364"/>
        <v>1313.88241213587</v>
      </c>
      <c r="U238" s="1111">
        <f>SUMIFS(NewEmisData!E:E, NewEmisData!$A:$A, $G238, NewEmisData!$B:$B, $A238, NewEmisData!$C:$C, $H238, NewEmisData!$D:$D, U$6)</f>
        <v>13.492775574024799</v>
      </c>
      <c r="V238" s="1111">
        <f>SUMIFS(NewEmisData!F:F, NewEmisData!$A:$A, $G238, NewEmisData!$B:$B, $A238, NewEmisData!$C:$C, $H238, NewEmisData!$D:$D, V$6)</f>
        <v>7.5468458416536803</v>
      </c>
      <c r="W238" s="1111">
        <f>SUMIFS(NewEmisData!G:G, NewEmisData!$A:$A, $G238, NewEmisData!$B:$B, $A238, NewEmisData!$C:$C, $H238, NewEmisData!$D:$D, W$6)</f>
        <v>2.86440753900408</v>
      </c>
      <c r="X238" s="1111">
        <f>SUMIFS(NewEmisData!H:H, NewEmisData!$A:$A, $G238, NewEmisData!$B:$B, $A238, NewEmisData!$C:$C, $H238, NewEmisData!$D:$D, X$6)</f>
        <v>1.66545036782072</v>
      </c>
      <c r="Y238" s="1111">
        <f>SUMIFS(NewEmisData!I:I, NewEmisData!$A:$A, $G238, NewEmisData!$B:$B, $A238, NewEmisData!$C:$C, $H238, NewEmisData!$D:$D, Y$6)</f>
        <v>1.2872223005865</v>
      </c>
      <c r="Z238" s="1111">
        <f>SUMIFS(NewEmisData!J:J, NewEmisData!$A:$A, $G238, NewEmisData!$B:$B, $A238, NewEmisData!$C:$C, $H238, NewEmisData!$D:$D, Z$6)</f>
        <v>1.20818388349511</v>
      </c>
      <c r="AA238" s="1111">
        <f>SUMIFS(NewEmisData!K:K, NewEmisData!$A:$A, $G238, NewEmisData!$B:$B, $A238, NewEmisData!$C:$C, $H238, NewEmisData!$D:$D, AA$6)</f>
        <v>1.1882189073440399</v>
      </c>
      <c r="AB238" s="1111">
        <f>SUMIFS(NewEmisData!L:L, NewEmisData!$A:$A, $G238, NewEmisData!$B:$B, $A238, NewEmisData!$C:$C, $H238, NewEmisData!$D:$D, AB$6)</f>
        <v>1.18759279747034</v>
      </c>
      <c r="AC238" s="1111">
        <f>SUMIFS(NewEmisData!M:M, NewEmisData!$A:$A, $G238, NewEmisData!$B:$B, $A238, NewEmisData!$C:$C, $H238, NewEmisData!$D:$D, AC$6)</f>
        <v>1.1873143220192299</v>
      </c>
      <c r="AD238" s="1111">
        <f t="shared" si="321"/>
        <v>1.1873143220192299</v>
      </c>
      <c r="AE238" s="1111">
        <f t="shared" si="365"/>
        <v>1.9219515132106998E-2</v>
      </c>
      <c r="AF238" s="1111">
        <f>SUMIFS(NewEmisData!E:E, NewEmisData!$A:$A, $G238, NewEmisData!$B:$B, $A238, NewEmisData!$C:$C, $H238, NewEmisData!$D:$D, AF$6)</f>
        <v>1.9219515132106998E-2</v>
      </c>
      <c r="AG238" s="1111">
        <f>SUMIFS(NewEmisData!F:F, NewEmisData!$A:$A, $G238, NewEmisData!$B:$B, $A238, NewEmisData!$C:$C, $H238, NewEmisData!$D:$D, AG$6)</f>
        <v>1.8381789821165999E-2</v>
      </c>
      <c r="AH238" s="1111">
        <f>SUMIFS(NewEmisData!G:G, NewEmisData!$A:$A, $G238, NewEmisData!$B:$B, $A238, NewEmisData!$C:$C, $H238, NewEmisData!$D:$D, AH$6)</f>
        <v>1.1480506512681401E-2</v>
      </c>
      <c r="AI238" s="1111">
        <f>SUMIFS(NewEmisData!H:H, NewEmisData!$A:$A, $G238, NewEmisData!$B:$B, $A238, NewEmisData!$C:$C, $H238, NewEmisData!$D:$D, AI$6)</f>
        <v>1.1200613613581E-2</v>
      </c>
      <c r="AJ238" s="1111">
        <f>SUMIFS(NewEmisData!I:I, NewEmisData!$A:$A, $G238, NewEmisData!$B:$B, $A238, NewEmisData!$C:$C, $H238, NewEmisData!$D:$D, AJ$6)</f>
        <v>1.1033835716401499E-2</v>
      </c>
      <c r="AK238" s="1111">
        <f>SUMIFS(NewEmisData!J:J, NewEmisData!$A:$A, $G238, NewEmisData!$B:$B, $A238, NewEmisData!$C:$C, $H238, NewEmisData!$D:$D, AK$6)</f>
        <v>1.0983128564943399E-2</v>
      </c>
      <c r="AL238" s="1111">
        <f>SUMIFS(NewEmisData!K:K, NewEmisData!$A:$A, $G238, NewEmisData!$B:$B, $A238, NewEmisData!$C:$C, $H238, NewEmisData!$D:$D, AL$6)</f>
        <v>1.09661929621608E-2</v>
      </c>
      <c r="AM238" s="1111">
        <f>SUMIFS(NewEmisData!L:L, NewEmisData!$A:$A, $G238, NewEmisData!$B:$B, $A238, NewEmisData!$C:$C, $H238, NewEmisData!$D:$D, AM$6)</f>
        <v>1.09591556908048E-2</v>
      </c>
      <c r="AN238" s="1111">
        <f>SUMIFS(NewEmisData!M:M, NewEmisData!$A:$A, $G238, NewEmisData!$B:$B, $A238, NewEmisData!$C:$C, $H238, NewEmisData!$D:$D, AN$6)</f>
        <v>1.09539961645838E-2</v>
      </c>
      <c r="AO238" s="1111">
        <f t="shared" si="366"/>
        <v>1.09539961645838E-2</v>
      </c>
      <c r="AP238" s="1111">
        <f t="shared" si="367"/>
        <v>0.858529279217077</v>
      </c>
      <c r="AQ238" s="1111">
        <f>SUMIFS(NewEmisData!E:E, NewEmisData!$A:$A, $G238, NewEmisData!$B:$B, $A238, NewEmisData!$C:$C, $H238, NewEmisData!$D:$D, AQ$6)</f>
        <v>0.858529279217077</v>
      </c>
      <c r="AR238" s="1111">
        <f>SUMIFS(NewEmisData!F:F, NewEmisData!$A:$A, $G238, NewEmisData!$B:$B, $A238, NewEmisData!$C:$C, $H238, NewEmisData!$D:$D, AR$6)</f>
        <v>0.503731417508816</v>
      </c>
      <c r="AS238" s="1111">
        <f>SUMIFS(NewEmisData!G:G, NewEmisData!$A:$A, $G238, NewEmisData!$B:$B, $A238, NewEmisData!$C:$C, $H238, NewEmisData!$D:$D, AS$6)</f>
        <v>0.37512816215378397</v>
      </c>
      <c r="AT238" s="1111">
        <f>SUMIFS(NewEmisData!H:H, NewEmisData!$A:$A, $G238, NewEmisData!$B:$B, $A238, NewEmisData!$C:$C, $H238, NewEmisData!$D:$D, AT$6)</f>
        <v>0.30828199926496602</v>
      </c>
      <c r="AU238" s="1111">
        <f>SUMIFS(NewEmisData!I:I, NewEmisData!$A:$A, $G238, NewEmisData!$B:$B, $A238, NewEmisData!$C:$C, $H238, NewEmisData!$D:$D, AU$6)</f>
        <v>0.28661953326038297</v>
      </c>
      <c r="AV238" s="1111">
        <f>SUMIFS(NewEmisData!J:J, NewEmisData!$A:$A, $G238, NewEmisData!$B:$B, $A238, NewEmisData!$C:$C, $H238, NewEmisData!$D:$D, AV$6)</f>
        <v>0.28264038179328499</v>
      </c>
      <c r="AW238" s="1111">
        <f>SUMIFS(NewEmisData!K:K, NewEmisData!$A:$A, $G238, NewEmisData!$B:$B, $A238, NewEmisData!$C:$C, $H238, NewEmisData!$D:$D, AW$6)</f>
        <v>0.28162692153878699</v>
      </c>
      <c r="AX238" s="1111">
        <f>SUMIFS(NewEmisData!L:L, NewEmisData!$A:$A, $G238, NewEmisData!$B:$B, $A238, NewEmisData!$C:$C, $H238, NewEmisData!$D:$D, AX$6)</f>
        <v>0.281751869278763</v>
      </c>
      <c r="AY238" s="1111">
        <f>SUMIFS(NewEmisData!M:M, NewEmisData!$A:$A, $G238, NewEmisData!$B:$B, $A238, NewEmisData!$C:$C, $H238, NewEmisData!$D:$D, AY$6)</f>
        <v>0.28192306485273899</v>
      </c>
      <c r="AZ238" s="1111">
        <f t="shared" si="368"/>
        <v>0.28192306485273899</v>
      </c>
      <c r="BA238" s="1111">
        <f t="shared" si="369"/>
        <v>0.65283874806811604</v>
      </c>
      <c r="BB238" s="1111">
        <f>SUMIFS(NewEmisData!E:E, NewEmisData!$A:$A, $G238, NewEmisData!$B:$B, $A238, NewEmisData!$C:$C, $H238, NewEmisData!$D:$D, BB$6)</f>
        <v>0.65283874806811604</v>
      </c>
      <c r="BC238" s="1111">
        <f>SUMIFS(NewEmisData!F:F, NewEmisData!$A:$A, $G238, NewEmisData!$B:$B, $A238, NewEmisData!$C:$C, $H238, NewEmisData!$D:$D, BC$6)</f>
        <v>0.33224436660041701</v>
      </c>
      <c r="BD238" s="1111">
        <f>SUMIFS(NewEmisData!G:G, NewEmisData!$A:$A, $G238, NewEmisData!$B:$B, $A238, NewEmisData!$C:$C, $H238, NewEmisData!$D:$D, BD$6)</f>
        <v>0.13652581905042699</v>
      </c>
      <c r="BE238" s="1111">
        <f>SUMIFS(NewEmisData!H:H, NewEmisData!$A:$A, $G238, NewEmisData!$B:$B, $A238, NewEmisData!$C:$C, $H238, NewEmisData!$D:$D, BE$6)</f>
        <v>7.8025503719108297E-2</v>
      </c>
      <c r="BF238" s="1111">
        <f>SUMIFS(NewEmisData!I:I, NewEmisData!$A:$A, $G238, NewEmisData!$B:$B, $A238, NewEmisData!$C:$C, $H238, NewEmisData!$D:$D, BF$6)</f>
        <v>5.9231027771519597E-2</v>
      </c>
      <c r="BG238" s="1111">
        <f>SUMIFS(NewEmisData!J:J, NewEmisData!$A:$A, $G238, NewEmisData!$B:$B, $A238, NewEmisData!$C:$C, $H238, NewEmisData!$D:$D, BG$6)</f>
        <v>5.5901975487255798E-2</v>
      </c>
      <c r="BH238" s="1111">
        <f>SUMIFS(NewEmisData!K:K, NewEmisData!$A:$A, $G238, NewEmisData!$B:$B, $A238, NewEmisData!$C:$C, $H238, NewEmisData!$D:$D, BH$6)</f>
        <v>5.4946823671966197E-2</v>
      </c>
      <c r="BI238" s="1111">
        <f>SUMIFS(NewEmisData!L:L, NewEmisData!$A:$A, $G238, NewEmisData!$B:$B, $A238, NewEmisData!$C:$C, $H238, NewEmisData!$D:$D, BI$6)</f>
        <v>5.4950705011026502E-2</v>
      </c>
      <c r="BJ238" s="1111">
        <f>SUMIFS(NewEmisData!M:M, NewEmisData!$A:$A, $G238, NewEmisData!$B:$B, $A238, NewEmisData!$C:$C, $H238, NewEmisData!$D:$D, BJ$6)</f>
        <v>5.4967058193246002E-2</v>
      </c>
      <c r="BK238" s="1111">
        <f t="shared" si="370"/>
        <v>5.4967058193246002E-2</v>
      </c>
      <c r="BL238" s="1111">
        <f t="shared" si="371"/>
        <v>3.7476931274223899</v>
      </c>
      <c r="BM238" s="1111">
        <f>SUMIFS(NewEmisData!E:E, NewEmisData!$A:$A, $G238, NewEmisData!$B:$B, $A238, NewEmisData!$C:$C, $H238, NewEmisData!$D:$D, BM$6)</f>
        <v>3.7476931274223899</v>
      </c>
      <c r="BN238" s="1111">
        <f>SUMIFS(NewEmisData!F:F, NewEmisData!$A:$A, $G238, NewEmisData!$B:$B, $A238, NewEmisData!$C:$C, $H238, NewEmisData!$D:$D, BN$6)</f>
        <v>2.1224340778786099</v>
      </c>
      <c r="BO238" s="1111">
        <f>SUMIFS(NewEmisData!G:G, NewEmisData!$A:$A, $G238, NewEmisData!$B:$B, $A238, NewEmisData!$C:$C, $H238, NewEmisData!$D:$D, BO$6)</f>
        <v>1.1522241511654601</v>
      </c>
      <c r="BP238" s="1111">
        <f>SUMIFS(NewEmisData!H:H, NewEmisData!$A:$A, $G238, NewEmisData!$B:$B, $A238, NewEmisData!$C:$C, $H238, NewEmisData!$D:$D, BP$6)</f>
        <v>0.78635690911299205</v>
      </c>
      <c r="BQ238" s="1111">
        <f>SUMIFS(NewEmisData!I:I, NewEmisData!$A:$A, $G238, NewEmisData!$B:$B, $A238, NewEmisData!$C:$C, $H238, NewEmisData!$D:$D, BQ$6)</f>
        <v>0.67130079903850703</v>
      </c>
      <c r="BR238" s="1111">
        <f>SUMIFS(NewEmisData!J:J, NewEmisData!$A:$A, $G238, NewEmisData!$B:$B, $A238, NewEmisData!$C:$C, $H238, NewEmisData!$D:$D, BR$6)</f>
        <v>0.644768230895015</v>
      </c>
      <c r="BS238" s="1111">
        <f>SUMIFS(NewEmisData!K:K, NewEmisData!$A:$A, $G238, NewEmisData!$B:$B, $A238, NewEmisData!$C:$C, $H238, NewEmisData!$D:$D, BS$6)</f>
        <v>0.63723563956321205</v>
      </c>
      <c r="BT238" s="1111">
        <f>SUMIFS(NewEmisData!L:L, NewEmisData!$A:$A, $G238, NewEmisData!$B:$B, $A238, NewEmisData!$C:$C, $H238, NewEmisData!$D:$D, BT$6)</f>
        <v>0.63622564348836397</v>
      </c>
      <c r="BU238" s="1111">
        <f>SUMIFS(NewEmisData!M:M, NewEmisData!$A:$A, $G238, NewEmisData!$B:$B, $A238, NewEmisData!$C:$C, $H238, NewEmisData!$D:$D, BU$6)</f>
        <v>0.63613086524108198</v>
      </c>
      <c r="BV238" s="1111">
        <f t="shared" si="372"/>
        <v>0.63613086524108198</v>
      </c>
      <c r="BW238" s="1111">
        <f t="shared" si="373"/>
        <v>0.86967821617844199</v>
      </c>
      <c r="BX238" s="1111">
        <f>SUMIFS(NewEmisData!E:E, NewEmisData!$A:$A, $G238, NewEmisData!$B:$B, $A238, NewEmisData!$C:$C, $H238, NewEmisData!$D:$D, BX$6)</f>
        <v>0.86967821617844199</v>
      </c>
      <c r="BY238" s="1111">
        <f>SUMIFS(NewEmisData!F:F, NewEmisData!$A:$A, $G238, NewEmisData!$B:$B, $A238, NewEmisData!$C:$C, $H238, NewEmisData!$D:$D, BY$6)</f>
        <v>0.46203277812819299</v>
      </c>
      <c r="BZ238" s="1111">
        <f>SUMIFS(NewEmisData!G:G, NewEmisData!$A:$A, $G238, NewEmisData!$B:$B, $A238, NewEmisData!$C:$C, $H238, NewEmisData!$D:$D, BZ$6)</f>
        <v>0.24488064381328301</v>
      </c>
      <c r="CA238" s="1111">
        <f>SUMIFS(NewEmisData!H:H, NewEmisData!$A:$A, $G238, NewEmisData!$B:$B, $A238, NewEmisData!$C:$C, $H238, NewEmisData!$D:$D, CA$6)</f>
        <v>0.13082474453131801</v>
      </c>
      <c r="CB238" s="1111">
        <f>SUMIFS(NewEmisData!I:I, NewEmisData!$A:$A, $G238, NewEmisData!$B:$B, $A238, NewEmisData!$C:$C, $H238, NewEmisData!$D:$D, CB$6)</f>
        <v>9.5337955687742296E-2</v>
      </c>
      <c r="CC238" s="1111">
        <f>SUMIFS(NewEmisData!J:J, NewEmisData!$A:$A, $G238, NewEmisData!$B:$B, $A238, NewEmisData!$C:$C, $H238, NewEmisData!$D:$D, CC$6)</f>
        <v>8.7877867224047099E-2</v>
      </c>
      <c r="CD238" s="1111">
        <f>SUMIFS(NewEmisData!K:K, NewEmisData!$A:$A, $G238, NewEmisData!$B:$B, $A238, NewEmisData!$C:$C, $H238, NewEmisData!$D:$D, CD$6)</f>
        <v>8.5843418185397202E-2</v>
      </c>
      <c r="CE238" s="1111">
        <f>SUMIFS(NewEmisData!L:L, NewEmisData!$A:$A, $G238, NewEmisData!$B:$B, $A238, NewEmisData!$C:$C, $H238, NewEmisData!$D:$D, CE$6)</f>
        <v>8.5804625089355602E-2</v>
      </c>
      <c r="CF238" s="1111">
        <f>SUMIFS(NewEmisData!M:M, NewEmisData!$A:$A, $G238, NewEmisData!$B:$B, $A238, NewEmisData!$C:$C, $H238, NewEmisData!$D:$D, CF$6)</f>
        <v>8.5808752891254905E-2</v>
      </c>
      <c r="CG238" s="1111">
        <f t="shared" si="374"/>
        <v>8.5808752891254905E-2</v>
      </c>
      <c r="CH238" s="1111">
        <f t="shared" si="375"/>
        <v>2.53655238629573E-2</v>
      </c>
      <c r="CI238" s="1111">
        <f>SUMIFS(NewEmisData!E:E, NewEmisData!$A:$A, $G238, NewEmisData!$B:$B, $A238, NewEmisData!$C:$C, $H238, NewEmisData!$D:$D, CI$6)</f>
        <v>2.53655238629573E-2</v>
      </c>
      <c r="CJ238" s="1111">
        <f>SUMIFS(NewEmisData!F:F, NewEmisData!$A:$A, $G238, NewEmisData!$B:$B, $A238, NewEmisData!$C:$C, $H238, NewEmisData!$D:$D, CJ$6)</f>
        <v>2.52867699578843E-2</v>
      </c>
      <c r="CK238" s="1111">
        <f>SUMIFS(NewEmisData!G:G, NewEmisData!$A:$A, $G238, NewEmisData!$B:$B, $A238, NewEmisData!$C:$C, $H238, NewEmisData!$D:$D, CK$6)</f>
        <v>2.71717802821827E-2</v>
      </c>
      <c r="CL238" s="1111">
        <f>SUMIFS(NewEmisData!H:H, NewEmisData!$A:$A, $G238, NewEmisData!$B:$B, $A238, NewEmisData!$C:$C, $H238, NewEmisData!$D:$D, CL$6)</f>
        <v>2.71425219079954E-2</v>
      </c>
      <c r="CM238" s="1111">
        <f>SUMIFS(NewEmisData!I:I, NewEmisData!$A:$A, $G238, NewEmisData!$B:$B, $A238, NewEmisData!$C:$C, $H238, NewEmisData!$D:$D, CM$6)</f>
        <v>2.7128484897609599E-2</v>
      </c>
      <c r="CN238" s="1111">
        <f>SUMIFS(NewEmisData!J:J, NewEmisData!$A:$A, $G238, NewEmisData!$B:$B, $A238, NewEmisData!$C:$C, $H238, NewEmisData!$D:$D, CN$6)</f>
        <v>2.71242955243867E-2</v>
      </c>
      <c r="CO238" s="1111">
        <f>SUMIFS(NewEmisData!K:K, NewEmisData!$A:$A, $G238, NewEmisData!$B:$B, $A238, NewEmisData!$C:$C, $H238, NewEmisData!$D:$D, CO$6)</f>
        <v>2.71243976689509E-2</v>
      </c>
      <c r="CP238" s="1111">
        <f>SUMIFS(NewEmisData!L:L, NewEmisData!$A:$A, $G238, NewEmisData!$B:$B, $A238, NewEmisData!$C:$C, $H238, NewEmisData!$D:$D, CP$6)</f>
        <v>2.7125748973111801E-2</v>
      </c>
      <c r="CQ238" s="1111">
        <f>SUMIFS(NewEmisData!M:M, NewEmisData!$A:$A, $G238, NewEmisData!$B:$B, $A238, NewEmisData!$C:$C, $H238, NewEmisData!$D:$D, CQ$6)</f>
        <v>2.71273712236671E-2</v>
      </c>
      <c r="CR238" s="1111">
        <f t="shared" si="376"/>
        <v>2.71273712236671E-2</v>
      </c>
      <c r="CS238" s="1111">
        <f t="shared" si="377"/>
        <v>2.4958751743538398E-3</v>
      </c>
      <c r="CT238" s="1111">
        <f>SUMIFS(NewEmisData!E:E, NewEmisData!$A:$A, $G238, NewEmisData!$B:$B, $A238, NewEmisData!$C:$C, $H238, NewEmisData!$D:$D, CT$6)</f>
        <v>2.4958751743538398E-3</v>
      </c>
      <c r="CU238" s="1111">
        <f>SUMIFS(NewEmisData!F:F, NewEmisData!$A:$A, $G238, NewEmisData!$B:$B, $A238, NewEmisData!$C:$C, $H238, NewEmisData!$D:$D, CU$6)</f>
        <v>2.4447713868806899E-3</v>
      </c>
      <c r="CV238" s="1111">
        <f>SUMIFS(NewEmisData!G:G, NewEmisData!$A:$A, $G238, NewEmisData!$B:$B, $A238, NewEmisData!$C:$C, $H238, NewEmisData!$D:$D, CV$6)</f>
        <v>3.4529570026890898E-3</v>
      </c>
      <c r="CW238" s="1111">
        <f>SUMIFS(NewEmisData!H:H, NewEmisData!$A:$A, $G238, NewEmisData!$B:$B, $A238, NewEmisData!$C:$C, $H238, NewEmisData!$D:$D, CW$6)</f>
        <v>3.4238629713190701E-3</v>
      </c>
      <c r="CX238" s="1111">
        <f>SUMIFS(NewEmisData!I:I, NewEmisData!$A:$A, $G238, NewEmisData!$B:$B, $A238, NewEmisData!$C:$C, $H238, NewEmisData!$D:$D, CX$6)</f>
        <v>3.4056857972038501E-3</v>
      </c>
      <c r="CY238" s="1111">
        <f>SUMIFS(NewEmisData!J:J, NewEmisData!$A:$A, $G238, NewEmisData!$B:$B, $A238, NewEmisData!$C:$C, $H238, NewEmisData!$D:$D, CY$6)</f>
        <v>3.39842942017498E-3</v>
      </c>
      <c r="CZ238" s="1111">
        <f>SUMIFS(NewEmisData!K:K, NewEmisData!$A:$A, $G238, NewEmisData!$B:$B, $A238, NewEmisData!$C:$C, $H238, NewEmisData!$D:$D, CZ$6)</f>
        <v>3.3964615682354799E-3</v>
      </c>
      <c r="DA238" s="1111">
        <f>SUMIFS(NewEmisData!L:L, NewEmisData!$A:$A, $G238, NewEmisData!$B:$B, $A238, NewEmisData!$C:$C, $H238, NewEmisData!$D:$D, DA$6)</f>
        <v>3.3967409048497499E-3</v>
      </c>
      <c r="DB238" s="1111">
        <f>SUMIFS(NewEmisData!M:M, NewEmisData!$A:$A, $G238, NewEmisData!$B:$B, $A238, NewEmisData!$C:$C, $H238, NewEmisData!$D:$D, DB$6)</f>
        <v>3.3981280596405302E-3</v>
      </c>
      <c r="DC238" s="1111">
        <f t="shared" si="378"/>
        <v>3.3981280596405302E-3</v>
      </c>
      <c r="DD238" s="1111"/>
      <c r="DE238" s="1111"/>
      <c r="DF238" s="1111"/>
      <c r="DG238" s="1111"/>
      <c r="DH238" s="1111"/>
      <c r="DI238" s="1111"/>
      <c r="DJ238" s="1111"/>
      <c r="DK238" s="1111"/>
      <c r="DL238" s="1111"/>
      <c r="DM238" s="1111"/>
      <c r="DN238" s="1111"/>
      <c r="DO238" s="1111"/>
      <c r="DP238" s="1111"/>
      <c r="DQ238" s="1111"/>
      <c r="DR238" s="1111"/>
      <c r="DS238" s="1111"/>
      <c r="DT238" s="1111"/>
      <c r="DU238" s="1111"/>
      <c r="DV238" s="1111"/>
      <c r="DW238" s="1111"/>
      <c r="DX238" s="1111"/>
      <c r="DY238" s="1111"/>
      <c r="DZ238" s="1111">
        <f t="shared" si="379"/>
        <v>1.50837600567011E-2</v>
      </c>
      <c r="EA238" s="1111">
        <f>SUMIFS(NewEmisData!E:E, NewEmisData!$A:$A, $G238, NewEmisData!$B:$B, $A238, NewEmisData!$C:$C, $H238, NewEmisData!$D:$D, EA$6)</f>
        <v>1.50837600567011E-2</v>
      </c>
      <c r="EB238" s="1111">
        <f>SUMIFS(NewEmisData!F:F, NewEmisData!$A:$A, $G238, NewEmisData!$B:$B, $A238, NewEmisData!$C:$C, $H238, NewEmisData!$D:$D, EB$6)</f>
        <v>4.1820056790997803E-2</v>
      </c>
      <c r="EC238" s="1111">
        <f>SUMIFS(NewEmisData!G:G, NewEmisData!$A:$A, $G238, NewEmisData!$B:$B, $A238, NewEmisData!$C:$C, $H238, NewEmisData!$D:$D, EC$6)</f>
        <v>7.3126252157420996E-2</v>
      </c>
      <c r="ED238" s="1111">
        <f>SUMIFS(NewEmisData!H:H, NewEmisData!$A:$A, $G238, NewEmisData!$B:$B, $A238, NewEmisData!$C:$C, $H238, NewEmisData!$D:$D, ED$6)</f>
        <v>7.3867270375654201E-2</v>
      </c>
      <c r="EE238" s="1111">
        <f>SUMIFS(NewEmisData!I:I, NewEmisData!$A:$A, $G238, NewEmisData!$B:$B, $A238, NewEmisData!$C:$C, $H238, NewEmisData!$D:$D, EE$6)</f>
        <v>7.3939295087643395E-2</v>
      </c>
      <c r="EF238" s="1111">
        <f>SUMIFS(NewEmisData!J:J, NewEmisData!$A:$A, $G238, NewEmisData!$B:$B, $A238, NewEmisData!$C:$C, $H238, NewEmisData!$D:$D, EF$6)</f>
        <v>7.3756036716317294E-2</v>
      </c>
      <c r="EG238" s="1111">
        <f>SUMIFS(NewEmisData!K:K, NewEmisData!$A:$A, $G238, NewEmisData!$B:$B, $A238, NewEmisData!$C:$C, $H238, NewEmisData!$D:$D, EG$6)</f>
        <v>7.3800142314626199E-2</v>
      </c>
      <c r="EH238" s="1111">
        <f>SUMIFS(NewEmisData!L:L, NewEmisData!$A:$A, $G238, NewEmisData!$B:$B, $A238, NewEmisData!$C:$C, $H238, NewEmisData!$D:$D, EH$6)</f>
        <v>7.3776798768142804E-2</v>
      </c>
      <c r="EI238" s="1111">
        <f>SUMIFS(NewEmisData!M:M, NewEmisData!$A:$A, $G238, NewEmisData!$B:$B, $A238, NewEmisData!$C:$C, $H238, NewEmisData!$D:$D, EI$6)</f>
        <v>7.3798077513590202E-2</v>
      </c>
      <c r="EJ238" s="1111">
        <f t="shared" si="380"/>
        <v>7.3798077513590202E-2</v>
      </c>
      <c r="EK238" s="1111">
        <f t="shared" si="381"/>
        <v>1669.0822501080099</v>
      </c>
      <c r="EL238" s="1111">
        <f t="shared" si="343"/>
        <v>1669.0822501080099</v>
      </c>
      <c r="EM238" s="1111">
        <f t="shared" si="344"/>
        <v>1673.1688001129</v>
      </c>
      <c r="EN238" s="1111">
        <f t="shared" si="345"/>
        <v>1365.67564571155</v>
      </c>
      <c r="EO238" s="1111">
        <f t="shared" si="346"/>
        <v>1340.2430368273101</v>
      </c>
      <c r="EP238" s="1111">
        <f t="shared" si="347"/>
        <v>1322.8450856147599</v>
      </c>
      <c r="EQ238" s="1111">
        <f t="shared" si="348"/>
        <v>1317.23072914767</v>
      </c>
      <c r="ER238" s="1111">
        <f t="shared" si="349"/>
        <v>1315.3450285164099</v>
      </c>
      <c r="ES238" s="1111">
        <f t="shared" si="350"/>
        <v>1314.50089135955</v>
      </c>
      <c r="ET238" s="1111">
        <f t="shared" si="351"/>
        <v>1313.88241213587</v>
      </c>
      <c r="EU238" s="1111">
        <f t="shared" si="352"/>
        <v>1313.88241213587</v>
      </c>
      <c r="EV238" s="1111">
        <f t="shared" si="382"/>
        <v>13.492775574024799</v>
      </c>
      <c r="EW238" s="1111">
        <f t="shared" si="333"/>
        <v>13.492775574024799</v>
      </c>
      <c r="EX238" s="1111">
        <f t="shared" si="334"/>
        <v>7.5468458416536803</v>
      </c>
      <c r="EY238" s="1111">
        <f t="shared" si="335"/>
        <v>2.86440753900408</v>
      </c>
      <c r="EZ238" s="1111">
        <f t="shared" si="336"/>
        <v>1.66545036782072</v>
      </c>
      <c r="FA238" s="1111">
        <f t="shared" si="337"/>
        <v>1.2872223005865</v>
      </c>
      <c r="FB238" s="1111">
        <f t="shared" si="338"/>
        <v>1.20818388349511</v>
      </c>
      <c r="FC238" s="1111">
        <f t="shared" si="339"/>
        <v>1.1882189073440399</v>
      </c>
      <c r="FD238" s="1111">
        <f t="shared" si="340"/>
        <v>1.18759279747034</v>
      </c>
      <c r="FE238" s="1111">
        <f t="shared" si="341"/>
        <v>1.1873143220192299</v>
      </c>
      <c r="FF238" s="1111">
        <f t="shared" si="342"/>
        <v>1.1873143220192299</v>
      </c>
      <c r="FG238" s="1111">
        <f t="shared" si="291"/>
        <v>1.9219515132106998E-2</v>
      </c>
      <c r="FH238" s="1111">
        <f t="shared" si="292"/>
        <v>1.9219515132106998E-2</v>
      </c>
      <c r="FI238" s="1111">
        <f t="shared" si="293"/>
        <v>1.8381789821165999E-2</v>
      </c>
      <c r="FJ238" s="1111">
        <f t="shared" si="294"/>
        <v>1.1480506512681401E-2</v>
      </c>
      <c r="FK238" s="1111">
        <f t="shared" si="295"/>
        <v>1.1200613613581E-2</v>
      </c>
      <c r="FL238" s="1111">
        <f t="shared" si="296"/>
        <v>1.1033835716401499E-2</v>
      </c>
      <c r="FM238" s="1111">
        <f t="shared" si="297"/>
        <v>1.0983128564943399E-2</v>
      </c>
      <c r="FN238" s="1111">
        <f t="shared" si="298"/>
        <v>1.09661929621608E-2</v>
      </c>
      <c r="FO238" s="1111">
        <f t="shared" si="299"/>
        <v>1.09591556908048E-2</v>
      </c>
      <c r="FP238" s="1111">
        <f t="shared" si="300"/>
        <v>1.09539961645838E-2</v>
      </c>
      <c r="FQ238" s="1111">
        <f t="shared" si="301"/>
        <v>1.09539961645838E-2</v>
      </c>
      <c r="FR238" s="1111">
        <f t="shared" si="322"/>
        <v>0.858529279217077</v>
      </c>
      <c r="FS238" s="1111">
        <f t="shared" si="323"/>
        <v>0.858529279217077</v>
      </c>
      <c r="FT238" s="1111">
        <f t="shared" si="324"/>
        <v>0.503731417508816</v>
      </c>
      <c r="FU238" s="1111">
        <f t="shared" si="325"/>
        <v>0.37512816215378397</v>
      </c>
      <c r="FV238" s="1111">
        <f t="shared" si="326"/>
        <v>0.30828199926496602</v>
      </c>
      <c r="FW238" s="1111">
        <f t="shared" si="327"/>
        <v>0.28661953326038297</v>
      </c>
      <c r="FX238" s="1111">
        <f t="shared" si="328"/>
        <v>0.28264038179328499</v>
      </c>
      <c r="FY238" s="1111">
        <f t="shared" si="329"/>
        <v>0.28162692153878699</v>
      </c>
      <c r="FZ238" s="1111">
        <f t="shared" si="330"/>
        <v>0.281751869278763</v>
      </c>
      <c r="GA238" s="1111">
        <f t="shared" si="331"/>
        <v>0.28192306485273899</v>
      </c>
      <c r="GB238" s="1111">
        <f t="shared" si="332"/>
        <v>0.28192306485273899</v>
      </c>
      <c r="GC238" s="1111">
        <f t="shared" si="353"/>
        <v>0.65283874806811604</v>
      </c>
      <c r="GD238" s="1111">
        <f t="shared" si="354"/>
        <v>0.65283874806811604</v>
      </c>
      <c r="GE238" s="1111">
        <f t="shared" si="355"/>
        <v>0.33224436660041701</v>
      </c>
      <c r="GF238" s="1111">
        <f t="shared" si="356"/>
        <v>0.13652581905042699</v>
      </c>
      <c r="GG238" s="1111">
        <f t="shared" si="357"/>
        <v>7.8025503719108297E-2</v>
      </c>
      <c r="GH238" s="1111">
        <f t="shared" si="358"/>
        <v>5.9231027771519597E-2</v>
      </c>
      <c r="GI238" s="1111">
        <f t="shared" si="359"/>
        <v>5.5901975487255798E-2</v>
      </c>
      <c r="GJ238" s="1111">
        <f t="shared" si="360"/>
        <v>5.4946823671966197E-2</v>
      </c>
      <c r="GK238" s="1111">
        <f t="shared" si="361"/>
        <v>5.4950705011026502E-2</v>
      </c>
      <c r="GL238" s="1111">
        <f t="shared" si="362"/>
        <v>5.4967058193246002E-2</v>
      </c>
      <c r="GM238" s="1111">
        <f t="shared" si="363"/>
        <v>5.4967058193246002E-2</v>
      </c>
    </row>
    <row r="239" spans="1:195" x14ac:dyDescent="0.2">
      <c r="A239" s="1071" t="s">
        <v>190</v>
      </c>
      <c r="B239" s="1071" t="str">
        <f>Technologies!C145</f>
        <v>THSDSLC10</v>
      </c>
      <c r="C239" s="1071" t="str">
        <f>Technologies!D145</f>
        <v>Heavy Truck, Short Haul, Conventional Diesel 2010</v>
      </c>
      <c r="D239" s="1071" t="str">
        <f>NewTech!D97</f>
        <v>bn-vmt, bn-vmt/a</v>
      </c>
      <c r="E239" s="1071" t="str">
        <f>Commodities!C$44</f>
        <v>THDSL</v>
      </c>
      <c r="F239" s="1071" t="s">
        <v>98</v>
      </c>
      <c r="G239" s="1110" t="s">
        <v>505</v>
      </c>
      <c r="H239" s="1110" t="s">
        <v>499</v>
      </c>
      <c r="I239" s="1112">
        <v>1</v>
      </c>
      <c r="J239" s="1111" t="str">
        <f t="shared" si="302"/>
        <v>Heavy duty short haul truck-DSL</v>
      </c>
      <c r="K239" s="1111">
        <f>SUMIFS(NewEmisData!E:E, NewEmisData!$A:$A, $G239, NewEmisData!$B:$B, $A239, NewEmisData!$C:$C, $H239, NewEmisData!$D:$D, K$6)</f>
        <v>1446.4734413180499</v>
      </c>
      <c r="L239" s="1111">
        <f>SUMIFS(NewEmisData!F:F, NewEmisData!$A:$A, $G239, NewEmisData!$B:$B, $A239, NewEmisData!$C:$C, $H239, NewEmisData!$D:$D, L$6)</f>
        <v>1740.72087390757</v>
      </c>
      <c r="M239" s="1111">
        <f>SUMIFS(NewEmisData!G:G, NewEmisData!$A:$A, $G239, NewEmisData!$B:$B, $A239, NewEmisData!$C:$C, $H239, NewEmisData!$D:$D, M$6)</f>
        <v>1883.5112444895601</v>
      </c>
      <c r="N239" s="1111">
        <f>SUMIFS(NewEmisData!H:H, NewEmisData!$A:$A, $G239, NewEmisData!$B:$B, $A239, NewEmisData!$C:$C, $H239, NewEmisData!$D:$D, N$6)</f>
        <v>1846.4691773357799</v>
      </c>
      <c r="O239" s="1111">
        <f>SUMIFS(NewEmisData!I:I, NewEmisData!$A:$A, $G239, NewEmisData!$B:$B, $A239, NewEmisData!$C:$C, $H239, NewEmisData!$D:$D, O$6)</f>
        <v>1831.61438997502</v>
      </c>
      <c r="P239" s="1111">
        <f>SUMIFS(NewEmisData!J:J, NewEmisData!$A:$A, $G239, NewEmisData!$B:$B, $A239, NewEmisData!$C:$C, $H239, NewEmisData!$D:$D, P$6)</f>
        <v>1827.40074627429</v>
      </c>
      <c r="Q239" s="1111">
        <f>SUMIFS(NewEmisData!K:K, NewEmisData!$A:$A, $G239, NewEmisData!$B:$B, $A239, NewEmisData!$C:$C, $H239, NewEmisData!$D:$D, Q$6)</f>
        <v>1826.3756740122001</v>
      </c>
      <c r="R239" s="1111">
        <f>SUMIFS(NewEmisData!L:L, NewEmisData!$A:$A, $G239, NewEmisData!$B:$B, $A239, NewEmisData!$C:$C, $H239, NewEmisData!$D:$D, R$6)</f>
        <v>1826.08515951495</v>
      </c>
      <c r="S239" s="1111">
        <f>SUMIFS(NewEmisData!M:M, NewEmisData!$A:$A, $G239, NewEmisData!$B:$B, $A239, NewEmisData!$C:$C, $H239, NewEmisData!$D:$D, S$6)</f>
        <v>1825.9462445100501</v>
      </c>
      <c r="T239" s="1111">
        <f t="shared" si="364"/>
        <v>1825.9462445100501</v>
      </c>
      <c r="U239" s="1111">
        <f>SUMIFS(NewEmisData!E:E, NewEmisData!$A:$A, $G239, NewEmisData!$B:$B, $A239, NewEmisData!$C:$C, $H239, NewEmisData!$D:$D, U$6)</f>
        <v>10.927472096680599</v>
      </c>
      <c r="V239" s="1111">
        <f>SUMIFS(NewEmisData!F:F, NewEmisData!$A:$A, $G239, NewEmisData!$B:$B, $A239, NewEmisData!$C:$C, $H239, NewEmisData!$D:$D, V$6)</f>
        <v>7.1206377233055003</v>
      </c>
      <c r="W239" s="1111">
        <f>SUMIFS(NewEmisData!G:G, NewEmisData!$A:$A, $G239, NewEmisData!$B:$B, $A239, NewEmisData!$C:$C, $H239, NewEmisData!$D:$D, W$6)</f>
        <v>3.1558879768380601</v>
      </c>
      <c r="X239" s="1111">
        <f>SUMIFS(NewEmisData!H:H, NewEmisData!$A:$A, $G239, NewEmisData!$B:$B, $A239, NewEmisData!$C:$C, $H239, NewEmisData!$D:$D, X$6)</f>
        <v>2.0748112225925799</v>
      </c>
      <c r="Y239" s="1111">
        <f>SUMIFS(NewEmisData!I:I, NewEmisData!$A:$A, $G239, NewEmisData!$B:$B, $A239, NewEmisData!$C:$C, $H239, NewEmisData!$D:$D, Y$6)</f>
        <v>1.74258491838324</v>
      </c>
      <c r="Z239" s="1111">
        <f>SUMIFS(NewEmisData!J:J, NewEmisData!$A:$A, $G239, NewEmisData!$B:$B, $A239, NewEmisData!$C:$C, $H239, NewEmisData!$D:$D, Z$6)</f>
        <v>1.67796051175704</v>
      </c>
      <c r="AA239" s="1111">
        <f>SUMIFS(NewEmisData!K:K, NewEmisData!$A:$A, $G239, NewEmisData!$B:$B, $A239, NewEmisData!$C:$C, $H239, NewEmisData!$D:$D, AA$6)</f>
        <v>1.66395683464412</v>
      </c>
      <c r="AB239" s="1111">
        <f>SUMIFS(NewEmisData!L:L, NewEmisData!$A:$A, $G239, NewEmisData!$B:$B, $A239, NewEmisData!$C:$C, $H239, NewEmisData!$D:$D, AB$6)</f>
        <v>1.6637625206784601</v>
      </c>
      <c r="AC239" s="1111">
        <f>SUMIFS(NewEmisData!M:M, NewEmisData!$A:$A, $G239, NewEmisData!$B:$B, $A239, NewEmisData!$C:$C, $H239, NewEmisData!$D:$D, AC$6)</f>
        <v>1.6637616447113901</v>
      </c>
      <c r="AD239" s="1111">
        <f t="shared" si="321"/>
        <v>1.6637616447113901</v>
      </c>
      <c r="AE239" s="1111">
        <f t="shared" si="365"/>
        <v>3.5795342325280199E-2</v>
      </c>
      <c r="AF239" s="1111">
        <f>SUMIFS(NewEmisData!E:E, NewEmisData!$A:$A, $G239, NewEmisData!$B:$B, $A239, NewEmisData!$C:$C, $H239, NewEmisData!$D:$D, AF$6)</f>
        <v>3.5795342325280199E-2</v>
      </c>
      <c r="AG239" s="1111">
        <f>SUMIFS(NewEmisData!F:F, NewEmisData!$A:$A, $G239, NewEmisData!$B:$B, $A239, NewEmisData!$C:$C, $H239, NewEmisData!$D:$D, AG$6)</f>
        <v>4.18895987456427E-2</v>
      </c>
      <c r="AH239" s="1111">
        <f>SUMIFS(NewEmisData!G:G, NewEmisData!$A:$A, $G239, NewEmisData!$B:$B, $A239, NewEmisData!$C:$C, $H239, NewEmisData!$D:$D, AH$6)</f>
        <v>1.5791060545945802E-2</v>
      </c>
      <c r="AI239" s="1111">
        <f>SUMIFS(NewEmisData!H:H, NewEmisData!$A:$A, $G239, NewEmisData!$B:$B, $A239, NewEmisData!$C:$C, $H239, NewEmisData!$D:$D, AI$6)</f>
        <v>1.5415670212051501E-2</v>
      </c>
      <c r="AJ239" s="1111">
        <f>SUMIFS(NewEmisData!I:I, NewEmisData!$A:$A, $G239, NewEmisData!$B:$B, $A239, NewEmisData!$C:$C, $H239, NewEmisData!$D:$D, AJ$6)</f>
        <v>1.5274431754930399E-2</v>
      </c>
      <c r="AK239" s="1111">
        <f>SUMIFS(NewEmisData!J:J, NewEmisData!$A:$A, $G239, NewEmisData!$B:$B, $A239, NewEmisData!$C:$C, $H239, NewEmisData!$D:$D, AK$6)</f>
        <v>1.5236164903811999E-2</v>
      </c>
      <c r="AL239" s="1111">
        <f>SUMIFS(NewEmisData!K:K, NewEmisData!$A:$A, $G239, NewEmisData!$B:$B, $A239, NewEmisData!$C:$C, $H239, NewEmisData!$D:$D, AL$6)</f>
        <v>1.52267203455439E-2</v>
      </c>
      <c r="AM239" s="1111">
        <f>SUMIFS(NewEmisData!L:L, NewEmisData!$A:$A, $G239, NewEmisData!$B:$B, $A239, NewEmisData!$C:$C, $H239, NewEmisData!$D:$D, AM$6)</f>
        <v>1.5224294731162401E-2</v>
      </c>
      <c r="AN239" s="1111">
        <f>SUMIFS(NewEmisData!M:M, NewEmisData!$A:$A, $G239, NewEmisData!$B:$B, $A239, NewEmisData!$C:$C, $H239, NewEmisData!$D:$D, AN$6)</f>
        <v>1.52231302628319E-2</v>
      </c>
      <c r="AO239" s="1111">
        <f t="shared" si="366"/>
        <v>1.52231302628319E-2</v>
      </c>
      <c r="AP239" s="1111">
        <f t="shared" si="367"/>
        <v>1.1386613940402399</v>
      </c>
      <c r="AQ239" s="1111">
        <f>SUMIFS(NewEmisData!E:E, NewEmisData!$A:$A, $G239, NewEmisData!$B:$B, $A239, NewEmisData!$C:$C, $H239, NewEmisData!$D:$D, AQ$6)</f>
        <v>1.1386613940402399</v>
      </c>
      <c r="AR239" s="1111">
        <f>SUMIFS(NewEmisData!F:F, NewEmisData!$A:$A, $G239, NewEmisData!$B:$B, $A239, NewEmisData!$C:$C, $H239, NewEmisData!$D:$D, AR$6)</f>
        <v>0.81062826870189697</v>
      </c>
      <c r="AS239" s="1111">
        <f>SUMIFS(NewEmisData!G:G, NewEmisData!$A:$A, $G239, NewEmisData!$B:$B, $A239, NewEmisData!$C:$C, $H239, NewEmisData!$D:$D, AS$6)</f>
        <v>0.53923885209480305</v>
      </c>
      <c r="AT239" s="1111">
        <f>SUMIFS(NewEmisData!H:H, NewEmisData!$A:$A, $G239, NewEmisData!$B:$B, $A239, NewEmisData!$C:$C, $H239, NewEmisData!$D:$D, AT$6)</f>
        <v>0.475762300205197</v>
      </c>
      <c r="AU239" s="1111">
        <f>SUMIFS(NewEmisData!I:I, NewEmisData!$A:$A, $G239, NewEmisData!$B:$B, $A239, NewEmisData!$C:$C, $H239, NewEmisData!$D:$D, AU$6)</f>
        <v>0.45922153968976998</v>
      </c>
      <c r="AV239" s="1111">
        <f>SUMIFS(NewEmisData!J:J, NewEmisData!$A:$A, $G239, NewEmisData!$B:$B, $A239, NewEmisData!$C:$C, $H239, NewEmisData!$D:$D, AV$6)</f>
        <v>0.45636829014935498</v>
      </c>
      <c r="AW239" s="1111">
        <f>SUMIFS(NewEmisData!K:K, NewEmisData!$A:$A, $G239, NewEmisData!$B:$B, $A239, NewEmisData!$C:$C, $H239, NewEmisData!$D:$D, AW$6)</f>
        <v>0.45567985208338102</v>
      </c>
      <c r="AX239" s="1111">
        <f>SUMIFS(NewEmisData!L:L, NewEmisData!$A:$A, $G239, NewEmisData!$B:$B, $A239, NewEmisData!$C:$C, $H239, NewEmisData!$D:$D, AX$6)</f>
        <v>0.45574905770507301</v>
      </c>
      <c r="AY239" s="1111">
        <f>SUMIFS(NewEmisData!M:M, NewEmisData!$A:$A, $G239, NewEmisData!$B:$B, $A239, NewEmisData!$C:$C, $H239, NewEmisData!$D:$D, AY$6)</f>
        <v>0.455831313218652</v>
      </c>
      <c r="AZ239" s="1111">
        <f t="shared" si="368"/>
        <v>0.455831313218652</v>
      </c>
      <c r="BA239" s="1111">
        <f t="shared" si="369"/>
        <v>0.76056597813754101</v>
      </c>
      <c r="BB239" s="1111">
        <f>SUMIFS(NewEmisData!E:E, NewEmisData!$A:$A, $G239, NewEmisData!$B:$B, $A239, NewEmisData!$C:$C, $H239, NewEmisData!$D:$D, BB$6)</f>
        <v>0.76056597813754101</v>
      </c>
      <c r="BC239" s="1111">
        <f>SUMIFS(NewEmisData!F:F, NewEmisData!$A:$A, $G239, NewEmisData!$B:$B, $A239, NewEmisData!$C:$C, $H239, NewEmisData!$D:$D, BC$6)</f>
        <v>0.44834360182688099</v>
      </c>
      <c r="BD239" s="1111">
        <f>SUMIFS(NewEmisData!G:G, NewEmisData!$A:$A, $G239, NewEmisData!$B:$B, $A239, NewEmisData!$C:$C, $H239, NewEmisData!$D:$D, BD$6)</f>
        <v>0.16425905468775201</v>
      </c>
      <c r="BE239" s="1111">
        <f>SUMIFS(NewEmisData!H:H, NewEmisData!$A:$A, $G239, NewEmisData!$B:$B, $A239, NewEmisData!$C:$C, $H239, NewEmisData!$D:$D, BE$6)</f>
        <v>0.106571454108964</v>
      </c>
      <c r="BF239" s="1111">
        <f>SUMIFS(NewEmisData!I:I, NewEmisData!$A:$A, $G239, NewEmisData!$B:$B, $A239, NewEmisData!$C:$C, $H239, NewEmisData!$D:$D, BF$6)</f>
        <v>9.1494531785506497E-2</v>
      </c>
      <c r="BG239" s="1111">
        <f>SUMIFS(NewEmisData!J:J, NewEmisData!$A:$A, $G239, NewEmisData!$B:$B, $A239, NewEmisData!$C:$C, $H239, NewEmisData!$D:$D, BG$6)</f>
        <v>8.8871730484206005E-2</v>
      </c>
      <c r="BH239" s="1111">
        <f>SUMIFS(NewEmisData!K:K, NewEmisData!$A:$A, $G239, NewEmisData!$B:$B, $A239, NewEmisData!$C:$C, $H239, NewEmisData!$D:$D, BH$6)</f>
        <v>8.8185150826517997E-2</v>
      </c>
      <c r="BI239" s="1111">
        <f>SUMIFS(NewEmisData!L:L, NewEmisData!$A:$A, $G239, NewEmisData!$B:$B, $A239, NewEmisData!$C:$C, $H239, NewEmisData!$D:$D, BI$6)</f>
        <v>8.8192675178559193E-2</v>
      </c>
      <c r="BJ239" s="1111">
        <f>SUMIFS(NewEmisData!M:M, NewEmisData!$A:$A, $G239, NewEmisData!$B:$B, $A239, NewEmisData!$C:$C, $H239, NewEmisData!$D:$D, BJ$6)</f>
        <v>8.8205281736577906E-2</v>
      </c>
      <c r="BK239" s="1111">
        <f t="shared" si="370"/>
        <v>8.8205281736577906E-2</v>
      </c>
      <c r="BL239" s="1111">
        <f t="shared" si="371"/>
        <v>4.6832626450914496</v>
      </c>
      <c r="BM239" s="1111">
        <f>SUMIFS(NewEmisData!E:E, NewEmisData!$A:$A, $G239, NewEmisData!$B:$B, $A239, NewEmisData!$C:$C, $H239, NewEmisData!$D:$D, BM$6)</f>
        <v>4.6832626450914496</v>
      </c>
      <c r="BN239" s="1111">
        <f>SUMIFS(NewEmisData!F:F, NewEmisData!$A:$A, $G239, NewEmisData!$B:$B, $A239, NewEmisData!$C:$C, $H239, NewEmisData!$D:$D, BN$6)</f>
        <v>2.6100431929147598</v>
      </c>
      <c r="BO239" s="1111">
        <f>SUMIFS(NewEmisData!G:G, NewEmisData!$A:$A, $G239, NewEmisData!$B:$B, $A239, NewEmisData!$C:$C, $H239, NewEmisData!$D:$D, BO$6)</f>
        <v>1.44727268865366</v>
      </c>
      <c r="BP239" s="1111">
        <f>SUMIFS(NewEmisData!H:H, NewEmisData!$A:$A, $G239, NewEmisData!$B:$B, $A239, NewEmisData!$C:$C, $H239, NewEmisData!$D:$D, BP$6)</f>
        <v>1.1207683835002999</v>
      </c>
      <c r="BQ239" s="1111">
        <f>SUMIFS(NewEmisData!I:I, NewEmisData!$A:$A, $G239, NewEmisData!$B:$B, $A239, NewEmisData!$C:$C, $H239, NewEmisData!$D:$D, BQ$6)</f>
        <v>1.0267847071138601</v>
      </c>
      <c r="BR239" s="1111">
        <f>SUMIFS(NewEmisData!J:J, NewEmisData!$A:$A, $G239, NewEmisData!$B:$B, $A239, NewEmisData!$C:$C, $H239, NewEmisData!$D:$D, BR$6)</f>
        <v>1.00432218637865</v>
      </c>
      <c r="BS239" s="1111">
        <f>SUMIFS(NewEmisData!K:K, NewEmisData!$A:$A, $G239, NewEmisData!$B:$B, $A239, NewEmisData!$C:$C, $H239, NewEmisData!$D:$D, BS$6)</f>
        <v>0.99794723012971298</v>
      </c>
      <c r="BT239" s="1111">
        <f>SUMIFS(NewEmisData!L:L, NewEmisData!$A:$A, $G239, NewEmisData!$B:$B, $A239, NewEmisData!$C:$C, $H239, NewEmisData!$D:$D, BT$6)</f>
        <v>0.99667933319928403</v>
      </c>
      <c r="BU239" s="1111">
        <f>SUMIFS(NewEmisData!M:M, NewEmisData!$A:$A, $G239, NewEmisData!$B:$B, $A239, NewEmisData!$C:$C, $H239, NewEmisData!$D:$D, BU$6)</f>
        <v>0.99661224661700498</v>
      </c>
      <c r="BV239" s="1111">
        <f t="shared" si="372"/>
        <v>0.99661224661700498</v>
      </c>
      <c r="BW239" s="1111">
        <f t="shared" si="373"/>
        <v>1.3036578993866199</v>
      </c>
      <c r="BX239" s="1111">
        <f>SUMIFS(NewEmisData!E:E, NewEmisData!$A:$A, $G239, NewEmisData!$B:$B, $A239, NewEmisData!$C:$C, $H239, NewEmisData!$D:$D, BX$6)</f>
        <v>1.3036578993866199</v>
      </c>
      <c r="BY239" s="1111">
        <f>SUMIFS(NewEmisData!F:F, NewEmisData!$A:$A, $G239, NewEmisData!$B:$B, $A239, NewEmisData!$C:$C, $H239, NewEmisData!$D:$D, BY$6)</f>
        <v>0.62654783684864801</v>
      </c>
      <c r="BZ239" s="1111">
        <f>SUMIFS(NewEmisData!G:G, NewEmisData!$A:$A, $G239, NewEmisData!$B:$B, $A239, NewEmisData!$C:$C, $H239, NewEmisData!$D:$D, BZ$6)</f>
        <v>0.256477663626625</v>
      </c>
      <c r="CA239" s="1111">
        <f>SUMIFS(NewEmisData!H:H, NewEmisData!$A:$A, $G239, NewEmisData!$B:$B, $A239, NewEmisData!$C:$C, $H239, NewEmisData!$D:$D, CA$6)</f>
        <v>0.15721626159253699</v>
      </c>
      <c r="CB239" s="1111">
        <f>SUMIFS(NewEmisData!I:I, NewEmisData!$A:$A, $G239, NewEmisData!$B:$B, $A239, NewEmisData!$C:$C, $H239, NewEmisData!$D:$D, CB$6)</f>
        <v>0.12995527844758301</v>
      </c>
      <c r="CC239" s="1111">
        <f>SUMIFS(NewEmisData!J:J, NewEmisData!$A:$A, $G239, NewEmisData!$B:$B, $A239, NewEmisData!$C:$C, $H239, NewEmisData!$D:$D, CC$6)</f>
        <v>0.124363752484154</v>
      </c>
      <c r="CD239" s="1111">
        <f>SUMIFS(NewEmisData!K:K, NewEmisData!$A:$A, $G239, NewEmisData!$B:$B, $A239, NewEmisData!$C:$C, $H239, NewEmisData!$D:$D, CD$6)</f>
        <v>0.12280434729006</v>
      </c>
      <c r="CE239" s="1111">
        <f>SUMIFS(NewEmisData!L:L, NewEmisData!$A:$A, $G239, NewEmisData!$B:$B, $A239, NewEmisData!$C:$C, $H239, NewEmisData!$D:$D, CE$6)</f>
        <v>0.12275657242648801</v>
      </c>
      <c r="CF239" s="1111">
        <f>SUMIFS(NewEmisData!M:M, NewEmisData!$A:$A, $G239, NewEmisData!$B:$B, $A239, NewEmisData!$C:$C, $H239, NewEmisData!$D:$D, CF$6)</f>
        <v>0.122755209940958</v>
      </c>
      <c r="CG239" s="1111">
        <f t="shared" si="374"/>
        <v>0.122755209940958</v>
      </c>
      <c r="CH239" s="1111">
        <f t="shared" si="375"/>
        <v>2.6814639578360101E-2</v>
      </c>
      <c r="CI239" s="1111">
        <f>SUMIFS(NewEmisData!E:E, NewEmisData!$A:$A, $G239, NewEmisData!$B:$B, $A239, NewEmisData!$C:$C, $H239, NewEmisData!$D:$D, CI$6)</f>
        <v>2.6814639578360101E-2</v>
      </c>
      <c r="CJ239" s="1111">
        <f>SUMIFS(NewEmisData!F:F, NewEmisData!$A:$A, $G239, NewEmisData!$B:$B, $A239, NewEmisData!$C:$C, $H239, NewEmisData!$D:$D, CJ$6)</f>
        <v>2.7377198484682501E-2</v>
      </c>
      <c r="CK239" s="1111">
        <f>SUMIFS(NewEmisData!G:G, NewEmisData!$A:$A, $G239, NewEmisData!$B:$B, $A239, NewEmisData!$C:$C, $H239, NewEmisData!$D:$D, CK$6)</f>
        <v>3.1744752331224299E-2</v>
      </c>
      <c r="CL239" s="1111">
        <f>SUMIFS(NewEmisData!H:H, NewEmisData!$A:$A, $G239, NewEmisData!$B:$B, $A239, NewEmisData!$C:$C, $H239, NewEmisData!$D:$D, CL$6)</f>
        <v>3.1751089810168102E-2</v>
      </c>
      <c r="CM239" s="1111">
        <f>SUMIFS(NewEmisData!I:I, NewEmisData!$A:$A, $G239, NewEmisData!$B:$B, $A239, NewEmisData!$C:$C, $H239, NewEmisData!$D:$D, CM$6)</f>
        <v>3.1753196220943601E-2</v>
      </c>
      <c r="CN239" s="1111">
        <f>SUMIFS(NewEmisData!J:J, NewEmisData!$A:$A, $G239, NewEmisData!$B:$B, $A239, NewEmisData!$C:$C, $H239, NewEmisData!$D:$D, CN$6)</f>
        <v>3.1754907653783297E-2</v>
      </c>
      <c r="CO239" s="1111">
        <f>SUMIFS(NewEmisData!K:K, NewEmisData!$A:$A, $G239, NewEmisData!$B:$B, $A239, NewEmisData!$C:$C, $H239, NewEmisData!$D:$D, CO$6)</f>
        <v>3.1756308019210901E-2</v>
      </c>
      <c r="CP239" s="1111">
        <f>SUMIFS(NewEmisData!L:L, NewEmisData!$A:$A, $G239, NewEmisData!$B:$B, $A239, NewEmisData!$C:$C, $H239, NewEmisData!$D:$D, CP$6)</f>
        <v>3.1757504483370197E-2</v>
      </c>
      <c r="CQ239" s="1111">
        <f>SUMIFS(NewEmisData!M:M, NewEmisData!$A:$A, $G239, NewEmisData!$B:$B, $A239, NewEmisData!$C:$C, $H239, NewEmisData!$D:$D, CQ$6)</f>
        <v>3.17586670417229E-2</v>
      </c>
      <c r="CR239" s="1111">
        <f t="shared" si="376"/>
        <v>3.17586670417229E-2</v>
      </c>
      <c r="CS239" s="1111">
        <f t="shared" si="377"/>
        <v>4.3846094197843499E-3</v>
      </c>
      <c r="CT239" s="1111">
        <f>SUMIFS(NewEmisData!E:E, NewEmisData!$A:$A, $G239, NewEmisData!$B:$B, $A239, NewEmisData!$C:$C, $H239, NewEmisData!$D:$D, CT$6)</f>
        <v>4.3846094197843499E-3</v>
      </c>
      <c r="CU239" s="1111">
        <f>SUMIFS(NewEmisData!F:F, NewEmisData!$A:$A, $G239, NewEmisData!$B:$B, $A239, NewEmisData!$C:$C, $H239, NewEmisData!$D:$D, CU$6)</f>
        <v>4.2824271816577098E-3</v>
      </c>
      <c r="CV239" s="1111">
        <f>SUMIFS(NewEmisData!G:G, NewEmisData!$A:$A, $G239, NewEmisData!$B:$B, $A239, NewEmisData!$C:$C, $H239, NewEmisData!$D:$D, CV$6)</f>
        <v>5.02899922498892E-3</v>
      </c>
      <c r="CW239" s="1111">
        <f>SUMIFS(NewEmisData!H:H, NewEmisData!$A:$A, $G239, NewEmisData!$B:$B, $A239, NewEmisData!$C:$C, $H239, NewEmisData!$D:$D, CW$6)</f>
        <v>5.0046662993367902E-3</v>
      </c>
      <c r="CX239" s="1111">
        <f>SUMIFS(NewEmisData!I:I, NewEmisData!$A:$A, $G239, NewEmisData!$B:$B, $A239, NewEmisData!$C:$C, $H239, NewEmisData!$D:$D, CX$6)</f>
        <v>4.9882594082795899E-3</v>
      </c>
      <c r="CY239" s="1111">
        <f>SUMIFS(NewEmisData!J:J, NewEmisData!$A:$A, $G239, NewEmisData!$B:$B, $A239, NewEmisData!$C:$C, $H239, NewEmisData!$D:$D, CY$6)</f>
        <v>4.9807823416885997E-3</v>
      </c>
      <c r="CZ239" s="1111">
        <f>SUMIFS(NewEmisData!K:K, NewEmisData!$A:$A, $G239, NewEmisData!$B:$B, $A239, NewEmisData!$C:$C, $H239, NewEmisData!$D:$D, CZ$6)</f>
        <v>4.9778351451056097E-3</v>
      </c>
      <c r="DA239" s="1111">
        <f>SUMIFS(NewEmisData!L:L, NewEmisData!$A:$A, $G239, NewEmisData!$B:$B, $A239, NewEmisData!$C:$C, $H239, NewEmisData!$D:$D, DA$6)</f>
        <v>4.9770350121877902E-3</v>
      </c>
      <c r="DB239" s="1111">
        <f>SUMIFS(NewEmisData!M:M, NewEmisData!$A:$A, $G239, NewEmisData!$B:$B, $A239, NewEmisData!$C:$C, $H239, NewEmisData!$D:$D, DB$6)</f>
        <v>4.97750081597703E-3</v>
      </c>
      <c r="DC239" s="1111">
        <f t="shared" si="378"/>
        <v>4.97750081597703E-3</v>
      </c>
      <c r="DD239" s="1111"/>
      <c r="DE239" s="1111"/>
      <c r="DF239" s="1111"/>
      <c r="DG239" s="1111"/>
      <c r="DH239" s="1111"/>
      <c r="DI239" s="1111"/>
      <c r="DJ239" s="1111"/>
      <c r="DK239" s="1111"/>
      <c r="DL239" s="1111"/>
      <c r="DM239" s="1111"/>
      <c r="DN239" s="1111"/>
      <c r="DO239" s="1111"/>
      <c r="DP239" s="1111"/>
      <c r="DQ239" s="1111"/>
      <c r="DR239" s="1111"/>
      <c r="DS239" s="1111"/>
      <c r="DT239" s="1111"/>
      <c r="DU239" s="1111"/>
      <c r="DV239" s="1111"/>
      <c r="DW239" s="1111"/>
      <c r="DX239" s="1111"/>
      <c r="DY239" s="1111"/>
      <c r="DZ239" s="1111">
        <f t="shared" si="379"/>
        <v>2.5837404070173101E-2</v>
      </c>
      <c r="EA239" s="1111">
        <f>SUMIFS(NewEmisData!E:E, NewEmisData!$A:$A, $G239, NewEmisData!$B:$B, $A239, NewEmisData!$C:$C, $H239, NewEmisData!$D:$D, EA$6)</f>
        <v>2.5837404070173101E-2</v>
      </c>
      <c r="EB239" s="1111">
        <f>SUMIFS(NewEmisData!F:F, NewEmisData!$A:$A, $G239, NewEmisData!$B:$B, $A239, NewEmisData!$C:$C, $H239, NewEmisData!$D:$D, EB$6)</f>
        <v>7.8297413767458204E-2</v>
      </c>
      <c r="EC239" s="1111">
        <f>SUMIFS(NewEmisData!G:G, NewEmisData!$A:$A, $G239, NewEmisData!$B:$B, $A239, NewEmisData!$C:$C, $H239, NewEmisData!$D:$D, EC$6)</f>
        <v>0.10066729837517401</v>
      </c>
      <c r="ED239" s="1111">
        <f>SUMIFS(NewEmisData!H:H, NewEmisData!$A:$A, $G239, NewEmisData!$B:$B, $A239, NewEmisData!$C:$C, $H239, NewEmisData!$D:$D, ED$6)</f>
        <v>0.10297636370982299</v>
      </c>
      <c r="EE239" s="1111">
        <f>SUMIFS(NewEmisData!I:I, NewEmisData!$A:$A, $G239, NewEmisData!$B:$B, $A239, NewEmisData!$C:$C, $H239, NewEmisData!$D:$D, EE$6)</f>
        <v>0.103171854151657</v>
      </c>
      <c r="EF239" s="1111">
        <f>SUMIFS(NewEmisData!J:J, NewEmisData!$A:$A, $G239, NewEmisData!$B:$B, $A239, NewEmisData!$C:$C, $H239, NewEmisData!$D:$D, EF$6)</f>
        <v>0.103095802852537</v>
      </c>
      <c r="EG239" s="1111">
        <f>SUMIFS(NewEmisData!K:K, NewEmisData!$A:$A, $G239, NewEmisData!$B:$B, $A239, NewEmisData!$C:$C, $H239, NewEmisData!$D:$D, EG$6)</f>
        <v>0.10319825346403599</v>
      </c>
      <c r="EH239" s="1111">
        <f>SUMIFS(NewEmisData!L:L, NewEmisData!$A:$A, $G239, NewEmisData!$B:$B, $A239, NewEmisData!$C:$C, $H239, NewEmisData!$D:$D, EH$6)</f>
        <v>0.103151432114074</v>
      </c>
      <c r="EI239" s="1111">
        <f>SUMIFS(NewEmisData!M:M, NewEmisData!$A:$A, $G239, NewEmisData!$B:$B, $A239, NewEmisData!$C:$C, $H239, NewEmisData!$D:$D, EI$6)</f>
        <v>0.103153661145232</v>
      </c>
      <c r="EJ239" s="1111">
        <f t="shared" si="380"/>
        <v>0.103153661145232</v>
      </c>
      <c r="EK239" s="1111">
        <f t="shared" si="381"/>
        <v>1446.4734413180499</v>
      </c>
      <c r="EL239" s="1111">
        <f t="shared" si="343"/>
        <v>1446.4734413180499</v>
      </c>
      <c r="EM239" s="1111">
        <f t="shared" si="344"/>
        <v>1740.72087390757</v>
      </c>
      <c r="EN239" s="1111">
        <f t="shared" si="345"/>
        <v>1883.5112444895601</v>
      </c>
      <c r="EO239" s="1111">
        <f t="shared" si="346"/>
        <v>1846.4691773357799</v>
      </c>
      <c r="EP239" s="1111">
        <f t="shared" si="347"/>
        <v>1831.61438997502</v>
      </c>
      <c r="EQ239" s="1111">
        <f t="shared" si="348"/>
        <v>1827.40074627429</v>
      </c>
      <c r="ER239" s="1111">
        <f t="shared" si="349"/>
        <v>1826.3756740122001</v>
      </c>
      <c r="ES239" s="1111">
        <f t="shared" si="350"/>
        <v>1826.08515951495</v>
      </c>
      <c r="ET239" s="1111">
        <f t="shared" si="351"/>
        <v>1825.9462445100501</v>
      </c>
      <c r="EU239" s="1111">
        <f t="shared" si="352"/>
        <v>1825.9462445100501</v>
      </c>
      <c r="EV239" s="1111">
        <f t="shared" si="382"/>
        <v>10.927472096680599</v>
      </c>
      <c r="EW239" s="1111">
        <f t="shared" si="333"/>
        <v>10.927472096680599</v>
      </c>
      <c r="EX239" s="1111">
        <f t="shared" si="334"/>
        <v>7.1206377233055003</v>
      </c>
      <c r="EY239" s="1111">
        <f t="shared" si="335"/>
        <v>3.1558879768380601</v>
      </c>
      <c r="EZ239" s="1111">
        <f t="shared" si="336"/>
        <v>2.0748112225925799</v>
      </c>
      <c r="FA239" s="1111">
        <f t="shared" si="337"/>
        <v>1.74258491838324</v>
      </c>
      <c r="FB239" s="1111">
        <f t="shared" si="338"/>
        <v>1.67796051175704</v>
      </c>
      <c r="FC239" s="1111">
        <f t="shared" si="339"/>
        <v>1.66395683464412</v>
      </c>
      <c r="FD239" s="1111">
        <f t="shared" si="340"/>
        <v>1.6637625206784601</v>
      </c>
      <c r="FE239" s="1111">
        <f t="shared" si="341"/>
        <v>1.6637616447113901</v>
      </c>
      <c r="FF239" s="1111">
        <f t="shared" si="342"/>
        <v>1.6637616447113901</v>
      </c>
      <c r="FG239" s="1111">
        <f t="shared" si="291"/>
        <v>3.5795342325280199E-2</v>
      </c>
      <c r="FH239" s="1111">
        <f t="shared" si="292"/>
        <v>3.5795342325280199E-2</v>
      </c>
      <c r="FI239" s="1111">
        <f t="shared" si="293"/>
        <v>4.18895987456427E-2</v>
      </c>
      <c r="FJ239" s="1111">
        <f t="shared" si="294"/>
        <v>1.5791060545945802E-2</v>
      </c>
      <c r="FK239" s="1111">
        <f t="shared" si="295"/>
        <v>1.5415670212051501E-2</v>
      </c>
      <c r="FL239" s="1111">
        <f t="shared" si="296"/>
        <v>1.5274431754930399E-2</v>
      </c>
      <c r="FM239" s="1111">
        <f t="shared" si="297"/>
        <v>1.5236164903811999E-2</v>
      </c>
      <c r="FN239" s="1111">
        <f t="shared" si="298"/>
        <v>1.52267203455439E-2</v>
      </c>
      <c r="FO239" s="1111">
        <f t="shared" si="299"/>
        <v>1.5224294731162401E-2</v>
      </c>
      <c r="FP239" s="1111">
        <f t="shared" si="300"/>
        <v>1.52231302628319E-2</v>
      </c>
      <c r="FQ239" s="1111">
        <f t="shared" si="301"/>
        <v>1.52231302628319E-2</v>
      </c>
      <c r="FR239" s="1111">
        <f t="shared" si="322"/>
        <v>1.1386613940402399</v>
      </c>
      <c r="FS239" s="1111">
        <f t="shared" si="323"/>
        <v>1.1386613940402399</v>
      </c>
      <c r="FT239" s="1111">
        <f t="shared" si="324"/>
        <v>0.81062826870189697</v>
      </c>
      <c r="FU239" s="1111">
        <f t="shared" si="325"/>
        <v>0.53923885209480305</v>
      </c>
      <c r="FV239" s="1111">
        <f t="shared" si="326"/>
        <v>0.475762300205197</v>
      </c>
      <c r="FW239" s="1111">
        <f t="shared" si="327"/>
        <v>0.45922153968976998</v>
      </c>
      <c r="FX239" s="1111">
        <f t="shared" si="328"/>
        <v>0.45636829014935498</v>
      </c>
      <c r="FY239" s="1111">
        <f t="shared" si="329"/>
        <v>0.45567985208338102</v>
      </c>
      <c r="FZ239" s="1111">
        <f t="shared" si="330"/>
        <v>0.45574905770507301</v>
      </c>
      <c r="GA239" s="1111">
        <f t="shared" si="331"/>
        <v>0.455831313218652</v>
      </c>
      <c r="GB239" s="1111">
        <f t="shared" si="332"/>
        <v>0.455831313218652</v>
      </c>
      <c r="GC239" s="1111">
        <f t="shared" si="353"/>
        <v>0.76056597813754101</v>
      </c>
      <c r="GD239" s="1111">
        <f t="shared" si="354"/>
        <v>0.76056597813754101</v>
      </c>
      <c r="GE239" s="1111">
        <f t="shared" si="355"/>
        <v>0.44834360182688099</v>
      </c>
      <c r="GF239" s="1111">
        <f t="shared" si="356"/>
        <v>0.16425905468775201</v>
      </c>
      <c r="GG239" s="1111">
        <f t="shared" si="357"/>
        <v>0.106571454108964</v>
      </c>
      <c r="GH239" s="1111">
        <f t="shared" si="358"/>
        <v>9.1494531785506497E-2</v>
      </c>
      <c r="GI239" s="1111">
        <f t="shared" si="359"/>
        <v>8.8871730484206005E-2</v>
      </c>
      <c r="GJ239" s="1111">
        <f t="shared" si="360"/>
        <v>8.8185150826517997E-2</v>
      </c>
      <c r="GK239" s="1111">
        <f t="shared" si="361"/>
        <v>8.8192675178559193E-2</v>
      </c>
      <c r="GL239" s="1111">
        <f t="shared" si="362"/>
        <v>8.8205281736577906E-2</v>
      </c>
      <c r="GM239" s="1111">
        <f t="shared" si="363"/>
        <v>8.8205281736577906E-2</v>
      </c>
    </row>
    <row r="240" spans="1:195" x14ac:dyDescent="0.2">
      <c r="A240" s="1071" t="s">
        <v>182</v>
      </c>
      <c r="B240" s="1071" t="str">
        <f>Technologies!C146</f>
        <v>THSDSLC</v>
      </c>
      <c r="C240" s="1071" t="str">
        <f>Technologies!D146</f>
        <v>Heavy Truck, Short Haul, Conv. Diesel</v>
      </c>
      <c r="D240" s="1071" t="str">
        <f>NewTech!D99</f>
        <v>bn-vmt, bn-vmt/a</v>
      </c>
      <c r="E240" s="1071" t="str">
        <f>Commodities!C$44</f>
        <v>THDSL</v>
      </c>
      <c r="F240" s="1071" t="s">
        <v>98</v>
      </c>
      <c r="G240" s="1110" t="s">
        <v>505</v>
      </c>
      <c r="H240" s="1110" t="s">
        <v>499</v>
      </c>
      <c r="I240" s="1112">
        <v>1</v>
      </c>
      <c r="J240" s="1111" t="str">
        <f t="shared" si="302"/>
        <v>Heavy duty short haul truck-DSL</v>
      </c>
      <c r="K240" s="1111">
        <f>SUMIFS(NewEmisData!E:E, NewEmisData!$A:$A, $G240, NewEmisData!$B:$B, $A240, NewEmisData!$C:$C, $H240, NewEmisData!$D:$D, K$6)</f>
        <v>1482.5754764799101</v>
      </c>
      <c r="L240" s="1111">
        <f>SUMIFS(NewEmisData!F:F, NewEmisData!$A:$A, $G240, NewEmisData!$B:$B, $A240, NewEmisData!$C:$C, $H240, NewEmisData!$D:$D, L$6)</f>
        <v>1635.6442478660899</v>
      </c>
      <c r="M240" s="1111">
        <f>SUMIFS(NewEmisData!G:G, NewEmisData!$A:$A, $G240, NewEmisData!$B:$B, $A240, NewEmisData!$C:$C, $H240, NewEmisData!$D:$D, M$6)</f>
        <v>2107.1372534500802</v>
      </c>
      <c r="N240" s="1111">
        <f>SUMIFS(NewEmisData!H:H, NewEmisData!$A:$A, $G240, NewEmisData!$B:$B, $A240, NewEmisData!$C:$C, $H240, NewEmisData!$D:$D, N$6)</f>
        <v>2071.9319953702902</v>
      </c>
      <c r="O240" s="1111">
        <f>SUMIFS(NewEmisData!I:I, NewEmisData!$A:$A, $G240, NewEmisData!$B:$B, $A240, NewEmisData!$C:$C, $H240, NewEmisData!$D:$D, O$6)</f>
        <v>2048.5012080599699</v>
      </c>
      <c r="P240" s="1111">
        <f>SUMIFS(NewEmisData!J:J, NewEmisData!$A:$A, $G240, NewEmisData!$B:$B, $A240, NewEmisData!$C:$C, $H240, NewEmisData!$D:$D, P$6)</f>
        <v>2041.23090502932</v>
      </c>
      <c r="Q240" s="1111">
        <f>SUMIFS(NewEmisData!K:K, NewEmisData!$A:$A, $G240, NewEmisData!$B:$B, $A240, NewEmisData!$C:$C, $H240, NewEmisData!$D:$D, Q$6)</f>
        <v>2038.8712683316101</v>
      </c>
      <c r="R240" s="1111">
        <f>SUMIFS(NewEmisData!L:L, NewEmisData!$A:$A, $G240, NewEmisData!$B:$B, $A240, NewEmisData!$C:$C, $H240, NewEmisData!$D:$D, R$6)</f>
        <v>2037.89380685326</v>
      </c>
      <c r="S240" s="1111">
        <f>SUMIFS(NewEmisData!M:M, NewEmisData!$A:$A, $G240, NewEmisData!$B:$B, $A240, NewEmisData!$C:$C, $H240, NewEmisData!$D:$D, S$6)</f>
        <v>2037.18147825705</v>
      </c>
      <c r="T240" s="1111">
        <f t="shared" si="364"/>
        <v>2037.18147825705</v>
      </c>
      <c r="U240" s="1111">
        <f>SUMIFS(NewEmisData!E:E, NewEmisData!$A:$A, $G240, NewEmisData!$B:$B, $A240, NewEmisData!$C:$C, $H240, NewEmisData!$D:$D, U$6)</f>
        <v>11.638950039279999</v>
      </c>
      <c r="V240" s="1111">
        <f>SUMIFS(NewEmisData!F:F, NewEmisData!$A:$A, $G240, NewEmisData!$B:$B, $A240, NewEmisData!$C:$C, $H240, NewEmisData!$D:$D, V$6)</f>
        <v>6.7839244745049401</v>
      </c>
      <c r="W240" s="1111">
        <f>SUMIFS(NewEmisData!G:G, NewEmisData!$A:$A, $G240, NewEmisData!$B:$B, $A240, NewEmisData!$C:$C, $H240, NewEmisData!$D:$D, W$6)</f>
        <v>4.3925354378646304</v>
      </c>
      <c r="X240" s="1111">
        <f>SUMIFS(NewEmisData!H:H, NewEmisData!$A:$A, $G240, NewEmisData!$B:$B, $A240, NewEmisData!$C:$C, $H240, NewEmisData!$D:$D, X$6)</f>
        <v>2.6191347420861701</v>
      </c>
      <c r="Y240" s="1111">
        <f>SUMIFS(NewEmisData!I:I, NewEmisData!$A:$A, $G240, NewEmisData!$B:$B, $A240, NewEmisData!$C:$C, $H240, NewEmisData!$D:$D, Y$6)</f>
        <v>2.06534470659102</v>
      </c>
      <c r="Z240" s="1111">
        <f>SUMIFS(NewEmisData!J:J, NewEmisData!$A:$A, $G240, NewEmisData!$B:$B, $A240, NewEmisData!$C:$C, $H240, NewEmisData!$D:$D, Z$6)</f>
        <v>1.9514955612034099</v>
      </c>
      <c r="AA240" s="1111">
        <f>SUMIFS(NewEmisData!K:K, NewEmisData!$A:$A, $G240, NewEmisData!$B:$B, $A240, NewEmisData!$C:$C, $H240, NewEmisData!$D:$D, AA$6)</f>
        <v>1.9247847205619899</v>
      </c>
      <c r="AB240" s="1111">
        <f>SUMIFS(NewEmisData!L:L, NewEmisData!$A:$A, $G240, NewEmisData!$B:$B, $A240, NewEmisData!$C:$C, $H240, NewEmisData!$D:$D, AB$6)</f>
        <v>1.9239170224512001</v>
      </c>
      <c r="AC240" s="1111">
        <f>SUMIFS(NewEmisData!M:M, NewEmisData!$A:$A, $G240, NewEmisData!$B:$B, $A240, NewEmisData!$C:$C, $H240, NewEmisData!$D:$D, AC$6)</f>
        <v>1.92345457739672</v>
      </c>
      <c r="AD240" s="1111">
        <f t="shared" si="321"/>
        <v>1.92345457739672</v>
      </c>
      <c r="AE240" s="1111">
        <f t="shared" si="365"/>
        <v>3.6844240816642601E-2</v>
      </c>
      <c r="AF240" s="1111">
        <f>SUMIFS(NewEmisData!E:E, NewEmisData!$A:$A, $G240, NewEmisData!$B:$B, $A240, NewEmisData!$C:$C, $H240, NewEmisData!$D:$D, AF$6)</f>
        <v>3.6844240816642601E-2</v>
      </c>
      <c r="AG240" s="1111">
        <f>SUMIFS(NewEmisData!F:F, NewEmisData!$A:$A, $G240, NewEmisData!$B:$B, $A240, NewEmisData!$C:$C, $H240, NewEmisData!$D:$D, AG$6)</f>
        <v>3.9353507212849297E-2</v>
      </c>
      <c r="AH240" s="1111">
        <f>SUMIFS(NewEmisData!G:G, NewEmisData!$A:$A, $G240, NewEmisData!$B:$B, $A240, NewEmisData!$C:$C, $H240, NewEmisData!$D:$D, AH$6)</f>
        <v>1.7702463178777099E-2</v>
      </c>
      <c r="AI240" s="1111">
        <f>SUMIFS(NewEmisData!H:H, NewEmisData!$A:$A, $G240, NewEmisData!$B:$B, $A240, NewEmisData!$C:$C, $H240, NewEmisData!$D:$D, AI$6)</f>
        <v>1.7311059741913899E-2</v>
      </c>
      <c r="AJ240" s="1111">
        <f>SUMIFS(NewEmisData!I:I, NewEmisData!$A:$A, $G240, NewEmisData!$B:$B, $A240, NewEmisData!$C:$C, $H240, NewEmisData!$D:$D, AJ$6)</f>
        <v>1.70853991434037E-2</v>
      </c>
      <c r="AK240" s="1111">
        <f>SUMIFS(NewEmisData!J:J, NewEmisData!$A:$A, $G240, NewEmisData!$B:$B, $A240, NewEmisData!$C:$C, $H240, NewEmisData!$D:$D, AK$6)</f>
        <v>1.70195621794277E-2</v>
      </c>
      <c r="AL240" s="1111">
        <f>SUMIFS(NewEmisData!K:K, NewEmisData!$A:$A, $G240, NewEmisData!$B:$B, $A240, NewEmisData!$C:$C, $H240, NewEmisData!$D:$D, AL$6)</f>
        <v>1.69983226363635E-2</v>
      </c>
      <c r="AM240" s="1111">
        <f>SUMIFS(NewEmisData!L:L, NewEmisData!$A:$A, $G240, NewEmisData!$B:$B, $A240, NewEmisData!$C:$C, $H240, NewEmisData!$D:$D, AM$6)</f>
        <v>1.6990168303807101E-2</v>
      </c>
      <c r="AN240" s="1111">
        <f>SUMIFS(NewEmisData!M:M, NewEmisData!$A:$A, $G240, NewEmisData!$B:$B, $A240, NewEmisData!$C:$C, $H240, NewEmisData!$D:$D, AN$6)</f>
        <v>1.69842326570817E-2</v>
      </c>
      <c r="AO240" s="1111">
        <f t="shared" si="366"/>
        <v>1.69842326570817E-2</v>
      </c>
      <c r="AP240" s="1111">
        <f t="shared" si="367"/>
        <v>1.2647150782943599</v>
      </c>
      <c r="AQ240" s="1111">
        <f>SUMIFS(NewEmisData!E:E, NewEmisData!$A:$A, $G240, NewEmisData!$B:$B, $A240, NewEmisData!$C:$C, $H240, NewEmisData!$D:$D, AQ$6)</f>
        <v>1.2647150782943599</v>
      </c>
      <c r="AR240" s="1111">
        <f>SUMIFS(NewEmisData!F:F, NewEmisData!$A:$A, $G240, NewEmisData!$B:$B, $A240, NewEmisData!$C:$C, $H240, NewEmisData!$D:$D, AR$6)</f>
        <v>0.82297495230985995</v>
      </c>
      <c r="AS240" s="1111">
        <f>SUMIFS(NewEmisData!G:G, NewEmisData!$A:$A, $G240, NewEmisData!$B:$B, $A240, NewEmisData!$C:$C, $H240, NewEmisData!$D:$D, AS$6)</f>
        <v>0.78295839522434196</v>
      </c>
      <c r="AT240" s="1111">
        <f>SUMIFS(NewEmisData!H:H, NewEmisData!$A:$A, $G240, NewEmisData!$B:$B, $A240, NewEmisData!$C:$C, $H240, NewEmisData!$D:$D, AT$6)</f>
        <v>0.68016675260069404</v>
      </c>
      <c r="AU240" s="1111">
        <f>SUMIFS(NewEmisData!I:I, NewEmisData!$A:$A, $G240, NewEmisData!$B:$B, $A240, NewEmisData!$C:$C, $H240, NewEmisData!$D:$D, AU$6)</f>
        <v>0.64888550894506702</v>
      </c>
      <c r="AV240" s="1111">
        <f>SUMIFS(NewEmisData!J:J, NewEmisData!$A:$A, $G240, NewEmisData!$B:$B, $A240, NewEmisData!$C:$C, $H240, NewEmisData!$D:$D, AV$6)</f>
        <v>0.64362415371119697</v>
      </c>
      <c r="AW240" s="1111">
        <f>SUMIFS(NewEmisData!K:K, NewEmisData!$A:$A, $G240, NewEmisData!$B:$B, $A240, NewEmisData!$C:$C, $H240, NewEmisData!$D:$D, AW$6)</f>
        <v>0.64216665150257801</v>
      </c>
      <c r="AX240" s="1111">
        <f>SUMIFS(NewEmisData!L:L, NewEmisData!$A:$A, $G240, NewEmisData!$B:$B, $A240, NewEmisData!$C:$C, $H240, NewEmisData!$D:$D, AX$6)</f>
        <v>0.64212477573891902</v>
      </c>
      <c r="AY240" s="1111">
        <f>SUMIFS(NewEmisData!M:M, NewEmisData!$A:$A, $G240, NewEmisData!$B:$B, $A240, NewEmisData!$C:$C, $H240, NewEmisData!$D:$D, AY$6)</f>
        <v>0.64210952076406802</v>
      </c>
      <c r="AZ240" s="1111">
        <f t="shared" si="368"/>
        <v>0.64210952076406802</v>
      </c>
      <c r="BA240" s="1111">
        <f t="shared" si="369"/>
        <v>0.85268225231092398</v>
      </c>
      <c r="BB240" s="1111">
        <f>SUMIFS(NewEmisData!E:E, NewEmisData!$A:$A, $G240, NewEmisData!$B:$B, $A240, NewEmisData!$C:$C, $H240, NewEmisData!$D:$D, BB$6)</f>
        <v>0.85268225231092398</v>
      </c>
      <c r="BC240" s="1111">
        <f>SUMIFS(NewEmisData!F:F, NewEmisData!$A:$A, $G240, NewEmisData!$B:$B, $A240, NewEmisData!$C:$C, $H240, NewEmisData!$D:$D, BC$6)</f>
        <v>0.44197863249122399</v>
      </c>
      <c r="BD240" s="1111">
        <f>SUMIFS(NewEmisData!G:G, NewEmisData!$A:$A, $G240, NewEmisData!$B:$B, $A240, NewEmisData!$C:$C, $H240, NewEmisData!$D:$D, BD$6)</f>
        <v>0.24083520219764601</v>
      </c>
      <c r="BE240" s="1111">
        <f>SUMIFS(NewEmisData!H:H, NewEmisData!$A:$A, $G240, NewEmisData!$B:$B, $A240, NewEmisData!$C:$C, $H240, NewEmisData!$D:$D, BE$6)</f>
        <v>0.148362414161788</v>
      </c>
      <c r="BF240" s="1111">
        <f>SUMIFS(NewEmisData!I:I, NewEmisData!$A:$A, $G240, NewEmisData!$B:$B, $A240, NewEmisData!$C:$C, $H240, NewEmisData!$D:$D, BF$6)</f>
        <v>0.11982020029779999</v>
      </c>
      <c r="BG240" s="1111">
        <f>SUMIFS(NewEmisData!J:J, NewEmisData!$A:$A, $G240, NewEmisData!$B:$B, $A240, NewEmisData!$C:$C, $H240, NewEmisData!$D:$D, BG$6)</f>
        <v>0.115075397080156</v>
      </c>
      <c r="BH240" s="1111">
        <f>SUMIFS(NewEmisData!K:K, NewEmisData!$A:$A, $G240, NewEmisData!$B:$B, $A240, NewEmisData!$C:$C, $H240, NewEmisData!$D:$D, BH$6)</f>
        <v>0.113741063740516</v>
      </c>
      <c r="BI240" s="1111">
        <f>SUMIFS(NewEmisData!L:L, NewEmisData!$A:$A, $G240, NewEmisData!$B:$B, $A240, NewEmisData!$C:$C, $H240, NewEmisData!$D:$D, BI$6)</f>
        <v>0.113717400839903</v>
      </c>
      <c r="BJ240" s="1111">
        <f>SUMIFS(NewEmisData!M:M, NewEmisData!$A:$A, $G240, NewEmisData!$B:$B, $A240, NewEmisData!$C:$C, $H240, NewEmisData!$D:$D, BJ$6)</f>
        <v>0.11370438522677</v>
      </c>
      <c r="BK240" s="1111">
        <f t="shared" si="370"/>
        <v>0.11370438522677</v>
      </c>
      <c r="BL240" s="1111">
        <f t="shared" si="371"/>
        <v>5.0328469585193201</v>
      </c>
      <c r="BM240" s="1111">
        <f>SUMIFS(NewEmisData!E:E, NewEmisData!$A:$A, $G240, NewEmisData!$B:$B, $A240, NewEmisData!$C:$C, $H240, NewEmisData!$D:$D, BM$6)</f>
        <v>5.0328469585193201</v>
      </c>
      <c r="BN240" s="1111">
        <f>SUMIFS(NewEmisData!F:F, NewEmisData!$A:$A, $G240, NewEmisData!$B:$B, $A240, NewEmisData!$C:$C, $H240, NewEmisData!$D:$D, BN$6)</f>
        <v>2.6827852293663099</v>
      </c>
      <c r="BO240" s="1111">
        <f>SUMIFS(NewEmisData!G:G, NewEmisData!$A:$A, $G240, NewEmisData!$B:$B, $A240, NewEmisData!$C:$C, $H240, NewEmisData!$D:$D, BO$6)</f>
        <v>1.7356120209921699</v>
      </c>
      <c r="BP240" s="1111">
        <f>SUMIFS(NewEmisData!H:H, NewEmisData!$A:$A, $G240, NewEmisData!$B:$B, $A240, NewEmisData!$C:$C, $H240, NewEmisData!$D:$D, BP$6)</f>
        <v>1.1963534366450099</v>
      </c>
      <c r="BQ240" s="1111">
        <f>SUMIFS(NewEmisData!I:I, NewEmisData!$A:$A, $G240, NewEmisData!$B:$B, $A240, NewEmisData!$C:$C, $H240, NewEmisData!$D:$D, BQ$6)</f>
        <v>1.0323047664296401</v>
      </c>
      <c r="BR240" s="1111">
        <f>SUMIFS(NewEmisData!J:J, NewEmisData!$A:$A, $G240, NewEmisData!$B:$B, $A240, NewEmisData!$C:$C, $H240, NewEmisData!$D:$D, BR$6)</f>
        <v>0.995595558537549</v>
      </c>
      <c r="BS240" s="1111">
        <f>SUMIFS(NewEmisData!K:K, NewEmisData!$A:$A, $G240, NewEmisData!$B:$B, $A240, NewEmisData!$C:$C, $H240, NewEmisData!$D:$D, BS$6)</f>
        <v>0.98556754943244496</v>
      </c>
      <c r="BT240" s="1111">
        <f>SUMIFS(NewEmisData!L:L, NewEmisData!$A:$A, $G240, NewEmisData!$B:$B, $A240, NewEmisData!$C:$C, $H240, NewEmisData!$D:$D, BT$6)</f>
        <v>0.98409018482975696</v>
      </c>
      <c r="BU240" s="1111">
        <f>SUMIFS(NewEmisData!M:M, NewEmisData!$A:$A, $G240, NewEmisData!$B:$B, $A240, NewEmisData!$C:$C, $H240, NewEmisData!$D:$D, BU$6)</f>
        <v>0.98392055504691101</v>
      </c>
      <c r="BV240" s="1111">
        <f t="shared" si="372"/>
        <v>0.98392055504691101</v>
      </c>
      <c r="BW240" s="1111">
        <f t="shared" si="373"/>
        <v>1.47076719543515</v>
      </c>
      <c r="BX240" s="1111">
        <f>SUMIFS(NewEmisData!E:E, NewEmisData!$A:$A, $G240, NewEmisData!$B:$B, $A240, NewEmisData!$C:$C, $H240, NewEmisData!$D:$D, BX$6)</f>
        <v>1.47076719543515</v>
      </c>
      <c r="BY240" s="1111">
        <f>SUMIFS(NewEmisData!F:F, NewEmisData!$A:$A, $G240, NewEmisData!$B:$B, $A240, NewEmisData!$C:$C, $H240, NewEmisData!$D:$D, BY$6)</f>
        <v>0.68796701308964903</v>
      </c>
      <c r="BZ240" s="1111">
        <f>SUMIFS(NewEmisData!G:G, NewEmisData!$A:$A, $G240, NewEmisData!$B:$B, $A240, NewEmisData!$C:$C, $H240, NewEmisData!$D:$D, BZ$6)</f>
        <v>0.402812160133037</v>
      </c>
      <c r="CA240" s="1111">
        <f>SUMIFS(NewEmisData!H:H, NewEmisData!$A:$A, $G240, NewEmisData!$B:$B, $A240, NewEmisData!$C:$C, $H240, NewEmisData!$D:$D, CA$6)</f>
        <v>0.22250982610906</v>
      </c>
      <c r="CB240" s="1111">
        <f>SUMIFS(NewEmisData!I:I, NewEmisData!$A:$A, $G240, NewEmisData!$B:$B, $A240, NewEmisData!$C:$C, $H240, NewEmisData!$D:$D, CB$6)</f>
        <v>0.16724007620430001</v>
      </c>
      <c r="CC240" s="1111">
        <f>SUMIFS(NewEmisData!J:J, NewEmisData!$A:$A, $G240, NewEmisData!$B:$B, $A240, NewEmisData!$C:$C, $H240, NewEmisData!$D:$D, CC$6)</f>
        <v>0.15629916703885099</v>
      </c>
      <c r="CD240" s="1111">
        <f>SUMIFS(NewEmisData!K:K, NewEmisData!$A:$A, $G240, NewEmisData!$B:$B, $A240, NewEmisData!$C:$C, $H240, NewEmisData!$D:$D, CD$6)</f>
        <v>0.15328186767858501</v>
      </c>
      <c r="CE240" s="1111">
        <f>SUMIFS(NewEmisData!L:L, NewEmisData!$A:$A, $G240, NewEmisData!$B:$B, $A240, NewEmisData!$C:$C, $H240, NewEmisData!$D:$D, CE$6)</f>
        <v>0.15319941180844801</v>
      </c>
      <c r="CF240" s="1111">
        <f>SUMIFS(NewEmisData!M:M, NewEmisData!$A:$A, $G240, NewEmisData!$B:$B, $A240, NewEmisData!$C:$C, $H240, NewEmisData!$D:$D, CF$6)</f>
        <v>0.15317662764687001</v>
      </c>
      <c r="CG240" s="1111">
        <f t="shared" si="374"/>
        <v>0.15317662764687001</v>
      </c>
      <c r="CH240" s="1111">
        <f t="shared" si="375"/>
        <v>2.7376905675536502E-2</v>
      </c>
      <c r="CI240" s="1111">
        <f>SUMIFS(NewEmisData!E:E, NewEmisData!$A:$A, $G240, NewEmisData!$B:$B, $A240, NewEmisData!$C:$C, $H240, NewEmisData!$D:$D, CI$6)</f>
        <v>2.7376905675536502E-2</v>
      </c>
      <c r="CJ240" s="1111">
        <f>SUMIFS(NewEmisData!F:F, NewEmisData!$A:$A, $G240, NewEmisData!$B:$B, $A240, NewEmisData!$C:$C, $H240, NewEmisData!$D:$D, CJ$6)</f>
        <v>2.7641391273496001E-2</v>
      </c>
      <c r="CK240" s="1111">
        <f>SUMIFS(NewEmisData!G:G, NewEmisData!$A:$A, $G240, NewEmisData!$B:$B, $A240, NewEmisData!$C:$C, $H240, NewEmisData!$D:$D, CK$6)</f>
        <v>3.7783493564809902E-2</v>
      </c>
      <c r="CL240" s="1111">
        <f>SUMIFS(NewEmisData!H:H, NewEmisData!$A:$A, $G240, NewEmisData!$B:$B, $A240, NewEmisData!$C:$C, $H240, NewEmisData!$D:$D, CL$6)</f>
        <v>3.7791768560113202E-2</v>
      </c>
      <c r="CM240" s="1111">
        <f>SUMIFS(NewEmisData!I:I, NewEmisData!$A:$A, $G240, NewEmisData!$B:$B, $A240, NewEmisData!$C:$C, $H240, NewEmisData!$D:$D, CM$6)</f>
        <v>3.7796042393498999E-2</v>
      </c>
      <c r="CN240" s="1111">
        <f>SUMIFS(NewEmisData!J:J, NewEmisData!$A:$A, $G240, NewEmisData!$B:$B, $A240, NewEmisData!$C:$C, $H240, NewEmisData!$D:$D, CN$6)</f>
        <v>3.7797273059285798E-2</v>
      </c>
      <c r="CO240" s="1111">
        <f>SUMIFS(NewEmisData!K:K, NewEmisData!$A:$A, $G240, NewEmisData!$B:$B, $A240, NewEmisData!$C:$C, $H240, NewEmisData!$D:$D, CO$6)</f>
        <v>3.7797290465285301E-2</v>
      </c>
      <c r="CP240" s="1111">
        <f>SUMIFS(NewEmisData!L:L, NewEmisData!$A:$A, $G240, NewEmisData!$B:$B, $A240, NewEmisData!$C:$C, $H240, NewEmisData!$D:$D, CP$6)</f>
        <v>3.77969592669226E-2</v>
      </c>
      <c r="CQ240" s="1111">
        <f>SUMIFS(NewEmisData!M:M, NewEmisData!$A:$A, $G240, NewEmisData!$B:$B, $A240, NewEmisData!$C:$C, $H240, NewEmisData!$D:$D, CQ$6)</f>
        <v>3.7796456239744897E-2</v>
      </c>
      <c r="CR240" s="1111">
        <f t="shared" si="376"/>
        <v>3.7796456239744897E-2</v>
      </c>
      <c r="CS240" s="1111">
        <f t="shared" si="377"/>
        <v>4.5435437093963096E-3</v>
      </c>
      <c r="CT240" s="1111">
        <f>SUMIFS(NewEmisData!E:E, NewEmisData!$A:$A, $G240, NewEmisData!$B:$B, $A240, NewEmisData!$C:$C, $H240, NewEmisData!$D:$D, CT$6)</f>
        <v>4.5435437093963096E-3</v>
      </c>
      <c r="CU240" s="1111">
        <f>SUMIFS(NewEmisData!F:F, NewEmisData!$A:$A, $G240, NewEmisData!$B:$B, $A240, NewEmisData!$C:$C, $H240, NewEmisData!$D:$D, CU$6)</f>
        <v>4.4398754909713801E-3</v>
      </c>
      <c r="CV240" s="1111">
        <f>SUMIFS(NewEmisData!G:G, NewEmisData!$A:$A, $G240, NewEmisData!$B:$B, $A240, NewEmisData!$C:$C, $H240, NewEmisData!$D:$D, CV$6)</f>
        <v>6.8039701300534198E-3</v>
      </c>
      <c r="CW240" s="1111">
        <f>SUMIFS(NewEmisData!H:H, NewEmisData!$A:$A, $G240, NewEmisData!$B:$B, $A240, NewEmisData!$C:$C, $H240, NewEmisData!$D:$D, CW$6)</f>
        <v>6.7823537903093098E-3</v>
      </c>
      <c r="CX240" s="1111">
        <f>SUMIFS(NewEmisData!I:I, NewEmisData!$A:$A, $G240, NewEmisData!$B:$B, $A240, NewEmisData!$C:$C, $H240, NewEmisData!$D:$D, CX$6)</f>
        <v>6.7664266882471596E-3</v>
      </c>
      <c r="CY240" s="1111">
        <f>SUMIFS(NewEmisData!J:J, NewEmisData!$A:$A, $G240, NewEmisData!$B:$B, $A240, NewEmisData!$C:$C, $H240, NewEmisData!$D:$D, CY$6)</f>
        <v>6.7587032892351797E-3</v>
      </c>
      <c r="CZ240" s="1111">
        <f>SUMIFS(NewEmisData!K:K, NewEmisData!$A:$A, $G240, NewEmisData!$B:$B, $A240, NewEmisData!$C:$C, $H240, NewEmisData!$D:$D, CZ$6)</f>
        <v>6.7553372449461798E-3</v>
      </c>
      <c r="DA240" s="1111">
        <f>SUMIFS(NewEmisData!L:L, NewEmisData!$A:$A, $G240, NewEmisData!$B:$B, $A240, NewEmisData!$C:$C, $H240, NewEmisData!$D:$D, DA$6)</f>
        <v>6.75420201921096E-3</v>
      </c>
      <c r="DB240" s="1111">
        <f>SUMIFS(NewEmisData!M:M, NewEmisData!$A:$A, $G240, NewEmisData!$B:$B, $A240, NewEmisData!$C:$C, $H240, NewEmisData!$D:$D, DB$6)</f>
        <v>6.7544025642624697E-3</v>
      </c>
      <c r="DC240" s="1111">
        <f t="shared" si="378"/>
        <v>6.7544025642624697E-3</v>
      </c>
      <c r="DD240" s="1111">
        <v>0.39397857160683847</v>
      </c>
      <c r="DE240" s="1111">
        <v>0.22910001041476069</v>
      </c>
      <c r="DF240" s="1111">
        <v>9.3891703000443583E-2</v>
      </c>
      <c r="DG240" s="1111">
        <v>1.7189501227545343E-2</v>
      </c>
      <c r="DH240" s="1111">
        <v>1.6160522719819933E-3</v>
      </c>
      <c r="DI240" s="1111">
        <v>1.6049653935622851E-3</v>
      </c>
      <c r="DJ240" s="1111">
        <v>1.6049983985356002E-3</v>
      </c>
      <c r="DK240" s="1111">
        <v>1.6098230122520154E-3</v>
      </c>
      <c r="DL240" s="1111">
        <v>1.6179747100716357E-3</v>
      </c>
      <c r="DM240" s="1111">
        <v>1.6245560853542357E-3</v>
      </c>
      <c r="DN240" s="1111">
        <v>1.6245560853542357E-3</v>
      </c>
      <c r="DO240" s="1111">
        <v>0.2153272217366988</v>
      </c>
      <c r="DP240" s="1111">
        <v>0.14953249017733392</v>
      </c>
      <c r="DQ240" s="1111">
        <v>6.7441600946284805E-2</v>
      </c>
      <c r="DR240" s="1111">
        <v>1.3565246309733816E-2</v>
      </c>
      <c r="DS240" s="1111">
        <v>2.8097295233125079E-3</v>
      </c>
      <c r="DT240" s="1111">
        <v>2.7904533416799396E-3</v>
      </c>
      <c r="DU240" s="1111">
        <v>2.7905106381460811E-3</v>
      </c>
      <c r="DV240" s="1111">
        <v>2.798898953096617E-3</v>
      </c>
      <c r="DW240" s="1111">
        <v>2.8130718384443347E-3</v>
      </c>
      <c r="DX240" s="1111">
        <v>2.824514428110457E-3</v>
      </c>
      <c r="DY240" s="1111">
        <v>2.824514428110457E-3</v>
      </c>
      <c r="DZ240" s="1111">
        <f t="shared" si="379"/>
        <v>2.0740750969478802E-2</v>
      </c>
      <c r="EA240" s="1111">
        <f>SUMIFS(NewEmisData!E:E, NewEmisData!$A:$A, $G240, NewEmisData!$B:$B, $A240, NewEmisData!$C:$C, $H240, NewEmisData!$D:$D, EA$6)</f>
        <v>2.0740750969478802E-2</v>
      </c>
      <c r="EB240" s="1111">
        <f>SUMIFS(NewEmisData!F:F, NewEmisData!$A:$A, $G240, NewEmisData!$B:$B, $A240, NewEmisData!$C:$C, $H240, NewEmisData!$D:$D, EB$6)</f>
        <v>7.9476630685157604E-2</v>
      </c>
      <c r="EC240" s="1111">
        <f>SUMIFS(NewEmisData!G:G, NewEmisData!$A:$A, $G240, NewEmisData!$B:$B, $A240, NewEmisData!$C:$C, $H240, NewEmisData!$D:$D, EC$6)</f>
        <v>0.132995121584536</v>
      </c>
      <c r="ED240" s="1111">
        <f>SUMIFS(NewEmisData!H:H, NewEmisData!$A:$A, $G240, NewEmisData!$B:$B, $A240, NewEmisData!$C:$C, $H240, NewEmisData!$D:$D, ED$6)</f>
        <v>0.13480815363144</v>
      </c>
      <c r="EE240" s="1111">
        <f>SUMIFS(NewEmisData!I:I, NewEmisData!$A:$A, $G240, NewEmisData!$B:$B, $A240, NewEmisData!$C:$C, $H240, NewEmisData!$D:$D, EE$6)</f>
        <v>0.13505884947628399</v>
      </c>
      <c r="EF240" s="1111">
        <f>SUMIFS(NewEmisData!J:J, NewEmisData!$A:$A, $G240, NewEmisData!$B:$B, $A240, NewEmisData!$C:$C, $H240, NewEmisData!$D:$D, EF$6)</f>
        <v>0.13476923534058399</v>
      </c>
      <c r="EG240" s="1111">
        <f>SUMIFS(NewEmisData!K:K, NewEmisData!$A:$A, $G240, NewEmisData!$B:$B, $A240, NewEmisData!$C:$C, $H240, NewEmisData!$D:$D, EG$6)</f>
        <v>0.13483063017123001</v>
      </c>
      <c r="EH240" s="1111">
        <f>SUMIFS(NewEmisData!L:L, NewEmisData!$A:$A, $G240, NewEmisData!$B:$B, $A240, NewEmisData!$C:$C, $H240, NewEmisData!$D:$D, EH$6)</f>
        <v>0.13476298539555601</v>
      </c>
      <c r="EI240" s="1111">
        <f>SUMIFS(NewEmisData!M:M, NewEmisData!$A:$A, $G240, NewEmisData!$B:$B, $A240, NewEmisData!$C:$C, $H240, NewEmisData!$D:$D, EI$6)</f>
        <v>0.134758213223449</v>
      </c>
      <c r="EJ240" s="1111">
        <f t="shared" si="380"/>
        <v>0.134758213223449</v>
      </c>
      <c r="EK240" s="1111">
        <f t="shared" si="381"/>
        <v>1482.5754764799101</v>
      </c>
      <c r="EL240" s="1111">
        <f t="shared" si="343"/>
        <v>1482.5754764799101</v>
      </c>
      <c r="EM240" s="1111">
        <f t="shared" si="344"/>
        <v>1635.6442478660899</v>
      </c>
      <c r="EN240" s="1111">
        <f t="shared" si="345"/>
        <v>2107.1372534500802</v>
      </c>
      <c r="EO240" s="1111">
        <f t="shared" si="346"/>
        <v>2071.9319953702902</v>
      </c>
      <c r="EP240" s="1111">
        <f t="shared" si="347"/>
        <v>2048.5012080599699</v>
      </c>
      <c r="EQ240" s="1111">
        <f t="shared" si="348"/>
        <v>2041.23090502932</v>
      </c>
      <c r="ER240" s="1111">
        <f t="shared" si="349"/>
        <v>2038.8712683316101</v>
      </c>
      <c r="ES240" s="1111">
        <f t="shared" si="350"/>
        <v>2037.89380685326</v>
      </c>
      <c r="ET240" s="1111">
        <f t="shared" si="351"/>
        <v>2037.18147825705</v>
      </c>
      <c r="EU240" s="1111">
        <f t="shared" si="352"/>
        <v>2037.18147825705</v>
      </c>
      <c r="EV240" s="1111">
        <f t="shared" si="382"/>
        <v>11.638950039279999</v>
      </c>
      <c r="EW240" s="1111">
        <f t="shared" si="333"/>
        <v>11.638950039279999</v>
      </c>
      <c r="EX240" s="1111">
        <f t="shared" si="334"/>
        <v>6.7839244745049401</v>
      </c>
      <c r="EY240" s="1111">
        <f t="shared" si="335"/>
        <v>4.3925354378646304</v>
      </c>
      <c r="EZ240" s="1111">
        <f t="shared" si="336"/>
        <v>2.6191347420861701</v>
      </c>
      <c r="FA240" s="1111">
        <f t="shared" si="337"/>
        <v>2.06534470659102</v>
      </c>
      <c r="FB240" s="1111">
        <f t="shared" si="338"/>
        <v>1.9514955612034099</v>
      </c>
      <c r="FC240" s="1111">
        <f t="shared" si="339"/>
        <v>1.9247847205619899</v>
      </c>
      <c r="FD240" s="1111">
        <f t="shared" si="340"/>
        <v>1.9239170224512001</v>
      </c>
      <c r="FE240" s="1111">
        <f t="shared" si="341"/>
        <v>1.92345457739672</v>
      </c>
      <c r="FF240" s="1111">
        <f t="shared" si="342"/>
        <v>1.92345457739672</v>
      </c>
      <c r="FG240" s="1111">
        <f t="shared" si="291"/>
        <v>3.6844240816642601E-2</v>
      </c>
      <c r="FH240" s="1111">
        <f t="shared" si="292"/>
        <v>3.6844240816642601E-2</v>
      </c>
      <c r="FI240" s="1111">
        <f t="shared" si="293"/>
        <v>3.9353507212849297E-2</v>
      </c>
      <c r="FJ240" s="1111">
        <f t="shared" si="294"/>
        <v>1.7702463178777099E-2</v>
      </c>
      <c r="FK240" s="1111">
        <f t="shared" si="295"/>
        <v>1.7311059741913899E-2</v>
      </c>
      <c r="FL240" s="1111">
        <f t="shared" si="296"/>
        <v>1.70853991434037E-2</v>
      </c>
      <c r="FM240" s="1111">
        <f t="shared" si="297"/>
        <v>1.70195621794277E-2</v>
      </c>
      <c r="FN240" s="1111">
        <f t="shared" si="298"/>
        <v>1.69983226363635E-2</v>
      </c>
      <c r="FO240" s="1111">
        <f t="shared" si="299"/>
        <v>1.6990168303807101E-2</v>
      </c>
      <c r="FP240" s="1111">
        <f t="shared" si="300"/>
        <v>1.69842326570817E-2</v>
      </c>
      <c r="FQ240" s="1111">
        <f t="shared" si="301"/>
        <v>1.69842326570817E-2</v>
      </c>
      <c r="FR240" s="1111">
        <f t="shared" si="322"/>
        <v>1.2647150782943599</v>
      </c>
      <c r="FS240" s="1111">
        <f t="shared" si="323"/>
        <v>1.2647150782943599</v>
      </c>
      <c r="FT240" s="1111">
        <f t="shared" si="324"/>
        <v>0.82297495230985995</v>
      </c>
      <c r="FU240" s="1111">
        <f t="shared" si="325"/>
        <v>0.78295839522434196</v>
      </c>
      <c r="FV240" s="1111">
        <f t="shared" si="326"/>
        <v>0.68016675260069404</v>
      </c>
      <c r="FW240" s="1111">
        <f t="shared" si="327"/>
        <v>0.64888550894506702</v>
      </c>
      <c r="FX240" s="1111">
        <f t="shared" si="328"/>
        <v>0.64362415371119697</v>
      </c>
      <c r="FY240" s="1111">
        <f t="shared" si="329"/>
        <v>0.64216665150257801</v>
      </c>
      <c r="FZ240" s="1111">
        <f t="shared" si="330"/>
        <v>0.64212477573891902</v>
      </c>
      <c r="GA240" s="1111">
        <f t="shared" si="331"/>
        <v>0.64210952076406802</v>
      </c>
      <c r="GB240" s="1111">
        <f t="shared" si="332"/>
        <v>0.64210952076406802</v>
      </c>
      <c r="GC240" s="1111">
        <f t="shared" si="353"/>
        <v>0.85268225231092398</v>
      </c>
      <c r="GD240" s="1111">
        <f t="shared" si="354"/>
        <v>0.85268225231092398</v>
      </c>
      <c r="GE240" s="1111">
        <f t="shared" si="355"/>
        <v>0.44197863249122399</v>
      </c>
      <c r="GF240" s="1111">
        <f t="shared" si="356"/>
        <v>0.24083520219764601</v>
      </c>
      <c r="GG240" s="1111">
        <f t="shared" si="357"/>
        <v>0.148362414161788</v>
      </c>
      <c r="GH240" s="1111">
        <f t="shared" si="358"/>
        <v>0.11982020029779999</v>
      </c>
      <c r="GI240" s="1111">
        <f t="shared" si="359"/>
        <v>0.115075397080156</v>
      </c>
      <c r="GJ240" s="1111">
        <f t="shared" si="360"/>
        <v>0.113741063740516</v>
      </c>
      <c r="GK240" s="1111">
        <f t="shared" si="361"/>
        <v>0.113717400839903</v>
      </c>
      <c r="GL240" s="1111">
        <f t="shared" si="362"/>
        <v>0.11370438522677</v>
      </c>
      <c r="GM240" s="1111">
        <f t="shared" si="363"/>
        <v>0.11370438522677</v>
      </c>
    </row>
    <row r="241" spans="1:195" x14ac:dyDescent="0.2">
      <c r="A241" s="1071" t="s">
        <v>184</v>
      </c>
      <c r="B241" s="1071" t="str">
        <f>Technologies!C146</f>
        <v>THSDSLC</v>
      </c>
      <c r="C241" s="1071" t="str">
        <f>Technologies!D146</f>
        <v>Heavy Truck, Short Haul, Conv. Diesel</v>
      </c>
      <c r="D241" s="1071" t="str">
        <f>NewTech!D99</f>
        <v>bn-vmt, bn-vmt/a</v>
      </c>
      <c r="E241" s="1071" t="str">
        <f>Commodities!C$44</f>
        <v>THDSL</v>
      </c>
      <c r="F241" s="1071" t="s">
        <v>98</v>
      </c>
      <c r="G241" s="1110" t="s">
        <v>505</v>
      </c>
      <c r="H241" s="1110" t="s">
        <v>499</v>
      </c>
      <c r="I241" s="1112">
        <v>1</v>
      </c>
      <c r="J241" s="1111" t="str">
        <f t="shared" si="302"/>
        <v>Heavy duty short haul truck-DSL</v>
      </c>
      <c r="K241" s="1111">
        <f>SUMIFS(NewEmisData!E:E, NewEmisData!$A:$A, $G241, NewEmisData!$B:$B, $A241, NewEmisData!$C:$C, $H241, NewEmisData!$D:$D, K$6)</f>
        <v>1319.49151917881</v>
      </c>
      <c r="L241" s="1111">
        <f>SUMIFS(NewEmisData!F:F, NewEmisData!$A:$A, $G241, NewEmisData!$B:$B, $A241, NewEmisData!$C:$C, $H241, NewEmisData!$D:$D, L$6)</f>
        <v>1464.7581509516101</v>
      </c>
      <c r="M241" s="1111">
        <f>SUMIFS(NewEmisData!G:G, NewEmisData!$A:$A, $G241, NewEmisData!$B:$B, $A241, NewEmisData!$C:$C, $H241, NewEmisData!$D:$D, M$6)</f>
        <v>1799.86335243286</v>
      </c>
      <c r="N241" s="1111">
        <f>SUMIFS(NewEmisData!H:H, NewEmisData!$A:$A, $G241, NewEmisData!$B:$B, $A241, NewEmisData!$C:$C, $H241, NewEmisData!$D:$D, N$6)</f>
        <v>1770.55999347335</v>
      </c>
      <c r="O241" s="1111">
        <f>SUMIFS(NewEmisData!I:I, NewEmisData!$A:$A, $G241, NewEmisData!$B:$B, $A241, NewEmisData!$C:$C, $H241, NewEmisData!$D:$D, O$6)</f>
        <v>1751.5422550708799</v>
      </c>
      <c r="P241" s="1111">
        <f>SUMIFS(NewEmisData!J:J, NewEmisData!$A:$A, $G241, NewEmisData!$B:$B, $A241, NewEmisData!$C:$C, $H241, NewEmisData!$D:$D, P$6)</f>
        <v>1745.6010707511</v>
      </c>
      <c r="Q241" s="1111">
        <f>SUMIFS(NewEmisData!K:K, NewEmisData!$A:$A, $G241, NewEmisData!$B:$B, $A241, NewEmisData!$C:$C, $H241, NewEmisData!$D:$D, Q$6)</f>
        <v>1743.5885799002001</v>
      </c>
      <c r="R241" s="1111">
        <f>SUMIFS(NewEmisData!L:L, NewEmisData!$A:$A, $G241, NewEmisData!$B:$B, $A241, NewEmisData!$C:$C, $H241, NewEmisData!$D:$D, R$6)</f>
        <v>1742.6485789820999</v>
      </c>
      <c r="S241" s="1111">
        <f>SUMIFS(NewEmisData!M:M, NewEmisData!$A:$A, $G241, NewEmisData!$B:$B, $A241, NewEmisData!$C:$C, $H241, NewEmisData!$D:$D, S$6)</f>
        <v>1741.9127550599401</v>
      </c>
      <c r="T241" s="1111">
        <f t="shared" si="364"/>
        <v>1741.9127550599401</v>
      </c>
      <c r="U241" s="1111">
        <f>SUMIFS(NewEmisData!E:E, NewEmisData!$A:$A, $G241, NewEmisData!$B:$B, $A241, NewEmisData!$C:$C, $H241, NewEmisData!$D:$D, U$6)</f>
        <v>10.6053442608649</v>
      </c>
      <c r="V241" s="1111">
        <f>SUMIFS(NewEmisData!F:F, NewEmisData!$A:$A, $G241, NewEmisData!$B:$B, $A241, NewEmisData!$C:$C, $H241, NewEmisData!$D:$D, V$6)</f>
        <v>6.5449635614234403</v>
      </c>
      <c r="W241" s="1111">
        <f>SUMIFS(NewEmisData!G:G, NewEmisData!$A:$A, $G241, NewEmisData!$B:$B, $A241, NewEmisData!$C:$C, $H241, NewEmisData!$D:$D, W$6)</f>
        <v>3.6787180180936701</v>
      </c>
      <c r="X241" s="1111">
        <f>SUMIFS(NewEmisData!H:H, NewEmisData!$A:$A, $G241, NewEmisData!$B:$B, $A241, NewEmisData!$C:$C, $H241, NewEmisData!$D:$D, X$6)</f>
        <v>2.2004570236663401</v>
      </c>
      <c r="Y241" s="1111">
        <f>SUMIFS(NewEmisData!I:I, NewEmisData!$A:$A, $G241, NewEmisData!$B:$B, $A241, NewEmisData!$C:$C, $H241, NewEmisData!$D:$D, Y$6)</f>
        <v>1.7396673866677801</v>
      </c>
      <c r="Z241" s="1111">
        <f>SUMIFS(NewEmisData!J:J, NewEmisData!$A:$A, $G241, NewEmisData!$B:$B, $A241, NewEmisData!$C:$C, $H241, NewEmisData!$D:$D, Z$6)</f>
        <v>1.64503462199088</v>
      </c>
      <c r="AA241" s="1111">
        <f>SUMIFS(NewEmisData!K:K, NewEmisData!$A:$A, $G241, NewEmisData!$B:$B, $A241, NewEmisData!$C:$C, $H241, NewEmisData!$D:$D, AA$6)</f>
        <v>1.62266726199586</v>
      </c>
      <c r="AB241" s="1111">
        <f>SUMIFS(NewEmisData!L:L, NewEmisData!$A:$A, $G241, NewEmisData!$B:$B, $A241, NewEmisData!$C:$C, $H241, NewEmisData!$D:$D, AB$6)</f>
        <v>1.62186968240176</v>
      </c>
      <c r="AC241" s="1111">
        <f>SUMIFS(NewEmisData!M:M, NewEmisData!$A:$A, $G241, NewEmisData!$B:$B, $A241, NewEmisData!$C:$C, $H241, NewEmisData!$D:$D, AC$6)</f>
        <v>1.62139928384052</v>
      </c>
      <c r="AD241" s="1111">
        <f t="shared" si="321"/>
        <v>1.62139928384052</v>
      </c>
      <c r="AE241" s="1111">
        <f t="shared" si="365"/>
        <v>3.2753858750071897E-2</v>
      </c>
      <c r="AF241" s="1111">
        <f>SUMIFS(NewEmisData!E:E, NewEmisData!$A:$A, $G241, NewEmisData!$B:$B, $A241, NewEmisData!$C:$C, $H241, NewEmisData!$D:$D, AF$6)</f>
        <v>3.2753858750071897E-2</v>
      </c>
      <c r="AG241" s="1111">
        <f>SUMIFS(NewEmisData!F:F, NewEmisData!$A:$A, $G241, NewEmisData!$B:$B, $A241, NewEmisData!$C:$C, $H241, NewEmisData!$D:$D, AG$6)</f>
        <v>3.5451037141744003E-2</v>
      </c>
      <c r="AH241" s="1111">
        <f>SUMIFS(NewEmisData!G:G, NewEmisData!$A:$A, $G241, NewEmisData!$B:$B, $A241, NewEmisData!$C:$C, $H241, NewEmisData!$D:$D, AH$6)</f>
        <v>1.5119273460284501E-2</v>
      </c>
      <c r="AI241" s="1111">
        <f>SUMIFS(NewEmisData!H:H, NewEmisData!$A:$A, $G241, NewEmisData!$B:$B, $A241, NewEmisData!$C:$C, $H241, NewEmisData!$D:$D, AI$6)</f>
        <v>1.47924708148466E-2</v>
      </c>
      <c r="AJ241" s="1111">
        <f>SUMIFS(NewEmisData!I:I, NewEmisData!$A:$A, $G241, NewEmisData!$B:$B, $A241, NewEmisData!$C:$C, $H241, NewEmisData!$D:$D, AJ$6)</f>
        <v>1.4608534822893701E-2</v>
      </c>
      <c r="AK241" s="1111">
        <f>SUMIFS(NewEmisData!J:J, NewEmisData!$A:$A, $G241, NewEmisData!$B:$B, $A241, NewEmisData!$C:$C, $H241, NewEmisData!$D:$D, AK$6)</f>
        <v>1.45546061834944E-2</v>
      </c>
      <c r="AL241" s="1111">
        <f>SUMIFS(NewEmisData!K:K, NewEmisData!$A:$A, $G241, NewEmisData!$B:$B, $A241, NewEmisData!$C:$C, $H241, NewEmisData!$D:$D, AL$6)</f>
        <v>1.4536510442551E-2</v>
      </c>
      <c r="AM241" s="1111">
        <f>SUMIFS(NewEmisData!L:L, NewEmisData!$A:$A, $G241, NewEmisData!$B:$B, $A241, NewEmisData!$C:$C, $H241, NewEmisData!$D:$D, AM$6)</f>
        <v>1.4528668182896999E-2</v>
      </c>
      <c r="AN241" s="1111">
        <f>SUMIFS(NewEmisData!M:M, NewEmisData!$A:$A, $G241, NewEmisData!$B:$B, $A241, NewEmisData!$C:$C, $H241, NewEmisData!$D:$D, AN$6)</f>
        <v>1.45225405658348E-2</v>
      </c>
      <c r="AO241" s="1111">
        <f t="shared" si="366"/>
        <v>1.45225405658348E-2</v>
      </c>
      <c r="AP241" s="1111">
        <f t="shared" si="367"/>
        <v>1.04983400982203</v>
      </c>
      <c r="AQ241" s="1111">
        <f>SUMIFS(NewEmisData!E:E, NewEmisData!$A:$A, $G241, NewEmisData!$B:$B, $A241, NewEmisData!$C:$C, $H241, NewEmisData!$D:$D, AQ$6)</f>
        <v>1.04983400982203</v>
      </c>
      <c r="AR241" s="1111">
        <f>SUMIFS(NewEmisData!F:F, NewEmisData!$A:$A, $G241, NewEmisData!$B:$B, $A241, NewEmisData!$C:$C, $H241, NewEmisData!$D:$D, AR$6)</f>
        <v>0.72832653653898105</v>
      </c>
      <c r="AS241" s="1111">
        <f>SUMIFS(NewEmisData!G:G, NewEmisData!$A:$A, $G241, NewEmisData!$B:$B, $A241, NewEmisData!$C:$C, $H241, NewEmisData!$D:$D, AS$6)</f>
        <v>0.58427614618818202</v>
      </c>
      <c r="AT241" s="1111">
        <f>SUMIFS(NewEmisData!H:H, NewEmisData!$A:$A, $G241, NewEmisData!$B:$B, $A241, NewEmisData!$C:$C, $H241, NewEmisData!$D:$D, AT$6)</f>
        <v>0.50134292856914997</v>
      </c>
      <c r="AU241" s="1111">
        <f>SUMIFS(NewEmisData!I:I, NewEmisData!$A:$A, $G241, NewEmisData!$B:$B, $A241, NewEmisData!$C:$C, $H241, NewEmisData!$D:$D, AU$6)</f>
        <v>0.47618546496589997</v>
      </c>
      <c r="AV241" s="1111">
        <f>SUMIFS(NewEmisData!J:J, NewEmisData!$A:$A, $G241, NewEmisData!$B:$B, $A241, NewEmisData!$C:$C, $H241, NewEmisData!$D:$D, AV$6)</f>
        <v>0.47190149656039998</v>
      </c>
      <c r="AW241" s="1111">
        <f>SUMIFS(NewEmisData!K:K, NewEmisData!$A:$A, $G241, NewEmisData!$B:$B, $A241, NewEmisData!$C:$C, $H241, NewEmisData!$D:$D, AW$6)</f>
        <v>0.47071689819165202</v>
      </c>
      <c r="AX241" s="1111">
        <f>SUMIFS(NewEmisData!L:L, NewEmisData!$A:$A, $G241, NewEmisData!$B:$B, $A241, NewEmisData!$C:$C, $H241, NewEmisData!$D:$D, AX$6)</f>
        <v>0.47069343749269799</v>
      </c>
      <c r="AY241" s="1111">
        <f>SUMIFS(NewEmisData!M:M, NewEmisData!$A:$A, $G241, NewEmisData!$B:$B, $A241, NewEmisData!$C:$C, $H241, NewEmisData!$D:$D, AY$6)</f>
        <v>0.47069114341764501</v>
      </c>
      <c r="AZ241" s="1111">
        <f t="shared" si="368"/>
        <v>0.47069114341764501</v>
      </c>
      <c r="BA241" s="1111">
        <f t="shared" si="369"/>
        <v>0.72578410583292197</v>
      </c>
      <c r="BB241" s="1111">
        <f>SUMIFS(NewEmisData!E:E, NewEmisData!$A:$A, $G241, NewEmisData!$B:$B, $A241, NewEmisData!$C:$C, $H241, NewEmisData!$D:$D, BB$6)</f>
        <v>0.72578410583292197</v>
      </c>
      <c r="BC241" s="1111">
        <f>SUMIFS(NewEmisData!F:F, NewEmisData!$A:$A, $G241, NewEmisData!$B:$B, $A241, NewEmisData!$C:$C, $H241, NewEmisData!$D:$D, BC$6)</f>
        <v>0.42763209762876098</v>
      </c>
      <c r="BD241" s="1111">
        <f>SUMIFS(NewEmisData!G:G, NewEmisData!$A:$A, $G241, NewEmisData!$B:$B, $A241, NewEmisData!$C:$C, $H241, NewEmisData!$D:$D, BD$6)</f>
        <v>0.18944103926397299</v>
      </c>
      <c r="BE241" s="1111">
        <f>SUMIFS(NewEmisData!H:H, NewEmisData!$A:$A, $G241, NewEmisData!$B:$B, $A241, NewEmisData!$C:$C, $H241, NewEmisData!$D:$D, BE$6)</f>
        <v>0.114666499637313</v>
      </c>
      <c r="BF241" s="1111">
        <f>SUMIFS(NewEmisData!I:I, NewEmisData!$A:$A, $G241, NewEmisData!$B:$B, $A241, NewEmisData!$C:$C, $H241, NewEmisData!$D:$D, BF$6)</f>
        <v>9.1724132402913702E-2</v>
      </c>
      <c r="BG241" s="1111">
        <f>SUMIFS(NewEmisData!J:J, NewEmisData!$A:$A, $G241, NewEmisData!$B:$B, $A241, NewEmisData!$C:$C, $H241, NewEmisData!$D:$D, BG$6)</f>
        <v>8.7857141954733695E-2</v>
      </c>
      <c r="BH241" s="1111">
        <f>SUMIFS(NewEmisData!K:K, NewEmisData!$A:$A, $G241, NewEmisData!$B:$B, $A241, NewEmisData!$C:$C, $H241, NewEmisData!$D:$D, BH$6)</f>
        <v>8.6767275626484494E-2</v>
      </c>
      <c r="BI241" s="1111">
        <f>SUMIFS(NewEmisData!L:L, NewEmisData!$A:$A, $G241, NewEmisData!$B:$B, $A241, NewEmisData!$C:$C, $H241, NewEmisData!$D:$D, BI$6)</f>
        <v>8.6748879396040507E-2</v>
      </c>
      <c r="BJ241" s="1111">
        <f>SUMIFS(NewEmisData!M:M, NewEmisData!$A:$A, $G241, NewEmisData!$B:$B, $A241, NewEmisData!$C:$C, $H241, NewEmisData!$D:$D, BJ$6)</f>
        <v>8.67391289437488E-2</v>
      </c>
      <c r="BK241" s="1111">
        <f t="shared" si="370"/>
        <v>8.67391289437488E-2</v>
      </c>
      <c r="BL241" s="1111">
        <f t="shared" si="371"/>
        <v>4.3049508481768202</v>
      </c>
      <c r="BM241" s="1111">
        <f>SUMIFS(NewEmisData!E:E, NewEmisData!$A:$A, $G241, NewEmisData!$B:$B, $A241, NewEmisData!$C:$C, $H241, NewEmisData!$D:$D, BM$6)</f>
        <v>4.3049508481768202</v>
      </c>
      <c r="BN241" s="1111">
        <f>SUMIFS(NewEmisData!F:F, NewEmisData!$A:$A, $G241, NewEmisData!$B:$B, $A241, NewEmisData!$C:$C, $H241, NewEmisData!$D:$D, BN$6)</f>
        <v>2.5543682877581499</v>
      </c>
      <c r="BO241" s="1111">
        <f>SUMIFS(NewEmisData!G:G, NewEmisData!$A:$A, $G241, NewEmisData!$B:$B, $A241, NewEmisData!$C:$C, $H241, NewEmisData!$D:$D, BO$6)</f>
        <v>1.41557635494585</v>
      </c>
      <c r="BP241" s="1111">
        <f>SUMIFS(NewEmisData!H:H, NewEmisData!$A:$A, $G241, NewEmisData!$B:$B, $A241, NewEmisData!$C:$C, $H241, NewEmisData!$D:$D, BP$6)</f>
        <v>0.97239499404962104</v>
      </c>
      <c r="BQ241" s="1111">
        <f>SUMIFS(NewEmisData!I:I, NewEmisData!$A:$A, $G241, NewEmisData!$B:$B, $A241, NewEmisData!$C:$C, $H241, NewEmisData!$D:$D, BQ$6)</f>
        <v>0.83818353775375698</v>
      </c>
      <c r="BR241" s="1111">
        <f>SUMIFS(NewEmisData!J:J, NewEmisData!$A:$A, $G241, NewEmisData!$B:$B, $A241, NewEmisData!$C:$C, $H241, NewEmisData!$D:$D, BR$6)</f>
        <v>0.80843597247967702</v>
      </c>
      <c r="BS241" s="1111">
        <f>SUMIFS(NewEmisData!K:K, NewEmisData!$A:$A, $G241, NewEmisData!$B:$B, $A241, NewEmisData!$C:$C, $H241, NewEmisData!$D:$D, BS$6)</f>
        <v>0.80034145030903103</v>
      </c>
      <c r="BT241" s="1111">
        <f>SUMIFS(NewEmisData!L:L, NewEmisData!$A:$A, $G241, NewEmisData!$B:$B, $A241, NewEmisData!$C:$C, $H241, NewEmisData!$D:$D, BT$6)</f>
        <v>0.79923379896798996</v>
      </c>
      <c r="BU241" s="1111">
        <f>SUMIFS(NewEmisData!M:M, NewEmisData!$A:$A, $G241, NewEmisData!$B:$B, $A241, NewEmisData!$C:$C, $H241, NewEmisData!$D:$D, BU$6)</f>
        <v>0.799086633890294</v>
      </c>
      <c r="BV241" s="1111">
        <f t="shared" si="372"/>
        <v>0.799086633890294</v>
      </c>
      <c r="BW241" s="1111">
        <f t="shared" si="373"/>
        <v>1.2471069760284099</v>
      </c>
      <c r="BX241" s="1111">
        <f>SUMIFS(NewEmisData!E:E, NewEmisData!$A:$A, $G241, NewEmisData!$B:$B, $A241, NewEmisData!$C:$C, $H241, NewEmisData!$D:$D, BX$6)</f>
        <v>1.2471069760284099</v>
      </c>
      <c r="BY241" s="1111">
        <f>SUMIFS(NewEmisData!F:F, NewEmisData!$A:$A, $G241, NewEmisData!$B:$B, $A241, NewEmisData!$C:$C, $H241, NewEmisData!$D:$D, BY$6)</f>
        <v>0.66664518440710496</v>
      </c>
      <c r="BZ241" s="1111">
        <f>SUMIFS(NewEmisData!G:G, NewEmisData!$A:$A, $G241, NewEmisData!$B:$B, $A241, NewEmisData!$C:$C, $H241, NewEmisData!$D:$D, BZ$6)</f>
        <v>0.32007282630831302</v>
      </c>
      <c r="CA241" s="1111">
        <f>SUMIFS(NewEmisData!H:H, NewEmisData!$A:$A, $G241, NewEmisData!$B:$B, $A241, NewEmisData!$C:$C, $H241, NewEmisData!$D:$D, CA$6)</f>
        <v>0.176542353194966</v>
      </c>
      <c r="CB241" s="1111">
        <f>SUMIFS(NewEmisData!I:I, NewEmisData!$A:$A, $G241, NewEmisData!$B:$B, $A241, NewEmisData!$C:$C, $H241, NewEmisData!$D:$D, CB$6)</f>
        <v>0.132926153663285</v>
      </c>
      <c r="CC241" s="1111">
        <f>SUMIFS(NewEmisData!J:J, NewEmisData!$A:$A, $G241, NewEmisData!$B:$B, $A241, NewEmisData!$C:$C, $H241, NewEmisData!$D:$D, CC$6)</f>
        <v>0.12423141693730599</v>
      </c>
      <c r="CD241" s="1111">
        <f>SUMIFS(NewEmisData!K:K, NewEmisData!$A:$A, $G241, NewEmisData!$B:$B, $A241, NewEmisData!$C:$C, $H241, NewEmisData!$D:$D, CD$6)</f>
        <v>0.121871982031799</v>
      </c>
      <c r="CE241" s="1111">
        <f>SUMIFS(NewEmisData!L:L, NewEmisData!$A:$A, $G241, NewEmisData!$B:$B, $A241, NewEmisData!$C:$C, $H241, NewEmisData!$D:$D, CE$6)</f>
        <v>0.121809764298298</v>
      </c>
      <c r="CF241" s="1111">
        <f>SUMIFS(NewEmisData!M:M, NewEmisData!$A:$A, $G241, NewEmisData!$B:$B, $A241, NewEmisData!$C:$C, $H241, NewEmisData!$D:$D, CF$6)</f>
        <v>0.121789215464539</v>
      </c>
      <c r="CG241" s="1111">
        <f t="shared" si="374"/>
        <v>0.121789215464539</v>
      </c>
      <c r="CH241" s="1111">
        <f t="shared" si="375"/>
        <v>2.61956847346188E-2</v>
      </c>
      <c r="CI241" s="1111">
        <f>SUMIFS(NewEmisData!E:E, NewEmisData!$A:$A, $G241, NewEmisData!$B:$B, $A241, NewEmisData!$C:$C, $H241, NewEmisData!$D:$D, CI$6)</f>
        <v>2.61956847346188E-2</v>
      </c>
      <c r="CJ241" s="1111">
        <f>SUMIFS(NewEmisData!F:F, NewEmisData!$A:$A, $G241, NewEmisData!$B:$B, $A241, NewEmisData!$C:$C, $H241, NewEmisData!$D:$D, CJ$6)</f>
        <v>2.6459582282205199E-2</v>
      </c>
      <c r="CK241" s="1111">
        <f>SUMIFS(NewEmisData!G:G, NewEmisData!$A:$A, $G241, NewEmisData!$B:$B, $A241, NewEmisData!$C:$C, $H241, NewEmisData!$D:$D, CK$6)</f>
        <v>3.3469493870709799E-2</v>
      </c>
      <c r="CL241" s="1111">
        <f>SUMIFS(NewEmisData!H:H, NewEmisData!$A:$A, $G241, NewEmisData!$B:$B, $A241, NewEmisData!$C:$C, $H241, NewEmisData!$D:$D, CL$6)</f>
        <v>3.3485441021182498E-2</v>
      </c>
      <c r="CM241" s="1111">
        <f>SUMIFS(NewEmisData!I:I, NewEmisData!$A:$A, $G241, NewEmisData!$B:$B, $A241, NewEmisData!$C:$C, $H241, NewEmisData!$D:$D, CM$6)</f>
        <v>3.3493620207947897E-2</v>
      </c>
      <c r="CN241" s="1111">
        <f>SUMIFS(NewEmisData!J:J, NewEmisData!$A:$A, $G241, NewEmisData!$B:$B, $A241, NewEmisData!$C:$C, $H241, NewEmisData!$D:$D, CN$6)</f>
        <v>3.3495964958687903E-2</v>
      </c>
      <c r="CO241" s="1111">
        <f>SUMIFS(NewEmisData!K:K, NewEmisData!$A:$A, $G241, NewEmisData!$B:$B, $A241, NewEmisData!$C:$C, $H241, NewEmisData!$D:$D, CO$6)</f>
        <v>3.3495912000105203E-2</v>
      </c>
      <c r="CP241" s="1111">
        <f>SUMIFS(NewEmisData!L:L, NewEmisData!$A:$A, $G241, NewEmisData!$B:$B, $A241, NewEmisData!$C:$C, $H241, NewEmisData!$D:$D, CP$6)</f>
        <v>3.3495078771151397E-2</v>
      </c>
      <c r="CQ241" s="1111">
        <f>SUMIFS(NewEmisData!M:M, NewEmisData!$A:$A, $G241, NewEmisData!$B:$B, $A241, NewEmisData!$C:$C, $H241, NewEmisData!$D:$D, CQ$6)</f>
        <v>3.34940363554617E-2</v>
      </c>
      <c r="CR241" s="1111">
        <f t="shared" si="376"/>
        <v>3.34940363554617E-2</v>
      </c>
      <c r="CS241" s="1111">
        <f t="shared" si="377"/>
        <v>3.5917736289565799E-3</v>
      </c>
      <c r="CT241" s="1111">
        <f>SUMIFS(NewEmisData!E:E, NewEmisData!$A:$A, $G241, NewEmisData!$B:$B, $A241, NewEmisData!$C:$C, $H241, NewEmisData!$D:$D, CT$6)</f>
        <v>3.5917736289565799E-3</v>
      </c>
      <c r="CU241" s="1111">
        <f>SUMIFS(NewEmisData!F:F, NewEmisData!$A:$A, $G241, NewEmisData!$B:$B, $A241, NewEmisData!$C:$C, $H241, NewEmisData!$D:$D, CU$6)</f>
        <v>3.6091903831295602E-3</v>
      </c>
      <c r="CV241" s="1111">
        <f>SUMIFS(NewEmisData!G:G, NewEmisData!$A:$A, $G241, NewEmisData!$B:$B, $A241, NewEmisData!$C:$C, $H241, NewEmisData!$D:$D, CV$6)</f>
        <v>5.2505206053814202E-3</v>
      </c>
      <c r="CW241" s="1111">
        <f>SUMIFS(NewEmisData!H:H, NewEmisData!$A:$A, $G241, NewEmisData!$B:$B, $A241, NewEmisData!$C:$C, $H241, NewEmisData!$D:$D, CW$6)</f>
        <v>5.2355362521004402E-3</v>
      </c>
      <c r="CX241" s="1111">
        <f>SUMIFS(NewEmisData!I:I, NewEmisData!$A:$A, $G241, NewEmisData!$B:$B, $A241, NewEmisData!$C:$C, $H241, NewEmisData!$D:$D, CX$6)</f>
        <v>5.2243063278227799E-3</v>
      </c>
      <c r="CY241" s="1111">
        <f>SUMIFS(NewEmisData!J:J, NewEmisData!$A:$A, $G241, NewEmisData!$B:$B, $A241, NewEmisData!$C:$C, $H241, NewEmisData!$D:$D, CY$6)</f>
        <v>5.2188288195051304E-3</v>
      </c>
      <c r="CZ241" s="1111">
        <f>SUMIFS(NewEmisData!K:K, NewEmisData!$A:$A, $G241, NewEmisData!$B:$B, $A241, NewEmisData!$C:$C, $H241, NewEmisData!$D:$D, CZ$6)</f>
        <v>5.2164145073888097E-3</v>
      </c>
      <c r="DA241" s="1111">
        <f>SUMIFS(NewEmisData!L:L, NewEmisData!$A:$A, $G241, NewEmisData!$B:$B, $A241, NewEmisData!$C:$C, $H241, NewEmisData!$D:$D, DA$6)</f>
        <v>5.2155948103937101E-3</v>
      </c>
      <c r="DB241" s="1111">
        <f>SUMIFS(NewEmisData!M:M, NewEmisData!$A:$A, $G241, NewEmisData!$B:$B, $A241, NewEmisData!$C:$C, $H241, NewEmisData!$D:$D, DB$6)</f>
        <v>5.2157496356988403E-3</v>
      </c>
      <c r="DC241" s="1111">
        <f t="shared" si="378"/>
        <v>5.2157496356988403E-3</v>
      </c>
      <c r="DD241" s="1111"/>
      <c r="DE241" s="1111"/>
      <c r="DF241" s="1111"/>
      <c r="DG241" s="1111"/>
      <c r="DH241" s="1111"/>
      <c r="DI241" s="1111"/>
      <c r="DJ241" s="1111"/>
      <c r="DK241" s="1111"/>
      <c r="DL241" s="1111"/>
      <c r="DM241" s="1111"/>
      <c r="DN241" s="1111"/>
      <c r="DO241" s="1111"/>
      <c r="DP241" s="1111"/>
      <c r="DQ241" s="1111"/>
      <c r="DR241" s="1111"/>
      <c r="DS241" s="1111"/>
      <c r="DT241" s="1111"/>
      <c r="DU241" s="1111"/>
      <c r="DV241" s="1111"/>
      <c r="DW241" s="1111"/>
      <c r="DX241" s="1111"/>
      <c r="DY241" s="1111"/>
      <c r="DZ241" s="1111">
        <f t="shared" si="379"/>
        <v>1.80110275159466E-2</v>
      </c>
      <c r="EA241" s="1111">
        <f>SUMIFS(NewEmisData!E:E, NewEmisData!$A:$A, $G241, NewEmisData!$B:$B, $A241, NewEmisData!$C:$C, $H241, NewEmisData!$D:$D, EA$6)</f>
        <v>1.80110275159466E-2</v>
      </c>
      <c r="EB241" s="1111">
        <f>SUMIFS(NewEmisData!F:F, NewEmisData!$A:$A, $G241, NewEmisData!$B:$B, $A241, NewEmisData!$C:$C, $H241, NewEmisData!$D:$D, EB$6)</f>
        <v>5.9415032543044199E-2</v>
      </c>
      <c r="EC241" s="1111">
        <f>SUMIFS(NewEmisData!G:G, NewEmisData!$A:$A, $G241, NewEmisData!$B:$B, $A241, NewEmisData!$C:$C, $H241, NewEmisData!$D:$D, EC$6)</f>
        <v>0.10406778688120299</v>
      </c>
      <c r="ED241" s="1111">
        <f>SUMIFS(NewEmisData!H:H, NewEmisData!$A:$A, $G241, NewEmisData!$B:$B, $A241, NewEmisData!$C:$C, $H241, NewEmisData!$D:$D, ED$6)</f>
        <v>0.105321093135052</v>
      </c>
      <c r="EE241" s="1111">
        <f>SUMIFS(NewEmisData!I:I, NewEmisData!$A:$A, $G241, NewEmisData!$B:$B, $A241, NewEmisData!$C:$C, $H241, NewEmisData!$D:$D, EE$6)</f>
        <v>0.10543994105987201</v>
      </c>
      <c r="EF241" s="1111">
        <f>SUMIFS(NewEmisData!J:J, NewEmisData!$A:$A, $G241, NewEmisData!$B:$B, $A241, NewEmisData!$C:$C, $H241, NewEmisData!$D:$D, EF$6)</f>
        <v>0.105208381907267</v>
      </c>
      <c r="EG241" s="1111">
        <f>SUMIFS(NewEmisData!K:K, NewEmisData!$A:$A, $G241, NewEmisData!$B:$B, $A241, NewEmisData!$C:$C, $H241, NewEmisData!$D:$D, EG$6)</f>
        <v>0.105244034731584</v>
      </c>
      <c r="EH241" s="1111">
        <f>SUMIFS(NewEmisData!L:L, NewEmisData!$A:$A, $G241, NewEmisData!$B:$B, $A241, NewEmisData!$C:$C, $H241, NewEmisData!$D:$D, EH$6)</f>
        <v>0.10519712220805</v>
      </c>
      <c r="EI241" s="1111">
        <f>SUMIFS(NewEmisData!M:M, NewEmisData!$A:$A, $G241, NewEmisData!$B:$B, $A241, NewEmisData!$C:$C, $H241, NewEmisData!$D:$D, EI$6)</f>
        <v>0.105194222004308</v>
      </c>
      <c r="EJ241" s="1111">
        <f t="shared" si="380"/>
        <v>0.105194222004308</v>
      </c>
      <c r="EK241" s="1111">
        <f t="shared" si="381"/>
        <v>1319.49151917881</v>
      </c>
      <c r="EL241" s="1111">
        <f t="shared" si="343"/>
        <v>1319.49151917881</v>
      </c>
      <c r="EM241" s="1111">
        <f t="shared" si="344"/>
        <v>1464.7581509516101</v>
      </c>
      <c r="EN241" s="1111">
        <f t="shared" si="345"/>
        <v>1799.86335243286</v>
      </c>
      <c r="EO241" s="1111">
        <f t="shared" si="346"/>
        <v>1770.55999347335</v>
      </c>
      <c r="EP241" s="1111">
        <f t="shared" si="347"/>
        <v>1751.5422550708799</v>
      </c>
      <c r="EQ241" s="1111">
        <f t="shared" si="348"/>
        <v>1745.6010707511</v>
      </c>
      <c r="ER241" s="1111">
        <f t="shared" si="349"/>
        <v>1743.5885799002001</v>
      </c>
      <c r="ES241" s="1111">
        <f t="shared" si="350"/>
        <v>1742.6485789820999</v>
      </c>
      <c r="ET241" s="1111">
        <f t="shared" si="351"/>
        <v>1741.9127550599401</v>
      </c>
      <c r="EU241" s="1111">
        <f t="shared" si="352"/>
        <v>1741.9127550599401</v>
      </c>
      <c r="EV241" s="1111">
        <f t="shared" si="382"/>
        <v>10.6053442608649</v>
      </c>
      <c r="EW241" s="1111">
        <f t="shared" si="333"/>
        <v>10.6053442608649</v>
      </c>
      <c r="EX241" s="1111">
        <f t="shared" si="334"/>
        <v>6.5449635614234403</v>
      </c>
      <c r="EY241" s="1111">
        <f t="shared" si="335"/>
        <v>3.6787180180936701</v>
      </c>
      <c r="EZ241" s="1111">
        <f t="shared" si="336"/>
        <v>2.2004570236663401</v>
      </c>
      <c r="FA241" s="1111">
        <f t="shared" si="337"/>
        <v>1.7396673866677801</v>
      </c>
      <c r="FB241" s="1111">
        <f t="shared" si="338"/>
        <v>1.64503462199088</v>
      </c>
      <c r="FC241" s="1111">
        <f t="shared" si="339"/>
        <v>1.62266726199586</v>
      </c>
      <c r="FD241" s="1111">
        <f t="shared" si="340"/>
        <v>1.62186968240176</v>
      </c>
      <c r="FE241" s="1111">
        <f t="shared" si="341"/>
        <v>1.62139928384052</v>
      </c>
      <c r="FF241" s="1111">
        <f t="shared" si="342"/>
        <v>1.62139928384052</v>
      </c>
      <c r="FG241" s="1111">
        <f t="shared" si="291"/>
        <v>3.2753858750071897E-2</v>
      </c>
      <c r="FH241" s="1111">
        <f t="shared" si="292"/>
        <v>3.2753858750071897E-2</v>
      </c>
      <c r="FI241" s="1111">
        <f t="shared" si="293"/>
        <v>3.5451037141744003E-2</v>
      </c>
      <c r="FJ241" s="1111">
        <f t="shared" si="294"/>
        <v>1.5119273460284501E-2</v>
      </c>
      <c r="FK241" s="1111">
        <f t="shared" si="295"/>
        <v>1.47924708148466E-2</v>
      </c>
      <c r="FL241" s="1111">
        <f t="shared" si="296"/>
        <v>1.4608534822893701E-2</v>
      </c>
      <c r="FM241" s="1111">
        <f t="shared" si="297"/>
        <v>1.45546061834944E-2</v>
      </c>
      <c r="FN241" s="1111">
        <f t="shared" si="298"/>
        <v>1.4536510442551E-2</v>
      </c>
      <c r="FO241" s="1111">
        <f t="shared" si="299"/>
        <v>1.4528668182896999E-2</v>
      </c>
      <c r="FP241" s="1111">
        <f t="shared" si="300"/>
        <v>1.45225405658348E-2</v>
      </c>
      <c r="FQ241" s="1111">
        <f t="shared" si="301"/>
        <v>1.45225405658348E-2</v>
      </c>
      <c r="FR241" s="1111">
        <f t="shared" si="322"/>
        <v>1.04983400982203</v>
      </c>
      <c r="FS241" s="1111">
        <f t="shared" si="323"/>
        <v>1.04983400982203</v>
      </c>
      <c r="FT241" s="1111">
        <f t="shared" si="324"/>
        <v>0.72832653653898105</v>
      </c>
      <c r="FU241" s="1111">
        <f t="shared" si="325"/>
        <v>0.58427614618818202</v>
      </c>
      <c r="FV241" s="1111">
        <f t="shared" si="326"/>
        <v>0.50134292856914997</v>
      </c>
      <c r="FW241" s="1111">
        <f t="shared" si="327"/>
        <v>0.47618546496589997</v>
      </c>
      <c r="FX241" s="1111">
        <f t="shared" si="328"/>
        <v>0.47190149656039998</v>
      </c>
      <c r="FY241" s="1111">
        <f t="shared" si="329"/>
        <v>0.47071689819165202</v>
      </c>
      <c r="FZ241" s="1111">
        <f t="shared" si="330"/>
        <v>0.47069343749269799</v>
      </c>
      <c r="GA241" s="1111">
        <f t="shared" si="331"/>
        <v>0.47069114341764501</v>
      </c>
      <c r="GB241" s="1111">
        <f t="shared" si="332"/>
        <v>0.47069114341764501</v>
      </c>
      <c r="GC241" s="1111">
        <f t="shared" si="353"/>
        <v>0.72578410583292197</v>
      </c>
      <c r="GD241" s="1111">
        <f t="shared" si="354"/>
        <v>0.72578410583292197</v>
      </c>
      <c r="GE241" s="1111">
        <f t="shared" si="355"/>
        <v>0.42763209762876098</v>
      </c>
      <c r="GF241" s="1111">
        <f t="shared" si="356"/>
        <v>0.18944103926397299</v>
      </c>
      <c r="GG241" s="1111">
        <f t="shared" si="357"/>
        <v>0.114666499637313</v>
      </c>
      <c r="GH241" s="1111">
        <f t="shared" si="358"/>
        <v>9.1724132402913702E-2</v>
      </c>
      <c r="GI241" s="1111">
        <f t="shared" si="359"/>
        <v>8.7857141954733695E-2</v>
      </c>
      <c r="GJ241" s="1111">
        <f t="shared" si="360"/>
        <v>8.6767275626484494E-2</v>
      </c>
      <c r="GK241" s="1111">
        <f t="shared" si="361"/>
        <v>8.6748879396040507E-2</v>
      </c>
      <c r="GL241" s="1111">
        <f t="shared" si="362"/>
        <v>8.67391289437488E-2</v>
      </c>
      <c r="GM241" s="1111">
        <f t="shared" si="363"/>
        <v>8.67391289437488E-2</v>
      </c>
    </row>
    <row r="242" spans="1:195" x14ac:dyDescent="0.2">
      <c r="A242" s="1071" t="s">
        <v>186</v>
      </c>
      <c r="B242" s="1071" t="str">
        <f>Technologies!C146</f>
        <v>THSDSLC</v>
      </c>
      <c r="C242" s="1071" t="str">
        <f>Technologies!D146</f>
        <v>Heavy Truck, Short Haul, Conv. Diesel</v>
      </c>
      <c r="D242" s="1071" t="str">
        <f>NewTech!D99</f>
        <v>bn-vmt, bn-vmt/a</v>
      </c>
      <c r="E242" s="1071" t="str">
        <f>Commodities!C$44</f>
        <v>THDSL</v>
      </c>
      <c r="F242" s="1071" t="s">
        <v>98</v>
      </c>
      <c r="G242" s="1110" t="s">
        <v>505</v>
      </c>
      <c r="H242" s="1110" t="s">
        <v>499</v>
      </c>
      <c r="I242" s="1112">
        <v>1</v>
      </c>
      <c r="J242" s="1111" t="str">
        <f t="shared" si="302"/>
        <v>Heavy duty short haul truck-DSL</v>
      </c>
      <c r="K242" s="1111">
        <f>SUMIFS(NewEmisData!E:E, NewEmisData!$A:$A, $G242, NewEmisData!$B:$B, $A242, NewEmisData!$C:$C, $H242, NewEmisData!$D:$D, K$6)</f>
        <v>1965.3480196129899</v>
      </c>
      <c r="L242" s="1111">
        <f>SUMIFS(NewEmisData!F:F, NewEmisData!$A:$A, $G242, NewEmisData!$B:$B, $A242, NewEmisData!$C:$C, $H242, NewEmisData!$D:$D, L$6)</f>
        <v>2010.3216718511901</v>
      </c>
      <c r="M242" s="1111">
        <f>SUMIFS(NewEmisData!G:G, NewEmisData!$A:$A, $G242, NewEmisData!$B:$B, $A242, NewEmisData!$C:$C, $H242, NewEmisData!$D:$D, M$6)</f>
        <v>2090.4906656609201</v>
      </c>
      <c r="N242" s="1111">
        <f>SUMIFS(NewEmisData!H:H, NewEmisData!$A:$A, $G242, NewEmisData!$B:$B, $A242, NewEmisData!$C:$C, $H242, NewEmisData!$D:$D, N$6)</f>
        <v>2053.9539193064902</v>
      </c>
      <c r="O242" s="1111">
        <f>SUMIFS(NewEmisData!I:I, NewEmisData!$A:$A, $G242, NewEmisData!$B:$B, $A242, NewEmisData!$C:$C, $H242, NewEmisData!$D:$D, O$6)</f>
        <v>2027.8421991422999</v>
      </c>
      <c r="P242" s="1111">
        <f>SUMIFS(NewEmisData!J:J, NewEmisData!$A:$A, $G242, NewEmisData!$B:$B, $A242, NewEmisData!$C:$C, $H242, NewEmisData!$D:$D, P$6)</f>
        <v>2019.45150345712</v>
      </c>
      <c r="Q242" s="1111">
        <f>SUMIFS(NewEmisData!K:K, NewEmisData!$A:$A, $G242, NewEmisData!$B:$B, $A242, NewEmisData!$C:$C, $H242, NewEmisData!$D:$D, Q$6)</f>
        <v>2016.54651893857</v>
      </c>
      <c r="R242" s="1111">
        <f>SUMIFS(NewEmisData!L:L, NewEmisData!$A:$A, $G242, NewEmisData!$B:$B, $A242, NewEmisData!$C:$C, $H242, NewEmisData!$D:$D, R$6)</f>
        <v>2015.2058723386001</v>
      </c>
      <c r="S242" s="1111">
        <f>SUMIFS(NewEmisData!M:M, NewEmisData!$A:$A, $G242, NewEmisData!$B:$B, $A242, NewEmisData!$C:$C, $H242, NewEmisData!$D:$D, S$6)</f>
        <v>2014.2294332377901</v>
      </c>
      <c r="T242" s="1111">
        <f t="shared" si="364"/>
        <v>2014.2294332377901</v>
      </c>
      <c r="U242" s="1111">
        <f>SUMIFS(NewEmisData!E:E, NewEmisData!$A:$A, $G242, NewEmisData!$B:$B, $A242, NewEmisData!$C:$C, $H242, NewEmisData!$D:$D, U$6)</f>
        <v>16.5695691882601</v>
      </c>
      <c r="V242" s="1111">
        <f>SUMIFS(NewEmisData!F:F, NewEmisData!$A:$A, $G242, NewEmisData!$B:$B, $A242, NewEmisData!$C:$C, $H242, NewEmisData!$D:$D, V$6)</f>
        <v>10.1915554047669</v>
      </c>
      <c r="W242" s="1111">
        <f>SUMIFS(NewEmisData!G:G, NewEmisData!$A:$A, $G242, NewEmisData!$B:$B, $A242, NewEmisData!$C:$C, $H242, NewEmisData!$D:$D, W$6)</f>
        <v>4.7067883339263101</v>
      </c>
      <c r="X242" s="1111">
        <f>SUMIFS(NewEmisData!H:H, NewEmisData!$A:$A, $G242, NewEmisData!$B:$B, $A242, NewEmisData!$C:$C, $H242, NewEmisData!$D:$D, X$6)</f>
        <v>2.74964441255411</v>
      </c>
      <c r="Y242" s="1111">
        <f>SUMIFS(NewEmisData!I:I, NewEmisData!$A:$A, $G242, NewEmisData!$B:$B, $A242, NewEmisData!$C:$C, $H242, NewEmisData!$D:$D, Y$6)</f>
        <v>2.1250543631144501</v>
      </c>
      <c r="Z242" s="1111">
        <f>SUMIFS(NewEmisData!J:J, NewEmisData!$A:$A, $G242, NewEmisData!$B:$B, $A242, NewEmisData!$C:$C, $H242, NewEmisData!$D:$D, Z$6)</f>
        <v>1.99369533696212</v>
      </c>
      <c r="AA242" s="1111">
        <f>SUMIFS(NewEmisData!K:K, NewEmisData!$A:$A, $G242, NewEmisData!$B:$B, $A242, NewEmisData!$C:$C, $H242, NewEmisData!$D:$D, AA$6)</f>
        <v>1.9596642716443899</v>
      </c>
      <c r="AB242" s="1111">
        <f>SUMIFS(NewEmisData!L:L, NewEmisData!$A:$A, $G242, NewEmisData!$B:$B, $A242, NewEmisData!$C:$C, $H242, NewEmisData!$D:$D, AB$6)</f>
        <v>1.95841045438728</v>
      </c>
      <c r="AC242" s="1111">
        <f>SUMIFS(NewEmisData!M:M, NewEmisData!$A:$A, $G242, NewEmisData!$B:$B, $A242, NewEmisData!$C:$C, $H242, NewEmisData!$D:$D, AC$6)</f>
        <v>1.95772834946656</v>
      </c>
      <c r="AD242" s="1111">
        <f t="shared" si="321"/>
        <v>1.95772834946656</v>
      </c>
      <c r="AE242" s="1111">
        <f t="shared" si="365"/>
        <v>4.8505368718434902E-2</v>
      </c>
      <c r="AF242" s="1111">
        <f>SUMIFS(NewEmisData!E:E, NewEmisData!$A:$A, $G242, NewEmisData!$B:$B, $A242, NewEmisData!$C:$C, $H242, NewEmisData!$D:$D, AF$6)</f>
        <v>4.8505368718434902E-2</v>
      </c>
      <c r="AG242" s="1111">
        <f>SUMIFS(NewEmisData!F:F, NewEmisData!$A:$A, $G242, NewEmisData!$B:$B, $A242, NewEmisData!$C:$C, $H242, NewEmisData!$D:$D, AG$6)</f>
        <v>4.8325981488473099E-2</v>
      </c>
      <c r="AH242" s="1111">
        <f>SUMIFS(NewEmisData!G:G, NewEmisData!$A:$A, $G242, NewEmisData!$B:$B, $A242, NewEmisData!$C:$C, $H242, NewEmisData!$D:$D, AH$6)</f>
        <v>1.7576572280014201E-2</v>
      </c>
      <c r="AI242" s="1111">
        <f>SUMIFS(NewEmisData!H:H, NewEmisData!$A:$A, $G242, NewEmisData!$B:$B, $A242, NewEmisData!$C:$C, $H242, NewEmisData!$D:$D, AI$6)</f>
        <v>1.7166395112910501E-2</v>
      </c>
      <c r="AJ242" s="1111">
        <f>SUMIFS(NewEmisData!I:I, NewEmisData!$A:$A, $G242, NewEmisData!$B:$B, $A242, NewEmisData!$C:$C, $H242, NewEmisData!$D:$D, AJ$6)</f>
        <v>1.6914594935806299E-2</v>
      </c>
      <c r="AK242" s="1111">
        <f>SUMIFS(NewEmisData!J:J, NewEmisData!$A:$A, $G242, NewEmisData!$B:$B, $A242, NewEmisData!$C:$C, $H242, NewEmisData!$D:$D, AK$6)</f>
        <v>1.68383799937354E-2</v>
      </c>
      <c r="AL242" s="1111">
        <f>SUMIFS(NewEmisData!K:K, NewEmisData!$A:$A, $G242, NewEmisData!$B:$B, $A242, NewEmisData!$C:$C, $H242, NewEmisData!$D:$D, AL$6)</f>
        <v>1.6812194631633502E-2</v>
      </c>
      <c r="AM242" s="1111">
        <f>SUMIFS(NewEmisData!L:L, NewEmisData!$A:$A, $G242, NewEmisData!$B:$B, $A242, NewEmisData!$C:$C, $H242, NewEmisData!$D:$D, AM$6)</f>
        <v>1.6801008524208499E-2</v>
      </c>
      <c r="AN242" s="1111">
        <f>SUMIFS(NewEmisData!M:M, NewEmisData!$A:$A, $G242, NewEmisData!$B:$B, $A242, NewEmisData!$C:$C, $H242, NewEmisData!$D:$D, AN$6)</f>
        <v>1.6792875741706501E-2</v>
      </c>
      <c r="AO242" s="1111">
        <f t="shared" si="366"/>
        <v>1.6792875741706501E-2</v>
      </c>
      <c r="AP242" s="1111">
        <f t="shared" si="367"/>
        <v>1.7897176326082</v>
      </c>
      <c r="AQ242" s="1111">
        <f>SUMIFS(NewEmisData!E:E, NewEmisData!$A:$A, $G242, NewEmisData!$B:$B, $A242, NewEmisData!$C:$C, $H242, NewEmisData!$D:$D, AQ$6)</f>
        <v>1.7897176326082</v>
      </c>
      <c r="AR242" s="1111">
        <f>SUMIFS(NewEmisData!F:F, NewEmisData!$A:$A, $G242, NewEmisData!$B:$B, $A242, NewEmisData!$C:$C, $H242, NewEmisData!$D:$D, AR$6)</f>
        <v>1.28184142907446</v>
      </c>
      <c r="AS242" s="1111">
        <f>SUMIFS(NewEmisData!G:G, NewEmisData!$A:$A, $G242, NewEmisData!$B:$B, $A242, NewEmisData!$C:$C, $H242, NewEmisData!$D:$D, AS$6)</f>
        <v>0.80585430140276804</v>
      </c>
      <c r="AT242" s="1111">
        <f>SUMIFS(NewEmisData!H:H, NewEmisData!$A:$A, $G242, NewEmisData!$B:$B, $A242, NewEmisData!$C:$C, $H242, NewEmisData!$D:$D, AT$6)</f>
        <v>0.69183592997618704</v>
      </c>
      <c r="AU242" s="1111">
        <f>SUMIFS(NewEmisData!I:I, NewEmisData!$A:$A, $G242, NewEmisData!$B:$B, $A242, NewEmisData!$C:$C, $H242, NewEmisData!$D:$D, AU$6)</f>
        <v>0.65551295326080194</v>
      </c>
      <c r="AV242" s="1111">
        <f>SUMIFS(NewEmisData!J:J, NewEmisData!$A:$A, $G242, NewEmisData!$B:$B, $A242, NewEmisData!$C:$C, $H242, NewEmisData!$D:$D, AV$6)</f>
        <v>0.64912663136166204</v>
      </c>
      <c r="AW242" s="1111">
        <f>SUMIFS(NewEmisData!K:K, NewEmisData!$A:$A, $G242, NewEmisData!$B:$B, $A242, NewEmisData!$C:$C, $H242, NewEmisData!$D:$D, AW$6)</f>
        <v>0.64721406840414997</v>
      </c>
      <c r="AX242" s="1111">
        <f>SUMIFS(NewEmisData!L:L, NewEmisData!$A:$A, $G242, NewEmisData!$B:$B, $A242, NewEmisData!$C:$C, $H242, NewEmisData!$D:$D, AX$6)</f>
        <v>0.64706992112985595</v>
      </c>
      <c r="AY242" s="1111">
        <f>SUMIFS(NewEmisData!M:M, NewEmisData!$A:$A, $G242, NewEmisData!$B:$B, $A242, NewEmisData!$C:$C, $H242, NewEmisData!$D:$D, AY$6)</f>
        <v>0.64695129381422201</v>
      </c>
      <c r="AZ242" s="1111">
        <f t="shared" si="368"/>
        <v>0.64695129381422201</v>
      </c>
      <c r="BA242" s="1111">
        <f t="shared" si="369"/>
        <v>1.18048167941492</v>
      </c>
      <c r="BB242" s="1111">
        <f>SUMIFS(NewEmisData!E:E, NewEmisData!$A:$A, $G242, NewEmisData!$B:$B, $A242, NewEmisData!$C:$C, $H242, NewEmisData!$D:$D, BB$6)</f>
        <v>1.18048167941492</v>
      </c>
      <c r="BC242" s="1111">
        <f>SUMIFS(NewEmisData!F:F, NewEmisData!$A:$A, $G242, NewEmisData!$B:$B, $A242, NewEmisData!$C:$C, $H242, NewEmisData!$D:$D, BC$6)</f>
        <v>0.70883111477306904</v>
      </c>
      <c r="BD242" s="1111">
        <f>SUMIFS(NewEmisData!G:G, NewEmisData!$A:$A, $G242, NewEmisData!$B:$B, $A242, NewEmisData!$C:$C, $H242, NewEmisData!$D:$D, BD$6)</f>
        <v>0.25820081252871602</v>
      </c>
      <c r="BE242" s="1111">
        <f>SUMIFS(NewEmisData!H:H, NewEmisData!$A:$A, $G242, NewEmisData!$B:$B, $A242, NewEmisData!$C:$C, $H242, NewEmisData!$D:$D, BE$6)</f>
        <v>0.154936314509238</v>
      </c>
      <c r="BF242" s="1111">
        <f>SUMIFS(NewEmisData!I:I, NewEmisData!$A:$A, $G242, NewEmisData!$B:$B, $A242, NewEmisData!$C:$C, $H242, NewEmisData!$D:$D, BF$6)</f>
        <v>0.12145150227391199</v>
      </c>
      <c r="BG242" s="1111">
        <f>SUMIFS(NewEmisData!J:J, NewEmisData!$A:$A, $G242, NewEmisData!$B:$B, $A242, NewEmisData!$C:$C, $H242, NewEmisData!$D:$D, BG$6)</f>
        <v>0.11561207466260399</v>
      </c>
      <c r="BH242" s="1111">
        <f>SUMIFS(NewEmisData!K:K, NewEmisData!$A:$A, $G242, NewEmisData!$B:$B, $A242, NewEmisData!$C:$C, $H242, NewEmisData!$D:$D, BH$6)</f>
        <v>0.113890264164102</v>
      </c>
      <c r="BI242" s="1111">
        <f>SUMIFS(NewEmisData!L:L, NewEmisData!$A:$A, $G242, NewEmisData!$B:$B, $A242, NewEmisData!$C:$C, $H242, NewEmisData!$D:$D, BI$6)</f>
        <v>0.11384461486997199</v>
      </c>
      <c r="BJ242" s="1111">
        <f>SUMIFS(NewEmisData!M:M, NewEmisData!$A:$A, $G242, NewEmisData!$B:$B, $A242, NewEmisData!$C:$C, $H242, NewEmisData!$D:$D, BJ$6)</f>
        <v>0.11381252319809999</v>
      </c>
      <c r="BK242" s="1111">
        <f t="shared" si="370"/>
        <v>0.11381252319809999</v>
      </c>
      <c r="BL242" s="1111">
        <f t="shared" si="371"/>
        <v>6.0456420020261303</v>
      </c>
      <c r="BM242" s="1111">
        <f>SUMIFS(NewEmisData!E:E, NewEmisData!$A:$A, $G242, NewEmisData!$B:$B, $A242, NewEmisData!$C:$C, $H242, NewEmisData!$D:$D, BM$6)</f>
        <v>6.0456420020261303</v>
      </c>
      <c r="BN242" s="1111">
        <f>SUMIFS(NewEmisData!F:F, NewEmisData!$A:$A, $G242, NewEmisData!$B:$B, $A242, NewEmisData!$C:$C, $H242, NewEmisData!$D:$D, BN$6)</f>
        <v>3.6427551386991199</v>
      </c>
      <c r="BO242" s="1111">
        <f>SUMIFS(NewEmisData!G:G, NewEmisData!$A:$A, $G242, NewEmisData!$B:$B, $A242, NewEmisData!$C:$C, $H242, NewEmisData!$D:$D, BO$6)</f>
        <v>1.8452011446226499</v>
      </c>
      <c r="BP242" s="1111">
        <f>SUMIFS(NewEmisData!H:H, NewEmisData!$A:$A, $G242, NewEmisData!$B:$B, $A242, NewEmisData!$C:$C, $H242, NewEmisData!$D:$D, BP$6)</f>
        <v>1.24194770746088</v>
      </c>
      <c r="BQ242" s="1111">
        <f>SUMIFS(NewEmisData!I:I, NewEmisData!$A:$A, $G242, NewEmisData!$B:$B, $A242, NewEmisData!$C:$C, $H242, NewEmisData!$D:$D, BQ$6)</f>
        <v>1.0526499630644499</v>
      </c>
      <c r="BR242" s="1111">
        <f>SUMIFS(NewEmisData!J:J, NewEmisData!$A:$A, $G242, NewEmisData!$B:$B, $A242, NewEmisData!$C:$C, $H242, NewEmisData!$D:$D, BR$6)</f>
        <v>1.0089819104633899</v>
      </c>
      <c r="BS242" s="1111">
        <f>SUMIFS(NewEmisData!K:K, NewEmisData!$A:$A, $G242, NewEmisData!$B:$B, $A242, NewEmisData!$C:$C, $H242, NewEmisData!$D:$D, BS$6)</f>
        <v>0.99667122961969301</v>
      </c>
      <c r="BT242" s="1111">
        <f>SUMIFS(NewEmisData!L:L, NewEmisData!$A:$A, $G242, NewEmisData!$B:$B, $A242, NewEmisData!$C:$C, $H242, NewEmisData!$D:$D, BT$6)</f>
        <v>0.99500593481504396</v>
      </c>
      <c r="BU242" s="1111">
        <f>SUMIFS(NewEmisData!M:M, NewEmisData!$A:$A, $G242, NewEmisData!$B:$B, $A242, NewEmisData!$C:$C, $H242, NewEmisData!$D:$D, BU$6)</f>
        <v>0.99474590902717697</v>
      </c>
      <c r="BV242" s="1111">
        <f t="shared" si="372"/>
        <v>0.99474590902717697</v>
      </c>
      <c r="BW242" s="1111">
        <f t="shared" si="373"/>
        <v>1.8523245224272999</v>
      </c>
      <c r="BX242" s="1111">
        <f>SUMIFS(NewEmisData!E:E, NewEmisData!$A:$A, $G242, NewEmisData!$B:$B, $A242, NewEmisData!$C:$C, $H242, NewEmisData!$D:$D, BX$6)</f>
        <v>1.8523245224272999</v>
      </c>
      <c r="BY242" s="1111">
        <f>SUMIFS(NewEmisData!F:F, NewEmisData!$A:$A, $G242, NewEmisData!$B:$B, $A242, NewEmisData!$C:$C, $H242, NewEmisData!$D:$D, BY$6)</f>
        <v>0.98457686139596001</v>
      </c>
      <c r="BZ242" s="1111">
        <f>SUMIFS(NewEmisData!G:G, NewEmisData!$A:$A, $G242, NewEmisData!$B:$B, $A242, NewEmisData!$C:$C, $H242, NewEmisData!$D:$D, BZ$6)</f>
        <v>0.454054708098104</v>
      </c>
      <c r="CA242" s="1111">
        <f>SUMIFS(NewEmisData!H:H, NewEmisData!$A:$A, $G242, NewEmisData!$B:$B, $A242, NewEmisData!$C:$C, $H242, NewEmisData!$D:$D, CA$6)</f>
        <v>0.24241218334548201</v>
      </c>
      <c r="CB242" s="1111">
        <f>SUMIFS(NewEmisData!I:I, NewEmisData!$A:$A, $G242, NewEmisData!$B:$B, $A242, NewEmisData!$C:$C, $H242, NewEmisData!$D:$D, CB$6)</f>
        <v>0.17574053877664</v>
      </c>
      <c r="CC242" s="1111">
        <f>SUMIFS(NewEmisData!J:J, NewEmisData!$A:$A, $G242, NewEmisData!$B:$B, $A242, NewEmisData!$C:$C, $H242, NewEmisData!$D:$D, CC$6)</f>
        <v>0.16190467325511401</v>
      </c>
      <c r="CD242" s="1111">
        <f>SUMIFS(NewEmisData!K:K, NewEmisData!$A:$A, $G242, NewEmisData!$B:$B, $A242, NewEmisData!$C:$C, $H242, NewEmisData!$D:$D, CD$6)</f>
        <v>0.15802874340941001</v>
      </c>
      <c r="CE242" s="1111">
        <f>SUMIFS(NewEmisData!L:L, NewEmisData!$A:$A, $G242, NewEmisData!$B:$B, $A242, NewEmisData!$C:$C, $H242, NewEmisData!$D:$D, CE$6)</f>
        <v>0.157924905411398</v>
      </c>
      <c r="CF242" s="1111">
        <f>SUMIFS(NewEmisData!M:M, NewEmisData!$A:$A, $G242, NewEmisData!$B:$B, $A242, NewEmisData!$C:$C, $H242, NewEmisData!$D:$D, CF$6)</f>
        <v>0.157888725635105</v>
      </c>
      <c r="CG242" s="1111">
        <f t="shared" si="374"/>
        <v>0.157888725635105</v>
      </c>
      <c r="CH242" s="1111">
        <f t="shared" si="375"/>
        <v>3.4893521946962498E-2</v>
      </c>
      <c r="CI242" s="1111">
        <f>SUMIFS(NewEmisData!E:E, NewEmisData!$A:$A, $G242, NewEmisData!$B:$B, $A242, NewEmisData!$C:$C, $H242, NewEmisData!$D:$D, CI$6)</f>
        <v>3.4893521946962498E-2</v>
      </c>
      <c r="CJ242" s="1111">
        <f>SUMIFS(NewEmisData!F:F, NewEmisData!$A:$A, $G242, NewEmisData!$B:$B, $A242, NewEmisData!$C:$C, $H242, NewEmisData!$D:$D, CJ$6)</f>
        <v>3.49788451002516E-2</v>
      </c>
      <c r="CK242" s="1111">
        <f>SUMIFS(NewEmisData!G:G, NewEmisData!$A:$A, $G242, NewEmisData!$B:$B, $A242, NewEmisData!$C:$C, $H242, NewEmisData!$D:$D, CK$6)</f>
        <v>3.9639501952122097E-2</v>
      </c>
      <c r="CL242" s="1111">
        <f>SUMIFS(NewEmisData!H:H, NewEmisData!$A:$A, $G242, NewEmisData!$B:$B, $A242, NewEmisData!$C:$C, $H242, NewEmisData!$D:$D, CL$6)</f>
        <v>3.9638483794636602E-2</v>
      </c>
      <c r="CM242" s="1111">
        <f>SUMIFS(NewEmisData!I:I, NewEmisData!$A:$A, $G242, NewEmisData!$B:$B, $A242, NewEmisData!$C:$C, $H242, NewEmisData!$D:$D, CM$6)</f>
        <v>3.9638118042141998E-2</v>
      </c>
      <c r="CN242" s="1111">
        <f>SUMIFS(NewEmisData!J:J, NewEmisData!$A:$A, $G242, NewEmisData!$B:$B, $A242, NewEmisData!$C:$C, $H242, NewEmisData!$D:$D, CN$6)</f>
        <v>3.9638000963104603E-2</v>
      </c>
      <c r="CO242" s="1111">
        <f>SUMIFS(NewEmisData!K:K, NewEmisData!$A:$A, $G242, NewEmisData!$B:$B, $A242, NewEmisData!$C:$C, $H242, NewEmisData!$D:$D, CO$6)</f>
        <v>3.9637988546095397E-2</v>
      </c>
      <c r="CP242" s="1111">
        <f>SUMIFS(NewEmisData!L:L, NewEmisData!$A:$A, $G242, NewEmisData!$B:$B, $A242, NewEmisData!$C:$C, $H242, NewEmisData!$D:$D, CP$6)</f>
        <v>3.9637972152367001E-2</v>
      </c>
      <c r="CQ242" s="1111">
        <f>SUMIFS(NewEmisData!M:M, NewEmisData!$A:$A, $G242, NewEmisData!$B:$B, $A242, NewEmisData!$C:$C, $H242, NewEmisData!$D:$D, CQ$6)</f>
        <v>3.9637979680126299E-2</v>
      </c>
      <c r="CR242" s="1111">
        <f t="shared" si="376"/>
        <v>3.9637979680126299E-2</v>
      </c>
      <c r="CS242" s="1111">
        <f t="shared" si="377"/>
        <v>6.6753767747216204E-3</v>
      </c>
      <c r="CT242" s="1111">
        <f>SUMIFS(NewEmisData!E:E, NewEmisData!$A:$A, $G242, NewEmisData!$B:$B, $A242, NewEmisData!$C:$C, $H242, NewEmisData!$D:$D, CT$6)</f>
        <v>6.6753767747216204E-3</v>
      </c>
      <c r="CU242" s="1111">
        <f>SUMIFS(NewEmisData!F:F, NewEmisData!$A:$A, $G242, NewEmisData!$B:$B, $A242, NewEmisData!$C:$C, $H242, NewEmisData!$D:$D, CU$6)</f>
        <v>6.5547982937163097E-3</v>
      </c>
      <c r="CV242" s="1111">
        <f>SUMIFS(NewEmisData!G:G, NewEmisData!$A:$A, $G242, NewEmisData!$B:$B, $A242, NewEmisData!$C:$C, $H242, NewEmisData!$D:$D, CV$6)</f>
        <v>7.2957432936417597E-3</v>
      </c>
      <c r="CW242" s="1111">
        <f>SUMIFS(NewEmisData!H:H, NewEmisData!$A:$A, $G242, NewEmisData!$B:$B, $A242, NewEmisData!$C:$C, $H242, NewEmisData!$D:$D, CW$6)</f>
        <v>7.2823273262305702E-3</v>
      </c>
      <c r="CX242" s="1111">
        <f>SUMIFS(NewEmisData!I:I, NewEmisData!$A:$A, $G242, NewEmisData!$B:$B, $A242, NewEmisData!$C:$C, $H242, NewEmisData!$D:$D, CX$6)</f>
        <v>7.2700258541815799E-3</v>
      </c>
      <c r="CY242" s="1111">
        <f>SUMIFS(NewEmisData!J:J, NewEmisData!$A:$A, $G242, NewEmisData!$B:$B, $A242, NewEmisData!$C:$C, $H242, NewEmisData!$D:$D, CY$6)</f>
        <v>7.2630982878354698E-3</v>
      </c>
      <c r="CZ242" s="1111">
        <f>SUMIFS(NewEmisData!K:K, NewEmisData!$A:$A, $G242, NewEmisData!$B:$B, $A242, NewEmisData!$C:$C, $H242, NewEmisData!$D:$D, CZ$6)</f>
        <v>7.25966994665462E-3</v>
      </c>
      <c r="DA242" s="1111">
        <f>SUMIFS(NewEmisData!L:L, NewEmisData!$A:$A, $G242, NewEmisData!$B:$B, $A242, NewEmisData!$C:$C, $H242, NewEmisData!$D:$D, DA$6)</f>
        <v>7.2582639480360299E-3</v>
      </c>
      <c r="DB242" s="1111">
        <f>SUMIFS(NewEmisData!M:M, NewEmisData!$A:$A, $G242, NewEmisData!$B:$B, $A242, NewEmisData!$C:$C, $H242, NewEmisData!$D:$D, DB$6)</f>
        <v>7.2582397653682199E-3</v>
      </c>
      <c r="DC242" s="1111">
        <f t="shared" si="378"/>
        <v>7.2582397653682199E-3</v>
      </c>
      <c r="DD242" s="1111"/>
      <c r="DE242" s="1111"/>
      <c r="DF242" s="1111"/>
      <c r="DG242" s="1111"/>
      <c r="DH242" s="1111"/>
      <c r="DI242" s="1111"/>
      <c r="DJ242" s="1111"/>
      <c r="DK242" s="1111"/>
      <c r="DL242" s="1111"/>
      <c r="DM242" s="1111"/>
      <c r="DN242" s="1111"/>
      <c r="DO242" s="1111"/>
      <c r="DP242" s="1111"/>
      <c r="DQ242" s="1111"/>
      <c r="DR242" s="1111"/>
      <c r="DS242" s="1111"/>
      <c r="DT242" s="1111"/>
      <c r="DU242" s="1111"/>
      <c r="DV242" s="1111"/>
      <c r="DW242" s="1111"/>
      <c r="DX242" s="1111"/>
      <c r="DY242" s="1111"/>
      <c r="DZ242" s="1111">
        <f t="shared" si="379"/>
        <v>3.9006976025732602E-2</v>
      </c>
      <c r="EA242" s="1111">
        <f>SUMIFS(NewEmisData!E:E, NewEmisData!$A:$A, $G242, NewEmisData!$B:$B, $A242, NewEmisData!$C:$C, $H242, NewEmisData!$D:$D, EA$6)</f>
        <v>3.9006976025732602E-2</v>
      </c>
      <c r="EB242" s="1111">
        <f>SUMIFS(NewEmisData!F:F, NewEmisData!$A:$A, $G242, NewEmisData!$B:$B, $A242, NewEmisData!$C:$C, $H242, NewEmisData!$D:$D, EB$6)</f>
        <v>9.7382260752850197E-2</v>
      </c>
      <c r="EC242" s="1111">
        <f>SUMIFS(NewEmisData!G:G, NewEmisData!$A:$A, $G242, NewEmisData!$B:$B, $A242, NewEmisData!$C:$C, $H242, NewEmisData!$D:$D, EC$6)</f>
        <v>0.14046349386005799</v>
      </c>
      <c r="ED242" s="1111">
        <f>SUMIFS(NewEmisData!H:H, NewEmisData!$A:$A, $G242, NewEmisData!$B:$B, $A242, NewEmisData!$C:$C, $H242, NewEmisData!$D:$D, ED$6)</f>
        <v>0.14210473049514299</v>
      </c>
      <c r="EE242" s="1111">
        <f>SUMIFS(NewEmisData!I:I, NewEmisData!$A:$A, $G242, NewEmisData!$B:$B, $A242, NewEmisData!$C:$C, $H242, NewEmisData!$D:$D, EE$6)</f>
        <v>0.142376657618557</v>
      </c>
      <c r="EF242" s="1111">
        <f>SUMIFS(NewEmisData!J:J, NewEmisData!$A:$A, $G242, NewEmisData!$B:$B, $A242, NewEmisData!$C:$C, $H242, NewEmisData!$D:$D, EF$6)</f>
        <v>0.14206400587052001</v>
      </c>
      <c r="EG242" s="1111">
        <f>SUMIFS(NewEmisData!K:K, NewEmisData!$A:$A, $G242, NewEmisData!$B:$B, $A242, NewEmisData!$C:$C, $H242, NewEmisData!$D:$D, EG$6)</f>
        <v>0.142101863494736</v>
      </c>
      <c r="EH242" s="1111">
        <f>SUMIFS(NewEmisData!L:L, NewEmisData!$A:$A, $G242, NewEmisData!$B:$B, $A242, NewEmisData!$C:$C, $H242, NewEmisData!$D:$D, EH$6)</f>
        <v>0.142019923590127</v>
      </c>
      <c r="EI242" s="1111">
        <f>SUMIFS(NewEmisData!M:M, NewEmisData!$A:$A, $G242, NewEmisData!$B:$B, $A242, NewEmisData!$C:$C, $H242, NewEmisData!$D:$D, EI$6)</f>
        <v>0.142008262982282</v>
      </c>
      <c r="EJ242" s="1111">
        <f t="shared" si="380"/>
        <v>0.142008262982282</v>
      </c>
      <c r="EK242" s="1111">
        <f t="shared" si="381"/>
        <v>1965.3480196129899</v>
      </c>
      <c r="EL242" s="1111">
        <f t="shared" si="343"/>
        <v>1965.3480196129899</v>
      </c>
      <c r="EM242" s="1111">
        <f t="shared" si="344"/>
        <v>2010.3216718511901</v>
      </c>
      <c r="EN242" s="1111">
        <f t="shared" si="345"/>
        <v>2090.4906656609201</v>
      </c>
      <c r="EO242" s="1111">
        <f t="shared" si="346"/>
        <v>2053.9539193064902</v>
      </c>
      <c r="EP242" s="1111">
        <f t="shared" si="347"/>
        <v>2027.8421991422999</v>
      </c>
      <c r="EQ242" s="1111">
        <f t="shared" si="348"/>
        <v>2019.45150345712</v>
      </c>
      <c r="ER242" s="1111">
        <f t="shared" si="349"/>
        <v>2016.54651893857</v>
      </c>
      <c r="ES242" s="1111">
        <f t="shared" si="350"/>
        <v>2015.2058723386001</v>
      </c>
      <c r="ET242" s="1111">
        <f t="shared" si="351"/>
        <v>2014.2294332377901</v>
      </c>
      <c r="EU242" s="1111">
        <f t="shared" si="352"/>
        <v>2014.2294332377901</v>
      </c>
      <c r="EV242" s="1111">
        <f t="shared" si="382"/>
        <v>16.5695691882601</v>
      </c>
      <c r="EW242" s="1111">
        <f t="shared" si="333"/>
        <v>16.5695691882601</v>
      </c>
      <c r="EX242" s="1111">
        <f t="shared" si="334"/>
        <v>10.1915554047669</v>
      </c>
      <c r="EY242" s="1111">
        <f t="shared" si="335"/>
        <v>4.7067883339263101</v>
      </c>
      <c r="EZ242" s="1111">
        <f t="shared" si="336"/>
        <v>2.74964441255411</v>
      </c>
      <c r="FA242" s="1111">
        <f t="shared" si="337"/>
        <v>2.1250543631144501</v>
      </c>
      <c r="FB242" s="1111">
        <f t="shared" si="338"/>
        <v>1.99369533696212</v>
      </c>
      <c r="FC242" s="1111">
        <f t="shared" si="339"/>
        <v>1.9596642716443899</v>
      </c>
      <c r="FD242" s="1111">
        <f t="shared" si="340"/>
        <v>1.95841045438728</v>
      </c>
      <c r="FE242" s="1111">
        <f t="shared" si="341"/>
        <v>1.95772834946656</v>
      </c>
      <c r="FF242" s="1111">
        <f t="shared" si="342"/>
        <v>1.95772834946656</v>
      </c>
      <c r="FG242" s="1111">
        <f t="shared" si="291"/>
        <v>4.8505368718434902E-2</v>
      </c>
      <c r="FH242" s="1111">
        <f t="shared" si="292"/>
        <v>4.8505368718434902E-2</v>
      </c>
      <c r="FI242" s="1111">
        <f t="shared" si="293"/>
        <v>4.8325981488473099E-2</v>
      </c>
      <c r="FJ242" s="1111">
        <f t="shared" si="294"/>
        <v>1.7576572280014201E-2</v>
      </c>
      <c r="FK242" s="1111">
        <f t="shared" si="295"/>
        <v>1.7166395112910501E-2</v>
      </c>
      <c r="FL242" s="1111">
        <f t="shared" si="296"/>
        <v>1.6914594935806299E-2</v>
      </c>
      <c r="FM242" s="1111">
        <f t="shared" si="297"/>
        <v>1.68383799937354E-2</v>
      </c>
      <c r="FN242" s="1111">
        <f t="shared" si="298"/>
        <v>1.6812194631633502E-2</v>
      </c>
      <c r="FO242" s="1111">
        <f t="shared" si="299"/>
        <v>1.6801008524208499E-2</v>
      </c>
      <c r="FP242" s="1111">
        <f t="shared" si="300"/>
        <v>1.6792875741706501E-2</v>
      </c>
      <c r="FQ242" s="1111">
        <f t="shared" si="301"/>
        <v>1.6792875741706501E-2</v>
      </c>
      <c r="FR242" s="1111">
        <f t="shared" si="322"/>
        <v>1.7897176326082</v>
      </c>
      <c r="FS242" s="1111">
        <f t="shared" si="323"/>
        <v>1.7897176326082</v>
      </c>
      <c r="FT242" s="1111">
        <f t="shared" si="324"/>
        <v>1.28184142907446</v>
      </c>
      <c r="FU242" s="1111">
        <f t="shared" si="325"/>
        <v>0.80585430140276804</v>
      </c>
      <c r="FV242" s="1111">
        <f t="shared" si="326"/>
        <v>0.69183592997618704</v>
      </c>
      <c r="FW242" s="1111">
        <f t="shared" si="327"/>
        <v>0.65551295326080194</v>
      </c>
      <c r="FX242" s="1111">
        <f t="shared" si="328"/>
        <v>0.64912663136166204</v>
      </c>
      <c r="FY242" s="1111">
        <f t="shared" si="329"/>
        <v>0.64721406840414997</v>
      </c>
      <c r="FZ242" s="1111">
        <f t="shared" si="330"/>
        <v>0.64706992112985595</v>
      </c>
      <c r="GA242" s="1111">
        <f t="shared" si="331"/>
        <v>0.64695129381422201</v>
      </c>
      <c r="GB242" s="1111">
        <f t="shared" si="332"/>
        <v>0.64695129381422201</v>
      </c>
      <c r="GC242" s="1111">
        <f t="shared" si="353"/>
        <v>1.18048167941492</v>
      </c>
      <c r="GD242" s="1111">
        <f t="shared" si="354"/>
        <v>1.18048167941492</v>
      </c>
      <c r="GE242" s="1111">
        <f t="shared" si="355"/>
        <v>0.70883111477306904</v>
      </c>
      <c r="GF242" s="1111">
        <f t="shared" si="356"/>
        <v>0.25820081252871602</v>
      </c>
      <c r="GG242" s="1111">
        <f t="shared" si="357"/>
        <v>0.154936314509238</v>
      </c>
      <c r="GH242" s="1111">
        <f t="shared" si="358"/>
        <v>0.12145150227391199</v>
      </c>
      <c r="GI242" s="1111">
        <f t="shared" si="359"/>
        <v>0.11561207466260399</v>
      </c>
      <c r="GJ242" s="1111">
        <f t="shared" si="360"/>
        <v>0.113890264164102</v>
      </c>
      <c r="GK242" s="1111">
        <f t="shared" si="361"/>
        <v>0.11384461486997199</v>
      </c>
      <c r="GL242" s="1111">
        <f t="shared" si="362"/>
        <v>0.11381252319809999</v>
      </c>
      <c r="GM242" s="1111">
        <f t="shared" si="363"/>
        <v>0.11381252319809999</v>
      </c>
    </row>
    <row r="243" spans="1:195" x14ac:dyDescent="0.2">
      <c r="A243" s="1071" t="s">
        <v>188</v>
      </c>
      <c r="B243" s="1071" t="str">
        <f>Technologies!C146</f>
        <v>THSDSLC</v>
      </c>
      <c r="C243" s="1071" t="str">
        <f>Technologies!D146</f>
        <v>Heavy Truck, Short Haul, Conv. Diesel</v>
      </c>
      <c r="D243" s="1071" t="str">
        <f>NewTech!D99</f>
        <v>bn-vmt, bn-vmt/a</v>
      </c>
      <c r="E243" s="1071" t="str">
        <f>Commodities!C$44</f>
        <v>THDSL</v>
      </c>
      <c r="F243" s="1071" t="s">
        <v>98</v>
      </c>
      <c r="G243" s="1110" t="s">
        <v>505</v>
      </c>
      <c r="H243" s="1110" t="s">
        <v>499</v>
      </c>
      <c r="I243" s="1112">
        <v>1</v>
      </c>
      <c r="J243" s="1111" t="str">
        <f t="shared" si="302"/>
        <v>Heavy duty short haul truck-DSL</v>
      </c>
      <c r="K243" s="1111">
        <f>SUMIFS(NewEmisData!E:E, NewEmisData!$A:$A, $G243, NewEmisData!$B:$B, $A243, NewEmisData!$C:$C, $H243, NewEmisData!$D:$D, K$6)</f>
        <v>1669.0822501080099</v>
      </c>
      <c r="L243" s="1111">
        <f>SUMIFS(NewEmisData!F:F, NewEmisData!$A:$A, $G243, NewEmisData!$B:$B, $A243, NewEmisData!$C:$C, $H243, NewEmisData!$D:$D, L$6)</f>
        <v>1673.1688001129</v>
      </c>
      <c r="M243" s="1111">
        <f>SUMIFS(NewEmisData!G:G, NewEmisData!$A:$A, $G243, NewEmisData!$B:$B, $A243, NewEmisData!$C:$C, $H243, NewEmisData!$D:$D, M$6)</f>
        <v>1365.67564571155</v>
      </c>
      <c r="N243" s="1111">
        <f>SUMIFS(NewEmisData!H:H, NewEmisData!$A:$A, $G243, NewEmisData!$B:$B, $A243, NewEmisData!$C:$C, $H243, NewEmisData!$D:$D, N$6)</f>
        <v>1340.2430368273101</v>
      </c>
      <c r="O243" s="1111">
        <f>SUMIFS(NewEmisData!I:I, NewEmisData!$A:$A, $G243, NewEmisData!$B:$B, $A243, NewEmisData!$C:$C, $H243, NewEmisData!$D:$D, O$6)</f>
        <v>1322.8450856147599</v>
      </c>
      <c r="P243" s="1111">
        <f>SUMIFS(NewEmisData!J:J, NewEmisData!$A:$A, $G243, NewEmisData!$B:$B, $A243, NewEmisData!$C:$C, $H243, NewEmisData!$D:$D, P$6)</f>
        <v>1317.23072914767</v>
      </c>
      <c r="Q243" s="1111">
        <f>SUMIFS(NewEmisData!K:K, NewEmisData!$A:$A, $G243, NewEmisData!$B:$B, $A243, NewEmisData!$C:$C, $H243, NewEmisData!$D:$D, Q$6)</f>
        <v>1315.3450285164099</v>
      </c>
      <c r="R243" s="1111">
        <f>SUMIFS(NewEmisData!L:L, NewEmisData!$A:$A, $G243, NewEmisData!$B:$B, $A243, NewEmisData!$C:$C, $H243, NewEmisData!$D:$D, R$6)</f>
        <v>1314.50089135955</v>
      </c>
      <c r="S243" s="1111">
        <f>SUMIFS(NewEmisData!M:M, NewEmisData!$A:$A, $G243, NewEmisData!$B:$B, $A243, NewEmisData!$C:$C, $H243, NewEmisData!$D:$D, S$6)</f>
        <v>1313.88241213587</v>
      </c>
      <c r="T243" s="1111">
        <f t="shared" si="364"/>
        <v>1313.88241213587</v>
      </c>
      <c r="U243" s="1111">
        <f>SUMIFS(NewEmisData!E:E, NewEmisData!$A:$A, $G243, NewEmisData!$B:$B, $A243, NewEmisData!$C:$C, $H243, NewEmisData!$D:$D, U$6)</f>
        <v>13.492775574024799</v>
      </c>
      <c r="V243" s="1111">
        <f>SUMIFS(NewEmisData!F:F, NewEmisData!$A:$A, $G243, NewEmisData!$B:$B, $A243, NewEmisData!$C:$C, $H243, NewEmisData!$D:$D, V$6)</f>
        <v>7.5468458416536803</v>
      </c>
      <c r="W243" s="1111">
        <f>SUMIFS(NewEmisData!G:G, NewEmisData!$A:$A, $G243, NewEmisData!$B:$B, $A243, NewEmisData!$C:$C, $H243, NewEmisData!$D:$D, W$6)</f>
        <v>2.86440753900408</v>
      </c>
      <c r="X243" s="1111">
        <f>SUMIFS(NewEmisData!H:H, NewEmisData!$A:$A, $G243, NewEmisData!$B:$B, $A243, NewEmisData!$C:$C, $H243, NewEmisData!$D:$D, X$6)</f>
        <v>1.66545036782072</v>
      </c>
      <c r="Y243" s="1111">
        <f>SUMIFS(NewEmisData!I:I, NewEmisData!$A:$A, $G243, NewEmisData!$B:$B, $A243, NewEmisData!$C:$C, $H243, NewEmisData!$D:$D, Y$6)</f>
        <v>1.2872223005865</v>
      </c>
      <c r="Z243" s="1111">
        <f>SUMIFS(NewEmisData!J:J, NewEmisData!$A:$A, $G243, NewEmisData!$B:$B, $A243, NewEmisData!$C:$C, $H243, NewEmisData!$D:$D, Z$6)</f>
        <v>1.20818388349511</v>
      </c>
      <c r="AA243" s="1111">
        <f>SUMIFS(NewEmisData!K:K, NewEmisData!$A:$A, $G243, NewEmisData!$B:$B, $A243, NewEmisData!$C:$C, $H243, NewEmisData!$D:$D, AA$6)</f>
        <v>1.1882189073440399</v>
      </c>
      <c r="AB243" s="1111">
        <f>SUMIFS(NewEmisData!L:L, NewEmisData!$A:$A, $G243, NewEmisData!$B:$B, $A243, NewEmisData!$C:$C, $H243, NewEmisData!$D:$D, AB$6)</f>
        <v>1.18759279747034</v>
      </c>
      <c r="AC243" s="1111">
        <f>SUMIFS(NewEmisData!M:M, NewEmisData!$A:$A, $G243, NewEmisData!$B:$B, $A243, NewEmisData!$C:$C, $H243, NewEmisData!$D:$D, AC$6)</f>
        <v>1.1873143220192299</v>
      </c>
      <c r="AD243" s="1111">
        <f t="shared" si="321"/>
        <v>1.1873143220192299</v>
      </c>
      <c r="AE243" s="1111">
        <f t="shared" si="365"/>
        <v>1.9219515132106998E-2</v>
      </c>
      <c r="AF243" s="1111">
        <f>SUMIFS(NewEmisData!E:E, NewEmisData!$A:$A, $G243, NewEmisData!$B:$B, $A243, NewEmisData!$C:$C, $H243, NewEmisData!$D:$D, AF$6)</f>
        <v>1.9219515132106998E-2</v>
      </c>
      <c r="AG243" s="1111">
        <f>SUMIFS(NewEmisData!F:F, NewEmisData!$A:$A, $G243, NewEmisData!$B:$B, $A243, NewEmisData!$C:$C, $H243, NewEmisData!$D:$D, AG$6)</f>
        <v>1.8381789821165999E-2</v>
      </c>
      <c r="AH243" s="1111">
        <f>SUMIFS(NewEmisData!G:G, NewEmisData!$A:$A, $G243, NewEmisData!$B:$B, $A243, NewEmisData!$C:$C, $H243, NewEmisData!$D:$D, AH$6)</f>
        <v>1.1480506512681401E-2</v>
      </c>
      <c r="AI243" s="1111">
        <f>SUMIFS(NewEmisData!H:H, NewEmisData!$A:$A, $G243, NewEmisData!$B:$B, $A243, NewEmisData!$C:$C, $H243, NewEmisData!$D:$D, AI$6)</f>
        <v>1.1200613613581E-2</v>
      </c>
      <c r="AJ243" s="1111">
        <f>SUMIFS(NewEmisData!I:I, NewEmisData!$A:$A, $G243, NewEmisData!$B:$B, $A243, NewEmisData!$C:$C, $H243, NewEmisData!$D:$D, AJ$6)</f>
        <v>1.1033835716401499E-2</v>
      </c>
      <c r="AK243" s="1111">
        <f>SUMIFS(NewEmisData!J:J, NewEmisData!$A:$A, $G243, NewEmisData!$B:$B, $A243, NewEmisData!$C:$C, $H243, NewEmisData!$D:$D, AK$6)</f>
        <v>1.0983128564943399E-2</v>
      </c>
      <c r="AL243" s="1111">
        <f>SUMIFS(NewEmisData!K:K, NewEmisData!$A:$A, $G243, NewEmisData!$B:$B, $A243, NewEmisData!$C:$C, $H243, NewEmisData!$D:$D, AL$6)</f>
        <v>1.09661929621608E-2</v>
      </c>
      <c r="AM243" s="1111">
        <f>SUMIFS(NewEmisData!L:L, NewEmisData!$A:$A, $G243, NewEmisData!$B:$B, $A243, NewEmisData!$C:$C, $H243, NewEmisData!$D:$D, AM$6)</f>
        <v>1.09591556908048E-2</v>
      </c>
      <c r="AN243" s="1111">
        <f>SUMIFS(NewEmisData!M:M, NewEmisData!$A:$A, $G243, NewEmisData!$B:$B, $A243, NewEmisData!$C:$C, $H243, NewEmisData!$D:$D, AN$6)</f>
        <v>1.09539961645838E-2</v>
      </c>
      <c r="AO243" s="1111">
        <f t="shared" si="366"/>
        <v>1.09539961645838E-2</v>
      </c>
      <c r="AP243" s="1111">
        <f t="shared" si="367"/>
        <v>0.858529279217077</v>
      </c>
      <c r="AQ243" s="1111">
        <f>SUMIFS(NewEmisData!E:E, NewEmisData!$A:$A, $G243, NewEmisData!$B:$B, $A243, NewEmisData!$C:$C, $H243, NewEmisData!$D:$D, AQ$6)</f>
        <v>0.858529279217077</v>
      </c>
      <c r="AR243" s="1111">
        <f>SUMIFS(NewEmisData!F:F, NewEmisData!$A:$A, $G243, NewEmisData!$B:$B, $A243, NewEmisData!$C:$C, $H243, NewEmisData!$D:$D, AR$6)</f>
        <v>0.503731417508816</v>
      </c>
      <c r="AS243" s="1111">
        <f>SUMIFS(NewEmisData!G:G, NewEmisData!$A:$A, $G243, NewEmisData!$B:$B, $A243, NewEmisData!$C:$C, $H243, NewEmisData!$D:$D, AS$6)</f>
        <v>0.37512816215378397</v>
      </c>
      <c r="AT243" s="1111">
        <f>SUMIFS(NewEmisData!H:H, NewEmisData!$A:$A, $G243, NewEmisData!$B:$B, $A243, NewEmisData!$C:$C, $H243, NewEmisData!$D:$D, AT$6)</f>
        <v>0.30828199926496602</v>
      </c>
      <c r="AU243" s="1111">
        <f>SUMIFS(NewEmisData!I:I, NewEmisData!$A:$A, $G243, NewEmisData!$B:$B, $A243, NewEmisData!$C:$C, $H243, NewEmisData!$D:$D, AU$6)</f>
        <v>0.28661953326038297</v>
      </c>
      <c r="AV243" s="1111">
        <f>SUMIFS(NewEmisData!J:J, NewEmisData!$A:$A, $G243, NewEmisData!$B:$B, $A243, NewEmisData!$C:$C, $H243, NewEmisData!$D:$D, AV$6)</f>
        <v>0.28264038179328499</v>
      </c>
      <c r="AW243" s="1111">
        <f>SUMIFS(NewEmisData!K:K, NewEmisData!$A:$A, $G243, NewEmisData!$B:$B, $A243, NewEmisData!$C:$C, $H243, NewEmisData!$D:$D, AW$6)</f>
        <v>0.28162692153878699</v>
      </c>
      <c r="AX243" s="1111">
        <f>SUMIFS(NewEmisData!L:L, NewEmisData!$A:$A, $G243, NewEmisData!$B:$B, $A243, NewEmisData!$C:$C, $H243, NewEmisData!$D:$D, AX$6)</f>
        <v>0.281751869278763</v>
      </c>
      <c r="AY243" s="1111">
        <f>SUMIFS(NewEmisData!M:M, NewEmisData!$A:$A, $G243, NewEmisData!$B:$B, $A243, NewEmisData!$C:$C, $H243, NewEmisData!$D:$D, AY$6)</f>
        <v>0.28192306485273899</v>
      </c>
      <c r="AZ243" s="1111">
        <f t="shared" si="368"/>
        <v>0.28192306485273899</v>
      </c>
      <c r="BA243" s="1111">
        <f t="shared" si="369"/>
        <v>0.65283874806811604</v>
      </c>
      <c r="BB243" s="1111">
        <f>SUMIFS(NewEmisData!E:E, NewEmisData!$A:$A, $G243, NewEmisData!$B:$B, $A243, NewEmisData!$C:$C, $H243, NewEmisData!$D:$D, BB$6)</f>
        <v>0.65283874806811604</v>
      </c>
      <c r="BC243" s="1111">
        <f>SUMIFS(NewEmisData!F:F, NewEmisData!$A:$A, $G243, NewEmisData!$B:$B, $A243, NewEmisData!$C:$C, $H243, NewEmisData!$D:$D, BC$6)</f>
        <v>0.33224436660041701</v>
      </c>
      <c r="BD243" s="1111">
        <f>SUMIFS(NewEmisData!G:G, NewEmisData!$A:$A, $G243, NewEmisData!$B:$B, $A243, NewEmisData!$C:$C, $H243, NewEmisData!$D:$D, BD$6)</f>
        <v>0.13652581905042699</v>
      </c>
      <c r="BE243" s="1111">
        <f>SUMIFS(NewEmisData!H:H, NewEmisData!$A:$A, $G243, NewEmisData!$B:$B, $A243, NewEmisData!$C:$C, $H243, NewEmisData!$D:$D, BE$6)</f>
        <v>7.8025503719108297E-2</v>
      </c>
      <c r="BF243" s="1111">
        <f>SUMIFS(NewEmisData!I:I, NewEmisData!$A:$A, $G243, NewEmisData!$B:$B, $A243, NewEmisData!$C:$C, $H243, NewEmisData!$D:$D, BF$6)</f>
        <v>5.9231027771519597E-2</v>
      </c>
      <c r="BG243" s="1111">
        <f>SUMIFS(NewEmisData!J:J, NewEmisData!$A:$A, $G243, NewEmisData!$B:$B, $A243, NewEmisData!$C:$C, $H243, NewEmisData!$D:$D, BG$6)</f>
        <v>5.5901975487255798E-2</v>
      </c>
      <c r="BH243" s="1111">
        <f>SUMIFS(NewEmisData!K:K, NewEmisData!$A:$A, $G243, NewEmisData!$B:$B, $A243, NewEmisData!$C:$C, $H243, NewEmisData!$D:$D, BH$6)</f>
        <v>5.4946823671966197E-2</v>
      </c>
      <c r="BI243" s="1111">
        <f>SUMIFS(NewEmisData!L:L, NewEmisData!$A:$A, $G243, NewEmisData!$B:$B, $A243, NewEmisData!$C:$C, $H243, NewEmisData!$D:$D, BI$6)</f>
        <v>5.4950705011026502E-2</v>
      </c>
      <c r="BJ243" s="1111">
        <f>SUMIFS(NewEmisData!M:M, NewEmisData!$A:$A, $G243, NewEmisData!$B:$B, $A243, NewEmisData!$C:$C, $H243, NewEmisData!$D:$D, BJ$6)</f>
        <v>5.4967058193246002E-2</v>
      </c>
      <c r="BK243" s="1111">
        <f t="shared" si="370"/>
        <v>5.4967058193246002E-2</v>
      </c>
      <c r="BL243" s="1111">
        <f t="shared" si="371"/>
        <v>3.7476931274223899</v>
      </c>
      <c r="BM243" s="1111">
        <f>SUMIFS(NewEmisData!E:E, NewEmisData!$A:$A, $G243, NewEmisData!$B:$B, $A243, NewEmisData!$C:$C, $H243, NewEmisData!$D:$D, BM$6)</f>
        <v>3.7476931274223899</v>
      </c>
      <c r="BN243" s="1111">
        <f>SUMIFS(NewEmisData!F:F, NewEmisData!$A:$A, $G243, NewEmisData!$B:$B, $A243, NewEmisData!$C:$C, $H243, NewEmisData!$D:$D, BN$6)</f>
        <v>2.1224340778786099</v>
      </c>
      <c r="BO243" s="1111">
        <f>SUMIFS(NewEmisData!G:G, NewEmisData!$A:$A, $G243, NewEmisData!$B:$B, $A243, NewEmisData!$C:$C, $H243, NewEmisData!$D:$D, BO$6)</f>
        <v>1.1522241511654601</v>
      </c>
      <c r="BP243" s="1111">
        <f>SUMIFS(NewEmisData!H:H, NewEmisData!$A:$A, $G243, NewEmisData!$B:$B, $A243, NewEmisData!$C:$C, $H243, NewEmisData!$D:$D, BP$6)</f>
        <v>0.78635690911299205</v>
      </c>
      <c r="BQ243" s="1111">
        <f>SUMIFS(NewEmisData!I:I, NewEmisData!$A:$A, $G243, NewEmisData!$B:$B, $A243, NewEmisData!$C:$C, $H243, NewEmisData!$D:$D, BQ$6)</f>
        <v>0.67130079903850703</v>
      </c>
      <c r="BR243" s="1111">
        <f>SUMIFS(NewEmisData!J:J, NewEmisData!$A:$A, $G243, NewEmisData!$B:$B, $A243, NewEmisData!$C:$C, $H243, NewEmisData!$D:$D, BR$6)</f>
        <v>0.644768230895015</v>
      </c>
      <c r="BS243" s="1111">
        <f>SUMIFS(NewEmisData!K:K, NewEmisData!$A:$A, $G243, NewEmisData!$B:$B, $A243, NewEmisData!$C:$C, $H243, NewEmisData!$D:$D, BS$6)</f>
        <v>0.63723563956321205</v>
      </c>
      <c r="BT243" s="1111">
        <f>SUMIFS(NewEmisData!L:L, NewEmisData!$A:$A, $G243, NewEmisData!$B:$B, $A243, NewEmisData!$C:$C, $H243, NewEmisData!$D:$D, BT$6)</f>
        <v>0.63622564348836397</v>
      </c>
      <c r="BU243" s="1111">
        <f>SUMIFS(NewEmisData!M:M, NewEmisData!$A:$A, $G243, NewEmisData!$B:$B, $A243, NewEmisData!$C:$C, $H243, NewEmisData!$D:$D, BU$6)</f>
        <v>0.63613086524108198</v>
      </c>
      <c r="BV243" s="1111">
        <f t="shared" si="372"/>
        <v>0.63613086524108198</v>
      </c>
      <c r="BW243" s="1111">
        <f t="shared" si="373"/>
        <v>0.86967821617844199</v>
      </c>
      <c r="BX243" s="1111">
        <f>SUMIFS(NewEmisData!E:E, NewEmisData!$A:$A, $G243, NewEmisData!$B:$B, $A243, NewEmisData!$C:$C, $H243, NewEmisData!$D:$D, BX$6)</f>
        <v>0.86967821617844199</v>
      </c>
      <c r="BY243" s="1111">
        <f>SUMIFS(NewEmisData!F:F, NewEmisData!$A:$A, $G243, NewEmisData!$B:$B, $A243, NewEmisData!$C:$C, $H243, NewEmisData!$D:$D, BY$6)</f>
        <v>0.46203277812819299</v>
      </c>
      <c r="BZ243" s="1111">
        <f>SUMIFS(NewEmisData!G:G, NewEmisData!$A:$A, $G243, NewEmisData!$B:$B, $A243, NewEmisData!$C:$C, $H243, NewEmisData!$D:$D, BZ$6)</f>
        <v>0.24488064381328301</v>
      </c>
      <c r="CA243" s="1111">
        <f>SUMIFS(NewEmisData!H:H, NewEmisData!$A:$A, $G243, NewEmisData!$B:$B, $A243, NewEmisData!$C:$C, $H243, NewEmisData!$D:$D, CA$6)</f>
        <v>0.13082474453131801</v>
      </c>
      <c r="CB243" s="1111">
        <f>SUMIFS(NewEmisData!I:I, NewEmisData!$A:$A, $G243, NewEmisData!$B:$B, $A243, NewEmisData!$C:$C, $H243, NewEmisData!$D:$D, CB$6)</f>
        <v>9.5337955687742296E-2</v>
      </c>
      <c r="CC243" s="1111">
        <f>SUMIFS(NewEmisData!J:J, NewEmisData!$A:$A, $G243, NewEmisData!$B:$B, $A243, NewEmisData!$C:$C, $H243, NewEmisData!$D:$D, CC$6)</f>
        <v>8.7877867224047099E-2</v>
      </c>
      <c r="CD243" s="1111">
        <f>SUMIFS(NewEmisData!K:K, NewEmisData!$A:$A, $G243, NewEmisData!$B:$B, $A243, NewEmisData!$C:$C, $H243, NewEmisData!$D:$D, CD$6)</f>
        <v>8.5843418185397202E-2</v>
      </c>
      <c r="CE243" s="1111">
        <f>SUMIFS(NewEmisData!L:L, NewEmisData!$A:$A, $G243, NewEmisData!$B:$B, $A243, NewEmisData!$C:$C, $H243, NewEmisData!$D:$D, CE$6)</f>
        <v>8.5804625089355602E-2</v>
      </c>
      <c r="CF243" s="1111">
        <f>SUMIFS(NewEmisData!M:M, NewEmisData!$A:$A, $G243, NewEmisData!$B:$B, $A243, NewEmisData!$C:$C, $H243, NewEmisData!$D:$D, CF$6)</f>
        <v>8.5808752891254905E-2</v>
      </c>
      <c r="CG243" s="1111">
        <f t="shared" si="374"/>
        <v>8.5808752891254905E-2</v>
      </c>
      <c r="CH243" s="1111">
        <f t="shared" si="375"/>
        <v>2.53655238629573E-2</v>
      </c>
      <c r="CI243" s="1111">
        <f>SUMIFS(NewEmisData!E:E, NewEmisData!$A:$A, $G243, NewEmisData!$B:$B, $A243, NewEmisData!$C:$C, $H243, NewEmisData!$D:$D, CI$6)</f>
        <v>2.53655238629573E-2</v>
      </c>
      <c r="CJ243" s="1111">
        <f>SUMIFS(NewEmisData!F:F, NewEmisData!$A:$A, $G243, NewEmisData!$B:$B, $A243, NewEmisData!$C:$C, $H243, NewEmisData!$D:$D, CJ$6)</f>
        <v>2.52867699578843E-2</v>
      </c>
      <c r="CK243" s="1111">
        <f>SUMIFS(NewEmisData!G:G, NewEmisData!$A:$A, $G243, NewEmisData!$B:$B, $A243, NewEmisData!$C:$C, $H243, NewEmisData!$D:$D, CK$6)</f>
        <v>2.71717802821827E-2</v>
      </c>
      <c r="CL243" s="1111">
        <f>SUMIFS(NewEmisData!H:H, NewEmisData!$A:$A, $G243, NewEmisData!$B:$B, $A243, NewEmisData!$C:$C, $H243, NewEmisData!$D:$D, CL$6)</f>
        <v>2.71425219079954E-2</v>
      </c>
      <c r="CM243" s="1111">
        <f>SUMIFS(NewEmisData!I:I, NewEmisData!$A:$A, $G243, NewEmisData!$B:$B, $A243, NewEmisData!$C:$C, $H243, NewEmisData!$D:$D, CM$6)</f>
        <v>2.7128484897609599E-2</v>
      </c>
      <c r="CN243" s="1111">
        <f>SUMIFS(NewEmisData!J:J, NewEmisData!$A:$A, $G243, NewEmisData!$B:$B, $A243, NewEmisData!$C:$C, $H243, NewEmisData!$D:$D, CN$6)</f>
        <v>2.71242955243867E-2</v>
      </c>
      <c r="CO243" s="1111">
        <f>SUMIFS(NewEmisData!K:K, NewEmisData!$A:$A, $G243, NewEmisData!$B:$B, $A243, NewEmisData!$C:$C, $H243, NewEmisData!$D:$D, CO$6)</f>
        <v>2.71243976689509E-2</v>
      </c>
      <c r="CP243" s="1111">
        <f>SUMIFS(NewEmisData!L:L, NewEmisData!$A:$A, $G243, NewEmisData!$B:$B, $A243, NewEmisData!$C:$C, $H243, NewEmisData!$D:$D, CP$6)</f>
        <v>2.7125748973111801E-2</v>
      </c>
      <c r="CQ243" s="1111">
        <f>SUMIFS(NewEmisData!M:M, NewEmisData!$A:$A, $G243, NewEmisData!$B:$B, $A243, NewEmisData!$C:$C, $H243, NewEmisData!$D:$D, CQ$6)</f>
        <v>2.71273712236671E-2</v>
      </c>
      <c r="CR243" s="1111">
        <f t="shared" si="376"/>
        <v>2.71273712236671E-2</v>
      </c>
      <c r="CS243" s="1111">
        <f t="shared" si="377"/>
        <v>2.4958751743538398E-3</v>
      </c>
      <c r="CT243" s="1111">
        <f>SUMIFS(NewEmisData!E:E, NewEmisData!$A:$A, $G243, NewEmisData!$B:$B, $A243, NewEmisData!$C:$C, $H243, NewEmisData!$D:$D, CT$6)</f>
        <v>2.4958751743538398E-3</v>
      </c>
      <c r="CU243" s="1111">
        <f>SUMIFS(NewEmisData!F:F, NewEmisData!$A:$A, $G243, NewEmisData!$B:$B, $A243, NewEmisData!$C:$C, $H243, NewEmisData!$D:$D, CU$6)</f>
        <v>2.4447713868806899E-3</v>
      </c>
      <c r="CV243" s="1111">
        <f>SUMIFS(NewEmisData!G:G, NewEmisData!$A:$A, $G243, NewEmisData!$B:$B, $A243, NewEmisData!$C:$C, $H243, NewEmisData!$D:$D, CV$6)</f>
        <v>3.4529570026890898E-3</v>
      </c>
      <c r="CW243" s="1111">
        <f>SUMIFS(NewEmisData!H:H, NewEmisData!$A:$A, $G243, NewEmisData!$B:$B, $A243, NewEmisData!$C:$C, $H243, NewEmisData!$D:$D, CW$6)</f>
        <v>3.4238629713190701E-3</v>
      </c>
      <c r="CX243" s="1111">
        <f>SUMIFS(NewEmisData!I:I, NewEmisData!$A:$A, $G243, NewEmisData!$B:$B, $A243, NewEmisData!$C:$C, $H243, NewEmisData!$D:$D, CX$6)</f>
        <v>3.4056857972038501E-3</v>
      </c>
      <c r="CY243" s="1111">
        <f>SUMIFS(NewEmisData!J:J, NewEmisData!$A:$A, $G243, NewEmisData!$B:$B, $A243, NewEmisData!$C:$C, $H243, NewEmisData!$D:$D, CY$6)</f>
        <v>3.39842942017498E-3</v>
      </c>
      <c r="CZ243" s="1111">
        <f>SUMIFS(NewEmisData!K:K, NewEmisData!$A:$A, $G243, NewEmisData!$B:$B, $A243, NewEmisData!$C:$C, $H243, NewEmisData!$D:$D, CZ$6)</f>
        <v>3.3964615682354799E-3</v>
      </c>
      <c r="DA243" s="1111">
        <f>SUMIFS(NewEmisData!L:L, NewEmisData!$A:$A, $G243, NewEmisData!$B:$B, $A243, NewEmisData!$C:$C, $H243, NewEmisData!$D:$D, DA$6)</f>
        <v>3.3967409048497499E-3</v>
      </c>
      <c r="DB243" s="1111">
        <f>SUMIFS(NewEmisData!M:M, NewEmisData!$A:$A, $G243, NewEmisData!$B:$B, $A243, NewEmisData!$C:$C, $H243, NewEmisData!$D:$D, DB$6)</f>
        <v>3.3981280596405302E-3</v>
      </c>
      <c r="DC243" s="1111">
        <f t="shared" si="378"/>
        <v>3.3981280596405302E-3</v>
      </c>
      <c r="DD243" s="1111"/>
      <c r="DE243" s="1111"/>
      <c r="DF243" s="1111"/>
      <c r="DG243" s="1111"/>
      <c r="DH243" s="1111"/>
      <c r="DI243" s="1111"/>
      <c r="DJ243" s="1111"/>
      <c r="DK243" s="1111"/>
      <c r="DL243" s="1111"/>
      <c r="DM243" s="1111"/>
      <c r="DN243" s="1111"/>
      <c r="DO243" s="1111"/>
      <c r="DP243" s="1111"/>
      <c r="DQ243" s="1111"/>
      <c r="DR243" s="1111"/>
      <c r="DS243" s="1111"/>
      <c r="DT243" s="1111"/>
      <c r="DU243" s="1111"/>
      <c r="DV243" s="1111"/>
      <c r="DW243" s="1111"/>
      <c r="DX243" s="1111"/>
      <c r="DY243" s="1111"/>
      <c r="DZ243" s="1111">
        <f t="shared" si="379"/>
        <v>1.50837600567011E-2</v>
      </c>
      <c r="EA243" s="1111">
        <f>SUMIFS(NewEmisData!E:E, NewEmisData!$A:$A, $G243, NewEmisData!$B:$B, $A243, NewEmisData!$C:$C, $H243, NewEmisData!$D:$D, EA$6)</f>
        <v>1.50837600567011E-2</v>
      </c>
      <c r="EB243" s="1111">
        <f>SUMIFS(NewEmisData!F:F, NewEmisData!$A:$A, $G243, NewEmisData!$B:$B, $A243, NewEmisData!$C:$C, $H243, NewEmisData!$D:$D, EB$6)</f>
        <v>4.1820056790997803E-2</v>
      </c>
      <c r="EC243" s="1111">
        <f>SUMIFS(NewEmisData!G:G, NewEmisData!$A:$A, $G243, NewEmisData!$B:$B, $A243, NewEmisData!$C:$C, $H243, NewEmisData!$D:$D, EC$6)</f>
        <v>7.3126252157420996E-2</v>
      </c>
      <c r="ED243" s="1111">
        <f>SUMIFS(NewEmisData!H:H, NewEmisData!$A:$A, $G243, NewEmisData!$B:$B, $A243, NewEmisData!$C:$C, $H243, NewEmisData!$D:$D, ED$6)</f>
        <v>7.3867270375654201E-2</v>
      </c>
      <c r="EE243" s="1111">
        <f>SUMIFS(NewEmisData!I:I, NewEmisData!$A:$A, $G243, NewEmisData!$B:$B, $A243, NewEmisData!$C:$C, $H243, NewEmisData!$D:$D, EE$6)</f>
        <v>7.3939295087643395E-2</v>
      </c>
      <c r="EF243" s="1111">
        <f>SUMIFS(NewEmisData!J:J, NewEmisData!$A:$A, $G243, NewEmisData!$B:$B, $A243, NewEmisData!$C:$C, $H243, NewEmisData!$D:$D, EF$6)</f>
        <v>7.3756036716317294E-2</v>
      </c>
      <c r="EG243" s="1111">
        <f>SUMIFS(NewEmisData!K:K, NewEmisData!$A:$A, $G243, NewEmisData!$B:$B, $A243, NewEmisData!$C:$C, $H243, NewEmisData!$D:$D, EG$6)</f>
        <v>7.3800142314626199E-2</v>
      </c>
      <c r="EH243" s="1111">
        <f>SUMIFS(NewEmisData!L:L, NewEmisData!$A:$A, $G243, NewEmisData!$B:$B, $A243, NewEmisData!$C:$C, $H243, NewEmisData!$D:$D, EH$6)</f>
        <v>7.3776798768142804E-2</v>
      </c>
      <c r="EI243" s="1111">
        <f>SUMIFS(NewEmisData!M:M, NewEmisData!$A:$A, $G243, NewEmisData!$B:$B, $A243, NewEmisData!$C:$C, $H243, NewEmisData!$D:$D, EI$6)</f>
        <v>7.3798077513590202E-2</v>
      </c>
      <c r="EJ243" s="1111">
        <f t="shared" si="380"/>
        <v>7.3798077513590202E-2</v>
      </c>
      <c r="EK243" s="1111">
        <f t="shared" si="381"/>
        <v>1669.0822501080099</v>
      </c>
      <c r="EL243" s="1111">
        <f t="shared" si="343"/>
        <v>1669.0822501080099</v>
      </c>
      <c r="EM243" s="1111">
        <f t="shared" si="344"/>
        <v>1673.1688001129</v>
      </c>
      <c r="EN243" s="1111">
        <f t="shared" si="345"/>
        <v>1365.67564571155</v>
      </c>
      <c r="EO243" s="1111">
        <f t="shared" si="346"/>
        <v>1340.2430368273101</v>
      </c>
      <c r="EP243" s="1111">
        <f t="shared" si="347"/>
        <v>1322.8450856147599</v>
      </c>
      <c r="EQ243" s="1111">
        <f t="shared" si="348"/>
        <v>1317.23072914767</v>
      </c>
      <c r="ER243" s="1111">
        <f t="shared" si="349"/>
        <v>1315.3450285164099</v>
      </c>
      <c r="ES243" s="1111">
        <f t="shared" si="350"/>
        <v>1314.50089135955</v>
      </c>
      <c r="ET243" s="1111">
        <f t="shared" si="351"/>
        <v>1313.88241213587</v>
      </c>
      <c r="EU243" s="1111">
        <f t="shared" si="352"/>
        <v>1313.88241213587</v>
      </c>
      <c r="EV243" s="1111">
        <f t="shared" si="382"/>
        <v>13.492775574024799</v>
      </c>
      <c r="EW243" s="1111">
        <f t="shared" si="333"/>
        <v>13.492775574024799</v>
      </c>
      <c r="EX243" s="1111">
        <f t="shared" si="334"/>
        <v>7.5468458416536803</v>
      </c>
      <c r="EY243" s="1111">
        <f t="shared" si="335"/>
        <v>2.86440753900408</v>
      </c>
      <c r="EZ243" s="1111">
        <f t="shared" si="336"/>
        <v>1.66545036782072</v>
      </c>
      <c r="FA243" s="1111">
        <f t="shared" si="337"/>
        <v>1.2872223005865</v>
      </c>
      <c r="FB243" s="1111">
        <f t="shared" si="338"/>
        <v>1.20818388349511</v>
      </c>
      <c r="FC243" s="1111">
        <f t="shared" si="339"/>
        <v>1.1882189073440399</v>
      </c>
      <c r="FD243" s="1111">
        <f t="shared" si="340"/>
        <v>1.18759279747034</v>
      </c>
      <c r="FE243" s="1111">
        <f t="shared" si="341"/>
        <v>1.1873143220192299</v>
      </c>
      <c r="FF243" s="1111">
        <f t="shared" si="342"/>
        <v>1.1873143220192299</v>
      </c>
      <c r="FG243" s="1111">
        <f t="shared" si="291"/>
        <v>1.9219515132106998E-2</v>
      </c>
      <c r="FH243" s="1111">
        <f t="shared" si="292"/>
        <v>1.9219515132106998E-2</v>
      </c>
      <c r="FI243" s="1111">
        <f t="shared" si="293"/>
        <v>1.8381789821165999E-2</v>
      </c>
      <c r="FJ243" s="1111">
        <f t="shared" si="294"/>
        <v>1.1480506512681401E-2</v>
      </c>
      <c r="FK243" s="1111">
        <f t="shared" si="295"/>
        <v>1.1200613613581E-2</v>
      </c>
      <c r="FL243" s="1111">
        <f t="shared" si="296"/>
        <v>1.1033835716401499E-2</v>
      </c>
      <c r="FM243" s="1111">
        <f t="shared" si="297"/>
        <v>1.0983128564943399E-2</v>
      </c>
      <c r="FN243" s="1111">
        <f t="shared" si="298"/>
        <v>1.09661929621608E-2</v>
      </c>
      <c r="FO243" s="1111">
        <f t="shared" si="299"/>
        <v>1.09591556908048E-2</v>
      </c>
      <c r="FP243" s="1111">
        <f t="shared" si="300"/>
        <v>1.09539961645838E-2</v>
      </c>
      <c r="FQ243" s="1111">
        <f t="shared" si="301"/>
        <v>1.09539961645838E-2</v>
      </c>
      <c r="FR243" s="1111">
        <f t="shared" si="322"/>
        <v>0.858529279217077</v>
      </c>
      <c r="FS243" s="1111">
        <f t="shared" si="323"/>
        <v>0.858529279217077</v>
      </c>
      <c r="FT243" s="1111">
        <f t="shared" si="324"/>
        <v>0.503731417508816</v>
      </c>
      <c r="FU243" s="1111">
        <f t="shared" si="325"/>
        <v>0.37512816215378397</v>
      </c>
      <c r="FV243" s="1111">
        <f t="shared" si="326"/>
        <v>0.30828199926496602</v>
      </c>
      <c r="FW243" s="1111">
        <f t="shared" si="327"/>
        <v>0.28661953326038297</v>
      </c>
      <c r="FX243" s="1111">
        <f t="shared" si="328"/>
        <v>0.28264038179328499</v>
      </c>
      <c r="FY243" s="1111">
        <f t="shared" si="329"/>
        <v>0.28162692153878699</v>
      </c>
      <c r="FZ243" s="1111">
        <f t="shared" si="330"/>
        <v>0.281751869278763</v>
      </c>
      <c r="GA243" s="1111">
        <f t="shared" si="331"/>
        <v>0.28192306485273899</v>
      </c>
      <c r="GB243" s="1111">
        <f t="shared" si="332"/>
        <v>0.28192306485273899</v>
      </c>
      <c r="GC243" s="1111">
        <f t="shared" si="353"/>
        <v>0.65283874806811604</v>
      </c>
      <c r="GD243" s="1111">
        <f t="shared" si="354"/>
        <v>0.65283874806811604</v>
      </c>
      <c r="GE243" s="1111">
        <f t="shared" si="355"/>
        <v>0.33224436660041701</v>
      </c>
      <c r="GF243" s="1111">
        <f t="shared" si="356"/>
        <v>0.13652581905042699</v>
      </c>
      <c r="GG243" s="1111">
        <f t="shared" si="357"/>
        <v>7.8025503719108297E-2</v>
      </c>
      <c r="GH243" s="1111">
        <f t="shared" si="358"/>
        <v>5.9231027771519597E-2</v>
      </c>
      <c r="GI243" s="1111">
        <f t="shared" si="359"/>
        <v>5.5901975487255798E-2</v>
      </c>
      <c r="GJ243" s="1111">
        <f t="shared" si="360"/>
        <v>5.4946823671966197E-2</v>
      </c>
      <c r="GK243" s="1111">
        <f t="shared" si="361"/>
        <v>5.4950705011026502E-2</v>
      </c>
      <c r="GL243" s="1111">
        <f t="shared" si="362"/>
        <v>5.4967058193246002E-2</v>
      </c>
      <c r="GM243" s="1111">
        <f t="shared" si="363"/>
        <v>5.4967058193246002E-2</v>
      </c>
    </row>
    <row r="244" spans="1:195" x14ac:dyDescent="0.2">
      <c r="A244" s="1071" t="s">
        <v>190</v>
      </c>
      <c r="B244" s="1071" t="str">
        <f>Technologies!C146</f>
        <v>THSDSLC</v>
      </c>
      <c r="C244" s="1071" t="str">
        <f>Technologies!D146</f>
        <v>Heavy Truck, Short Haul, Conv. Diesel</v>
      </c>
      <c r="D244" s="1071" t="str">
        <f>NewTech!D99</f>
        <v>bn-vmt, bn-vmt/a</v>
      </c>
      <c r="E244" s="1071" t="str">
        <f>Commodities!C$44</f>
        <v>THDSL</v>
      </c>
      <c r="F244" s="1071" t="s">
        <v>98</v>
      </c>
      <c r="G244" s="1110" t="s">
        <v>505</v>
      </c>
      <c r="H244" s="1110" t="s">
        <v>499</v>
      </c>
      <c r="I244" s="1112">
        <v>1</v>
      </c>
      <c r="J244" s="1111" t="str">
        <f t="shared" si="302"/>
        <v>Heavy duty short haul truck-DSL</v>
      </c>
      <c r="K244" s="1111">
        <f>SUMIFS(NewEmisData!E:E, NewEmisData!$A:$A, $G244, NewEmisData!$B:$B, $A244, NewEmisData!$C:$C, $H244, NewEmisData!$D:$D, K$6)</f>
        <v>1446.4734413180499</v>
      </c>
      <c r="L244" s="1111">
        <f>SUMIFS(NewEmisData!F:F, NewEmisData!$A:$A, $G244, NewEmisData!$B:$B, $A244, NewEmisData!$C:$C, $H244, NewEmisData!$D:$D, L$6)</f>
        <v>1740.72087390757</v>
      </c>
      <c r="M244" s="1111">
        <f>SUMIFS(NewEmisData!G:G, NewEmisData!$A:$A, $G244, NewEmisData!$B:$B, $A244, NewEmisData!$C:$C, $H244, NewEmisData!$D:$D, M$6)</f>
        <v>1883.5112444895601</v>
      </c>
      <c r="N244" s="1111">
        <f>SUMIFS(NewEmisData!H:H, NewEmisData!$A:$A, $G244, NewEmisData!$B:$B, $A244, NewEmisData!$C:$C, $H244, NewEmisData!$D:$D, N$6)</f>
        <v>1846.4691773357799</v>
      </c>
      <c r="O244" s="1111">
        <f>SUMIFS(NewEmisData!I:I, NewEmisData!$A:$A, $G244, NewEmisData!$B:$B, $A244, NewEmisData!$C:$C, $H244, NewEmisData!$D:$D, O$6)</f>
        <v>1831.61438997502</v>
      </c>
      <c r="P244" s="1111">
        <f>SUMIFS(NewEmisData!J:J, NewEmisData!$A:$A, $G244, NewEmisData!$B:$B, $A244, NewEmisData!$C:$C, $H244, NewEmisData!$D:$D, P$6)</f>
        <v>1827.40074627429</v>
      </c>
      <c r="Q244" s="1111">
        <f>SUMIFS(NewEmisData!K:K, NewEmisData!$A:$A, $G244, NewEmisData!$B:$B, $A244, NewEmisData!$C:$C, $H244, NewEmisData!$D:$D, Q$6)</f>
        <v>1826.3756740122001</v>
      </c>
      <c r="R244" s="1111">
        <f>SUMIFS(NewEmisData!L:L, NewEmisData!$A:$A, $G244, NewEmisData!$B:$B, $A244, NewEmisData!$C:$C, $H244, NewEmisData!$D:$D, R$6)</f>
        <v>1826.08515951495</v>
      </c>
      <c r="S244" s="1111">
        <f>SUMIFS(NewEmisData!M:M, NewEmisData!$A:$A, $G244, NewEmisData!$B:$B, $A244, NewEmisData!$C:$C, $H244, NewEmisData!$D:$D, S$6)</f>
        <v>1825.9462445100501</v>
      </c>
      <c r="T244" s="1111">
        <f t="shared" si="364"/>
        <v>1825.9462445100501</v>
      </c>
      <c r="U244" s="1111">
        <f>SUMIFS(NewEmisData!E:E, NewEmisData!$A:$A, $G244, NewEmisData!$B:$B, $A244, NewEmisData!$C:$C, $H244, NewEmisData!$D:$D, U$6)</f>
        <v>10.927472096680599</v>
      </c>
      <c r="V244" s="1111">
        <f>SUMIFS(NewEmisData!F:F, NewEmisData!$A:$A, $G244, NewEmisData!$B:$B, $A244, NewEmisData!$C:$C, $H244, NewEmisData!$D:$D, V$6)</f>
        <v>7.1206377233055003</v>
      </c>
      <c r="W244" s="1111">
        <f>SUMIFS(NewEmisData!G:G, NewEmisData!$A:$A, $G244, NewEmisData!$B:$B, $A244, NewEmisData!$C:$C, $H244, NewEmisData!$D:$D, W$6)</f>
        <v>3.1558879768380601</v>
      </c>
      <c r="X244" s="1111">
        <f>SUMIFS(NewEmisData!H:H, NewEmisData!$A:$A, $G244, NewEmisData!$B:$B, $A244, NewEmisData!$C:$C, $H244, NewEmisData!$D:$D, X$6)</f>
        <v>2.0748112225925799</v>
      </c>
      <c r="Y244" s="1111">
        <f>SUMIFS(NewEmisData!I:I, NewEmisData!$A:$A, $G244, NewEmisData!$B:$B, $A244, NewEmisData!$C:$C, $H244, NewEmisData!$D:$D, Y$6)</f>
        <v>1.74258491838324</v>
      </c>
      <c r="Z244" s="1111">
        <f>SUMIFS(NewEmisData!J:J, NewEmisData!$A:$A, $G244, NewEmisData!$B:$B, $A244, NewEmisData!$C:$C, $H244, NewEmisData!$D:$D, Z$6)</f>
        <v>1.67796051175704</v>
      </c>
      <c r="AA244" s="1111">
        <f>SUMIFS(NewEmisData!K:K, NewEmisData!$A:$A, $G244, NewEmisData!$B:$B, $A244, NewEmisData!$C:$C, $H244, NewEmisData!$D:$D, AA$6)</f>
        <v>1.66395683464412</v>
      </c>
      <c r="AB244" s="1111">
        <f>SUMIFS(NewEmisData!L:L, NewEmisData!$A:$A, $G244, NewEmisData!$B:$B, $A244, NewEmisData!$C:$C, $H244, NewEmisData!$D:$D, AB$6)</f>
        <v>1.6637625206784601</v>
      </c>
      <c r="AC244" s="1111">
        <f>SUMIFS(NewEmisData!M:M, NewEmisData!$A:$A, $G244, NewEmisData!$B:$B, $A244, NewEmisData!$C:$C, $H244, NewEmisData!$D:$D, AC$6)</f>
        <v>1.6637616447113901</v>
      </c>
      <c r="AD244" s="1111">
        <f t="shared" si="321"/>
        <v>1.6637616447113901</v>
      </c>
      <c r="AE244" s="1111">
        <f t="shared" si="365"/>
        <v>3.5795342325280199E-2</v>
      </c>
      <c r="AF244" s="1111">
        <f>SUMIFS(NewEmisData!E:E, NewEmisData!$A:$A, $G244, NewEmisData!$B:$B, $A244, NewEmisData!$C:$C, $H244, NewEmisData!$D:$D, AF$6)</f>
        <v>3.5795342325280199E-2</v>
      </c>
      <c r="AG244" s="1111">
        <f>SUMIFS(NewEmisData!F:F, NewEmisData!$A:$A, $G244, NewEmisData!$B:$B, $A244, NewEmisData!$C:$C, $H244, NewEmisData!$D:$D, AG$6)</f>
        <v>4.18895987456427E-2</v>
      </c>
      <c r="AH244" s="1111">
        <f>SUMIFS(NewEmisData!G:G, NewEmisData!$A:$A, $G244, NewEmisData!$B:$B, $A244, NewEmisData!$C:$C, $H244, NewEmisData!$D:$D, AH$6)</f>
        <v>1.5791060545945802E-2</v>
      </c>
      <c r="AI244" s="1111">
        <f>SUMIFS(NewEmisData!H:H, NewEmisData!$A:$A, $G244, NewEmisData!$B:$B, $A244, NewEmisData!$C:$C, $H244, NewEmisData!$D:$D, AI$6)</f>
        <v>1.5415670212051501E-2</v>
      </c>
      <c r="AJ244" s="1111">
        <f>SUMIFS(NewEmisData!I:I, NewEmisData!$A:$A, $G244, NewEmisData!$B:$B, $A244, NewEmisData!$C:$C, $H244, NewEmisData!$D:$D, AJ$6)</f>
        <v>1.5274431754930399E-2</v>
      </c>
      <c r="AK244" s="1111">
        <f>SUMIFS(NewEmisData!J:J, NewEmisData!$A:$A, $G244, NewEmisData!$B:$B, $A244, NewEmisData!$C:$C, $H244, NewEmisData!$D:$D, AK$6)</f>
        <v>1.5236164903811999E-2</v>
      </c>
      <c r="AL244" s="1111">
        <f>SUMIFS(NewEmisData!K:K, NewEmisData!$A:$A, $G244, NewEmisData!$B:$B, $A244, NewEmisData!$C:$C, $H244, NewEmisData!$D:$D, AL$6)</f>
        <v>1.52267203455439E-2</v>
      </c>
      <c r="AM244" s="1111">
        <f>SUMIFS(NewEmisData!L:L, NewEmisData!$A:$A, $G244, NewEmisData!$B:$B, $A244, NewEmisData!$C:$C, $H244, NewEmisData!$D:$D, AM$6)</f>
        <v>1.5224294731162401E-2</v>
      </c>
      <c r="AN244" s="1111">
        <f>SUMIFS(NewEmisData!M:M, NewEmisData!$A:$A, $G244, NewEmisData!$B:$B, $A244, NewEmisData!$C:$C, $H244, NewEmisData!$D:$D, AN$6)</f>
        <v>1.52231302628319E-2</v>
      </c>
      <c r="AO244" s="1111">
        <f t="shared" si="366"/>
        <v>1.52231302628319E-2</v>
      </c>
      <c r="AP244" s="1111">
        <f t="shared" si="367"/>
        <v>1.1386613940402399</v>
      </c>
      <c r="AQ244" s="1111">
        <f>SUMIFS(NewEmisData!E:E, NewEmisData!$A:$A, $G244, NewEmisData!$B:$B, $A244, NewEmisData!$C:$C, $H244, NewEmisData!$D:$D, AQ$6)</f>
        <v>1.1386613940402399</v>
      </c>
      <c r="AR244" s="1111">
        <f>SUMIFS(NewEmisData!F:F, NewEmisData!$A:$A, $G244, NewEmisData!$B:$B, $A244, NewEmisData!$C:$C, $H244, NewEmisData!$D:$D, AR$6)</f>
        <v>0.81062826870189697</v>
      </c>
      <c r="AS244" s="1111">
        <f>SUMIFS(NewEmisData!G:G, NewEmisData!$A:$A, $G244, NewEmisData!$B:$B, $A244, NewEmisData!$C:$C, $H244, NewEmisData!$D:$D, AS$6)</f>
        <v>0.53923885209480305</v>
      </c>
      <c r="AT244" s="1111">
        <f>SUMIFS(NewEmisData!H:H, NewEmisData!$A:$A, $G244, NewEmisData!$B:$B, $A244, NewEmisData!$C:$C, $H244, NewEmisData!$D:$D, AT$6)</f>
        <v>0.475762300205197</v>
      </c>
      <c r="AU244" s="1111">
        <f>SUMIFS(NewEmisData!I:I, NewEmisData!$A:$A, $G244, NewEmisData!$B:$B, $A244, NewEmisData!$C:$C, $H244, NewEmisData!$D:$D, AU$6)</f>
        <v>0.45922153968976998</v>
      </c>
      <c r="AV244" s="1111">
        <f>SUMIFS(NewEmisData!J:J, NewEmisData!$A:$A, $G244, NewEmisData!$B:$B, $A244, NewEmisData!$C:$C, $H244, NewEmisData!$D:$D, AV$6)</f>
        <v>0.45636829014935498</v>
      </c>
      <c r="AW244" s="1111">
        <f>SUMIFS(NewEmisData!K:K, NewEmisData!$A:$A, $G244, NewEmisData!$B:$B, $A244, NewEmisData!$C:$C, $H244, NewEmisData!$D:$D, AW$6)</f>
        <v>0.45567985208338102</v>
      </c>
      <c r="AX244" s="1111">
        <f>SUMIFS(NewEmisData!L:L, NewEmisData!$A:$A, $G244, NewEmisData!$B:$B, $A244, NewEmisData!$C:$C, $H244, NewEmisData!$D:$D, AX$6)</f>
        <v>0.45574905770507301</v>
      </c>
      <c r="AY244" s="1111">
        <f>SUMIFS(NewEmisData!M:M, NewEmisData!$A:$A, $G244, NewEmisData!$B:$B, $A244, NewEmisData!$C:$C, $H244, NewEmisData!$D:$D, AY$6)</f>
        <v>0.455831313218652</v>
      </c>
      <c r="AZ244" s="1111">
        <f t="shared" si="368"/>
        <v>0.455831313218652</v>
      </c>
      <c r="BA244" s="1111">
        <f t="shared" si="369"/>
        <v>0.76056597813754101</v>
      </c>
      <c r="BB244" s="1111">
        <f>SUMIFS(NewEmisData!E:E, NewEmisData!$A:$A, $G244, NewEmisData!$B:$B, $A244, NewEmisData!$C:$C, $H244, NewEmisData!$D:$D, BB$6)</f>
        <v>0.76056597813754101</v>
      </c>
      <c r="BC244" s="1111">
        <f>SUMIFS(NewEmisData!F:F, NewEmisData!$A:$A, $G244, NewEmisData!$B:$B, $A244, NewEmisData!$C:$C, $H244, NewEmisData!$D:$D, BC$6)</f>
        <v>0.44834360182688099</v>
      </c>
      <c r="BD244" s="1111">
        <f>SUMIFS(NewEmisData!G:G, NewEmisData!$A:$A, $G244, NewEmisData!$B:$B, $A244, NewEmisData!$C:$C, $H244, NewEmisData!$D:$D, BD$6)</f>
        <v>0.16425905468775201</v>
      </c>
      <c r="BE244" s="1111">
        <f>SUMIFS(NewEmisData!H:H, NewEmisData!$A:$A, $G244, NewEmisData!$B:$B, $A244, NewEmisData!$C:$C, $H244, NewEmisData!$D:$D, BE$6)</f>
        <v>0.106571454108964</v>
      </c>
      <c r="BF244" s="1111">
        <f>SUMIFS(NewEmisData!I:I, NewEmisData!$A:$A, $G244, NewEmisData!$B:$B, $A244, NewEmisData!$C:$C, $H244, NewEmisData!$D:$D, BF$6)</f>
        <v>9.1494531785506497E-2</v>
      </c>
      <c r="BG244" s="1111">
        <f>SUMIFS(NewEmisData!J:J, NewEmisData!$A:$A, $G244, NewEmisData!$B:$B, $A244, NewEmisData!$C:$C, $H244, NewEmisData!$D:$D, BG$6)</f>
        <v>8.8871730484206005E-2</v>
      </c>
      <c r="BH244" s="1111">
        <f>SUMIFS(NewEmisData!K:K, NewEmisData!$A:$A, $G244, NewEmisData!$B:$B, $A244, NewEmisData!$C:$C, $H244, NewEmisData!$D:$D, BH$6)</f>
        <v>8.8185150826517997E-2</v>
      </c>
      <c r="BI244" s="1111">
        <f>SUMIFS(NewEmisData!L:L, NewEmisData!$A:$A, $G244, NewEmisData!$B:$B, $A244, NewEmisData!$C:$C, $H244, NewEmisData!$D:$D, BI$6)</f>
        <v>8.8192675178559193E-2</v>
      </c>
      <c r="BJ244" s="1111">
        <f>SUMIFS(NewEmisData!M:M, NewEmisData!$A:$A, $G244, NewEmisData!$B:$B, $A244, NewEmisData!$C:$C, $H244, NewEmisData!$D:$D, BJ$6)</f>
        <v>8.8205281736577906E-2</v>
      </c>
      <c r="BK244" s="1111">
        <f t="shared" si="370"/>
        <v>8.8205281736577906E-2</v>
      </c>
      <c r="BL244" s="1111">
        <f t="shared" si="371"/>
        <v>4.6832626450914496</v>
      </c>
      <c r="BM244" s="1111">
        <f>SUMIFS(NewEmisData!E:E, NewEmisData!$A:$A, $G244, NewEmisData!$B:$B, $A244, NewEmisData!$C:$C, $H244, NewEmisData!$D:$D, BM$6)</f>
        <v>4.6832626450914496</v>
      </c>
      <c r="BN244" s="1111">
        <f>SUMIFS(NewEmisData!F:F, NewEmisData!$A:$A, $G244, NewEmisData!$B:$B, $A244, NewEmisData!$C:$C, $H244, NewEmisData!$D:$D, BN$6)</f>
        <v>2.6100431929147598</v>
      </c>
      <c r="BO244" s="1111">
        <f>SUMIFS(NewEmisData!G:G, NewEmisData!$A:$A, $G244, NewEmisData!$B:$B, $A244, NewEmisData!$C:$C, $H244, NewEmisData!$D:$D, BO$6)</f>
        <v>1.44727268865366</v>
      </c>
      <c r="BP244" s="1111">
        <f>SUMIFS(NewEmisData!H:H, NewEmisData!$A:$A, $G244, NewEmisData!$B:$B, $A244, NewEmisData!$C:$C, $H244, NewEmisData!$D:$D, BP$6)</f>
        <v>1.1207683835002999</v>
      </c>
      <c r="BQ244" s="1111">
        <f>SUMIFS(NewEmisData!I:I, NewEmisData!$A:$A, $G244, NewEmisData!$B:$B, $A244, NewEmisData!$C:$C, $H244, NewEmisData!$D:$D, BQ$6)</f>
        <v>1.0267847071138601</v>
      </c>
      <c r="BR244" s="1111">
        <f>SUMIFS(NewEmisData!J:J, NewEmisData!$A:$A, $G244, NewEmisData!$B:$B, $A244, NewEmisData!$C:$C, $H244, NewEmisData!$D:$D, BR$6)</f>
        <v>1.00432218637865</v>
      </c>
      <c r="BS244" s="1111">
        <f>SUMIFS(NewEmisData!K:K, NewEmisData!$A:$A, $G244, NewEmisData!$B:$B, $A244, NewEmisData!$C:$C, $H244, NewEmisData!$D:$D, BS$6)</f>
        <v>0.99794723012971298</v>
      </c>
      <c r="BT244" s="1111">
        <f>SUMIFS(NewEmisData!L:L, NewEmisData!$A:$A, $G244, NewEmisData!$B:$B, $A244, NewEmisData!$C:$C, $H244, NewEmisData!$D:$D, BT$6)</f>
        <v>0.99667933319928403</v>
      </c>
      <c r="BU244" s="1111">
        <f>SUMIFS(NewEmisData!M:M, NewEmisData!$A:$A, $G244, NewEmisData!$B:$B, $A244, NewEmisData!$C:$C, $H244, NewEmisData!$D:$D, BU$6)</f>
        <v>0.99661224661700498</v>
      </c>
      <c r="BV244" s="1111">
        <f t="shared" si="372"/>
        <v>0.99661224661700498</v>
      </c>
      <c r="BW244" s="1111">
        <f t="shared" si="373"/>
        <v>1.3036578993866199</v>
      </c>
      <c r="BX244" s="1111">
        <f>SUMIFS(NewEmisData!E:E, NewEmisData!$A:$A, $G244, NewEmisData!$B:$B, $A244, NewEmisData!$C:$C, $H244, NewEmisData!$D:$D, BX$6)</f>
        <v>1.3036578993866199</v>
      </c>
      <c r="BY244" s="1111">
        <f>SUMIFS(NewEmisData!F:F, NewEmisData!$A:$A, $G244, NewEmisData!$B:$B, $A244, NewEmisData!$C:$C, $H244, NewEmisData!$D:$D, BY$6)</f>
        <v>0.62654783684864801</v>
      </c>
      <c r="BZ244" s="1111">
        <f>SUMIFS(NewEmisData!G:G, NewEmisData!$A:$A, $G244, NewEmisData!$B:$B, $A244, NewEmisData!$C:$C, $H244, NewEmisData!$D:$D, BZ$6)</f>
        <v>0.256477663626625</v>
      </c>
      <c r="CA244" s="1111">
        <f>SUMIFS(NewEmisData!H:H, NewEmisData!$A:$A, $G244, NewEmisData!$B:$B, $A244, NewEmisData!$C:$C, $H244, NewEmisData!$D:$D, CA$6)</f>
        <v>0.15721626159253699</v>
      </c>
      <c r="CB244" s="1111">
        <f>SUMIFS(NewEmisData!I:I, NewEmisData!$A:$A, $G244, NewEmisData!$B:$B, $A244, NewEmisData!$C:$C, $H244, NewEmisData!$D:$D, CB$6)</f>
        <v>0.12995527844758301</v>
      </c>
      <c r="CC244" s="1111">
        <f>SUMIFS(NewEmisData!J:J, NewEmisData!$A:$A, $G244, NewEmisData!$B:$B, $A244, NewEmisData!$C:$C, $H244, NewEmisData!$D:$D, CC$6)</f>
        <v>0.124363752484154</v>
      </c>
      <c r="CD244" s="1111">
        <f>SUMIFS(NewEmisData!K:K, NewEmisData!$A:$A, $G244, NewEmisData!$B:$B, $A244, NewEmisData!$C:$C, $H244, NewEmisData!$D:$D, CD$6)</f>
        <v>0.12280434729006</v>
      </c>
      <c r="CE244" s="1111">
        <f>SUMIFS(NewEmisData!L:L, NewEmisData!$A:$A, $G244, NewEmisData!$B:$B, $A244, NewEmisData!$C:$C, $H244, NewEmisData!$D:$D, CE$6)</f>
        <v>0.12275657242648801</v>
      </c>
      <c r="CF244" s="1111">
        <f>SUMIFS(NewEmisData!M:M, NewEmisData!$A:$A, $G244, NewEmisData!$B:$B, $A244, NewEmisData!$C:$C, $H244, NewEmisData!$D:$D, CF$6)</f>
        <v>0.122755209940958</v>
      </c>
      <c r="CG244" s="1111">
        <f t="shared" si="374"/>
        <v>0.122755209940958</v>
      </c>
      <c r="CH244" s="1111">
        <f t="shared" si="375"/>
        <v>2.6814639578360101E-2</v>
      </c>
      <c r="CI244" s="1111">
        <f>SUMIFS(NewEmisData!E:E, NewEmisData!$A:$A, $G244, NewEmisData!$B:$B, $A244, NewEmisData!$C:$C, $H244, NewEmisData!$D:$D, CI$6)</f>
        <v>2.6814639578360101E-2</v>
      </c>
      <c r="CJ244" s="1111">
        <f>SUMIFS(NewEmisData!F:F, NewEmisData!$A:$A, $G244, NewEmisData!$B:$B, $A244, NewEmisData!$C:$C, $H244, NewEmisData!$D:$D, CJ$6)</f>
        <v>2.7377198484682501E-2</v>
      </c>
      <c r="CK244" s="1111">
        <f>SUMIFS(NewEmisData!G:G, NewEmisData!$A:$A, $G244, NewEmisData!$B:$B, $A244, NewEmisData!$C:$C, $H244, NewEmisData!$D:$D, CK$6)</f>
        <v>3.1744752331224299E-2</v>
      </c>
      <c r="CL244" s="1111">
        <f>SUMIFS(NewEmisData!H:H, NewEmisData!$A:$A, $G244, NewEmisData!$B:$B, $A244, NewEmisData!$C:$C, $H244, NewEmisData!$D:$D, CL$6)</f>
        <v>3.1751089810168102E-2</v>
      </c>
      <c r="CM244" s="1111">
        <f>SUMIFS(NewEmisData!I:I, NewEmisData!$A:$A, $G244, NewEmisData!$B:$B, $A244, NewEmisData!$C:$C, $H244, NewEmisData!$D:$D, CM$6)</f>
        <v>3.1753196220943601E-2</v>
      </c>
      <c r="CN244" s="1111">
        <f>SUMIFS(NewEmisData!J:J, NewEmisData!$A:$A, $G244, NewEmisData!$B:$B, $A244, NewEmisData!$C:$C, $H244, NewEmisData!$D:$D, CN$6)</f>
        <v>3.1754907653783297E-2</v>
      </c>
      <c r="CO244" s="1111">
        <f>SUMIFS(NewEmisData!K:K, NewEmisData!$A:$A, $G244, NewEmisData!$B:$B, $A244, NewEmisData!$C:$C, $H244, NewEmisData!$D:$D, CO$6)</f>
        <v>3.1756308019210901E-2</v>
      </c>
      <c r="CP244" s="1111">
        <f>SUMIFS(NewEmisData!L:L, NewEmisData!$A:$A, $G244, NewEmisData!$B:$B, $A244, NewEmisData!$C:$C, $H244, NewEmisData!$D:$D, CP$6)</f>
        <v>3.1757504483370197E-2</v>
      </c>
      <c r="CQ244" s="1111">
        <f>SUMIFS(NewEmisData!M:M, NewEmisData!$A:$A, $G244, NewEmisData!$B:$B, $A244, NewEmisData!$C:$C, $H244, NewEmisData!$D:$D, CQ$6)</f>
        <v>3.17586670417229E-2</v>
      </c>
      <c r="CR244" s="1111">
        <f t="shared" si="376"/>
        <v>3.17586670417229E-2</v>
      </c>
      <c r="CS244" s="1111">
        <f t="shared" si="377"/>
        <v>4.3846094197843499E-3</v>
      </c>
      <c r="CT244" s="1111">
        <f>SUMIFS(NewEmisData!E:E, NewEmisData!$A:$A, $G244, NewEmisData!$B:$B, $A244, NewEmisData!$C:$C, $H244, NewEmisData!$D:$D, CT$6)</f>
        <v>4.3846094197843499E-3</v>
      </c>
      <c r="CU244" s="1111">
        <f>SUMIFS(NewEmisData!F:F, NewEmisData!$A:$A, $G244, NewEmisData!$B:$B, $A244, NewEmisData!$C:$C, $H244, NewEmisData!$D:$D, CU$6)</f>
        <v>4.2824271816577098E-3</v>
      </c>
      <c r="CV244" s="1111">
        <f>SUMIFS(NewEmisData!G:G, NewEmisData!$A:$A, $G244, NewEmisData!$B:$B, $A244, NewEmisData!$C:$C, $H244, NewEmisData!$D:$D, CV$6)</f>
        <v>5.02899922498892E-3</v>
      </c>
      <c r="CW244" s="1111">
        <f>SUMIFS(NewEmisData!H:H, NewEmisData!$A:$A, $G244, NewEmisData!$B:$B, $A244, NewEmisData!$C:$C, $H244, NewEmisData!$D:$D, CW$6)</f>
        <v>5.0046662993367902E-3</v>
      </c>
      <c r="CX244" s="1111">
        <f>SUMIFS(NewEmisData!I:I, NewEmisData!$A:$A, $G244, NewEmisData!$B:$B, $A244, NewEmisData!$C:$C, $H244, NewEmisData!$D:$D, CX$6)</f>
        <v>4.9882594082795899E-3</v>
      </c>
      <c r="CY244" s="1111">
        <f>SUMIFS(NewEmisData!J:J, NewEmisData!$A:$A, $G244, NewEmisData!$B:$B, $A244, NewEmisData!$C:$C, $H244, NewEmisData!$D:$D, CY$6)</f>
        <v>4.9807823416885997E-3</v>
      </c>
      <c r="CZ244" s="1111">
        <f>SUMIFS(NewEmisData!K:K, NewEmisData!$A:$A, $G244, NewEmisData!$B:$B, $A244, NewEmisData!$C:$C, $H244, NewEmisData!$D:$D, CZ$6)</f>
        <v>4.9778351451056097E-3</v>
      </c>
      <c r="DA244" s="1111">
        <f>SUMIFS(NewEmisData!L:L, NewEmisData!$A:$A, $G244, NewEmisData!$B:$B, $A244, NewEmisData!$C:$C, $H244, NewEmisData!$D:$D, DA$6)</f>
        <v>4.9770350121877902E-3</v>
      </c>
      <c r="DB244" s="1111">
        <f>SUMIFS(NewEmisData!M:M, NewEmisData!$A:$A, $G244, NewEmisData!$B:$B, $A244, NewEmisData!$C:$C, $H244, NewEmisData!$D:$D, DB$6)</f>
        <v>4.97750081597703E-3</v>
      </c>
      <c r="DC244" s="1111">
        <f t="shared" si="378"/>
        <v>4.97750081597703E-3</v>
      </c>
      <c r="DD244" s="1111"/>
      <c r="DE244" s="1111"/>
      <c r="DF244" s="1111"/>
      <c r="DG244" s="1111"/>
      <c r="DH244" s="1111"/>
      <c r="DI244" s="1111"/>
      <c r="DJ244" s="1111"/>
      <c r="DK244" s="1111"/>
      <c r="DL244" s="1111"/>
      <c r="DM244" s="1111"/>
      <c r="DN244" s="1111"/>
      <c r="DO244" s="1111"/>
      <c r="DP244" s="1111"/>
      <c r="DQ244" s="1111"/>
      <c r="DR244" s="1111"/>
      <c r="DS244" s="1111"/>
      <c r="DT244" s="1111"/>
      <c r="DU244" s="1111"/>
      <c r="DV244" s="1111"/>
      <c r="DW244" s="1111"/>
      <c r="DX244" s="1111"/>
      <c r="DY244" s="1111"/>
      <c r="DZ244" s="1111">
        <f t="shared" si="379"/>
        <v>2.5837404070173101E-2</v>
      </c>
      <c r="EA244" s="1111">
        <f>SUMIFS(NewEmisData!E:E, NewEmisData!$A:$A, $G244, NewEmisData!$B:$B, $A244, NewEmisData!$C:$C, $H244, NewEmisData!$D:$D, EA$6)</f>
        <v>2.5837404070173101E-2</v>
      </c>
      <c r="EB244" s="1111">
        <f>SUMIFS(NewEmisData!F:F, NewEmisData!$A:$A, $G244, NewEmisData!$B:$B, $A244, NewEmisData!$C:$C, $H244, NewEmisData!$D:$D, EB$6)</f>
        <v>7.8297413767458204E-2</v>
      </c>
      <c r="EC244" s="1111">
        <f>SUMIFS(NewEmisData!G:G, NewEmisData!$A:$A, $G244, NewEmisData!$B:$B, $A244, NewEmisData!$C:$C, $H244, NewEmisData!$D:$D, EC$6)</f>
        <v>0.10066729837517401</v>
      </c>
      <c r="ED244" s="1111">
        <f>SUMIFS(NewEmisData!H:H, NewEmisData!$A:$A, $G244, NewEmisData!$B:$B, $A244, NewEmisData!$C:$C, $H244, NewEmisData!$D:$D, ED$6)</f>
        <v>0.10297636370982299</v>
      </c>
      <c r="EE244" s="1111">
        <f>SUMIFS(NewEmisData!I:I, NewEmisData!$A:$A, $G244, NewEmisData!$B:$B, $A244, NewEmisData!$C:$C, $H244, NewEmisData!$D:$D, EE$6)</f>
        <v>0.103171854151657</v>
      </c>
      <c r="EF244" s="1111">
        <f>SUMIFS(NewEmisData!J:J, NewEmisData!$A:$A, $G244, NewEmisData!$B:$B, $A244, NewEmisData!$C:$C, $H244, NewEmisData!$D:$D, EF$6)</f>
        <v>0.103095802852537</v>
      </c>
      <c r="EG244" s="1111">
        <f>SUMIFS(NewEmisData!K:K, NewEmisData!$A:$A, $G244, NewEmisData!$B:$B, $A244, NewEmisData!$C:$C, $H244, NewEmisData!$D:$D, EG$6)</f>
        <v>0.10319825346403599</v>
      </c>
      <c r="EH244" s="1111">
        <f>SUMIFS(NewEmisData!L:L, NewEmisData!$A:$A, $G244, NewEmisData!$B:$B, $A244, NewEmisData!$C:$C, $H244, NewEmisData!$D:$D, EH$6)</f>
        <v>0.103151432114074</v>
      </c>
      <c r="EI244" s="1111">
        <f>SUMIFS(NewEmisData!M:M, NewEmisData!$A:$A, $G244, NewEmisData!$B:$B, $A244, NewEmisData!$C:$C, $H244, NewEmisData!$D:$D, EI$6)</f>
        <v>0.103153661145232</v>
      </c>
      <c r="EJ244" s="1111">
        <f t="shared" si="380"/>
        <v>0.103153661145232</v>
      </c>
      <c r="EK244" s="1111">
        <f t="shared" si="381"/>
        <v>1446.4734413180499</v>
      </c>
      <c r="EL244" s="1111">
        <f t="shared" si="343"/>
        <v>1446.4734413180499</v>
      </c>
      <c r="EM244" s="1111">
        <f t="shared" si="344"/>
        <v>1740.72087390757</v>
      </c>
      <c r="EN244" s="1111">
        <f t="shared" si="345"/>
        <v>1883.5112444895601</v>
      </c>
      <c r="EO244" s="1111">
        <f t="shared" si="346"/>
        <v>1846.4691773357799</v>
      </c>
      <c r="EP244" s="1111">
        <f t="shared" si="347"/>
        <v>1831.61438997502</v>
      </c>
      <c r="EQ244" s="1111">
        <f t="shared" si="348"/>
        <v>1827.40074627429</v>
      </c>
      <c r="ER244" s="1111">
        <f t="shared" si="349"/>
        <v>1826.3756740122001</v>
      </c>
      <c r="ES244" s="1111">
        <f t="shared" si="350"/>
        <v>1826.08515951495</v>
      </c>
      <c r="ET244" s="1111">
        <f t="shared" si="351"/>
        <v>1825.9462445100501</v>
      </c>
      <c r="EU244" s="1111">
        <f t="shared" si="352"/>
        <v>1825.9462445100501</v>
      </c>
      <c r="EV244" s="1111">
        <f t="shared" si="382"/>
        <v>10.927472096680599</v>
      </c>
      <c r="EW244" s="1111">
        <f t="shared" si="333"/>
        <v>10.927472096680599</v>
      </c>
      <c r="EX244" s="1111">
        <f t="shared" si="334"/>
        <v>7.1206377233055003</v>
      </c>
      <c r="EY244" s="1111">
        <f t="shared" si="335"/>
        <v>3.1558879768380601</v>
      </c>
      <c r="EZ244" s="1111">
        <f t="shared" si="336"/>
        <v>2.0748112225925799</v>
      </c>
      <c r="FA244" s="1111">
        <f t="shared" si="337"/>
        <v>1.74258491838324</v>
      </c>
      <c r="FB244" s="1111">
        <f t="shared" si="338"/>
        <v>1.67796051175704</v>
      </c>
      <c r="FC244" s="1111">
        <f t="shared" si="339"/>
        <v>1.66395683464412</v>
      </c>
      <c r="FD244" s="1111">
        <f t="shared" si="340"/>
        <v>1.6637625206784601</v>
      </c>
      <c r="FE244" s="1111">
        <f t="shared" si="341"/>
        <v>1.6637616447113901</v>
      </c>
      <c r="FF244" s="1111">
        <f t="shared" si="342"/>
        <v>1.6637616447113901</v>
      </c>
      <c r="FG244" s="1111">
        <f t="shared" si="291"/>
        <v>3.5795342325280199E-2</v>
      </c>
      <c r="FH244" s="1111">
        <f t="shared" si="292"/>
        <v>3.5795342325280199E-2</v>
      </c>
      <c r="FI244" s="1111">
        <f t="shared" si="293"/>
        <v>4.18895987456427E-2</v>
      </c>
      <c r="FJ244" s="1111">
        <f t="shared" si="294"/>
        <v>1.5791060545945802E-2</v>
      </c>
      <c r="FK244" s="1111">
        <f t="shared" si="295"/>
        <v>1.5415670212051501E-2</v>
      </c>
      <c r="FL244" s="1111">
        <f t="shared" si="296"/>
        <v>1.5274431754930399E-2</v>
      </c>
      <c r="FM244" s="1111">
        <f t="shared" si="297"/>
        <v>1.5236164903811999E-2</v>
      </c>
      <c r="FN244" s="1111">
        <f t="shared" si="298"/>
        <v>1.52267203455439E-2</v>
      </c>
      <c r="FO244" s="1111">
        <f t="shared" si="299"/>
        <v>1.5224294731162401E-2</v>
      </c>
      <c r="FP244" s="1111">
        <f t="shared" si="300"/>
        <v>1.52231302628319E-2</v>
      </c>
      <c r="FQ244" s="1111">
        <f t="shared" si="301"/>
        <v>1.52231302628319E-2</v>
      </c>
      <c r="FR244" s="1111">
        <f t="shared" si="322"/>
        <v>1.1386613940402399</v>
      </c>
      <c r="FS244" s="1111">
        <f t="shared" si="323"/>
        <v>1.1386613940402399</v>
      </c>
      <c r="FT244" s="1111">
        <f t="shared" si="324"/>
        <v>0.81062826870189697</v>
      </c>
      <c r="FU244" s="1111">
        <f t="shared" si="325"/>
        <v>0.53923885209480305</v>
      </c>
      <c r="FV244" s="1111">
        <f t="shared" si="326"/>
        <v>0.475762300205197</v>
      </c>
      <c r="FW244" s="1111">
        <f t="shared" si="327"/>
        <v>0.45922153968976998</v>
      </c>
      <c r="FX244" s="1111">
        <f t="shared" si="328"/>
        <v>0.45636829014935498</v>
      </c>
      <c r="FY244" s="1111">
        <f t="shared" si="329"/>
        <v>0.45567985208338102</v>
      </c>
      <c r="FZ244" s="1111">
        <f t="shared" si="330"/>
        <v>0.45574905770507301</v>
      </c>
      <c r="GA244" s="1111">
        <f t="shared" si="331"/>
        <v>0.455831313218652</v>
      </c>
      <c r="GB244" s="1111">
        <f t="shared" si="332"/>
        <v>0.455831313218652</v>
      </c>
      <c r="GC244" s="1111">
        <f t="shared" si="353"/>
        <v>0.76056597813754101</v>
      </c>
      <c r="GD244" s="1111">
        <f t="shared" si="354"/>
        <v>0.76056597813754101</v>
      </c>
      <c r="GE244" s="1111">
        <f t="shared" si="355"/>
        <v>0.44834360182688099</v>
      </c>
      <c r="GF244" s="1111">
        <f t="shared" si="356"/>
        <v>0.16425905468775201</v>
      </c>
      <c r="GG244" s="1111">
        <f t="shared" si="357"/>
        <v>0.106571454108964</v>
      </c>
      <c r="GH244" s="1111">
        <f t="shared" si="358"/>
        <v>9.1494531785506497E-2</v>
      </c>
      <c r="GI244" s="1111">
        <f t="shared" si="359"/>
        <v>8.8871730484206005E-2</v>
      </c>
      <c r="GJ244" s="1111">
        <f t="shared" si="360"/>
        <v>8.8185150826517997E-2</v>
      </c>
      <c r="GK244" s="1111">
        <f t="shared" si="361"/>
        <v>8.8192675178559193E-2</v>
      </c>
      <c r="GL244" s="1111">
        <f t="shared" si="362"/>
        <v>8.8205281736577906E-2</v>
      </c>
      <c r="GM244" s="1111">
        <f t="shared" si="363"/>
        <v>8.8205281736577906E-2</v>
      </c>
    </row>
    <row r="245" spans="1:195" x14ac:dyDescent="0.2">
      <c r="A245" s="1071" t="str">
        <f>Technologies!B150</f>
        <v>*R2,R3,R4,R5,R6</v>
      </c>
      <c r="B245" s="1071" t="str">
        <f>Technologies!C150</f>
        <v>THSGSL102</v>
      </c>
      <c r="C245" s="1071" t="str">
        <f>Technologies!D150</f>
        <v>Heavy Truck, Short Haul, Gasoline, 2010</v>
      </c>
      <c r="D245" s="1071" t="str">
        <f>NewTech!D100</f>
        <v>bn-vmt, bn-vmt/a</v>
      </c>
      <c r="E245" s="1071" t="str">
        <f>Commodities!$C$48</f>
        <v>TWGSL</v>
      </c>
      <c r="F245" s="1071" t="str">
        <f>Commodities!$C$16</f>
        <v>TSW</v>
      </c>
      <c r="G245" s="1110" t="s">
        <v>505</v>
      </c>
      <c r="H245" s="1110" t="s">
        <v>499</v>
      </c>
      <c r="I245" s="1112">
        <v>1</v>
      </c>
      <c r="J245" s="1112" t="str">
        <f>J240</f>
        <v>Heavy duty short haul truck-DSL</v>
      </c>
      <c r="K245" s="1112">
        <f>K230</f>
        <v>1261.7193045716699</v>
      </c>
      <c r="L245" s="1112">
        <f t="shared" ref="L245:BW245" si="383">L230</f>
        <v>1249.12075772399</v>
      </c>
      <c r="M245" s="1112">
        <f t="shared" si="383"/>
        <v>1645.5452306145801</v>
      </c>
      <c r="N245" s="1112">
        <f t="shared" si="383"/>
        <v>1615.5067230397001</v>
      </c>
      <c r="O245" s="1111">
        <f t="shared" si="383"/>
        <v>1561.96512576184</v>
      </c>
      <c r="P245" s="1111">
        <f t="shared" si="383"/>
        <v>1548.35062809069</v>
      </c>
      <c r="Q245" s="1111">
        <f t="shared" si="383"/>
        <v>1545.11245308096</v>
      </c>
      <c r="R245" s="1111">
        <f t="shared" si="383"/>
        <v>1544.5579062120401</v>
      </c>
      <c r="S245" s="1111">
        <f t="shared" si="383"/>
        <v>1544.55231111378</v>
      </c>
      <c r="T245" s="1111">
        <f t="shared" si="364"/>
        <v>1544.55231111378</v>
      </c>
      <c r="U245" s="1111">
        <f t="shared" si="383"/>
        <v>5.0421157380649202</v>
      </c>
      <c r="V245" s="1111">
        <f t="shared" si="383"/>
        <v>2.6891275593082402</v>
      </c>
      <c r="W245" s="1111">
        <f t="shared" si="383"/>
        <v>1.59672970269866</v>
      </c>
      <c r="X245" s="1111">
        <f t="shared" si="383"/>
        <v>1.2533988169049</v>
      </c>
      <c r="Y245" s="1111">
        <f t="shared" si="383"/>
        <v>1.1377603861924299</v>
      </c>
      <c r="Z245" s="1111">
        <f t="shared" si="383"/>
        <v>1.11657517091755</v>
      </c>
      <c r="AA245" s="1111">
        <f t="shared" si="383"/>
        <v>1.10785037464988</v>
      </c>
      <c r="AB245" s="1111">
        <f t="shared" si="383"/>
        <v>1.10808970467776</v>
      </c>
      <c r="AC245" s="1111">
        <f t="shared" si="383"/>
        <v>1.10829058082377</v>
      </c>
      <c r="AD245" s="1111">
        <f t="shared" si="321"/>
        <v>1.10829058082377</v>
      </c>
      <c r="AE245" s="1111">
        <f t="shared" si="383"/>
        <v>2.18321680952577E-2</v>
      </c>
      <c r="AF245" s="1111">
        <f t="shared" si="383"/>
        <v>2.18321680952577E-2</v>
      </c>
      <c r="AG245" s="1111">
        <f t="shared" si="383"/>
        <v>2.1614175028351099E-2</v>
      </c>
      <c r="AH245" s="1111">
        <f t="shared" si="383"/>
        <v>2.3606201662977298E-2</v>
      </c>
      <c r="AI245" s="1111">
        <f t="shared" si="383"/>
        <v>2.3175292056127901E-2</v>
      </c>
      <c r="AJ245" s="1111">
        <f t="shared" si="383"/>
        <v>2.2407191257778802E-2</v>
      </c>
      <c r="AK245" s="1111">
        <f t="shared" si="383"/>
        <v>2.2211896644643399E-2</v>
      </c>
      <c r="AL245" s="1111">
        <f t="shared" si="383"/>
        <v>2.21654317430676E-2</v>
      </c>
      <c r="AM245" s="1111">
        <f t="shared" si="383"/>
        <v>2.21574783013113E-2</v>
      </c>
      <c r="AN245" s="1111">
        <f t="shared" si="383"/>
        <v>2.21574091915673E-2</v>
      </c>
      <c r="AO245" s="1111">
        <f t="shared" si="383"/>
        <v>2.21574091915673E-2</v>
      </c>
      <c r="AP245" s="1111">
        <f t="shared" si="383"/>
        <v>0.37498220674272298</v>
      </c>
      <c r="AQ245" s="1111">
        <f t="shared" si="383"/>
        <v>0.37498220674272298</v>
      </c>
      <c r="AR245" s="1111">
        <f t="shared" si="383"/>
        <v>0.30800096091118401</v>
      </c>
      <c r="AS245" s="1111">
        <f t="shared" si="383"/>
        <v>0.47876990917977102</v>
      </c>
      <c r="AT245" s="1111">
        <f t="shared" si="383"/>
        <v>0.47474601446343401</v>
      </c>
      <c r="AU245" s="1111">
        <f t="shared" si="383"/>
        <v>0.462592935753106</v>
      </c>
      <c r="AV245" s="1111">
        <f t="shared" si="383"/>
        <v>0.45943594701357998</v>
      </c>
      <c r="AW245" s="1111">
        <f t="shared" si="383"/>
        <v>0.45873466896290599</v>
      </c>
      <c r="AX245" s="1111">
        <f t="shared" si="383"/>
        <v>0.45859669819349802</v>
      </c>
      <c r="AY245" s="1111">
        <f t="shared" si="383"/>
        <v>0.458612118231494</v>
      </c>
      <c r="AZ245" s="1111">
        <f t="shared" si="383"/>
        <v>0.458612118231494</v>
      </c>
      <c r="BA245" s="1111">
        <f t="shared" si="383"/>
        <v>0.110253629274602</v>
      </c>
      <c r="BB245" s="1111">
        <f t="shared" si="383"/>
        <v>0.110253629274602</v>
      </c>
      <c r="BC245" s="1111">
        <f t="shared" si="383"/>
        <v>5.10415619775157E-2</v>
      </c>
      <c r="BD245" s="1111">
        <f t="shared" si="383"/>
        <v>6.9684988099320805E-2</v>
      </c>
      <c r="BE245" s="1111">
        <f t="shared" si="383"/>
        <v>6.9040658676098196E-2</v>
      </c>
      <c r="BF245" s="1111">
        <f t="shared" si="383"/>
        <v>6.6765177638673803E-2</v>
      </c>
      <c r="BG245" s="1111">
        <f t="shared" si="383"/>
        <v>6.6229434848786198E-2</v>
      </c>
      <c r="BH245" s="1111">
        <f t="shared" si="383"/>
        <v>6.6102443905475594E-2</v>
      </c>
      <c r="BI245" s="1111">
        <f t="shared" si="383"/>
        <v>6.6105381584131498E-2</v>
      </c>
      <c r="BJ245" s="1111">
        <f t="shared" si="383"/>
        <v>6.6121307340381005E-2</v>
      </c>
      <c r="BK245" s="1111">
        <f t="shared" si="383"/>
        <v>6.6121307340381005E-2</v>
      </c>
      <c r="BL245" s="1111">
        <f t="shared" si="383"/>
        <v>58.234105162975901</v>
      </c>
      <c r="BM245" s="1111">
        <f t="shared" si="383"/>
        <v>58.234105162975901</v>
      </c>
      <c r="BN245" s="1111">
        <f t="shared" si="383"/>
        <v>33.622567193752097</v>
      </c>
      <c r="BO245" s="1111">
        <f t="shared" si="383"/>
        <v>22.365559009141499</v>
      </c>
      <c r="BP245" s="1111">
        <f t="shared" si="383"/>
        <v>20.003128322257201</v>
      </c>
      <c r="BQ245" s="1111">
        <f t="shared" si="383"/>
        <v>20.195447260462402</v>
      </c>
      <c r="BR245" s="1111">
        <f t="shared" si="383"/>
        <v>20.8243673392587</v>
      </c>
      <c r="BS245" s="1111">
        <f t="shared" si="383"/>
        <v>20.9804766424047</v>
      </c>
      <c r="BT245" s="1111">
        <f t="shared" si="383"/>
        <v>21.2133429593407</v>
      </c>
      <c r="BU245" s="1111">
        <f t="shared" si="383"/>
        <v>21.2954024378494</v>
      </c>
      <c r="BV245" s="1111">
        <f t="shared" si="383"/>
        <v>21.2954024378494</v>
      </c>
      <c r="BW245" s="1111">
        <f t="shared" si="383"/>
        <v>3.64761393243701</v>
      </c>
      <c r="BX245" s="1111">
        <f t="shared" ref="BX245:CL245" si="384">BX230</f>
        <v>3.64761393243701</v>
      </c>
      <c r="BY245" s="1111">
        <f t="shared" si="384"/>
        <v>1.49818839927699</v>
      </c>
      <c r="BZ245" s="1111">
        <f t="shared" si="384"/>
        <v>0.86599323443475895</v>
      </c>
      <c r="CA245" s="1111">
        <f t="shared" si="384"/>
        <v>0.66124009173105702</v>
      </c>
      <c r="CB245" s="1111">
        <f t="shared" si="384"/>
        <v>0.59061098160806302</v>
      </c>
      <c r="CC245" s="1111">
        <f t="shared" si="384"/>
        <v>0.58137460363365601</v>
      </c>
      <c r="CD245" s="1111">
        <f t="shared" si="384"/>
        <v>0.57503033366723</v>
      </c>
      <c r="CE245" s="1111">
        <f t="shared" si="384"/>
        <v>0.578080207454851</v>
      </c>
      <c r="CF245" s="1111">
        <f t="shared" si="384"/>
        <v>0.57875611374779701</v>
      </c>
      <c r="CG245" s="1111">
        <f t="shared" si="384"/>
        <v>0.57875611374779701</v>
      </c>
      <c r="CH245" s="1111">
        <f t="shared" si="384"/>
        <v>4.5387333445833802E-2</v>
      </c>
      <c r="CI245" s="1111">
        <f t="shared" si="384"/>
        <v>4.5387333445833802E-2</v>
      </c>
      <c r="CJ245" s="1111">
        <f t="shared" si="384"/>
        <v>4.5385137405685602E-2</v>
      </c>
      <c r="CK245" s="1111">
        <f t="shared" si="384"/>
        <v>6.2585802863492496E-2</v>
      </c>
      <c r="CL245" s="1111">
        <f t="shared" si="384"/>
        <v>6.2570457425533493E-2</v>
      </c>
      <c r="CM245" s="1111">
        <f>CM230</f>
        <v>6.2526825017837198E-2</v>
      </c>
      <c r="CN245" s="1111">
        <f>CN230</f>
        <v>6.2515199827795506E-2</v>
      </c>
      <c r="CO245" s="1111">
        <f>CO230</f>
        <v>6.2512659799535894E-2</v>
      </c>
      <c r="CP245" s="1111">
        <f>CP230</f>
        <v>6.2511995706699006E-2</v>
      </c>
      <c r="CQ245" s="1111">
        <f>CQ230</f>
        <v>6.2512032461297801E-2</v>
      </c>
      <c r="CR245" s="1111">
        <f t="shared" ref="CR245:EV245" si="385">CR230</f>
        <v>6.2512032461297801E-2</v>
      </c>
      <c r="CS245" s="1111">
        <f t="shared" si="385"/>
        <v>7.45806670433007E-2</v>
      </c>
      <c r="CT245" s="1111">
        <f t="shared" si="385"/>
        <v>7.45806670433007E-2</v>
      </c>
      <c r="CU245" s="1111">
        <f t="shared" si="385"/>
        <v>4.11694236212614E-2</v>
      </c>
      <c r="CV245" s="1111">
        <f t="shared" si="385"/>
        <v>2.8985978458602801E-2</v>
      </c>
      <c r="CW245" s="1111">
        <f t="shared" si="385"/>
        <v>2.0012914871466302E-2</v>
      </c>
      <c r="CX245" s="1111">
        <f t="shared" si="385"/>
        <v>1.70994949062814E-2</v>
      </c>
      <c r="CY245" s="1111">
        <f t="shared" si="385"/>
        <v>1.6621401634368399E-2</v>
      </c>
      <c r="CZ245" s="1111">
        <f t="shared" si="385"/>
        <v>1.62276934153717E-2</v>
      </c>
      <c r="DA245" s="1111">
        <f t="shared" si="385"/>
        <v>1.6300252431035001E-2</v>
      </c>
      <c r="DB245" s="1111">
        <f t="shared" si="385"/>
        <v>1.6326186183154599E-2</v>
      </c>
      <c r="DC245" s="1111">
        <f t="shared" si="385"/>
        <v>1.6326186183154599E-2</v>
      </c>
      <c r="DD245" s="1111">
        <f t="shared" si="385"/>
        <v>8.4618435807310901E-3</v>
      </c>
      <c r="DE245" s="1111">
        <f t="shared" si="385"/>
        <v>5.582477734601141E-3</v>
      </c>
      <c r="DF245" s="1111">
        <f t="shared" si="385"/>
        <v>3.3037857638444934E-3</v>
      </c>
      <c r="DG245" s="1111">
        <f t="shared" si="385"/>
        <v>2.7435421434771584E-3</v>
      </c>
      <c r="DH245" s="1111">
        <f t="shared" si="385"/>
        <v>2.6596327326652057E-3</v>
      </c>
      <c r="DI245" s="1111">
        <f t="shared" si="385"/>
        <v>2.6810534446588602E-3</v>
      </c>
      <c r="DJ245" s="1111">
        <f t="shared" si="385"/>
        <v>2.68992317602929E-3</v>
      </c>
      <c r="DK245" s="1111">
        <f t="shared" si="385"/>
        <v>2.6843011275704282E-3</v>
      </c>
      <c r="DL245" s="1111">
        <f t="shared" si="385"/>
        <v>2.693521842385466E-3</v>
      </c>
      <c r="DM245" s="1111">
        <f t="shared" si="385"/>
        <v>2.7034957820921053E-3</v>
      </c>
      <c r="DN245" s="1111">
        <f t="shared" si="385"/>
        <v>2.7034957820921053E-3</v>
      </c>
      <c r="DO245" s="1111">
        <f t="shared" si="385"/>
        <v>2.733686553814714E-2</v>
      </c>
      <c r="DP245" s="1111">
        <f t="shared" si="385"/>
        <v>1.8332271788011459E-2</v>
      </c>
      <c r="DQ245" s="1111">
        <f t="shared" si="385"/>
        <v>1.0522373499872563E-2</v>
      </c>
      <c r="DR245" s="1111">
        <f t="shared" si="385"/>
        <v>8.2106858583474232E-3</v>
      </c>
      <c r="DS245" s="1111">
        <f t="shared" si="385"/>
        <v>8.1464823839333782E-3</v>
      </c>
      <c r="DT245" s="1111">
        <f t="shared" si="385"/>
        <v>8.1548441301475764E-3</v>
      </c>
      <c r="DU245" s="1111">
        <f t="shared" si="385"/>
        <v>8.1625855885729438E-3</v>
      </c>
      <c r="DV245" s="1111">
        <f t="shared" si="385"/>
        <v>8.1414389894490409E-3</v>
      </c>
      <c r="DW245" s="1111">
        <f t="shared" si="385"/>
        <v>8.1579958309337917E-3</v>
      </c>
      <c r="DX245" s="1111">
        <f t="shared" si="385"/>
        <v>8.1758856290748885E-3</v>
      </c>
      <c r="DY245" s="1111">
        <f t="shared" si="385"/>
        <v>8.1758856290748885E-3</v>
      </c>
      <c r="DZ245" s="1111">
        <f t="shared" si="385"/>
        <v>0.17782774655845099</v>
      </c>
      <c r="EA245" s="1111">
        <f t="shared" si="385"/>
        <v>0.17782774655845099</v>
      </c>
      <c r="EB245" s="1111">
        <f t="shared" si="385"/>
        <v>4.9445543705968001E-2</v>
      </c>
      <c r="EC245" s="1111">
        <f t="shared" si="385"/>
        <v>2.14914790323418E-2</v>
      </c>
      <c r="ED245" s="1111">
        <f t="shared" si="385"/>
        <v>1.74631086819735E-2</v>
      </c>
      <c r="EE245" s="1111">
        <f t="shared" si="385"/>
        <v>1.7306502140019699E-2</v>
      </c>
      <c r="EF245" s="1111">
        <f t="shared" si="385"/>
        <v>1.77413796860907E-2</v>
      </c>
      <c r="EG245" s="1111">
        <f t="shared" si="385"/>
        <v>1.7873917726394802E-2</v>
      </c>
      <c r="EH245" s="1111">
        <f t="shared" si="385"/>
        <v>1.8044608652160399E-2</v>
      </c>
      <c r="EI245" s="1111">
        <f t="shared" si="385"/>
        <v>1.8102357634055401E-2</v>
      </c>
      <c r="EJ245" s="1111">
        <f t="shared" si="385"/>
        <v>1.8102357634055401E-2</v>
      </c>
      <c r="EK245" s="1111">
        <f t="shared" si="385"/>
        <v>1261.7193045716699</v>
      </c>
      <c r="EL245" s="1111">
        <f t="shared" si="343"/>
        <v>1261.7193045716699</v>
      </c>
      <c r="EM245" s="1111">
        <f t="shared" si="344"/>
        <v>1249.12075772399</v>
      </c>
      <c r="EN245" s="1111">
        <f t="shared" si="345"/>
        <v>1645.5452306145801</v>
      </c>
      <c r="EO245" s="1111">
        <f t="shared" si="346"/>
        <v>1615.5067230397001</v>
      </c>
      <c r="EP245" s="1111">
        <f t="shared" si="347"/>
        <v>1561.96512576184</v>
      </c>
      <c r="EQ245" s="1111">
        <f t="shared" si="348"/>
        <v>1548.35062809069</v>
      </c>
      <c r="ER245" s="1111">
        <f t="shared" si="349"/>
        <v>1545.11245308096</v>
      </c>
      <c r="ES245" s="1111">
        <f t="shared" si="350"/>
        <v>1544.5579062120401</v>
      </c>
      <c r="ET245" s="1111">
        <f t="shared" si="351"/>
        <v>1544.55231111378</v>
      </c>
      <c r="EU245" s="1111">
        <f t="shared" si="352"/>
        <v>1544.55231111378</v>
      </c>
      <c r="EV245" s="1111">
        <f t="shared" si="385"/>
        <v>5.0421157380649202</v>
      </c>
      <c r="EW245" s="1111">
        <f t="shared" si="333"/>
        <v>5.0421157380649202</v>
      </c>
      <c r="EX245" s="1111">
        <f t="shared" si="334"/>
        <v>2.6891275593082402</v>
      </c>
      <c r="EY245" s="1111">
        <f t="shared" si="335"/>
        <v>1.59672970269866</v>
      </c>
      <c r="EZ245" s="1111">
        <f t="shared" si="336"/>
        <v>1.2533988169049</v>
      </c>
      <c r="FA245" s="1111">
        <f t="shared" si="337"/>
        <v>1.1377603861924299</v>
      </c>
      <c r="FB245" s="1111">
        <f t="shared" si="338"/>
        <v>1.11657517091755</v>
      </c>
      <c r="FC245" s="1111">
        <f t="shared" si="339"/>
        <v>1.10785037464988</v>
      </c>
      <c r="FD245" s="1111">
        <f t="shared" si="340"/>
        <v>1.10808970467776</v>
      </c>
      <c r="FE245" s="1111">
        <f t="shared" si="341"/>
        <v>1.10829058082377</v>
      </c>
      <c r="FF245" s="1111">
        <f t="shared" si="342"/>
        <v>1.10829058082377</v>
      </c>
      <c r="FG245" s="1111">
        <f t="shared" si="291"/>
        <v>2.18321680952577E-2</v>
      </c>
      <c r="FH245" s="1111">
        <f t="shared" si="292"/>
        <v>2.18321680952577E-2</v>
      </c>
      <c r="FI245" s="1111">
        <f t="shared" si="293"/>
        <v>2.1614175028351099E-2</v>
      </c>
      <c r="FJ245" s="1111">
        <f t="shared" si="294"/>
        <v>2.3606201662977298E-2</v>
      </c>
      <c r="FK245" s="1111">
        <f t="shared" si="295"/>
        <v>2.3175292056127901E-2</v>
      </c>
      <c r="FL245" s="1111">
        <f t="shared" si="296"/>
        <v>2.2407191257778802E-2</v>
      </c>
      <c r="FM245" s="1111">
        <f t="shared" si="297"/>
        <v>2.2211896644643399E-2</v>
      </c>
      <c r="FN245" s="1111">
        <f t="shared" si="298"/>
        <v>2.21654317430676E-2</v>
      </c>
      <c r="FO245" s="1111">
        <f t="shared" si="299"/>
        <v>2.21574783013113E-2</v>
      </c>
      <c r="FP245" s="1111">
        <f t="shared" si="300"/>
        <v>2.21574091915673E-2</v>
      </c>
      <c r="FQ245" s="1111">
        <f t="shared" si="301"/>
        <v>2.21574091915673E-2</v>
      </c>
      <c r="FR245" s="1111">
        <f t="shared" si="322"/>
        <v>0.37498220674272298</v>
      </c>
      <c r="FS245" s="1111">
        <f t="shared" si="323"/>
        <v>0.37498220674272298</v>
      </c>
      <c r="FT245" s="1111">
        <f t="shared" si="324"/>
        <v>0.30800096091118401</v>
      </c>
      <c r="FU245" s="1111">
        <f t="shared" si="325"/>
        <v>0.47876990917977102</v>
      </c>
      <c r="FV245" s="1111">
        <f t="shared" si="326"/>
        <v>0.47474601446343401</v>
      </c>
      <c r="FW245" s="1111">
        <f t="shared" si="327"/>
        <v>0.462592935753106</v>
      </c>
      <c r="FX245" s="1111">
        <f t="shared" si="328"/>
        <v>0.45943594701357998</v>
      </c>
      <c r="FY245" s="1111">
        <f t="shared" si="329"/>
        <v>0.45873466896290599</v>
      </c>
      <c r="FZ245" s="1111">
        <f t="shared" si="330"/>
        <v>0.45859669819349802</v>
      </c>
      <c r="GA245" s="1111">
        <f t="shared" si="331"/>
        <v>0.458612118231494</v>
      </c>
      <c r="GB245" s="1111">
        <f t="shared" si="332"/>
        <v>0.458612118231494</v>
      </c>
      <c r="GC245" s="1111">
        <f t="shared" si="353"/>
        <v>0.110253629274602</v>
      </c>
      <c r="GD245" s="1111">
        <f t="shared" si="354"/>
        <v>0.110253629274602</v>
      </c>
      <c r="GE245" s="1111">
        <f t="shared" si="355"/>
        <v>5.10415619775157E-2</v>
      </c>
      <c r="GF245" s="1111">
        <f t="shared" si="356"/>
        <v>6.9684988099320805E-2</v>
      </c>
      <c r="GG245" s="1111">
        <f t="shared" si="357"/>
        <v>6.9040658676098196E-2</v>
      </c>
      <c r="GH245" s="1111">
        <f t="shared" si="358"/>
        <v>6.6765177638673803E-2</v>
      </c>
      <c r="GI245" s="1111">
        <f t="shared" si="359"/>
        <v>6.6229434848786198E-2</v>
      </c>
      <c r="GJ245" s="1111">
        <f t="shared" si="360"/>
        <v>6.6102443905475594E-2</v>
      </c>
      <c r="GK245" s="1111">
        <f t="shared" si="361"/>
        <v>6.6105381584131498E-2</v>
      </c>
      <c r="GL245" s="1111">
        <f t="shared" si="362"/>
        <v>6.6121307340381005E-2</v>
      </c>
      <c r="GM245" s="1111">
        <f t="shared" si="363"/>
        <v>6.6121307340381005E-2</v>
      </c>
    </row>
    <row r="246" spans="1:195" x14ac:dyDescent="0.2">
      <c r="A246" s="1071" t="str">
        <f>Technologies!B151</f>
        <v>*R2,R3,R4,R5,R6</v>
      </c>
      <c r="B246" s="1071" t="str">
        <f>Technologies!C151</f>
        <v>THSDSLC102</v>
      </c>
      <c r="C246" s="1071" t="str">
        <f>Technologies!D151</f>
        <v>Heavy Truck, Short Haul, Conventional Diesel 2010</v>
      </c>
      <c r="D246" s="1071" t="str">
        <f>NewTech!D101</f>
        <v>bn-vmt, bn-vmt/a</v>
      </c>
      <c r="E246" s="1071" t="str">
        <f>Commodities!$C$46</f>
        <v>TWDSL</v>
      </c>
      <c r="F246" s="1071" t="str">
        <f>Commodities!$C$16</f>
        <v>TSW</v>
      </c>
      <c r="G246" s="1110" t="str">
        <f>G235</f>
        <v>Heavy duty short haul truck</v>
      </c>
      <c r="H246" s="1110" t="str">
        <f>H235</f>
        <v>DSL</v>
      </c>
      <c r="I246" s="1112">
        <v>1</v>
      </c>
      <c r="J246" s="1110" t="str">
        <f>J235</f>
        <v>Heavy duty short haul truck-DSL</v>
      </c>
      <c r="K246" s="1112">
        <f>K235</f>
        <v>1482.5754764799101</v>
      </c>
      <c r="L246" s="1112">
        <f t="shared" ref="L246:BW246" si="386">L235</f>
        <v>1635.6442478660899</v>
      </c>
      <c r="M246" s="1112">
        <f t="shared" si="386"/>
        <v>2107.1372534500802</v>
      </c>
      <c r="N246" s="1112">
        <f t="shared" si="386"/>
        <v>2071.9319953702902</v>
      </c>
      <c r="O246" s="1111">
        <f t="shared" si="386"/>
        <v>2048.5012080599699</v>
      </c>
      <c r="P246" s="1111">
        <f t="shared" si="386"/>
        <v>2041.23090502932</v>
      </c>
      <c r="Q246" s="1111">
        <f t="shared" si="386"/>
        <v>2038.8712683316101</v>
      </c>
      <c r="R246" s="1111">
        <f t="shared" si="386"/>
        <v>2037.89380685326</v>
      </c>
      <c r="S246" s="1111">
        <f t="shared" si="386"/>
        <v>2037.18147825705</v>
      </c>
      <c r="T246" s="1111">
        <f t="shared" si="364"/>
        <v>2037.18147825705</v>
      </c>
      <c r="U246" s="1111">
        <f t="shared" si="386"/>
        <v>11.638950039279999</v>
      </c>
      <c r="V246" s="1111">
        <f t="shared" si="386"/>
        <v>6.7839244745049401</v>
      </c>
      <c r="W246" s="1111">
        <f t="shared" si="386"/>
        <v>4.3925354378646304</v>
      </c>
      <c r="X246" s="1111">
        <f t="shared" si="386"/>
        <v>2.6191347420861701</v>
      </c>
      <c r="Y246" s="1111">
        <f t="shared" si="386"/>
        <v>2.06534470659102</v>
      </c>
      <c r="Z246" s="1111">
        <f t="shared" si="386"/>
        <v>1.9514955612034099</v>
      </c>
      <c r="AA246" s="1111">
        <f t="shared" si="386"/>
        <v>1.9247847205619899</v>
      </c>
      <c r="AB246" s="1111">
        <f t="shared" si="386"/>
        <v>1.9239170224512001</v>
      </c>
      <c r="AC246" s="1111">
        <f t="shared" si="386"/>
        <v>1.92345457739672</v>
      </c>
      <c r="AD246" s="1111">
        <f t="shared" si="321"/>
        <v>1.92345457739672</v>
      </c>
      <c r="AE246" s="1111">
        <f t="shared" si="386"/>
        <v>3.6844240816642601E-2</v>
      </c>
      <c r="AF246" s="1111">
        <f t="shared" si="386"/>
        <v>3.6844240816642601E-2</v>
      </c>
      <c r="AG246" s="1111">
        <f t="shared" si="386"/>
        <v>3.9353507212849297E-2</v>
      </c>
      <c r="AH246" s="1111">
        <f t="shared" si="386"/>
        <v>1.7702463178777099E-2</v>
      </c>
      <c r="AI246" s="1111">
        <f t="shared" si="386"/>
        <v>1.7311059741913899E-2</v>
      </c>
      <c r="AJ246" s="1111">
        <f t="shared" si="386"/>
        <v>1.70853991434037E-2</v>
      </c>
      <c r="AK246" s="1111">
        <f t="shared" si="386"/>
        <v>1.70195621794277E-2</v>
      </c>
      <c r="AL246" s="1111">
        <f t="shared" si="386"/>
        <v>1.69983226363635E-2</v>
      </c>
      <c r="AM246" s="1111">
        <f t="shared" si="386"/>
        <v>1.6990168303807101E-2</v>
      </c>
      <c r="AN246" s="1111">
        <f t="shared" si="386"/>
        <v>1.69842326570817E-2</v>
      </c>
      <c r="AO246" s="1111">
        <f t="shared" si="386"/>
        <v>1.69842326570817E-2</v>
      </c>
      <c r="AP246" s="1111">
        <f t="shared" si="386"/>
        <v>1.2647150782943599</v>
      </c>
      <c r="AQ246" s="1111">
        <f t="shared" si="386"/>
        <v>1.2647150782943599</v>
      </c>
      <c r="AR246" s="1111">
        <f t="shared" si="386"/>
        <v>0.82297495230985995</v>
      </c>
      <c r="AS246" s="1111">
        <f t="shared" si="386"/>
        <v>0.78295839522434196</v>
      </c>
      <c r="AT246" s="1111">
        <f t="shared" si="386"/>
        <v>0.68016675260069404</v>
      </c>
      <c r="AU246" s="1111">
        <f t="shared" si="386"/>
        <v>0.64888550894506702</v>
      </c>
      <c r="AV246" s="1111">
        <f t="shared" si="386"/>
        <v>0.64362415371119697</v>
      </c>
      <c r="AW246" s="1111">
        <f t="shared" si="386"/>
        <v>0.64216665150257801</v>
      </c>
      <c r="AX246" s="1111">
        <f t="shared" si="386"/>
        <v>0.64212477573891902</v>
      </c>
      <c r="AY246" s="1111">
        <f t="shared" si="386"/>
        <v>0.64210952076406802</v>
      </c>
      <c r="AZ246" s="1111">
        <f t="shared" si="386"/>
        <v>0.64210952076406802</v>
      </c>
      <c r="BA246" s="1111">
        <f t="shared" si="386"/>
        <v>0.85268225231092398</v>
      </c>
      <c r="BB246" s="1111">
        <f t="shared" si="386"/>
        <v>0.85268225231092398</v>
      </c>
      <c r="BC246" s="1111">
        <f t="shared" si="386"/>
        <v>0.44197863249122399</v>
      </c>
      <c r="BD246" s="1111">
        <f t="shared" si="386"/>
        <v>0.24083520219764601</v>
      </c>
      <c r="BE246" s="1111">
        <f t="shared" si="386"/>
        <v>0.148362414161788</v>
      </c>
      <c r="BF246" s="1111">
        <f t="shared" si="386"/>
        <v>0.11982020029779999</v>
      </c>
      <c r="BG246" s="1111">
        <f t="shared" si="386"/>
        <v>0.115075397080156</v>
      </c>
      <c r="BH246" s="1111">
        <f t="shared" si="386"/>
        <v>0.113741063740516</v>
      </c>
      <c r="BI246" s="1111">
        <f t="shared" si="386"/>
        <v>0.113717400839903</v>
      </c>
      <c r="BJ246" s="1111">
        <f t="shared" si="386"/>
        <v>0.11370438522677</v>
      </c>
      <c r="BK246" s="1111">
        <f t="shared" si="386"/>
        <v>0.11370438522677</v>
      </c>
      <c r="BL246" s="1111">
        <f t="shared" si="386"/>
        <v>5.0328469585193201</v>
      </c>
      <c r="BM246" s="1111">
        <f t="shared" si="386"/>
        <v>5.0328469585193201</v>
      </c>
      <c r="BN246" s="1111">
        <f t="shared" si="386"/>
        <v>2.6827852293663099</v>
      </c>
      <c r="BO246" s="1111">
        <f t="shared" si="386"/>
        <v>1.7356120209921699</v>
      </c>
      <c r="BP246" s="1111">
        <f t="shared" si="386"/>
        <v>1.1963534366450099</v>
      </c>
      <c r="BQ246" s="1111">
        <f t="shared" si="386"/>
        <v>1.0323047664296401</v>
      </c>
      <c r="BR246" s="1111">
        <f t="shared" si="386"/>
        <v>0.995595558537549</v>
      </c>
      <c r="BS246" s="1111">
        <f t="shared" si="386"/>
        <v>0.98556754943244496</v>
      </c>
      <c r="BT246" s="1111">
        <f t="shared" si="386"/>
        <v>0.98409018482975696</v>
      </c>
      <c r="BU246" s="1111">
        <f t="shared" si="386"/>
        <v>0.98392055504691101</v>
      </c>
      <c r="BV246" s="1111">
        <f t="shared" si="386"/>
        <v>0.98392055504691101</v>
      </c>
      <c r="BW246" s="1111">
        <f t="shared" si="386"/>
        <v>1.47076719543515</v>
      </c>
      <c r="BX246" s="1111">
        <f t="shared" ref="BX246:CR246" si="387">BX235</f>
        <v>1.47076719543515</v>
      </c>
      <c r="BY246" s="1111">
        <f t="shared" si="387"/>
        <v>0.68796701308964903</v>
      </c>
      <c r="BZ246" s="1111">
        <f t="shared" si="387"/>
        <v>0.402812160133037</v>
      </c>
      <c r="CA246" s="1111">
        <f t="shared" si="387"/>
        <v>0.22250982610906</v>
      </c>
      <c r="CB246" s="1111">
        <f t="shared" si="387"/>
        <v>0.16724007620430001</v>
      </c>
      <c r="CC246" s="1111">
        <f t="shared" si="387"/>
        <v>0.15629916703885099</v>
      </c>
      <c r="CD246" s="1111">
        <f t="shared" si="387"/>
        <v>0.15328186767858501</v>
      </c>
      <c r="CE246" s="1111">
        <f t="shared" si="387"/>
        <v>0.15319941180844801</v>
      </c>
      <c r="CF246" s="1111">
        <f t="shared" si="387"/>
        <v>0.15317662764687001</v>
      </c>
      <c r="CG246" s="1111">
        <f t="shared" si="387"/>
        <v>0.15317662764687001</v>
      </c>
      <c r="CH246" s="1111">
        <f t="shared" si="387"/>
        <v>2.7376905675536502E-2</v>
      </c>
      <c r="CI246" s="1111">
        <f t="shared" si="387"/>
        <v>2.7376905675536502E-2</v>
      </c>
      <c r="CJ246" s="1111">
        <f t="shared" si="387"/>
        <v>2.7641391273496001E-2</v>
      </c>
      <c r="CK246" s="1111">
        <f t="shared" si="387"/>
        <v>3.7783493564809902E-2</v>
      </c>
      <c r="CL246" s="1111">
        <f t="shared" si="387"/>
        <v>3.7791768560113202E-2</v>
      </c>
      <c r="CM246" s="1111">
        <f t="shared" si="387"/>
        <v>3.7796042393498999E-2</v>
      </c>
      <c r="CN246" s="1111">
        <f t="shared" si="387"/>
        <v>3.7797273059285798E-2</v>
      </c>
      <c r="CO246" s="1111">
        <f t="shared" si="387"/>
        <v>3.7797290465285301E-2</v>
      </c>
      <c r="CP246" s="1111">
        <f t="shared" si="387"/>
        <v>3.77969592669226E-2</v>
      </c>
      <c r="CQ246" s="1111">
        <f t="shared" si="387"/>
        <v>3.7796456239744897E-2</v>
      </c>
      <c r="CR246" s="1111">
        <f t="shared" si="387"/>
        <v>3.7796456239744897E-2</v>
      </c>
      <c r="CS246" s="1111">
        <f t="shared" ref="CS246:EV246" si="388">CS235</f>
        <v>4.5435437093963096E-3</v>
      </c>
      <c r="CT246" s="1111">
        <f t="shared" si="388"/>
        <v>4.5435437093963096E-3</v>
      </c>
      <c r="CU246" s="1111">
        <f t="shared" si="388"/>
        <v>4.4398754909713801E-3</v>
      </c>
      <c r="CV246" s="1111">
        <f t="shared" si="388"/>
        <v>6.8039701300534198E-3</v>
      </c>
      <c r="CW246" s="1111">
        <f t="shared" si="388"/>
        <v>6.7823537903093098E-3</v>
      </c>
      <c r="CX246" s="1111">
        <f t="shared" si="388"/>
        <v>6.7664266882471596E-3</v>
      </c>
      <c r="CY246" s="1111">
        <f t="shared" si="388"/>
        <v>6.7587032892351797E-3</v>
      </c>
      <c r="CZ246" s="1111">
        <f t="shared" si="388"/>
        <v>6.7553372449461798E-3</v>
      </c>
      <c r="DA246" s="1111">
        <f t="shared" si="388"/>
        <v>6.75420201921096E-3</v>
      </c>
      <c r="DB246" s="1111">
        <f t="shared" si="388"/>
        <v>6.7544025642624697E-3</v>
      </c>
      <c r="DC246" s="1111">
        <f t="shared" si="388"/>
        <v>6.7544025642624697E-3</v>
      </c>
      <c r="DD246" s="1111">
        <f t="shared" si="388"/>
        <v>0.39397857160683847</v>
      </c>
      <c r="DE246" s="1111">
        <f t="shared" si="388"/>
        <v>0.22910001041476069</v>
      </c>
      <c r="DF246" s="1111">
        <f t="shared" si="388"/>
        <v>9.3891703000443583E-2</v>
      </c>
      <c r="DG246" s="1111">
        <f t="shared" si="388"/>
        <v>1.7189501227545343E-2</v>
      </c>
      <c r="DH246" s="1111">
        <f t="shared" si="388"/>
        <v>1.6160522719819933E-3</v>
      </c>
      <c r="DI246" s="1111">
        <f t="shared" si="388"/>
        <v>1.6049653935622851E-3</v>
      </c>
      <c r="DJ246" s="1111">
        <f t="shared" si="388"/>
        <v>1.6049983985356002E-3</v>
      </c>
      <c r="DK246" s="1111">
        <f t="shared" si="388"/>
        <v>1.6098230122520154E-3</v>
      </c>
      <c r="DL246" s="1111">
        <f t="shared" si="388"/>
        <v>1.6179747100716357E-3</v>
      </c>
      <c r="DM246" s="1111">
        <f t="shared" si="388"/>
        <v>1.6245560853542357E-3</v>
      </c>
      <c r="DN246" s="1111">
        <f t="shared" si="388"/>
        <v>1.6245560853542357E-3</v>
      </c>
      <c r="DO246" s="1111">
        <f t="shared" si="388"/>
        <v>0.2153272217366988</v>
      </c>
      <c r="DP246" s="1111">
        <f t="shared" si="388"/>
        <v>0.14953249017733392</v>
      </c>
      <c r="DQ246" s="1111">
        <f t="shared" si="388"/>
        <v>6.7441600946284805E-2</v>
      </c>
      <c r="DR246" s="1111">
        <f t="shared" si="388"/>
        <v>1.3565246309733816E-2</v>
      </c>
      <c r="DS246" s="1111">
        <f t="shared" si="388"/>
        <v>2.8097295233125079E-3</v>
      </c>
      <c r="DT246" s="1111">
        <f t="shared" si="388"/>
        <v>2.7904533416799396E-3</v>
      </c>
      <c r="DU246" s="1111">
        <f t="shared" si="388"/>
        <v>2.7905106381460811E-3</v>
      </c>
      <c r="DV246" s="1111">
        <f t="shared" si="388"/>
        <v>2.798898953096617E-3</v>
      </c>
      <c r="DW246" s="1111">
        <f t="shared" si="388"/>
        <v>2.8130718384443347E-3</v>
      </c>
      <c r="DX246" s="1111">
        <f t="shared" si="388"/>
        <v>2.824514428110457E-3</v>
      </c>
      <c r="DY246" s="1111">
        <f t="shared" si="388"/>
        <v>2.824514428110457E-3</v>
      </c>
      <c r="DZ246" s="1111">
        <f t="shared" si="388"/>
        <v>2.0740750969478802E-2</v>
      </c>
      <c r="EA246" s="1111">
        <f t="shared" si="388"/>
        <v>2.0740750969478802E-2</v>
      </c>
      <c r="EB246" s="1111">
        <f t="shared" si="388"/>
        <v>7.9476630685157604E-2</v>
      </c>
      <c r="EC246" s="1111">
        <f t="shared" si="388"/>
        <v>0.132995121584536</v>
      </c>
      <c r="ED246" s="1111">
        <f t="shared" si="388"/>
        <v>0.13480815363144</v>
      </c>
      <c r="EE246" s="1111">
        <f t="shared" si="388"/>
        <v>0.13505884947628399</v>
      </c>
      <c r="EF246" s="1111">
        <f t="shared" si="388"/>
        <v>0.13476923534058399</v>
      </c>
      <c r="EG246" s="1111">
        <f t="shared" si="388"/>
        <v>0.13483063017123001</v>
      </c>
      <c r="EH246" s="1111">
        <f t="shared" si="388"/>
        <v>0.13476298539555601</v>
      </c>
      <c r="EI246" s="1111">
        <f t="shared" si="388"/>
        <v>0.134758213223449</v>
      </c>
      <c r="EJ246" s="1111">
        <f t="shared" si="388"/>
        <v>0.134758213223449</v>
      </c>
      <c r="EK246" s="1111">
        <f t="shared" si="388"/>
        <v>1482.5754764799101</v>
      </c>
      <c r="EL246" s="1111">
        <f t="shared" si="343"/>
        <v>1482.5754764799101</v>
      </c>
      <c r="EM246" s="1111">
        <f t="shared" si="344"/>
        <v>1635.6442478660899</v>
      </c>
      <c r="EN246" s="1111">
        <f t="shared" si="345"/>
        <v>2107.1372534500802</v>
      </c>
      <c r="EO246" s="1111">
        <f t="shared" si="346"/>
        <v>2071.9319953702902</v>
      </c>
      <c r="EP246" s="1111">
        <f t="shared" si="347"/>
        <v>2048.5012080599699</v>
      </c>
      <c r="EQ246" s="1111">
        <f t="shared" si="348"/>
        <v>2041.23090502932</v>
      </c>
      <c r="ER246" s="1111">
        <f t="shared" si="349"/>
        <v>2038.8712683316101</v>
      </c>
      <c r="ES246" s="1111">
        <f t="shared" si="350"/>
        <v>2037.89380685326</v>
      </c>
      <c r="ET246" s="1111">
        <f t="shared" si="351"/>
        <v>2037.18147825705</v>
      </c>
      <c r="EU246" s="1111">
        <f t="shared" si="352"/>
        <v>2037.18147825705</v>
      </c>
      <c r="EV246" s="1111">
        <f t="shared" si="388"/>
        <v>11.638950039279999</v>
      </c>
      <c r="EW246" s="1111">
        <f t="shared" si="333"/>
        <v>11.638950039279999</v>
      </c>
      <c r="EX246" s="1111">
        <f t="shared" si="334"/>
        <v>6.7839244745049401</v>
      </c>
      <c r="EY246" s="1111">
        <f t="shared" si="335"/>
        <v>4.3925354378646304</v>
      </c>
      <c r="EZ246" s="1111">
        <f t="shared" si="336"/>
        <v>2.6191347420861701</v>
      </c>
      <c r="FA246" s="1111">
        <f t="shared" si="337"/>
        <v>2.06534470659102</v>
      </c>
      <c r="FB246" s="1111">
        <f t="shared" si="338"/>
        <v>1.9514955612034099</v>
      </c>
      <c r="FC246" s="1111">
        <f t="shared" si="339"/>
        <v>1.9247847205619899</v>
      </c>
      <c r="FD246" s="1111">
        <f t="shared" si="340"/>
        <v>1.9239170224512001</v>
      </c>
      <c r="FE246" s="1111">
        <f t="shared" si="341"/>
        <v>1.92345457739672</v>
      </c>
      <c r="FF246" s="1111">
        <f t="shared" si="342"/>
        <v>1.92345457739672</v>
      </c>
      <c r="FG246" s="1111">
        <f t="shared" ref="FG246:FG309" si="389">AE246</f>
        <v>3.6844240816642601E-2</v>
      </c>
      <c r="FH246" s="1111">
        <f t="shared" ref="FH246:FH309" si="390">AF246</f>
        <v>3.6844240816642601E-2</v>
      </c>
      <c r="FI246" s="1111">
        <f t="shared" ref="FI246:FI309" si="391">AG246</f>
        <v>3.9353507212849297E-2</v>
      </c>
      <c r="FJ246" s="1111">
        <f t="shared" ref="FJ246:FJ309" si="392">AH246</f>
        <v>1.7702463178777099E-2</v>
      </c>
      <c r="FK246" s="1111">
        <f t="shared" ref="FK246:FK309" si="393">AI246</f>
        <v>1.7311059741913899E-2</v>
      </c>
      <c r="FL246" s="1111">
        <f t="shared" ref="FL246:FL309" si="394">AJ246</f>
        <v>1.70853991434037E-2</v>
      </c>
      <c r="FM246" s="1111">
        <f t="shared" ref="FM246:FM309" si="395">AK246</f>
        <v>1.70195621794277E-2</v>
      </c>
      <c r="FN246" s="1111">
        <f t="shared" ref="FN246:FN309" si="396">AL246</f>
        <v>1.69983226363635E-2</v>
      </c>
      <c r="FO246" s="1111">
        <f t="shared" ref="FO246:FO309" si="397">AM246</f>
        <v>1.6990168303807101E-2</v>
      </c>
      <c r="FP246" s="1111">
        <f t="shared" ref="FP246:FP309" si="398">AN246</f>
        <v>1.69842326570817E-2</v>
      </c>
      <c r="FQ246" s="1111">
        <f t="shared" ref="FQ246:FQ309" si="399">AO246</f>
        <v>1.69842326570817E-2</v>
      </c>
      <c r="FR246" s="1111">
        <f t="shared" si="322"/>
        <v>1.2647150782943599</v>
      </c>
      <c r="FS246" s="1111">
        <f t="shared" si="323"/>
        <v>1.2647150782943599</v>
      </c>
      <c r="FT246" s="1111">
        <f t="shared" si="324"/>
        <v>0.82297495230985995</v>
      </c>
      <c r="FU246" s="1111">
        <f t="shared" si="325"/>
        <v>0.78295839522434196</v>
      </c>
      <c r="FV246" s="1111">
        <f t="shared" si="326"/>
        <v>0.68016675260069404</v>
      </c>
      <c r="FW246" s="1111">
        <f t="shared" si="327"/>
        <v>0.64888550894506702</v>
      </c>
      <c r="FX246" s="1111">
        <f t="shared" si="328"/>
        <v>0.64362415371119697</v>
      </c>
      <c r="FY246" s="1111">
        <f t="shared" si="329"/>
        <v>0.64216665150257801</v>
      </c>
      <c r="FZ246" s="1111">
        <f t="shared" si="330"/>
        <v>0.64212477573891902</v>
      </c>
      <c r="GA246" s="1111">
        <f t="shared" si="331"/>
        <v>0.64210952076406802</v>
      </c>
      <c r="GB246" s="1111">
        <f t="shared" si="332"/>
        <v>0.64210952076406802</v>
      </c>
      <c r="GC246" s="1111">
        <f t="shared" si="353"/>
        <v>0.85268225231092398</v>
      </c>
      <c r="GD246" s="1111">
        <f t="shared" si="354"/>
        <v>0.85268225231092398</v>
      </c>
      <c r="GE246" s="1111">
        <f t="shared" si="355"/>
        <v>0.44197863249122399</v>
      </c>
      <c r="GF246" s="1111">
        <f t="shared" si="356"/>
        <v>0.24083520219764601</v>
      </c>
      <c r="GG246" s="1111">
        <f t="shared" si="357"/>
        <v>0.148362414161788</v>
      </c>
      <c r="GH246" s="1111">
        <f t="shared" si="358"/>
        <v>0.11982020029779999</v>
      </c>
      <c r="GI246" s="1111">
        <f t="shared" si="359"/>
        <v>0.115075397080156</v>
      </c>
      <c r="GJ246" s="1111">
        <f t="shared" si="360"/>
        <v>0.113741063740516</v>
      </c>
      <c r="GK246" s="1111">
        <f t="shared" si="361"/>
        <v>0.113717400839903</v>
      </c>
      <c r="GL246" s="1111">
        <f t="shared" si="362"/>
        <v>0.11370438522677</v>
      </c>
      <c r="GM246" s="1111">
        <f t="shared" si="363"/>
        <v>0.11370438522677</v>
      </c>
    </row>
    <row r="247" spans="1:195" x14ac:dyDescent="0.2">
      <c r="A247" s="1071" t="str">
        <f>Technologies!B152</f>
        <v>*R2,R3,R4,R5,R6</v>
      </c>
      <c r="B247" s="1071" t="str">
        <f>Technologies!C152</f>
        <v>THSDSLC2</v>
      </c>
      <c r="C247" s="1071" t="str">
        <f>Technologies!D152</f>
        <v>Heavy Truck, Short Haul, Conv. Diesel</v>
      </c>
      <c r="D247" s="1071" t="str">
        <f>NewTech!D102</f>
        <v>bn-vmt, bn-vmt/a</v>
      </c>
      <c r="E247" s="1071" t="str">
        <f>Commodities!$C$46</f>
        <v>TWDSL</v>
      </c>
      <c r="F247" s="1071" t="str">
        <f>Commodities!$C$16</f>
        <v>TSW</v>
      </c>
      <c r="G247" s="1110" t="str">
        <f>G240</f>
        <v>Heavy duty short haul truck</v>
      </c>
      <c r="H247" s="1110" t="str">
        <f>H240</f>
        <v>DSL</v>
      </c>
      <c r="I247" s="1112">
        <v>1</v>
      </c>
      <c r="J247" s="1110" t="str">
        <f>J240</f>
        <v>Heavy duty short haul truck-DSL</v>
      </c>
      <c r="K247" s="1112">
        <f>K240</f>
        <v>1482.5754764799101</v>
      </c>
      <c r="L247" s="1112">
        <f t="shared" ref="L247:BW247" si="400">L240</f>
        <v>1635.6442478660899</v>
      </c>
      <c r="M247" s="1112">
        <f t="shared" si="400"/>
        <v>2107.1372534500802</v>
      </c>
      <c r="N247" s="1112">
        <f t="shared" si="400"/>
        <v>2071.9319953702902</v>
      </c>
      <c r="O247" s="1111">
        <f t="shared" si="400"/>
        <v>2048.5012080599699</v>
      </c>
      <c r="P247" s="1111">
        <f t="shared" si="400"/>
        <v>2041.23090502932</v>
      </c>
      <c r="Q247" s="1111">
        <f t="shared" si="400"/>
        <v>2038.8712683316101</v>
      </c>
      <c r="R247" s="1111">
        <f t="shared" si="400"/>
        <v>2037.89380685326</v>
      </c>
      <c r="S247" s="1111">
        <f t="shared" si="400"/>
        <v>2037.18147825705</v>
      </c>
      <c r="T247" s="1111">
        <f t="shared" si="364"/>
        <v>2037.18147825705</v>
      </c>
      <c r="U247" s="1111">
        <f t="shared" si="400"/>
        <v>11.638950039279999</v>
      </c>
      <c r="V247" s="1111">
        <f t="shared" si="400"/>
        <v>6.7839244745049401</v>
      </c>
      <c r="W247" s="1111">
        <f t="shared" si="400"/>
        <v>4.3925354378646304</v>
      </c>
      <c r="X247" s="1111">
        <f t="shared" si="400"/>
        <v>2.6191347420861701</v>
      </c>
      <c r="Y247" s="1111">
        <f t="shared" si="400"/>
        <v>2.06534470659102</v>
      </c>
      <c r="Z247" s="1111">
        <f t="shared" si="400"/>
        <v>1.9514955612034099</v>
      </c>
      <c r="AA247" s="1111">
        <f t="shared" si="400"/>
        <v>1.9247847205619899</v>
      </c>
      <c r="AB247" s="1111">
        <f t="shared" si="400"/>
        <v>1.9239170224512001</v>
      </c>
      <c r="AC247" s="1111">
        <f t="shared" si="400"/>
        <v>1.92345457739672</v>
      </c>
      <c r="AD247" s="1111">
        <f t="shared" si="321"/>
        <v>1.92345457739672</v>
      </c>
      <c r="AE247" s="1111">
        <f t="shared" si="400"/>
        <v>3.6844240816642601E-2</v>
      </c>
      <c r="AF247" s="1111">
        <f t="shared" si="400"/>
        <v>3.6844240816642601E-2</v>
      </c>
      <c r="AG247" s="1111">
        <f t="shared" si="400"/>
        <v>3.9353507212849297E-2</v>
      </c>
      <c r="AH247" s="1111">
        <f t="shared" si="400"/>
        <v>1.7702463178777099E-2</v>
      </c>
      <c r="AI247" s="1111">
        <f t="shared" si="400"/>
        <v>1.7311059741913899E-2</v>
      </c>
      <c r="AJ247" s="1111">
        <f t="shared" si="400"/>
        <v>1.70853991434037E-2</v>
      </c>
      <c r="AK247" s="1111">
        <f t="shared" si="400"/>
        <v>1.70195621794277E-2</v>
      </c>
      <c r="AL247" s="1111">
        <f t="shared" si="400"/>
        <v>1.69983226363635E-2</v>
      </c>
      <c r="AM247" s="1111">
        <f t="shared" si="400"/>
        <v>1.6990168303807101E-2</v>
      </c>
      <c r="AN247" s="1111">
        <f t="shared" si="400"/>
        <v>1.69842326570817E-2</v>
      </c>
      <c r="AO247" s="1111">
        <f t="shared" si="400"/>
        <v>1.69842326570817E-2</v>
      </c>
      <c r="AP247" s="1111">
        <f t="shared" si="400"/>
        <v>1.2647150782943599</v>
      </c>
      <c r="AQ247" s="1111">
        <f t="shared" si="400"/>
        <v>1.2647150782943599</v>
      </c>
      <c r="AR247" s="1111">
        <f t="shared" si="400"/>
        <v>0.82297495230985995</v>
      </c>
      <c r="AS247" s="1111">
        <f t="shared" si="400"/>
        <v>0.78295839522434196</v>
      </c>
      <c r="AT247" s="1111">
        <f t="shared" si="400"/>
        <v>0.68016675260069404</v>
      </c>
      <c r="AU247" s="1111">
        <f t="shared" si="400"/>
        <v>0.64888550894506702</v>
      </c>
      <c r="AV247" s="1111">
        <f t="shared" si="400"/>
        <v>0.64362415371119697</v>
      </c>
      <c r="AW247" s="1111">
        <f t="shared" si="400"/>
        <v>0.64216665150257801</v>
      </c>
      <c r="AX247" s="1111">
        <f t="shared" si="400"/>
        <v>0.64212477573891902</v>
      </c>
      <c r="AY247" s="1111">
        <f t="shared" si="400"/>
        <v>0.64210952076406802</v>
      </c>
      <c r="AZ247" s="1111">
        <f t="shared" si="400"/>
        <v>0.64210952076406802</v>
      </c>
      <c r="BA247" s="1111">
        <f t="shared" si="400"/>
        <v>0.85268225231092398</v>
      </c>
      <c r="BB247" s="1111">
        <f t="shared" si="400"/>
        <v>0.85268225231092398</v>
      </c>
      <c r="BC247" s="1111">
        <f t="shared" si="400"/>
        <v>0.44197863249122399</v>
      </c>
      <c r="BD247" s="1111">
        <f t="shared" si="400"/>
        <v>0.24083520219764601</v>
      </c>
      <c r="BE247" s="1111">
        <f t="shared" si="400"/>
        <v>0.148362414161788</v>
      </c>
      <c r="BF247" s="1111">
        <f t="shared" si="400"/>
        <v>0.11982020029779999</v>
      </c>
      <c r="BG247" s="1111">
        <f t="shared" si="400"/>
        <v>0.115075397080156</v>
      </c>
      <c r="BH247" s="1111">
        <f t="shared" si="400"/>
        <v>0.113741063740516</v>
      </c>
      <c r="BI247" s="1111">
        <f t="shared" si="400"/>
        <v>0.113717400839903</v>
      </c>
      <c r="BJ247" s="1111">
        <f t="shared" si="400"/>
        <v>0.11370438522677</v>
      </c>
      <c r="BK247" s="1111">
        <f t="shared" si="400"/>
        <v>0.11370438522677</v>
      </c>
      <c r="BL247" s="1111">
        <f t="shared" si="400"/>
        <v>5.0328469585193201</v>
      </c>
      <c r="BM247" s="1111">
        <f t="shared" si="400"/>
        <v>5.0328469585193201</v>
      </c>
      <c r="BN247" s="1111">
        <f t="shared" si="400"/>
        <v>2.6827852293663099</v>
      </c>
      <c r="BO247" s="1111">
        <f t="shared" si="400"/>
        <v>1.7356120209921699</v>
      </c>
      <c r="BP247" s="1111">
        <f t="shared" si="400"/>
        <v>1.1963534366450099</v>
      </c>
      <c r="BQ247" s="1111">
        <f t="shared" si="400"/>
        <v>1.0323047664296401</v>
      </c>
      <c r="BR247" s="1111">
        <f t="shared" si="400"/>
        <v>0.995595558537549</v>
      </c>
      <c r="BS247" s="1111">
        <f t="shared" si="400"/>
        <v>0.98556754943244496</v>
      </c>
      <c r="BT247" s="1111">
        <f t="shared" si="400"/>
        <v>0.98409018482975696</v>
      </c>
      <c r="BU247" s="1111">
        <f t="shared" si="400"/>
        <v>0.98392055504691101</v>
      </c>
      <c r="BV247" s="1111">
        <f t="shared" si="400"/>
        <v>0.98392055504691101</v>
      </c>
      <c r="BW247" s="1111">
        <f t="shared" si="400"/>
        <v>1.47076719543515</v>
      </c>
      <c r="BX247" s="1111">
        <f t="shared" ref="BX247:CR247" si="401">BX240</f>
        <v>1.47076719543515</v>
      </c>
      <c r="BY247" s="1111">
        <f t="shared" si="401"/>
        <v>0.68796701308964903</v>
      </c>
      <c r="BZ247" s="1111">
        <f t="shared" si="401"/>
        <v>0.402812160133037</v>
      </c>
      <c r="CA247" s="1111">
        <f t="shared" si="401"/>
        <v>0.22250982610906</v>
      </c>
      <c r="CB247" s="1111">
        <f t="shared" si="401"/>
        <v>0.16724007620430001</v>
      </c>
      <c r="CC247" s="1111">
        <f t="shared" si="401"/>
        <v>0.15629916703885099</v>
      </c>
      <c r="CD247" s="1111">
        <f t="shared" si="401"/>
        <v>0.15328186767858501</v>
      </c>
      <c r="CE247" s="1111">
        <f t="shared" si="401"/>
        <v>0.15319941180844801</v>
      </c>
      <c r="CF247" s="1111">
        <f t="shared" si="401"/>
        <v>0.15317662764687001</v>
      </c>
      <c r="CG247" s="1111">
        <f t="shared" si="401"/>
        <v>0.15317662764687001</v>
      </c>
      <c r="CH247" s="1111">
        <f t="shared" si="401"/>
        <v>2.7376905675536502E-2</v>
      </c>
      <c r="CI247" s="1111">
        <f t="shared" si="401"/>
        <v>2.7376905675536502E-2</v>
      </c>
      <c r="CJ247" s="1111">
        <f t="shared" si="401"/>
        <v>2.7641391273496001E-2</v>
      </c>
      <c r="CK247" s="1111">
        <f t="shared" si="401"/>
        <v>3.7783493564809902E-2</v>
      </c>
      <c r="CL247" s="1111">
        <f t="shared" si="401"/>
        <v>3.7791768560113202E-2</v>
      </c>
      <c r="CM247" s="1111">
        <f t="shared" si="401"/>
        <v>3.7796042393498999E-2</v>
      </c>
      <c r="CN247" s="1111">
        <f t="shared" si="401"/>
        <v>3.7797273059285798E-2</v>
      </c>
      <c r="CO247" s="1111">
        <f t="shared" si="401"/>
        <v>3.7797290465285301E-2</v>
      </c>
      <c r="CP247" s="1111">
        <f t="shared" si="401"/>
        <v>3.77969592669226E-2</v>
      </c>
      <c r="CQ247" s="1111">
        <f t="shared" si="401"/>
        <v>3.7796456239744897E-2</v>
      </c>
      <c r="CR247" s="1111">
        <f t="shared" si="401"/>
        <v>3.7796456239744897E-2</v>
      </c>
      <c r="CS247" s="1111">
        <f t="shared" ref="CS247:EV247" si="402">CS240</f>
        <v>4.5435437093963096E-3</v>
      </c>
      <c r="CT247" s="1111">
        <f t="shared" si="402"/>
        <v>4.5435437093963096E-3</v>
      </c>
      <c r="CU247" s="1111">
        <f t="shared" si="402"/>
        <v>4.4398754909713801E-3</v>
      </c>
      <c r="CV247" s="1111">
        <f t="shared" si="402"/>
        <v>6.8039701300534198E-3</v>
      </c>
      <c r="CW247" s="1111">
        <f t="shared" si="402"/>
        <v>6.7823537903093098E-3</v>
      </c>
      <c r="CX247" s="1111">
        <f t="shared" si="402"/>
        <v>6.7664266882471596E-3</v>
      </c>
      <c r="CY247" s="1111">
        <f t="shared" si="402"/>
        <v>6.7587032892351797E-3</v>
      </c>
      <c r="CZ247" s="1111">
        <f t="shared" si="402"/>
        <v>6.7553372449461798E-3</v>
      </c>
      <c r="DA247" s="1111">
        <f t="shared" si="402"/>
        <v>6.75420201921096E-3</v>
      </c>
      <c r="DB247" s="1111">
        <f t="shared" si="402"/>
        <v>6.7544025642624697E-3</v>
      </c>
      <c r="DC247" s="1111">
        <f t="shared" si="402"/>
        <v>6.7544025642624697E-3</v>
      </c>
      <c r="DD247" s="1111">
        <f t="shared" si="402"/>
        <v>0.39397857160683847</v>
      </c>
      <c r="DE247" s="1111">
        <f t="shared" si="402"/>
        <v>0.22910001041476069</v>
      </c>
      <c r="DF247" s="1111">
        <f t="shared" si="402"/>
        <v>9.3891703000443583E-2</v>
      </c>
      <c r="DG247" s="1111">
        <f t="shared" si="402"/>
        <v>1.7189501227545343E-2</v>
      </c>
      <c r="DH247" s="1111">
        <f t="shared" si="402"/>
        <v>1.6160522719819933E-3</v>
      </c>
      <c r="DI247" s="1111">
        <f t="shared" si="402"/>
        <v>1.6049653935622851E-3</v>
      </c>
      <c r="DJ247" s="1111">
        <f t="shared" si="402"/>
        <v>1.6049983985356002E-3</v>
      </c>
      <c r="DK247" s="1111">
        <f t="shared" si="402"/>
        <v>1.6098230122520154E-3</v>
      </c>
      <c r="DL247" s="1111">
        <f t="shared" si="402"/>
        <v>1.6179747100716357E-3</v>
      </c>
      <c r="DM247" s="1111">
        <f t="shared" si="402"/>
        <v>1.6245560853542357E-3</v>
      </c>
      <c r="DN247" s="1111">
        <f t="shared" si="402"/>
        <v>1.6245560853542357E-3</v>
      </c>
      <c r="DO247" s="1111">
        <f t="shared" si="402"/>
        <v>0.2153272217366988</v>
      </c>
      <c r="DP247" s="1111">
        <f t="shared" si="402"/>
        <v>0.14953249017733392</v>
      </c>
      <c r="DQ247" s="1111">
        <f t="shared" si="402"/>
        <v>6.7441600946284805E-2</v>
      </c>
      <c r="DR247" s="1111">
        <f t="shared" si="402"/>
        <v>1.3565246309733816E-2</v>
      </c>
      <c r="DS247" s="1111">
        <f t="shared" si="402"/>
        <v>2.8097295233125079E-3</v>
      </c>
      <c r="DT247" s="1111">
        <f t="shared" si="402"/>
        <v>2.7904533416799396E-3</v>
      </c>
      <c r="DU247" s="1111">
        <f t="shared" si="402"/>
        <v>2.7905106381460811E-3</v>
      </c>
      <c r="DV247" s="1111">
        <f t="shared" si="402"/>
        <v>2.798898953096617E-3</v>
      </c>
      <c r="DW247" s="1111">
        <f t="shared" si="402"/>
        <v>2.8130718384443347E-3</v>
      </c>
      <c r="DX247" s="1111">
        <f t="shared" si="402"/>
        <v>2.824514428110457E-3</v>
      </c>
      <c r="DY247" s="1111">
        <f t="shared" si="402"/>
        <v>2.824514428110457E-3</v>
      </c>
      <c r="DZ247" s="1111">
        <f t="shared" si="402"/>
        <v>2.0740750969478802E-2</v>
      </c>
      <c r="EA247" s="1111">
        <f t="shared" si="402"/>
        <v>2.0740750969478802E-2</v>
      </c>
      <c r="EB247" s="1111">
        <f t="shared" si="402"/>
        <v>7.9476630685157604E-2</v>
      </c>
      <c r="EC247" s="1111">
        <f t="shared" si="402"/>
        <v>0.132995121584536</v>
      </c>
      <c r="ED247" s="1111">
        <f t="shared" si="402"/>
        <v>0.13480815363144</v>
      </c>
      <c r="EE247" s="1111">
        <f t="shared" si="402"/>
        <v>0.13505884947628399</v>
      </c>
      <c r="EF247" s="1111">
        <f t="shared" si="402"/>
        <v>0.13476923534058399</v>
      </c>
      <c r="EG247" s="1111">
        <f t="shared" si="402"/>
        <v>0.13483063017123001</v>
      </c>
      <c r="EH247" s="1111">
        <f t="shared" si="402"/>
        <v>0.13476298539555601</v>
      </c>
      <c r="EI247" s="1111">
        <f t="shared" si="402"/>
        <v>0.134758213223449</v>
      </c>
      <c r="EJ247" s="1111">
        <f t="shared" si="402"/>
        <v>0.134758213223449</v>
      </c>
      <c r="EK247" s="1111">
        <f t="shared" si="402"/>
        <v>1482.5754764799101</v>
      </c>
      <c r="EL247" s="1111">
        <f t="shared" si="343"/>
        <v>1482.5754764799101</v>
      </c>
      <c r="EM247" s="1111">
        <f t="shared" si="344"/>
        <v>1635.6442478660899</v>
      </c>
      <c r="EN247" s="1111">
        <f t="shared" si="345"/>
        <v>2107.1372534500802</v>
      </c>
      <c r="EO247" s="1111">
        <f t="shared" si="346"/>
        <v>2071.9319953702902</v>
      </c>
      <c r="EP247" s="1111">
        <f t="shared" si="347"/>
        <v>2048.5012080599699</v>
      </c>
      <c r="EQ247" s="1111">
        <f t="shared" si="348"/>
        <v>2041.23090502932</v>
      </c>
      <c r="ER247" s="1111">
        <f t="shared" si="349"/>
        <v>2038.8712683316101</v>
      </c>
      <c r="ES247" s="1111">
        <f t="shared" si="350"/>
        <v>2037.89380685326</v>
      </c>
      <c r="ET247" s="1111">
        <f t="shared" si="351"/>
        <v>2037.18147825705</v>
      </c>
      <c r="EU247" s="1111">
        <f t="shared" si="352"/>
        <v>2037.18147825705</v>
      </c>
      <c r="EV247" s="1111">
        <f t="shared" si="402"/>
        <v>11.638950039279999</v>
      </c>
      <c r="EW247" s="1111">
        <f t="shared" si="333"/>
        <v>11.638950039279999</v>
      </c>
      <c r="EX247" s="1111">
        <f t="shared" si="334"/>
        <v>6.7839244745049401</v>
      </c>
      <c r="EY247" s="1111">
        <f t="shared" si="335"/>
        <v>4.3925354378646304</v>
      </c>
      <c r="EZ247" s="1111">
        <f t="shared" si="336"/>
        <v>2.6191347420861701</v>
      </c>
      <c r="FA247" s="1111">
        <f t="shared" si="337"/>
        <v>2.06534470659102</v>
      </c>
      <c r="FB247" s="1111">
        <f t="shared" si="338"/>
        <v>1.9514955612034099</v>
      </c>
      <c r="FC247" s="1111">
        <f t="shared" si="339"/>
        <v>1.9247847205619899</v>
      </c>
      <c r="FD247" s="1111">
        <f t="shared" si="340"/>
        <v>1.9239170224512001</v>
      </c>
      <c r="FE247" s="1111">
        <f t="shared" si="341"/>
        <v>1.92345457739672</v>
      </c>
      <c r="FF247" s="1111">
        <f t="shared" si="342"/>
        <v>1.92345457739672</v>
      </c>
      <c r="FG247" s="1111">
        <f t="shared" si="389"/>
        <v>3.6844240816642601E-2</v>
      </c>
      <c r="FH247" s="1111">
        <f t="shared" si="390"/>
        <v>3.6844240816642601E-2</v>
      </c>
      <c r="FI247" s="1111">
        <f t="shared" si="391"/>
        <v>3.9353507212849297E-2</v>
      </c>
      <c r="FJ247" s="1111">
        <f t="shared" si="392"/>
        <v>1.7702463178777099E-2</v>
      </c>
      <c r="FK247" s="1111">
        <f t="shared" si="393"/>
        <v>1.7311059741913899E-2</v>
      </c>
      <c r="FL247" s="1111">
        <f t="shared" si="394"/>
        <v>1.70853991434037E-2</v>
      </c>
      <c r="FM247" s="1111">
        <f t="shared" si="395"/>
        <v>1.70195621794277E-2</v>
      </c>
      <c r="FN247" s="1111">
        <f t="shared" si="396"/>
        <v>1.69983226363635E-2</v>
      </c>
      <c r="FO247" s="1111">
        <f t="shared" si="397"/>
        <v>1.6990168303807101E-2</v>
      </c>
      <c r="FP247" s="1111">
        <f t="shared" si="398"/>
        <v>1.69842326570817E-2</v>
      </c>
      <c r="FQ247" s="1111">
        <f t="shared" si="399"/>
        <v>1.69842326570817E-2</v>
      </c>
      <c r="FR247" s="1111">
        <f t="shared" si="322"/>
        <v>1.2647150782943599</v>
      </c>
      <c r="FS247" s="1111">
        <f t="shared" si="323"/>
        <v>1.2647150782943599</v>
      </c>
      <c r="FT247" s="1111">
        <f t="shared" si="324"/>
        <v>0.82297495230985995</v>
      </c>
      <c r="FU247" s="1111">
        <f t="shared" si="325"/>
        <v>0.78295839522434196</v>
      </c>
      <c r="FV247" s="1111">
        <f t="shared" si="326"/>
        <v>0.68016675260069404</v>
      </c>
      <c r="FW247" s="1111">
        <f t="shared" si="327"/>
        <v>0.64888550894506702</v>
      </c>
      <c r="FX247" s="1111">
        <f t="shared" si="328"/>
        <v>0.64362415371119697</v>
      </c>
      <c r="FY247" s="1111">
        <f t="shared" si="329"/>
        <v>0.64216665150257801</v>
      </c>
      <c r="FZ247" s="1111">
        <f t="shared" si="330"/>
        <v>0.64212477573891902</v>
      </c>
      <c r="GA247" s="1111">
        <f t="shared" si="331"/>
        <v>0.64210952076406802</v>
      </c>
      <c r="GB247" s="1111">
        <f t="shared" si="332"/>
        <v>0.64210952076406802</v>
      </c>
      <c r="GC247" s="1111">
        <f t="shared" si="353"/>
        <v>0.85268225231092398</v>
      </c>
      <c r="GD247" s="1111">
        <f t="shared" si="354"/>
        <v>0.85268225231092398</v>
      </c>
      <c r="GE247" s="1111">
        <f t="shared" si="355"/>
        <v>0.44197863249122399</v>
      </c>
      <c r="GF247" s="1111">
        <f t="shared" si="356"/>
        <v>0.24083520219764601</v>
      </c>
      <c r="GG247" s="1111">
        <f t="shared" si="357"/>
        <v>0.148362414161788</v>
      </c>
      <c r="GH247" s="1111">
        <f t="shared" si="358"/>
        <v>0.11982020029779999</v>
      </c>
      <c r="GI247" s="1111">
        <f t="shared" si="359"/>
        <v>0.115075397080156</v>
      </c>
      <c r="GJ247" s="1111">
        <f t="shared" si="360"/>
        <v>0.113741063740516</v>
      </c>
      <c r="GK247" s="1111">
        <f t="shared" si="361"/>
        <v>0.113717400839903</v>
      </c>
      <c r="GL247" s="1111">
        <f t="shared" si="362"/>
        <v>0.11370438522677</v>
      </c>
      <c r="GM247" s="1111">
        <f t="shared" si="363"/>
        <v>0.11370438522677</v>
      </c>
    </row>
    <row r="248" spans="1:195" x14ac:dyDescent="0.2">
      <c r="A248" s="1071" t="str">
        <f>Technologies!B153</f>
        <v>*R2,R3,R4,R5,R6</v>
      </c>
      <c r="B248" s="1071" t="str">
        <f>Technologies!C153</f>
        <v>THSDSLIM2</v>
      </c>
      <c r="C248" s="1071" t="str">
        <f>Technologies!D153</f>
        <v>Heavy Truck, Short Haul, Improved Diesel</v>
      </c>
      <c r="D248" s="1071" t="str">
        <f>NewTech!D103</f>
        <v>bn-vmt, bn-vmt/a</v>
      </c>
      <c r="E248" s="1071" t="str">
        <f>Commodities!$C$46</f>
        <v>TWDSL</v>
      </c>
      <c r="F248" s="1071" t="str">
        <f>Commodities!$C$16</f>
        <v>TSW</v>
      </c>
      <c r="G248" s="1110" t="str">
        <f>G251</f>
        <v>Heavy duty short haul truck</v>
      </c>
      <c r="H248" s="1110" t="str">
        <f>H251</f>
        <v>DSL</v>
      </c>
      <c r="I248" s="1112">
        <v>1</v>
      </c>
      <c r="J248" s="1110" t="str">
        <f>J251</f>
        <v>Heavy duty short haul truck-DSL</v>
      </c>
      <c r="K248" s="1111">
        <f>K251</f>
        <v>1482.5754764799101</v>
      </c>
      <c r="L248" s="1111">
        <f t="shared" ref="L248:BW248" si="403">L251</f>
        <v>1635.6442478660899</v>
      </c>
      <c r="M248" s="1111">
        <f t="shared" si="403"/>
        <v>2107.1372534500802</v>
      </c>
      <c r="N248" s="1111">
        <f t="shared" si="403"/>
        <v>2071.9319953702902</v>
      </c>
      <c r="O248" s="1111">
        <f t="shared" si="403"/>
        <v>2048.5012080599699</v>
      </c>
      <c r="P248" s="1111">
        <f t="shared" si="403"/>
        <v>2041.23090502932</v>
      </c>
      <c r="Q248" s="1111">
        <f t="shared" si="403"/>
        <v>2038.8712683316101</v>
      </c>
      <c r="R248" s="1111">
        <f t="shared" si="403"/>
        <v>2037.89380685326</v>
      </c>
      <c r="S248" s="1111">
        <f t="shared" si="403"/>
        <v>2037.18147825705</v>
      </c>
      <c r="T248" s="1111">
        <f t="shared" si="364"/>
        <v>2037.18147825705</v>
      </c>
      <c r="U248" s="1111">
        <f t="shared" si="403"/>
        <v>11.638950039279999</v>
      </c>
      <c r="V248" s="1111">
        <f t="shared" si="403"/>
        <v>6.7839244745049401</v>
      </c>
      <c r="W248" s="1111">
        <f t="shared" si="403"/>
        <v>4.3925354378646304</v>
      </c>
      <c r="X248" s="1111">
        <f t="shared" si="403"/>
        <v>2.6191347420861701</v>
      </c>
      <c r="Y248" s="1111">
        <f t="shared" si="403"/>
        <v>2.06534470659102</v>
      </c>
      <c r="Z248" s="1111">
        <f t="shared" si="403"/>
        <v>1.9514955612034099</v>
      </c>
      <c r="AA248" s="1111">
        <f t="shared" si="403"/>
        <v>1.9247847205619899</v>
      </c>
      <c r="AB248" s="1111">
        <f t="shared" si="403"/>
        <v>1.9239170224512001</v>
      </c>
      <c r="AC248" s="1111">
        <f t="shared" si="403"/>
        <v>1.92345457739672</v>
      </c>
      <c r="AD248" s="1111">
        <f t="shared" si="321"/>
        <v>1.92345457739672</v>
      </c>
      <c r="AE248" s="1111">
        <f t="shared" si="403"/>
        <v>3.6844240816642601E-2</v>
      </c>
      <c r="AF248" s="1111">
        <f t="shared" si="403"/>
        <v>3.6844240816642601E-2</v>
      </c>
      <c r="AG248" s="1111">
        <f t="shared" si="403"/>
        <v>3.9353507212849297E-2</v>
      </c>
      <c r="AH248" s="1111">
        <f t="shared" si="403"/>
        <v>1.7702463178777099E-2</v>
      </c>
      <c r="AI248" s="1111">
        <f t="shared" si="403"/>
        <v>1.7311059741913899E-2</v>
      </c>
      <c r="AJ248" s="1111">
        <f t="shared" si="403"/>
        <v>1.70853991434037E-2</v>
      </c>
      <c r="AK248" s="1111">
        <f t="shared" si="403"/>
        <v>1.70195621794277E-2</v>
      </c>
      <c r="AL248" s="1111">
        <f t="shared" si="403"/>
        <v>1.69983226363635E-2</v>
      </c>
      <c r="AM248" s="1111">
        <f t="shared" si="403"/>
        <v>1.6990168303807101E-2</v>
      </c>
      <c r="AN248" s="1111">
        <f t="shared" si="403"/>
        <v>1.69842326570817E-2</v>
      </c>
      <c r="AO248" s="1111">
        <f t="shared" si="403"/>
        <v>1.69842326570817E-2</v>
      </c>
      <c r="AP248" s="1111">
        <f t="shared" si="403"/>
        <v>1.2647150782943599</v>
      </c>
      <c r="AQ248" s="1111">
        <f t="shared" si="403"/>
        <v>1.2647150782943599</v>
      </c>
      <c r="AR248" s="1111">
        <f t="shared" si="403"/>
        <v>0.82297495230985995</v>
      </c>
      <c r="AS248" s="1111">
        <f t="shared" si="403"/>
        <v>0.78295839522434196</v>
      </c>
      <c r="AT248" s="1111">
        <f t="shared" si="403"/>
        <v>0.68016675260069404</v>
      </c>
      <c r="AU248" s="1111">
        <f t="shared" si="403"/>
        <v>0.64888550894506702</v>
      </c>
      <c r="AV248" s="1111">
        <f t="shared" si="403"/>
        <v>0.64362415371119697</v>
      </c>
      <c r="AW248" s="1111">
        <f t="shared" si="403"/>
        <v>0.64216665150257801</v>
      </c>
      <c r="AX248" s="1111">
        <f t="shared" si="403"/>
        <v>0.64212477573891902</v>
      </c>
      <c r="AY248" s="1111">
        <f t="shared" si="403"/>
        <v>0.64210952076406802</v>
      </c>
      <c r="AZ248" s="1111">
        <f t="shared" si="403"/>
        <v>0.64210952076406802</v>
      </c>
      <c r="BA248" s="1111">
        <f t="shared" si="403"/>
        <v>0.85268225231092398</v>
      </c>
      <c r="BB248" s="1111">
        <f t="shared" si="403"/>
        <v>0.85268225231092398</v>
      </c>
      <c r="BC248" s="1111">
        <f t="shared" si="403"/>
        <v>0.44197863249122399</v>
      </c>
      <c r="BD248" s="1111">
        <f t="shared" si="403"/>
        <v>0.24083520219764601</v>
      </c>
      <c r="BE248" s="1111">
        <f t="shared" si="403"/>
        <v>0.148362414161788</v>
      </c>
      <c r="BF248" s="1111">
        <f t="shared" si="403"/>
        <v>0.11982020029779999</v>
      </c>
      <c r="BG248" s="1111">
        <f t="shared" si="403"/>
        <v>0.115075397080156</v>
      </c>
      <c r="BH248" s="1111">
        <f t="shared" si="403"/>
        <v>0.113741063740516</v>
      </c>
      <c r="BI248" s="1111">
        <f t="shared" si="403"/>
        <v>0.113717400839903</v>
      </c>
      <c r="BJ248" s="1111">
        <f t="shared" si="403"/>
        <v>0.11370438522677</v>
      </c>
      <c r="BK248" s="1111">
        <f t="shared" si="403"/>
        <v>0.11370438522677</v>
      </c>
      <c r="BL248" s="1111">
        <f t="shared" si="403"/>
        <v>5.0328469585193201</v>
      </c>
      <c r="BM248" s="1111">
        <f t="shared" si="403"/>
        <v>5.0328469585193201</v>
      </c>
      <c r="BN248" s="1111">
        <f t="shared" si="403"/>
        <v>2.6827852293663099</v>
      </c>
      <c r="BO248" s="1111">
        <f t="shared" si="403"/>
        <v>1.7356120209921699</v>
      </c>
      <c r="BP248" s="1111">
        <f t="shared" si="403"/>
        <v>1.1963534366450099</v>
      </c>
      <c r="BQ248" s="1111">
        <f t="shared" si="403"/>
        <v>1.0323047664296401</v>
      </c>
      <c r="BR248" s="1111">
        <f t="shared" si="403"/>
        <v>0.995595558537549</v>
      </c>
      <c r="BS248" s="1111">
        <f t="shared" si="403"/>
        <v>0.98556754943244496</v>
      </c>
      <c r="BT248" s="1111">
        <f t="shared" si="403"/>
        <v>0.98409018482975696</v>
      </c>
      <c r="BU248" s="1111">
        <f t="shared" si="403"/>
        <v>0.98392055504691101</v>
      </c>
      <c r="BV248" s="1111">
        <f t="shared" si="403"/>
        <v>0.98392055504691101</v>
      </c>
      <c r="BW248" s="1111">
        <f t="shared" si="403"/>
        <v>1.47076719543515</v>
      </c>
      <c r="BX248" s="1111">
        <f t="shared" ref="BX248:CL248" si="404">BX251</f>
        <v>1.47076719543515</v>
      </c>
      <c r="BY248" s="1111">
        <f t="shared" si="404"/>
        <v>0.68796701308964903</v>
      </c>
      <c r="BZ248" s="1111">
        <f t="shared" si="404"/>
        <v>0.402812160133037</v>
      </c>
      <c r="CA248" s="1111">
        <f t="shared" si="404"/>
        <v>0.22250982610906</v>
      </c>
      <c r="CB248" s="1111">
        <f t="shared" si="404"/>
        <v>0.16724007620430001</v>
      </c>
      <c r="CC248" s="1111">
        <f t="shared" si="404"/>
        <v>0.15629916703885099</v>
      </c>
      <c r="CD248" s="1111">
        <f t="shared" si="404"/>
        <v>0.15328186767858501</v>
      </c>
      <c r="CE248" s="1111">
        <f t="shared" si="404"/>
        <v>0.15319941180844801</v>
      </c>
      <c r="CF248" s="1111">
        <f t="shared" si="404"/>
        <v>0.15317662764687001</v>
      </c>
      <c r="CG248" s="1111">
        <f t="shared" si="404"/>
        <v>0.15317662764687001</v>
      </c>
      <c r="CH248" s="1111">
        <f t="shared" si="404"/>
        <v>2.7376905675536502E-2</v>
      </c>
      <c r="CI248" s="1111">
        <f t="shared" si="404"/>
        <v>2.7376905675536502E-2</v>
      </c>
      <c r="CJ248" s="1111">
        <f t="shared" si="404"/>
        <v>2.7641391273496001E-2</v>
      </c>
      <c r="CK248" s="1111">
        <f t="shared" si="404"/>
        <v>3.7783493564809902E-2</v>
      </c>
      <c r="CL248" s="1111">
        <f t="shared" si="404"/>
        <v>3.7791768560113202E-2</v>
      </c>
      <c r="CM248" s="1111">
        <f>CM251</f>
        <v>3.7796042393498999E-2</v>
      </c>
      <c r="CN248" s="1111">
        <f>CN251</f>
        <v>3.7797273059285798E-2</v>
      </c>
      <c r="CO248" s="1111">
        <f>CO251</f>
        <v>3.7797290465285301E-2</v>
      </c>
      <c r="CP248" s="1111">
        <f>CP251</f>
        <v>3.77969592669226E-2</v>
      </c>
      <c r="CQ248" s="1111">
        <f>CQ251</f>
        <v>3.7796456239744897E-2</v>
      </c>
      <c r="CR248" s="1111">
        <f t="shared" ref="CR248:EV248" si="405">CR251</f>
        <v>3.7796456239744897E-2</v>
      </c>
      <c r="CS248" s="1111">
        <f t="shared" si="405"/>
        <v>4.5435437093963096E-3</v>
      </c>
      <c r="CT248" s="1111">
        <f t="shared" si="405"/>
        <v>4.5435437093963096E-3</v>
      </c>
      <c r="CU248" s="1111">
        <f t="shared" si="405"/>
        <v>4.4398754909713801E-3</v>
      </c>
      <c r="CV248" s="1111">
        <f t="shared" si="405"/>
        <v>6.8039701300534198E-3</v>
      </c>
      <c r="CW248" s="1111">
        <f t="shared" si="405"/>
        <v>6.7823537903093098E-3</v>
      </c>
      <c r="CX248" s="1111">
        <f t="shared" si="405"/>
        <v>6.7664266882471596E-3</v>
      </c>
      <c r="CY248" s="1111">
        <f t="shared" si="405"/>
        <v>6.7587032892351797E-3</v>
      </c>
      <c r="CZ248" s="1111">
        <f t="shared" si="405"/>
        <v>6.7553372449461798E-3</v>
      </c>
      <c r="DA248" s="1111">
        <f t="shared" si="405"/>
        <v>6.75420201921096E-3</v>
      </c>
      <c r="DB248" s="1111">
        <f t="shared" si="405"/>
        <v>6.7544025642624697E-3</v>
      </c>
      <c r="DC248" s="1111">
        <f t="shared" si="405"/>
        <v>6.7544025642624697E-3</v>
      </c>
      <c r="DD248" s="1111">
        <f t="shared" si="405"/>
        <v>0.39397857160683847</v>
      </c>
      <c r="DE248" s="1111">
        <f t="shared" si="405"/>
        <v>0.22910001041476069</v>
      </c>
      <c r="DF248" s="1111">
        <f t="shared" si="405"/>
        <v>9.3891703000443583E-2</v>
      </c>
      <c r="DG248" s="1111">
        <f t="shared" si="405"/>
        <v>1.7189501227545343E-2</v>
      </c>
      <c r="DH248" s="1111">
        <f t="shared" si="405"/>
        <v>1.6160522719819933E-3</v>
      </c>
      <c r="DI248" s="1111">
        <f t="shared" si="405"/>
        <v>1.6049653935622851E-3</v>
      </c>
      <c r="DJ248" s="1111">
        <f t="shared" si="405"/>
        <v>1.6049983985356002E-3</v>
      </c>
      <c r="DK248" s="1111">
        <f t="shared" si="405"/>
        <v>1.6098230122520154E-3</v>
      </c>
      <c r="DL248" s="1111">
        <f t="shared" si="405"/>
        <v>1.6179747100716357E-3</v>
      </c>
      <c r="DM248" s="1111">
        <f t="shared" si="405"/>
        <v>1.6245560853542357E-3</v>
      </c>
      <c r="DN248" s="1111">
        <f t="shared" si="405"/>
        <v>1.6245560853542357E-3</v>
      </c>
      <c r="DO248" s="1111">
        <f t="shared" si="405"/>
        <v>0.2153272217366988</v>
      </c>
      <c r="DP248" s="1111">
        <f t="shared" si="405"/>
        <v>0.14953249017733392</v>
      </c>
      <c r="DQ248" s="1111">
        <f t="shared" si="405"/>
        <v>6.7441600946284805E-2</v>
      </c>
      <c r="DR248" s="1111">
        <f t="shared" si="405"/>
        <v>1.3565246309733816E-2</v>
      </c>
      <c r="DS248" s="1111">
        <f t="shared" si="405"/>
        <v>2.8097295233125079E-3</v>
      </c>
      <c r="DT248" s="1111">
        <f t="shared" si="405"/>
        <v>2.7904533416799396E-3</v>
      </c>
      <c r="DU248" s="1111">
        <f t="shared" si="405"/>
        <v>2.7905106381460811E-3</v>
      </c>
      <c r="DV248" s="1111">
        <f t="shared" si="405"/>
        <v>2.798898953096617E-3</v>
      </c>
      <c r="DW248" s="1111">
        <f t="shared" si="405"/>
        <v>2.8130718384443347E-3</v>
      </c>
      <c r="DX248" s="1111">
        <f t="shared" si="405"/>
        <v>2.824514428110457E-3</v>
      </c>
      <c r="DY248" s="1111">
        <f t="shared" si="405"/>
        <v>2.824514428110457E-3</v>
      </c>
      <c r="DZ248" s="1111">
        <f t="shared" si="405"/>
        <v>2.0740750969478802E-2</v>
      </c>
      <c r="EA248" s="1111">
        <f t="shared" si="405"/>
        <v>2.0740750969478802E-2</v>
      </c>
      <c r="EB248" s="1111">
        <f t="shared" si="405"/>
        <v>7.9476630685157604E-2</v>
      </c>
      <c r="EC248" s="1111">
        <f t="shared" si="405"/>
        <v>0.132995121584536</v>
      </c>
      <c r="ED248" s="1111">
        <f t="shared" si="405"/>
        <v>0.13480815363144</v>
      </c>
      <c r="EE248" s="1111">
        <f t="shared" si="405"/>
        <v>0.13505884947628399</v>
      </c>
      <c r="EF248" s="1111">
        <f t="shared" si="405"/>
        <v>0.13476923534058399</v>
      </c>
      <c r="EG248" s="1111">
        <f t="shared" si="405"/>
        <v>0.13483063017123001</v>
      </c>
      <c r="EH248" s="1111">
        <f t="shared" si="405"/>
        <v>0.13476298539555601</v>
      </c>
      <c r="EI248" s="1111">
        <f t="shared" si="405"/>
        <v>0.134758213223449</v>
      </c>
      <c r="EJ248" s="1111">
        <f t="shared" si="405"/>
        <v>0.134758213223449</v>
      </c>
      <c r="EK248" s="1111">
        <f t="shared" si="405"/>
        <v>1482.5754764799101</v>
      </c>
      <c r="EL248" s="1111">
        <f t="shared" si="343"/>
        <v>1482.5754764799101</v>
      </c>
      <c r="EM248" s="1111">
        <f t="shared" si="344"/>
        <v>1635.6442478660899</v>
      </c>
      <c r="EN248" s="1111">
        <f t="shared" si="345"/>
        <v>2107.1372534500802</v>
      </c>
      <c r="EO248" s="1111">
        <f t="shared" si="346"/>
        <v>2071.9319953702902</v>
      </c>
      <c r="EP248" s="1111">
        <f t="shared" si="347"/>
        <v>2048.5012080599699</v>
      </c>
      <c r="EQ248" s="1111">
        <f t="shared" si="348"/>
        <v>2041.23090502932</v>
      </c>
      <c r="ER248" s="1111">
        <f t="shared" si="349"/>
        <v>2038.8712683316101</v>
      </c>
      <c r="ES248" s="1111">
        <f t="shared" si="350"/>
        <v>2037.89380685326</v>
      </c>
      <c r="ET248" s="1111">
        <f t="shared" si="351"/>
        <v>2037.18147825705</v>
      </c>
      <c r="EU248" s="1111">
        <f t="shared" si="352"/>
        <v>2037.18147825705</v>
      </c>
      <c r="EV248" s="1111">
        <f t="shared" si="405"/>
        <v>11.638950039279999</v>
      </c>
      <c r="EW248" s="1111">
        <f t="shared" si="333"/>
        <v>11.638950039279999</v>
      </c>
      <c r="EX248" s="1111">
        <f t="shared" si="334"/>
        <v>6.7839244745049401</v>
      </c>
      <c r="EY248" s="1111">
        <f t="shared" si="335"/>
        <v>4.3925354378646304</v>
      </c>
      <c r="EZ248" s="1111">
        <f t="shared" si="336"/>
        <v>2.6191347420861701</v>
      </c>
      <c r="FA248" s="1111">
        <f t="shared" si="337"/>
        <v>2.06534470659102</v>
      </c>
      <c r="FB248" s="1111">
        <f t="shared" si="338"/>
        <v>1.9514955612034099</v>
      </c>
      <c r="FC248" s="1111">
        <f t="shared" si="339"/>
        <v>1.9247847205619899</v>
      </c>
      <c r="FD248" s="1111">
        <f t="shared" si="340"/>
        <v>1.9239170224512001</v>
      </c>
      <c r="FE248" s="1111">
        <f t="shared" si="341"/>
        <v>1.92345457739672</v>
      </c>
      <c r="FF248" s="1111">
        <f t="shared" si="342"/>
        <v>1.92345457739672</v>
      </c>
      <c r="FG248" s="1111">
        <f t="shared" si="389"/>
        <v>3.6844240816642601E-2</v>
      </c>
      <c r="FH248" s="1111">
        <f t="shared" si="390"/>
        <v>3.6844240816642601E-2</v>
      </c>
      <c r="FI248" s="1111">
        <f t="shared" si="391"/>
        <v>3.9353507212849297E-2</v>
      </c>
      <c r="FJ248" s="1111">
        <f t="shared" si="392"/>
        <v>1.7702463178777099E-2</v>
      </c>
      <c r="FK248" s="1111">
        <f t="shared" si="393"/>
        <v>1.7311059741913899E-2</v>
      </c>
      <c r="FL248" s="1111">
        <f t="shared" si="394"/>
        <v>1.70853991434037E-2</v>
      </c>
      <c r="FM248" s="1111">
        <f t="shared" si="395"/>
        <v>1.70195621794277E-2</v>
      </c>
      <c r="FN248" s="1111">
        <f t="shared" si="396"/>
        <v>1.69983226363635E-2</v>
      </c>
      <c r="FO248" s="1111">
        <f t="shared" si="397"/>
        <v>1.6990168303807101E-2</v>
      </c>
      <c r="FP248" s="1111">
        <f t="shared" si="398"/>
        <v>1.69842326570817E-2</v>
      </c>
      <c r="FQ248" s="1111">
        <f t="shared" si="399"/>
        <v>1.69842326570817E-2</v>
      </c>
      <c r="FR248" s="1111">
        <f t="shared" si="322"/>
        <v>1.2647150782943599</v>
      </c>
      <c r="FS248" s="1111">
        <f t="shared" si="323"/>
        <v>1.2647150782943599</v>
      </c>
      <c r="FT248" s="1111">
        <f t="shared" si="324"/>
        <v>0.82297495230985995</v>
      </c>
      <c r="FU248" s="1111">
        <f t="shared" si="325"/>
        <v>0.78295839522434196</v>
      </c>
      <c r="FV248" s="1111">
        <f t="shared" si="326"/>
        <v>0.68016675260069404</v>
      </c>
      <c r="FW248" s="1111">
        <f t="shared" si="327"/>
        <v>0.64888550894506702</v>
      </c>
      <c r="FX248" s="1111">
        <f t="shared" si="328"/>
        <v>0.64362415371119697</v>
      </c>
      <c r="FY248" s="1111">
        <f t="shared" si="329"/>
        <v>0.64216665150257801</v>
      </c>
      <c r="FZ248" s="1111">
        <f t="shared" si="330"/>
        <v>0.64212477573891902</v>
      </c>
      <c r="GA248" s="1111">
        <f t="shared" si="331"/>
        <v>0.64210952076406802</v>
      </c>
      <c r="GB248" s="1111">
        <f t="shared" si="332"/>
        <v>0.64210952076406802</v>
      </c>
      <c r="GC248" s="1111">
        <f t="shared" si="353"/>
        <v>0.85268225231092398</v>
      </c>
      <c r="GD248" s="1111">
        <f t="shared" si="354"/>
        <v>0.85268225231092398</v>
      </c>
      <c r="GE248" s="1111">
        <f t="shared" si="355"/>
        <v>0.44197863249122399</v>
      </c>
      <c r="GF248" s="1111">
        <f t="shared" si="356"/>
        <v>0.24083520219764601</v>
      </c>
      <c r="GG248" s="1111">
        <f t="shared" si="357"/>
        <v>0.148362414161788</v>
      </c>
      <c r="GH248" s="1111">
        <f t="shared" si="358"/>
        <v>0.11982020029779999</v>
      </c>
      <c r="GI248" s="1111">
        <f t="shared" si="359"/>
        <v>0.115075397080156</v>
      </c>
      <c r="GJ248" s="1111">
        <f t="shared" si="360"/>
        <v>0.113741063740516</v>
      </c>
      <c r="GK248" s="1111">
        <f t="shared" si="361"/>
        <v>0.113717400839903</v>
      </c>
      <c r="GL248" s="1111">
        <f t="shared" si="362"/>
        <v>0.11370438522677</v>
      </c>
      <c r="GM248" s="1111">
        <f t="shared" si="363"/>
        <v>0.11370438522677</v>
      </c>
    </row>
    <row r="249" spans="1:195" x14ac:dyDescent="0.2">
      <c r="A249" s="1071" t="str">
        <f>Technologies!B154</f>
        <v>*R2,R3,R4,R5,R6</v>
      </c>
      <c r="B249" s="1071" t="str">
        <f>Technologies!C154</f>
        <v>THSDSLADV2</v>
      </c>
      <c r="C249" s="1071" t="str">
        <f>Technologies!D154</f>
        <v>Heavy Truck, Short Haul, Advanced Diesel</v>
      </c>
      <c r="D249" s="1071" t="str">
        <f>NewTech!D104</f>
        <v>bn-vmt, bn-vmt/a</v>
      </c>
      <c r="E249" s="1071" t="str">
        <f>Commodities!$C$46</f>
        <v>TWDSL</v>
      </c>
      <c r="F249" s="1071" t="str">
        <f>Commodities!$C$16</f>
        <v>TSW</v>
      </c>
      <c r="G249" s="1110" t="str">
        <f>G256</f>
        <v>Heavy duty short haul truck</v>
      </c>
      <c r="H249" s="1110" t="str">
        <f>H256</f>
        <v>DSL</v>
      </c>
      <c r="I249" s="1112">
        <v>1</v>
      </c>
      <c r="J249" s="1110" t="str">
        <f>J256</f>
        <v>Heavy duty short haul truck-DSL</v>
      </c>
      <c r="K249" s="1111">
        <f>K256</f>
        <v>1482.5754764799101</v>
      </c>
      <c r="L249" s="1111">
        <f t="shared" ref="L249:BW249" si="406">L256</f>
        <v>1635.6442478660899</v>
      </c>
      <c r="M249" s="1111">
        <f t="shared" si="406"/>
        <v>2107.1372534500802</v>
      </c>
      <c r="N249" s="1111">
        <f t="shared" si="406"/>
        <v>2071.9319953702902</v>
      </c>
      <c r="O249" s="1111">
        <f t="shared" si="406"/>
        <v>2048.5012080599699</v>
      </c>
      <c r="P249" s="1111">
        <f t="shared" si="406"/>
        <v>2041.23090502932</v>
      </c>
      <c r="Q249" s="1111">
        <f t="shared" si="406"/>
        <v>2038.8712683316101</v>
      </c>
      <c r="R249" s="1111">
        <f t="shared" si="406"/>
        <v>2037.89380685326</v>
      </c>
      <c r="S249" s="1111">
        <f t="shared" si="406"/>
        <v>2037.18147825705</v>
      </c>
      <c r="T249" s="1111">
        <f t="shared" si="364"/>
        <v>2037.18147825705</v>
      </c>
      <c r="U249" s="1111">
        <f t="shared" si="406"/>
        <v>11.638950039279999</v>
      </c>
      <c r="V249" s="1111">
        <f t="shared" si="406"/>
        <v>6.7839244745049401</v>
      </c>
      <c r="W249" s="1111">
        <f t="shared" si="406"/>
        <v>4.3925354378646304</v>
      </c>
      <c r="X249" s="1111">
        <f t="shared" si="406"/>
        <v>2.6191347420861701</v>
      </c>
      <c r="Y249" s="1111">
        <f t="shared" si="406"/>
        <v>2.06534470659102</v>
      </c>
      <c r="Z249" s="1111">
        <f t="shared" si="406"/>
        <v>1.9514955612034099</v>
      </c>
      <c r="AA249" s="1111">
        <f t="shared" si="406"/>
        <v>1.9247847205619899</v>
      </c>
      <c r="AB249" s="1111">
        <f t="shared" si="406"/>
        <v>1.9239170224512001</v>
      </c>
      <c r="AC249" s="1111">
        <f t="shared" si="406"/>
        <v>1.92345457739672</v>
      </c>
      <c r="AD249" s="1111">
        <f t="shared" si="321"/>
        <v>1.92345457739672</v>
      </c>
      <c r="AE249" s="1111">
        <f t="shared" si="406"/>
        <v>3.6844240816642601E-2</v>
      </c>
      <c r="AF249" s="1111">
        <f t="shared" si="406"/>
        <v>3.6844240816642601E-2</v>
      </c>
      <c r="AG249" s="1111">
        <f t="shared" si="406"/>
        <v>3.9353507212849297E-2</v>
      </c>
      <c r="AH249" s="1111">
        <f t="shared" si="406"/>
        <v>1.7702463178777099E-2</v>
      </c>
      <c r="AI249" s="1111">
        <f t="shared" si="406"/>
        <v>1.7311059741913899E-2</v>
      </c>
      <c r="AJ249" s="1111">
        <f t="shared" si="406"/>
        <v>1.70853991434037E-2</v>
      </c>
      <c r="AK249" s="1111">
        <f t="shared" si="406"/>
        <v>1.70195621794277E-2</v>
      </c>
      <c r="AL249" s="1111">
        <f t="shared" si="406"/>
        <v>1.69983226363635E-2</v>
      </c>
      <c r="AM249" s="1111">
        <f t="shared" si="406"/>
        <v>1.6990168303807101E-2</v>
      </c>
      <c r="AN249" s="1111">
        <f t="shared" si="406"/>
        <v>1.69842326570817E-2</v>
      </c>
      <c r="AO249" s="1111">
        <f t="shared" si="406"/>
        <v>1.69842326570817E-2</v>
      </c>
      <c r="AP249" s="1111">
        <f t="shared" si="406"/>
        <v>1.2647150782943599</v>
      </c>
      <c r="AQ249" s="1111">
        <f t="shared" si="406"/>
        <v>1.2647150782943599</v>
      </c>
      <c r="AR249" s="1111">
        <f t="shared" si="406"/>
        <v>0.82297495230985995</v>
      </c>
      <c r="AS249" s="1111">
        <f t="shared" si="406"/>
        <v>0.78295839522434196</v>
      </c>
      <c r="AT249" s="1111">
        <f t="shared" si="406"/>
        <v>0.68016675260069404</v>
      </c>
      <c r="AU249" s="1111">
        <f t="shared" si="406"/>
        <v>0.64888550894506702</v>
      </c>
      <c r="AV249" s="1111">
        <f t="shared" si="406"/>
        <v>0.64362415371119697</v>
      </c>
      <c r="AW249" s="1111">
        <f t="shared" si="406"/>
        <v>0.64216665150257801</v>
      </c>
      <c r="AX249" s="1111">
        <f t="shared" si="406"/>
        <v>0.64212477573891902</v>
      </c>
      <c r="AY249" s="1111">
        <f t="shared" si="406"/>
        <v>0.64210952076406802</v>
      </c>
      <c r="AZ249" s="1111">
        <f t="shared" si="406"/>
        <v>0.64210952076406802</v>
      </c>
      <c r="BA249" s="1111">
        <f t="shared" si="406"/>
        <v>0.85268225231092398</v>
      </c>
      <c r="BB249" s="1111">
        <f t="shared" si="406"/>
        <v>0.85268225231092398</v>
      </c>
      <c r="BC249" s="1111">
        <f t="shared" si="406"/>
        <v>0.44197863249122399</v>
      </c>
      <c r="BD249" s="1111">
        <f t="shared" si="406"/>
        <v>0.24083520219764601</v>
      </c>
      <c r="BE249" s="1111">
        <f t="shared" si="406"/>
        <v>0.148362414161788</v>
      </c>
      <c r="BF249" s="1111">
        <f t="shared" si="406"/>
        <v>0.11982020029779999</v>
      </c>
      <c r="BG249" s="1111">
        <f t="shared" si="406"/>
        <v>0.115075397080156</v>
      </c>
      <c r="BH249" s="1111">
        <f t="shared" si="406"/>
        <v>0.113741063740516</v>
      </c>
      <c r="BI249" s="1111">
        <f t="shared" si="406"/>
        <v>0.113717400839903</v>
      </c>
      <c r="BJ249" s="1111">
        <f t="shared" si="406"/>
        <v>0.11370438522677</v>
      </c>
      <c r="BK249" s="1111">
        <f t="shared" si="406"/>
        <v>0.11370438522677</v>
      </c>
      <c r="BL249" s="1111">
        <f t="shared" si="406"/>
        <v>5.0328469585193201</v>
      </c>
      <c r="BM249" s="1111">
        <f t="shared" si="406"/>
        <v>5.0328469585193201</v>
      </c>
      <c r="BN249" s="1111">
        <f t="shared" si="406"/>
        <v>2.6827852293663099</v>
      </c>
      <c r="BO249" s="1111">
        <f t="shared" si="406"/>
        <v>1.7356120209921699</v>
      </c>
      <c r="BP249" s="1111">
        <f t="shared" si="406"/>
        <v>1.1963534366450099</v>
      </c>
      <c r="BQ249" s="1111">
        <f t="shared" si="406"/>
        <v>1.0323047664296401</v>
      </c>
      <c r="BR249" s="1111">
        <f t="shared" si="406"/>
        <v>0.995595558537549</v>
      </c>
      <c r="BS249" s="1111">
        <f t="shared" si="406"/>
        <v>0.98556754943244496</v>
      </c>
      <c r="BT249" s="1111">
        <f t="shared" si="406"/>
        <v>0.98409018482975696</v>
      </c>
      <c r="BU249" s="1111">
        <f t="shared" si="406"/>
        <v>0.98392055504691101</v>
      </c>
      <c r="BV249" s="1111">
        <f t="shared" si="406"/>
        <v>0.98392055504691101</v>
      </c>
      <c r="BW249" s="1111">
        <f t="shared" si="406"/>
        <v>1.47076719543515</v>
      </c>
      <c r="BX249" s="1111">
        <f t="shared" ref="BX249:CR249" si="407">BX256</f>
        <v>1.47076719543515</v>
      </c>
      <c r="BY249" s="1111">
        <f t="shared" si="407"/>
        <v>0.68796701308964903</v>
      </c>
      <c r="BZ249" s="1111">
        <f t="shared" si="407"/>
        <v>0.402812160133037</v>
      </c>
      <c r="CA249" s="1111">
        <f t="shared" si="407"/>
        <v>0.22250982610906</v>
      </c>
      <c r="CB249" s="1111">
        <f t="shared" si="407"/>
        <v>0.16724007620430001</v>
      </c>
      <c r="CC249" s="1111">
        <f t="shared" si="407"/>
        <v>0.15629916703885099</v>
      </c>
      <c r="CD249" s="1111">
        <f t="shared" si="407"/>
        <v>0.15328186767858501</v>
      </c>
      <c r="CE249" s="1111">
        <f t="shared" si="407"/>
        <v>0.15319941180844801</v>
      </c>
      <c r="CF249" s="1111">
        <f t="shared" si="407"/>
        <v>0.15317662764687001</v>
      </c>
      <c r="CG249" s="1111">
        <f t="shared" si="407"/>
        <v>0.15317662764687001</v>
      </c>
      <c r="CH249" s="1111">
        <f t="shared" si="407"/>
        <v>2.7376905675536502E-2</v>
      </c>
      <c r="CI249" s="1111">
        <f t="shared" si="407"/>
        <v>2.7376905675536502E-2</v>
      </c>
      <c r="CJ249" s="1111">
        <f t="shared" si="407"/>
        <v>2.7641391273496001E-2</v>
      </c>
      <c r="CK249" s="1111">
        <f t="shared" si="407"/>
        <v>3.7783493564809902E-2</v>
      </c>
      <c r="CL249" s="1111">
        <f t="shared" si="407"/>
        <v>3.7791768560113202E-2</v>
      </c>
      <c r="CM249" s="1111">
        <f t="shared" si="407"/>
        <v>3.7796042393498999E-2</v>
      </c>
      <c r="CN249" s="1111">
        <f t="shared" si="407"/>
        <v>3.7797273059285798E-2</v>
      </c>
      <c r="CO249" s="1111">
        <f t="shared" si="407"/>
        <v>3.7797290465285301E-2</v>
      </c>
      <c r="CP249" s="1111">
        <f t="shared" si="407"/>
        <v>3.77969592669226E-2</v>
      </c>
      <c r="CQ249" s="1111">
        <f t="shared" si="407"/>
        <v>3.7796456239744897E-2</v>
      </c>
      <c r="CR249" s="1111">
        <f t="shared" si="407"/>
        <v>3.7796456239744897E-2</v>
      </c>
      <c r="CS249" s="1111">
        <f t="shared" ref="CS249:EV249" si="408">CS256</f>
        <v>4.5435437093963096E-3</v>
      </c>
      <c r="CT249" s="1111">
        <f t="shared" si="408"/>
        <v>4.5435437093963096E-3</v>
      </c>
      <c r="CU249" s="1111">
        <f t="shared" si="408"/>
        <v>4.4398754909713801E-3</v>
      </c>
      <c r="CV249" s="1111">
        <f t="shared" si="408"/>
        <v>6.8039701300534198E-3</v>
      </c>
      <c r="CW249" s="1111">
        <f t="shared" si="408"/>
        <v>6.7823537903093098E-3</v>
      </c>
      <c r="CX249" s="1111">
        <f t="shared" si="408"/>
        <v>6.7664266882471596E-3</v>
      </c>
      <c r="CY249" s="1111">
        <f t="shared" si="408"/>
        <v>6.7587032892351797E-3</v>
      </c>
      <c r="CZ249" s="1111">
        <f t="shared" si="408"/>
        <v>6.7553372449461798E-3</v>
      </c>
      <c r="DA249" s="1111">
        <f t="shared" si="408"/>
        <v>6.75420201921096E-3</v>
      </c>
      <c r="DB249" s="1111">
        <f t="shared" si="408"/>
        <v>6.7544025642624697E-3</v>
      </c>
      <c r="DC249" s="1111">
        <f t="shared" si="408"/>
        <v>6.7544025642624697E-3</v>
      </c>
      <c r="DD249" s="1111">
        <f t="shared" si="408"/>
        <v>0.39397857160683847</v>
      </c>
      <c r="DE249" s="1111">
        <f t="shared" si="408"/>
        <v>0.22910001041476069</v>
      </c>
      <c r="DF249" s="1111">
        <f t="shared" si="408"/>
        <v>9.3891703000443583E-2</v>
      </c>
      <c r="DG249" s="1111">
        <f t="shared" si="408"/>
        <v>1.7189501227545343E-2</v>
      </c>
      <c r="DH249" s="1111">
        <f t="shared" si="408"/>
        <v>1.6160522719819933E-3</v>
      </c>
      <c r="DI249" s="1111">
        <f t="shared" si="408"/>
        <v>1.6049653935622851E-3</v>
      </c>
      <c r="DJ249" s="1111">
        <f t="shared" si="408"/>
        <v>1.6049983985356002E-3</v>
      </c>
      <c r="DK249" s="1111">
        <f t="shared" si="408"/>
        <v>1.6098230122520154E-3</v>
      </c>
      <c r="DL249" s="1111">
        <f t="shared" si="408"/>
        <v>1.6179747100716357E-3</v>
      </c>
      <c r="DM249" s="1111">
        <f t="shared" si="408"/>
        <v>1.6245560853542357E-3</v>
      </c>
      <c r="DN249" s="1111">
        <f t="shared" si="408"/>
        <v>1.6245560853542357E-3</v>
      </c>
      <c r="DO249" s="1111">
        <f t="shared" si="408"/>
        <v>0.2153272217366988</v>
      </c>
      <c r="DP249" s="1111">
        <f t="shared" si="408"/>
        <v>0.14953249017733392</v>
      </c>
      <c r="DQ249" s="1111">
        <f t="shared" si="408"/>
        <v>6.7441600946284805E-2</v>
      </c>
      <c r="DR249" s="1111">
        <f t="shared" si="408"/>
        <v>1.3565246309733816E-2</v>
      </c>
      <c r="DS249" s="1111">
        <f t="shared" si="408"/>
        <v>2.8097295233125079E-3</v>
      </c>
      <c r="DT249" s="1111">
        <f t="shared" si="408"/>
        <v>2.7904533416799396E-3</v>
      </c>
      <c r="DU249" s="1111">
        <f t="shared" si="408"/>
        <v>2.7905106381460811E-3</v>
      </c>
      <c r="DV249" s="1111">
        <f t="shared" si="408"/>
        <v>2.798898953096617E-3</v>
      </c>
      <c r="DW249" s="1111">
        <f t="shared" si="408"/>
        <v>2.8130718384443347E-3</v>
      </c>
      <c r="DX249" s="1111">
        <f t="shared" si="408"/>
        <v>2.824514428110457E-3</v>
      </c>
      <c r="DY249" s="1111">
        <f t="shared" si="408"/>
        <v>2.824514428110457E-3</v>
      </c>
      <c r="DZ249" s="1111">
        <f t="shared" si="408"/>
        <v>2.0740750969478802E-2</v>
      </c>
      <c r="EA249" s="1111">
        <f t="shared" si="408"/>
        <v>2.0740750969478802E-2</v>
      </c>
      <c r="EB249" s="1111">
        <f t="shared" si="408"/>
        <v>7.9476630685157604E-2</v>
      </c>
      <c r="EC249" s="1111">
        <f t="shared" si="408"/>
        <v>0.132995121584536</v>
      </c>
      <c r="ED249" s="1111">
        <f t="shared" si="408"/>
        <v>0.13480815363144</v>
      </c>
      <c r="EE249" s="1111">
        <f t="shared" si="408"/>
        <v>0.13505884947628399</v>
      </c>
      <c r="EF249" s="1111">
        <f t="shared" si="408"/>
        <v>0.13476923534058399</v>
      </c>
      <c r="EG249" s="1111">
        <f t="shared" si="408"/>
        <v>0.13483063017123001</v>
      </c>
      <c r="EH249" s="1111">
        <f t="shared" si="408"/>
        <v>0.13476298539555601</v>
      </c>
      <c r="EI249" s="1111">
        <f t="shared" si="408"/>
        <v>0.134758213223449</v>
      </c>
      <c r="EJ249" s="1111">
        <f t="shared" si="408"/>
        <v>0.134758213223449</v>
      </c>
      <c r="EK249" s="1111">
        <f t="shared" si="408"/>
        <v>1482.5754764799101</v>
      </c>
      <c r="EL249" s="1111">
        <f t="shared" si="343"/>
        <v>1482.5754764799101</v>
      </c>
      <c r="EM249" s="1111">
        <f t="shared" si="344"/>
        <v>1635.6442478660899</v>
      </c>
      <c r="EN249" s="1111">
        <f t="shared" si="345"/>
        <v>2107.1372534500802</v>
      </c>
      <c r="EO249" s="1111">
        <f t="shared" si="346"/>
        <v>2071.9319953702902</v>
      </c>
      <c r="EP249" s="1111">
        <f t="shared" si="347"/>
        <v>2048.5012080599699</v>
      </c>
      <c r="EQ249" s="1111">
        <f t="shared" si="348"/>
        <v>2041.23090502932</v>
      </c>
      <c r="ER249" s="1111">
        <f t="shared" si="349"/>
        <v>2038.8712683316101</v>
      </c>
      <c r="ES249" s="1111">
        <f t="shared" si="350"/>
        <v>2037.89380685326</v>
      </c>
      <c r="ET249" s="1111">
        <f t="shared" si="351"/>
        <v>2037.18147825705</v>
      </c>
      <c r="EU249" s="1111">
        <f t="shared" si="352"/>
        <v>2037.18147825705</v>
      </c>
      <c r="EV249" s="1111">
        <f t="shared" si="408"/>
        <v>11.638950039279999</v>
      </c>
      <c r="EW249" s="1111">
        <f t="shared" si="333"/>
        <v>11.638950039279999</v>
      </c>
      <c r="EX249" s="1111">
        <f t="shared" si="334"/>
        <v>6.7839244745049401</v>
      </c>
      <c r="EY249" s="1111">
        <f t="shared" si="335"/>
        <v>4.3925354378646304</v>
      </c>
      <c r="EZ249" s="1111">
        <f t="shared" si="336"/>
        <v>2.6191347420861701</v>
      </c>
      <c r="FA249" s="1111">
        <f t="shared" si="337"/>
        <v>2.06534470659102</v>
      </c>
      <c r="FB249" s="1111">
        <f t="shared" si="338"/>
        <v>1.9514955612034099</v>
      </c>
      <c r="FC249" s="1111">
        <f t="shared" si="339"/>
        <v>1.9247847205619899</v>
      </c>
      <c r="FD249" s="1111">
        <f t="shared" si="340"/>
        <v>1.9239170224512001</v>
      </c>
      <c r="FE249" s="1111">
        <f t="shared" si="341"/>
        <v>1.92345457739672</v>
      </c>
      <c r="FF249" s="1111">
        <f t="shared" si="342"/>
        <v>1.92345457739672</v>
      </c>
      <c r="FG249" s="1111">
        <f t="shared" si="389"/>
        <v>3.6844240816642601E-2</v>
      </c>
      <c r="FH249" s="1111">
        <f t="shared" si="390"/>
        <v>3.6844240816642601E-2</v>
      </c>
      <c r="FI249" s="1111">
        <f t="shared" si="391"/>
        <v>3.9353507212849297E-2</v>
      </c>
      <c r="FJ249" s="1111">
        <f t="shared" si="392"/>
        <v>1.7702463178777099E-2</v>
      </c>
      <c r="FK249" s="1111">
        <f t="shared" si="393"/>
        <v>1.7311059741913899E-2</v>
      </c>
      <c r="FL249" s="1111">
        <f t="shared" si="394"/>
        <v>1.70853991434037E-2</v>
      </c>
      <c r="FM249" s="1111">
        <f t="shared" si="395"/>
        <v>1.70195621794277E-2</v>
      </c>
      <c r="FN249" s="1111">
        <f t="shared" si="396"/>
        <v>1.69983226363635E-2</v>
      </c>
      <c r="FO249" s="1111">
        <f t="shared" si="397"/>
        <v>1.6990168303807101E-2</v>
      </c>
      <c r="FP249" s="1111">
        <f t="shared" si="398"/>
        <v>1.69842326570817E-2</v>
      </c>
      <c r="FQ249" s="1111">
        <f t="shared" si="399"/>
        <v>1.69842326570817E-2</v>
      </c>
      <c r="FR249" s="1111">
        <f t="shared" si="322"/>
        <v>1.2647150782943599</v>
      </c>
      <c r="FS249" s="1111">
        <f t="shared" si="323"/>
        <v>1.2647150782943599</v>
      </c>
      <c r="FT249" s="1111">
        <f t="shared" si="324"/>
        <v>0.82297495230985995</v>
      </c>
      <c r="FU249" s="1111">
        <f t="shared" si="325"/>
        <v>0.78295839522434196</v>
      </c>
      <c r="FV249" s="1111">
        <f t="shared" si="326"/>
        <v>0.68016675260069404</v>
      </c>
      <c r="FW249" s="1111">
        <f t="shared" si="327"/>
        <v>0.64888550894506702</v>
      </c>
      <c r="FX249" s="1111">
        <f t="shared" si="328"/>
        <v>0.64362415371119697</v>
      </c>
      <c r="FY249" s="1111">
        <f t="shared" si="329"/>
        <v>0.64216665150257801</v>
      </c>
      <c r="FZ249" s="1111">
        <f t="shared" si="330"/>
        <v>0.64212477573891902</v>
      </c>
      <c r="GA249" s="1111">
        <f t="shared" si="331"/>
        <v>0.64210952076406802</v>
      </c>
      <c r="GB249" s="1111">
        <f t="shared" si="332"/>
        <v>0.64210952076406802</v>
      </c>
      <c r="GC249" s="1111">
        <f t="shared" si="353"/>
        <v>0.85268225231092398</v>
      </c>
      <c r="GD249" s="1111">
        <f t="shared" si="354"/>
        <v>0.85268225231092398</v>
      </c>
      <c r="GE249" s="1111">
        <f t="shared" si="355"/>
        <v>0.44197863249122399</v>
      </c>
      <c r="GF249" s="1111">
        <f t="shared" si="356"/>
        <v>0.24083520219764601</v>
      </c>
      <c r="GG249" s="1111">
        <f t="shared" si="357"/>
        <v>0.148362414161788</v>
      </c>
      <c r="GH249" s="1111">
        <f t="shared" si="358"/>
        <v>0.11982020029779999</v>
      </c>
      <c r="GI249" s="1111">
        <f t="shared" si="359"/>
        <v>0.115075397080156</v>
      </c>
      <c r="GJ249" s="1111">
        <f t="shared" si="360"/>
        <v>0.113741063740516</v>
      </c>
      <c r="GK249" s="1111">
        <f t="shared" si="361"/>
        <v>0.113717400839903</v>
      </c>
      <c r="GL249" s="1111">
        <f t="shared" si="362"/>
        <v>0.11370438522677</v>
      </c>
      <c r="GM249" s="1111">
        <f t="shared" si="363"/>
        <v>0.11370438522677</v>
      </c>
    </row>
    <row r="250" spans="1:195" x14ac:dyDescent="0.2">
      <c r="A250" s="1071" t="str">
        <f>Technologies!B155</f>
        <v>*R2,R3,R4,R5,R6</v>
      </c>
      <c r="B250" s="1071" t="str">
        <f>Technologies!C155</f>
        <v>THSDSLAH2</v>
      </c>
      <c r="C250" s="1071" t="str">
        <f>Technologies!D155</f>
        <v>Heavy Truck, Short Haul, Hybrid Diesel</v>
      </c>
      <c r="D250" s="1071" t="str">
        <f>NewTech!D105</f>
        <v>bn-vmt, bn-vmt/a</v>
      </c>
      <c r="E250" s="1071" t="str">
        <f>Commodities!$C$46</f>
        <v>TWDSL</v>
      </c>
      <c r="F250" s="1071" t="str">
        <f>Commodities!$C$16</f>
        <v>TSW</v>
      </c>
      <c r="G250" s="1110" t="str">
        <f>G261</f>
        <v>Heavy duty short haul truck</v>
      </c>
      <c r="H250" s="1110" t="str">
        <f>H261</f>
        <v>DSL</v>
      </c>
      <c r="I250" s="1112">
        <v>1</v>
      </c>
      <c r="J250" s="1110" t="str">
        <f>J261</f>
        <v>Heavy duty short haul truck-DSL</v>
      </c>
      <c r="K250" s="1111">
        <f>K261</f>
        <v>1482.5754764799101</v>
      </c>
      <c r="L250" s="1111">
        <f t="shared" ref="L250:BW250" si="409">L261</f>
        <v>1635.6442478660899</v>
      </c>
      <c r="M250" s="1111">
        <f t="shared" si="409"/>
        <v>2107.1372534500802</v>
      </c>
      <c r="N250" s="1111">
        <f t="shared" si="409"/>
        <v>2071.9319953702902</v>
      </c>
      <c r="O250" s="1111">
        <f t="shared" si="409"/>
        <v>2048.5012080599699</v>
      </c>
      <c r="P250" s="1111">
        <f t="shared" si="409"/>
        <v>2041.23090502932</v>
      </c>
      <c r="Q250" s="1111">
        <f t="shared" si="409"/>
        <v>2038.8712683316101</v>
      </c>
      <c r="R250" s="1111">
        <f t="shared" si="409"/>
        <v>2037.89380685326</v>
      </c>
      <c r="S250" s="1111">
        <f t="shared" si="409"/>
        <v>2037.18147825705</v>
      </c>
      <c r="T250" s="1111">
        <f t="shared" si="364"/>
        <v>2037.18147825705</v>
      </c>
      <c r="U250" s="1111">
        <f t="shared" si="409"/>
        <v>11.638950039279999</v>
      </c>
      <c r="V250" s="1111">
        <f t="shared" si="409"/>
        <v>6.7839244745049401</v>
      </c>
      <c r="W250" s="1111">
        <f t="shared" si="409"/>
        <v>4.3925354378646304</v>
      </c>
      <c r="X250" s="1111">
        <f t="shared" si="409"/>
        <v>2.6191347420861701</v>
      </c>
      <c r="Y250" s="1111">
        <f t="shared" si="409"/>
        <v>2.06534470659102</v>
      </c>
      <c r="Z250" s="1111">
        <f t="shared" si="409"/>
        <v>1.9514955612034099</v>
      </c>
      <c r="AA250" s="1111">
        <f t="shared" si="409"/>
        <v>1.9247847205619899</v>
      </c>
      <c r="AB250" s="1111">
        <f t="shared" si="409"/>
        <v>1.9239170224512001</v>
      </c>
      <c r="AC250" s="1111">
        <f t="shared" si="409"/>
        <v>1.92345457739672</v>
      </c>
      <c r="AD250" s="1111">
        <f t="shared" si="321"/>
        <v>1.92345457739672</v>
      </c>
      <c r="AE250" s="1111">
        <f t="shared" si="409"/>
        <v>3.6844240816642601E-2</v>
      </c>
      <c r="AF250" s="1111">
        <f t="shared" si="409"/>
        <v>3.6844240816642601E-2</v>
      </c>
      <c r="AG250" s="1111">
        <f t="shared" si="409"/>
        <v>3.9353507212849297E-2</v>
      </c>
      <c r="AH250" s="1111">
        <f t="shared" si="409"/>
        <v>1.7702463178777099E-2</v>
      </c>
      <c r="AI250" s="1111">
        <f t="shared" si="409"/>
        <v>1.7311059741913899E-2</v>
      </c>
      <c r="AJ250" s="1111">
        <f t="shared" si="409"/>
        <v>1.70853991434037E-2</v>
      </c>
      <c r="AK250" s="1111">
        <f t="shared" si="409"/>
        <v>1.70195621794277E-2</v>
      </c>
      <c r="AL250" s="1111">
        <f t="shared" si="409"/>
        <v>1.69983226363635E-2</v>
      </c>
      <c r="AM250" s="1111">
        <f t="shared" si="409"/>
        <v>1.6990168303807101E-2</v>
      </c>
      <c r="AN250" s="1111">
        <f t="shared" si="409"/>
        <v>1.69842326570817E-2</v>
      </c>
      <c r="AO250" s="1111">
        <f t="shared" si="409"/>
        <v>1.69842326570817E-2</v>
      </c>
      <c r="AP250" s="1111">
        <f t="shared" si="409"/>
        <v>1.2647150782943599</v>
      </c>
      <c r="AQ250" s="1111">
        <f t="shared" si="409"/>
        <v>1.2647150782943599</v>
      </c>
      <c r="AR250" s="1111">
        <f t="shared" si="409"/>
        <v>0.82297495230985995</v>
      </c>
      <c r="AS250" s="1111">
        <f t="shared" si="409"/>
        <v>0.78295839522434196</v>
      </c>
      <c r="AT250" s="1111">
        <f t="shared" si="409"/>
        <v>0.68016675260069404</v>
      </c>
      <c r="AU250" s="1111">
        <f t="shared" si="409"/>
        <v>0.64888550894506702</v>
      </c>
      <c r="AV250" s="1111">
        <f t="shared" si="409"/>
        <v>0.64362415371119697</v>
      </c>
      <c r="AW250" s="1111">
        <f t="shared" si="409"/>
        <v>0.64216665150257801</v>
      </c>
      <c r="AX250" s="1111">
        <f t="shared" si="409"/>
        <v>0.64212477573891902</v>
      </c>
      <c r="AY250" s="1111">
        <f t="shared" si="409"/>
        <v>0.64210952076406802</v>
      </c>
      <c r="AZ250" s="1111">
        <f t="shared" si="409"/>
        <v>0.64210952076406802</v>
      </c>
      <c r="BA250" s="1111">
        <f t="shared" si="409"/>
        <v>0.85268225231092398</v>
      </c>
      <c r="BB250" s="1111">
        <f t="shared" si="409"/>
        <v>0.85268225231092398</v>
      </c>
      <c r="BC250" s="1111">
        <f t="shared" si="409"/>
        <v>0.44197863249122399</v>
      </c>
      <c r="BD250" s="1111">
        <f t="shared" si="409"/>
        <v>0.24083520219764601</v>
      </c>
      <c r="BE250" s="1111">
        <f t="shared" si="409"/>
        <v>0.148362414161788</v>
      </c>
      <c r="BF250" s="1111">
        <f t="shared" si="409"/>
        <v>0.11982020029779999</v>
      </c>
      <c r="BG250" s="1111">
        <f t="shared" si="409"/>
        <v>0.115075397080156</v>
      </c>
      <c r="BH250" s="1111">
        <f t="shared" si="409"/>
        <v>0.113741063740516</v>
      </c>
      <c r="BI250" s="1111">
        <f t="shared" si="409"/>
        <v>0.113717400839903</v>
      </c>
      <c r="BJ250" s="1111">
        <f t="shared" si="409"/>
        <v>0.11370438522677</v>
      </c>
      <c r="BK250" s="1111">
        <f t="shared" si="409"/>
        <v>0.11370438522677</v>
      </c>
      <c r="BL250" s="1111">
        <f t="shared" si="409"/>
        <v>5.0328469585193201</v>
      </c>
      <c r="BM250" s="1111">
        <f t="shared" si="409"/>
        <v>5.0328469585193201</v>
      </c>
      <c r="BN250" s="1111">
        <f t="shared" si="409"/>
        <v>2.6827852293663099</v>
      </c>
      <c r="BO250" s="1111">
        <f t="shared" si="409"/>
        <v>1.7356120209921699</v>
      </c>
      <c r="BP250" s="1111">
        <f t="shared" si="409"/>
        <v>1.1963534366450099</v>
      </c>
      <c r="BQ250" s="1111">
        <f t="shared" si="409"/>
        <v>1.0323047664296401</v>
      </c>
      <c r="BR250" s="1111">
        <f t="shared" si="409"/>
        <v>0.995595558537549</v>
      </c>
      <c r="BS250" s="1111">
        <f t="shared" si="409"/>
        <v>0.98556754943244496</v>
      </c>
      <c r="BT250" s="1111">
        <f t="shared" si="409"/>
        <v>0.98409018482975696</v>
      </c>
      <c r="BU250" s="1111">
        <f t="shared" si="409"/>
        <v>0.98392055504691101</v>
      </c>
      <c r="BV250" s="1111">
        <f t="shared" si="409"/>
        <v>0.98392055504691101</v>
      </c>
      <c r="BW250" s="1111">
        <f t="shared" si="409"/>
        <v>1.47076719543515</v>
      </c>
      <c r="BX250" s="1111">
        <f t="shared" ref="BX250:CR250" si="410">BX261</f>
        <v>1.47076719543515</v>
      </c>
      <c r="BY250" s="1111">
        <f t="shared" si="410"/>
        <v>0.68796701308964903</v>
      </c>
      <c r="BZ250" s="1111">
        <f t="shared" si="410"/>
        <v>0.402812160133037</v>
      </c>
      <c r="CA250" s="1111">
        <f t="shared" si="410"/>
        <v>0.22250982610906</v>
      </c>
      <c r="CB250" s="1111">
        <f t="shared" si="410"/>
        <v>0.16724007620430001</v>
      </c>
      <c r="CC250" s="1111">
        <f t="shared" si="410"/>
        <v>0.15629916703885099</v>
      </c>
      <c r="CD250" s="1111">
        <f t="shared" si="410"/>
        <v>0.15328186767858501</v>
      </c>
      <c r="CE250" s="1111">
        <f t="shared" si="410"/>
        <v>0.15319941180844801</v>
      </c>
      <c r="CF250" s="1111">
        <f t="shared" si="410"/>
        <v>0.15317662764687001</v>
      </c>
      <c r="CG250" s="1111">
        <f t="shared" si="410"/>
        <v>0.15317662764687001</v>
      </c>
      <c r="CH250" s="1111">
        <f t="shared" si="410"/>
        <v>2.7376905675536502E-2</v>
      </c>
      <c r="CI250" s="1111">
        <f t="shared" si="410"/>
        <v>2.7376905675536502E-2</v>
      </c>
      <c r="CJ250" s="1111">
        <f t="shared" si="410"/>
        <v>2.7641391273496001E-2</v>
      </c>
      <c r="CK250" s="1111">
        <f t="shared" si="410"/>
        <v>3.7783493564809902E-2</v>
      </c>
      <c r="CL250" s="1111">
        <f t="shared" si="410"/>
        <v>3.7791768560113202E-2</v>
      </c>
      <c r="CM250" s="1111">
        <f t="shared" si="410"/>
        <v>3.7796042393498999E-2</v>
      </c>
      <c r="CN250" s="1111">
        <f t="shared" si="410"/>
        <v>3.7797273059285798E-2</v>
      </c>
      <c r="CO250" s="1111">
        <f t="shared" si="410"/>
        <v>3.7797290465285301E-2</v>
      </c>
      <c r="CP250" s="1111">
        <f t="shared" si="410"/>
        <v>3.77969592669226E-2</v>
      </c>
      <c r="CQ250" s="1111">
        <f t="shared" si="410"/>
        <v>3.7796456239744897E-2</v>
      </c>
      <c r="CR250" s="1111">
        <f t="shared" si="410"/>
        <v>3.7796456239744897E-2</v>
      </c>
      <c r="CS250" s="1111">
        <f t="shared" ref="CS250:EV250" si="411">CS261</f>
        <v>4.5435437093963096E-3</v>
      </c>
      <c r="CT250" s="1111">
        <f t="shared" si="411"/>
        <v>4.5435437093963096E-3</v>
      </c>
      <c r="CU250" s="1111">
        <f t="shared" si="411"/>
        <v>4.4398754909713801E-3</v>
      </c>
      <c r="CV250" s="1111">
        <f t="shared" si="411"/>
        <v>6.8039701300534198E-3</v>
      </c>
      <c r="CW250" s="1111">
        <f t="shared" si="411"/>
        <v>6.7823537903093098E-3</v>
      </c>
      <c r="CX250" s="1111">
        <f t="shared" si="411"/>
        <v>6.7664266882471596E-3</v>
      </c>
      <c r="CY250" s="1111">
        <f t="shared" si="411"/>
        <v>6.7587032892351797E-3</v>
      </c>
      <c r="CZ250" s="1111">
        <f t="shared" si="411"/>
        <v>6.7553372449461798E-3</v>
      </c>
      <c r="DA250" s="1111">
        <f t="shared" si="411"/>
        <v>6.75420201921096E-3</v>
      </c>
      <c r="DB250" s="1111">
        <f t="shared" si="411"/>
        <v>6.7544025642624697E-3</v>
      </c>
      <c r="DC250" s="1111">
        <f t="shared" si="411"/>
        <v>6.7544025642624697E-3</v>
      </c>
      <c r="DD250" s="1111">
        <f t="shared" si="411"/>
        <v>0.39397857160683847</v>
      </c>
      <c r="DE250" s="1111">
        <f t="shared" si="411"/>
        <v>0.22910001041476069</v>
      </c>
      <c r="DF250" s="1111">
        <f t="shared" si="411"/>
        <v>9.3891703000443583E-2</v>
      </c>
      <c r="DG250" s="1111">
        <f t="shared" si="411"/>
        <v>1.7189501227545343E-2</v>
      </c>
      <c r="DH250" s="1111">
        <f t="shared" si="411"/>
        <v>1.6160522719819933E-3</v>
      </c>
      <c r="DI250" s="1111">
        <f t="shared" si="411"/>
        <v>1.6049653935622851E-3</v>
      </c>
      <c r="DJ250" s="1111">
        <f t="shared" si="411"/>
        <v>1.6049983985356002E-3</v>
      </c>
      <c r="DK250" s="1111">
        <f t="shared" si="411"/>
        <v>1.6098230122520154E-3</v>
      </c>
      <c r="DL250" s="1111">
        <f t="shared" si="411"/>
        <v>1.6179747100716357E-3</v>
      </c>
      <c r="DM250" s="1111">
        <f t="shared" si="411"/>
        <v>1.6245560853542357E-3</v>
      </c>
      <c r="DN250" s="1111">
        <f t="shared" si="411"/>
        <v>1.6245560853542357E-3</v>
      </c>
      <c r="DO250" s="1111">
        <f t="shared" si="411"/>
        <v>0.2153272217366988</v>
      </c>
      <c r="DP250" s="1111">
        <f t="shared" si="411"/>
        <v>0.14953249017733392</v>
      </c>
      <c r="DQ250" s="1111">
        <f t="shared" si="411"/>
        <v>6.7441600946284805E-2</v>
      </c>
      <c r="DR250" s="1111">
        <f t="shared" si="411"/>
        <v>1.3565246309733816E-2</v>
      </c>
      <c r="DS250" s="1111">
        <f t="shared" si="411"/>
        <v>2.8097295233125079E-3</v>
      </c>
      <c r="DT250" s="1111">
        <f t="shared" si="411"/>
        <v>2.7904533416799396E-3</v>
      </c>
      <c r="DU250" s="1111">
        <f t="shared" si="411"/>
        <v>2.7905106381460811E-3</v>
      </c>
      <c r="DV250" s="1111">
        <f t="shared" si="411"/>
        <v>2.798898953096617E-3</v>
      </c>
      <c r="DW250" s="1111">
        <f t="shared" si="411"/>
        <v>2.8130718384443347E-3</v>
      </c>
      <c r="DX250" s="1111">
        <f t="shared" si="411"/>
        <v>2.824514428110457E-3</v>
      </c>
      <c r="DY250" s="1111">
        <f t="shared" si="411"/>
        <v>2.824514428110457E-3</v>
      </c>
      <c r="DZ250" s="1111">
        <f t="shared" si="411"/>
        <v>2.0740750969478802E-2</v>
      </c>
      <c r="EA250" s="1111">
        <f t="shared" si="411"/>
        <v>2.0740750969478802E-2</v>
      </c>
      <c r="EB250" s="1111">
        <f t="shared" si="411"/>
        <v>7.9476630685157604E-2</v>
      </c>
      <c r="EC250" s="1111">
        <f t="shared" si="411"/>
        <v>0.132995121584536</v>
      </c>
      <c r="ED250" s="1111">
        <f t="shared" si="411"/>
        <v>0.13480815363144</v>
      </c>
      <c r="EE250" s="1111">
        <f t="shared" si="411"/>
        <v>0.13505884947628399</v>
      </c>
      <c r="EF250" s="1111">
        <f t="shared" si="411"/>
        <v>0.13476923534058399</v>
      </c>
      <c r="EG250" s="1111">
        <f t="shared" si="411"/>
        <v>0.13483063017123001</v>
      </c>
      <c r="EH250" s="1111">
        <f t="shared" si="411"/>
        <v>0.13476298539555601</v>
      </c>
      <c r="EI250" s="1111">
        <f t="shared" si="411"/>
        <v>0.134758213223449</v>
      </c>
      <c r="EJ250" s="1111">
        <f t="shared" si="411"/>
        <v>0.134758213223449</v>
      </c>
      <c r="EK250" s="1111">
        <f t="shared" si="411"/>
        <v>1482.5754764799101</v>
      </c>
      <c r="EL250" s="1111">
        <f t="shared" si="343"/>
        <v>1482.5754764799101</v>
      </c>
      <c r="EM250" s="1111">
        <f t="shared" si="344"/>
        <v>1635.6442478660899</v>
      </c>
      <c r="EN250" s="1111">
        <f t="shared" si="345"/>
        <v>2107.1372534500802</v>
      </c>
      <c r="EO250" s="1111">
        <f t="shared" si="346"/>
        <v>2071.9319953702902</v>
      </c>
      <c r="EP250" s="1111">
        <f t="shared" si="347"/>
        <v>2048.5012080599699</v>
      </c>
      <c r="EQ250" s="1111">
        <f t="shared" si="348"/>
        <v>2041.23090502932</v>
      </c>
      <c r="ER250" s="1111">
        <f t="shared" si="349"/>
        <v>2038.8712683316101</v>
      </c>
      <c r="ES250" s="1111">
        <f t="shared" si="350"/>
        <v>2037.89380685326</v>
      </c>
      <c r="ET250" s="1111">
        <f t="shared" si="351"/>
        <v>2037.18147825705</v>
      </c>
      <c r="EU250" s="1111">
        <f t="shared" si="352"/>
        <v>2037.18147825705</v>
      </c>
      <c r="EV250" s="1111">
        <f t="shared" si="411"/>
        <v>11.638950039279999</v>
      </c>
      <c r="EW250" s="1111">
        <f t="shared" si="333"/>
        <v>11.638950039279999</v>
      </c>
      <c r="EX250" s="1111">
        <f t="shared" si="334"/>
        <v>6.7839244745049401</v>
      </c>
      <c r="EY250" s="1111">
        <f t="shared" si="335"/>
        <v>4.3925354378646304</v>
      </c>
      <c r="EZ250" s="1111">
        <f t="shared" si="336"/>
        <v>2.6191347420861701</v>
      </c>
      <c r="FA250" s="1111">
        <f t="shared" si="337"/>
        <v>2.06534470659102</v>
      </c>
      <c r="FB250" s="1111">
        <f t="shared" si="338"/>
        <v>1.9514955612034099</v>
      </c>
      <c r="FC250" s="1111">
        <f t="shared" si="339"/>
        <v>1.9247847205619899</v>
      </c>
      <c r="FD250" s="1111">
        <f t="shared" si="340"/>
        <v>1.9239170224512001</v>
      </c>
      <c r="FE250" s="1111">
        <f t="shared" si="341"/>
        <v>1.92345457739672</v>
      </c>
      <c r="FF250" s="1111">
        <f t="shared" si="342"/>
        <v>1.92345457739672</v>
      </c>
      <c r="FG250" s="1111">
        <f t="shared" si="389"/>
        <v>3.6844240816642601E-2</v>
      </c>
      <c r="FH250" s="1111">
        <f t="shared" si="390"/>
        <v>3.6844240816642601E-2</v>
      </c>
      <c r="FI250" s="1111">
        <f t="shared" si="391"/>
        <v>3.9353507212849297E-2</v>
      </c>
      <c r="FJ250" s="1111">
        <f t="shared" si="392"/>
        <v>1.7702463178777099E-2</v>
      </c>
      <c r="FK250" s="1111">
        <f t="shared" si="393"/>
        <v>1.7311059741913899E-2</v>
      </c>
      <c r="FL250" s="1111">
        <f t="shared" si="394"/>
        <v>1.70853991434037E-2</v>
      </c>
      <c r="FM250" s="1111">
        <f t="shared" si="395"/>
        <v>1.70195621794277E-2</v>
      </c>
      <c r="FN250" s="1111">
        <f t="shared" si="396"/>
        <v>1.69983226363635E-2</v>
      </c>
      <c r="FO250" s="1111">
        <f t="shared" si="397"/>
        <v>1.6990168303807101E-2</v>
      </c>
      <c r="FP250" s="1111">
        <f t="shared" si="398"/>
        <v>1.69842326570817E-2</v>
      </c>
      <c r="FQ250" s="1111">
        <f t="shared" si="399"/>
        <v>1.69842326570817E-2</v>
      </c>
      <c r="FR250" s="1111">
        <f t="shared" si="322"/>
        <v>1.2647150782943599</v>
      </c>
      <c r="FS250" s="1111">
        <f t="shared" si="323"/>
        <v>1.2647150782943599</v>
      </c>
      <c r="FT250" s="1111">
        <f t="shared" si="324"/>
        <v>0.82297495230985995</v>
      </c>
      <c r="FU250" s="1111">
        <f t="shared" si="325"/>
        <v>0.78295839522434196</v>
      </c>
      <c r="FV250" s="1111">
        <f t="shared" si="326"/>
        <v>0.68016675260069404</v>
      </c>
      <c r="FW250" s="1111">
        <f t="shared" si="327"/>
        <v>0.64888550894506702</v>
      </c>
      <c r="FX250" s="1111">
        <f t="shared" si="328"/>
        <v>0.64362415371119697</v>
      </c>
      <c r="FY250" s="1111">
        <f t="shared" si="329"/>
        <v>0.64216665150257801</v>
      </c>
      <c r="FZ250" s="1111">
        <f t="shared" si="330"/>
        <v>0.64212477573891902</v>
      </c>
      <c r="GA250" s="1111">
        <f t="shared" si="331"/>
        <v>0.64210952076406802</v>
      </c>
      <c r="GB250" s="1111">
        <f t="shared" si="332"/>
        <v>0.64210952076406802</v>
      </c>
      <c r="GC250" s="1111">
        <f t="shared" si="353"/>
        <v>0.85268225231092398</v>
      </c>
      <c r="GD250" s="1111">
        <f t="shared" si="354"/>
        <v>0.85268225231092398</v>
      </c>
      <c r="GE250" s="1111">
        <f t="shared" si="355"/>
        <v>0.44197863249122399</v>
      </c>
      <c r="GF250" s="1111">
        <f t="shared" si="356"/>
        <v>0.24083520219764601</v>
      </c>
      <c r="GG250" s="1111">
        <f t="shared" si="357"/>
        <v>0.148362414161788</v>
      </c>
      <c r="GH250" s="1111">
        <f t="shared" si="358"/>
        <v>0.11982020029779999</v>
      </c>
      <c r="GI250" s="1111">
        <f t="shared" si="359"/>
        <v>0.115075397080156</v>
      </c>
      <c r="GJ250" s="1111">
        <f t="shared" si="360"/>
        <v>0.113741063740516</v>
      </c>
      <c r="GK250" s="1111">
        <f t="shared" si="361"/>
        <v>0.113717400839903</v>
      </c>
      <c r="GL250" s="1111">
        <f t="shared" si="362"/>
        <v>0.11370438522677</v>
      </c>
      <c r="GM250" s="1111">
        <f t="shared" si="363"/>
        <v>0.11370438522677</v>
      </c>
    </row>
    <row r="251" spans="1:195" x14ac:dyDescent="0.2">
      <c r="A251" s="1071" t="s">
        <v>182</v>
      </c>
      <c r="B251" s="1071" t="str">
        <f>Technologies!C147</f>
        <v>THSDSLIM</v>
      </c>
      <c r="C251" s="1071" t="str">
        <f>Technologies!D147</f>
        <v>Heavy Truck, Short Haul, Improved Diesel</v>
      </c>
      <c r="D251" s="1071" t="str">
        <f>NewTech!D101</f>
        <v>bn-vmt, bn-vmt/a</v>
      </c>
      <c r="E251" s="1071" t="str">
        <f>Commodities!C$44</f>
        <v>THDSL</v>
      </c>
      <c r="F251" s="1071" t="s">
        <v>98</v>
      </c>
      <c r="G251" s="1110" t="s">
        <v>505</v>
      </c>
      <c r="H251" s="1110" t="s">
        <v>499</v>
      </c>
      <c r="I251" s="1112">
        <v>1</v>
      </c>
      <c r="J251" s="1111" t="str">
        <f t="shared" si="302"/>
        <v>Heavy duty short haul truck-DSL</v>
      </c>
      <c r="K251" s="1111">
        <f>SUMIFS(NewEmisData!E:E, NewEmisData!$A:$A, $G251, NewEmisData!$B:$B, $A251, NewEmisData!$C:$C, $H251, NewEmisData!$D:$D, K$6)</f>
        <v>1482.5754764799101</v>
      </c>
      <c r="L251" s="1111">
        <f>SUMIFS(NewEmisData!F:F, NewEmisData!$A:$A, $G251, NewEmisData!$B:$B, $A251, NewEmisData!$C:$C, $H251, NewEmisData!$D:$D, L$6)</f>
        <v>1635.6442478660899</v>
      </c>
      <c r="M251" s="1111">
        <f>SUMIFS(NewEmisData!G:G, NewEmisData!$A:$A, $G251, NewEmisData!$B:$B, $A251, NewEmisData!$C:$C, $H251, NewEmisData!$D:$D, M$6)</f>
        <v>2107.1372534500802</v>
      </c>
      <c r="N251" s="1111">
        <f>SUMIFS(NewEmisData!H:H, NewEmisData!$A:$A, $G251, NewEmisData!$B:$B, $A251, NewEmisData!$C:$C, $H251, NewEmisData!$D:$D, N$6)</f>
        <v>2071.9319953702902</v>
      </c>
      <c r="O251" s="1111">
        <f>SUMIFS(NewEmisData!I:I, NewEmisData!$A:$A, $G251, NewEmisData!$B:$B, $A251, NewEmisData!$C:$C, $H251, NewEmisData!$D:$D, O$6)</f>
        <v>2048.5012080599699</v>
      </c>
      <c r="P251" s="1111">
        <f>SUMIFS(NewEmisData!J:J, NewEmisData!$A:$A, $G251, NewEmisData!$B:$B, $A251, NewEmisData!$C:$C, $H251, NewEmisData!$D:$D, P$6)</f>
        <v>2041.23090502932</v>
      </c>
      <c r="Q251" s="1111">
        <f>SUMIFS(NewEmisData!K:K, NewEmisData!$A:$A, $G251, NewEmisData!$B:$B, $A251, NewEmisData!$C:$C, $H251, NewEmisData!$D:$D, Q$6)</f>
        <v>2038.8712683316101</v>
      </c>
      <c r="R251" s="1111">
        <f>SUMIFS(NewEmisData!L:L, NewEmisData!$A:$A, $G251, NewEmisData!$B:$B, $A251, NewEmisData!$C:$C, $H251, NewEmisData!$D:$D, R$6)</f>
        <v>2037.89380685326</v>
      </c>
      <c r="S251" s="1111">
        <f>SUMIFS(NewEmisData!M:M, NewEmisData!$A:$A, $G251, NewEmisData!$B:$B, $A251, NewEmisData!$C:$C, $H251, NewEmisData!$D:$D, S$6)</f>
        <v>2037.18147825705</v>
      </c>
      <c r="T251" s="1111">
        <f t="shared" si="364"/>
        <v>2037.18147825705</v>
      </c>
      <c r="U251" s="1111">
        <f>SUMIFS(NewEmisData!E:E, NewEmisData!$A:$A, $G251, NewEmisData!$B:$B, $A251, NewEmisData!$C:$C, $H251, NewEmisData!$D:$D, U$6)</f>
        <v>11.638950039279999</v>
      </c>
      <c r="V251" s="1111">
        <f>SUMIFS(NewEmisData!F:F, NewEmisData!$A:$A, $G251, NewEmisData!$B:$B, $A251, NewEmisData!$C:$C, $H251, NewEmisData!$D:$D, V$6)</f>
        <v>6.7839244745049401</v>
      </c>
      <c r="W251" s="1111">
        <f>SUMIFS(NewEmisData!G:G, NewEmisData!$A:$A, $G251, NewEmisData!$B:$B, $A251, NewEmisData!$C:$C, $H251, NewEmisData!$D:$D, W$6)</f>
        <v>4.3925354378646304</v>
      </c>
      <c r="X251" s="1111">
        <f>SUMIFS(NewEmisData!H:H, NewEmisData!$A:$A, $G251, NewEmisData!$B:$B, $A251, NewEmisData!$C:$C, $H251, NewEmisData!$D:$D, X$6)</f>
        <v>2.6191347420861701</v>
      </c>
      <c r="Y251" s="1111">
        <f>SUMIFS(NewEmisData!I:I, NewEmisData!$A:$A, $G251, NewEmisData!$B:$B, $A251, NewEmisData!$C:$C, $H251, NewEmisData!$D:$D, Y$6)</f>
        <v>2.06534470659102</v>
      </c>
      <c r="Z251" s="1111">
        <f>SUMIFS(NewEmisData!J:J, NewEmisData!$A:$A, $G251, NewEmisData!$B:$B, $A251, NewEmisData!$C:$C, $H251, NewEmisData!$D:$D, Z$6)</f>
        <v>1.9514955612034099</v>
      </c>
      <c r="AA251" s="1111">
        <f>SUMIFS(NewEmisData!K:K, NewEmisData!$A:$A, $G251, NewEmisData!$B:$B, $A251, NewEmisData!$C:$C, $H251, NewEmisData!$D:$D, AA$6)</f>
        <v>1.9247847205619899</v>
      </c>
      <c r="AB251" s="1111">
        <f>SUMIFS(NewEmisData!L:L, NewEmisData!$A:$A, $G251, NewEmisData!$B:$B, $A251, NewEmisData!$C:$C, $H251, NewEmisData!$D:$D, AB$6)</f>
        <v>1.9239170224512001</v>
      </c>
      <c r="AC251" s="1111">
        <f>SUMIFS(NewEmisData!M:M, NewEmisData!$A:$A, $G251, NewEmisData!$B:$B, $A251, NewEmisData!$C:$C, $H251, NewEmisData!$D:$D, AC$6)</f>
        <v>1.92345457739672</v>
      </c>
      <c r="AD251" s="1111">
        <f t="shared" si="321"/>
        <v>1.92345457739672</v>
      </c>
      <c r="AE251" s="1111">
        <f t="shared" ref="AE251:AE265" si="412">AF251</f>
        <v>3.6844240816642601E-2</v>
      </c>
      <c r="AF251" s="1111">
        <f>SUMIFS(NewEmisData!E:E, NewEmisData!$A:$A, $G251, NewEmisData!$B:$B, $A251, NewEmisData!$C:$C, $H251, NewEmisData!$D:$D, AF$6)</f>
        <v>3.6844240816642601E-2</v>
      </c>
      <c r="AG251" s="1111">
        <f>SUMIFS(NewEmisData!F:F, NewEmisData!$A:$A, $G251, NewEmisData!$B:$B, $A251, NewEmisData!$C:$C, $H251, NewEmisData!$D:$D, AG$6)</f>
        <v>3.9353507212849297E-2</v>
      </c>
      <c r="AH251" s="1111">
        <f>SUMIFS(NewEmisData!G:G, NewEmisData!$A:$A, $G251, NewEmisData!$B:$B, $A251, NewEmisData!$C:$C, $H251, NewEmisData!$D:$D, AH$6)</f>
        <v>1.7702463178777099E-2</v>
      </c>
      <c r="AI251" s="1111">
        <f>SUMIFS(NewEmisData!H:H, NewEmisData!$A:$A, $G251, NewEmisData!$B:$B, $A251, NewEmisData!$C:$C, $H251, NewEmisData!$D:$D, AI$6)</f>
        <v>1.7311059741913899E-2</v>
      </c>
      <c r="AJ251" s="1111">
        <f>SUMIFS(NewEmisData!I:I, NewEmisData!$A:$A, $G251, NewEmisData!$B:$B, $A251, NewEmisData!$C:$C, $H251, NewEmisData!$D:$D, AJ$6)</f>
        <v>1.70853991434037E-2</v>
      </c>
      <c r="AK251" s="1111">
        <f>SUMIFS(NewEmisData!J:J, NewEmisData!$A:$A, $G251, NewEmisData!$B:$B, $A251, NewEmisData!$C:$C, $H251, NewEmisData!$D:$D, AK$6)</f>
        <v>1.70195621794277E-2</v>
      </c>
      <c r="AL251" s="1111">
        <f>SUMIFS(NewEmisData!K:K, NewEmisData!$A:$A, $G251, NewEmisData!$B:$B, $A251, NewEmisData!$C:$C, $H251, NewEmisData!$D:$D, AL$6)</f>
        <v>1.69983226363635E-2</v>
      </c>
      <c r="AM251" s="1111">
        <f>SUMIFS(NewEmisData!L:L, NewEmisData!$A:$A, $G251, NewEmisData!$B:$B, $A251, NewEmisData!$C:$C, $H251, NewEmisData!$D:$D, AM$6)</f>
        <v>1.6990168303807101E-2</v>
      </c>
      <c r="AN251" s="1111">
        <f>SUMIFS(NewEmisData!M:M, NewEmisData!$A:$A, $G251, NewEmisData!$B:$B, $A251, NewEmisData!$C:$C, $H251, NewEmisData!$D:$D, AN$6)</f>
        <v>1.69842326570817E-2</v>
      </c>
      <c r="AO251" s="1111">
        <f t="shared" ref="AO251:AO265" si="413">AN251</f>
        <v>1.69842326570817E-2</v>
      </c>
      <c r="AP251" s="1111">
        <f t="shared" ref="AP251:AP265" si="414">AQ251</f>
        <v>1.2647150782943599</v>
      </c>
      <c r="AQ251" s="1111">
        <f>SUMIFS(NewEmisData!E:E, NewEmisData!$A:$A, $G251, NewEmisData!$B:$B, $A251, NewEmisData!$C:$C, $H251, NewEmisData!$D:$D, AQ$6)</f>
        <v>1.2647150782943599</v>
      </c>
      <c r="AR251" s="1111">
        <f>SUMIFS(NewEmisData!F:F, NewEmisData!$A:$A, $G251, NewEmisData!$B:$B, $A251, NewEmisData!$C:$C, $H251, NewEmisData!$D:$D, AR$6)</f>
        <v>0.82297495230985995</v>
      </c>
      <c r="AS251" s="1111">
        <f>SUMIFS(NewEmisData!G:G, NewEmisData!$A:$A, $G251, NewEmisData!$B:$B, $A251, NewEmisData!$C:$C, $H251, NewEmisData!$D:$D, AS$6)</f>
        <v>0.78295839522434196</v>
      </c>
      <c r="AT251" s="1111">
        <f>SUMIFS(NewEmisData!H:H, NewEmisData!$A:$A, $G251, NewEmisData!$B:$B, $A251, NewEmisData!$C:$C, $H251, NewEmisData!$D:$D, AT$6)</f>
        <v>0.68016675260069404</v>
      </c>
      <c r="AU251" s="1111">
        <f>SUMIFS(NewEmisData!I:I, NewEmisData!$A:$A, $G251, NewEmisData!$B:$B, $A251, NewEmisData!$C:$C, $H251, NewEmisData!$D:$D, AU$6)</f>
        <v>0.64888550894506702</v>
      </c>
      <c r="AV251" s="1111">
        <f>SUMIFS(NewEmisData!J:J, NewEmisData!$A:$A, $G251, NewEmisData!$B:$B, $A251, NewEmisData!$C:$C, $H251, NewEmisData!$D:$D, AV$6)</f>
        <v>0.64362415371119697</v>
      </c>
      <c r="AW251" s="1111">
        <f>SUMIFS(NewEmisData!K:K, NewEmisData!$A:$A, $G251, NewEmisData!$B:$B, $A251, NewEmisData!$C:$C, $H251, NewEmisData!$D:$D, AW$6)</f>
        <v>0.64216665150257801</v>
      </c>
      <c r="AX251" s="1111">
        <f>SUMIFS(NewEmisData!L:L, NewEmisData!$A:$A, $G251, NewEmisData!$B:$B, $A251, NewEmisData!$C:$C, $H251, NewEmisData!$D:$D, AX$6)</f>
        <v>0.64212477573891902</v>
      </c>
      <c r="AY251" s="1111">
        <f>SUMIFS(NewEmisData!M:M, NewEmisData!$A:$A, $G251, NewEmisData!$B:$B, $A251, NewEmisData!$C:$C, $H251, NewEmisData!$D:$D, AY$6)</f>
        <v>0.64210952076406802</v>
      </c>
      <c r="AZ251" s="1111">
        <f t="shared" ref="AZ251:AZ265" si="415">AY251</f>
        <v>0.64210952076406802</v>
      </c>
      <c r="BA251" s="1111">
        <f t="shared" ref="BA251:BA265" si="416">BB251</f>
        <v>0.85268225231092398</v>
      </c>
      <c r="BB251" s="1111">
        <f>SUMIFS(NewEmisData!E:E, NewEmisData!$A:$A, $G251, NewEmisData!$B:$B, $A251, NewEmisData!$C:$C, $H251, NewEmisData!$D:$D, BB$6)</f>
        <v>0.85268225231092398</v>
      </c>
      <c r="BC251" s="1111">
        <f>SUMIFS(NewEmisData!F:F, NewEmisData!$A:$A, $G251, NewEmisData!$B:$B, $A251, NewEmisData!$C:$C, $H251, NewEmisData!$D:$D, BC$6)</f>
        <v>0.44197863249122399</v>
      </c>
      <c r="BD251" s="1111">
        <f>SUMIFS(NewEmisData!G:G, NewEmisData!$A:$A, $G251, NewEmisData!$B:$B, $A251, NewEmisData!$C:$C, $H251, NewEmisData!$D:$D, BD$6)</f>
        <v>0.24083520219764601</v>
      </c>
      <c r="BE251" s="1111">
        <f>SUMIFS(NewEmisData!H:H, NewEmisData!$A:$A, $G251, NewEmisData!$B:$B, $A251, NewEmisData!$C:$C, $H251, NewEmisData!$D:$D, BE$6)</f>
        <v>0.148362414161788</v>
      </c>
      <c r="BF251" s="1111">
        <f>SUMIFS(NewEmisData!I:I, NewEmisData!$A:$A, $G251, NewEmisData!$B:$B, $A251, NewEmisData!$C:$C, $H251, NewEmisData!$D:$D, BF$6)</f>
        <v>0.11982020029779999</v>
      </c>
      <c r="BG251" s="1111">
        <f>SUMIFS(NewEmisData!J:J, NewEmisData!$A:$A, $G251, NewEmisData!$B:$B, $A251, NewEmisData!$C:$C, $H251, NewEmisData!$D:$D, BG$6)</f>
        <v>0.115075397080156</v>
      </c>
      <c r="BH251" s="1111">
        <f>SUMIFS(NewEmisData!K:K, NewEmisData!$A:$A, $G251, NewEmisData!$B:$B, $A251, NewEmisData!$C:$C, $H251, NewEmisData!$D:$D, BH$6)</f>
        <v>0.113741063740516</v>
      </c>
      <c r="BI251" s="1111">
        <f>SUMIFS(NewEmisData!L:L, NewEmisData!$A:$A, $G251, NewEmisData!$B:$B, $A251, NewEmisData!$C:$C, $H251, NewEmisData!$D:$D, BI$6)</f>
        <v>0.113717400839903</v>
      </c>
      <c r="BJ251" s="1111">
        <f>SUMIFS(NewEmisData!M:M, NewEmisData!$A:$A, $G251, NewEmisData!$B:$B, $A251, NewEmisData!$C:$C, $H251, NewEmisData!$D:$D, BJ$6)</f>
        <v>0.11370438522677</v>
      </c>
      <c r="BK251" s="1111">
        <f t="shared" ref="BK251:BK265" si="417">BJ251</f>
        <v>0.11370438522677</v>
      </c>
      <c r="BL251" s="1111">
        <f t="shared" ref="BL251:BL265" si="418">BM251</f>
        <v>5.0328469585193201</v>
      </c>
      <c r="BM251" s="1111">
        <f>SUMIFS(NewEmisData!E:E, NewEmisData!$A:$A, $G251, NewEmisData!$B:$B, $A251, NewEmisData!$C:$C, $H251, NewEmisData!$D:$D, BM$6)</f>
        <v>5.0328469585193201</v>
      </c>
      <c r="BN251" s="1111">
        <f>SUMIFS(NewEmisData!F:F, NewEmisData!$A:$A, $G251, NewEmisData!$B:$B, $A251, NewEmisData!$C:$C, $H251, NewEmisData!$D:$D, BN$6)</f>
        <v>2.6827852293663099</v>
      </c>
      <c r="BO251" s="1111">
        <f>SUMIFS(NewEmisData!G:G, NewEmisData!$A:$A, $G251, NewEmisData!$B:$B, $A251, NewEmisData!$C:$C, $H251, NewEmisData!$D:$D, BO$6)</f>
        <v>1.7356120209921699</v>
      </c>
      <c r="BP251" s="1111">
        <f>SUMIFS(NewEmisData!H:H, NewEmisData!$A:$A, $G251, NewEmisData!$B:$B, $A251, NewEmisData!$C:$C, $H251, NewEmisData!$D:$D, BP$6)</f>
        <v>1.1963534366450099</v>
      </c>
      <c r="BQ251" s="1111">
        <f>SUMIFS(NewEmisData!I:I, NewEmisData!$A:$A, $G251, NewEmisData!$B:$B, $A251, NewEmisData!$C:$C, $H251, NewEmisData!$D:$D, BQ$6)</f>
        <v>1.0323047664296401</v>
      </c>
      <c r="BR251" s="1111">
        <f>SUMIFS(NewEmisData!J:J, NewEmisData!$A:$A, $G251, NewEmisData!$B:$B, $A251, NewEmisData!$C:$C, $H251, NewEmisData!$D:$D, BR$6)</f>
        <v>0.995595558537549</v>
      </c>
      <c r="BS251" s="1111">
        <f>SUMIFS(NewEmisData!K:K, NewEmisData!$A:$A, $G251, NewEmisData!$B:$B, $A251, NewEmisData!$C:$C, $H251, NewEmisData!$D:$D, BS$6)</f>
        <v>0.98556754943244496</v>
      </c>
      <c r="BT251" s="1111">
        <f>SUMIFS(NewEmisData!L:L, NewEmisData!$A:$A, $G251, NewEmisData!$B:$B, $A251, NewEmisData!$C:$C, $H251, NewEmisData!$D:$D, BT$6)</f>
        <v>0.98409018482975696</v>
      </c>
      <c r="BU251" s="1111">
        <f>SUMIFS(NewEmisData!M:M, NewEmisData!$A:$A, $G251, NewEmisData!$B:$B, $A251, NewEmisData!$C:$C, $H251, NewEmisData!$D:$D, BU$6)</f>
        <v>0.98392055504691101</v>
      </c>
      <c r="BV251" s="1111">
        <f t="shared" ref="BV251:BV265" si="419">BU251</f>
        <v>0.98392055504691101</v>
      </c>
      <c r="BW251" s="1111">
        <f t="shared" ref="BW251:BW265" si="420">BX251</f>
        <v>1.47076719543515</v>
      </c>
      <c r="BX251" s="1111">
        <f>SUMIFS(NewEmisData!E:E, NewEmisData!$A:$A, $G251, NewEmisData!$B:$B, $A251, NewEmisData!$C:$C, $H251, NewEmisData!$D:$D, BX$6)</f>
        <v>1.47076719543515</v>
      </c>
      <c r="BY251" s="1111">
        <f>SUMIFS(NewEmisData!F:F, NewEmisData!$A:$A, $G251, NewEmisData!$B:$B, $A251, NewEmisData!$C:$C, $H251, NewEmisData!$D:$D, BY$6)</f>
        <v>0.68796701308964903</v>
      </c>
      <c r="BZ251" s="1111">
        <f>SUMIFS(NewEmisData!G:G, NewEmisData!$A:$A, $G251, NewEmisData!$B:$B, $A251, NewEmisData!$C:$C, $H251, NewEmisData!$D:$D, BZ$6)</f>
        <v>0.402812160133037</v>
      </c>
      <c r="CA251" s="1111">
        <f>SUMIFS(NewEmisData!H:H, NewEmisData!$A:$A, $G251, NewEmisData!$B:$B, $A251, NewEmisData!$C:$C, $H251, NewEmisData!$D:$D, CA$6)</f>
        <v>0.22250982610906</v>
      </c>
      <c r="CB251" s="1111">
        <f>SUMIFS(NewEmisData!I:I, NewEmisData!$A:$A, $G251, NewEmisData!$B:$B, $A251, NewEmisData!$C:$C, $H251, NewEmisData!$D:$D, CB$6)</f>
        <v>0.16724007620430001</v>
      </c>
      <c r="CC251" s="1111">
        <f>SUMIFS(NewEmisData!J:J, NewEmisData!$A:$A, $G251, NewEmisData!$B:$B, $A251, NewEmisData!$C:$C, $H251, NewEmisData!$D:$D, CC$6)</f>
        <v>0.15629916703885099</v>
      </c>
      <c r="CD251" s="1111">
        <f>SUMIFS(NewEmisData!K:K, NewEmisData!$A:$A, $G251, NewEmisData!$B:$B, $A251, NewEmisData!$C:$C, $H251, NewEmisData!$D:$D, CD$6)</f>
        <v>0.15328186767858501</v>
      </c>
      <c r="CE251" s="1111">
        <f>SUMIFS(NewEmisData!L:L, NewEmisData!$A:$A, $G251, NewEmisData!$B:$B, $A251, NewEmisData!$C:$C, $H251, NewEmisData!$D:$D, CE$6)</f>
        <v>0.15319941180844801</v>
      </c>
      <c r="CF251" s="1111">
        <f>SUMIFS(NewEmisData!M:M, NewEmisData!$A:$A, $G251, NewEmisData!$B:$B, $A251, NewEmisData!$C:$C, $H251, NewEmisData!$D:$D, CF$6)</f>
        <v>0.15317662764687001</v>
      </c>
      <c r="CG251" s="1111">
        <f t="shared" ref="CG251:CG265" si="421">CF251</f>
        <v>0.15317662764687001</v>
      </c>
      <c r="CH251" s="1111">
        <f t="shared" ref="CH251:CH265" si="422">CI251</f>
        <v>2.7376905675536502E-2</v>
      </c>
      <c r="CI251" s="1111">
        <f>SUMIFS(NewEmisData!E:E, NewEmisData!$A:$A, $G251, NewEmisData!$B:$B, $A251, NewEmisData!$C:$C, $H251, NewEmisData!$D:$D, CI$6)</f>
        <v>2.7376905675536502E-2</v>
      </c>
      <c r="CJ251" s="1111">
        <f>SUMIFS(NewEmisData!F:F, NewEmisData!$A:$A, $G251, NewEmisData!$B:$B, $A251, NewEmisData!$C:$C, $H251, NewEmisData!$D:$D, CJ$6)</f>
        <v>2.7641391273496001E-2</v>
      </c>
      <c r="CK251" s="1111">
        <f>SUMIFS(NewEmisData!G:G, NewEmisData!$A:$A, $G251, NewEmisData!$B:$B, $A251, NewEmisData!$C:$C, $H251, NewEmisData!$D:$D, CK$6)</f>
        <v>3.7783493564809902E-2</v>
      </c>
      <c r="CL251" s="1111">
        <f>SUMIFS(NewEmisData!H:H, NewEmisData!$A:$A, $G251, NewEmisData!$B:$B, $A251, NewEmisData!$C:$C, $H251, NewEmisData!$D:$D, CL$6)</f>
        <v>3.7791768560113202E-2</v>
      </c>
      <c r="CM251" s="1111">
        <f>SUMIFS(NewEmisData!I:I, NewEmisData!$A:$A, $G251, NewEmisData!$B:$B, $A251, NewEmisData!$C:$C, $H251, NewEmisData!$D:$D, CM$6)</f>
        <v>3.7796042393498999E-2</v>
      </c>
      <c r="CN251" s="1111">
        <f>SUMIFS(NewEmisData!J:J, NewEmisData!$A:$A, $G251, NewEmisData!$B:$B, $A251, NewEmisData!$C:$C, $H251, NewEmisData!$D:$D, CN$6)</f>
        <v>3.7797273059285798E-2</v>
      </c>
      <c r="CO251" s="1111">
        <f>SUMIFS(NewEmisData!K:K, NewEmisData!$A:$A, $G251, NewEmisData!$B:$B, $A251, NewEmisData!$C:$C, $H251, NewEmisData!$D:$D, CO$6)</f>
        <v>3.7797290465285301E-2</v>
      </c>
      <c r="CP251" s="1111">
        <f>SUMIFS(NewEmisData!L:L, NewEmisData!$A:$A, $G251, NewEmisData!$B:$B, $A251, NewEmisData!$C:$C, $H251, NewEmisData!$D:$D, CP$6)</f>
        <v>3.77969592669226E-2</v>
      </c>
      <c r="CQ251" s="1111">
        <f>SUMIFS(NewEmisData!M:M, NewEmisData!$A:$A, $G251, NewEmisData!$B:$B, $A251, NewEmisData!$C:$C, $H251, NewEmisData!$D:$D, CQ$6)</f>
        <v>3.7796456239744897E-2</v>
      </c>
      <c r="CR251" s="1111">
        <f t="shared" ref="CR251:CR265" si="423">CQ251</f>
        <v>3.7796456239744897E-2</v>
      </c>
      <c r="CS251" s="1111">
        <f t="shared" ref="CS251:CS265" si="424">CT251</f>
        <v>4.5435437093963096E-3</v>
      </c>
      <c r="CT251" s="1111">
        <f>SUMIFS(NewEmisData!E:E, NewEmisData!$A:$A, $G251, NewEmisData!$B:$B, $A251, NewEmisData!$C:$C, $H251, NewEmisData!$D:$D, CT$6)</f>
        <v>4.5435437093963096E-3</v>
      </c>
      <c r="CU251" s="1111">
        <f>SUMIFS(NewEmisData!F:F, NewEmisData!$A:$A, $G251, NewEmisData!$B:$B, $A251, NewEmisData!$C:$C, $H251, NewEmisData!$D:$D, CU$6)</f>
        <v>4.4398754909713801E-3</v>
      </c>
      <c r="CV251" s="1111">
        <f>SUMIFS(NewEmisData!G:G, NewEmisData!$A:$A, $G251, NewEmisData!$B:$B, $A251, NewEmisData!$C:$C, $H251, NewEmisData!$D:$D, CV$6)</f>
        <v>6.8039701300534198E-3</v>
      </c>
      <c r="CW251" s="1111">
        <f>SUMIFS(NewEmisData!H:H, NewEmisData!$A:$A, $G251, NewEmisData!$B:$B, $A251, NewEmisData!$C:$C, $H251, NewEmisData!$D:$D, CW$6)</f>
        <v>6.7823537903093098E-3</v>
      </c>
      <c r="CX251" s="1111">
        <f>SUMIFS(NewEmisData!I:I, NewEmisData!$A:$A, $G251, NewEmisData!$B:$B, $A251, NewEmisData!$C:$C, $H251, NewEmisData!$D:$D, CX$6)</f>
        <v>6.7664266882471596E-3</v>
      </c>
      <c r="CY251" s="1111">
        <f>SUMIFS(NewEmisData!J:J, NewEmisData!$A:$A, $G251, NewEmisData!$B:$B, $A251, NewEmisData!$C:$C, $H251, NewEmisData!$D:$D, CY$6)</f>
        <v>6.7587032892351797E-3</v>
      </c>
      <c r="CZ251" s="1111">
        <f>SUMIFS(NewEmisData!K:K, NewEmisData!$A:$A, $G251, NewEmisData!$B:$B, $A251, NewEmisData!$C:$C, $H251, NewEmisData!$D:$D, CZ$6)</f>
        <v>6.7553372449461798E-3</v>
      </c>
      <c r="DA251" s="1111">
        <f>SUMIFS(NewEmisData!L:L, NewEmisData!$A:$A, $G251, NewEmisData!$B:$B, $A251, NewEmisData!$C:$C, $H251, NewEmisData!$D:$D, DA$6)</f>
        <v>6.75420201921096E-3</v>
      </c>
      <c r="DB251" s="1111">
        <f>SUMIFS(NewEmisData!M:M, NewEmisData!$A:$A, $G251, NewEmisData!$B:$B, $A251, NewEmisData!$C:$C, $H251, NewEmisData!$D:$D, DB$6)</f>
        <v>6.7544025642624697E-3</v>
      </c>
      <c r="DC251" s="1111">
        <f t="shared" ref="DC251:DC265" si="425">DB251</f>
        <v>6.7544025642624697E-3</v>
      </c>
      <c r="DD251" s="1111">
        <v>0.39397857160683847</v>
      </c>
      <c r="DE251" s="1111">
        <v>0.22910001041476069</v>
      </c>
      <c r="DF251" s="1111">
        <v>9.3891703000443583E-2</v>
      </c>
      <c r="DG251" s="1111">
        <v>1.7189501227545343E-2</v>
      </c>
      <c r="DH251" s="1111">
        <v>1.6160522719819933E-3</v>
      </c>
      <c r="DI251" s="1111">
        <v>1.6049653935622851E-3</v>
      </c>
      <c r="DJ251" s="1111">
        <v>1.6049983985356002E-3</v>
      </c>
      <c r="DK251" s="1111">
        <v>1.6098230122520154E-3</v>
      </c>
      <c r="DL251" s="1111">
        <v>1.6179747100716357E-3</v>
      </c>
      <c r="DM251" s="1111">
        <v>1.6245560853542357E-3</v>
      </c>
      <c r="DN251" s="1111">
        <v>1.6245560853542357E-3</v>
      </c>
      <c r="DO251" s="1111">
        <v>0.2153272217366988</v>
      </c>
      <c r="DP251" s="1111">
        <v>0.14953249017733392</v>
      </c>
      <c r="DQ251" s="1111">
        <v>6.7441600946284805E-2</v>
      </c>
      <c r="DR251" s="1111">
        <v>1.3565246309733816E-2</v>
      </c>
      <c r="DS251" s="1111">
        <v>2.8097295233125079E-3</v>
      </c>
      <c r="DT251" s="1111">
        <v>2.7904533416799396E-3</v>
      </c>
      <c r="DU251" s="1111">
        <v>2.7905106381460811E-3</v>
      </c>
      <c r="DV251" s="1111">
        <v>2.798898953096617E-3</v>
      </c>
      <c r="DW251" s="1111">
        <v>2.8130718384443347E-3</v>
      </c>
      <c r="DX251" s="1111">
        <v>2.824514428110457E-3</v>
      </c>
      <c r="DY251" s="1111">
        <v>2.824514428110457E-3</v>
      </c>
      <c r="DZ251" s="1111">
        <f t="shared" ref="DZ251:DZ265" si="426">EA251</f>
        <v>2.0740750969478802E-2</v>
      </c>
      <c r="EA251" s="1111">
        <f>SUMIFS(NewEmisData!E:E, NewEmisData!$A:$A, $G251, NewEmisData!$B:$B, $A251, NewEmisData!$C:$C, $H251, NewEmisData!$D:$D, EA$6)</f>
        <v>2.0740750969478802E-2</v>
      </c>
      <c r="EB251" s="1111">
        <f>SUMIFS(NewEmisData!F:F, NewEmisData!$A:$A, $G251, NewEmisData!$B:$B, $A251, NewEmisData!$C:$C, $H251, NewEmisData!$D:$D, EB$6)</f>
        <v>7.9476630685157604E-2</v>
      </c>
      <c r="EC251" s="1111">
        <f>SUMIFS(NewEmisData!G:G, NewEmisData!$A:$A, $G251, NewEmisData!$B:$B, $A251, NewEmisData!$C:$C, $H251, NewEmisData!$D:$D, EC$6)</f>
        <v>0.132995121584536</v>
      </c>
      <c r="ED251" s="1111">
        <f>SUMIFS(NewEmisData!H:H, NewEmisData!$A:$A, $G251, NewEmisData!$B:$B, $A251, NewEmisData!$C:$C, $H251, NewEmisData!$D:$D, ED$6)</f>
        <v>0.13480815363144</v>
      </c>
      <c r="EE251" s="1111">
        <f>SUMIFS(NewEmisData!I:I, NewEmisData!$A:$A, $G251, NewEmisData!$B:$B, $A251, NewEmisData!$C:$C, $H251, NewEmisData!$D:$D, EE$6)</f>
        <v>0.13505884947628399</v>
      </c>
      <c r="EF251" s="1111">
        <f>SUMIFS(NewEmisData!J:J, NewEmisData!$A:$A, $G251, NewEmisData!$B:$B, $A251, NewEmisData!$C:$C, $H251, NewEmisData!$D:$D, EF$6)</f>
        <v>0.13476923534058399</v>
      </c>
      <c r="EG251" s="1111">
        <f>SUMIFS(NewEmisData!K:K, NewEmisData!$A:$A, $G251, NewEmisData!$B:$B, $A251, NewEmisData!$C:$C, $H251, NewEmisData!$D:$D, EG$6)</f>
        <v>0.13483063017123001</v>
      </c>
      <c r="EH251" s="1111">
        <f>SUMIFS(NewEmisData!L:L, NewEmisData!$A:$A, $G251, NewEmisData!$B:$B, $A251, NewEmisData!$C:$C, $H251, NewEmisData!$D:$D, EH$6)</f>
        <v>0.13476298539555601</v>
      </c>
      <c r="EI251" s="1111">
        <f>SUMIFS(NewEmisData!M:M, NewEmisData!$A:$A, $G251, NewEmisData!$B:$B, $A251, NewEmisData!$C:$C, $H251, NewEmisData!$D:$D, EI$6)</f>
        <v>0.134758213223449</v>
      </c>
      <c r="EJ251" s="1111">
        <f t="shared" ref="EJ251:EJ265" si="427">EI251</f>
        <v>0.134758213223449</v>
      </c>
      <c r="EK251" s="1111">
        <f t="shared" ref="EK251:EK265" si="428">EL251</f>
        <v>1482.5754764799101</v>
      </c>
      <c r="EL251" s="1111">
        <f t="shared" si="343"/>
        <v>1482.5754764799101</v>
      </c>
      <c r="EM251" s="1111">
        <f t="shared" si="344"/>
        <v>1635.6442478660899</v>
      </c>
      <c r="EN251" s="1111">
        <f t="shared" si="345"/>
        <v>2107.1372534500802</v>
      </c>
      <c r="EO251" s="1111">
        <f t="shared" si="346"/>
        <v>2071.9319953702902</v>
      </c>
      <c r="EP251" s="1111">
        <f t="shared" si="347"/>
        <v>2048.5012080599699</v>
      </c>
      <c r="EQ251" s="1111">
        <f t="shared" si="348"/>
        <v>2041.23090502932</v>
      </c>
      <c r="ER251" s="1111">
        <f t="shared" si="349"/>
        <v>2038.8712683316101</v>
      </c>
      <c r="ES251" s="1111">
        <f t="shared" si="350"/>
        <v>2037.89380685326</v>
      </c>
      <c r="ET251" s="1111">
        <f t="shared" si="351"/>
        <v>2037.18147825705</v>
      </c>
      <c r="EU251" s="1111">
        <f t="shared" si="352"/>
        <v>2037.18147825705</v>
      </c>
      <c r="EV251" s="1111">
        <f t="shared" ref="EV251:EV265" si="429">EW251</f>
        <v>11.638950039279999</v>
      </c>
      <c r="EW251" s="1111">
        <f t="shared" si="333"/>
        <v>11.638950039279999</v>
      </c>
      <c r="EX251" s="1111">
        <f t="shared" si="334"/>
        <v>6.7839244745049401</v>
      </c>
      <c r="EY251" s="1111">
        <f t="shared" si="335"/>
        <v>4.3925354378646304</v>
      </c>
      <c r="EZ251" s="1111">
        <f t="shared" si="336"/>
        <v>2.6191347420861701</v>
      </c>
      <c r="FA251" s="1111">
        <f t="shared" si="337"/>
        <v>2.06534470659102</v>
      </c>
      <c r="FB251" s="1111">
        <f t="shared" si="338"/>
        <v>1.9514955612034099</v>
      </c>
      <c r="FC251" s="1111">
        <f t="shared" si="339"/>
        <v>1.9247847205619899</v>
      </c>
      <c r="FD251" s="1111">
        <f t="shared" si="340"/>
        <v>1.9239170224512001</v>
      </c>
      <c r="FE251" s="1111">
        <f t="shared" si="341"/>
        <v>1.92345457739672</v>
      </c>
      <c r="FF251" s="1111">
        <f t="shared" si="342"/>
        <v>1.92345457739672</v>
      </c>
      <c r="FG251" s="1111">
        <f t="shared" si="389"/>
        <v>3.6844240816642601E-2</v>
      </c>
      <c r="FH251" s="1111">
        <f t="shared" si="390"/>
        <v>3.6844240816642601E-2</v>
      </c>
      <c r="FI251" s="1111">
        <f t="shared" si="391"/>
        <v>3.9353507212849297E-2</v>
      </c>
      <c r="FJ251" s="1111">
        <f t="shared" si="392"/>
        <v>1.7702463178777099E-2</v>
      </c>
      <c r="FK251" s="1111">
        <f t="shared" si="393"/>
        <v>1.7311059741913899E-2</v>
      </c>
      <c r="FL251" s="1111">
        <f t="shared" si="394"/>
        <v>1.70853991434037E-2</v>
      </c>
      <c r="FM251" s="1111">
        <f t="shared" si="395"/>
        <v>1.70195621794277E-2</v>
      </c>
      <c r="FN251" s="1111">
        <f t="shared" si="396"/>
        <v>1.69983226363635E-2</v>
      </c>
      <c r="FO251" s="1111">
        <f t="shared" si="397"/>
        <v>1.6990168303807101E-2</v>
      </c>
      <c r="FP251" s="1111">
        <f t="shared" si="398"/>
        <v>1.69842326570817E-2</v>
      </c>
      <c r="FQ251" s="1111">
        <f t="shared" si="399"/>
        <v>1.69842326570817E-2</v>
      </c>
      <c r="FR251" s="1111">
        <f t="shared" si="322"/>
        <v>1.2647150782943599</v>
      </c>
      <c r="FS251" s="1111">
        <f t="shared" si="323"/>
        <v>1.2647150782943599</v>
      </c>
      <c r="FT251" s="1111">
        <f t="shared" si="324"/>
        <v>0.82297495230985995</v>
      </c>
      <c r="FU251" s="1111">
        <f t="shared" si="325"/>
        <v>0.78295839522434196</v>
      </c>
      <c r="FV251" s="1111">
        <f t="shared" si="326"/>
        <v>0.68016675260069404</v>
      </c>
      <c r="FW251" s="1111">
        <f t="shared" si="327"/>
        <v>0.64888550894506702</v>
      </c>
      <c r="FX251" s="1111">
        <f t="shared" si="328"/>
        <v>0.64362415371119697</v>
      </c>
      <c r="FY251" s="1111">
        <f t="shared" si="329"/>
        <v>0.64216665150257801</v>
      </c>
      <c r="FZ251" s="1111">
        <f t="shared" si="330"/>
        <v>0.64212477573891902</v>
      </c>
      <c r="GA251" s="1111">
        <f t="shared" si="331"/>
        <v>0.64210952076406802</v>
      </c>
      <c r="GB251" s="1111">
        <f t="shared" si="332"/>
        <v>0.64210952076406802</v>
      </c>
      <c r="GC251" s="1111">
        <f t="shared" si="353"/>
        <v>0.85268225231092398</v>
      </c>
      <c r="GD251" s="1111">
        <f t="shared" si="354"/>
        <v>0.85268225231092398</v>
      </c>
      <c r="GE251" s="1111">
        <f t="shared" si="355"/>
        <v>0.44197863249122399</v>
      </c>
      <c r="GF251" s="1111">
        <f t="shared" si="356"/>
        <v>0.24083520219764601</v>
      </c>
      <c r="GG251" s="1111">
        <f t="shared" si="357"/>
        <v>0.148362414161788</v>
      </c>
      <c r="GH251" s="1111">
        <f t="shared" si="358"/>
        <v>0.11982020029779999</v>
      </c>
      <c r="GI251" s="1111">
        <f t="shared" si="359"/>
        <v>0.115075397080156</v>
      </c>
      <c r="GJ251" s="1111">
        <f t="shared" si="360"/>
        <v>0.113741063740516</v>
      </c>
      <c r="GK251" s="1111">
        <f t="shared" si="361"/>
        <v>0.113717400839903</v>
      </c>
      <c r="GL251" s="1111">
        <f t="shared" si="362"/>
        <v>0.11370438522677</v>
      </c>
      <c r="GM251" s="1111">
        <f t="shared" si="363"/>
        <v>0.11370438522677</v>
      </c>
    </row>
    <row r="252" spans="1:195" x14ac:dyDescent="0.2">
      <c r="A252" s="1071" t="s">
        <v>184</v>
      </c>
      <c r="B252" s="1071" t="str">
        <f>Technologies!C147</f>
        <v>THSDSLIM</v>
      </c>
      <c r="C252" s="1071" t="str">
        <f>Technologies!D147</f>
        <v>Heavy Truck, Short Haul, Improved Diesel</v>
      </c>
      <c r="D252" s="1071" t="str">
        <f>NewTech!D101</f>
        <v>bn-vmt, bn-vmt/a</v>
      </c>
      <c r="E252" s="1071" t="str">
        <f>Commodities!C$44</f>
        <v>THDSL</v>
      </c>
      <c r="F252" s="1071" t="s">
        <v>98</v>
      </c>
      <c r="G252" s="1110" t="s">
        <v>505</v>
      </c>
      <c r="H252" s="1110" t="s">
        <v>499</v>
      </c>
      <c r="I252" s="1112">
        <v>1</v>
      </c>
      <c r="J252" s="1111" t="str">
        <f t="shared" si="302"/>
        <v>Heavy duty short haul truck-DSL</v>
      </c>
      <c r="K252" s="1111">
        <f>SUMIFS(NewEmisData!E:E, NewEmisData!$A:$A, $G252, NewEmisData!$B:$B, $A252, NewEmisData!$C:$C, $H252, NewEmisData!$D:$D, K$6)</f>
        <v>1319.49151917881</v>
      </c>
      <c r="L252" s="1111">
        <f>SUMIFS(NewEmisData!F:F, NewEmisData!$A:$A, $G252, NewEmisData!$B:$B, $A252, NewEmisData!$C:$C, $H252, NewEmisData!$D:$D, L$6)</f>
        <v>1464.7581509516101</v>
      </c>
      <c r="M252" s="1111">
        <f>SUMIFS(NewEmisData!G:G, NewEmisData!$A:$A, $G252, NewEmisData!$B:$B, $A252, NewEmisData!$C:$C, $H252, NewEmisData!$D:$D, M$6)</f>
        <v>1799.86335243286</v>
      </c>
      <c r="N252" s="1111">
        <f>SUMIFS(NewEmisData!H:H, NewEmisData!$A:$A, $G252, NewEmisData!$B:$B, $A252, NewEmisData!$C:$C, $H252, NewEmisData!$D:$D, N$6)</f>
        <v>1770.55999347335</v>
      </c>
      <c r="O252" s="1111">
        <f>SUMIFS(NewEmisData!I:I, NewEmisData!$A:$A, $G252, NewEmisData!$B:$B, $A252, NewEmisData!$C:$C, $H252, NewEmisData!$D:$D, O$6)</f>
        <v>1751.5422550708799</v>
      </c>
      <c r="P252" s="1111">
        <f>SUMIFS(NewEmisData!J:J, NewEmisData!$A:$A, $G252, NewEmisData!$B:$B, $A252, NewEmisData!$C:$C, $H252, NewEmisData!$D:$D, P$6)</f>
        <v>1745.6010707511</v>
      </c>
      <c r="Q252" s="1111">
        <f>SUMIFS(NewEmisData!K:K, NewEmisData!$A:$A, $G252, NewEmisData!$B:$B, $A252, NewEmisData!$C:$C, $H252, NewEmisData!$D:$D, Q$6)</f>
        <v>1743.5885799002001</v>
      </c>
      <c r="R252" s="1111">
        <f>SUMIFS(NewEmisData!L:L, NewEmisData!$A:$A, $G252, NewEmisData!$B:$B, $A252, NewEmisData!$C:$C, $H252, NewEmisData!$D:$D, R$6)</f>
        <v>1742.6485789820999</v>
      </c>
      <c r="S252" s="1111">
        <f>SUMIFS(NewEmisData!M:M, NewEmisData!$A:$A, $G252, NewEmisData!$B:$B, $A252, NewEmisData!$C:$C, $H252, NewEmisData!$D:$D, S$6)</f>
        <v>1741.9127550599401</v>
      </c>
      <c r="T252" s="1111">
        <f t="shared" si="364"/>
        <v>1741.9127550599401</v>
      </c>
      <c r="U252" s="1111">
        <f>SUMIFS(NewEmisData!E:E, NewEmisData!$A:$A, $G252, NewEmisData!$B:$B, $A252, NewEmisData!$C:$C, $H252, NewEmisData!$D:$D, U$6)</f>
        <v>10.6053442608649</v>
      </c>
      <c r="V252" s="1111">
        <f>SUMIFS(NewEmisData!F:F, NewEmisData!$A:$A, $G252, NewEmisData!$B:$B, $A252, NewEmisData!$C:$C, $H252, NewEmisData!$D:$D, V$6)</f>
        <v>6.5449635614234403</v>
      </c>
      <c r="W252" s="1111">
        <f>SUMIFS(NewEmisData!G:G, NewEmisData!$A:$A, $G252, NewEmisData!$B:$B, $A252, NewEmisData!$C:$C, $H252, NewEmisData!$D:$D, W$6)</f>
        <v>3.6787180180936701</v>
      </c>
      <c r="X252" s="1111">
        <f>SUMIFS(NewEmisData!H:H, NewEmisData!$A:$A, $G252, NewEmisData!$B:$B, $A252, NewEmisData!$C:$C, $H252, NewEmisData!$D:$D, X$6)</f>
        <v>2.2004570236663401</v>
      </c>
      <c r="Y252" s="1111">
        <f>SUMIFS(NewEmisData!I:I, NewEmisData!$A:$A, $G252, NewEmisData!$B:$B, $A252, NewEmisData!$C:$C, $H252, NewEmisData!$D:$D, Y$6)</f>
        <v>1.7396673866677801</v>
      </c>
      <c r="Z252" s="1111">
        <f>SUMIFS(NewEmisData!J:J, NewEmisData!$A:$A, $G252, NewEmisData!$B:$B, $A252, NewEmisData!$C:$C, $H252, NewEmisData!$D:$D, Z$6)</f>
        <v>1.64503462199088</v>
      </c>
      <c r="AA252" s="1111">
        <f>SUMIFS(NewEmisData!K:K, NewEmisData!$A:$A, $G252, NewEmisData!$B:$B, $A252, NewEmisData!$C:$C, $H252, NewEmisData!$D:$D, AA$6)</f>
        <v>1.62266726199586</v>
      </c>
      <c r="AB252" s="1111">
        <f>SUMIFS(NewEmisData!L:L, NewEmisData!$A:$A, $G252, NewEmisData!$B:$B, $A252, NewEmisData!$C:$C, $H252, NewEmisData!$D:$D, AB$6)</f>
        <v>1.62186968240176</v>
      </c>
      <c r="AC252" s="1111">
        <f>SUMIFS(NewEmisData!M:M, NewEmisData!$A:$A, $G252, NewEmisData!$B:$B, $A252, NewEmisData!$C:$C, $H252, NewEmisData!$D:$D, AC$6)</f>
        <v>1.62139928384052</v>
      </c>
      <c r="AD252" s="1111">
        <f t="shared" si="321"/>
        <v>1.62139928384052</v>
      </c>
      <c r="AE252" s="1111">
        <f t="shared" si="412"/>
        <v>3.2753858750071897E-2</v>
      </c>
      <c r="AF252" s="1111">
        <f>SUMIFS(NewEmisData!E:E, NewEmisData!$A:$A, $G252, NewEmisData!$B:$B, $A252, NewEmisData!$C:$C, $H252, NewEmisData!$D:$D, AF$6)</f>
        <v>3.2753858750071897E-2</v>
      </c>
      <c r="AG252" s="1111">
        <f>SUMIFS(NewEmisData!F:F, NewEmisData!$A:$A, $G252, NewEmisData!$B:$B, $A252, NewEmisData!$C:$C, $H252, NewEmisData!$D:$D, AG$6)</f>
        <v>3.5451037141744003E-2</v>
      </c>
      <c r="AH252" s="1111">
        <f>SUMIFS(NewEmisData!G:G, NewEmisData!$A:$A, $G252, NewEmisData!$B:$B, $A252, NewEmisData!$C:$C, $H252, NewEmisData!$D:$D, AH$6)</f>
        <v>1.5119273460284501E-2</v>
      </c>
      <c r="AI252" s="1111">
        <f>SUMIFS(NewEmisData!H:H, NewEmisData!$A:$A, $G252, NewEmisData!$B:$B, $A252, NewEmisData!$C:$C, $H252, NewEmisData!$D:$D, AI$6)</f>
        <v>1.47924708148466E-2</v>
      </c>
      <c r="AJ252" s="1111">
        <f>SUMIFS(NewEmisData!I:I, NewEmisData!$A:$A, $G252, NewEmisData!$B:$B, $A252, NewEmisData!$C:$C, $H252, NewEmisData!$D:$D, AJ$6)</f>
        <v>1.4608534822893701E-2</v>
      </c>
      <c r="AK252" s="1111">
        <f>SUMIFS(NewEmisData!J:J, NewEmisData!$A:$A, $G252, NewEmisData!$B:$B, $A252, NewEmisData!$C:$C, $H252, NewEmisData!$D:$D, AK$6)</f>
        <v>1.45546061834944E-2</v>
      </c>
      <c r="AL252" s="1111">
        <f>SUMIFS(NewEmisData!K:K, NewEmisData!$A:$A, $G252, NewEmisData!$B:$B, $A252, NewEmisData!$C:$C, $H252, NewEmisData!$D:$D, AL$6)</f>
        <v>1.4536510442551E-2</v>
      </c>
      <c r="AM252" s="1111">
        <f>SUMIFS(NewEmisData!L:L, NewEmisData!$A:$A, $G252, NewEmisData!$B:$B, $A252, NewEmisData!$C:$C, $H252, NewEmisData!$D:$D, AM$6)</f>
        <v>1.4528668182896999E-2</v>
      </c>
      <c r="AN252" s="1111">
        <f>SUMIFS(NewEmisData!M:M, NewEmisData!$A:$A, $G252, NewEmisData!$B:$B, $A252, NewEmisData!$C:$C, $H252, NewEmisData!$D:$D, AN$6)</f>
        <v>1.45225405658348E-2</v>
      </c>
      <c r="AO252" s="1111">
        <f t="shared" si="413"/>
        <v>1.45225405658348E-2</v>
      </c>
      <c r="AP252" s="1111">
        <f t="shared" si="414"/>
        <v>1.04983400982203</v>
      </c>
      <c r="AQ252" s="1111">
        <f>SUMIFS(NewEmisData!E:E, NewEmisData!$A:$A, $G252, NewEmisData!$B:$B, $A252, NewEmisData!$C:$C, $H252, NewEmisData!$D:$D, AQ$6)</f>
        <v>1.04983400982203</v>
      </c>
      <c r="AR252" s="1111">
        <f>SUMIFS(NewEmisData!F:F, NewEmisData!$A:$A, $G252, NewEmisData!$B:$B, $A252, NewEmisData!$C:$C, $H252, NewEmisData!$D:$D, AR$6)</f>
        <v>0.72832653653898105</v>
      </c>
      <c r="AS252" s="1111">
        <f>SUMIFS(NewEmisData!G:G, NewEmisData!$A:$A, $G252, NewEmisData!$B:$B, $A252, NewEmisData!$C:$C, $H252, NewEmisData!$D:$D, AS$6)</f>
        <v>0.58427614618818202</v>
      </c>
      <c r="AT252" s="1111">
        <f>SUMIFS(NewEmisData!H:H, NewEmisData!$A:$A, $G252, NewEmisData!$B:$B, $A252, NewEmisData!$C:$C, $H252, NewEmisData!$D:$D, AT$6)</f>
        <v>0.50134292856914997</v>
      </c>
      <c r="AU252" s="1111">
        <f>SUMIFS(NewEmisData!I:I, NewEmisData!$A:$A, $G252, NewEmisData!$B:$B, $A252, NewEmisData!$C:$C, $H252, NewEmisData!$D:$D, AU$6)</f>
        <v>0.47618546496589997</v>
      </c>
      <c r="AV252" s="1111">
        <f>SUMIFS(NewEmisData!J:J, NewEmisData!$A:$A, $G252, NewEmisData!$B:$B, $A252, NewEmisData!$C:$C, $H252, NewEmisData!$D:$D, AV$6)</f>
        <v>0.47190149656039998</v>
      </c>
      <c r="AW252" s="1111">
        <f>SUMIFS(NewEmisData!K:K, NewEmisData!$A:$A, $G252, NewEmisData!$B:$B, $A252, NewEmisData!$C:$C, $H252, NewEmisData!$D:$D, AW$6)</f>
        <v>0.47071689819165202</v>
      </c>
      <c r="AX252" s="1111">
        <f>SUMIFS(NewEmisData!L:L, NewEmisData!$A:$A, $G252, NewEmisData!$B:$B, $A252, NewEmisData!$C:$C, $H252, NewEmisData!$D:$D, AX$6)</f>
        <v>0.47069343749269799</v>
      </c>
      <c r="AY252" s="1111">
        <f>SUMIFS(NewEmisData!M:M, NewEmisData!$A:$A, $G252, NewEmisData!$B:$B, $A252, NewEmisData!$C:$C, $H252, NewEmisData!$D:$D, AY$6)</f>
        <v>0.47069114341764501</v>
      </c>
      <c r="AZ252" s="1111">
        <f t="shared" si="415"/>
        <v>0.47069114341764501</v>
      </c>
      <c r="BA252" s="1111">
        <f t="shared" si="416"/>
        <v>0.72578410583292197</v>
      </c>
      <c r="BB252" s="1111">
        <f>SUMIFS(NewEmisData!E:E, NewEmisData!$A:$A, $G252, NewEmisData!$B:$B, $A252, NewEmisData!$C:$C, $H252, NewEmisData!$D:$D, BB$6)</f>
        <v>0.72578410583292197</v>
      </c>
      <c r="BC252" s="1111">
        <f>SUMIFS(NewEmisData!F:F, NewEmisData!$A:$A, $G252, NewEmisData!$B:$B, $A252, NewEmisData!$C:$C, $H252, NewEmisData!$D:$D, BC$6)</f>
        <v>0.42763209762876098</v>
      </c>
      <c r="BD252" s="1111">
        <f>SUMIFS(NewEmisData!G:G, NewEmisData!$A:$A, $G252, NewEmisData!$B:$B, $A252, NewEmisData!$C:$C, $H252, NewEmisData!$D:$D, BD$6)</f>
        <v>0.18944103926397299</v>
      </c>
      <c r="BE252" s="1111">
        <f>SUMIFS(NewEmisData!H:H, NewEmisData!$A:$A, $G252, NewEmisData!$B:$B, $A252, NewEmisData!$C:$C, $H252, NewEmisData!$D:$D, BE$6)</f>
        <v>0.114666499637313</v>
      </c>
      <c r="BF252" s="1111">
        <f>SUMIFS(NewEmisData!I:I, NewEmisData!$A:$A, $G252, NewEmisData!$B:$B, $A252, NewEmisData!$C:$C, $H252, NewEmisData!$D:$D, BF$6)</f>
        <v>9.1724132402913702E-2</v>
      </c>
      <c r="BG252" s="1111">
        <f>SUMIFS(NewEmisData!J:J, NewEmisData!$A:$A, $G252, NewEmisData!$B:$B, $A252, NewEmisData!$C:$C, $H252, NewEmisData!$D:$D, BG$6)</f>
        <v>8.7857141954733695E-2</v>
      </c>
      <c r="BH252" s="1111">
        <f>SUMIFS(NewEmisData!K:K, NewEmisData!$A:$A, $G252, NewEmisData!$B:$B, $A252, NewEmisData!$C:$C, $H252, NewEmisData!$D:$D, BH$6)</f>
        <v>8.6767275626484494E-2</v>
      </c>
      <c r="BI252" s="1111">
        <f>SUMIFS(NewEmisData!L:L, NewEmisData!$A:$A, $G252, NewEmisData!$B:$B, $A252, NewEmisData!$C:$C, $H252, NewEmisData!$D:$D, BI$6)</f>
        <v>8.6748879396040507E-2</v>
      </c>
      <c r="BJ252" s="1111">
        <f>SUMIFS(NewEmisData!M:M, NewEmisData!$A:$A, $G252, NewEmisData!$B:$B, $A252, NewEmisData!$C:$C, $H252, NewEmisData!$D:$D, BJ$6)</f>
        <v>8.67391289437488E-2</v>
      </c>
      <c r="BK252" s="1111">
        <f t="shared" si="417"/>
        <v>8.67391289437488E-2</v>
      </c>
      <c r="BL252" s="1111">
        <f t="shared" si="418"/>
        <v>4.3049508481768202</v>
      </c>
      <c r="BM252" s="1111">
        <f>SUMIFS(NewEmisData!E:E, NewEmisData!$A:$A, $G252, NewEmisData!$B:$B, $A252, NewEmisData!$C:$C, $H252, NewEmisData!$D:$D, BM$6)</f>
        <v>4.3049508481768202</v>
      </c>
      <c r="BN252" s="1111">
        <f>SUMIFS(NewEmisData!F:F, NewEmisData!$A:$A, $G252, NewEmisData!$B:$B, $A252, NewEmisData!$C:$C, $H252, NewEmisData!$D:$D, BN$6)</f>
        <v>2.5543682877581499</v>
      </c>
      <c r="BO252" s="1111">
        <f>SUMIFS(NewEmisData!G:G, NewEmisData!$A:$A, $G252, NewEmisData!$B:$B, $A252, NewEmisData!$C:$C, $H252, NewEmisData!$D:$D, BO$6)</f>
        <v>1.41557635494585</v>
      </c>
      <c r="BP252" s="1111">
        <f>SUMIFS(NewEmisData!H:H, NewEmisData!$A:$A, $G252, NewEmisData!$B:$B, $A252, NewEmisData!$C:$C, $H252, NewEmisData!$D:$D, BP$6)</f>
        <v>0.97239499404962104</v>
      </c>
      <c r="BQ252" s="1111">
        <f>SUMIFS(NewEmisData!I:I, NewEmisData!$A:$A, $G252, NewEmisData!$B:$B, $A252, NewEmisData!$C:$C, $H252, NewEmisData!$D:$D, BQ$6)</f>
        <v>0.83818353775375698</v>
      </c>
      <c r="BR252" s="1111">
        <f>SUMIFS(NewEmisData!J:J, NewEmisData!$A:$A, $G252, NewEmisData!$B:$B, $A252, NewEmisData!$C:$C, $H252, NewEmisData!$D:$D, BR$6)</f>
        <v>0.80843597247967702</v>
      </c>
      <c r="BS252" s="1111">
        <f>SUMIFS(NewEmisData!K:K, NewEmisData!$A:$A, $G252, NewEmisData!$B:$B, $A252, NewEmisData!$C:$C, $H252, NewEmisData!$D:$D, BS$6)</f>
        <v>0.80034145030903103</v>
      </c>
      <c r="BT252" s="1111">
        <f>SUMIFS(NewEmisData!L:L, NewEmisData!$A:$A, $G252, NewEmisData!$B:$B, $A252, NewEmisData!$C:$C, $H252, NewEmisData!$D:$D, BT$6)</f>
        <v>0.79923379896798996</v>
      </c>
      <c r="BU252" s="1111">
        <f>SUMIFS(NewEmisData!M:M, NewEmisData!$A:$A, $G252, NewEmisData!$B:$B, $A252, NewEmisData!$C:$C, $H252, NewEmisData!$D:$D, BU$6)</f>
        <v>0.799086633890294</v>
      </c>
      <c r="BV252" s="1111">
        <f t="shared" si="419"/>
        <v>0.799086633890294</v>
      </c>
      <c r="BW252" s="1111">
        <f t="shared" si="420"/>
        <v>1.2471069760284099</v>
      </c>
      <c r="BX252" s="1111">
        <f>SUMIFS(NewEmisData!E:E, NewEmisData!$A:$A, $G252, NewEmisData!$B:$B, $A252, NewEmisData!$C:$C, $H252, NewEmisData!$D:$D, BX$6)</f>
        <v>1.2471069760284099</v>
      </c>
      <c r="BY252" s="1111">
        <f>SUMIFS(NewEmisData!F:F, NewEmisData!$A:$A, $G252, NewEmisData!$B:$B, $A252, NewEmisData!$C:$C, $H252, NewEmisData!$D:$D, BY$6)</f>
        <v>0.66664518440710496</v>
      </c>
      <c r="BZ252" s="1111">
        <f>SUMIFS(NewEmisData!G:G, NewEmisData!$A:$A, $G252, NewEmisData!$B:$B, $A252, NewEmisData!$C:$C, $H252, NewEmisData!$D:$D, BZ$6)</f>
        <v>0.32007282630831302</v>
      </c>
      <c r="CA252" s="1111">
        <f>SUMIFS(NewEmisData!H:H, NewEmisData!$A:$A, $G252, NewEmisData!$B:$B, $A252, NewEmisData!$C:$C, $H252, NewEmisData!$D:$D, CA$6)</f>
        <v>0.176542353194966</v>
      </c>
      <c r="CB252" s="1111">
        <f>SUMIFS(NewEmisData!I:I, NewEmisData!$A:$A, $G252, NewEmisData!$B:$B, $A252, NewEmisData!$C:$C, $H252, NewEmisData!$D:$D, CB$6)</f>
        <v>0.132926153663285</v>
      </c>
      <c r="CC252" s="1111">
        <f>SUMIFS(NewEmisData!J:J, NewEmisData!$A:$A, $G252, NewEmisData!$B:$B, $A252, NewEmisData!$C:$C, $H252, NewEmisData!$D:$D, CC$6)</f>
        <v>0.12423141693730599</v>
      </c>
      <c r="CD252" s="1111">
        <f>SUMIFS(NewEmisData!K:K, NewEmisData!$A:$A, $G252, NewEmisData!$B:$B, $A252, NewEmisData!$C:$C, $H252, NewEmisData!$D:$D, CD$6)</f>
        <v>0.121871982031799</v>
      </c>
      <c r="CE252" s="1111">
        <f>SUMIFS(NewEmisData!L:L, NewEmisData!$A:$A, $G252, NewEmisData!$B:$B, $A252, NewEmisData!$C:$C, $H252, NewEmisData!$D:$D, CE$6)</f>
        <v>0.121809764298298</v>
      </c>
      <c r="CF252" s="1111">
        <f>SUMIFS(NewEmisData!M:M, NewEmisData!$A:$A, $G252, NewEmisData!$B:$B, $A252, NewEmisData!$C:$C, $H252, NewEmisData!$D:$D, CF$6)</f>
        <v>0.121789215464539</v>
      </c>
      <c r="CG252" s="1111">
        <f t="shared" si="421"/>
        <v>0.121789215464539</v>
      </c>
      <c r="CH252" s="1111">
        <f t="shared" si="422"/>
        <v>2.61956847346188E-2</v>
      </c>
      <c r="CI252" s="1111">
        <f>SUMIFS(NewEmisData!E:E, NewEmisData!$A:$A, $G252, NewEmisData!$B:$B, $A252, NewEmisData!$C:$C, $H252, NewEmisData!$D:$D, CI$6)</f>
        <v>2.61956847346188E-2</v>
      </c>
      <c r="CJ252" s="1111">
        <f>SUMIFS(NewEmisData!F:F, NewEmisData!$A:$A, $G252, NewEmisData!$B:$B, $A252, NewEmisData!$C:$C, $H252, NewEmisData!$D:$D, CJ$6)</f>
        <v>2.6459582282205199E-2</v>
      </c>
      <c r="CK252" s="1111">
        <f>SUMIFS(NewEmisData!G:G, NewEmisData!$A:$A, $G252, NewEmisData!$B:$B, $A252, NewEmisData!$C:$C, $H252, NewEmisData!$D:$D, CK$6)</f>
        <v>3.3469493870709799E-2</v>
      </c>
      <c r="CL252" s="1111">
        <f>SUMIFS(NewEmisData!H:H, NewEmisData!$A:$A, $G252, NewEmisData!$B:$B, $A252, NewEmisData!$C:$C, $H252, NewEmisData!$D:$D, CL$6)</f>
        <v>3.3485441021182498E-2</v>
      </c>
      <c r="CM252" s="1111">
        <f>SUMIFS(NewEmisData!I:I, NewEmisData!$A:$A, $G252, NewEmisData!$B:$B, $A252, NewEmisData!$C:$C, $H252, NewEmisData!$D:$D, CM$6)</f>
        <v>3.3493620207947897E-2</v>
      </c>
      <c r="CN252" s="1111">
        <f>SUMIFS(NewEmisData!J:J, NewEmisData!$A:$A, $G252, NewEmisData!$B:$B, $A252, NewEmisData!$C:$C, $H252, NewEmisData!$D:$D, CN$6)</f>
        <v>3.3495964958687903E-2</v>
      </c>
      <c r="CO252" s="1111">
        <f>SUMIFS(NewEmisData!K:K, NewEmisData!$A:$A, $G252, NewEmisData!$B:$B, $A252, NewEmisData!$C:$C, $H252, NewEmisData!$D:$D, CO$6)</f>
        <v>3.3495912000105203E-2</v>
      </c>
      <c r="CP252" s="1111">
        <f>SUMIFS(NewEmisData!L:L, NewEmisData!$A:$A, $G252, NewEmisData!$B:$B, $A252, NewEmisData!$C:$C, $H252, NewEmisData!$D:$D, CP$6)</f>
        <v>3.3495078771151397E-2</v>
      </c>
      <c r="CQ252" s="1111">
        <f>SUMIFS(NewEmisData!M:M, NewEmisData!$A:$A, $G252, NewEmisData!$B:$B, $A252, NewEmisData!$C:$C, $H252, NewEmisData!$D:$D, CQ$6)</f>
        <v>3.34940363554617E-2</v>
      </c>
      <c r="CR252" s="1111">
        <f t="shared" si="423"/>
        <v>3.34940363554617E-2</v>
      </c>
      <c r="CS252" s="1111">
        <f t="shared" si="424"/>
        <v>3.5917736289565799E-3</v>
      </c>
      <c r="CT252" s="1111">
        <f>SUMIFS(NewEmisData!E:E, NewEmisData!$A:$A, $G252, NewEmisData!$B:$B, $A252, NewEmisData!$C:$C, $H252, NewEmisData!$D:$D, CT$6)</f>
        <v>3.5917736289565799E-3</v>
      </c>
      <c r="CU252" s="1111">
        <f>SUMIFS(NewEmisData!F:F, NewEmisData!$A:$A, $G252, NewEmisData!$B:$B, $A252, NewEmisData!$C:$C, $H252, NewEmisData!$D:$D, CU$6)</f>
        <v>3.6091903831295602E-3</v>
      </c>
      <c r="CV252" s="1111">
        <f>SUMIFS(NewEmisData!G:G, NewEmisData!$A:$A, $G252, NewEmisData!$B:$B, $A252, NewEmisData!$C:$C, $H252, NewEmisData!$D:$D, CV$6)</f>
        <v>5.2505206053814202E-3</v>
      </c>
      <c r="CW252" s="1111">
        <f>SUMIFS(NewEmisData!H:H, NewEmisData!$A:$A, $G252, NewEmisData!$B:$B, $A252, NewEmisData!$C:$C, $H252, NewEmisData!$D:$D, CW$6)</f>
        <v>5.2355362521004402E-3</v>
      </c>
      <c r="CX252" s="1111">
        <f>SUMIFS(NewEmisData!I:I, NewEmisData!$A:$A, $G252, NewEmisData!$B:$B, $A252, NewEmisData!$C:$C, $H252, NewEmisData!$D:$D, CX$6)</f>
        <v>5.2243063278227799E-3</v>
      </c>
      <c r="CY252" s="1111">
        <f>SUMIFS(NewEmisData!J:J, NewEmisData!$A:$A, $G252, NewEmisData!$B:$B, $A252, NewEmisData!$C:$C, $H252, NewEmisData!$D:$D, CY$6)</f>
        <v>5.2188288195051304E-3</v>
      </c>
      <c r="CZ252" s="1111">
        <f>SUMIFS(NewEmisData!K:K, NewEmisData!$A:$A, $G252, NewEmisData!$B:$B, $A252, NewEmisData!$C:$C, $H252, NewEmisData!$D:$D, CZ$6)</f>
        <v>5.2164145073888097E-3</v>
      </c>
      <c r="DA252" s="1111">
        <f>SUMIFS(NewEmisData!L:L, NewEmisData!$A:$A, $G252, NewEmisData!$B:$B, $A252, NewEmisData!$C:$C, $H252, NewEmisData!$D:$D, DA$6)</f>
        <v>5.2155948103937101E-3</v>
      </c>
      <c r="DB252" s="1111">
        <f>SUMIFS(NewEmisData!M:M, NewEmisData!$A:$A, $G252, NewEmisData!$B:$B, $A252, NewEmisData!$C:$C, $H252, NewEmisData!$D:$D, DB$6)</f>
        <v>5.2157496356988403E-3</v>
      </c>
      <c r="DC252" s="1111">
        <f t="shared" si="425"/>
        <v>5.2157496356988403E-3</v>
      </c>
      <c r="DD252" s="1111"/>
      <c r="DE252" s="1111"/>
      <c r="DF252" s="1111"/>
      <c r="DG252" s="1111"/>
      <c r="DH252" s="1111"/>
      <c r="DI252" s="1111"/>
      <c r="DJ252" s="1111"/>
      <c r="DK252" s="1111"/>
      <c r="DL252" s="1111"/>
      <c r="DM252" s="1111"/>
      <c r="DN252" s="1111"/>
      <c r="DO252" s="1111"/>
      <c r="DP252" s="1111"/>
      <c r="DQ252" s="1111"/>
      <c r="DR252" s="1111"/>
      <c r="DS252" s="1111"/>
      <c r="DT252" s="1111"/>
      <c r="DU252" s="1111"/>
      <c r="DV252" s="1111"/>
      <c r="DW252" s="1111"/>
      <c r="DX252" s="1111"/>
      <c r="DY252" s="1111"/>
      <c r="DZ252" s="1111">
        <f t="shared" si="426"/>
        <v>1.80110275159466E-2</v>
      </c>
      <c r="EA252" s="1111">
        <f>SUMIFS(NewEmisData!E:E, NewEmisData!$A:$A, $G252, NewEmisData!$B:$B, $A252, NewEmisData!$C:$C, $H252, NewEmisData!$D:$D, EA$6)</f>
        <v>1.80110275159466E-2</v>
      </c>
      <c r="EB252" s="1111">
        <f>SUMIFS(NewEmisData!F:F, NewEmisData!$A:$A, $G252, NewEmisData!$B:$B, $A252, NewEmisData!$C:$C, $H252, NewEmisData!$D:$D, EB$6)</f>
        <v>5.9415032543044199E-2</v>
      </c>
      <c r="EC252" s="1111">
        <f>SUMIFS(NewEmisData!G:G, NewEmisData!$A:$A, $G252, NewEmisData!$B:$B, $A252, NewEmisData!$C:$C, $H252, NewEmisData!$D:$D, EC$6)</f>
        <v>0.10406778688120299</v>
      </c>
      <c r="ED252" s="1111">
        <f>SUMIFS(NewEmisData!H:H, NewEmisData!$A:$A, $G252, NewEmisData!$B:$B, $A252, NewEmisData!$C:$C, $H252, NewEmisData!$D:$D, ED$6)</f>
        <v>0.105321093135052</v>
      </c>
      <c r="EE252" s="1111">
        <f>SUMIFS(NewEmisData!I:I, NewEmisData!$A:$A, $G252, NewEmisData!$B:$B, $A252, NewEmisData!$C:$C, $H252, NewEmisData!$D:$D, EE$6)</f>
        <v>0.10543994105987201</v>
      </c>
      <c r="EF252" s="1111">
        <f>SUMIFS(NewEmisData!J:J, NewEmisData!$A:$A, $G252, NewEmisData!$B:$B, $A252, NewEmisData!$C:$C, $H252, NewEmisData!$D:$D, EF$6)</f>
        <v>0.105208381907267</v>
      </c>
      <c r="EG252" s="1111">
        <f>SUMIFS(NewEmisData!K:K, NewEmisData!$A:$A, $G252, NewEmisData!$B:$B, $A252, NewEmisData!$C:$C, $H252, NewEmisData!$D:$D, EG$6)</f>
        <v>0.105244034731584</v>
      </c>
      <c r="EH252" s="1111">
        <f>SUMIFS(NewEmisData!L:L, NewEmisData!$A:$A, $G252, NewEmisData!$B:$B, $A252, NewEmisData!$C:$C, $H252, NewEmisData!$D:$D, EH$6)</f>
        <v>0.10519712220805</v>
      </c>
      <c r="EI252" s="1111">
        <f>SUMIFS(NewEmisData!M:M, NewEmisData!$A:$A, $G252, NewEmisData!$B:$B, $A252, NewEmisData!$C:$C, $H252, NewEmisData!$D:$D, EI$6)</f>
        <v>0.105194222004308</v>
      </c>
      <c r="EJ252" s="1111">
        <f t="shared" si="427"/>
        <v>0.105194222004308</v>
      </c>
      <c r="EK252" s="1111">
        <f t="shared" si="428"/>
        <v>1319.49151917881</v>
      </c>
      <c r="EL252" s="1111">
        <f t="shared" si="343"/>
        <v>1319.49151917881</v>
      </c>
      <c r="EM252" s="1111">
        <f t="shared" si="344"/>
        <v>1464.7581509516101</v>
      </c>
      <c r="EN252" s="1111">
        <f t="shared" si="345"/>
        <v>1799.86335243286</v>
      </c>
      <c r="EO252" s="1111">
        <f t="shared" si="346"/>
        <v>1770.55999347335</v>
      </c>
      <c r="EP252" s="1111">
        <f t="shared" si="347"/>
        <v>1751.5422550708799</v>
      </c>
      <c r="EQ252" s="1111">
        <f t="shared" si="348"/>
        <v>1745.6010707511</v>
      </c>
      <c r="ER252" s="1111">
        <f t="shared" si="349"/>
        <v>1743.5885799002001</v>
      </c>
      <c r="ES252" s="1111">
        <f t="shared" si="350"/>
        <v>1742.6485789820999</v>
      </c>
      <c r="ET252" s="1111">
        <f t="shared" si="351"/>
        <v>1741.9127550599401</v>
      </c>
      <c r="EU252" s="1111">
        <f t="shared" si="352"/>
        <v>1741.9127550599401</v>
      </c>
      <c r="EV252" s="1111">
        <f t="shared" si="429"/>
        <v>10.6053442608649</v>
      </c>
      <c r="EW252" s="1111">
        <f t="shared" si="333"/>
        <v>10.6053442608649</v>
      </c>
      <c r="EX252" s="1111">
        <f t="shared" si="334"/>
        <v>6.5449635614234403</v>
      </c>
      <c r="EY252" s="1111">
        <f t="shared" si="335"/>
        <v>3.6787180180936701</v>
      </c>
      <c r="EZ252" s="1111">
        <f t="shared" si="336"/>
        <v>2.2004570236663401</v>
      </c>
      <c r="FA252" s="1111">
        <f t="shared" si="337"/>
        <v>1.7396673866677801</v>
      </c>
      <c r="FB252" s="1111">
        <f t="shared" si="338"/>
        <v>1.64503462199088</v>
      </c>
      <c r="FC252" s="1111">
        <f t="shared" si="339"/>
        <v>1.62266726199586</v>
      </c>
      <c r="FD252" s="1111">
        <f t="shared" si="340"/>
        <v>1.62186968240176</v>
      </c>
      <c r="FE252" s="1111">
        <f t="shared" si="341"/>
        <v>1.62139928384052</v>
      </c>
      <c r="FF252" s="1111">
        <f t="shared" si="342"/>
        <v>1.62139928384052</v>
      </c>
      <c r="FG252" s="1111">
        <f t="shared" si="389"/>
        <v>3.2753858750071897E-2</v>
      </c>
      <c r="FH252" s="1111">
        <f t="shared" si="390"/>
        <v>3.2753858750071897E-2</v>
      </c>
      <c r="FI252" s="1111">
        <f t="shared" si="391"/>
        <v>3.5451037141744003E-2</v>
      </c>
      <c r="FJ252" s="1111">
        <f t="shared" si="392"/>
        <v>1.5119273460284501E-2</v>
      </c>
      <c r="FK252" s="1111">
        <f t="shared" si="393"/>
        <v>1.47924708148466E-2</v>
      </c>
      <c r="FL252" s="1111">
        <f t="shared" si="394"/>
        <v>1.4608534822893701E-2</v>
      </c>
      <c r="FM252" s="1111">
        <f t="shared" si="395"/>
        <v>1.45546061834944E-2</v>
      </c>
      <c r="FN252" s="1111">
        <f t="shared" si="396"/>
        <v>1.4536510442551E-2</v>
      </c>
      <c r="FO252" s="1111">
        <f t="shared" si="397"/>
        <v>1.4528668182896999E-2</v>
      </c>
      <c r="FP252" s="1111">
        <f t="shared" si="398"/>
        <v>1.45225405658348E-2</v>
      </c>
      <c r="FQ252" s="1111">
        <f t="shared" si="399"/>
        <v>1.45225405658348E-2</v>
      </c>
      <c r="FR252" s="1111">
        <f t="shared" si="322"/>
        <v>1.04983400982203</v>
      </c>
      <c r="FS252" s="1111">
        <f t="shared" si="323"/>
        <v>1.04983400982203</v>
      </c>
      <c r="FT252" s="1111">
        <f t="shared" si="324"/>
        <v>0.72832653653898105</v>
      </c>
      <c r="FU252" s="1111">
        <f t="shared" si="325"/>
        <v>0.58427614618818202</v>
      </c>
      <c r="FV252" s="1111">
        <f t="shared" si="326"/>
        <v>0.50134292856914997</v>
      </c>
      <c r="FW252" s="1111">
        <f t="shared" si="327"/>
        <v>0.47618546496589997</v>
      </c>
      <c r="FX252" s="1111">
        <f t="shared" si="328"/>
        <v>0.47190149656039998</v>
      </c>
      <c r="FY252" s="1111">
        <f t="shared" si="329"/>
        <v>0.47071689819165202</v>
      </c>
      <c r="FZ252" s="1111">
        <f t="shared" si="330"/>
        <v>0.47069343749269799</v>
      </c>
      <c r="GA252" s="1111">
        <f t="shared" si="331"/>
        <v>0.47069114341764501</v>
      </c>
      <c r="GB252" s="1111">
        <f t="shared" si="332"/>
        <v>0.47069114341764501</v>
      </c>
      <c r="GC252" s="1111">
        <f t="shared" si="353"/>
        <v>0.72578410583292197</v>
      </c>
      <c r="GD252" s="1111">
        <f t="shared" si="354"/>
        <v>0.72578410583292197</v>
      </c>
      <c r="GE252" s="1111">
        <f t="shared" si="355"/>
        <v>0.42763209762876098</v>
      </c>
      <c r="GF252" s="1111">
        <f t="shared" si="356"/>
        <v>0.18944103926397299</v>
      </c>
      <c r="GG252" s="1111">
        <f t="shared" si="357"/>
        <v>0.114666499637313</v>
      </c>
      <c r="GH252" s="1111">
        <f t="shared" si="358"/>
        <v>9.1724132402913702E-2</v>
      </c>
      <c r="GI252" s="1111">
        <f t="shared" si="359"/>
        <v>8.7857141954733695E-2</v>
      </c>
      <c r="GJ252" s="1111">
        <f t="shared" si="360"/>
        <v>8.6767275626484494E-2</v>
      </c>
      <c r="GK252" s="1111">
        <f t="shared" si="361"/>
        <v>8.6748879396040507E-2</v>
      </c>
      <c r="GL252" s="1111">
        <f t="shared" si="362"/>
        <v>8.67391289437488E-2</v>
      </c>
      <c r="GM252" s="1111">
        <f t="shared" si="363"/>
        <v>8.67391289437488E-2</v>
      </c>
    </row>
    <row r="253" spans="1:195" x14ac:dyDescent="0.2">
      <c r="A253" s="1071" t="s">
        <v>186</v>
      </c>
      <c r="B253" s="1071" t="str">
        <f>Technologies!C147</f>
        <v>THSDSLIM</v>
      </c>
      <c r="C253" s="1071" t="str">
        <f>Technologies!D147</f>
        <v>Heavy Truck, Short Haul, Improved Diesel</v>
      </c>
      <c r="D253" s="1071" t="str">
        <f>NewTech!D101</f>
        <v>bn-vmt, bn-vmt/a</v>
      </c>
      <c r="E253" s="1071" t="str">
        <f>Commodities!C$44</f>
        <v>THDSL</v>
      </c>
      <c r="F253" s="1071" t="s">
        <v>98</v>
      </c>
      <c r="G253" s="1110" t="s">
        <v>505</v>
      </c>
      <c r="H253" s="1110" t="s">
        <v>499</v>
      </c>
      <c r="I253" s="1112">
        <v>1</v>
      </c>
      <c r="J253" s="1111" t="str">
        <f t="shared" si="302"/>
        <v>Heavy duty short haul truck-DSL</v>
      </c>
      <c r="K253" s="1111">
        <f>SUMIFS(NewEmisData!E:E, NewEmisData!$A:$A, $G253, NewEmisData!$B:$B, $A253, NewEmisData!$C:$C, $H253, NewEmisData!$D:$D, K$6)</f>
        <v>1965.3480196129899</v>
      </c>
      <c r="L253" s="1111">
        <f>SUMIFS(NewEmisData!F:F, NewEmisData!$A:$A, $G253, NewEmisData!$B:$B, $A253, NewEmisData!$C:$C, $H253, NewEmisData!$D:$D, L$6)</f>
        <v>2010.3216718511901</v>
      </c>
      <c r="M253" s="1111">
        <f>SUMIFS(NewEmisData!G:G, NewEmisData!$A:$A, $G253, NewEmisData!$B:$B, $A253, NewEmisData!$C:$C, $H253, NewEmisData!$D:$D, M$6)</f>
        <v>2090.4906656609201</v>
      </c>
      <c r="N253" s="1111">
        <f>SUMIFS(NewEmisData!H:H, NewEmisData!$A:$A, $G253, NewEmisData!$B:$B, $A253, NewEmisData!$C:$C, $H253, NewEmisData!$D:$D, N$6)</f>
        <v>2053.9539193064902</v>
      </c>
      <c r="O253" s="1111">
        <f>SUMIFS(NewEmisData!I:I, NewEmisData!$A:$A, $G253, NewEmisData!$B:$B, $A253, NewEmisData!$C:$C, $H253, NewEmisData!$D:$D, O$6)</f>
        <v>2027.8421991422999</v>
      </c>
      <c r="P253" s="1111">
        <f>SUMIFS(NewEmisData!J:J, NewEmisData!$A:$A, $G253, NewEmisData!$B:$B, $A253, NewEmisData!$C:$C, $H253, NewEmisData!$D:$D, P$6)</f>
        <v>2019.45150345712</v>
      </c>
      <c r="Q253" s="1111">
        <f>SUMIFS(NewEmisData!K:K, NewEmisData!$A:$A, $G253, NewEmisData!$B:$B, $A253, NewEmisData!$C:$C, $H253, NewEmisData!$D:$D, Q$6)</f>
        <v>2016.54651893857</v>
      </c>
      <c r="R253" s="1111">
        <f>SUMIFS(NewEmisData!L:L, NewEmisData!$A:$A, $G253, NewEmisData!$B:$B, $A253, NewEmisData!$C:$C, $H253, NewEmisData!$D:$D, R$6)</f>
        <v>2015.2058723386001</v>
      </c>
      <c r="S253" s="1111">
        <f>SUMIFS(NewEmisData!M:M, NewEmisData!$A:$A, $G253, NewEmisData!$B:$B, $A253, NewEmisData!$C:$C, $H253, NewEmisData!$D:$D, S$6)</f>
        <v>2014.2294332377901</v>
      </c>
      <c r="T253" s="1111">
        <f t="shared" si="364"/>
        <v>2014.2294332377901</v>
      </c>
      <c r="U253" s="1111">
        <f>SUMIFS(NewEmisData!E:E, NewEmisData!$A:$A, $G253, NewEmisData!$B:$B, $A253, NewEmisData!$C:$C, $H253, NewEmisData!$D:$D, U$6)</f>
        <v>16.5695691882601</v>
      </c>
      <c r="V253" s="1111">
        <f>SUMIFS(NewEmisData!F:F, NewEmisData!$A:$A, $G253, NewEmisData!$B:$B, $A253, NewEmisData!$C:$C, $H253, NewEmisData!$D:$D, V$6)</f>
        <v>10.1915554047669</v>
      </c>
      <c r="W253" s="1111">
        <f>SUMIFS(NewEmisData!G:G, NewEmisData!$A:$A, $G253, NewEmisData!$B:$B, $A253, NewEmisData!$C:$C, $H253, NewEmisData!$D:$D, W$6)</f>
        <v>4.7067883339263101</v>
      </c>
      <c r="X253" s="1111">
        <f>SUMIFS(NewEmisData!H:H, NewEmisData!$A:$A, $G253, NewEmisData!$B:$B, $A253, NewEmisData!$C:$C, $H253, NewEmisData!$D:$D, X$6)</f>
        <v>2.74964441255411</v>
      </c>
      <c r="Y253" s="1111">
        <f>SUMIFS(NewEmisData!I:I, NewEmisData!$A:$A, $G253, NewEmisData!$B:$B, $A253, NewEmisData!$C:$C, $H253, NewEmisData!$D:$D, Y$6)</f>
        <v>2.1250543631144501</v>
      </c>
      <c r="Z253" s="1111">
        <f>SUMIFS(NewEmisData!J:J, NewEmisData!$A:$A, $G253, NewEmisData!$B:$B, $A253, NewEmisData!$C:$C, $H253, NewEmisData!$D:$D, Z$6)</f>
        <v>1.99369533696212</v>
      </c>
      <c r="AA253" s="1111">
        <f>SUMIFS(NewEmisData!K:K, NewEmisData!$A:$A, $G253, NewEmisData!$B:$B, $A253, NewEmisData!$C:$C, $H253, NewEmisData!$D:$D, AA$6)</f>
        <v>1.9596642716443899</v>
      </c>
      <c r="AB253" s="1111">
        <f>SUMIFS(NewEmisData!L:L, NewEmisData!$A:$A, $G253, NewEmisData!$B:$B, $A253, NewEmisData!$C:$C, $H253, NewEmisData!$D:$D, AB$6)</f>
        <v>1.95841045438728</v>
      </c>
      <c r="AC253" s="1111">
        <f>SUMIFS(NewEmisData!M:M, NewEmisData!$A:$A, $G253, NewEmisData!$B:$B, $A253, NewEmisData!$C:$C, $H253, NewEmisData!$D:$D, AC$6)</f>
        <v>1.95772834946656</v>
      </c>
      <c r="AD253" s="1111">
        <f t="shared" si="321"/>
        <v>1.95772834946656</v>
      </c>
      <c r="AE253" s="1111">
        <f t="shared" si="412"/>
        <v>4.8505368718434902E-2</v>
      </c>
      <c r="AF253" s="1111">
        <f>SUMIFS(NewEmisData!E:E, NewEmisData!$A:$A, $G253, NewEmisData!$B:$B, $A253, NewEmisData!$C:$C, $H253, NewEmisData!$D:$D, AF$6)</f>
        <v>4.8505368718434902E-2</v>
      </c>
      <c r="AG253" s="1111">
        <f>SUMIFS(NewEmisData!F:F, NewEmisData!$A:$A, $G253, NewEmisData!$B:$B, $A253, NewEmisData!$C:$C, $H253, NewEmisData!$D:$D, AG$6)</f>
        <v>4.8325981488473099E-2</v>
      </c>
      <c r="AH253" s="1111">
        <f>SUMIFS(NewEmisData!G:G, NewEmisData!$A:$A, $G253, NewEmisData!$B:$B, $A253, NewEmisData!$C:$C, $H253, NewEmisData!$D:$D, AH$6)</f>
        <v>1.7576572280014201E-2</v>
      </c>
      <c r="AI253" s="1111">
        <f>SUMIFS(NewEmisData!H:H, NewEmisData!$A:$A, $G253, NewEmisData!$B:$B, $A253, NewEmisData!$C:$C, $H253, NewEmisData!$D:$D, AI$6)</f>
        <v>1.7166395112910501E-2</v>
      </c>
      <c r="AJ253" s="1111">
        <f>SUMIFS(NewEmisData!I:I, NewEmisData!$A:$A, $G253, NewEmisData!$B:$B, $A253, NewEmisData!$C:$C, $H253, NewEmisData!$D:$D, AJ$6)</f>
        <v>1.6914594935806299E-2</v>
      </c>
      <c r="AK253" s="1111">
        <f>SUMIFS(NewEmisData!J:J, NewEmisData!$A:$A, $G253, NewEmisData!$B:$B, $A253, NewEmisData!$C:$C, $H253, NewEmisData!$D:$D, AK$6)</f>
        <v>1.68383799937354E-2</v>
      </c>
      <c r="AL253" s="1111">
        <f>SUMIFS(NewEmisData!K:K, NewEmisData!$A:$A, $G253, NewEmisData!$B:$B, $A253, NewEmisData!$C:$C, $H253, NewEmisData!$D:$D, AL$6)</f>
        <v>1.6812194631633502E-2</v>
      </c>
      <c r="AM253" s="1111">
        <f>SUMIFS(NewEmisData!L:L, NewEmisData!$A:$A, $G253, NewEmisData!$B:$B, $A253, NewEmisData!$C:$C, $H253, NewEmisData!$D:$D, AM$6)</f>
        <v>1.6801008524208499E-2</v>
      </c>
      <c r="AN253" s="1111">
        <f>SUMIFS(NewEmisData!M:M, NewEmisData!$A:$A, $G253, NewEmisData!$B:$B, $A253, NewEmisData!$C:$C, $H253, NewEmisData!$D:$D, AN$6)</f>
        <v>1.6792875741706501E-2</v>
      </c>
      <c r="AO253" s="1111">
        <f t="shared" si="413"/>
        <v>1.6792875741706501E-2</v>
      </c>
      <c r="AP253" s="1111">
        <f t="shared" si="414"/>
        <v>1.7897176326082</v>
      </c>
      <c r="AQ253" s="1111">
        <f>SUMIFS(NewEmisData!E:E, NewEmisData!$A:$A, $G253, NewEmisData!$B:$B, $A253, NewEmisData!$C:$C, $H253, NewEmisData!$D:$D, AQ$6)</f>
        <v>1.7897176326082</v>
      </c>
      <c r="AR253" s="1111">
        <f>SUMIFS(NewEmisData!F:F, NewEmisData!$A:$A, $G253, NewEmisData!$B:$B, $A253, NewEmisData!$C:$C, $H253, NewEmisData!$D:$D, AR$6)</f>
        <v>1.28184142907446</v>
      </c>
      <c r="AS253" s="1111">
        <f>SUMIFS(NewEmisData!G:G, NewEmisData!$A:$A, $G253, NewEmisData!$B:$B, $A253, NewEmisData!$C:$C, $H253, NewEmisData!$D:$D, AS$6)</f>
        <v>0.80585430140276804</v>
      </c>
      <c r="AT253" s="1111">
        <f>SUMIFS(NewEmisData!H:H, NewEmisData!$A:$A, $G253, NewEmisData!$B:$B, $A253, NewEmisData!$C:$C, $H253, NewEmisData!$D:$D, AT$6)</f>
        <v>0.69183592997618704</v>
      </c>
      <c r="AU253" s="1111">
        <f>SUMIFS(NewEmisData!I:I, NewEmisData!$A:$A, $G253, NewEmisData!$B:$B, $A253, NewEmisData!$C:$C, $H253, NewEmisData!$D:$D, AU$6)</f>
        <v>0.65551295326080194</v>
      </c>
      <c r="AV253" s="1111">
        <f>SUMIFS(NewEmisData!J:J, NewEmisData!$A:$A, $G253, NewEmisData!$B:$B, $A253, NewEmisData!$C:$C, $H253, NewEmisData!$D:$D, AV$6)</f>
        <v>0.64912663136166204</v>
      </c>
      <c r="AW253" s="1111">
        <f>SUMIFS(NewEmisData!K:K, NewEmisData!$A:$A, $G253, NewEmisData!$B:$B, $A253, NewEmisData!$C:$C, $H253, NewEmisData!$D:$D, AW$6)</f>
        <v>0.64721406840414997</v>
      </c>
      <c r="AX253" s="1111">
        <f>SUMIFS(NewEmisData!L:L, NewEmisData!$A:$A, $G253, NewEmisData!$B:$B, $A253, NewEmisData!$C:$C, $H253, NewEmisData!$D:$D, AX$6)</f>
        <v>0.64706992112985595</v>
      </c>
      <c r="AY253" s="1111">
        <f>SUMIFS(NewEmisData!M:M, NewEmisData!$A:$A, $G253, NewEmisData!$B:$B, $A253, NewEmisData!$C:$C, $H253, NewEmisData!$D:$D, AY$6)</f>
        <v>0.64695129381422201</v>
      </c>
      <c r="AZ253" s="1111">
        <f t="shared" si="415"/>
        <v>0.64695129381422201</v>
      </c>
      <c r="BA253" s="1111">
        <f t="shared" si="416"/>
        <v>1.18048167941492</v>
      </c>
      <c r="BB253" s="1111">
        <f>SUMIFS(NewEmisData!E:E, NewEmisData!$A:$A, $G253, NewEmisData!$B:$B, $A253, NewEmisData!$C:$C, $H253, NewEmisData!$D:$D, BB$6)</f>
        <v>1.18048167941492</v>
      </c>
      <c r="BC253" s="1111">
        <f>SUMIFS(NewEmisData!F:F, NewEmisData!$A:$A, $G253, NewEmisData!$B:$B, $A253, NewEmisData!$C:$C, $H253, NewEmisData!$D:$D, BC$6)</f>
        <v>0.70883111477306904</v>
      </c>
      <c r="BD253" s="1111">
        <f>SUMIFS(NewEmisData!G:G, NewEmisData!$A:$A, $G253, NewEmisData!$B:$B, $A253, NewEmisData!$C:$C, $H253, NewEmisData!$D:$D, BD$6)</f>
        <v>0.25820081252871602</v>
      </c>
      <c r="BE253" s="1111">
        <f>SUMIFS(NewEmisData!H:H, NewEmisData!$A:$A, $G253, NewEmisData!$B:$B, $A253, NewEmisData!$C:$C, $H253, NewEmisData!$D:$D, BE$6)</f>
        <v>0.154936314509238</v>
      </c>
      <c r="BF253" s="1111">
        <f>SUMIFS(NewEmisData!I:I, NewEmisData!$A:$A, $G253, NewEmisData!$B:$B, $A253, NewEmisData!$C:$C, $H253, NewEmisData!$D:$D, BF$6)</f>
        <v>0.12145150227391199</v>
      </c>
      <c r="BG253" s="1111">
        <f>SUMIFS(NewEmisData!J:J, NewEmisData!$A:$A, $G253, NewEmisData!$B:$B, $A253, NewEmisData!$C:$C, $H253, NewEmisData!$D:$D, BG$6)</f>
        <v>0.11561207466260399</v>
      </c>
      <c r="BH253" s="1111">
        <f>SUMIFS(NewEmisData!K:K, NewEmisData!$A:$A, $G253, NewEmisData!$B:$B, $A253, NewEmisData!$C:$C, $H253, NewEmisData!$D:$D, BH$6)</f>
        <v>0.113890264164102</v>
      </c>
      <c r="BI253" s="1111">
        <f>SUMIFS(NewEmisData!L:L, NewEmisData!$A:$A, $G253, NewEmisData!$B:$B, $A253, NewEmisData!$C:$C, $H253, NewEmisData!$D:$D, BI$6)</f>
        <v>0.11384461486997199</v>
      </c>
      <c r="BJ253" s="1111">
        <f>SUMIFS(NewEmisData!M:M, NewEmisData!$A:$A, $G253, NewEmisData!$B:$B, $A253, NewEmisData!$C:$C, $H253, NewEmisData!$D:$D, BJ$6)</f>
        <v>0.11381252319809999</v>
      </c>
      <c r="BK253" s="1111">
        <f t="shared" si="417"/>
        <v>0.11381252319809999</v>
      </c>
      <c r="BL253" s="1111">
        <f t="shared" si="418"/>
        <v>6.0456420020261303</v>
      </c>
      <c r="BM253" s="1111">
        <f>SUMIFS(NewEmisData!E:E, NewEmisData!$A:$A, $G253, NewEmisData!$B:$B, $A253, NewEmisData!$C:$C, $H253, NewEmisData!$D:$D, BM$6)</f>
        <v>6.0456420020261303</v>
      </c>
      <c r="BN253" s="1111">
        <f>SUMIFS(NewEmisData!F:F, NewEmisData!$A:$A, $G253, NewEmisData!$B:$B, $A253, NewEmisData!$C:$C, $H253, NewEmisData!$D:$D, BN$6)</f>
        <v>3.6427551386991199</v>
      </c>
      <c r="BO253" s="1111">
        <f>SUMIFS(NewEmisData!G:G, NewEmisData!$A:$A, $G253, NewEmisData!$B:$B, $A253, NewEmisData!$C:$C, $H253, NewEmisData!$D:$D, BO$6)</f>
        <v>1.8452011446226499</v>
      </c>
      <c r="BP253" s="1111">
        <f>SUMIFS(NewEmisData!H:H, NewEmisData!$A:$A, $G253, NewEmisData!$B:$B, $A253, NewEmisData!$C:$C, $H253, NewEmisData!$D:$D, BP$6)</f>
        <v>1.24194770746088</v>
      </c>
      <c r="BQ253" s="1111">
        <f>SUMIFS(NewEmisData!I:I, NewEmisData!$A:$A, $G253, NewEmisData!$B:$B, $A253, NewEmisData!$C:$C, $H253, NewEmisData!$D:$D, BQ$6)</f>
        <v>1.0526499630644499</v>
      </c>
      <c r="BR253" s="1111">
        <f>SUMIFS(NewEmisData!J:J, NewEmisData!$A:$A, $G253, NewEmisData!$B:$B, $A253, NewEmisData!$C:$C, $H253, NewEmisData!$D:$D, BR$6)</f>
        <v>1.0089819104633899</v>
      </c>
      <c r="BS253" s="1111">
        <f>SUMIFS(NewEmisData!K:K, NewEmisData!$A:$A, $G253, NewEmisData!$B:$B, $A253, NewEmisData!$C:$C, $H253, NewEmisData!$D:$D, BS$6)</f>
        <v>0.99667122961969301</v>
      </c>
      <c r="BT253" s="1111">
        <f>SUMIFS(NewEmisData!L:L, NewEmisData!$A:$A, $G253, NewEmisData!$B:$B, $A253, NewEmisData!$C:$C, $H253, NewEmisData!$D:$D, BT$6)</f>
        <v>0.99500593481504396</v>
      </c>
      <c r="BU253" s="1111">
        <f>SUMIFS(NewEmisData!M:M, NewEmisData!$A:$A, $G253, NewEmisData!$B:$B, $A253, NewEmisData!$C:$C, $H253, NewEmisData!$D:$D, BU$6)</f>
        <v>0.99474590902717697</v>
      </c>
      <c r="BV253" s="1111">
        <f t="shared" si="419"/>
        <v>0.99474590902717697</v>
      </c>
      <c r="BW253" s="1111">
        <f t="shared" si="420"/>
        <v>1.8523245224272999</v>
      </c>
      <c r="BX253" s="1111">
        <f>SUMIFS(NewEmisData!E:E, NewEmisData!$A:$A, $G253, NewEmisData!$B:$B, $A253, NewEmisData!$C:$C, $H253, NewEmisData!$D:$D, BX$6)</f>
        <v>1.8523245224272999</v>
      </c>
      <c r="BY253" s="1111">
        <f>SUMIFS(NewEmisData!F:F, NewEmisData!$A:$A, $G253, NewEmisData!$B:$B, $A253, NewEmisData!$C:$C, $H253, NewEmisData!$D:$D, BY$6)</f>
        <v>0.98457686139596001</v>
      </c>
      <c r="BZ253" s="1111">
        <f>SUMIFS(NewEmisData!G:G, NewEmisData!$A:$A, $G253, NewEmisData!$B:$B, $A253, NewEmisData!$C:$C, $H253, NewEmisData!$D:$D, BZ$6)</f>
        <v>0.454054708098104</v>
      </c>
      <c r="CA253" s="1111">
        <f>SUMIFS(NewEmisData!H:H, NewEmisData!$A:$A, $G253, NewEmisData!$B:$B, $A253, NewEmisData!$C:$C, $H253, NewEmisData!$D:$D, CA$6)</f>
        <v>0.24241218334548201</v>
      </c>
      <c r="CB253" s="1111">
        <f>SUMIFS(NewEmisData!I:I, NewEmisData!$A:$A, $G253, NewEmisData!$B:$B, $A253, NewEmisData!$C:$C, $H253, NewEmisData!$D:$D, CB$6)</f>
        <v>0.17574053877664</v>
      </c>
      <c r="CC253" s="1111">
        <f>SUMIFS(NewEmisData!J:J, NewEmisData!$A:$A, $G253, NewEmisData!$B:$B, $A253, NewEmisData!$C:$C, $H253, NewEmisData!$D:$D, CC$6)</f>
        <v>0.16190467325511401</v>
      </c>
      <c r="CD253" s="1111">
        <f>SUMIFS(NewEmisData!K:K, NewEmisData!$A:$A, $G253, NewEmisData!$B:$B, $A253, NewEmisData!$C:$C, $H253, NewEmisData!$D:$D, CD$6)</f>
        <v>0.15802874340941001</v>
      </c>
      <c r="CE253" s="1111">
        <f>SUMIFS(NewEmisData!L:L, NewEmisData!$A:$A, $G253, NewEmisData!$B:$B, $A253, NewEmisData!$C:$C, $H253, NewEmisData!$D:$D, CE$6)</f>
        <v>0.157924905411398</v>
      </c>
      <c r="CF253" s="1111">
        <f>SUMIFS(NewEmisData!M:M, NewEmisData!$A:$A, $G253, NewEmisData!$B:$B, $A253, NewEmisData!$C:$C, $H253, NewEmisData!$D:$D, CF$6)</f>
        <v>0.157888725635105</v>
      </c>
      <c r="CG253" s="1111">
        <f t="shared" si="421"/>
        <v>0.157888725635105</v>
      </c>
      <c r="CH253" s="1111">
        <f t="shared" si="422"/>
        <v>3.4893521946962498E-2</v>
      </c>
      <c r="CI253" s="1111">
        <f>SUMIFS(NewEmisData!E:E, NewEmisData!$A:$A, $G253, NewEmisData!$B:$B, $A253, NewEmisData!$C:$C, $H253, NewEmisData!$D:$D, CI$6)</f>
        <v>3.4893521946962498E-2</v>
      </c>
      <c r="CJ253" s="1111">
        <f>SUMIFS(NewEmisData!F:F, NewEmisData!$A:$A, $G253, NewEmisData!$B:$B, $A253, NewEmisData!$C:$C, $H253, NewEmisData!$D:$D, CJ$6)</f>
        <v>3.49788451002516E-2</v>
      </c>
      <c r="CK253" s="1111">
        <f>SUMIFS(NewEmisData!G:G, NewEmisData!$A:$A, $G253, NewEmisData!$B:$B, $A253, NewEmisData!$C:$C, $H253, NewEmisData!$D:$D, CK$6)</f>
        <v>3.9639501952122097E-2</v>
      </c>
      <c r="CL253" s="1111">
        <f>SUMIFS(NewEmisData!H:H, NewEmisData!$A:$A, $G253, NewEmisData!$B:$B, $A253, NewEmisData!$C:$C, $H253, NewEmisData!$D:$D, CL$6)</f>
        <v>3.9638483794636602E-2</v>
      </c>
      <c r="CM253" s="1111">
        <f>SUMIFS(NewEmisData!I:I, NewEmisData!$A:$A, $G253, NewEmisData!$B:$B, $A253, NewEmisData!$C:$C, $H253, NewEmisData!$D:$D, CM$6)</f>
        <v>3.9638118042141998E-2</v>
      </c>
      <c r="CN253" s="1111">
        <f>SUMIFS(NewEmisData!J:J, NewEmisData!$A:$A, $G253, NewEmisData!$B:$B, $A253, NewEmisData!$C:$C, $H253, NewEmisData!$D:$D, CN$6)</f>
        <v>3.9638000963104603E-2</v>
      </c>
      <c r="CO253" s="1111">
        <f>SUMIFS(NewEmisData!K:K, NewEmisData!$A:$A, $G253, NewEmisData!$B:$B, $A253, NewEmisData!$C:$C, $H253, NewEmisData!$D:$D, CO$6)</f>
        <v>3.9637988546095397E-2</v>
      </c>
      <c r="CP253" s="1111">
        <f>SUMIFS(NewEmisData!L:L, NewEmisData!$A:$A, $G253, NewEmisData!$B:$B, $A253, NewEmisData!$C:$C, $H253, NewEmisData!$D:$D, CP$6)</f>
        <v>3.9637972152367001E-2</v>
      </c>
      <c r="CQ253" s="1111">
        <f>SUMIFS(NewEmisData!M:M, NewEmisData!$A:$A, $G253, NewEmisData!$B:$B, $A253, NewEmisData!$C:$C, $H253, NewEmisData!$D:$D, CQ$6)</f>
        <v>3.9637979680126299E-2</v>
      </c>
      <c r="CR253" s="1111">
        <f t="shared" si="423"/>
        <v>3.9637979680126299E-2</v>
      </c>
      <c r="CS253" s="1111">
        <f t="shared" si="424"/>
        <v>6.6753767747216204E-3</v>
      </c>
      <c r="CT253" s="1111">
        <f>SUMIFS(NewEmisData!E:E, NewEmisData!$A:$A, $G253, NewEmisData!$B:$B, $A253, NewEmisData!$C:$C, $H253, NewEmisData!$D:$D, CT$6)</f>
        <v>6.6753767747216204E-3</v>
      </c>
      <c r="CU253" s="1111">
        <f>SUMIFS(NewEmisData!F:F, NewEmisData!$A:$A, $G253, NewEmisData!$B:$B, $A253, NewEmisData!$C:$C, $H253, NewEmisData!$D:$D, CU$6)</f>
        <v>6.5547982937163097E-3</v>
      </c>
      <c r="CV253" s="1111">
        <f>SUMIFS(NewEmisData!G:G, NewEmisData!$A:$A, $G253, NewEmisData!$B:$B, $A253, NewEmisData!$C:$C, $H253, NewEmisData!$D:$D, CV$6)</f>
        <v>7.2957432936417597E-3</v>
      </c>
      <c r="CW253" s="1111">
        <f>SUMIFS(NewEmisData!H:H, NewEmisData!$A:$A, $G253, NewEmisData!$B:$B, $A253, NewEmisData!$C:$C, $H253, NewEmisData!$D:$D, CW$6)</f>
        <v>7.2823273262305702E-3</v>
      </c>
      <c r="CX253" s="1111">
        <f>SUMIFS(NewEmisData!I:I, NewEmisData!$A:$A, $G253, NewEmisData!$B:$B, $A253, NewEmisData!$C:$C, $H253, NewEmisData!$D:$D, CX$6)</f>
        <v>7.2700258541815799E-3</v>
      </c>
      <c r="CY253" s="1111">
        <f>SUMIFS(NewEmisData!J:J, NewEmisData!$A:$A, $G253, NewEmisData!$B:$B, $A253, NewEmisData!$C:$C, $H253, NewEmisData!$D:$D, CY$6)</f>
        <v>7.2630982878354698E-3</v>
      </c>
      <c r="CZ253" s="1111">
        <f>SUMIFS(NewEmisData!K:K, NewEmisData!$A:$A, $G253, NewEmisData!$B:$B, $A253, NewEmisData!$C:$C, $H253, NewEmisData!$D:$D, CZ$6)</f>
        <v>7.25966994665462E-3</v>
      </c>
      <c r="DA253" s="1111">
        <f>SUMIFS(NewEmisData!L:L, NewEmisData!$A:$A, $G253, NewEmisData!$B:$B, $A253, NewEmisData!$C:$C, $H253, NewEmisData!$D:$D, DA$6)</f>
        <v>7.2582639480360299E-3</v>
      </c>
      <c r="DB253" s="1111">
        <f>SUMIFS(NewEmisData!M:M, NewEmisData!$A:$A, $G253, NewEmisData!$B:$B, $A253, NewEmisData!$C:$C, $H253, NewEmisData!$D:$D, DB$6)</f>
        <v>7.2582397653682199E-3</v>
      </c>
      <c r="DC253" s="1111">
        <f t="shared" si="425"/>
        <v>7.2582397653682199E-3</v>
      </c>
      <c r="DD253" s="1111"/>
      <c r="DE253" s="1111"/>
      <c r="DF253" s="1111"/>
      <c r="DG253" s="1111"/>
      <c r="DH253" s="1111"/>
      <c r="DI253" s="1111"/>
      <c r="DJ253" s="1111"/>
      <c r="DK253" s="1111"/>
      <c r="DL253" s="1111"/>
      <c r="DM253" s="1111"/>
      <c r="DN253" s="1111"/>
      <c r="DO253" s="1111"/>
      <c r="DP253" s="1111"/>
      <c r="DQ253" s="1111"/>
      <c r="DR253" s="1111"/>
      <c r="DS253" s="1111"/>
      <c r="DT253" s="1111"/>
      <c r="DU253" s="1111"/>
      <c r="DV253" s="1111"/>
      <c r="DW253" s="1111"/>
      <c r="DX253" s="1111"/>
      <c r="DY253" s="1111"/>
      <c r="DZ253" s="1111">
        <f t="shared" si="426"/>
        <v>3.9006976025732602E-2</v>
      </c>
      <c r="EA253" s="1111">
        <f>SUMIFS(NewEmisData!E:E, NewEmisData!$A:$A, $G253, NewEmisData!$B:$B, $A253, NewEmisData!$C:$C, $H253, NewEmisData!$D:$D, EA$6)</f>
        <v>3.9006976025732602E-2</v>
      </c>
      <c r="EB253" s="1111">
        <f>SUMIFS(NewEmisData!F:F, NewEmisData!$A:$A, $G253, NewEmisData!$B:$B, $A253, NewEmisData!$C:$C, $H253, NewEmisData!$D:$D, EB$6)</f>
        <v>9.7382260752850197E-2</v>
      </c>
      <c r="EC253" s="1111">
        <f>SUMIFS(NewEmisData!G:G, NewEmisData!$A:$A, $G253, NewEmisData!$B:$B, $A253, NewEmisData!$C:$C, $H253, NewEmisData!$D:$D, EC$6)</f>
        <v>0.14046349386005799</v>
      </c>
      <c r="ED253" s="1111">
        <f>SUMIFS(NewEmisData!H:H, NewEmisData!$A:$A, $G253, NewEmisData!$B:$B, $A253, NewEmisData!$C:$C, $H253, NewEmisData!$D:$D, ED$6)</f>
        <v>0.14210473049514299</v>
      </c>
      <c r="EE253" s="1111">
        <f>SUMIFS(NewEmisData!I:I, NewEmisData!$A:$A, $G253, NewEmisData!$B:$B, $A253, NewEmisData!$C:$C, $H253, NewEmisData!$D:$D, EE$6)</f>
        <v>0.142376657618557</v>
      </c>
      <c r="EF253" s="1111">
        <f>SUMIFS(NewEmisData!J:J, NewEmisData!$A:$A, $G253, NewEmisData!$B:$B, $A253, NewEmisData!$C:$C, $H253, NewEmisData!$D:$D, EF$6)</f>
        <v>0.14206400587052001</v>
      </c>
      <c r="EG253" s="1111">
        <f>SUMIFS(NewEmisData!K:K, NewEmisData!$A:$A, $G253, NewEmisData!$B:$B, $A253, NewEmisData!$C:$C, $H253, NewEmisData!$D:$D, EG$6)</f>
        <v>0.142101863494736</v>
      </c>
      <c r="EH253" s="1111">
        <f>SUMIFS(NewEmisData!L:L, NewEmisData!$A:$A, $G253, NewEmisData!$B:$B, $A253, NewEmisData!$C:$C, $H253, NewEmisData!$D:$D, EH$6)</f>
        <v>0.142019923590127</v>
      </c>
      <c r="EI253" s="1111">
        <f>SUMIFS(NewEmisData!M:M, NewEmisData!$A:$A, $G253, NewEmisData!$B:$B, $A253, NewEmisData!$C:$C, $H253, NewEmisData!$D:$D, EI$6)</f>
        <v>0.142008262982282</v>
      </c>
      <c r="EJ253" s="1111">
        <f t="shared" si="427"/>
        <v>0.142008262982282</v>
      </c>
      <c r="EK253" s="1111">
        <f t="shared" si="428"/>
        <v>1965.3480196129899</v>
      </c>
      <c r="EL253" s="1111">
        <f t="shared" si="343"/>
        <v>1965.3480196129899</v>
      </c>
      <c r="EM253" s="1111">
        <f t="shared" si="344"/>
        <v>2010.3216718511901</v>
      </c>
      <c r="EN253" s="1111">
        <f t="shared" si="345"/>
        <v>2090.4906656609201</v>
      </c>
      <c r="EO253" s="1111">
        <f t="shared" si="346"/>
        <v>2053.9539193064902</v>
      </c>
      <c r="EP253" s="1111">
        <f t="shared" si="347"/>
        <v>2027.8421991422999</v>
      </c>
      <c r="EQ253" s="1111">
        <f t="shared" si="348"/>
        <v>2019.45150345712</v>
      </c>
      <c r="ER253" s="1111">
        <f t="shared" si="349"/>
        <v>2016.54651893857</v>
      </c>
      <c r="ES253" s="1111">
        <f t="shared" si="350"/>
        <v>2015.2058723386001</v>
      </c>
      <c r="ET253" s="1111">
        <f t="shared" si="351"/>
        <v>2014.2294332377901</v>
      </c>
      <c r="EU253" s="1111">
        <f t="shared" si="352"/>
        <v>2014.2294332377901</v>
      </c>
      <c r="EV253" s="1111">
        <f t="shared" si="429"/>
        <v>16.5695691882601</v>
      </c>
      <c r="EW253" s="1111">
        <f t="shared" si="333"/>
        <v>16.5695691882601</v>
      </c>
      <c r="EX253" s="1111">
        <f t="shared" si="334"/>
        <v>10.1915554047669</v>
      </c>
      <c r="EY253" s="1111">
        <f t="shared" si="335"/>
        <v>4.7067883339263101</v>
      </c>
      <c r="EZ253" s="1111">
        <f t="shared" si="336"/>
        <v>2.74964441255411</v>
      </c>
      <c r="FA253" s="1111">
        <f t="shared" si="337"/>
        <v>2.1250543631144501</v>
      </c>
      <c r="FB253" s="1111">
        <f t="shared" si="338"/>
        <v>1.99369533696212</v>
      </c>
      <c r="FC253" s="1111">
        <f t="shared" si="339"/>
        <v>1.9596642716443899</v>
      </c>
      <c r="FD253" s="1111">
        <f t="shared" si="340"/>
        <v>1.95841045438728</v>
      </c>
      <c r="FE253" s="1111">
        <f t="shared" si="341"/>
        <v>1.95772834946656</v>
      </c>
      <c r="FF253" s="1111">
        <f t="shared" si="342"/>
        <v>1.95772834946656</v>
      </c>
      <c r="FG253" s="1111">
        <f t="shared" si="389"/>
        <v>4.8505368718434902E-2</v>
      </c>
      <c r="FH253" s="1111">
        <f t="shared" si="390"/>
        <v>4.8505368718434902E-2</v>
      </c>
      <c r="FI253" s="1111">
        <f t="shared" si="391"/>
        <v>4.8325981488473099E-2</v>
      </c>
      <c r="FJ253" s="1111">
        <f t="shared" si="392"/>
        <v>1.7576572280014201E-2</v>
      </c>
      <c r="FK253" s="1111">
        <f t="shared" si="393"/>
        <v>1.7166395112910501E-2</v>
      </c>
      <c r="FL253" s="1111">
        <f t="shared" si="394"/>
        <v>1.6914594935806299E-2</v>
      </c>
      <c r="FM253" s="1111">
        <f t="shared" si="395"/>
        <v>1.68383799937354E-2</v>
      </c>
      <c r="FN253" s="1111">
        <f t="shared" si="396"/>
        <v>1.6812194631633502E-2</v>
      </c>
      <c r="FO253" s="1111">
        <f t="shared" si="397"/>
        <v>1.6801008524208499E-2</v>
      </c>
      <c r="FP253" s="1111">
        <f t="shared" si="398"/>
        <v>1.6792875741706501E-2</v>
      </c>
      <c r="FQ253" s="1111">
        <f t="shared" si="399"/>
        <v>1.6792875741706501E-2</v>
      </c>
      <c r="FR253" s="1111">
        <f t="shared" si="322"/>
        <v>1.7897176326082</v>
      </c>
      <c r="FS253" s="1111">
        <f t="shared" si="323"/>
        <v>1.7897176326082</v>
      </c>
      <c r="FT253" s="1111">
        <f t="shared" si="324"/>
        <v>1.28184142907446</v>
      </c>
      <c r="FU253" s="1111">
        <f t="shared" si="325"/>
        <v>0.80585430140276804</v>
      </c>
      <c r="FV253" s="1111">
        <f t="shared" si="326"/>
        <v>0.69183592997618704</v>
      </c>
      <c r="FW253" s="1111">
        <f t="shared" si="327"/>
        <v>0.65551295326080194</v>
      </c>
      <c r="FX253" s="1111">
        <f t="shared" si="328"/>
        <v>0.64912663136166204</v>
      </c>
      <c r="FY253" s="1111">
        <f t="shared" si="329"/>
        <v>0.64721406840414997</v>
      </c>
      <c r="FZ253" s="1111">
        <f t="shared" si="330"/>
        <v>0.64706992112985595</v>
      </c>
      <c r="GA253" s="1111">
        <f t="shared" si="331"/>
        <v>0.64695129381422201</v>
      </c>
      <c r="GB253" s="1111">
        <f t="shared" si="332"/>
        <v>0.64695129381422201</v>
      </c>
      <c r="GC253" s="1111">
        <f t="shared" si="353"/>
        <v>1.18048167941492</v>
      </c>
      <c r="GD253" s="1111">
        <f t="shared" si="354"/>
        <v>1.18048167941492</v>
      </c>
      <c r="GE253" s="1111">
        <f t="shared" si="355"/>
        <v>0.70883111477306904</v>
      </c>
      <c r="GF253" s="1111">
        <f t="shared" si="356"/>
        <v>0.25820081252871602</v>
      </c>
      <c r="GG253" s="1111">
        <f t="shared" si="357"/>
        <v>0.154936314509238</v>
      </c>
      <c r="GH253" s="1111">
        <f t="shared" si="358"/>
        <v>0.12145150227391199</v>
      </c>
      <c r="GI253" s="1111">
        <f t="shared" si="359"/>
        <v>0.11561207466260399</v>
      </c>
      <c r="GJ253" s="1111">
        <f t="shared" si="360"/>
        <v>0.113890264164102</v>
      </c>
      <c r="GK253" s="1111">
        <f t="shared" si="361"/>
        <v>0.11384461486997199</v>
      </c>
      <c r="GL253" s="1111">
        <f t="shared" si="362"/>
        <v>0.11381252319809999</v>
      </c>
      <c r="GM253" s="1111">
        <f t="shared" si="363"/>
        <v>0.11381252319809999</v>
      </c>
    </row>
    <row r="254" spans="1:195" x14ac:dyDescent="0.2">
      <c r="A254" s="1071" t="s">
        <v>188</v>
      </c>
      <c r="B254" s="1071" t="str">
        <f>Technologies!C147</f>
        <v>THSDSLIM</v>
      </c>
      <c r="C254" s="1071" t="str">
        <f>Technologies!D147</f>
        <v>Heavy Truck, Short Haul, Improved Diesel</v>
      </c>
      <c r="D254" s="1071" t="str">
        <f>NewTech!D101</f>
        <v>bn-vmt, bn-vmt/a</v>
      </c>
      <c r="E254" s="1071" t="str">
        <f>Commodities!C$44</f>
        <v>THDSL</v>
      </c>
      <c r="F254" s="1071" t="s">
        <v>98</v>
      </c>
      <c r="G254" s="1110" t="s">
        <v>505</v>
      </c>
      <c r="H254" s="1110" t="s">
        <v>499</v>
      </c>
      <c r="I254" s="1112">
        <v>1</v>
      </c>
      <c r="J254" s="1111" t="str">
        <f t="shared" si="302"/>
        <v>Heavy duty short haul truck-DSL</v>
      </c>
      <c r="K254" s="1111">
        <f>SUMIFS(NewEmisData!E:E, NewEmisData!$A:$A, $G254, NewEmisData!$B:$B, $A254, NewEmisData!$C:$C, $H254, NewEmisData!$D:$D, K$6)</f>
        <v>1669.0822501080099</v>
      </c>
      <c r="L254" s="1111">
        <f>SUMIFS(NewEmisData!F:F, NewEmisData!$A:$A, $G254, NewEmisData!$B:$B, $A254, NewEmisData!$C:$C, $H254, NewEmisData!$D:$D, L$6)</f>
        <v>1673.1688001129</v>
      </c>
      <c r="M254" s="1111">
        <f>SUMIFS(NewEmisData!G:G, NewEmisData!$A:$A, $G254, NewEmisData!$B:$B, $A254, NewEmisData!$C:$C, $H254, NewEmisData!$D:$D, M$6)</f>
        <v>1365.67564571155</v>
      </c>
      <c r="N254" s="1111">
        <f>SUMIFS(NewEmisData!H:H, NewEmisData!$A:$A, $G254, NewEmisData!$B:$B, $A254, NewEmisData!$C:$C, $H254, NewEmisData!$D:$D, N$6)</f>
        <v>1340.2430368273101</v>
      </c>
      <c r="O254" s="1111">
        <f>SUMIFS(NewEmisData!I:I, NewEmisData!$A:$A, $G254, NewEmisData!$B:$B, $A254, NewEmisData!$C:$C, $H254, NewEmisData!$D:$D, O$6)</f>
        <v>1322.8450856147599</v>
      </c>
      <c r="P254" s="1111">
        <f>SUMIFS(NewEmisData!J:J, NewEmisData!$A:$A, $G254, NewEmisData!$B:$B, $A254, NewEmisData!$C:$C, $H254, NewEmisData!$D:$D, P$6)</f>
        <v>1317.23072914767</v>
      </c>
      <c r="Q254" s="1111">
        <f>SUMIFS(NewEmisData!K:K, NewEmisData!$A:$A, $G254, NewEmisData!$B:$B, $A254, NewEmisData!$C:$C, $H254, NewEmisData!$D:$D, Q$6)</f>
        <v>1315.3450285164099</v>
      </c>
      <c r="R254" s="1111">
        <f>SUMIFS(NewEmisData!L:L, NewEmisData!$A:$A, $G254, NewEmisData!$B:$B, $A254, NewEmisData!$C:$C, $H254, NewEmisData!$D:$D, R$6)</f>
        <v>1314.50089135955</v>
      </c>
      <c r="S254" s="1111">
        <f>SUMIFS(NewEmisData!M:M, NewEmisData!$A:$A, $G254, NewEmisData!$B:$B, $A254, NewEmisData!$C:$C, $H254, NewEmisData!$D:$D, S$6)</f>
        <v>1313.88241213587</v>
      </c>
      <c r="T254" s="1111">
        <f t="shared" si="364"/>
        <v>1313.88241213587</v>
      </c>
      <c r="U254" s="1111">
        <f>SUMIFS(NewEmisData!E:E, NewEmisData!$A:$A, $G254, NewEmisData!$B:$B, $A254, NewEmisData!$C:$C, $H254, NewEmisData!$D:$D, U$6)</f>
        <v>13.492775574024799</v>
      </c>
      <c r="V254" s="1111">
        <f>SUMIFS(NewEmisData!F:F, NewEmisData!$A:$A, $G254, NewEmisData!$B:$B, $A254, NewEmisData!$C:$C, $H254, NewEmisData!$D:$D, V$6)</f>
        <v>7.5468458416536803</v>
      </c>
      <c r="W254" s="1111">
        <f>SUMIFS(NewEmisData!G:G, NewEmisData!$A:$A, $G254, NewEmisData!$B:$B, $A254, NewEmisData!$C:$C, $H254, NewEmisData!$D:$D, W$6)</f>
        <v>2.86440753900408</v>
      </c>
      <c r="X254" s="1111">
        <f>SUMIFS(NewEmisData!H:H, NewEmisData!$A:$A, $G254, NewEmisData!$B:$B, $A254, NewEmisData!$C:$C, $H254, NewEmisData!$D:$D, X$6)</f>
        <v>1.66545036782072</v>
      </c>
      <c r="Y254" s="1111">
        <f>SUMIFS(NewEmisData!I:I, NewEmisData!$A:$A, $G254, NewEmisData!$B:$B, $A254, NewEmisData!$C:$C, $H254, NewEmisData!$D:$D, Y$6)</f>
        <v>1.2872223005865</v>
      </c>
      <c r="Z254" s="1111">
        <f>SUMIFS(NewEmisData!J:J, NewEmisData!$A:$A, $G254, NewEmisData!$B:$B, $A254, NewEmisData!$C:$C, $H254, NewEmisData!$D:$D, Z$6)</f>
        <v>1.20818388349511</v>
      </c>
      <c r="AA254" s="1111">
        <f>SUMIFS(NewEmisData!K:K, NewEmisData!$A:$A, $G254, NewEmisData!$B:$B, $A254, NewEmisData!$C:$C, $H254, NewEmisData!$D:$D, AA$6)</f>
        <v>1.1882189073440399</v>
      </c>
      <c r="AB254" s="1111">
        <f>SUMIFS(NewEmisData!L:L, NewEmisData!$A:$A, $G254, NewEmisData!$B:$B, $A254, NewEmisData!$C:$C, $H254, NewEmisData!$D:$D, AB$6)</f>
        <v>1.18759279747034</v>
      </c>
      <c r="AC254" s="1111">
        <f>SUMIFS(NewEmisData!M:M, NewEmisData!$A:$A, $G254, NewEmisData!$B:$B, $A254, NewEmisData!$C:$C, $H254, NewEmisData!$D:$D, AC$6)</f>
        <v>1.1873143220192299</v>
      </c>
      <c r="AD254" s="1111">
        <f t="shared" si="321"/>
        <v>1.1873143220192299</v>
      </c>
      <c r="AE254" s="1111">
        <f t="shared" si="412"/>
        <v>1.9219515132106998E-2</v>
      </c>
      <c r="AF254" s="1111">
        <f>SUMIFS(NewEmisData!E:E, NewEmisData!$A:$A, $G254, NewEmisData!$B:$B, $A254, NewEmisData!$C:$C, $H254, NewEmisData!$D:$D, AF$6)</f>
        <v>1.9219515132106998E-2</v>
      </c>
      <c r="AG254" s="1111">
        <f>SUMIFS(NewEmisData!F:F, NewEmisData!$A:$A, $G254, NewEmisData!$B:$B, $A254, NewEmisData!$C:$C, $H254, NewEmisData!$D:$D, AG$6)</f>
        <v>1.8381789821165999E-2</v>
      </c>
      <c r="AH254" s="1111">
        <f>SUMIFS(NewEmisData!G:G, NewEmisData!$A:$A, $G254, NewEmisData!$B:$B, $A254, NewEmisData!$C:$C, $H254, NewEmisData!$D:$D, AH$6)</f>
        <v>1.1480506512681401E-2</v>
      </c>
      <c r="AI254" s="1111">
        <f>SUMIFS(NewEmisData!H:H, NewEmisData!$A:$A, $G254, NewEmisData!$B:$B, $A254, NewEmisData!$C:$C, $H254, NewEmisData!$D:$D, AI$6)</f>
        <v>1.1200613613581E-2</v>
      </c>
      <c r="AJ254" s="1111">
        <f>SUMIFS(NewEmisData!I:I, NewEmisData!$A:$A, $G254, NewEmisData!$B:$B, $A254, NewEmisData!$C:$C, $H254, NewEmisData!$D:$D, AJ$6)</f>
        <v>1.1033835716401499E-2</v>
      </c>
      <c r="AK254" s="1111">
        <f>SUMIFS(NewEmisData!J:J, NewEmisData!$A:$A, $G254, NewEmisData!$B:$B, $A254, NewEmisData!$C:$C, $H254, NewEmisData!$D:$D, AK$6)</f>
        <v>1.0983128564943399E-2</v>
      </c>
      <c r="AL254" s="1111">
        <f>SUMIFS(NewEmisData!K:K, NewEmisData!$A:$A, $G254, NewEmisData!$B:$B, $A254, NewEmisData!$C:$C, $H254, NewEmisData!$D:$D, AL$6)</f>
        <v>1.09661929621608E-2</v>
      </c>
      <c r="AM254" s="1111">
        <f>SUMIFS(NewEmisData!L:L, NewEmisData!$A:$A, $G254, NewEmisData!$B:$B, $A254, NewEmisData!$C:$C, $H254, NewEmisData!$D:$D, AM$6)</f>
        <v>1.09591556908048E-2</v>
      </c>
      <c r="AN254" s="1111">
        <f>SUMIFS(NewEmisData!M:M, NewEmisData!$A:$A, $G254, NewEmisData!$B:$B, $A254, NewEmisData!$C:$C, $H254, NewEmisData!$D:$D, AN$6)</f>
        <v>1.09539961645838E-2</v>
      </c>
      <c r="AO254" s="1111">
        <f t="shared" si="413"/>
        <v>1.09539961645838E-2</v>
      </c>
      <c r="AP254" s="1111">
        <f t="shared" si="414"/>
        <v>0.858529279217077</v>
      </c>
      <c r="AQ254" s="1111">
        <f>SUMIFS(NewEmisData!E:E, NewEmisData!$A:$A, $G254, NewEmisData!$B:$B, $A254, NewEmisData!$C:$C, $H254, NewEmisData!$D:$D, AQ$6)</f>
        <v>0.858529279217077</v>
      </c>
      <c r="AR254" s="1111">
        <f>SUMIFS(NewEmisData!F:F, NewEmisData!$A:$A, $G254, NewEmisData!$B:$B, $A254, NewEmisData!$C:$C, $H254, NewEmisData!$D:$D, AR$6)</f>
        <v>0.503731417508816</v>
      </c>
      <c r="AS254" s="1111">
        <f>SUMIFS(NewEmisData!G:G, NewEmisData!$A:$A, $G254, NewEmisData!$B:$B, $A254, NewEmisData!$C:$C, $H254, NewEmisData!$D:$D, AS$6)</f>
        <v>0.37512816215378397</v>
      </c>
      <c r="AT254" s="1111">
        <f>SUMIFS(NewEmisData!H:H, NewEmisData!$A:$A, $G254, NewEmisData!$B:$B, $A254, NewEmisData!$C:$C, $H254, NewEmisData!$D:$D, AT$6)</f>
        <v>0.30828199926496602</v>
      </c>
      <c r="AU254" s="1111">
        <f>SUMIFS(NewEmisData!I:I, NewEmisData!$A:$A, $G254, NewEmisData!$B:$B, $A254, NewEmisData!$C:$C, $H254, NewEmisData!$D:$D, AU$6)</f>
        <v>0.28661953326038297</v>
      </c>
      <c r="AV254" s="1111">
        <f>SUMIFS(NewEmisData!J:J, NewEmisData!$A:$A, $G254, NewEmisData!$B:$B, $A254, NewEmisData!$C:$C, $H254, NewEmisData!$D:$D, AV$6)</f>
        <v>0.28264038179328499</v>
      </c>
      <c r="AW254" s="1111">
        <f>SUMIFS(NewEmisData!K:K, NewEmisData!$A:$A, $G254, NewEmisData!$B:$B, $A254, NewEmisData!$C:$C, $H254, NewEmisData!$D:$D, AW$6)</f>
        <v>0.28162692153878699</v>
      </c>
      <c r="AX254" s="1111">
        <f>SUMIFS(NewEmisData!L:L, NewEmisData!$A:$A, $G254, NewEmisData!$B:$B, $A254, NewEmisData!$C:$C, $H254, NewEmisData!$D:$D, AX$6)</f>
        <v>0.281751869278763</v>
      </c>
      <c r="AY254" s="1111">
        <f>SUMIFS(NewEmisData!M:M, NewEmisData!$A:$A, $G254, NewEmisData!$B:$B, $A254, NewEmisData!$C:$C, $H254, NewEmisData!$D:$D, AY$6)</f>
        <v>0.28192306485273899</v>
      </c>
      <c r="AZ254" s="1111">
        <f t="shared" si="415"/>
        <v>0.28192306485273899</v>
      </c>
      <c r="BA254" s="1111">
        <f t="shared" si="416"/>
        <v>0.65283874806811604</v>
      </c>
      <c r="BB254" s="1111">
        <f>SUMIFS(NewEmisData!E:E, NewEmisData!$A:$A, $G254, NewEmisData!$B:$B, $A254, NewEmisData!$C:$C, $H254, NewEmisData!$D:$D, BB$6)</f>
        <v>0.65283874806811604</v>
      </c>
      <c r="BC254" s="1111">
        <f>SUMIFS(NewEmisData!F:F, NewEmisData!$A:$A, $G254, NewEmisData!$B:$B, $A254, NewEmisData!$C:$C, $H254, NewEmisData!$D:$D, BC$6)</f>
        <v>0.33224436660041701</v>
      </c>
      <c r="BD254" s="1111">
        <f>SUMIFS(NewEmisData!G:G, NewEmisData!$A:$A, $G254, NewEmisData!$B:$B, $A254, NewEmisData!$C:$C, $H254, NewEmisData!$D:$D, BD$6)</f>
        <v>0.13652581905042699</v>
      </c>
      <c r="BE254" s="1111">
        <f>SUMIFS(NewEmisData!H:H, NewEmisData!$A:$A, $G254, NewEmisData!$B:$B, $A254, NewEmisData!$C:$C, $H254, NewEmisData!$D:$D, BE$6)</f>
        <v>7.8025503719108297E-2</v>
      </c>
      <c r="BF254" s="1111">
        <f>SUMIFS(NewEmisData!I:I, NewEmisData!$A:$A, $G254, NewEmisData!$B:$B, $A254, NewEmisData!$C:$C, $H254, NewEmisData!$D:$D, BF$6)</f>
        <v>5.9231027771519597E-2</v>
      </c>
      <c r="BG254" s="1111">
        <f>SUMIFS(NewEmisData!J:J, NewEmisData!$A:$A, $G254, NewEmisData!$B:$B, $A254, NewEmisData!$C:$C, $H254, NewEmisData!$D:$D, BG$6)</f>
        <v>5.5901975487255798E-2</v>
      </c>
      <c r="BH254" s="1111">
        <f>SUMIFS(NewEmisData!K:K, NewEmisData!$A:$A, $G254, NewEmisData!$B:$B, $A254, NewEmisData!$C:$C, $H254, NewEmisData!$D:$D, BH$6)</f>
        <v>5.4946823671966197E-2</v>
      </c>
      <c r="BI254" s="1111">
        <f>SUMIFS(NewEmisData!L:L, NewEmisData!$A:$A, $G254, NewEmisData!$B:$B, $A254, NewEmisData!$C:$C, $H254, NewEmisData!$D:$D, BI$6)</f>
        <v>5.4950705011026502E-2</v>
      </c>
      <c r="BJ254" s="1111">
        <f>SUMIFS(NewEmisData!M:M, NewEmisData!$A:$A, $G254, NewEmisData!$B:$B, $A254, NewEmisData!$C:$C, $H254, NewEmisData!$D:$D, BJ$6)</f>
        <v>5.4967058193246002E-2</v>
      </c>
      <c r="BK254" s="1111">
        <f t="shared" si="417"/>
        <v>5.4967058193246002E-2</v>
      </c>
      <c r="BL254" s="1111">
        <f t="shared" si="418"/>
        <v>3.7476931274223899</v>
      </c>
      <c r="BM254" s="1111">
        <f>SUMIFS(NewEmisData!E:E, NewEmisData!$A:$A, $G254, NewEmisData!$B:$B, $A254, NewEmisData!$C:$C, $H254, NewEmisData!$D:$D, BM$6)</f>
        <v>3.7476931274223899</v>
      </c>
      <c r="BN254" s="1111">
        <f>SUMIFS(NewEmisData!F:F, NewEmisData!$A:$A, $G254, NewEmisData!$B:$B, $A254, NewEmisData!$C:$C, $H254, NewEmisData!$D:$D, BN$6)</f>
        <v>2.1224340778786099</v>
      </c>
      <c r="BO254" s="1111">
        <f>SUMIFS(NewEmisData!G:G, NewEmisData!$A:$A, $G254, NewEmisData!$B:$B, $A254, NewEmisData!$C:$C, $H254, NewEmisData!$D:$D, BO$6)</f>
        <v>1.1522241511654601</v>
      </c>
      <c r="BP254" s="1111">
        <f>SUMIFS(NewEmisData!H:H, NewEmisData!$A:$A, $G254, NewEmisData!$B:$B, $A254, NewEmisData!$C:$C, $H254, NewEmisData!$D:$D, BP$6)</f>
        <v>0.78635690911299205</v>
      </c>
      <c r="BQ254" s="1111">
        <f>SUMIFS(NewEmisData!I:I, NewEmisData!$A:$A, $G254, NewEmisData!$B:$B, $A254, NewEmisData!$C:$C, $H254, NewEmisData!$D:$D, BQ$6)</f>
        <v>0.67130079903850703</v>
      </c>
      <c r="BR254" s="1111">
        <f>SUMIFS(NewEmisData!J:J, NewEmisData!$A:$A, $G254, NewEmisData!$B:$B, $A254, NewEmisData!$C:$C, $H254, NewEmisData!$D:$D, BR$6)</f>
        <v>0.644768230895015</v>
      </c>
      <c r="BS254" s="1111">
        <f>SUMIFS(NewEmisData!K:K, NewEmisData!$A:$A, $G254, NewEmisData!$B:$B, $A254, NewEmisData!$C:$C, $H254, NewEmisData!$D:$D, BS$6)</f>
        <v>0.63723563956321205</v>
      </c>
      <c r="BT254" s="1111">
        <f>SUMIFS(NewEmisData!L:L, NewEmisData!$A:$A, $G254, NewEmisData!$B:$B, $A254, NewEmisData!$C:$C, $H254, NewEmisData!$D:$D, BT$6)</f>
        <v>0.63622564348836397</v>
      </c>
      <c r="BU254" s="1111">
        <f>SUMIFS(NewEmisData!M:M, NewEmisData!$A:$A, $G254, NewEmisData!$B:$B, $A254, NewEmisData!$C:$C, $H254, NewEmisData!$D:$D, BU$6)</f>
        <v>0.63613086524108198</v>
      </c>
      <c r="BV254" s="1111">
        <f t="shared" si="419"/>
        <v>0.63613086524108198</v>
      </c>
      <c r="BW254" s="1111">
        <f t="shared" si="420"/>
        <v>0.86967821617844199</v>
      </c>
      <c r="BX254" s="1111">
        <f>SUMIFS(NewEmisData!E:E, NewEmisData!$A:$A, $G254, NewEmisData!$B:$B, $A254, NewEmisData!$C:$C, $H254, NewEmisData!$D:$D, BX$6)</f>
        <v>0.86967821617844199</v>
      </c>
      <c r="BY254" s="1111">
        <f>SUMIFS(NewEmisData!F:F, NewEmisData!$A:$A, $G254, NewEmisData!$B:$B, $A254, NewEmisData!$C:$C, $H254, NewEmisData!$D:$D, BY$6)</f>
        <v>0.46203277812819299</v>
      </c>
      <c r="BZ254" s="1111">
        <f>SUMIFS(NewEmisData!G:G, NewEmisData!$A:$A, $G254, NewEmisData!$B:$B, $A254, NewEmisData!$C:$C, $H254, NewEmisData!$D:$D, BZ$6)</f>
        <v>0.24488064381328301</v>
      </c>
      <c r="CA254" s="1111">
        <f>SUMIFS(NewEmisData!H:H, NewEmisData!$A:$A, $G254, NewEmisData!$B:$B, $A254, NewEmisData!$C:$C, $H254, NewEmisData!$D:$D, CA$6)</f>
        <v>0.13082474453131801</v>
      </c>
      <c r="CB254" s="1111">
        <f>SUMIFS(NewEmisData!I:I, NewEmisData!$A:$A, $G254, NewEmisData!$B:$B, $A254, NewEmisData!$C:$C, $H254, NewEmisData!$D:$D, CB$6)</f>
        <v>9.5337955687742296E-2</v>
      </c>
      <c r="CC254" s="1111">
        <f>SUMIFS(NewEmisData!J:J, NewEmisData!$A:$A, $G254, NewEmisData!$B:$B, $A254, NewEmisData!$C:$C, $H254, NewEmisData!$D:$D, CC$6)</f>
        <v>8.7877867224047099E-2</v>
      </c>
      <c r="CD254" s="1111">
        <f>SUMIFS(NewEmisData!K:K, NewEmisData!$A:$A, $G254, NewEmisData!$B:$B, $A254, NewEmisData!$C:$C, $H254, NewEmisData!$D:$D, CD$6)</f>
        <v>8.5843418185397202E-2</v>
      </c>
      <c r="CE254" s="1111">
        <f>SUMIFS(NewEmisData!L:L, NewEmisData!$A:$A, $G254, NewEmisData!$B:$B, $A254, NewEmisData!$C:$C, $H254, NewEmisData!$D:$D, CE$6)</f>
        <v>8.5804625089355602E-2</v>
      </c>
      <c r="CF254" s="1111">
        <f>SUMIFS(NewEmisData!M:M, NewEmisData!$A:$A, $G254, NewEmisData!$B:$B, $A254, NewEmisData!$C:$C, $H254, NewEmisData!$D:$D, CF$6)</f>
        <v>8.5808752891254905E-2</v>
      </c>
      <c r="CG254" s="1111">
        <f t="shared" si="421"/>
        <v>8.5808752891254905E-2</v>
      </c>
      <c r="CH254" s="1111">
        <f t="shared" si="422"/>
        <v>2.53655238629573E-2</v>
      </c>
      <c r="CI254" s="1111">
        <f>SUMIFS(NewEmisData!E:E, NewEmisData!$A:$A, $G254, NewEmisData!$B:$B, $A254, NewEmisData!$C:$C, $H254, NewEmisData!$D:$D, CI$6)</f>
        <v>2.53655238629573E-2</v>
      </c>
      <c r="CJ254" s="1111">
        <f>SUMIFS(NewEmisData!F:F, NewEmisData!$A:$A, $G254, NewEmisData!$B:$B, $A254, NewEmisData!$C:$C, $H254, NewEmisData!$D:$D, CJ$6)</f>
        <v>2.52867699578843E-2</v>
      </c>
      <c r="CK254" s="1111">
        <f>SUMIFS(NewEmisData!G:G, NewEmisData!$A:$A, $G254, NewEmisData!$B:$B, $A254, NewEmisData!$C:$C, $H254, NewEmisData!$D:$D, CK$6)</f>
        <v>2.71717802821827E-2</v>
      </c>
      <c r="CL254" s="1111">
        <f>SUMIFS(NewEmisData!H:H, NewEmisData!$A:$A, $G254, NewEmisData!$B:$B, $A254, NewEmisData!$C:$C, $H254, NewEmisData!$D:$D, CL$6)</f>
        <v>2.71425219079954E-2</v>
      </c>
      <c r="CM254" s="1111">
        <f>SUMIFS(NewEmisData!I:I, NewEmisData!$A:$A, $G254, NewEmisData!$B:$B, $A254, NewEmisData!$C:$C, $H254, NewEmisData!$D:$D, CM$6)</f>
        <v>2.7128484897609599E-2</v>
      </c>
      <c r="CN254" s="1111">
        <f>SUMIFS(NewEmisData!J:J, NewEmisData!$A:$A, $G254, NewEmisData!$B:$B, $A254, NewEmisData!$C:$C, $H254, NewEmisData!$D:$D, CN$6)</f>
        <v>2.71242955243867E-2</v>
      </c>
      <c r="CO254" s="1111">
        <f>SUMIFS(NewEmisData!K:K, NewEmisData!$A:$A, $G254, NewEmisData!$B:$B, $A254, NewEmisData!$C:$C, $H254, NewEmisData!$D:$D, CO$6)</f>
        <v>2.71243976689509E-2</v>
      </c>
      <c r="CP254" s="1111">
        <f>SUMIFS(NewEmisData!L:L, NewEmisData!$A:$A, $G254, NewEmisData!$B:$B, $A254, NewEmisData!$C:$C, $H254, NewEmisData!$D:$D, CP$6)</f>
        <v>2.7125748973111801E-2</v>
      </c>
      <c r="CQ254" s="1111">
        <f>SUMIFS(NewEmisData!M:M, NewEmisData!$A:$A, $G254, NewEmisData!$B:$B, $A254, NewEmisData!$C:$C, $H254, NewEmisData!$D:$D, CQ$6)</f>
        <v>2.71273712236671E-2</v>
      </c>
      <c r="CR254" s="1111">
        <f t="shared" si="423"/>
        <v>2.71273712236671E-2</v>
      </c>
      <c r="CS254" s="1111">
        <f t="shared" si="424"/>
        <v>2.4958751743538398E-3</v>
      </c>
      <c r="CT254" s="1111">
        <f>SUMIFS(NewEmisData!E:E, NewEmisData!$A:$A, $G254, NewEmisData!$B:$B, $A254, NewEmisData!$C:$C, $H254, NewEmisData!$D:$D, CT$6)</f>
        <v>2.4958751743538398E-3</v>
      </c>
      <c r="CU254" s="1111">
        <f>SUMIFS(NewEmisData!F:F, NewEmisData!$A:$A, $G254, NewEmisData!$B:$B, $A254, NewEmisData!$C:$C, $H254, NewEmisData!$D:$D, CU$6)</f>
        <v>2.4447713868806899E-3</v>
      </c>
      <c r="CV254" s="1111">
        <f>SUMIFS(NewEmisData!G:G, NewEmisData!$A:$A, $G254, NewEmisData!$B:$B, $A254, NewEmisData!$C:$C, $H254, NewEmisData!$D:$D, CV$6)</f>
        <v>3.4529570026890898E-3</v>
      </c>
      <c r="CW254" s="1111">
        <f>SUMIFS(NewEmisData!H:H, NewEmisData!$A:$A, $G254, NewEmisData!$B:$B, $A254, NewEmisData!$C:$C, $H254, NewEmisData!$D:$D, CW$6)</f>
        <v>3.4238629713190701E-3</v>
      </c>
      <c r="CX254" s="1111">
        <f>SUMIFS(NewEmisData!I:I, NewEmisData!$A:$A, $G254, NewEmisData!$B:$B, $A254, NewEmisData!$C:$C, $H254, NewEmisData!$D:$D, CX$6)</f>
        <v>3.4056857972038501E-3</v>
      </c>
      <c r="CY254" s="1111">
        <f>SUMIFS(NewEmisData!J:J, NewEmisData!$A:$A, $G254, NewEmisData!$B:$B, $A254, NewEmisData!$C:$C, $H254, NewEmisData!$D:$D, CY$6)</f>
        <v>3.39842942017498E-3</v>
      </c>
      <c r="CZ254" s="1111">
        <f>SUMIFS(NewEmisData!K:K, NewEmisData!$A:$A, $G254, NewEmisData!$B:$B, $A254, NewEmisData!$C:$C, $H254, NewEmisData!$D:$D, CZ$6)</f>
        <v>3.3964615682354799E-3</v>
      </c>
      <c r="DA254" s="1111">
        <f>SUMIFS(NewEmisData!L:L, NewEmisData!$A:$A, $G254, NewEmisData!$B:$B, $A254, NewEmisData!$C:$C, $H254, NewEmisData!$D:$D, DA$6)</f>
        <v>3.3967409048497499E-3</v>
      </c>
      <c r="DB254" s="1111">
        <f>SUMIFS(NewEmisData!M:M, NewEmisData!$A:$A, $G254, NewEmisData!$B:$B, $A254, NewEmisData!$C:$C, $H254, NewEmisData!$D:$D, DB$6)</f>
        <v>3.3981280596405302E-3</v>
      </c>
      <c r="DC254" s="1111">
        <f t="shared" si="425"/>
        <v>3.3981280596405302E-3</v>
      </c>
      <c r="DD254" s="1111"/>
      <c r="DE254" s="1111"/>
      <c r="DF254" s="1111"/>
      <c r="DG254" s="1111"/>
      <c r="DH254" s="1111"/>
      <c r="DI254" s="1111"/>
      <c r="DJ254" s="1111"/>
      <c r="DK254" s="1111"/>
      <c r="DL254" s="1111"/>
      <c r="DM254" s="1111"/>
      <c r="DN254" s="1111"/>
      <c r="DO254" s="1111"/>
      <c r="DP254" s="1111"/>
      <c r="DQ254" s="1111"/>
      <c r="DR254" s="1111"/>
      <c r="DS254" s="1111"/>
      <c r="DT254" s="1111"/>
      <c r="DU254" s="1111"/>
      <c r="DV254" s="1111"/>
      <c r="DW254" s="1111"/>
      <c r="DX254" s="1111"/>
      <c r="DY254" s="1111"/>
      <c r="DZ254" s="1111">
        <f t="shared" si="426"/>
        <v>1.50837600567011E-2</v>
      </c>
      <c r="EA254" s="1111">
        <f>SUMIFS(NewEmisData!E:E, NewEmisData!$A:$A, $G254, NewEmisData!$B:$B, $A254, NewEmisData!$C:$C, $H254, NewEmisData!$D:$D, EA$6)</f>
        <v>1.50837600567011E-2</v>
      </c>
      <c r="EB254" s="1111">
        <f>SUMIFS(NewEmisData!F:F, NewEmisData!$A:$A, $G254, NewEmisData!$B:$B, $A254, NewEmisData!$C:$C, $H254, NewEmisData!$D:$D, EB$6)</f>
        <v>4.1820056790997803E-2</v>
      </c>
      <c r="EC254" s="1111">
        <f>SUMIFS(NewEmisData!G:G, NewEmisData!$A:$A, $G254, NewEmisData!$B:$B, $A254, NewEmisData!$C:$C, $H254, NewEmisData!$D:$D, EC$6)</f>
        <v>7.3126252157420996E-2</v>
      </c>
      <c r="ED254" s="1111">
        <f>SUMIFS(NewEmisData!H:H, NewEmisData!$A:$A, $G254, NewEmisData!$B:$B, $A254, NewEmisData!$C:$C, $H254, NewEmisData!$D:$D, ED$6)</f>
        <v>7.3867270375654201E-2</v>
      </c>
      <c r="EE254" s="1111">
        <f>SUMIFS(NewEmisData!I:I, NewEmisData!$A:$A, $G254, NewEmisData!$B:$B, $A254, NewEmisData!$C:$C, $H254, NewEmisData!$D:$D, EE$6)</f>
        <v>7.3939295087643395E-2</v>
      </c>
      <c r="EF254" s="1111">
        <f>SUMIFS(NewEmisData!J:J, NewEmisData!$A:$A, $G254, NewEmisData!$B:$B, $A254, NewEmisData!$C:$C, $H254, NewEmisData!$D:$D, EF$6)</f>
        <v>7.3756036716317294E-2</v>
      </c>
      <c r="EG254" s="1111">
        <f>SUMIFS(NewEmisData!K:K, NewEmisData!$A:$A, $G254, NewEmisData!$B:$B, $A254, NewEmisData!$C:$C, $H254, NewEmisData!$D:$D, EG$6)</f>
        <v>7.3800142314626199E-2</v>
      </c>
      <c r="EH254" s="1111">
        <f>SUMIFS(NewEmisData!L:L, NewEmisData!$A:$A, $G254, NewEmisData!$B:$B, $A254, NewEmisData!$C:$C, $H254, NewEmisData!$D:$D, EH$6)</f>
        <v>7.3776798768142804E-2</v>
      </c>
      <c r="EI254" s="1111">
        <f>SUMIFS(NewEmisData!M:M, NewEmisData!$A:$A, $G254, NewEmisData!$B:$B, $A254, NewEmisData!$C:$C, $H254, NewEmisData!$D:$D, EI$6)</f>
        <v>7.3798077513590202E-2</v>
      </c>
      <c r="EJ254" s="1111">
        <f t="shared" si="427"/>
        <v>7.3798077513590202E-2</v>
      </c>
      <c r="EK254" s="1111">
        <f t="shared" si="428"/>
        <v>1669.0822501080099</v>
      </c>
      <c r="EL254" s="1111">
        <f t="shared" si="343"/>
        <v>1669.0822501080099</v>
      </c>
      <c r="EM254" s="1111">
        <f t="shared" si="344"/>
        <v>1673.1688001129</v>
      </c>
      <c r="EN254" s="1111">
        <f t="shared" si="345"/>
        <v>1365.67564571155</v>
      </c>
      <c r="EO254" s="1111">
        <f t="shared" si="346"/>
        <v>1340.2430368273101</v>
      </c>
      <c r="EP254" s="1111">
        <f t="shared" si="347"/>
        <v>1322.8450856147599</v>
      </c>
      <c r="EQ254" s="1111">
        <f t="shared" si="348"/>
        <v>1317.23072914767</v>
      </c>
      <c r="ER254" s="1111">
        <f t="shared" si="349"/>
        <v>1315.3450285164099</v>
      </c>
      <c r="ES254" s="1111">
        <f t="shared" si="350"/>
        <v>1314.50089135955</v>
      </c>
      <c r="ET254" s="1111">
        <f t="shared" si="351"/>
        <v>1313.88241213587</v>
      </c>
      <c r="EU254" s="1111">
        <f t="shared" si="352"/>
        <v>1313.88241213587</v>
      </c>
      <c r="EV254" s="1111">
        <f t="shared" si="429"/>
        <v>13.492775574024799</v>
      </c>
      <c r="EW254" s="1111">
        <f t="shared" si="333"/>
        <v>13.492775574024799</v>
      </c>
      <c r="EX254" s="1111">
        <f t="shared" si="334"/>
        <v>7.5468458416536803</v>
      </c>
      <c r="EY254" s="1111">
        <f t="shared" si="335"/>
        <v>2.86440753900408</v>
      </c>
      <c r="EZ254" s="1111">
        <f t="shared" si="336"/>
        <v>1.66545036782072</v>
      </c>
      <c r="FA254" s="1111">
        <f t="shared" si="337"/>
        <v>1.2872223005865</v>
      </c>
      <c r="FB254" s="1111">
        <f t="shared" si="338"/>
        <v>1.20818388349511</v>
      </c>
      <c r="FC254" s="1111">
        <f t="shared" si="339"/>
        <v>1.1882189073440399</v>
      </c>
      <c r="FD254" s="1111">
        <f t="shared" si="340"/>
        <v>1.18759279747034</v>
      </c>
      <c r="FE254" s="1111">
        <f t="shared" si="341"/>
        <v>1.1873143220192299</v>
      </c>
      <c r="FF254" s="1111">
        <f t="shared" si="342"/>
        <v>1.1873143220192299</v>
      </c>
      <c r="FG254" s="1111">
        <f t="shared" si="389"/>
        <v>1.9219515132106998E-2</v>
      </c>
      <c r="FH254" s="1111">
        <f t="shared" si="390"/>
        <v>1.9219515132106998E-2</v>
      </c>
      <c r="FI254" s="1111">
        <f t="shared" si="391"/>
        <v>1.8381789821165999E-2</v>
      </c>
      <c r="FJ254" s="1111">
        <f t="shared" si="392"/>
        <v>1.1480506512681401E-2</v>
      </c>
      <c r="FK254" s="1111">
        <f t="shared" si="393"/>
        <v>1.1200613613581E-2</v>
      </c>
      <c r="FL254" s="1111">
        <f t="shared" si="394"/>
        <v>1.1033835716401499E-2</v>
      </c>
      <c r="FM254" s="1111">
        <f t="shared" si="395"/>
        <v>1.0983128564943399E-2</v>
      </c>
      <c r="FN254" s="1111">
        <f t="shared" si="396"/>
        <v>1.09661929621608E-2</v>
      </c>
      <c r="FO254" s="1111">
        <f t="shared" si="397"/>
        <v>1.09591556908048E-2</v>
      </c>
      <c r="FP254" s="1111">
        <f t="shared" si="398"/>
        <v>1.09539961645838E-2</v>
      </c>
      <c r="FQ254" s="1111">
        <f t="shared" si="399"/>
        <v>1.09539961645838E-2</v>
      </c>
      <c r="FR254" s="1111">
        <f t="shared" si="322"/>
        <v>0.858529279217077</v>
      </c>
      <c r="FS254" s="1111">
        <f t="shared" si="323"/>
        <v>0.858529279217077</v>
      </c>
      <c r="FT254" s="1111">
        <f t="shared" si="324"/>
        <v>0.503731417508816</v>
      </c>
      <c r="FU254" s="1111">
        <f t="shared" si="325"/>
        <v>0.37512816215378397</v>
      </c>
      <c r="FV254" s="1111">
        <f t="shared" si="326"/>
        <v>0.30828199926496602</v>
      </c>
      <c r="FW254" s="1111">
        <f t="shared" si="327"/>
        <v>0.28661953326038297</v>
      </c>
      <c r="FX254" s="1111">
        <f t="shared" si="328"/>
        <v>0.28264038179328499</v>
      </c>
      <c r="FY254" s="1111">
        <f t="shared" si="329"/>
        <v>0.28162692153878699</v>
      </c>
      <c r="FZ254" s="1111">
        <f t="shared" si="330"/>
        <v>0.281751869278763</v>
      </c>
      <c r="GA254" s="1111">
        <f t="shared" si="331"/>
        <v>0.28192306485273899</v>
      </c>
      <c r="GB254" s="1111">
        <f t="shared" si="332"/>
        <v>0.28192306485273899</v>
      </c>
      <c r="GC254" s="1111">
        <f t="shared" si="353"/>
        <v>0.65283874806811604</v>
      </c>
      <c r="GD254" s="1111">
        <f t="shared" si="354"/>
        <v>0.65283874806811604</v>
      </c>
      <c r="GE254" s="1111">
        <f t="shared" si="355"/>
        <v>0.33224436660041701</v>
      </c>
      <c r="GF254" s="1111">
        <f t="shared" si="356"/>
        <v>0.13652581905042699</v>
      </c>
      <c r="GG254" s="1111">
        <f t="shared" si="357"/>
        <v>7.8025503719108297E-2</v>
      </c>
      <c r="GH254" s="1111">
        <f t="shared" si="358"/>
        <v>5.9231027771519597E-2</v>
      </c>
      <c r="GI254" s="1111">
        <f t="shared" si="359"/>
        <v>5.5901975487255798E-2</v>
      </c>
      <c r="GJ254" s="1111">
        <f t="shared" si="360"/>
        <v>5.4946823671966197E-2</v>
      </c>
      <c r="GK254" s="1111">
        <f t="shared" si="361"/>
        <v>5.4950705011026502E-2</v>
      </c>
      <c r="GL254" s="1111">
        <f t="shared" si="362"/>
        <v>5.4967058193246002E-2</v>
      </c>
      <c r="GM254" s="1111">
        <f t="shared" si="363"/>
        <v>5.4967058193246002E-2</v>
      </c>
    </row>
    <row r="255" spans="1:195" x14ac:dyDescent="0.2">
      <c r="A255" s="1071" t="s">
        <v>190</v>
      </c>
      <c r="B255" s="1071" t="str">
        <f>Technologies!C147</f>
        <v>THSDSLIM</v>
      </c>
      <c r="C255" s="1071" t="str">
        <f>Technologies!D147</f>
        <v>Heavy Truck, Short Haul, Improved Diesel</v>
      </c>
      <c r="D255" s="1071" t="str">
        <f>NewTech!D101</f>
        <v>bn-vmt, bn-vmt/a</v>
      </c>
      <c r="E255" s="1071" t="str">
        <f>Commodities!C$44</f>
        <v>THDSL</v>
      </c>
      <c r="F255" s="1071" t="s">
        <v>98</v>
      </c>
      <c r="G255" s="1110" t="s">
        <v>505</v>
      </c>
      <c r="H255" s="1110" t="s">
        <v>499</v>
      </c>
      <c r="I255" s="1112">
        <v>1</v>
      </c>
      <c r="J255" s="1111" t="str">
        <f t="shared" si="302"/>
        <v>Heavy duty short haul truck-DSL</v>
      </c>
      <c r="K255" s="1111">
        <f>SUMIFS(NewEmisData!E:E, NewEmisData!$A:$A, $G255, NewEmisData!$B:$B, $A255, NewEmisData!$C:$C, $H255, NewEmisData!$D:$D, K$6)</f>
        <v>1446.4734413180499</v>
      </c>
      <c r="L255" s="1111">
        <f>SUMIFS(NewEmisData!F:F, NewEmisData!$A:$A, $G255, NewEmisData!$B:$B, $A255, NewEmisData!$C:$C, $H255, NewEmisData!$D:$D, L$6)</f>
        <v>1740.72087390757</v>
      </c>
      <c r="M255" s="1111">
        <f>SUMIFS(NewEmisData!G:G, NewEmisData!$A:$A, $G255, NewEmisData!$B:$B, $A255, NewEmisData!$C:$C, $H255, NewEmisData!$D:$D, M$6)</f>
        <v>1883.5112444895601</v>
      </c>
      <c r="N255" s="1111">
        <f>SUMIFS(NewEmisData!H:H, NewEmisData!$A:$A, $G255, NewEmisData!$B:$B, $A255, NewEmisData!$C:$C, $H255, NewEmisData!$D:$D, N$6)</f>
        <v>1846.4691773357799</v>
      </c>
      <c r="O255" s="1111">
        <f>SUMIFS(NewEmisData!I:I, NewEmisData!$A:$A, $G255, NewEmisData!$B:$B, $A255, NewEmisData!$C:$C, $H255, NewEmisData!$D:$D, O$6)</f>
        <v>1831.61438997502</v>
      </c>
      <c r="P255" s="1111">
        <f>SUMIFS(NewEmisData!J:J, NewEmisData!$A:$A, $G255, NewEmisData!$B:$B, $A255, NewEmisData!$C:$C, $H255, NewEmisData!$D:$D, P$6)</f>
        <v>1827.40074627429</v>
      </c>
      <c r="Q255" s="1111">
        <f>SUMIFS(NewEmisData!K:K, NewEmisData!$A:$A, $G255, NewEmisData!$B:$B, $A255, NewEmisData!$C:$C, $H255, NewEmisData!$D:$D, Q$6)</f>
        <v>1826.3756740122001</v>
      </c>
      <c r="R255" s="1111">
        <f>SUMIFS(NewEmisData!L:L, NewEmisData!$A:$A, $G255, NewEmisData!$B:$B, $A255, NewEmisData!$C:$C, $H255, NewEmisData!$D:$D, R$6)</f>
        <v>1826.08515951495</v>
      </c>
      <c r="S255" s="1111">
        <f>SUMIFS(NewEmisData!M:M, NewEmisData!$A:$A, $G255, NewEmisData!$B:$B, $A255, NewEmisData!$C:$C, $H255, NewEmisData!$D:$D, S$6)</f>
        <v>1825.9462445100501</v>
      </c>
      <c r="T255" s="1111">
        <f t="shared" si="364"/>
        <v>1825.9462445100501</v>
      </c>
      <c r="U255" s="1111">
        <f>SUMIFS(NewEmisData!E:E, NewEmisData!$A:$A, $G255, NewEmisData!$B:$B, $A255, NewEmisData!$C:$C, $H255, NewEmisData!$D:$D, U$6)</f>
        <v>10.927472096680599</v>
      </c>
      <c r="V255" s="1111">
        <f>SUMIFS(NewEmisData!F:F, NewEmisData!$A:$A, $G255, NewEmisData!$B:$B, $A255, NewEmisData!$C:$C, $H255, NewEmisData!$D:$D, V$6)</f>
        <v>7.1206377233055003</v>
      </c>
      <c r="W255" s="1111">
        <f>SUMIFS(NewEmisData!G:G, NewEmisData!$A:$A, $G255, NewEmisData!$B:$B, $A255, NewEmisData!$C:$C, $H255, NewEmisData!$D:$D, W$6)</f>
        <v>3.1558879768380601</v>
      </c>
      <c r="X255" s="1111">
        <f>SUMIFS(NewEmisData!H:H, NewEmisData!$A:$A, $G255, NewEmisData!$B:$B, $A255, NewEmisData!$C:$C, $H255, NewEmisData!$D:$D, X$6)</f>
        <v>2.0748112225925799</v>
      </c>
      <c r="Y255" s="1111">
        <f>SUMIFS(NewEmisData!I:I, NewEmisData!$A:$A, $G255, NewEmisData!$B:$B, $A255, NewEmisData!$C:$C, $H255, NewEmisData!$D:$D, Y$6)</f>
        <v>1.74258491838324</v>
      </c>
      <c r="Z255" s="1111">
        <f>SUMIFS(NewEmisData!J:J, NewEmisData!$A:$A, $G255, NewEmisData!$B:$B, $A255, NewEmisData!$C:$C, $H255, NewEmisData!$D:$D, Z$6)</f>
        <v>1.67796051175704</v>
      </c>
      <c r="AA255" s="1111">
        <f>SUMIFS(NewEmisData!K:K, NewEmisData!$A:$A, $G255, NewEmisData!$B:$B, $A255, NewEmisData!$C:$C, $H255, NewEmisData!$D:$D, AA$6)</f>
        <v>1.66395683464412</v>
      </c>
      <c r="AB255" s="1111">
        <f>SUMIFS(NewEmisData!L:L, NewEmisData!$A:$A, $G255, NewEmisData!$B:$B, $A255, NewEmisData!$C:$C, $H255, NewEmisData!$D:$D, AB$6)</f>
        <v>1.6637625206784601</v>
      </c>
      <c r="AC255" s="1111">
        <f>SUMIFS(NewEmisData!M:M, NewEmisData!$A:$A, $G255, NewEmisData!$B:$B, $A255, NewEmisData!$C:$C, $H255, NewEmisData!$D:$D, AC$6)</f>
        <v>1.6637616447113901</v>
      </c>
      <c r="AD255" s="1111">
        <f t="shared" si="321"/>
        <v>1.6637616447113901</v>
      </c>
      <c r="AE255" s="1111">
        <f t="shared" si="412"/>
        <v>3.5795342325280199E-2</v>
      </c>
      <c r="AF255" s="1111">
        <f>SUMIFS(NewEmisData!E:E, NewEmisData!$A:$A, $G255, NewEmisData!$B:$B, $A255, NewEmisData!$C:$C, $H255, NewEmisData!$D:$D, AF$6)</f>
        <v>3.5795342325280199E-2</v>
      </c>
      <c r="AG255" s="1111">
        <f>SUMIFS(NewEmisData!F:F, NewEmisData!$A:$A, $G255, NewEmisData!$B:$B, $A255, NewEmisData!$C:$C, $H255, NewEmisData!$D:$D, AG$6)</f>
        <v>4.18895987456427E-2</v>
      </c>
      <c r="AH255" s="1111">
        <f>SUMIFS(NewEmisData!G:G, NewEmisData!$A:$A, $G255, NewEmisData!$B:$B, $A255, NewEmisData!$C:$C, $H255, NewEmisData!$D:$D, AH$6)</f>
        <v>1.5791060545945802E-2</v>
      </c>
      <c r="AI255" s="1111">
        <f>SUMIFS(NewEmisData!H:H, NewEmisData!$A:$A, $G255, NewEmisData!$B:$B, $A255, NewEmisData!$C:$C, $H255, NewEmisData!$D:$D, AI$6)</f>
        <v>1.5415670212051501E-2</v>
      </c>
      <c r="AJ255" s="1111">
        <f>SUMIFS(NewEmisData!I:I, NewEmisData!$A:$A, $G255, NewEmisData!$B:$B, $A255, NewEmisData!$C:$C, $H255, NewEmisData!$D:$D, AJ$6)</f>
        <v>1.5274431754930399E-2</v>
      </c>
      <c r="AK255" s="1111">
        <f>SUMIFS(NewEmisData!J:J, NewEmisData!$A:$A, $G255, NewEmisData!$B:$B, $A255, NewEmisData!$C:$C, $H255, NewEmisData!$D:$D, AK$6)</f>
        <v>1.5236164903811999E-2</v>
      </c>
      <c r="AL255" s="1111">
        <f>SUMIFS(NewEmisData!K:K, NewEmisData!$A:$A, $G255, NewEmisData!$B:$B, $A255, NewEmisData!$C:$C, $H255, NewEmisData!$D:$D, AL$6)</f>
        <v>1.52267203455439E-2</v>
      </c>
      <c r="AM255" s="1111">
        <f>SUMIFS(NewEmisData!L:L, NewEmisData!$A:$A, $G255, NewEmisData!$B:$B, $A255, NewEmisData!$C:$C, $H255, NewEmisData!$D:$D, AM$6)</f>
        <v>1.5224294731162401E-2</v>
      </c>
      <c r="AN255" s="1111">
        <f>SUMIFS(NewEmisData!M:M, NewEmisData!$A:$A, $G255, NewEmisData!$B:$B, $A255, NewEmisData!$C:$C, $H255, NewEmisData!$D:$D, AN$6)</f>
        <v>1.52231302628319E-2</v>
      </c>
      <c r="AO255" s="1111">
        <f t="shared" si="413"/>
        <v>1.52231302628319E-2</v>
      </c>
      <c r="AP255" s="1111">
        <f t="shared" si="414"/>
        <v>1.1386613940402399</v>
      </c>
      <c r="AQ255" s="1111">
        <f>SUMIFS(NewEmisData!E:E, NewEmisData!$A:$A, $G255, NewEmisData!$B:$B, $A255, NewEmisData!$C:$C, $H255, NewEmisData!$D:$D, AQ$6)</f>
        <v>1.1386613940402399</v>
      </c>
      <c r="AR255" s="1111">
        <f>SUMIFS(NewEmisData!F:F, NewEmisData!$A:$A, $G255, NewEmisData!$B:$B, $A255, NewEmisData!$C:$C, $H255, NewEmisData!$D:$D, AR$6)</f>
        <v>0.81062826870189697</v>
      </c>
      <c r="AS255" s="1111">
        <f>SUMIFS(NewEmisData!G:G, NewEmisData!$A:$A, $G255, NewEmisData!$B:$B, $A255, NewEmisData!$C:$C, $H255, NewEmisData!$D:$D, AS$6)</f>
        <v>0.53923885209480305</v>
      </c>
      <c r="AT255" s="1111">
        <f>SUMIFS(NewEmisData!H:H, NewEmisData!$A:$A, $G255, NewEmisData!$B:$B, $A255, NewEmisData!$C:$C, $H255, NewEmisData!$D:$D, AT$6)</f>
        <v>0.475762300205197</v>
      </c>
      <c r="AU255" s="1111">
        <f>SUMIFS(NewEmisData!I:I, NewEmisData!$A:$A, $G255, NewEmisData!$B:$B, $A255, NewEmisData!$C:$C, $H255, NewEmisData!$D:$D, AU$6)</f>
        <v>0.45922153968976998</v>
      </c>
      <c r="AV255" s="1111">
        <f>SUMIFS(NewEmisData!J:J, NewEmisData!$A:$A, $G255, NewEmisData!$B:$B, $A255, NewEmisData!$C:$C, $H255, NewEmisData!$D:$D, AV$6)</f>
        <v>0.45636829014935498</v>
      </c>
      <c r="AW255" s="1111">
        <f>SUMIFS(NewEmisData!K:K, NewEmisData!$A:$A, $G255, NewEmisData!$B:$B, $A255, NewEmisData!$C:$C, $H255, NewEmisData!$D:$D, AW$6)</f>
        <v>0.45567985208338102</v>
      </c>
      <c r="AX255" s="1111">
        <f>SUMIFS(NewEmisData!L:L, NewEmisData!$A:$A, $G255, NewEmisData!$B:$B, $A255, NewEmisData!$C:$C, $H255, NewEmisData!$D:$D, AX$6)</f>
        <v>0.45574905770507301</v>
      </c>
      <c r="AY255" s="1111">
        <f>SUMIFS(NewEmisData!M:M, NewEmisData!$A:$A, $G255, NewEmisData!$B:$B, $A255, NewEmisData!$C:$C, $H255, NewEmisData!$D:$D, AY$6)</f>
        <v>0.455831313218652</v>
      </c>
      <c r="AZ255" s="1111">
        <f t="shared" si="415"/>
        <v>0.455831313218652</v>
      </c>
      <c r="BA255" s="1111">
        <f t="shared" si="416"/>
        <v>0.76056597813754101</v>
      </c>
      <c r="BB255" s="1111">
        <f>SUMIFS(NewEmisData!E:E, NewEmisData!$A:$A, $G255, NewEmisData!$B:$B, $A255, NewEmisData!$C:$C, $H255, NewEmisData!$D:$D, BB$6)</f>
        <v>0.76056597813754101</v>
      </c>
      <c r="BC255" s="1111">
        <f>SUMIFS(NewEmisData!F:F, NewEmisData!$A:$A, $G255, NewEmisData!$B:$B, $A255, NewEmisData!$C:$C, $H255, NewEmisData!$D:$D, BC$6)</f>
        <v>0.44834360182688099</v>
      </c>
      <c r="BD255" s="1111">
        <f>SUMIFS(NewEmisData!G:G, NewEmisData!$A:$A, $G255, NewEmisData!$B:$B, $A255, NewEmisData!$C:$C, $H255, NewEmisData!$D:$D, BD$6)</f>
        <v>0.16425905468775201</v>
      </c>
      <c r="BE255" s="1111">
        <f>SUMIFS(NewEmisData!H:H, NewEmisData!$A:$A, $G255, NewEmisData!$B:$B, $A255, NewEmisData!$C:$C, $H255, NewEmisData!$D:$D, BE$6)</f>
        <v>0.106571454108964</v>
      </c>
      <c r="BF255" s="1111">
        <f>SUMIFS(NewEmisData!I:I, NewEmisData!$A:$A, $G255, NewEmisData!$B:$B, $A255, NewEmisData!$C:$C, $H255, NewEmisData!$D:$D, BF$6)</f>
        <v>9.1494531785506497E-2</v>
      </c>
      <c r="BG255" s="1111">
        <f>SUMIFS(NewEmisData!J:J, NewEmisData!$A:$A, $G255, NewEmisData!$B:$B, $A255, NewEmisData!$C:$C, $H255, NewEmisData!$D:$D, BG$6)</f>
        <v>8.8871730484206005E-2</v>
      </c>
      <c r="BH255" s="1111">
        <f>SUMIFS(NewEmisData!K:K, NewEmisData!$A:$A, $G255, NewEmisData!$B:$B, $A255, NewEmisData!$C:$C, $H255, NewEmisData!$D:$D, BH$6)</f>
        <v>8.8185150826517997E-2</v>
      </c>
      <c r="BI255" s="1111">
        <f>SUMIFS(NewEmisData!L:L, NewEmisData!$A:$A, $G255, NewEmisData!$B:$B, $A255, NewEmisData!$C:$C, $H255, NewEmisData!$D:$D, BI$6)</f>
        <v>8.8192675178559193E-2</v>
      </c>
      <c r="BJ255" s="1111">
        <f>SUMIFS(NewEmisData!M:M, NewEmisData!$A:$A, $G255, NewEmisData!$B:$B, $A255, NewEmisData!$C:$C, $H255, NewEmisData!$D:$D, BJ$6)</f>
        <v>8.8205281736577906E-2</v>
      </c>
      <c r="BK255" s="1111">
        <f t="shared" si="417"/>
        <v>8.8205281736577906E-2</v>
      </c>
      <c r="BL255" s="1111">
        <f t="shared" si="418"/>
        <v>4.6832626450914496</v>
      </c>
      <c r="BM255" s="1111">
        <f>SUMIFS(NewEmisData!E:E, NewEmisData!$A:$A, $G255, NewEmisData!$B:$B, $A255, NewEmisData!$C:$C, $H255, NewEmisData!$D:$D, BM$6)</f>
        <v>4.6832626450914496</v>
      </c>
      <c r="BN255" s="1111">
        <f>SUMIFS(NewEmisData!F:F, NewEmisData!$A:$A, $G255, NewEmisData!$B:$B, $A255, NewEmisData!$C:$C, $H255, NewEmisData!$D:$D, BN$6)</f>
        <v>2.6100431929147598</v>
      </c>
      <c r="BO255" s="1111">
        <f>SUMIFS(NewEmisData!G:G, NewEmisData!$A:$A, $G255, NewEmisData!$B:$B, $A255, NewEmisData!$C:$C, $H255, NewEmisData!$D:$D, BO$6)</f>
        <v>1.44727268865366</v>
      </c>
      <c r="BP255" s="1111">
        <f>SUMIFS(NewEmisData!H:H, NewEmisData!$A:$A, $G255, NewEmisData!$B:$B, $A255, NewEmisData!$C:$C, $H255, NewEmisData!$D:$D, BP$6)</f>
        <v>1.1207683835002999</v>
      </c>
      <c r="BQ255" s="1111">
        <f>SUMIFS(NewEmisData!I:I, NewEmisData!$A:$A, $G255, NewEmisData!$B:$B, $A255, NewEmisData!$C:$C, $H255, NewEmisData!$D:$D, BQ$6)</f>
        <v>1.0267847071138601</v>
      </c>
      <c r="BR255" s="1111">
        <f>SUMIFS(NewEmisData!J:J, NewEmisData!$A:$A, $G255, NewEmisData!$B:$B, $A255, NewEmisData!$C:$C, $H255, NewEmisData!$D:$D, BR$6)</f>
        <v>1.00432218637865</v>
      </c>
      <c r="BS255" s="1111">
        <f>SUMIFS(NewEmisData!K:K, NewEmisData!$A:$A, $G255, NewEmisData!$B:$B, $A255, NewEmisData!$C:$C, $H255, NewEmisData!$D:$D, BS$6)</f>
        <v>0.99794723012971298</v>
      </c>
      <c r="BT255" s="1111">
        <f>SUMIFS(NewEmisData!L:L, NewEmisData!$A:$A, $G255, NewEmisData!$B:$B, $A255, NewEmisData!$C:$C, $H255, NewEmisData!$D:$D, BT$6)</f>
        <v>0.99667933319928403</v>
      </c>
      <c r="BU255" s="1111">
        <f>SUMIFS(NewEmisData!M:M, NewEmisData!$A:$A, $G255, NewEmisData!$B:$B, $A255, NewEmisData!$C:$C, $H255, NewEmisData!$D:$D, BU$6)</f>
        <v>0.99661224661700498</v>
      </c>
      <c r="BV255" s="1111">
        <f t="shared" si="419"/>
        <v>0.99661224661700498</v>
      </c>
      <c r="BW255" s="1111">
        <f t="shared" si="420"/>
        <v>1.3036578993866199</v>
      </c>
      <c r="BX255" s="1111">
        <f>SUMIFS(NewEmisData!E:E, NewEmisData!$A:$A, $G255, NewEmisData!$B:$B, $A255, NewEmisData!$C:$C, $H255, NewEmisData!$D:$D, BX$6)</f>
        <v>1.3036578993866199</v>
      </c>
      <c r="BY255" s="1111">
        <f>SUMIFS(NewEmisData!F:F, NewEmisData!$A:$A, $G255, NewEmisData!$B:$B, $A255, NewEmisData!$C:$C, $H255, NewEmisData!$D:$D, BY$6)</f>
        <v>0.62654783684864801</v>
      </c>
      <c r="BZ255" s="1111">
        <f>SUMIFS(NewEmisData!G:G, NewEmisData!$A:$A, $G255, NewEmisData!$B:$B, $A255, NewEmisData!$C:$C, $H255, NewEmisData!$D:$D, BZ$6)</f>
        <v>0.256477663626625</v>
      </c>
      <c r="CA255" s="1111">
        <f>SUMIFS(NewEmisData!H:H, NewEmisData!$A:$A, $G255, NewEmisData!$B:$B, $A255, NewEmisData!$C:$C, $H255, NewEmisData!$D:$D, CA$6)</f>
        <v>0.15721626159253699</v>
      </c>
      <c r="CB255" s="1111">
        <f>SUMIFS(NewEmisData!I:I, NewEmisData!$A:$A, $G255, NewEmisData!$B:$B, $A255, NewEmisData!$C:$C, $H255, NewEmisData!$D:$D, CB$6)</f>
        <v>0.12995527844758301</v>
      </c>
      <c r="CC255" s="1111">
        <f>SUMIFS(NewEmisData!J:J, NewEmisData!$A:$A, $G255, NewEmisData!$B:$B, $A255, NewEmisData!$C:$C, $H255, NewEmisData!$D:$D, CC$6)</f>
        <v>0.124363752484154</v>
      </c>
      <c r="CD255" s="1111">
        <f>SUMIFS(NewEmisData!K:K, NewEmisData!$A:$A, $G255, NewEmisData!$B:$B, $A255, NewEmisData!$C:$C, $H255, NewEmisData!$D:$D, CD$6)</f>
        <v>0.12280434729006</v>
      </c>
      <c r="CE255" s="1111">
        <f>SUMIFS(NewEmisData!L:L, NewEmisData!$A:$A, $G255, NewEmisData!$B:$B, $A255, NewEmisData!$C:$C, $H255, NewEmisData!$D:$D, CE$6)</f>
        <v>0.12275657242648801</v>
      </c>
      <c r="CF255" s="1111">
        <f>SUMIFS(NewEmisData!M:M, NewEmisData!$A:$A, $G255, NewEmisData!$B:$B, $A255, NewEmisData!$C:$C, $H255, NewEmisData!$D:$D, CF$6)</f>
        <v>0.122755209940958</v>
      </c>
      <c r="CG255" s="1111">
        <f t="shared" si="421"/>
        <v>0.122755209940958</v>
      </c>
      <c r="CH255" s="1111">
        <f t="shared" si="422"/>
        <v>2.6814639578360101E-2</v>
      </c>
      <c r="CI255" s="1111">
        <f>SUMIFS(NewEmisData!E:E, NewEmisData!$A:$A, $G255, NewEmisData!$B:$B, $A255, NewEmisData!$C:$C, $H255, NewEmisData!$D:$D, CI$6)</f>
        <v>2.6814639578360101E-2</v>
      </c>
      <c r="CJ255" s="1111">
        <f>SUMIFS(NewEmisData!F:F, NewEmisData!$A:$A, $G255, NewEmisData!$B:$B, $A255, NewEmisData!$C:$C, $H255, NewEmisData!$D:$D, CJ$6)</f>
        <v>2.7377198484682501E-2</v>
      </c>
      <c r="CK255" s="1111">
        <f>SUMIFS(NewEmisData!G:G, NewEmisData!$A:$A, $G255, NewEmisData!$B:$B, $A255, NewEmisData!$C:$C, $H255, NewEmisData!$D:$D, CK$6)</f>
        <v>3.1744752331224299E-2</v>
      </c>
      <c r="CL255" s="1111">
        <f>SUMIFS(NewEmisData!H:H, NewEmisData!$A:$A, $G255, NewEmisData!$B:$B, $A255, NewEmisData!$C:$C, $H255, NewEmisData!$D:$D, CL$6)</f>
        <v>3.1751089810168102E-2</v>
      </c>
      <c r="CM255" s="1111">
        <f>SUMIFS(NewEmisData!I:I, NewEmisData!$A:$A, $G255, NewEmisData!$B:$B, $A255, NewEmisData!$C:$C, $H255, NewEmisData!$D:$D, CM$6)</f>
        <v>3.1753196220943601E-2</v>
      </c>
      <c r="CN255" s="1111">
        <f>SUMIFS(NewEmisData!J:J, NewEmisData!$A:$A, $G255, NewEmisData!$B:$B, $A255, NewEmisData!$C:$C, $H255, NewEmisData!$D:$D, CN$6)</f>
        <v>3.1754907653783297E-2</v>
      </c>
      <c r="CO255" s="1111">
        <f>SUMIFS(NewEmisData!K:K, NewEmisData!$A:$A, $G255, NewEmisData!$B:$B, $A255, NewEmisData!$C:$C, $H255, NewEmisData!$D:$D, CO$6)</f>
        <v>3.1756308019210901E-2</v>
      </c>
      <c r="CP255" s="1111">
        <f>SUMIFS(NewEmisData!L:L, NewEmisData!$A:$A, $G255, NewEmisData!$B:$B, $A255, NewEmisData!$C:$C, $H255, NewEmisData!$D:$D, CP$6)</f>
        <v>3.1757504483370197E-2</v>
      </c>
      <c r="CQ255" s="1111">
        <f>SUMIFS(NewEmisData!M:M, NewEmisData!$A:$A, $G255, NewEmisData!$B:$B, $A255, NewEmisData!$C:$C, $H255, NewEmisData!$D:$D, CQ$6)</f>
        <v>3.17586670417229E-2</v>
      </c>
      <c r="CR255" s="1111">
        <f t="shared" si="423"/>
        <v>3.17586670417229E-2</v>
      </c>
      <c r="CS255" s="1111">
        <f t="shared" si="424"/>
        <v>4.3846094197843499E-3</v>
      </c>
      <c r="CT255" s="1111">
        <f>SUMIFS(NewEmisData!E:E, NewEmisData!$A:$A, $G255, NewEmisData!$B:$B, $A255, NewEmisData!$C:$C, $H255, NewEmisData!$D:$D, CT$6)</f>
        <v>4.3846094197843499E-3</v>
      </c>
      <c r="CU255" s="1111">
        <f>SUMIFS(NewEmisData!F:F, NewEmisData!$A:$A, $G255, NewEmisData!$B:$B, $A255, NewEmisData!$C:$C, $H255, NewEmisData!$D:$D, CU$6)</f>
        <v>4.2824271816577098E-3</v>
      </c>
      <c r="CV255" s="1111">
        <f>SUMIFS(NewEmisData!G:G, NewEmisData!$A:$A, $G255, NewEmisData!$B:$B, $A255, NewEmisData!$C:$C, $H255, NewEmisData!$D:$D, CV$6)</f>
        <v>5.02899922498892E-3</v>
      </c>
      <c r="CW255" s="1111">
        <f>SUMIFS(NewEmisData!H:H, NewEmisData!$A:$A, $G255, NewEmisData!$B:$B, $A255, NewEmisData!$C:$C, $H255, NewEmisData!$D:$D, CW$6)</f>
        <v>5.0046662993367902E-3</v>
      </c>
      <c r="CX255" s="1111">
        <f>SUMIFS(NewEmisData!I:I, NewEmisData!$A:$A, $G255, NewEmisData!$B:$B, $A255, NewEmisData!$C:$C, $H255, NewEmisData!$D:$D, CX$6)</f>
        <v>4.9882594082795899E-3</v>
      </c>
      <c r="CY255" s="1111">
        <f>SUMIFS(NewEmisData!J:J, NewEmisData!$A:$A, $G255, NewEmisData!$B:$B, $A255, NewEmisData!$C:$C, $H255, NewEmisData!$D:$D, CY$6)</f>
        <v>4.9807823416885997E-3</v>
      </c>
      <c r="CZ255" s="1111">
        <f>SUMIFS(NewEmisData!K:K, NewEmisData!$A:$A, $G255, NewEmisData!$B:$B, $A255, NewEmisData!$C:$C, $H255, NewEmisData!$D:$D, CZ$6)</f>
        <v>4.9778351451056097E-3</v>
      </c>
      <c r="DA255" s="1111">
        <f>SUMIFS(NewEmisData!L:L, NewEmisData!$A:$A, $G255, NewEmisData!$B:$B, $A255, NewEmisData!$C:$C, $H255, NewEmisData!$D:$D, DA$6)</f>
        <v>4.9770350121877902E-3</v>
      </c>
      <c r="DB255" s="1111">
        <f>SUMIFS(NewEmisData!M:M, NewEmisData!$A:$A, $G255, NewEmisData!$B:$B, $A255, NewEmisData!$C:$C, $H255, NewEmisData!$D:$D, DB$6)</f>
        <v>4.97750081597703E-3</v>
      </c>
      <c r="DC255" s="1111">
        <f t="shared" si="425"/>
        <v>4.97750081597703E-3</v>
      </c>
      <c r="DD255" s="1111"/>
      <c r="DE255" s="1111"/>
      <c r="DF255" s="1111"/>
      <c r="DG255" s="1111"/>
      <c r="DH255" s="1111"/>
      <c r="DI255" s="1111"/>
      <c r="DJ255" s="1111"/>
      <c r="DK255" s="1111"/>
      <c r="DL255" s="1111"/>
      <c r="DM255" s="1111"/>
      <c r="DN255" s="1111"/>
      <c r="DO255" s="1111"/>
      <c r="DP255" s="1111"/>
      <c r="DQ255" s="1111"/>
      <c r="DR255" s="1111"/>
      <c r="DS255" s="1111"/>
      <c r="DT255" s="1111"/>
      <c r="DU255" s="1111"/>
      <c r="DV255" s="1111"/>
      <c r="DW255" s="1111"/>
      <c r="DX255" s="1111"/>
      <c r="DY255" s="1111"/>
      <c r="DZ255" s="1111">
        <f t="shared" si="426"/>
        <v>2.5837404070173101E-2</v>
      </c>
      <c r="EA255" s="1111">
        <f>SUMIFS(NewEmisData!E:E, NewEmisData!$A:$A, $G255, NewEmisData!$B:$B, $A255, NewEmisData!$C:$C, $H255, NewEmisData!$D:$D, EA$6)</f>
        <v>2.5837404070173101E-2</v>
      </c>
      <c r="EB255" s="1111">
        <f>SUMIFS(NewEmisData!F:F, NewEmisData!$A:$A, $G255, NewEmisData!$B:$B, $A255, NewEmisData!$C:$C, $H255, NewEmisData!$D:$D, EB$6)</f>
        <v>7.8297413767458204E-2</v>
      </c>
      <c r="EC255" s="1111">
        <f>SUMIFS(NewEmisData!G:G, NewEmisData!$A:$A, $G255, NewEmisData!$B:$B, $A255, NewEmisData!$C:$C, $H255, NewEmisData!$D:$D, EC$6)</f>
        <v>0.10066729837517401</v>
      </c>
      <c r="ED255" s="1111">
        <f>SUMIFS(NewEmisData!H:H, NewEmisData!$A:$A, $G255, NewEmisData!$B:$B, $A255, NewEmisData!$C:$C, $H255, NewEmisData!$D:$D, ED$6)</f>
        <v>0.10297636370982299</v>
      </c>
      <c r="EE255" s="1111">
        <f>SUMIFS(NewEmisData!I:I, NewEmisData!$A:$A, $G255, NewEmisData!$B:$B, $A255, NewEmisData!$C:$C, $H255, NewEmisData!$D:$D, EE$6)</f>
        <v>0.103171854151657</v>
      </c>
      <c r="EF255" s="1111">
        <f>SUMIFS(NewEmisData!J:J, NewEmisData!$A:$A, $G255, NewEmisData!$B:$B, $A255, NewEmisData!$C:$C, $H255, NewEmisData!$D:$D, EF$6)</f>
        <v>0.103095802852537</v>
      </c>
      <c r="EG255" s="1111">
        <f>SUMIFS(NewEmisData!K:K, NewEmisData!$A:$A, $G255, NewEmisData!$B:$B, $A255, NewEmisData!$C:$C, $H255, NewEmisData!$D:$D, EG$6)</f>
        <v>0.10319825346403599</v>
      </c>
      <c r="EH255" s="1111">
        <f>SUMIFS(NewEmisData!L:L, NewEmisData!$A:$A, $G255, NewEmisData!$B:$B, $A255, NewEmisData!$C:$C, $H255, NewEmisData!$D:$D, EH$6)</f>
        <v>0.103151432114074</v>
      </c>
      <c r="EI255" s="1111">
        <f>SUMIFS(NewEmisData!M:M, NewEmisData!$A:$A, $G255, NewEmisData!$B:$B, $A255, NewEmisData!$C:$C, $H255, NewEmisData!$D:$D, EI$6)</f>
        <v>0.103153661145232</v>
      </c>
      <c r="EJ255" s="1111">
        <f t="shared" si="427"/>
        <v>0.103153661145232</v>
      </c>
      <c r="EK255" s="1111">
        <f t="shared" si="428"/>
        <v>1446.4734413180499</v>
      </c>
      <c r="EL255" s="1111">
        <f t="shared" si="343"/>
        <v>1446.4734413180499</v>
      </c>
      <c r="EM255" s="1111">
        <f t="shared" si="344"/>
        <v>1740.72087390757</v>
      </c>
      <c r="EN255" s="1111">
        <f t="shared" si="345"/>
        <v>1883.5112444895601</v>
      </c>
      <c r="EO255" s="1111">
        <f t="shared" si="346"/>
        <v>1846.4691773357799</v>
      </c>
      <c r="EP255" s="1111">
        <f t="shared" si="347"/>
        <v>1831.61438997502</v>
      </c>
      <c r="EQ255" s="1111">
        <f t="shared" si="348"/>
        <v>1827.40074627429</v>
      </c>
      <c r="ER255" s="1111">
        <f t="shared" si="349"/>
        <v>1826.3756740122001</v>
      </c>
      <c r="ES255" s="1111">
        <f t="shared" si="350"/>
        <v>1826.08515951495</v>
      </c>
      <c r="ET255" s="1111">
        <f t="shared" si="351"/>
        <v>1825.9462445100501</v>
      </c>
      <c r="EU255" s="1111">
        <f t="shared" si="352"/>
        <v>1825.9462445100501</v>
      </c>
      <c r="EV255" s="1111">
        <f t="shared" si="429"/>
        <v>10.927472096680599</v>
      </c>
      <c r="EW255" s="1111">
        <f t="shared" si="333"/>
        <v>10.927472096680599</v>
      </c>
      <c r="EX255" s="1111">
        <f t="shared" si="334"/>
        <v>7.1206377233055003</v>
      </c>
      <c r="EY255" s="1111">
        <f t="shared" si="335"/>
        <v>3.1558879768380601</v>
      </c>
      <c r="EZ255" s="1111">
        <f t="shared" si="336"/>
        <v>2.0748112225925799</v>
      </c>
      <c r="FA255" s="1111">
        <f t="shared" si="337"/>
        <v>1.74258491838324</v>
      </c>
      <c r="FB255" s="1111">
        <f t="shared" si="338"/>
        <v>1.67796051175704</v>
      </c>
      <c r="FC255" s="1111">
        <f t="shared" si="339"/>
        <v>1.66395683464412</v>
      </c>
      <c r="FD255" s="1111">
        <f t="shared" si="340"/>
        <v>1.6637625206784601</v>
      </c>
      <c r="FE255" s="1111">
        <f t="shared" si="341"/>
        <v>1.6637616447113901</v>
      </c>
      <c r="FF255" s="1111">
        <f t="shared" si="342"/>
        <v>1.6637616447113901</v>
      </c>
      <c r="FG255" s="1111">
        <f t="shared" si="389"/>
        <v>3.5795342325280199E-2</v>
      </c>
      <c r="FH255" s="1111">
        <f t="shared" si="390"/>
        <v>3.5795342325280199E-2</v>
      </c>
      <c r="FI255" s="1111">
        <f t="shared" si="391"/>
        <v>4.18895987456427E-2</v>
      </c>
      <c r="FJ255" s="1111">
        <f t="shared" si="392"/>
        <v>1.5791060545945802E-2</v>
      </c>
      <c r="FK255" s="1111">
        <f t="shared" si="393"/>
        <v>1.5415670212051501E-2</v>
      </c>
      <c r="FL255" s="1111">
        <f t="shared" si="394"/>
        <v>1.5274431754930399E-2</v>
      </c>
      <c r="FM255" s="1111">
        <f t="shared" si="395"/>
        <v>1.5236164903811999E-2</v>
      </c>
      <c r="FN255" s="1111">
        <f t="shared" si="396"/>
        <v>1.52267203455439E-2</v>
      </c>
      <c r="FO255" s="1111">
        <f t="shared" si="397"/>
        <v>1.5224294731162401E-2</v>
      </c>
      <c r="FP255" s="1111">
        <f t="shared" si="398"/>
        <v>1.52231302628319E-2</v>
      </c>
      <c r="FQ255" s="1111">
        <f t="shared" si="399"/>
        <v>1.52231302628319E-2</v>
      </c>
      <c r="FR255" s="1111">
        <f t="shared" si="322"/>
        <v>1.1386613940402399</v>
      </c>
      <c r="FS255" s="1111">
        <f t="shared" si="323"/>
        <v>1.1386613940402399</v>
      </c>
      <c r="FT255" s="1111">
        <f t="shared" si="324"/>
        <v>0.81062826870189697</v>
      </c>
      <c r="FU255" s="1111">
        <f t="shared" si="325"/>
        <v>0.53923885209480305</v>
      </c>
      <c r="FV255" s="1111">
        <f t="shared" si="326"/>
        <v>0.475762300205197</v>
      </c>
      <c r="FW255" s="1111">
        <f t="shared" si="327"/>
        <v>0.45922153968976998</v>
      </c>
      <c r="FX255" s="1111">
        <f t="shared" si="328"/>
        <v>0.45636829014935498</v>
      </c>
      <c r="FY255" s="1111">
        <f t="shared" si="329"/>
        <v>0.45567985208338102</v>
      </c>
      <c r="FZ255" s="1111">
        <f t="shared" si="330"/>
        <v>0.45574905770507301</v>
      </c>
      <c r="GA255" s="1111">
        <f t="shared" si="331"/>
        <v>0.455831313218652</v>
      </c>
      <c r="GB255" s="1111">
        <f t="shared" si="332"/>
        <v>0.455831313218652</v>
      </c>
      <c r="GC255" s="1111">
        <f t="shared" si="353"/>
        <v>0.76056597813754101</v>
      </c>
      <c r="GD255" s="1111">
        <f t="shared" si="354"/>
        <v>0.76056597813754101</v>
      </c>
      <c r="GE255" s="1111">
        <f t="shared" si="355"/>
        <v>0.44834360182688099</v>
      </c>
      <c r="GF255" s="1111">
        <f t="shared" si="356"/>
        <v>0.16425905468775201</v>
      </c>
      <c r="GG255" s="1111">
        <f t="shared" si="357"/>
        <v>0.106571454108964</v>
      </c>
      <c r="GH255" s="1111">
        <f t="shared" si="358"/>
        <v>9.1494531785506497E-2</v>
      </c>
      <c r="GI255" s="1111">
        <f t="shared" si="359"/>
        <v>8.8871730484206005E-2</v>
      </c>
      <c r="GJ255" s="1111">
        <f t="shared" si="360"/>
        <v>8.8185150826517997E-2</v>
      </c>
      <c r="GK255" s="1111">
        <f t="shared" si="361"/>
        <v>8.8192675178559193E-2</v>
      </c>
      <c r="GL255" s="1111">
        <f t="shared" si="362"/>
        <v>8.8205281736577906E-2</v>
      </c>
      <c r="GM255" s="1111">
        <f t="shared" si="363"/>
        <v>8.8205281736577906E-2</v>
      </c>
    </row>
    <row r="256" spans="1:195" x14ac:dyDescent="0.2">
      <c r="A256" s="1071" t="s">
        <v>182</v>
      </c>
      <c r="B256" s="1071" t="str">
        <f>Technologies!C148</f>
        <v>THSDSLADV</v>
      </c>
      <c r="C256" s="1071" t="str">
        <f>Technologies!D148</f>
        <v>Heavy Truck, Short Haul, Advanced Diesel</v>
      </c>
      <c r="D256" s="1071" t="str">
        <f>NewTech!D102</f>
        <v>bn-vmt, bn-vmt/a</v>
      </c>
      <c r="E256" s="1071" t="str">
        <f>Commodities!C$44</f>
        <v>THDSL</v>
      </c>
      <c r="F256" s="1071" t="s">
        <v>98</v>
      </c>
      <c r="G256" s="1110" t="s">
        <v>505</v>
      </c>
      <c r="H256" s="1110" t="s">
        <v>499</v>
      </c>
      <c r="I256" s="1112">
        <v>1</v>
      </c>
      <c r="J256" s="1111" t="str">
        <f t="shared" si="302"/>
        <v>Heavy duty short haul truck-DSL</v>
      </c>
      <c r="K256" s="1111">
        <f>SUMIFS(NewEmisData!E:E, NewEmisData!$A:$A, $G256, NewEmisData!$B:$B, $A256, NewEmisData!$C:$C, $H256, NewEmisData!$D:$D, K$6)</f>
        <v>1482.5754764799101</v>
      </c>
      <c r="L256" s="1111">
        <f>SUMIFS(NewEmisData!F:F, NewEmisData!$A:$A, $G256, NewEmisData!$B:$B, $A256, NewEmisData!$C:$C, $H256, NewEmisData!$D:$D, L$6)</f>
        <v>1635.6442478660899</v>
      </c>
      <c r="M256" s="1111">
        <f>SUMIFS(NewEmisData!G:G, NewEmisData!$A:$A, $G256, NewEmisData!$B:$B, $A256, NewEmisData!$C:$C, $H256, NewEmisData!$D:$D, M$6)</f>
        <v>2107.1372534500802</v>
      </c>
      <c r="N256" s="1111">
        <f>SUMIFS(NewEmisData!H:H, NewEmisData!$A:$A, $G256, NewEmisData!$B:$B, $A256, NewEmisData!$C:$C, $H256, NewEmisData!$D:$D, N$6)</f>
        <v>2071.9319953702902</v>
      </c>
      <c r="O256" s="1111">
        <f>SUMIFS(NewEmisData!I:I, NewEmisData!$A:$A, $G256, NewEmisData!$B:$B, $A256, NewEmisData!$C:$C, $H256, NewEmisData!$D:$D, O$6)</f>
        <v>2048.5012080599699</v>
      </c>
      <c r="P256" s="1111">
        <f>SUMIFS(NewEmisData!J:J, NewEmisData!$A:$A, $G256, NewEmisData!$B:$B, $A256, NewEmisData!$C:$C, $H256, NewEmisData!$D:$D, P$6)</f>
        <v>2041.23090502932</v>
      </c>
      <c r="Q256" s="1111">
        <f>SUMIFS(NewEmisData!K:K, NewEmisData!$A:$A, $G256, NewEmisData!$B:$B, $A256, NewEmisData!$C:$C, $H256, NewEmisData!$D:$D, Q$6)</f>
        <v>2038.8712683316101</v>
      </c>
      <c r="R256" s="1111">
        <f>SUMIFS(NewEmisData!L:L, NewEmisData!$A:$A, $G256, NewEmisData!$B:$B, $A256, NewEmisData!$C:$C, $H256, NewEmisData!$D:$D, R$6)</f>
        <v>2037.89380685326</v>
      </c>
      <c r="S256" s="1111">
        <f>SUMIFS(NewEmisData!M:M, NewEmisData!$A:$A, $G256, NewEmisData!$B:$B, $A256, NewEmisData!$C:$C, $H256, NewEmisData!$D:$D, S$6)</f>
        <v>2037.18147825705</v>
      </c>
      <c r="T256" s="1111">
        <f t="shared" si="364"/>
        <v>2037.18147825705</v>
      </c>
      <c r="U256" s="1111">
        <f>SUMIFS(NewEmisData!E:E, NewEmisData!$A:$A, $G256, NewEmisData!$B:$B, $A256, NewEmisData!$C:$C, $H256, NewEmisData!$D:$D, U$6)</f>
        <v>11.638950039279999</v>
      </c>
      <c r="V256" s="1111">
        <f>SUMIFS(NewEmisData!F:F, NewEmisData!$A:$A, $G256, NewEmisData!$B:$B, $A256, NewEmisData!$C:$C, $H256, NewEmisData!$D:$D, V$6)</f>
        <v>6.7839244745049401</v>
      </c>
      <c r="W256" s="1111">
        <f>SUMIFS(NewEmisData!G:G, NewEmisData!$A:$A, $G256, NewEmisData!$B:$B, $A256, NewEmisData!$C:$C, $H256, NewEmisData!$D:$D, W$6)</f>
        <v>4.3925354378646304</v>
      </c>
      <c r="X256" s="1111">
        <f>SUMIFS(NewEmisData!H:H, NewEmisData!$A:$A, $G256, NewEmisData!$B:$B, $A256, NewEmisData!$C:$C, $H256, NewEmisData!$D:$D, X$6)</f>
        <v>2.6191347420861701</v>
      </c>
      <c r="Y256" s="1111">
        <f>SUMIFS(NewEmisData!I:I, NewEmisData!$A:$A, $G256, NewEmisData!$B:$B, $A256, NewEmisData!$C:$C, $H256, NewEmisData!$D:$D, Y$6)</f>
        <v>2.06534470659102</v>
      </c>
      <c r="Z256" s="1111">
        <f>SUMIFS(NewEmisData!J:J, NewEmisData!$A:$A, $G256, NewEmisData!$B:$B, $A256, NewEmisData!$C:$C, $H256, NewEmisData!$D:$D, Z$6)</f>
        <v>1.9514955612034099</v>
      </c>
      <c r="AA256" s="1111">
        <f>SUMIFS(NewEmisData!K:K, NewEmisData!$A:$A, $G256, NewEmisData!$B:$B, $A256, NewEmisData!$C:$C, $H256, NewEmisData!$D:$D, AA$6)</f>
        <v>1.9247847205619899</v>
      </c>
      <c r="AB256" s="1111">
        <f>SUMIFS(NewEmisData!L:L, NewEmisData!$A:$A, $G256, NewEmisData!$B:$B, $A256, NewEmisData!$C:$C, $H256, NewEmisData!$D:$D, AB$6)</f>
        <v>1.9239170224512001</v>
      </c>
      <c r="AC256" s="1111">
        <f>SUMIFS(NewEmisData!M:M, NewEmisData!$A:$A, $G256, NewEmisData!$B:$B, $A256, NewEmisData!$C:$C, $H256, NewEmisData!$D:$D, AC$6)</f>
        <v>1.92345457739672</v>
      </c>
      <c r="AD256" s="1111">
        <f t="shared" si="321"/>
        <v>1.92345457739672</v>
      </c>
      <c r="AE256" s="1111">
        <f t="shared" si="412"/>
        <v>3.6844240816642601E-2</v>
      </c>
      <c r="AF256" s="1111">
        <f>SUMIFS(NewEmisData!E:E, NewEmisData!$A:$A, $G256, NewEmisData!$B:$B, $A256, NewEmisData!$C:$C, $H256, NewEmisData!$D:$D, AF$6)</f>
        <v>3.6844240816642601E-2</v>
      </c>
      <c r="AG256" s="1111">
        <f>SUMIFS(NewEmisData!F:F, NewEmisData!$A:$A, $G256, NewEmisData!$B:$B, $A256, NewEmisData!$C:$C, $H256, NewEmisData!$D:$D, AG$6)</f>
        <v>3.9353507212849297E-2</v>
      </c>
      <c r="AH256" s="1111">
        <f>SUMIFS(NewEmisData!G:G, NewEmisData!$A:$A, $G256, NewEmisData!$B:$B, $A256, NewEmisData!$C:$C, $H256, NewEmisData!$D:$D, AH$6)</f>
        <v>1.7702463178777099E-2</v>
      </c>
      <c r="AI256" s="1111">
        <f>SUMIFS(NewEmisData!H:H, NewEmisData!$A:$A, $G256, NewEmisData!$B:$B, $A256, NewEmisData!$C:$C, $H256, NewEmisData!$D:$D, AI$6)</f>
        <v>1.7311059741913899E-2</v>
      </c>
      <c r="AJ256" s="1111">
        <f>SUMIFS(NewEmisData!I:I, NewEmisData!$A:$A, $G256, NewEmisData!$B:$B, $A256, NewEmisData!$C:$C, $H256, NewEmisData!$D:$D, AJ$6)</f>
        <v>1.70853991434037E-2</v>
      </c>
      <c r="AK256" s="1111">
        <f>SUMIFS(NewEmisData!J:J, NewEmisData!$A:$A, $G256, NewEmisData!$B:$B, $A256, NewEmisData!$C:$C, $H256, NewEmisData!$D:$D, AK$6)</f>
        <v>1.70195621794277E-2</v>
      </c>
      <c r="AL256" s="1111">
        <f>SUMIFS(NewEmisData!K:K, NewEmisData!$A:$A, $G256, NewEmisData!$B:$B, $A256, NewEmisData!$C:$C, $H256, NewEmisData!$D:$D, AL$6)</f>
        <v>1.69983226363635E-2</v>
      </c>
      <c r="AM256" s="1111">
        <f>SUMIFS(NewEmisData!L:L, NewEmisData!$A:$A, $G256, NewEmisData!$B:$B, $A256, NewEmisData!$C:$C, $H256, NewEmisData!$D:$D, AM$6)</f>
        <v>1.6990168303807101E-2</v>
      </c>
      <c r="AN256" s="1111">
        <f>SUMIFS(NewEmisData!M:M, NewEmisData!$A:$A, $G256, NewEmisData!$B:$B, $A256, NewEmisData!$C:$C, $H256, NewEmisData!$D:$D, AN$6)</f>
        <v>1.69842326570817E-2</v>
      </c>
      <c r="AO256" s="1111">
        <f t="shared" si="413"/>
        <v>1.69842326570817E-2</v>
      </c>
      <c r="AP256" s="1111">
        <f t="shared" si="414"/>
        <v>1.2647150782943599</v>
      </c>
      <c r="AQ256" s="1111">
        <f>SUMIFS(NewEmisData!E:E, NewEmisData!$A:$A, $G256, NewEmisData!$B:$B, $A256, NewEmisData!$C:$C, $H256, NewEmisData!$D:$D, AQ$6)</f>
        <v>1.2647150782943599</v>
      </c>
      <c r="AR256" s="1111">
        <f>SUMIFS(NewEmisData!F:F, NewEmisData!$A:$A, $G256, NewEmisData!$B:$B, $A256, NewEmisData!$C:$C, $H256, NewEmisData!$D:$D, AR$6)</f>
        <v>0.82297495230985995</v>
      </c>
      <c r="AS256" s="1111">
        <f>SUMIFS(NewEmisData!G:G, NewEmisData!$A:$A, $G256, NewEmisData!$B:$B, $A256, NewEmisData!$C:$C, $H256, NewEmisData!$D:$D, AS$6)</f>
        <v>0.78295839522434196</v>
      </c>
      <c r="AT256" s="1111">
        <f>SUMIFS(NewEmisData!H:H, NewEmisData!$A:$A, $G256, NewEmisData!$B:$B, $A256, NewEmisData!$C:$C, $H256, NewEmisData!$D:$D, AT$6)</f>
        <v>0.68016675260069404</v>
      </c>
      <c r="AU256" s="1111">
        <f>SUMIFS(NewEmisData!I:I, NewEmisData!$A:$A, $G256, NewEmisData!$B:$B, $A256, NewEmisData!$C:$C, $H256, NewEmisData!$D:$D, AU$6)</f>
        <v>0.64888550894506702</v>
      </c>
      <c r="AV256" s="1111">
        <f>SUMIFS(NewEmisData!J:J, NewEmisData!$A:$A, $G256, NewEmisData!$B:$B, $A256, NewEmisData!$C:$C, $H256, NewEmisData!$D:$D, AV$6)</f>
        <v>0.64362415371119697</v>
      </c>
      <c r="AW256" s="1111">
        <f>SUMIFS(NewEmisData!K:K, NewEmisData!$A:$A, $G256, NewEmisData!$B:$B, $A256, NewEmisData!$C:$C, $H256, NewEmisData!$D:$D, AW$6)</f>
        <v>0.64216665150257801</v>
      </c>
      <c r="AX256" s="1111">
        <f>SUMIFS(NewEmisData!L:L, NewEmisData!$A:$A, $G256, NewEmisData!$B:$B, $A256, NewEmisData!$C:$C, $H256, NewEmisData!$D:$D, AX$6)</f>
        <v>0.64212477573891902</v>
      </c>
      <c r="AY256" s="1111">
        <f>SUMIFS(NewEmisData!M:M, NewEmisData!$A:$A, $G256, NewEmisData!$B:$B, $A256, NewEmisData!$C:$C, $H256, NewEmisData!$D:$D, AY$6)</f>
        <v>0.64210952076406802</v>
      </c>
      <c r="AZ256" s="1111">
        <f t="shared" si="415"/>
        <v>0.64210952076406802</v>
      </c>
      <c r="BA256" s="1111">
        <f t="shared" si="416"/>
        <v>0.85268225231092398</v>
      </c>
      <c r="BB256" s="1111">
        <f>SUMIFS(NewEmisData!E:E, NewEmisData!$A:$A, $G256, NewEmisData!$B:$B, $A256, NewEmisData!$C:$C, $H256, NewEmisData!$D:$D, BB$6)</f>
        <v>0.85268225231092398</v>
      </c>
      <c r="BC256" s="1111">
        <f>SUMIFS(NewEmisData!F:F, NewEmisData!$A:$A, $G256, NewEmisData!$B:$B, $A256, NewEmisData!$C:$C, $H256, NewEmisData!$D:$D, BC$6)</f>
        <v>0.44197863249122399</v>
      </c>
      <c r="BD256" s="1111">
        <f>SUMIFS(NewEmisData!G:G, NewEmisData!$A:$A, $G256, NewEmisData!$B:$B, $A256, NewEmisData!$C:$C, $H256, NewEmisData!$D:$D, BD$6)</f>
        <v>0.24083520219764601</v>
      </c>
      <c r="BE256" s="1111">
        <f>SUMIFS(NewEmisData!H:H, NewEmisData!$A:$A, $G256, NewEmisData!$B:$B, $A256, NewEmisData!$C:$C, $H256, NewEmisData!$D:$D, BE$6)</f>
        <v>0.148362414161788</v>
      </c>
      <c r="BF256" s="1111">
        <f>SUMIFS(NewEmisData!I:I, NewEmisData!$A:$A, $G256, NewEmisData!$B:$B, $A256, NewEmisData!$C:$C, $H256, NewEmisData!$D:$D, BF$6)</f>
        <v>0.11982020029779999</v>
      </c>
      <c r="BG256" s="1111">
        <f>SUMIFS(NewEmisData!J:J, NewEmisData!$A:$A, $G256, NewEmisData!$B:$B, $A256, NewEmisData!$C:$C, $H256, NewEmisData!$D:$D, BG$6)</f>
        <v>0.115075397080156</v>
      </c>
      <c r="BH256" s="1111">
        <f>SUMIFS(NewEmisData!K:K, NewEmisData!$A:$A, $G256, NewEmisData!$B:$B, $A256, NewEmisData!$C:$C, $H256, NewEmisData!$D:$D, BH$6)</f>
        <v>0.113741063740516</v>
      </c>
      <c r="BI256" s="1111">
        <f>SUMIFS(NewEmisData!L:L, NewEmisData!$A:$A, $G256, NewEmisData!$B:$B, $A256, NewEmisData!$C:$C, $H256, NewEmisData!$D:$D, BI$6)</f>
        <v>0.113717400839903</v>
      </c>
      <c r="BJ256" s="1111">
        <f>SUMIFS(NewEmisData!M:M, NewEmisData!$A:$A, $G256, NewEmisData!$B:$B, $A256, NewEmisData!$C:$C, $H256, NewEmisData!$D:$D, BJ$6)</f>
        <v>0.11370438522677</v>
      </c>
      <c r="BK256" s="1111">
        <f t="shared" si="417"/>
        <v>0.11370438522677</v>
      </c>
      <c r="BL256" s="1111">
        <f t="shared" si="418"/>
        <v>5.0328469585193201</v>
      </c>
      <c r="BM256" s="1111">
        <f>SUMIFS(NewEmisData!E:E, NewEmisData!$A:$A, $G256, NewEmisData!$B:$B, $A256, NewEmisData!$C:$C, $H256, NewEmisData!$D:$D, BM$6)</f>
        <v>5.0328469585193201</v>
      </c>
      <c r="BN256" s="1111">
        <f>SUMIFS(NewEmisData!F:F, NewEmisData!$A:$A, $G256, NewEmisData!$B:$B, $A256, NewEmisData!$C:$C, $H256, NewEmisData!$D:$D, BN$6)</f>
        <v>2.6827852293663099</v>
      </c>
      <c r="BO256" s="1111">
        <f>SUMIFS(NewEmisData!G:G, NewEmisData!$A:$A, $G256, NewEmisData!$B:$B, $A256, NewEmisData!$C:$C, $H256, NewEmisData!$D:$D, BO$6)</f>
        <v>1.7356120209921699</v>
      </c>
      <c r="BP256" s="1111">
        <f>SUMIFS(NewEmisData!H:H, NewEmisData!$A:$A, $G256, NewEmisData!$B:$B, $A256, NewEmisData!$C:$C, $H256, NewEmisData!$D:$D, BP$6)</f>
        <v>1.1963534366450099</v>
      </c>
      <c r="BQ256" s="1111">
        <f>SUMIFS(NewEmisData!I:I, NewEmisData!$A:$A, $G256, NewEmisData!$B:$B, $A256, NewEmisData!$C:$C, $H256, NewEmisData!$D:$D, BQ$6)</f>
        <v>1.0323047664296401</v>
      </c>
      <c r="BR256" s="1111">
        <f>SUMIFS(NewEmisData!J:J, NewEmisData!$A:$A, $G256, NewEmisData!$B:$B, $A256, NewEmisData!$C:$C, $H256, NewEmisData!$D:$D, BR$6)</f>
        <v>0.995595558537549</v>
      </c>
      <c r="BS256" s="1111">
        <f>SUMIFS(NewEmisData!K:K, NewEmisData!$A:$A, $G256, NewEmisData!$B:$B, $A256, NewEmisData!$C:$C, $H256, NewEmisData!$D:$D, BS$6)</f>
        <v>0.98556754943244496</v>
      </c>
      <c r="BT256" s="1111">
        <f>SUMIFS(NewEmisData!L:L, NewEmisData!$A:$A, $G256, NewEmisData!$B:$B, $A256, NewEmisData!$C:$C, $H256, NewEmisData!$D:$D, BT$6)</f>
        <v>0.98409018482975696</v>
      </c>
      <c r="BU256" s="1111">
        <f>SUMIFS(NewEmisData!M:M, NewEmisData!$A:$A, $G256, NewEmisData!$B:$B, $A256, NewEmisData!$C:$C, $H256, NewEmisData!$D:$D, BU$6)</f>
        <v>0.98392055504691101</v>
      </c>
      <c r="BV256" s="1111">
        <f t="shared" si="419"/>
        <v>0.98392055504691101</v>
      </c>
      <c r="BW256" s="1111">
        <f t="shared" si="420"/>
        <v>1.47076719543515</v>
      </c>
      <c r="BX256" s="1111">
        <f>SUMIFS(NewEmisData!E:E, NewEmisData!$A:$A, $G256, NewEmisData!$B:$B, $A256, NewEmisData!$C:$C, $H256, NewEmisData!$D:$D, BX$6)</f>
        <v>1.47076719543515</v>
      </c>
      <c r="BY256" s="1111">
        <f>SUMIFS(NewEmisData!F:F, NewEmisData!$A:$A, $G256, NewEmisData!$B:$B, $A256, NewEmisData!$C:$C, $H256, NewEmisData!$D:$D, BY$6)</f>
        <v>0.68796701308964903</v>
      </c>
      <c r="BZ256" s="1111">
        <f>SUMIFS(NewEmisData!G:G, NewEmisData!$A:$A, $G256, NewEmisData!$B:$B, $A256, NewEmisData!$C:$C, $H256, NewEmisData!$D:$D, BZ$6)</f>
        <v>0.402812160133037</v>
      </c>
      <c r="CA256" s="1111">
        <f>SUMIFS(NewEmisData!H:H, NewEmisData!$A:$A, $G256, NewEmisData!$B:$B, $A256, NewEmisData!$C:$C, $H256, NewEmisData!$D:$D, CA$6)</f>
        <v>0.22250982610906</v>
      </c>
      <c r="CB256" s="1111">
        <f>SUMIFS(NewEmisData!I:I, NewEmisData!$A:$A, $G256, NewEmisData!$B:$B, $A256, NewEmisData!$C:$C, $H256, NewEmisData!$D:$D, CB$6)</f>
        <v>0.16724007620430001</v>
      </c>
      <c r="CC256" s="1111">
        <f>SUMIFS(NewEmisData!J:J, NewEmisData!$A:$A, $G256, NewEmisData!$B:$B, $A256, NewEmisData!$C:$C, $H256, NewEmisData!$D:$D, CC$6)</f>
        <v>0.15629916703885099</v>
      </c>
      <c r="CD256" s="1111">
        <f>SUMIFS(NewEmisData!K:K, NewEmisData!$A:$A, $G256, NewEmisData!$B:$B, $A256, NewEmisData!$C:$C, $H256, NewEmisData!$D:$D, CD$6)</f>
        <v>0.15328186767858501</v>
      </c>
      <c r="CE256" s="1111">
        <f>SUMIFS(NewEmisData!L:L, NewEmisData!$A:$A, $G256, NewEmisData!$B:$B, $A256, NewEmisData!$C:$C, $H256, NewEmisData!$D:$D, CE$6)</f>
        <v>0.15319941180844801</v>
      </c>
      <c r="CF256" s="1111">
        <f>SUMIFS(NewEmisData!M:M, NewEmisData!$A:$A, $G256, NewEmisData!$B:$B, $A256, NewEmisData!$C:$C, $H256, NewEmisData!$D:$D, CF$6)</f>
        <v>0.15317662764687001</v>
      </c>
      <c r="CG256" s="1111">
        <f t="shared" si="421"/>
        <v>0.15317662764687001</v>
      </c>
      <c r="CH256" s="1111">
        <f t="shared" si="422"/>
        <v>2.7376905675536502E-2</v>
      </c>
      <c r="CI256" s="1111">
        <f>SUMIFS(NewEmisData!E:E, NewEmisData!$A:$A, $G256, NewEmisData!$B:$B, $A256, NewEmisData!$C:$C, $H256, NewEmisData!$D:$D, CI$6)</f>
        <v>2.7376905675536502E-2</v>
      </c>
      <c r="CJ256" s="1111">
        <f>SUMIFS(NewEmisData!F:F, NewEmisData!$A:$A, $G256, NewEmisData!$B:$B, $A256, NewEmisData!$C:$C, $H256, NewEmisData!$D:$D, CJ$6)</f>
        <v>2.7641391273496001E-2</v>
      </c>
      <c r="CK256" s="1111">
        <f>SUMIFS(NewEmisData!G:G, NewEmisData!$A:$A, $G256, NewEmisData!$B:$B, $A256, NewEmisData!$C:$C, $H256, NewEmisData!$D:$D, CK$6)</f>
        <v>3.7783493564809902E-2</v>
      </c>
      <c r="CL256" s="1111">
        <f>SUMIFS(NewEmisData!H:H, NewEmisData!$A:$A, $G256, NewEmisData!$B:$B, $A256, NewEmisData!$C:$C, $H256, NewEmisData!$D:$D, CL$6)</f>
        <v>3.7791768560113202E-2</v>
      </c>
      <c r="CM256" s="1111">
        <f>SUMIFS(NewEmisData!I:I, NewEmisData!$A:$A, $G256, NewEmisData!$B:$B, $A256, NewEmisData!$C:$C, $H256, NewEmisData!$D:$D, CM$6)</f>
        <v>3.7796042393498999E-2</v>
      </c>
      <c r="CN256" s="1111">
        <f>SUMIFS(NewEmisData!J:J, NewEmisData!$A:$A, $G256, NewEmisData!$B:$B, $A256, NewEmisData!$C:$C, $H256, NewEmisData!$D:$D, CN$6)</f>
        <v>3.7797273059285798E-2</v>
      </c>
      <c r="CO256" s="1111">
        <f>SUMIFS(NewEmisData!K:K, NewEmisData!$A:$A, $G256, NewEmisData!$B:$B, $A256, NewEmisData!$C:$C, $H256, NewEmisData!$D:$D, CO$6)</f>
        <v>3.7797290465285301E-2</v>
      </c>
      <c r="CP256" s="1111">
        <f>SUMIFS(NewEmisData!L:L, NewEmisData!$A:$A, $G256, NewEmisData!$B:$B, $A256, NewEmisData!$C:$C, $H256, NewEmisData!$D:$D, CP$6)</f>
        <v>3.77969592669226E-2</v>
      </c>
      <c r="CQ256" s="1111">
        <f>SUMIFS(NewEmisData!M:M, NewEmisData!$A:$A, $G256, NewEmisData!$B:$B, $A256, NewEmisData!$C:$C, $H256, NewEmisData!$D:$D, CQ$6)</f>
        <v>3.7796456239744897E-2</v>
      </c>
      <c r="CR256" s="1111">
        <f t="shared" si="423"/>
        <v>3.7796456239744897E-2</v>
      </c>
      <c r="CS256" s="1111">
        <f t="shared" si="424"/>
        <v>4.5435437093963096E-3</v>
      </c>
      <c r="CT256" s="1111">
        <f>SUMIFS(NewEmisData!E:E, NewEmisData!$A:$A, $G256, NewEmisData!$B:$B, $A256, NewEmisData!$C:$C, $H256, NewEmisData!$D:$D, CT$6)</f>
        <v>4.5435437093963096E-3</v>
      </c>
      <c r="CU256" s="1111">
        <f>SUMIFS(NewEmisData!F:F, NewEmisData!$A:$A, $G256, NewEmisData!$B:$B, $A256, NewEmisData!$C:$C, $H256, NewEmisData!$D:$D, CU$6)</f>
        <v>4.4398754909713801E-3</v>
      </c>
      <c r="CV256" s="1111">
        <f>SUMIFS(NewEmisData!G:G, NewEmisData!$A:$A, $G256, NewEmisData!$B:$B, $A256, NewEmisData!$C:$C, $H256, NewEmisData!$D:$D, CV$6)</f>
        <v>6.8039701300534198E-3</v>
      </c>
      <c r="CW256" s="1111">
        <f>SUMIFS(NewEmisData!H:H, NewEmisData!$A:$A, $G256, NewEmisData!$B:$B, $A256, NewEmisData!$C:$C, $H256, NewEmisData!$D:$D, CW$6)</f>
        <v>6.7823537903093098E-3</v>
      </c>
      <c r="CX256" s="1111">
        <f>SUMIFS(NewEmisData!I:I, NewEmisData!$A:$A, $G256, NewEmisData!$B:$B, $A256, NewEmisData!$C:$C, $H256, NewEmisData!$D:$D, CX$6)</f>
        <v>6.7664266882471596E-3</v>
      </c>
      <c r="CY256" s="1111">
        <f>SUMIFS(NewEmisData!J:J, NewEmisData!$A:$A, $G256, NewEmisData!$B:$B, $A256, NewEmisData!$C:$C, $H256, NewEmisData!$D:$D, CY$6)</f>
        <v>6.7587032892351797E-3</v>
      </c>
      <c r="CZ256" s="1111">
        <f>SUMIFS(NewEmisData!K:K, NewEmisData!$A:$A, $G256, NewEmisData!$B:$B, $A256, NewEmisData!$C:$C, $H256, NewEmisData!$D:$D, CZ$6)</f>
        <v>6.7553372449461798E-3</v>
      </c>
      <c r="DA256" s="1111">
        <f>SUMIFS(NewEmisData!L:L, NewEmisData!$A:$A, $G256, NewEmisData!$B:$B, $A256, NewEmisData!$C:$C, $H256, NewEmisData!$D:$D, DA$6)</f>
        <v>6.75420201921096E-3</v>
      </c>
      <c r="DB256" s="1111">
        <f>SUMIFS(NewEmisData!M:M, NewEmisData!$A:$A, $G256, NewEmisData!$B:$B, $A256, NewEmisData!$C:$C, $H256, NewEmisData!$D:$D, DB$6)</f>
        <v>6.7544025642624697E-3</v>
      </c>
      <c r="DC256" s="1111">
        <f t="shared" si="425"/>
        <v>6.7544025642624697E-3</v>
      </c>
      <c r="DD256" s="1111">
        <v>0.39397857160683847</v>
      </c>
      <c r="DE256" s="1111">
        <v>0.22910001041476069</v>
      </c>
      <c r="DF256" s="1111">
        <v>9.3891703000443583E-2</v>
      </c>
      <c r="DG256" s="1111">
        <v>1.7189501227545343E-2</v>
      </c>
      <c r="DH256" s="1111">
        <v>1.6160522719819933E-3</v>
      </c>
      <c r="DI256" s="1111">
        <v>1.6049653935622851E-3</v>
      </c>
      <c r="DJ256" s="1111">
        <v>1.6049983985356002E-3</v>
      </c>
      <c r="DK256" s="1111">
        <v>1.6098230122520154E-3</v>
      </c>
      <c r="DL256" s="1111">
        <v>1.6179747100716357E-3</v>
      </c>
      <c r="DM256" s="1111">
        <v>1.6245560853542357E-3</v>
      </c>
      <c r="DN256" s="1111">
        <v>1.6245560853542357E-3</v>
      </c>
      <c r="DO256" s="1111">
        <v>0.2153272217366988</v>
      </c>
      <c r="DP256" s="1111">
        <v>0.14953249017733392</v>
      </c>
      <c r="DQ256" s="1111">
        <v>6.7441600946284805E-2</v>
      </c>
      <c r="DR256" s="1111">
        <v>1.3565246309733816E-2</v>
      </c>
      <c r="DS256" s="1111">
        <v>2.8097295233125079E-3</v>
      </c>
      <c r="DT256" s="1111">
        <v>2.7904533416799396E-3</v>
      </c>
      <c r="DU256" s="1111">
        <v>2.7905106381460811E-3</v>
      </c>
      <c r="DV256" s="1111">
        <v>2.798898953096617E-3</v>
      </c>
      <c r="DW256" s="1111">
        <v>2.8130718384443347E-3</v>
      </c>
      <c r="DX256" s="1111">
        <v>2.824514428110457E-3</v>
      </c>
      <c r="DY256" s="1111">
        <v>2.824514428110457E-3</v>
      </c>
      <c r="DZ256" s="1111">
        <f t="shared" si="426"/>
        <v>2.0740750969478802E-2</v>
      </c>
      <c r="EA256" s="1111">
        <f>SUMIFS(NewEmisData!E:E, NewEmisData!$A:$A, $G256, NewEmisData!$B:$B, $A256, NewEmisData!$C:$C, $H256, NewEmisData!$D:$D, EA$6)</f>
        <v>2.0740750969478802E-2</v>
      </c>
      <c r="EB256" s="1111">
        <f>SUMIFS(NewEmisData!F:F, NewEmisData!$A:$A, $G256, NewEmisData!$B:$B, $A256, NewEmisData!$C:$C, $H256, NewEmisData!$D:$D, EB$6)</f>
        <v>7.9476630685157604E-2</v>
      </c>
      <c r="EC256" s="1111">
        <f>SUMIFS(NewEmisData!G:G, NewEmisData!$A:$A, $G256, NewEmisData!$B:$B, $A256, NewEmisData!$C:$C, $H256, NewEmisData!$D:$D, EC$6)</f>
        <v>0.132995121584536</v>
      </c>
      <c r="ED256" s="1111">
        <f>SUMIFS(NewEmisData!H:H, NewEmisData!$A:$A, $G256, NewEmisData!$B:$B, $A256, NewEmisData!$C:$C, $H256, NewEmisData!$D:$D, ED$6)</f>
        <v>0.13480815363144</v>
      </c>
      <c r="EE256" s="1111">
        <f>SUMIFS(NewEmisData!I:I, NewEmisData!$A:$A, $G256, NewEmisData!$B:$B, $A256, NewEmisData!$C:$C, $H256, NewEmisData!$D:$D, EE$6)</f>
        <v>0.13505884947628399</v>
      </c>
      <c r="EF256" s="1111">
        <f>SUMIFS(NewEmisData!J:J, NewEmisData!$A:$A, $G256, NewEmisData!$B:$B, $A256, NewEmisData!$C:$C, $H256, NewEmisData!$D:$D, EF$6)</f>
        <v>0.13476923534058399</v>
      </c>
      <c r="EG256" s="1111">
        <f>SUMIFS(NewEmisData!K:K, NewEmisData!$A:$A, $G256, NewEmisData!$B:$B, $A256, NewEmisData!$C:$C, $H256, NewEmisData!$D:$D, EG$6)</f>
        <v>0.13483063017123001</v>
      </c>
      <c r="EH256" s="1111">
        <f>SUMIFS(NewEmisData!L:L, NewEmisData!$A:$A, $G256, NewEmisData!$B:$B, $A256, NewEmisData!$C:$C, $H256, NewEmisData!$D:$D, EH$6)</f>
        <v>0.13476298539555601</v>
      </c>
      <c r="EI256" s="1111">
        <f>SUMIFS(NewEmisData!M:M, NewEmisData!$A:$A, $G256, NewEmisData!$B:$B, $A256, NewEmisData!$C:$C, $H256, NewEmisData!$D:$D, EI$6)</f>
        <v>0.134758213223449</v>
      </c>
      <c r="EJ256" s="1111">
        <f t="shared" si="427"/>
        <v>0.134758213223449</v>
      </c>
      <c r="EK256" s="1111">
        <f t="shared" si="428"/>
        <v>1482.5754764799101</v>
      </c>
      <c r="EL256" s="1111">
        <f t="shared" si="343"/>
        <v>1482.5754764799101</v>
      </c>
      <c r="EM256" s="1111">
        <f t="shared" si="344"/>
        <v>1635.6442478660899</v>
      </c>
      <c r="EN256" s="1111">
        <f t="shared" si="345"/>
        <v>2107.1372534500802</v>
      </c>
      <c r="EO256" s="1111">
        <f t="shared" si="346"/>
        <v>2071.9319953702902</v>
      </c>
      <c r="EP256" s="1111">
        <f t="shared" si="347"/>
        <v>2048.5012080599699</v>
      </c>
      <c r="EQ256" s="1111">
        <f t="shared" si="348"/>
        <v>2041.23090502932</v>
      </c>
      <c r="ER256" s="1111">
        <f t="shared" si="349"/>
        <v>2038.8712683316101</v>
      </c>
      <c r="ES256" s="1111">
        <f t="shared" si="350"/>
        <v>2037.89380685326</v>
      </c>
      <c r="ET256" s="1111">
        <f t="shared" si="351"/>
        <v>2037.18147825705</v>
      </c>
      <c r="EU256" s="1111">
        <f t="shared" si="352"/>
        <v>2037.18147825705</v>
      </c>
      <c r="EV256" s="1111">
        <f t="shared" si="429"/>
        <v>11.638950039279999</v>
      </c>
      <c r="EW256" s="1111">
        <f t="shared" si="333"/>
        <v>11.638950039279999</v>
      </c>
      <c r="EX256" s="1111">
        <f t="shared" si="334"/>
        <v>6.7839244745049401</v>
      </c>
      <c r="EY256" s="1111">
        <f t="shared" si="335"/>
        <v>4.3925354378646304</v>
      </c>
      <c r="EZ256" s="1111">
        <f t="shared" si="336"/>
        <v>2.6191347420861701</v>
      </c>
      <c r="FA256" s="1111">
        <f t="shared" si="337"/>
        <v>2.06534470659102</v>
      </c>
      <c r="FB256" s="1111">
        <f t="shared" si="338"/>
        <v>1.9514955612034099</v>
      </c>
      <c r="FC256" s="1111">
        <f t="shared" si="339"/>
        <v>1.9247847205619899</v>
      </c>
      <c r="FD256" s="1111">
        <f t="shared" si="340"/>
        <v>1.9239170224512001</v>
      </c>
      <c r="FE256" s="1111">
        <f t="shared" si="341"/>
        <v>1.92345457739672</v>
      </c>
      <c r="FF256" s="1111">
        <f t="shared" si="342"/>
        <v>1.92345457739672</v>
      </c>
      <c r="FG256" s="1111">
        <f t="shared" si="389"/>
        <v>3.6844240816642601E-2</v>
      </c>
      <c r="FH256" s="1111">
        <f t="shared" si="390"/>
        <v>3.6844240816642601E-2</v>
      </c>
      <c r="FI256" s="1111">
        <f t="shared" si="391"/>
        <v>3.9353507212849297E-2</v>
      </c>
      <c r="FJ256" s="1111">
        <f t="shared" si="392"/>
        <v>1.7702463178777099E-2</v>
      </c>
      <c r="FK256" s="1111">
        <f t="shared" si="393"/>
        <v>1.7311059741913899E-2</v>
      </c>
      <c r="FL256" s="1111">
        <f t="shared" si="394"/>
        <v>1.70853991434037E-2</v>
      </c>
      <c r="FM256" s="1111">
        <f t="shared" si="395"/>
        <v>1.70195621794277E-2</v>
      </c>
      <c r="FN256" s="1111">
        <f t="shared" si="396"/>
        <v>1.69983226363635E-2</v>
      </c>
      <c r="FO256" s="1111">
        <f t="shared" si="397"/>
        <v>1.6990168303807101E-2</v>
      </c>
      <c r="FP256" s="1111">
        <f t="shared" si="398"/>
        <v>1.69842326570817E-2</v>
      </c>
      <c r="FQ256" s="1111">
        <f t="shared" si="399"/>
        <v>1.69842326570817E-2</v>
      </c>
      <c r="FR256" s="1111">
        <f t="shared" si="322"/>
        <v>1.2647150782943599</v>
      </c>
      <c r="FS256" s="1111">
        <f t="shared" si="323"/>
        <v>1.2647150782943599</v>
      </c>
      <c r="FT256" s="1111">
        <f t="shared" si="324"/>
        <v>0.82297495230985995</v>
      </c>
      <c r="FU256" s="1111">
        <f t="shared" si="325"/>
        <v>0.78295839522434196</v>
      </c>
      <c r="FV256" s="1111">
        <f t="shared" si="326"/>
        <v>0.68016675260069404</v>
      </c>
      <c r="FW256" s="1111">
        <f t="shared" si="327"/>
        <v>0.64888550894506702</v>
      </c>
      <c r="FX256" s="1111">
        <f t="shared" si="328"/>
        <v>0.64362415371119697</v>
      </c>
      <c r="FY256" s="1111">
        <f t="shared" si="329"/>
        <v>0.64216665150257801</v>
      </c>
      <c r="FZ256" s="1111">
        <f t="shared" si="330"/>
        <v>0.64212477573891902</v>
      </c>
      <c r="GA256" s="1111">
        <f t="shared" si="331"/>
        <v>0.64210952076406802</v>
      </c>
      <c r="GB256" s="1111">
        <f t="shared" si="332"/>
        <v>0.64210952076406802</v>
      </c>
      <c r="GC256" s="1111">
        <f t="shared" si="353"/>
        <v>0.85268225231092398</v>
      </c>
      <c r="GD256" s="1111">
        <f t="shared" si="354"/>
        <v>0.85268225231092398</v>
      </c>
      <c r="GE256" s="1111">
        <f t="shared" si="355"/>
        <v>0.44197863249122399</v>
      </c>
      <c r="GF256" s="1111">
        <f t="shared" si="356"/>
        <v>0.24083520219764601</v>
      </c>
      <c r="GG256" s="1111">
        <f t="shared" si="357"/>
        <v>0.148362414161788</v>
      </c>
      <c r="GH256" s="1111">
        <f t="shared" si="358"/>
        <v>0.11982020029779999</v>
      </c>
      <c r="GI256" s="1111">
        <f t="shared" si="359"/>
        <v>0.115075397080156</v>
      </c>
      <c r="GJ256" s="1111">
        <f t="shared" si="360"/>
        <v>0.113741063740516</v>
      </c>
      <c r="GK256" s="1111">
        <f t="shared" si="361"/>
        <v>0.113717400839903</v>
      </c>
      <c r="GL256" s="1111">
        <f t="shared" si="362"/>
        <v>0.11370438522677</v>
      </c>
      <c r="GM256" s="1111">
        <f t="shared" si="363"/>
        <v>0.11370438522677</v>
      </c>
    </row>
    <row r="257" spans="1:195" x14ac:dyDescent="0.2">
      <c r="A257" s="1071" t="s">
        <v>184</v>
      </c>
      <c r="B257" s="1071" t="str">
        <f>Technologies!C148</f>
        <v>THSDSLADV</v>
      </c>
      <c r="C257" s="1071" t="str">
        <f>Technologies!D148</f>
        <v>Heavy Truck, Short Haul, Advanced Diesel</v>
      </c>
      <c r="D257" s="1071" t="str">
        <f>NewTech!D102</f>
        <v>bn-vmt, bn-vmt/a</v>
      </c>
      <c r="E257" s="1071" t="str">
        <f>Commodities!C$44</f>
        <v>THDSL</v>
      </c>
      <c r="F257" s="1071" t="s">
        <v>98</v>
      </c>
      <c r="G257" s="1110" t="s">
        <v>505</v>
      </c>
      <c r="H257" s="1110" t="s">
        <v>499</v>
      </c>
      <c r="I257" s="1112">
        <v>1</v>
      </c>
      <c r="J257" s="1111" t="str">
        <f t="shared" si="302"/>
        <v>Heavy duty short haul truck-DSL</v>
      </c>
      <c r="K257" s="1111">
        <f>SUMIFS(NewEmisData!E:E, NewEmisData!$A:$A, $G257, NewEmisData!$B:$B, $A257, NewEmisData!$C:$C, $H257, NewEmisData!$D:$D, K$6)</f>
        <v>1319.49151917881</v>
      </c>
      <c r="L257" s="1111">
        <f>SUMIFS(NewEmisData!F:F, NewEmisData!$A:$A, $G257, NewEmisData!$B:$B, $A257, NewEmisData!$C:$C, $H257, NewEmisData!$D:$D, L$6)</f>
        <v>1464.7581509516101</v>
      </c>
      <c r="M257" s="1111">
        <f>SUMIFS(NewEmisData!G:G, NewEmisData!$A:$A, $G257, NewEmisData!$B:$B, $A257, NewEmisData!$C:$C, $H257, NewEmisData!$D:$D, M$6)</f>
        <v>1799.86335243286</v>
      </c>
      <c r="N257" s="1111">
        <f>SUMIFS(NewEmisData!H:H, NewEmisData!$A:$A, $G257, NewEmisData!$B:$B, $A257, NewEmisData!$C:$C, $H257, NewEmisData!$D:$D, N$6)</f>
        <v>1770.55999347335</v>
      </c>
      <c r="O257" s="1111">
        <f>SUMIFS(NewEmisData!I:I, NewEmisData!$A:$A, $G257, NewEmisData!$B:$B, $A257, NewEmisData!$C:$C, $H257, NewEmisData!$D:$D, O$6)</f>
        <v>1751.5422550708799</v>
      </c>
      <c r="P257" s="1111">
        <f>SUMIFS(NewEmisData!J:J, NewEmisData!$A:$A, $G257, NewEmisData!$B:$B, $A257, NewEmisData!$C:$C, $H257, NewEmisData!$D:$D, P$6)</f>
        <v>1745.6010707511</v>
      </c>
      <c r="Q257" s="1111">
        <f>SUMIFS(NewEmisData!K:K, NewEmisData!$A:$A, $G257, NewEmisData!$B:$B, $A257, NewEmisData!$C:$C, $H257, NewEmisData!$D:$D, Q$6)</f>
        <v>1743.5885799002001</v>
      </c>
      <c r="R257" s="1111">
        <f>SUMIFS(NewEmisData!L:L, NewEmisData!$A:$A, $G257, NewEmisData!$B:$B, $A257, NewEmisData!$C:$C, $H257, NewEmisData!$D:$D, R$6)</f>
        <v>1742.6485789820999</v>
      </c>
      <c r="S257" s="1111">
        <f>SUMIFS(NewEmisData!M:M, NewEmisData!$A:$A, $G257, NewEmisData!$B:$B, $A257, NewEmisData!$C:$C, $H257, NewEmisData!$D:$D, S$6)</f>
        <v>1741.9127550599401</v>
      </c>
      <c r="T257" s="1111">
        <f t="shared" si="364"/>
        <v>1741.9127550599401</v>
      </c>
      <c r="U257" s="1111">
        <f>SUMIFS(NewEmisData!E:E, NewEmisData!$A:$A, $G257, NewEmisData!$B:$B, $A257, NewEmisData!$C:$C, $H257, NewEmisData!$D:$D, U$6)</f>
        <v>10.6053442608649</v>
      </c>
      <c r="V257" s="1111">
        <f>SUMIFS(NewEmisData!F:F, NewEmisData!$A:$A, $G257, NewEmisData!$B:$B, $A257, NewEmisData!$C:$C, $H257, NewEmisData!$D:$D, V$6)</f>
        <v>6.5449635614234403</v>
      </c>
      <c r="W257" s="1111">
        <f>SUMIFS(NewEmisData!G:G, NewEmisData!$A:$A, $G257, NewEmisData!$B:$B, $A257, NewEmisData!$C:$C, $H257, NewEmisData!$D:$D, W$6)</f>
        <v>3.6787180180936701</v>
      </c>
      <c r="X257" s="1111">
        <f>SUMIFS(NewEmisData!H:H, NewEmisData!$A:$A, $G257, NewEmisData!$B:$B, $A257, NewEmisData!$C:$C, $H257, NewEmisData!$D:$D, X$6)</f>
        <v>2.2004570236663401</v>
      </c>
      <c r="Y257" s="1111">
        <f>SUMIFS(NewEmisData!I:I, NewEmisData!$A:$A, $G257, NewEmisData!$B:$B, $A257, NewEmisData!$C:$C, $H257, NewEmisData!$D:$D, Y$6)</f>
        <v>1.7396673866677801</v>
      </c>
      <c r="Z257" s="1111">
        <f>SUMIFS(NewEmisData!J:J, NewEmisData!$A:$A, $G257, NewEmisData!$B:$B, $A257, NewEmisData!$C:$C, $H257, NewEmisData!$D:$D, Z$6)</f>
        <v>1.64503462199088</v>
      </c>
      <c r="AA257" s="1111">
        <f>SUMIFS(NewEmisData!K:K, NewEmisData!$A:$A, $G257, NewEmisData!$B:$B, $A257, NewEmisData!$C:$C, $H257, NewEmisData!$D:$D, AA$6)</f>
        <v>1.62266726199586</v>
      </c>
      <c r="AB257" s="1111">
        <f>SUMIFS(NewEmisData!L:L, NewEmisData!$A:$A, $G257, NewEmisData!$B:$B, $A257, NewEmisData!$C:$C, $H257, NewEmisData!$D:$D, AB$6)</f>
        <v>1.62186968240176</v>
      </c>
      <c r="AC257" s="1111">
        <f>SUMIFS(NewEmisData!M:M, NewEmisData!$A:$A, $G257, NewEmisData!$B:$B, $A257, NewEmisData!$C:$C, $H257, NewEmisData!$D:$D, AC$6)</f>
        <v>1.62139928384052</v>
      </c>
      <c r="AD257" s="1111">
        <f t="shared" si="321"/>
        <v>1.62139928384052</v>
      </c>
      <c r="AE257" s="1111">
        <f t="shared" si="412"/>
        <v>3.2753858750071897E-2</v>
      </c>
      <c r="AF257" s="1111">
        <f>SUMIFS(NewEmisData!E:E, NewEmisData!$A:$A, $G257, NewEmisData!$B:$B, $A257, NewEmisData!$C:$C, $H257, NewEmisData!$D:$D, AF$6)</f>
        <v>3.2753858750071897E-2</v>
      </c>
      <c r="AG257" s="1111">
        <f>SUMIFS(NewEmisData!F:F, NewEmisData!$A:$A, $G257, NewEmisData!$B:$B, $A257, NewEmisData!$C:$C, $H257, NewEmisData!$D:$D, AG$6)</f>
        <v>3.5451037141744003E-2</v>
      </c>
      <c r="AH257" s="1111">
        <f>SUMIFS(NewEmisData!G:G, NewEmisData!$A:$A, $G257, NewEmisData!$B:$B, $A257, NewEmisData!$C:$C, $H257, NewEmisData!$D:$D, AH$6)</f>
        <v>1.5119273460284501E-2</v>
      </c>
      <c r="AI257" s="1111">
        <f>SUMIFS(NewEmisData!H:H, NewEmisData!$A:$A, $G257, NewEmisData!$B:$B, $A257, NewEmisData!$C:$C, $H257, NewEmisData!$D:$D, AI$6)</f>
        <v>1.47924708148466E-2</v>
      </c>
      <c r="AJ257" s="1111">
        <f>SUMIFS(NewEmisData!I:I, NewEmisData!$A:$A, $G257, NewEmisData!$B:$B, $A257, NewEmisData!$C:$C, $H257, NewEmisData!$D:$D, AJ$6)</f>
        <v>1.4608534822893701E-2</v>
      </c>
      <c r="AK257" s="1111">
        <f>SUMIFS(NewEmisData!J:J, NewEmisData!$A:$A, $G257, NewEmisData!$B:$B, $A257, NewEmisData!$C:$C, $H257, NewEmisData!$D:$D, AK$6)</f>
        <v>1.45546061834944E-2</v>
      </c>
      <c r="AL257" s="1111">
        <f>SUMIFS(NewEmisData!K:K, NewEmisData!$A:$A, $G257, NewEmisData!$B:$B, $A257, NewEmisData!$C:$C, $H257, NewEmisData!$D:$D, AL$6)</f>
        <v>1.4536510442551E-2</v>
      </c>
      <c r="AM257" s="1111">
        <f>SUMIFS(NewEmisData!L:L, NewEmisData!$A:$A, $G257, NewEmisData!$B:$B, $A257, NewEmisData!$C:$C, $H257, NewEmisData!$D:$D, AM$6)</f>
        <v>1.4528668182896999E-2</v>
      </c>
      <c r="AN257" s="1111">
        <f>SUMIFS(NewEmisData!M:M, NewEmisData!$A:$A, $G257, NewEmisData!$B:$B, $A257, NewEmisData!$C:$C, $H257, NewEmisData!$D:$D, AN$6)</f>
        <v>1.45225405658348E-2</v>
      </c>
      <c r="AO257" s="1111">
        <f t="shared" si="413"/>
        <v>1.45225405658348E-2</v>
      </c>
      <c r="AP257" s="1111">
        <f t="shared" si="414"/>
        <v>1.04983400982203</v>
      </c>
      <c r="AQ257" s="1111">
        <f>SUMIFS(NewEmisData!E:E, NewEmisData!$A:$A, $G257, NewEmisData!$B:$B, $A257, NewEmisData!$C:$C, $H257, NewEmisData!$D:$D, AQ$6)</f>
        <v>1.04983400982203</v>
      </c>
      <c r="AR257" s="1111">
        <f>SUMIFS(NewEmisData!F:F, NewEmisData!$A:$A, $G257, NewEmisData!$B:$B, $A257, NewEmisData!$C:$C, $H257, NewEmisData!$D:$D, AR$6)</f>
        <v>0.72832653653898105</v>
      </c>
      <c r="AS257" s="1111">
        <f>SUMIFS(NewEmisData!G:G, NewEmisData!$A:$A, $G257, NewEmisData!$B:$B, $A257, NewEmisData!$C:$C, $H257, NewEmisData!$D:$D, AS$6)</f>
        <v>0.58427614618818202</v>
      </c>
      <c r="AT257" s="1111">
        <f>SUMIFS(NewEmisData!H:H, NewEmisData!$A:$A, $G257, NewEmisData!$B:$B, $A257, NewEmisData!$C:$C, $H257, NewEmisData!$D:$D, AT$6)</f>
        <v>0.50134292856914997</v>
      </c>
      <c r="AU257" s="1111">
        <f>SUMIFS(NewEmisData!I:I, NewEmisData!$A:$A, $G257, NewEmisData!$B:$B, $A257, NewEmisData!$C:$C, $H257, NewEmisData!$D:$D, AU$6)</f>
        <v>0.47618546496589997</v>
      </c>
      <c r="AV257" s="1111">
        <f>SUMIFS(NewEmisData!J:J, NewEmisData!$A:$A, $G257, NewEmisData!$B:$B, $A257, NewEmisData!$C:$C, $H257, NewEmisData!$D:$D, AV$6)</f>
        <v>0.47190149656039998</v>
      </c>
      <c r="AW257" s="1111">
        <f>SUMIFS(NewEmisData!K:K, NewEmisData!$A:$A, $G257, NewEmisData!$B:$B, $A257, NewEmisData!$C:$C, $H257, NewEmisData!$D:$D, AW$6)</f>
        <v>0.47071689819165202</v>
      </c>
      <c r="AX257" s="1111">
        <f>SUMIFS(NewEmisData!L:L, NewEmisData!$A:$A, $G257, NewEmisData!$B:$B, $A257, NewEmisData!$C:$C, $H257, NewEmisData!$D:$D, AX$6)</f>
        <v>0.47069343749269799</v>
      </c>
      <c r="AY257" s="1111">
        <f>SUMIFS(NewEmisData!M:M, NewEmisData!$A:$A, $G257, NewEmisData!$B:$B, $A257, NewEmisData!$C:$C, $H257, NewEmisData!$D:$D, AY$6)</f>
        <v>0.47069114341764501</v>
      </c>
      <c r="AZ257" s="1111">
        <f t="shared" si="415"/>
        <v>0.47069114341764501</v>
      </c>
      <c r="BA257" s="1111">
        <f t="shared" si="416"/>
        <v>0.72578410583292197</v>
      </c>
      <c r="BB257" s="1111">
        <f>SUMIFS(NewEmisData!E:E, NewEmisData!$A:$A, $G257, NewEmisData!$B:$B, $A257, NewEmisData!$C:$C, $H257, NewEmisData!$D:$D, BB$6)</f>
        <v>0.72578410583292197</v>
      </c>
      <c r="BC257" s="1111">
        <f>SUMIFS(NewEmisData!F:F, NewEmisData!$A:$A, $G257, NewEmisData!$B:$B, $A257, NewEmisData!$C:$C, $H257, NewEmisData!$D:$D, BC$6)</f>
        <v>0.42763209762876098</v>
      </c>
      <c r="BD257" s="1111">
        <f>SUMIFS(NewEmisData!G:G, NewEmisData!$A:$A, $G257, NewEmisData!$B:$B, $A257, NewEmisData!$C:$C, $H257, NewEmisData!$D:$D, BD$6)</f>
        <v>0.18944103926397299</v>
      </c>
      <c r="BE257" s="1111">
        <f>SUMIFS(NewEmisData!H:H, NewEmisData!$A:$A, $G257, NewEmisData!$B:$B, $A257, NewEmisData!$C:$C, $H257, NewEmisData!$D:$D, BE$6)</f>
        <v>0.114666499637313</v>
      </c>
      <c r="BF257" s="1111">
        <f>SUMIFS(NewEmisData!I:I, NewEmisData!$A:$A, $G257, NewEmisData!$B:$B, $A257, NewEmisData!$C:$C, $H257, NewEmisData!$D:$D, BF$6)</f>
        <v>9.1724132402913702E-2</v>
      </c>
      <c r="BG257" s="1111">
        <f>SUMIFS(NewEmisData!J:J, NewEmisData!$A:$A, $G257, NewEmisData!$B:$B, $A257, NewEmisData!$C:$C, $H257, NewEmisData!$D:$D, BG$6)</f>
        <v>8.7857141954733695E-2</v>
      </c>
      <c r="BH257" s="1111">
        <f>SUMIFS(NewEmisData!K:K, NewEmisData!$A:$A, $G257, NewEmisData!$B:$B, $A257, NewEmisData!$C:$C, $H257, NewEmisData!$D:$D, BH$6)</f>
        <v>8.6767275626484494E-2</v>
      </c>
      <c r="BI257" s="1111">
        <f>SUMIFS(NewEmisData!L:L, NewEmisData!$A:$A, $G257, NewEmisData!$B:$B, $A257, NewEmisData!$C:$C, $H257, NewEmisData!$D:$D, BI$6)</f>
        <v>8.6748879396040507E-2</v>
      </c>
      <c r="BJ257" s="1111">
        <f>SUMIFS(NewEmisData!M:M, NewEmisData!$A:$A, $G257, NewEmisData!$B:$B, $A257, NewEmisData!$C:$C, $H257, NewEmisData!$D:$D, BJ$6)</f>
        <v>8.67391289437488E-2</v>
      </c>
      <c r="BK257" s="1111">
        <f t="shared" si="417"/>
        <v>8.67391289437488E-2</v>
      </c>
      <c r="BL257" s="1111">
        <f t="shared" si="418"/>
        <v>4.3049508481768202</v>
      </c>
      <c r="BM257" s="1111">
        <f>SUMIFS(NewEmisData!E:E, NewEmisData!$A:$A, $G257, NewEmisData!$B:$B, $A257, NewEmisData!$C:$C, $H257, NewEmisData!$D:$D, BM$6)</f>
        <v>4.3049508481768202</v>
      </c>
      <c r="BN257" s="1111">
        <f>SUMIFS(NewEmisData!F:F, NewEmisData!$A:$A, $G257, NewEmisData!$B:$B, $A257, NewEmisData!$C:$C, $H257, NewEmisData!$D:$D, BN$6)</f>
        <v>2.5543682877581499</v>
      </c>
      <c r="BO257" s="1111">
        <f>SUMIFS(NewEmisData!G:G, NewEmisData!$A:$A, $G257, NewEmisData!$B:$B, $A257, NewEmisData!$C:$C, $H257, NewEmisData!$D:$D, BO$6)</f>
        <v>1.41557635494585</v>
      </c>
      <c r="BP257" s="1111">
        <f>SUMIFS(NewEmisData!H:H, NewEmisData!$A:$A, $G257, NewEmisData!$B:$B, $A257, NewEmisData!$C:$C, $H257, NewEmisData!$D:$D, BP$6)</f>
        <v>0.97239499404962104</v>
      </c>
      <c r="BQ257" s="1111">
        <f>SUMIFS(NewEmisData!I:I, NewEmisData!$A:$A, $G257, NewEmisData!$B:$B, $A257, NewEmisData!$C:$C, $H257, NewEmisData!$D:$D, BQ$6)</f>
        <v>0.83818353775375698</v>
      </c>
      <c r="BR257" s="1111">
        <f>SUMIFS(NewEmisData!J:J, NewEmisData!$A:$A, $G257, NewEmisData!$B:$B, $A257, NewEmisData!$C:$C, $H257, NewEmisData!$D:$D, BR$6)</f>
        <v>0.80843597247967702</v>
      </c>
      <c r="BS257" s="1111">
        <f>SUMIFS(NewEmisData!K:K, NewEmisData!$A:$A, $G257, NewEmisData!$B:$B, $A257, NewEmisData!$C:$C, $H257, NewEmisData!$D:$D, BS$6)</f>
        <v>0.80034145030903103</v>
      </c>
      <c r="BT257" s="1111">
        <f>SUMIFS(NewEmisData!L:L, NewEmisData!$A:$A, $G257, NewEmisData!$B:$B, $A257, NewEmisData!$C:$C, $H257, NewEmisData!$D:$D, BT$6)</f>
        <v>0.79923379896798996</v>
      </c>
      <c r="BU257" s="1111">
        <f>SUMIFS(NewEmisData!M:M, NewEmisData!$A:$A, $G257, NewEmisData!$B:$B, $A257, NewEmisData!$C:$C, $H257, NewEmisData!$D:$D, BU$6)</f>
        <v>0.799086633890294</v>
      </c>
      <c r="BV257" s="1111">
        <f t="shared" si="419"/>
        <v>0.799086633890294</v>
      </c>
      <c r="BW257" s="1111">
        <f t="shared" si="420"/>
        <v>1.2471069760284099</v>
      </c>
      <c r="BX257" s="1111">
        <f>SUMIFS(NewEmisData!E:E, NewEmisData!$A:$A, $G257, NewEmisData!$B:$B, $A257, NewEmisData!$C:$C, $H257, NewEmisData!$D:$D, BX$6)</f>
        <v>1.2471069760284099</v>
      </c>
      <c r="BY257" s="1111">
        <f>SUMIFS(NewEmisData!F:F, NewEmisData!$A:$A, $G257, NewEmisData!$B:$B, $A257, NewEmisData!$C:$C, $H257, NewEmisData!$D:$D, BY$6)</f>
        <v>0.66664518440710496</v>
      </c>
      <c r="BZ257" s="1111">
        <f>SUMIFS(NewEmisData!G:G, NewEmisData!$A:$A, $G257, NewEmisData!$B:$B, $A257, NewEmisData!$C:$C, $H257, NewEmisData!$D:$D, BZ$6)</f>
        <v>0.32007282630831302</v>
      </c>
      <c r="CA257" s="1111">
        <f>SUMIFS(NewEmisData!H:H, NewEmisData!$A:$A, $G257, NewEmisData!$B:$B, $A257, NewEmisData!$C:$C, $H257, NewEmisData!$D:$D, CA$6)</f>
        <v>0.176542353194966</v>
      </c>
      <c r="CB257" s="1111">
        <f>SUMIFS(NewEmisData!I:I, NewEmisData!$A:$A, $G257, NewEmisData!$B:$B, $A257, NewEmisData!$C:$C, $H257, NewEmisData!$D:$D, CB$6)</f>
        <v>0.132926153663285</v>
      </c>
      <c r="CC257" s="1111">
        <f>SUMIFS(NewEmisData!J:J, NewEmisData!$A:$A, $G257, NewEmisData!$B:$B, $A257, NewEmisData!$C:$C, $H257, NewEmisData!$D:$D, CC$6)</f>
        <v>0.12423141693730599</v>
      </c>
      <c r="CD257" s="1111">
        <f>SUMIFS(NewEmisData!K:K, NewEmisData!$A:$A, $G257, NewEmisData!$B:$B, $A257, NewEmisData!$C:$C, $H257, NewEmisData!$D:$D, CD$6)</f>
        <v>0.121871982031799</v>
      </c>
      <c r="CE257" s="1111">
        <f>SUMIFS(NewEmisData!L:L, NewEmisData!$A:$A, $G257, NewEmisData!$B:$B, $A257, NewEmisData!$C:$C, $H257, NewEmisData!$D:$D, CE$6)</f>
        <v>0.121809764298298</v>
      </c>
      <c r="CF257" s="1111">
        <f>SUMIFS(NewEmisData!M:M, NewEmisData!$A:$A, $G257, NewEmisData!$B:$B, $A257, NewEmisData!$C:$C, $H257, NewEmisData!$D:$D, CF$6)</f>
        <v>0.121789215464539</v>
      </c>
      <c r="CG257" s="1111">
        <f t="shared" si="421"/>
        <v>0.121789215464539</v>
      </c>
      <c r="CH257" s="1111">
        <f t="shared" si="422"/>
        <v>2.61956847346188E-2</v>
      </c>
      <c r="CI257" s="1111">
        <f>SUMIFS(NewEmisData!E:E, NewEmisData!$A:$A, $G257, NewEmisData!$B:$B, $A257, NewEmisData!$C:$C, $H257, NewEmisData!$D:$D, CI$6)</f>
        <v>2.61956847346188E-2</v>
      </c>
      <c r="CJ257" s="1111">
        <f>SUMIFS(NewEmisData!F:F, NewEmisData!$A:$A, $G257, NewEmisData!$B:$B, $A257, NewEmisData!$C:$C, $H257, NewEmisData!$D:$D, CJ$6)</f>
        <v>2.6459582282205199E-2</v>
      </c>
      <c r="CK257" s="1111">
        <f>SUMIFS(NewEmisData!G:G, NewEmisData!$A:$A, $G257, NewEmisData!$B:$B, $A257, NewEmisData!$C:$C, $H257, NewEmisData!$D:$D, CK$6)</f>
        <v>3.3469493870709799E-2</v>
      </c>
      <c r="CL257" s="1111">
        <f>SUMIFS(NewEmisData!H:H, NewEmisData!$A:$A, $G257, NewEmisData!$B:$B, $A257, NewEmisData!$C:$C, $H257, NewEmisData!$D:$D, CL$6)</f>
        <v>3.3485441021182498E-2</v>
      </c>
      <c r="CM257" s="1111">
        <f>SUMIFS(NewEmisData!I:I, NewEmisData!$A:$A, $G257, NewEmisData!$B:$B, $A257, NewEmisData!$C:$C, $H257, NewEmisData!$D:$D, CM$6)</f>
        <v>3.3493620207947897E-2</v>
      </c>
      <c r="CN257" s="1111">
        <f>SUMIFS(NewEmisData!J:J, NewEmisData!$A:$A, $G257, NewEmisData!$B:$B, $A257, NewEmisData!$C:$C, $H257, NewEmisData!$D:$D, CN$6)</f>
        <v>3.3495964958687903E-2</v>
      </c>
      <c r="CO257" s="1111">
        <f>SUMIFS(NewEmisData!K:K, NewEmisData!$A:$A, $G257, NewEmisData!$B:$B, $A257, NewEmisData!$C:$C, $H257, NewEmisData!$D:$D, CO$6)</f>
        <v>3.3495912000105203E-2</v>
      </c>
      <c r="CP257" s="1111">
        <f>SUMIFS(NewEmisData!L:L, NewEmisData!$A:$A, $G257, NewEmisData!$B:$B, $A257, NewEmisData!$C:$C, $H257, NewEmisData!$D:$D, CP$6)</f>
        <v>3.3495078771151397E-2</v>
      </c>
      <c r="CQ257" s="1111">
        <f>SUMIFS(NewEmisData!M:M, NewEmisData!$A:$A, $G257, NewEmisData!$B:$B, $A257, NewEmisData!$C:$C, $H257, NewEmisData!$D:$D, CQ$6)</f>
        <v>3.34940363554617E-2</v>
      </c>
      <c r="CR257" s="1111">
        <f t="shared" si="423"/>
        <v>3.34940363554617E-2</v>
      </c>
      <c r="CS257" s="1111">
        <f t="shared" si="424"/>
        <v>3.5917736289565799E-3</v>
      </c>
      <c r="CT257" s="1111">
        <f>SUMIFS(NewEmisData!E:E, NewEmisData!$A:$A, $G257, NewEmisData!$B:$B, $A257, NewEmisData!$C:$C, $H257, NewEmisData!$D:$D, CT$6)</f>
        <v>3.5917736289565799E-3</v>
      </c>
      <c r="CU257" s="1111">
        <f>SUMIFS(NewEmisData!F:F, NewEmisData!$A:$A, $G257, NewEmisData!$B:$B, $A257, NewEmisData!$C:$C, $H257, NewEmisData!$D:$D, CU$6)</f>
        <v>3.6091903831295602E-3</v>
      </c>
      <c r="CV257" s="1111">
        <f>SUMIFS(NewEmisData!G:G, NewEmisData!$A:$A, $G257, NewEmisData!$B:$B, $A257, NewEmisData!$C:$C, $H257, NewEmisData!$D:$D, CV$6)</f>
        <v>5.2505206053814202E-3</v>
      </c>
      <c r="CW257" s="1111">
        <f>SUMIFS(NewEmisData!H:H, NewEmisData!$A:$A, $G257, NewEmisData!$B:$B, $A257, NewEmisData!$C:$C, $H257, NewEmisData!$D:$D, CW$6)</f>
        <v>5.2355362521004402E-3</v>
      </c>
      <c r="CX257" s="1111">
        <f>SUMIFS(NewEmisData!I:I, NewEmisData!$A:$A, $G257, NewEmisData!$B:$B, $A257, NewEmisData!$C:$C, $H257, NewEmisData!$D:$D, CX$6)</f>
        <v>5.2243063278227799E-3</v>
      </c>
      <c r="CY257" s="1111">
        <f>SUMIFS(NewEmisData!J:J, NewEmisData!$A:$A, $G257, NewEmisData!$B:$B, $A257, NewEmisData!$C:$C, $H257, NewEmisData!$D:$D, CY$6)</f>
        <v>5.2188288195051304E-3</v>
      </c>
      <c r="CZ257" s="1111">
        <f>SUMIFS(NewEmisData!K:K, NewEmisData!$A:$A, $G257, NewEmisData!$B:$B, $A257, NewEmisData!$C:$C, $H257, NewEmisData!$D:$D, CZ$6)</f>
        <v>5.2164145073888097E-3</v>
      </c>
      <c r="DA257" s="1111">
        <f>SUMIFS(NewEmisData!L:L, NewEmisData!$A:$A, $G257, NewEmisData!$B:$B, $A257, NewEmisData!$C:$C, $H257, NewEmisData!$D:$D, DA$6)</f>
        <v>5.2155948103937101E-3</v>
      </c>
      <c r="DB257" s="1111">
        <f>SUMIFS(NewEmisData!M:M, NewEmisData!$A:$A, $G257, NewEmisData!$B:$B, $A257, NewEmisData!$C:$C, $H257, NewEmisData!$D:$D, DB$6)</f>
        <v>5.2157496356988403E-3</v>
      </c>
      <c r="DC257" s="1111">
        <f t="shared" si="425"/>
        <v>5.2157496356988403E-3</v>
      </c>
      <c r="DD257" s="1111"/>
      <c r="DE257" s="1111"/>
      <c r="DF257" s="1111"/>
      <c r="DG257" s="1111"/>
      <c r="DH257" s="1111"/>
      <c r="DI257" s="1111"/>
      <c r="DJ257" s="1111"/>
      <c r="DK257" s="1111"/>
      <c r="DL257" s="1111"/>
      <c r="DM257" s="1111"/>
      <c r="DN257" s="1111"/>
      <c r="DO257" s="1111"/>
      <c r="DP257" s="1111"/>
      <c r="DQ257" s="1111"/>
      <c r="DR257" s="1111"/>
      <c r="DS257" s="1111"/>
      <c r="DT257" s="1111"/>
      <c r="DU257" s="1111"/>
      <c r="DV257" s="1111"/>
      <c r="DW257" s="1111"/>
      <c r="DX257" s="1111"/>
      <c r="DY257" s="1111"/>
      <c r="DZ257" s="1111">
        <f t="shared" si="426"/>
        <v>1.80110275159466E-2</v>
      </c>
      <c r="EA257" s="1111">
        <f>SUMIFS(NewEmisData!E:E, NewEmisData!$A:$A, $G257, NewEmisData!$B:$B, $A257, NewEmisData!$C:$C, $H257, NewEmisData!$D:$D, EA$6)</f>
        <v>1.80110275159466E-2</v>
      </c>
      <c r="EB257" s="1111">
        <f>SUMIFS(NewEmisData!F:F, NewEmisData!$A:$A, $G257, NewEmisData!$B:$B, $A257, NewEmisData!$C:$C, $H257, NewEmisData!$D:$D, EB$6)</f>
        <v>5.9415032543044199E-2</v>
      </c>
      <c r="EC257" s="1111">
        <f>SUMIFS(NewEmisData!G:G, NewEmisData!$A:$A, $G257, NewEmisData!$B:$B, $A257, NewEmisData!$C:$C, $H257, NewEmisData!$D:$D, EC$6)</f>
        <v>0.10406778688120299</v>
      </c>
      <c r="ED257" s="1111">
        <f>SUMIFS(NewEmisData!H:H, NewEmisData!$A:$A, $G257, NewEmisData!$B:$B, $A257, NewEmisData!$C:$C, $H257, NewEmisData!$D:$D, ED$6)</f>
        <v>0.105321093135052</v>
      </c>
      <c r="EE257" s="1111">
        <f>SUMIFS(NewEmisData!I:I, NewEmisData!$A:$A, $G257, NewEmisData!$B:$B, $A257, NewEmisData!$C:$C, $H257, NewEmisData!$D:$D, EE$6)</f>
        <v>0.10543994105987201</v>
      </c>
      <c r="EF257" s="1111">
        <f>SUMIFS(NewEmisData!J:J, NewEmisData!$A:$A, $G257, NewEmisData!$B:$B, $A257, NewEmisData!$C:$C, $H257, NewEmisData!$D:$D, EF$6)</f>
        <v>0.105208381907267</v>
      </c>
      <c r="EG257" s="1111">
        <f>SUMIFS(NewEmisData!K:K, NewEmisData!$A:$A, $G257, NewEmisData!$B:$B, $A257, NewEmisData!$C:$C, $H257, NewEmisData!$D:$D, EG$6)</f>
        <v>0.105244034731584</v>
      </c>
      <c r="EH257" s="1111">
        <f>SUMIFS(NewEmisData!L:L, NewEmisData!$A:$A, $G257, NewEmisData!$B:$B, $A257, NewEmisData!$C:$C, $H257, NewEmisData!$D:$D, EH$6)</f>
        <v>0.10519712220805</v>
      </c>
      <c r="EI257" s="1111">
        <f>SUMIFS(NewEmisData!M:M, NewEmisData!$A:$A, $G257, NewEmisData!$B:$B, $A257, NewEmisData!$C:$C, $H257, NewEmisData!$D:$D, EI$6)</f>
        <v>0.105194222004308</v>
      </c>
      <c r="EJ257" s="1111">
        <f t="shared" si="427"/>
        <v>0.105194222004308</v>
      </c>
      <c r="EK257" s="1111">
        <f t="shared" si="428"/>
        <v>1319.49151917881</v>
      </c>
      <c r="EL257" s="1111">
        <f t="shared" si="343"/>
        <v>1319.49151917881</v>
      </c>
      <c r="EM257" s="1111">
        <f t="shared" si="344"/>
        <v>1464.7581509516101</v>
      </c>
      <c r="EN257" s="1111">
        <f t="shared" si="345"/>
        <v>1799.86335243286</v>
      </c>
      <c r="EO257" s="1111">
        <f t="shared" si="346"/>
        <v>1770.55999347335</v>
      </c>
      <c r="EP257" s="1111">
        <f t="shared" si="347"/>
        <v>1751.5422550708799</v>
      </c>
      <c r="EQ257" s="1111">
        <f t="shared" si="348"/>
        <v>1745.6010707511</v>
      </c>
      <c r="ER257" s="1111">
        <f t="shared" si="349"/>
        <v>1743.5885799002001</v>
      </c>
      <c r="ES257" s="1111">
        <f t="shared" si="350"/>
        <v>1742.6485789820999</v>
      </c>
      <c r="ET257" s="1111">
        <f t="shared" si="351"/>
        <v>1741.9127550599401</v>
      </c>
      <c r="EU257" s="1111">
        <f t="shared" si="352"/>
        <v>1741.9127550599401</v>
      </c>
      <c r="EV257" s="1111">
        <f t="shared" si="429"/>
        <v>10.6053442608649</v>
      </c>
      <c r="EW257" s="1111">
        <f t="shared" si="333"/>
        <v>10.6053442608649</v>
      </c>
      <c r="EX257" s="1111">
        <f t="shared" si="334"/>
        <v>6.5449635614234403</v>
      </c>
      <c r="EY257" s="1111">
        <f t="shared" si="335"/>
        <v>3.6787180180936701</v>
      </c>
      <c r="EZ257" s="1111">
        <f t="shared" si="336"/>
        <v>2.2004570236663401</v>
      </c>
      <c r="FA257" s="1111">
        <f t="shared" si="337"/>
        <v>1.7396673866677801</v>
      </c>
      <c r="FB257" s="1111">
        <f t="shared" si="338"/>
        <v>1.64503462199088</v>
      </c>
      <c r="FC257" s="1111">
        <f t="shared" si="339"/>
        <v>1.62266726199586</v>
      </c>
      <c r="FD257" s="1111">
        <f t="shared" si="340"/>
        <v>1.62186968240176</v>
      </c>
      <c r="FE257" s="1111">
        <f t="shared" si="341"/>
        <v>1.62139928384052</v>
      </c>
      <c r="FF257" s="1111">
        <f t="shared" si="342"/>
        <v>1.62139928384052</v>
      </c>
      <c r="FG257" s="1111">
        <f t="shared" si="389"/>
        <v>3.2753858750071897E-2</v>
      </c>
      <c r="FH257" s="1111">
        <f t="shared" si="390"/>
        <v>3.2753858750071897E-2</v>
      </c>
      <c r="FI257" s="1111">
        <f t="shared" si="391"/>
        <v>3.5451037141744003E-2</v>
      </c>
      <c r="FJ257" s="1111">
        <f t="shared" si="392"/>
        <v>1.5119273460284501E-2</v>
      </c>
      <c r="FK257" s="1111">
        <f t="shared" si="393"/>
        <v>1.47924708148466E-2</v>
      </c>
      <c r="FL257" s="1111">
        <f t="shared" si="394"/>
        <v>1.4608534822893701E-2</v>
      </c>
      <c r="FM257" s="1111">
        <f t="shared" si="395"/>
        <v>1.45546061834944E-2</v>
      </c>
      <c r="FN257" s="1111">
        <f t="shared" si="396"/>
        <v>1.4536510442551E-2</v>
      </c>
      <c r="FO257" s="1111">
        <f t="shared" si="397"/>
        <v>1.4528668182896999E-2</v>
      </c>
      <c r="FP257" s="1111">
        <f t="shared" si="398"/>
        <v>1.45225405658348E-2</v>
      </c>
      <c r="FQ257" s="1111">
        <f t="shared" si="399"/>
        <v>1.45225405658348E-2</v>
      </c>
      <c r="FR257" s="1111">
        <f t="shared" si="322"/>
        <v>1.04983400982203</v>
      </c>
      <c r="FS257" s="1111">
        <f t="shared" si="323"/>
        <v>1.04983400982203</v>
      </c>
      <c r="FT257" s="1111">
        <f t="shared" si="324"/>
        <v>0.72832653653898105</v>
      </c>
      <c r="FU257" s="1111">
        <f t="shared" si="325"/>
        <v>0.58427614618818202</v>
      </c>
      <c r="FV257" s="1111">
        <f t="shared" si="326"/>
        <v>0.50134292856914997</v>
      </c>
      <c r="FW257" s="1111">
        <f t="shared" si="327"/>
        <v>0.47618546496589997</v>
      </c>
      <c r="FX257" s="1111">
        <f t="shared" si="328"/>
        <v>0.47190149656039998</v>
      </c>
      <c r="FY257" s="1111">
        <f t="shared" si="329"/>
        <v>0.47071689819165202</v>
      </c>
      <c r="FZ257" s="1111">
        <f t="shared" si="330"/>
        <v>0.47069343749269799</v>
      </c>
      <c r="GA257" s="1111">
        <f t="shared" si="331"/>
        <v>0.47069114341764501</v>
      </c>
      <c r="GB257" s="1111">
        <f t="shared" si="332"/>
        <v>0.47069114341764501</v>
      </c>
      <c r="GC257" s="1111">
        <f t="shared" si="353"/>
        <v>0.72578410583292197</v>
      </c>
      <c r="GD257" s="1111">
        <f t="shared" si="354"/>
        <v>0.72578410583292197</v>
      </c>
      <c r="GE257" s="1111">
        <f t="shared" si="355"/>
        <v>0.42763209762876098</v>
      </c>
      <c r="GF257" s="1111">
        <f t="shared" si="356"/>
        <v>0.18944103926397299</v>
      </c>
      <c r="GG257" s="1111">
        <f t="shared" si="357"/>
        <v>0.114666499637313</v>
      </c>
      <c r="GH257" s="1111">
        <f t="shared" si="358"/>
        <v>9.1724132402913702E-2</v>
      </c>
      <c r="GI257" s="1111">
        <f t="shared" si="359"/>
        <v>8.7857141954733695E-2</v>
      </c>
      <c r="GJ257" s="1111">
        <f t="shared" si="360"/>
        <v>8.6767275626484494E-2</v>
      </c>
      <c r="GK257" s="1111">
        <f t="shared" si="361"/>
        <v>8.6748879396040507E-2</v>
      </c>
      <c r="GL257" s="1111">
        <f t="shared" si="362"/>
        <v>8.67391289437488E-2</v>
      </c>
      <c r="GM257" s="1111">
        <f t="shared" si="363"/>
        <v>8.67391289437488E-2</v>
      </c>
    </row>
    <row r="258" spans="1:195" x14ac:dyDescent="0.2">
      <c r="A258" s="1071" t="s">
        <v>186</v>
      </c>
      <c r="B258" s="1071" t="str">
        <f>Technologies!C148</f>
        <v>THSDSLADV</v>
      </c>
      <c r="C258" s="1071" t="str">
        <f>Technologies!D148</f>
        <v>Heavy Truck, Short Haul, Advanced Diesel</v>
      </c>
      <c r="D258" s="1071" t="str">
        <f>NewTech!D102</f>
        <v>bn-vmt, bn-vmt/a</v>
      </c>
      <c r="E258" s="1071" t="str">
        <f>Commodities!C$44</f>
        <v>THDSL</v>
      </c>
      <c r="F258" s="1071" t="s">
        <v>98</v>
      </c>
      <c r="G258" s="1110" t="s">
        <v>505</v>
      </c>
      <c r="H258" s="1110" t="s">
        <v>499</v>
      </c>
      <c r="I258" s="1112">
        <v>1</v>
      </c>
      <c r="J258" s="1111" t="str">
        <f t="shared" si="302"/>
        <v>Heavy duty short haul truck-DSL</v>
      </c>
      <c r="K258" s="1111">
        <f>SUMIFS(NewEmisData!E:E, NewEmisData!$A:$A, $G258, NewEmisData!$B:$B, $A258, NewEmisData!$C:$C, $H258, NewEmisData!$D:$D, K$6)</f>
        <v>1965.3480196129899</v>
      </c>
      <c r="L258" s="1111">
        <f>SUMIFS(NewEmisData!F:F, NewEmisData!$A:$A, $G258, NewEmisData!$B:$B, $A258, NewEmisData!$C:$C, $H258, NewEmisData!$D:$D, L$6)</f>
        <v>2010.3216718511901</v>
      </c>
      <c r="M258" s="1111">
        <f>SUMIFS(NewEmisData!G:G, NewEmisData!$A:$A, $G258, NewEmisData!$B:$B, $A258, NewEmisData!$C:$C, $H258, NewEmisData!$D:$D, M$6)</f>
        <v>2090.4906656609201</v>
      </c>
      <c r="N258" s="1111">
        <f>SUMIFS(NewEmisData!H:H, NewEmisData!$A:$A, $G258, NewEmisData!$B:$B, $A258, NewEmisData!$C:$C, $H258, NewEmisData!$D:$D, N$6)</f>
        <v>2053.9539193064902</v>
      </c>
      <c r="O258" s="1111">
        <f>SUMIFS(NewEmisData!I:I, NewEmisData!$A:$A, $G258, NewEmisData!$B:$B, $A258, NewEmisData!$C:$C, $H258, NewEmisData!$D:$D, O$6)</f>
        <v>2027.8421991422999</v>
      </c>
      <c r="P258" s="1111">
        <f>SUMIFS(NewEmisData!J:J, NewEmisData!$A:$A, $G258, NewEmisData!$B:$B, $A258, NewEmisData!$C:$C, $H258, NewEmisData!$D:$D, P$6)</f>
        <v>2019.45150345712</v>
      </c>
      <c r="Q258" s="1111">
        <f>SUMIFS(NewEmisData!K:K, NewEmisData!$A:$A, $G258, NewEmisData!$B:$B, $A258, NewEmisData!$C:$C, $H258, NewEmisData!$D:$D, Q$6)</f>
        <v>2016.54651893857</v>
      </c>
      <c r="R258" s="1111">
        <f>SUMIFS(NewEmisData!L:L, NewEmisData!$A:$A, $G258, NewEmisData!$B:$B, $A258, NewEmisData!$C:$C, $H258, NewEmisData!$D:$D, R$6)</f>
        <v>2015.2058723386001</v>
      </c>
      <c r="S258" s="1111">
        <f>SUMIFS(NewEmisData!M:M, NewEmisData!$A:$A, $G258, NewEmisData!$B:$B, $A258, NewEmisData!$C:$C, $H258, NewEmisData!$D:$D, S$6)</f>
        <v>2014.2294332377901</v>
      </c>
      <c r="T258" s="1111">
        <f t="shared" si="364"/>
        <v>2014.2294332377901</v>
      </c>
      <c r="U258" s="1111">
        <f>SUMIFS(NewEmisData!E:E, NewEmisData!$A:$A, $G258, NewEmisData!$B:$B, $A258, NewEmisData!$C:$C, $H258, NewEmisData!$D:$D, U$6)</f>
        <v>16.5695691882601</v>
      </c>
      <c r="V258" s="1111">
        <f>SUMIFS(NewEmisData!F:F, NewEmisData!$A:$A, $G258, NewEmisData!$B:$B, $A258, NewEmisData!$C:$C, $H258, NewEmisData!$D:$D, V$6)</f>
        <v>10.1915554047669</v>
      </c>
      <c r="W258" s="1111">
        <f>SUMIFS(NewEmisData!G:G, NewEmisData!$A:$A, $G258, NewEmisData!$B:$B, $A258, NewEmisData!$C:$C, $H258, NewEmisData!$D:$D, W$6)</f>
        <v>4.7067883339263101</v>
      </c>
      <c r="X258" s="1111">
        <f>SUMIFS(NewEmisData!H:H, NewEmisData!$A:$A, $G258, NewEmisData!$B:$B, $A258, NewEmisData!$C:$C, $H258, NewEmisData!$D:$D, X$6)</f>
        <v>2.74964441255411</v>
      </c>
      <c r="Y258" s="1111">
        <f>SUMIFS(NewEmisData!I:I, NewEmisData!$A:$A, $G258, NewEmisData!$B:$B, $A258, NewEmisData!$C:$C, $H258, NewEmisData!$D:$D, Y$6)</f>
        <v>2.1250543631144501</v>
      </c>
      <c r="Z258" s="1111">
        <f>SUMIFS(NewEmisData!J:J, NewEmisData!$A:$A, $G258, NewEmisData!$B:$B, $A258, NewEmisData!$C:$C, $H258, NewEmisData!$D:$D, Z$6)</f>
        <v>1.99369533696212</v>
      </c>
      <c r="AA258" s="1111">
        <f>SUMIFS(NewEmisData!K:K, NewEmisData!$A:$A, $G258, NewEmisData!$B:$B, $A258, NewEmisData!$C:$C, $H258, NewEmisData!$D:$D, AA$6)</f>
        <v>1.9596642716443899</v>
      </c>
      <c r="AB258" s="1111">
        <f>SUMIFS(NewEmisData!L:L, NewEmisData!$A:$A, $G258, NewEmisData!$B:$B, $A258, NewEmisData!$C:$C, $H258, NewEmisData!$D:$D, AB$6)</f>
        <v>1.95841045438728</v>
      </c>
      <c r="AC258" s="1111">
        <f>SUMIFS(NewEmisData!M:M, NewEmisData!$A:$A, $G258, NewEmisData!$B:$B, $A258, NewEmisData!$C:$C, $H258, NewEmisData!$D:$D, AC$6)</f>
        <v>1.95772834946656</v>
      </c>
      <c r="AD258" s="1111">
        <f t="shared" si="321"/>
        <v>1.95772834946656</v>
      </c>
      <c r="AE258" s="1111">
        <f t="shared" si="412"/>
        <v>4.8505368718434902E-2</v>
      </c>
      <c r="AF258" s="1111">
        <f>SUMIFS(NewEmisData!E:E, NewEmisData!$A:$A, $G258, NewEmisData!$B:$B, $A258, NewEmisData!$C:$C, $H258, NewEmisData!$D:$D, AF$6)</f>
        <v>4.8505368718434902E-2</v>
      </c>
      <c r="AG258" s="1111">
        <f>SUMIFS(NewEmisData!F:F, NewEmisData!$A:$A, $G258, NewEmisData!$B:$B, $A258, NewEmisData!$C:$C, $H258, NewEmisData!$D:$D, AG$6)</f>
        <v>4.8325981488473099E-2</v>
      </c>
      <c r="AH258" s="1111">
        <f>SUMIFS(NewEmisData!G:G, NewEmisData!$A:$A, $G258, NewEmisData!$B:$B, $A258, NewEmisData!$C:$C, $H258, NewEmisData!$D:$D, AH$6)</f>
        <v>1.7576572280014201E-2</v>
      </c>
      <c r="AI258" s="1111">
        <f>SUMIFS(NewEmisData!H:H, NewEmisData!$A:$A, $G258, NewEmisData!$B:$B, $A258, NewEmisData!$C:$C, $H258, NewEmisData!$D:$D, AI$6)</f>
        <v>1.7166395112910501E-2</v>
      </c>
      <c r="AJ258" s="1111">
        <f>SUMIFS(NewEmisData!I:I, NewEmisData!$A:$A, $G258, NewEmisData!$B:$B, $A258, NewEmisData!$C:$C, $H258, NewEmisData!$D:$D, AJ$6)</f>
        <v>1.6914594935806299E-2</v>
      </c>
      <c r="AK258" s="1111">
        <f>SUMIFS(NewEmisData!J:J, NewEmisData!$A:$A, $G258, NewEmisData!$B:$B, $A258, NewEmisData!$C:$C, $H258, NewEmisData!$D:$D, AK$6)</f>
        <v>1.68383799937354E-2</v>
      </c>
      <c r="AL258" s="1111">
        <f>SUMIFS(NewEmisData!K:K, NewEmisData!$A:$A, $G258, NewEmisData!$B:$B, $A258, NewEmisData!$C:$C, $H258, NewEmisData!$D:$D, AL$6)</f>
        <v>1.6812194631633502E-2</v>
      </c>
      <c r="AM258" s="1111">
        <f>SUMIFS(NewEmisData!L:L, NewEmisData!$A:$A, $G258, NewEmisData!$B:$B, $A258, NewEmisData!$C:$C, $H258, NewEmisData!$D:$D, AM$6)</f>
        <v>1.6801008524208499E-2</v>
      </c>
      <c r="AN258" s="1111">
        <f>SUMIFS(NewEmisData!M:M, NewEmisData!$A:$A, $G258, NewEmisData!$B:$B, $A258, NewEmisData!$C:$C, $H258, NewEmisData!$D:$D, AN$6)</f>
        <v>1.6792875741706501E-2</v>
      </c>
      <c r="AO258" s="1111">
        <f t="shared" si="413"/>
        <v>1.6792875741706501E-2</v>
      </c>
      <c r="AP258" s="1111">
        <f t="shared" si="414"/>
        <v>1.7897176326082</v>
      </c>
      <c r="AQ258" s="1111">
        <f>SUMIFS(NewEmisData!E:E, NewEmisData!$A:$A, $G258, NewEmisData!$B:$B, $A258, NewEmisData!$C:$C, $H258, NewEmisData!$D:$D, AQ$6)</f>
        <v>1.7897176326082</v>
      </c>
      <c r="AR258" s="1111">
        <f>SUMIFS(NewEmisData!F:F, NewEmisData!$A:$A, $G258, NewEmisData!$B:$B, $A258, NewEmisData!$C:$C, $H258, NewEmisData!$D:$D, AR$6)</f>
        <v>1.28184142907446</v>
      </c>
      <c r="AS258" s="1111">
        <f>SUMIFS(NewEmisData!G:G, NewEmisData!$A:$A, $G258, NewEmisData!$B:$B, $A258, NewEmisData!$C:$C, $H258, NewEmisData!$D:$D, AS$6)</f>
        <v>0.80585430140276804</v>
      </c>
      <c r="AT258" s="1111">
        <f>SUMIFS(NewEmisData!H:H, NewEmisData!$A:$A, $G258, NewEmisData!$B:$B, $A258, NewEmisData!$C:$C, $H258, NewEmisData!$D:$D, AT$6)</f>
        <v>0.69183592997618704</v>
      </c>
      <c r="AU258" s="1111">
        <f>SUMIFS(NewEmisData!I:I, NewEmisData!$A:$A, $G258, NewEmisData!$B:$B, $A258, NewEmisData!$C:$C, $H258, NewEmisData!$D:$D, AU$6)</f>
        <v>0.65551295326080194</v>
      </c>
      <c r="AV258" s="1111">
        <f>SUMIFS(NewEmisData!J:J, NewEmisData!$A:$A, $G258, NewEmisData!$B:$B, $A258, NewEmisData!$C:$C, $H258, NewEmisData!$D:$D, AV$6)</f>
        <v>0.64912663136166204</v>
      </c>
      <c r="AW258" s="1111">
        <f>SUMIFS(NewEmisData!K:K, NewEmisData!$A:$A, $G258, NewEmisData!$B:$B, $A258, NewEmisData!$C:$C, $H258, NewEmisData!$D:$D, AW$6)</f>
        <v>0.64721406840414997</v>
      </c>
      <c r="AX258" s="1111">
        <f>SUMIFS(NewEmisData!L:L, NewEmisData!$A:$A, $G258, NewEmisData!$B:$B, $A258, NewEmisData!$C:$C, $H258, NewEmisData!$D:$D, AX$6)</f>
        <v>0.64706992112985595</v>
      </c>
      <c r="AY258" s="1111">
        <f>SUMIFS(NewEmisData!M:M, NewEmisData!$A:$A, $G258, NewEmisData!$B:$B, $A258, NewEmisData!$C:$C, $H258, NewEmisData!$D:$D, AY$6)</f>
        <v>0.64695129381422201</v>
      </c>
      <c r="AZ258" s="1111">
        <f t="shared" si="415"/>
        <v>0.64695129381422201</v>
      </c>
      <c r="BA258" s="1111">
        <f t="shared" si="416"/>
        <v>1.18048167941492</v>
      </c>
      <c r="BB258" s="1111">
        <f>SUMIFS(NewEmisData!E:E, NewEmisData!$A:$A, $G258, NewEmisData!$B:$B, $A258, NewEmisData!$C:$C, $H258, NewEmisData!$D:$D, BB$6)</f>
        <v>1.18048167941492</v>
      </c>
      <c r="BC258" s="1111">
        <f>SUMIFS(NewEmisData!F:F, NewEmisData!$A:$A, $G258, NewEmisData!$B:$B, $A258, NewEmisData!$C:$C, $H258, NewEmisData!$D:$D, BC$6)</f>
        <v>0.70883111477306904</v>
      </c>
      <c r="BD258" s="1111">
        <f>SUMIFS(NewEmisData!G:G, NewEmisData!$A:$A, $G258, NewEmisData!$B:$B, $A258, NewEmisData!$C:$C, $H258, NewEmisData!$D:$D, BD$6)</f>
        <v>0.25820081252871602</v>
      </c>
      <c r="BE258" s="1111">
        <f>SUMIFS(NewEmisData!H:H, NewEmisData!$A:$A, $G258, NewEmisData!$B:$B, $A258, NewEmisData!$C:$C, $H258, NewEmisData!$D:$D, BE$6)</f>
        <v>0.154936314509238</v>
      </c>
      <c r="BF258" s="1111">
        <f>SUMIFS(NewEmisData!I:I, NewEmisData!$A:$A, $G258, NewEmisData!$B:$B, $A258, NewEmisData!$C:$C, $H258, NewEmisData!$D:$D, BF$6)</f>
        <v>0.12145150227391199</v>
      </c>
      <c r="BG258" s="1111">
        <f>SUMIFS(NewEmisData!J:J, NewEmisData!$A:$A, $G258, NewEmisData!$B:$B, $A258, NewEmisData!$C:$C, $H258, NewEmisData!$D:$D, BG$6)</f>
        <v>0.11561207466260399</v>
      </c>
      <c r="BH258" s="1111">
        <f>SUMIFS(NewEmisData!K:K, NewEmisData!$A:$A, $G258, NewEmisData!$B:$B, $A258, NewEmisData!$C:$C, $H258, NewEmisData!$D:$D, BH$6)</f>
        <v>0.113890264164102</v>
      </c>
      <c r="BI258" s="1111">
        <f>SUMIFS(NewEmisData!L:L, NewEmisData!$A:$A, $G258, NewEmisData!$B:$B, $A258, NewEmisData!$C:$C, $H258, NewEmisData!$D:$D, BI$6)</f>
        <v>0.11384461486997199</v>
      </c>
      <c r="BJ258" s="1111">
        <f>SUMIFS(NewEmisData!M:M, NewEmisData!$A:$A, $G258, NewEmisData!$B:$B, $A258, NewEmisData!$C:$C, $H258, NewEmisData!$D:$D, BJ$6)</f>
        <v>0.11381252319809999</v>
      </c>
      <c r="BK258" s="1111">
        <f t="shared" si="417"/>
        <v>0.11381252319809999</v>
      </c>
      <c r="BL258" s="1111">
        <f t="shared" si="418"/>
        <v>6.0456420020261303</v>
      </c>
      <c r="BM258" s="1111">
        <f>SUMIFS(NewEmisData!E:E, NewEmisData!$A:$A, $G258, NewEmisData!$B:$B, $A258, NewEmisData!$C:$C, $H258, NewEmisData!$D:$D, BM$6)</f>
        <v>6.0456420020261303</v>
      </c>
      <c r="BN258" s="1111">
        <f>SUMIFS(NewEmisData!F:F, NewEmisData!$A:$A, $G258, NewEmisData!$B:$B, $A258, NewEmisData!$C:$C, $H258, NewEmisData!$D:$D, BN$6)</f>
        <v>3.6427551386991199</v>
      </c>
      <c r="BO258" s="1111">
        <f>SUMIFS(NewEmisData!G:G, NewEmisData!$A:$A, $G258, NewEmisData!$B:$B, $A258, NewEmisData!$C:$C, $H258, NewEmisData!$D:$D, BO$6)</f>
        <v>1.8452011446226499</v>
      </c>
      <c r="BP258" s="1111">
        <f>SUMIFS(NewEmisData!H:H, NewEmisData!$A:$A, $G258, NewEmisData!$B:$B, $A258, NewEmisData!$C:$C, $H258, NewEmisData!$D:$D, BP$6)</f>
        <v>1.24194770746088</v>
      </c>
      <c r="BQ258" s="1111">
        <f>SUMIFS(NewEmisData!I:I, NewEmisData!$A:$A, $G258, NewEmisData!$B:$B, $A258, NewEmisData!$C:$C, $H258, NewEmisData!$D:$D, BQ$6)</f>
        <v>1.0526499630644499</v>
      </c>
      <c r="BR258" s="1111">
        <f>SUMIFS(NewEmisData!J:J, NewEmisData!$A:$A, $G258, NewEmisData!$B:$B, $A258, NewEmisData!$C:$C, $H258, NewEmisData!$D:$D, BR$6)</f>
        <v>1.0089819104633899</v>
      </c>
      <c r="BS258" s="1111">
        <f>SUMIFS(NewEmisData!K:K, NewEmisData!$A:$A, $G258, NewEmisData!$B:$B, $A258, NewEmisData!$C:$C, $H258, NewEmisData!$D:$D, BS$6)</f>
        <v>0.99667122961969301</v>
      </c>
      <c r="BT258" s="1111">
        <f>SUMIFS(NewEmisData!L:L, NewEmisData!$A:$A, $G258, NewEmisData!$B:$B, $A258, NewEmisData!$C:$C, $H258, NewEmisData!$D:$D, BT$6)</f>
        <v>0.99500593481504396</v>
      </c>
      <c r="BU258" s="1111">
        <f>SUMIFS(NewEmisData!M:M, NewEmisData!$A:$A, $G258, NewEmisData!$B:$B, $A258, NewEmisData!$C:$C, $H258, NewEmisData!$D:$D, BU$6)</f>
        <v>0.99474590902717697</v>
      </c>
      <c r="BV258" s="1111">
        <f t="shared" si="419"/>
        <v>0.99474590902717697</v>
      </c>
      <c r="BW258" s="1111">
        <f t="shared" si="420"/>
        <v>1.8523245224272999</v>
      </c>
      <c r="BX258" s="1111">
        <f>SUMIFS(NewEmisData!E:E, NewEmisData!$A:$A, $G258, NewEmisData!$B:$B, $A258, NewEmisData!$C:$C, $H258, NewEmisData!$D:$D, BX$6)</f>
        <v>1.8523245224272999</v>
      </c>
      <c r="BY258" s="1111">
        <f>SUMIFS(NewEmisData!F:F, NewEmisData!$A:$A, $G258, NewEmisData!$B:$B, $A258, NewEmisData!$C:$C, $H258, NewEmisData!$D:$D, BY$6)</f>
        <v>0.98457686139596001</v>
      </c>
      <c r="BZ258" s="1111">
        <f>SUMIFS(NewEmisData!G:G, NewEmisData!$A:$A, $G258, NewEmisData!$B:$B, $A258, NewEmisData!$C:$C, $H258, NewEmisData!$D:$D, BZ$6)</f>
        <v>0.454054708098104</v>
      </c>
      <c r="CA258" s="1111">
        <f>SUMIFS(NewEmisData!H:H, NewEmisData!$A:$A, $G258, NewEmisData!$B:$B, $A258, NewEmisData!$C:$C, $H258, NewEmisData!$D:$D, CA$6)</f>
        <v>0.24241218334548201</v>
      </c>
      <c r="CB258" s="1111">
        <f>SUMIFS(NewEmisData!I:I, NewEmisData!$A:$A, $G258, NewEmisData!$B:$B, $A258, NewEmisData!$C:$C, $H258, NewEmisData!$D:$D, CB$6)</f>
        <v>0.17574053877664</v>
      </c>
      <c r="CC258" s="1111">
        <f>SUMIFS(NewEmisData!J:J, NewEmisData!$A:$A, $G258, NewEmisData!$B:$B, $A258, NewEmisData!$C:$C, $H258, NewEmisData!$D:$D, CC$6)</f>
        <v>0.16190467325511401</v>
      </c>
      <c r="CD258" s="1111">
        <f>SUMIFS(NewEmisData!K:K, NewEmisData!$A:$A, $G258, NewEmisData!$B:$B, $A258, NewEmisData!$C:$C, $H258, NewEmisData!$D:$D, CD$6)</f>
        <v>0.15802874340941001</v>
      </c>
      <c r="CE258" s="1111">
        <f>SUMIFS(NewEmisData!L:L, NewEmisData!$A:$A, $G258, NewEmisData!$B:$B, $A258, NewEmisData!$C:$C, $H258, NewEmisData!$D:$D, CE$6)</f>
        <v>0.157924905411398</v>
      </c>
      <c r="CF258" s="1111">
        <f>SUMIFS(NewEmisData!M:M, NewEmisData!$A:$A, $G258, NewEmisData!$B:$B, $A258, NewEmisData!$C:$C, $H258, NewEmisData!$D:$D, CF$6)</f>
        <v>0.157888725635105</v>
      </c>
      <c r="CG258" s="1111">
        <f t="shared" si="421"/>
        <v>0.157888725635105</v>
      </c>
      <c r="CH258" s="1111">
        <f t="shared" si="422"/>
        <v>3.4893521946962498E-2</v>
      </c>
      <c r="CI258" s="1111">
        <f>SUMIFS(NewEmisData!E:E, NewEmisData!$A:$A, $G258, NewEmisData!$B:$B, $A258, NewEmisData!$C:$C, $H258, NewEmisData!$D:$D, CI$6)</f>
        <v>3.4893521946962498E-2</v>
      </c>
      <c r="CJ258" s="1111">
        <f>SUMIFS(NewEmisData!F:F, NewEmisData!$A:$A, $G258, NewEmisData!$B:$B, $A258, NewEmisData!$C:$C, $H258, NewEmisData!$D:$D, CJ$6)</f>
        <v>3.49788451002516E-2</v>
      </c>
      <c r="CK258" s="1111">
        <f>SUMIFS(NewEmisData!G:G, NewEmisData!$A:$A, $G258, NewEmisData!$B:$B, $A258, NewEmisData!$C:$C, $H258, NewEmisData!$D:$D, CK$6)</f>
        <v>3.9639501952122097E-2</v>
      </c>
      <c r="CL258" s="1111">
        <f>SUMIFS(NewEmisData!H:H, NewEmisData!$A:$A, $G258, NewEmisData!$B:$B, $A258, NewEmisData!$C:$C, $H258, NewEmisData!$D:$D, CL$6)</f>
        <v>3.9638483794636602E-2</v>
      </c>
      <c r="CM258" s="1111">
        <f>SUMIFS(NewEmisData!I:I, NewEmisData!$A:$A, $G258, NewEmisData!$B:$B, $A258, NewEmisData!$C:$C, $H258, NewEmisData!$D:$D, CM$6)</f>
        <v>3.9638118042141998E-2</v>
      </c>
      <c r="CN258" s="1111">
        <f>SUMIFS(NewEmisData!J:J, NewEmisData!$A:$A, $G258, NewEmisData!$B:$B, $A258, NewEmisData!$C:$C, $H258, NewEmisData!$D:$D, CN$6)</f>
        <v>3.9638000963104603E-2</v>
      </c>
      <c r="CO258" s="1111">
        <f>SUMIFS(NewEmisData!K:K, NewEmisData!$A:$A, $G258, NewEmisData!$B:$B, $A258, NewEmisData!$C:$C, $H258, NewEmisData!$D:$D, CO$6)</f>
        <v>3.9637988546095397E-2</v>
      </c>
      <c r="CP258" s="1111">
        <f>SUMIFS(NewEmisData!L:L, NewEmisData!$A:$A, $G258, NewEmisData!$B:$B, $A258, NewEmisData!$C:$C, $H258, NewEmisData!$D:$D, CP$6)</f>
        <v>3.9637972152367001E-2</v>
      </c>
      <c r="CQ258" s="1111">
        <f>SUMIFS(NewEmisData!M:M, NewEmisData!$A:$A, $G258, NewEmisData!$B:$B, $A258, NewEmisData!$C:$C, $H258, NewEmisData!$D:$D, CQ$6)</f>
        <v>3.9637979680126299E-2</v>
      </c>
      <c r="CR258" s="1111">
        <f t="shared" si="423"/>
        <v>3.9637979680126299E-2</v>
      </c>
      <c r="CS258" s="1111">
        <f t="shared" si="424"/>
        <v>6.6753767747216204E-3</v>
      </c>
      <c r="CT258" s="1111">
        <f>SUMIFS(NewEmisData!E:E, NewEmisData!$A:$A, $G258, NewEmisData!$B:$B, $A258, NewEmisData!$C:$C, $H258, NewEmisData!$D:$D, CT$6)</f>
        <v>6.6753767747216204E-3</v>
      </c>
      <c r="CU258" s="1111">
        <f>SUMIFS(NewEmisData!F:F, NewEmisData!$A:$A, $G258, NewEmisData!$B:$B, $A258, NewEmisData!$C:$C, $H258, NewEmisData!$D:$D, CU$6)</f>
        <v>6.5547982937163097E-3</v>
      </c>
      <c r="CV258" s="1111">
        <f>SUMIFS(NewEmisData!G:G, NewEmisData!$A:$A, $G258, NewEmisData!$B:$B, $A258, NewEmisData!$C:$C, $H258, NewEmisData!$D:$D, CV$6)</f>
        <v>7.2957432936417597E-3</v>
      </c>
      <c r="CW258" s="1111">
        <f>SUMIFS(NewEmisData!H:H, NewEmisData!$A:$A, $G258, NewEmisData!$B:$B, $A258, NewEmisData!$C:$C, $H258, NewEmisData!$D:$D, CW$6)</f>
        <v>7.2823273262305702E-3</v>
      </c>
      <c r="CX258" s="1111">
        <f>SUMIFS(NewEmisData!I:I, NewEmisData!$A:$A, $G258, NewEmisData!$B:$B, $A258, NewEmisData!$C:$C, $H258, NewEmisData!$D:$D, CX$6)</f>
        <v>7.2700258541815799E-3</v>
      </c>
      <c r="CY258" s="1111">
        <f>SUMIFS(NewEmisData!J:J, NewEmisData!$A:$A, $G258, NewEmisData!$B:$B, $A258, NewEmisData!$C:$C, $H258, NewEmisData!$D:$D, CY$6)</f>
        <v>7.2630982878354698E-3</v>
      </c>
      <c r="CZ258" s="1111">
        <f>SUMIFS(NewEmisData!K:K, NewEmisData!$A:$A, $G258, NewEmisData!$B:$B, $A258, NewEmisData!$C:$C, $H258, NewEmisData!$D:$D, CZ$6)</f>
        <v>7.25966994665462E-3</v>
      </c>
      <c r="DA258" s="1111">
        <f>SUMIFS(NewEmisData!L:L, NewEmisData!$A:$A, $G258, NewEmisData!$B:$B, $A258, NewEmisData!$C:$C, $H258, NewEmisData!$D:$D, DA$6)</f>
        <v>7.2582639480360299E-3</v>
      </c>
      <c r="DB258" s="1111">
        <f>SUMIFS(NewEmisData!M:M, NewEmisData!$A:$A, $G258, NewEmisData!$B:$B, $A258, NewEmisData!$C:$C, $H258, NewEmisData!$D:$D, DB$6)</f>
        <v>7.2582397653682199E-3</v>
      </c>
      <c r="DC258" s="1111">
        <f t="shared" si="425"/>
        <v>7.2582397653682199E-3</v>
      </c>
      <c r="DD258" s="1111"/>
      <c r="DE258" s="1111"/>
      <c r="DF258" s="1111"/>
      <c r="DG258" s="1111"/>
      <c r="DH258" s="1111"/>
      <c r="DI258" s="1111"/>
      <c r="DJ258" s="1111"/>
      <c r="DK258" s="1111"/>
      <c r="DL258" s="1111"/>
      <c r="DM258" s="1111"/>
      <c r="DN258" s="1111"/>
      <c r="DO258" s="1111"/>
      <c r="DP258" s="1111"/>
      <c r="DQ258" s="1111"/>
      <c r="DR258" s="1111"/>
      <c r="DS258" s="1111"/>
      <c r="DT258" s="1111"/>
      <c r="DU258" s="1111"/>
      <c r="DV258" s="1111"/>
      <c r="DW258" s="1111"/>
      <c r="DX258" s="1111"/>
      <c r="DY258" s="1111"/>
      <c r="DZ258" s="1111">
        <f t="shared" si="426"/>
        <v>3.9006976025732602E-2</v>
      </c>
      <c r="EA258" s="1111">
        <f>SUMIFS(NewEmisData!E:E, NewEmisData!$A:$A, $G258, NewEmisData!$B:$B, $A258, NewEmisData!$C:$C, $H258, NewEmisData!$D:$D, EA$6)</f>
        <v>3.9006976025732602E-2</v>
      </c>
      <c r="EB258" s="1111">
        <f>SUMIFS(NewEmisData!F:F, NewEmisData!$A:$A, $G258, NewEmisData!$B:$B, $A258, NewEmisData!$C:$C, $H258, NewEmisData!$D:$D, EB$6)</f>
        <v>9.7382260752850197E-2</v>
      </c>
      <c r="EC258" s="1111">
        <f>SUMIFS(NewEmisData!G:G, NewEmisData!$A:$A, $G258, NewEmisData!$B:$B, $A258, NewEmisData!$C:$C, $H258, NewEmisData!$D:$D, EC$6)</f>
        <v>0.14046349386005799</v>
      </c>
      <c r="ED258" s="1111">
        <f>SUMIFS(NewEmisData!H:H, NewEmisData!$A:$A, $G258, NewEmisData!$B:$B, $A258, NewEmisData!$C:$C, $H258, NewEmisData!$D:$D, ED$6)</f>
        <v>0.14210473049514299</v>
      </c>
      <c r="EE258" s="1111">
        <f>SUMIFS(NewEmisData!I:I, NewEmisData!$A:$A, $G258, NewEmisData!$B:$B, $A258, NewEmisData!$C:$C, $H258, NewEmisData!$D:$D, EE$6)</f>
        <v>0.142376657618557</v>
      </c>
      <c r="EF258" s="1111">
        <f>SUMIFS(NewEmisData!J:J, NewEmisData!$A:$A, $G258, NewEmisData!$B:$B, $A258, NewEmisData!$C:$C, $H258, NewEmisData!$D:$D, EF$6)</f>
        <v>0.14206400587052001</v>
      </c>
      <c r="EG258" s="1111">
        <f>SUMIFS(NewEmisData!K:K, NewEmisData!$A:$A, $G258, NewEmisData!$B:$B, $A258, NewEmisData!$C:$C, $H258, NewEmisData!$D:$D, EG$6)</f>
        <v>0.142101863494736</v>
      </c>
      <c r="EH258" s="1111">
        <f>SUMIFS(NewEmisData!L:L, NewEmisData!$A:$A, $G258, NewEmisData!$B:$B, $A258, NewEmisData!$C:$C, $H258, NewEmisData!$D:$D, EH$6)</f>
        <v>0.142019923590127</v>
      </c>
      <c r="EI258" s="1111">
        <f>SUMIFS(NewEmisData!M:M, NewEmisData!$A:$A, $G258, NewEmisData!$B:$B, $A258, NewEmisData!$C:$C, $H258, NewEmisData!$D:$D, EI$6)</f>
        <v>0.142008262982282</v>
      </c>
      <c r="EJ258" s="1111">
        <f t="shared" si="427"/>
        <v>0.142008262982282</v>
      </c>
      <c r="EK258" s="1111">
        <f t="shared" si="428"/>
        <v>1965.3480196129899</v>
      </c>
      <c r="EL258" s="1111">
        <f t="shared" si="343"/>
        <v>1965.3480196129899</v>
      </c>
      <c r="EM258" s="1111">
        <f t="shared" si="344"/>
        <v>2010.3216718511901</v>
      </c>
      <c r="EN258" s="1111">
        <f t="shared" si="345"/>
        <v>2090.4906656609201</v>
      </c>
      <c r="EO258" s="1111">
        <f t="shared" si="346"/>
        <v>2053.9539193064902</v>
      </c>
      <c r="EP258" s="1111">
        <f t="shared" si="347"/>
        <v>2027.8421991422999</v>
      </c>
      <c r="EQ258" s="1111">
        <f t="shared" si="348"/>
        <v>2019.45150345712</v>
      </c>
      <c r="ER258" s="1111">
        <f t="shared" si="349"/>
        <v>2016.54651893857</v>
      </c>
      <c r="ES258" s="1111">
        <f t="shared" si="350"/>
        <v>2015.2058723386001</v>
      </c>
      <c r="ET258" s="1111">
        <f t="shared" si="351"/>
        <v>2014.2294332377901</v>
      </c>
      <c r="EU258" s="1111">
        <f t="shared" si="352"/>
        <v>2014.2294332377901</v>
      </c>
      <c r="EV258" s="1111">
        <f t="shared" si="429"/>
        <v>16.5695691882601</v>
      </c>
      <c r="EW258" s="1111">
        <f t="shared" si="333"/>
        <v>16.5695691882601</v>
      </c>
      <c r="EX258" s="1111">
        <f t="shared" si="334"/>
        <v>10.1915554047669</v>
      </c>
      <c r="EY258" s="1111">
        <f t="shared" si="335"/>
        <v>4.7067883339263101</v>
      </c>
      <c r="EZ258" s="1111">
        <f t="shared" si="336"/>
        <v>2.74964441255411</v>
      </c>
      <c r="FA258" s="1111">
        <f t="shared" si="337"/>
        <v>2.1250543631144501</v>
      </c>
      <c r="FB258" s="1111">
        <f t="shared" si="338"/>
        <v>1.99369533696212</v>
      </c>
      <c r="FC258" s="1111">
        <f t="shared" si="339"/>
        <v>1.9596642716443899</v>
      </c>
      <c r="FD258" s="1111">
        <f t="shared" si="340"/>
        <v>1.95841045438728</v>
      </c>
      <c r="FE258" s="1111">
        <f t="shared" si="341"/>
        <v>1.95772834946656</v>
      </c>
      <c r="FF258" s="1111">
        <f t="shared" si="342"/>
        <v>1.95772834946656</v>
      </c>
      <c r="FG258" s="1111">
        <f t="shared" si="389"/>
        <v>4.8505368718434902E-2</v>
      </c>
      <c r="FH258" s="1111">
        <f t="shared" si="390"/>
        <v>4.8505368718434902E-2</v>
      </c>
      <c r="FI258" s="1111">
        <f t="shared" si="391"/>
        <v>4.8325981488473099E-2</v>
      </c>
      <c r="FJ258" s="1111">
        <f t="shared" si="392"/>
        <v>1.7576572280014201E-2</v>
      </c>
      <c r="FK258" s="1111">
        <f t="shared" si="393"/>
        <v>1.7166395112910501E-2</v>
      </c>
      <c r="FL258" s="1111">
        <f t="shared" si="394"/>
        <v>1.6914594935806299E-2</v>
      </c>
      <c r="FM258" s="1111">
        <f t="shared" si="395"/>
        <v>1.68383799937354E-2</v>
      </c>
      <c r="FN258" s="1111">
        <f t="shared" si="396"/>
        <v>1.6812194631633502E-2</v>
      </c>
      <c r="FO258" s="1111">
        <f t="shared" si="397"/>
        <v>1.6801008524208499E-2</v>
      </c>
      <c r="FP258" s="1111">
        <f t="shared" si="398"/>
        <v>1.6792875741706501E-2</v>
      </c>
      <c r="FQ258" s="1111">
        <f t="shared" si="399"/>
        <v>1.6792875741706501E-2</v>
      </c>
      <c r="FR258" s="1111">
        <f t="shared" si="322"/>
        <v>1.7897176326082</v>
      </c>
      <c r="FS258" s="1111">
        <f t="shared" si="323"/>
        <v>1.7897176326082</v>
      </c>
      <c r="FT258" s="1111">
        <f t="shared" si="324"/>
        <v>1.28184142907446</v>
      </c>
      <c r="FU258" s="1111">
        <f t="shared" si="325"/>
        <v>0.80585430140276804</v>
      </c>
      <c r="FV258" s="1111">
        <f t="shared" si="326"/>
        <v>0.69183592997618704</v>
      </c>
      <c r="FW258" s="1111">
        <f t="shared" si="327"/>
        <v>0.65551295326080194</v>
      </c>
      <c r="FX258" s="1111">
        <f t="shared" si="328"/>
        <v>0.64912663136166204</v>
      </c>
      <c r="FY258" s="1111">
        <f t="shared" si="329"/>
        <v>0.64721406840414997</v>
      </c>
      <c r="FZ258" s="1111">
        <f t="shared" si="330"/>
        <v>0.64706992112985595</v>
      </c>
      <c r="GA258" s="1111">
        <f t="shared" si="331"/>
        <v>0.64695129381422201</v>
      </c>
      <c r="GB258" s="1111">
        <f t="shared" si="332"/>
        <v>0.64695129381422201</v>
      </c>
      <c r="GC258" s="1111">
        <f t="shared" si="353"/>
        <v>1.18048167941492</v>
      </c>
      <c r="GD258" s="1111">
        <f t="shared" si="354"/>
        <v>1.18048167941492</v>
      </c>
      <c r="GE258" s="1111">
        <f t="shared" si="355"/>
        <v>0.70883111477306904</v>
      </c>
      <c r="GF258" s="1111">
        <f t="shared" si="356"/>
        <v>0.25820081252871602</v>
      </c>
      <c r="GG258" s="1111">
        <f t="shared" si="357"/>
        <v>0.154936314509238</v>
      </c>
      <c r="GH258" s="1111">
        <f t="shared" si="358"/>
        <v>0.12145150227391199</v>
      </c>
      <c r="GI258" s="1111">
        <f t="shared" si="359"/>
        <v>0.11561207466260399</v>
      </c>
      <c r="GJ258" s="1111">
        <f t="shared" si="360"/>
        <v>0.113890264164102</v>
      </c>
      <c r="GK258" s="1111">
        <f t="shared" si="361"/>
        <v>0.11384461486997199</v>
      </c>
      <c r="GL258" s="1111">
        <f t="shared" si="362"/>
        <v>0.11381252319809999</v>
      </c>
      <c r="GM258" s="1111">
        <f t="shared" si="363"/>
        <v>0.11381252319809999</v>
      </c>
    </row>
    <row r="259" spans="1:195" x14ac:dyDescent="0.2">
      <c r="A259" s="1071" t="s">
        <v>188</v>
      </c>
      <c r="B259" s="1071" t="str">
        <f>Technologies!C148</f>
        <v>THSDSLADV</v>
      </c>
      <c r="C259" s="1071" t="str">
        <f>Technologies!D148</f>
        <v>Heavy Truck, Short Haul, Advanced Diesel</v>
      </c>
      <c r="D259" s="1071" t="str">
        <f>NewTech!D102</f>
        <v>bn-vmt, bn-vmt/a</v>
      </c>
      <c r="E259" s="1071" t="str">
        <f>Commodities!C$44</f>
        <v>THDSL</v>
      </c>
      <c r="F259" s="1071" t="s">
        <v>98</v>
      </c>
      <c r="G259" s="1110" t="s">
        <v>505</v>
      </c>
      <c r="H259" s="1110" t="s">
        <v>499</v>
      </c>
      <c r="I259" s="1112">
        <v>1</v>
      </c>
      <c r="J259" s="1111" t="str">
        <f t="shared" si="302"/>
        <v>Heavy duty short haul truck-DSL</v>
      </c>
      <c r="K259" s="1111">
        <f>SUMIFS(NewEmisData!E:E, NewEmisData!$A:$A, $G259, NewEmisData!$B:$B, $A259, NewEmisData!$C:$C, $H259, NewEmisData!$D:$D, K$6)</f>
        <v>1669.0822501080099</v>
      </c>
      <c r="L259" s="1111">
        <f>SUMIFS(NewEmisData!F:F, NewEmisData!$A:$A, $G259, NewEmisData!$B:$B, $A259, NewEmisData!$C:$C, $H259, NewEmisData!$D:$D, L$6)</f>
        <v>1673.1688001129</v>
      </c>
      <c r="M259" s="1111">
        <f>SUMIFS(NewEmisData!G:G, NewEmisData!$A:$A, $G259, NewEmisData!$B:$B, $A259, NewEmisData!$C:$C, $H259, NewEmisData!$D:$D, M$6)</f>
        <v>1365.67564571155</v>
      </c>
      <c r="N259" s="1111">
        <f>SUMIFS(NewEmisData!H:H, NewEmisData!$A:$A, $G259, NewEmisData!$B:$B, $A259, NewEmisData!$C:$C, $H259, NewEmisData!$D:$D, N$6)</f>
        <v>1340.2430368273101</v>
      </c>
      <c r="O259" s="1111">
        <f>SUMIFS(NewEmisData!I:I, NewEmisData!$A:$A, $G259, NewEmisData!$B:$B, $A259, NewEmisData!$C:$C, $H259, NewEmisData!$D:$D, O$6)</f>
        <v>1322.8450856147599</v>
      </c>
      <c r="P259" s="1111">
        <f>SUMIFS(NewEmisData!J:J, NewEmisData!$A:$A, $G259, NewEmisData!$B:$B, $A259, NewEmisData!$C:$C, $H259, NewEmisData!$D:$D, P$6)</f>
        <v>1317.23072914767</v>
      </c>
      <c r="Q259" s="1111">
        <f>SUMIFS(NewEmisData!K:K, NewEmisData!$A:$A, $G259, NewEmisData!$B:$B, $A259, NewEmisData!$C:$C, $H259, NewEmisData!$D:$D, Q$6)</f>
        <v>1315.3450285164099</v>
      </c>
      <c r="R259" s="1111">
        <f>SUMIFS(NewEmisData!L:L, NewEmisData!$A:$A, $G259, NewEmisData!$B:$B, $A259, NewEmisData!$C:$C, $H259, NewEmisData!$D:$D, R$6)</f>
        <v>1314.50089135955</v>
      </c>
      <c r="S259" s="1111">
        <f>SUMIFS(NewEmisData!M:M, NewEmisData!$A:$A, $G259, NewEmisData!$B:$B, $A259, NewEmisData!$C:$C, $H259, NewEmisData!$D:$D, S$6)</f>
        <v>1313.88241213587</v>
      </c>
      <c r="T259" s="1111">
        <f t="shared" si="364"/>
        <v>1313.88241213587</v>
      </c>
      <c r="U259" s="1111">
        <f>SUMIFS(NewEmisData!E:E, NewEmisData!$A:$A, $G259, NewEmisData!$B:$B, $A259, NewEmisData!$C:$C, $H259, NewEmisData!$D:$D, U$6)</f>
        <v>13.492775574024799</v>
      </c>
      <c r="V259" s="1111">
        <f>SUMIFS(NewEmisData!F:F, NewEmisData!$A:$A, $G259, NewEmisData!$B:$B, $A259, NewEmisData!$C:$C, $H259, NewEmisData!$D:$D, V$6)</f>
        <v>7.5468458416536803</v>
      </c>
      <c r="W259" s="1111">
        <f>SUMIFS(NewEmisData!G:G, NewEmisData!$A:$A, $G259, NewEmisData!$B:$B, $A259, NewEmisData!$C:$C, $H259, NewEmisData!$D:$D, W$6)</f>
        <v>2.86440753900408</v>
      </c>
      <c r="X259" s="1111">
        <f>SUMIFS(NewEmisData!H:H, NewEmisData!$A:$A, $G259, NewEmisData!$B:$B, $A259, NewEmisData!$C:$C, $H259, NewEmisData!$D:$D, X$6)</f>
        <v>1.66545036782072</v>
      </c>
      <c r="Y259" s="1111">
        <f>SUMIFS(NewEmisData!I:I, NewEmisData!$A:$A, $G259, NewEmisData!$B:$B, $A259, NewEmisData!$C:$C, $H259, NewEmisData!$D:$D, Y$6)</f>
        <v>1.2872223005865</v>
      </c>
      <c r="Z259" s="1111">
        <f>SUMIFS(NewEmisData!J:J, NewEmisData!$A:$A, $G259, NewEmisData!$B:$B, $A259, NewEmisData!$C:$C, $H259, NewEmisData!$D:$D, Z$6)</f>
        <v>1.20818388349511</v>
      </c>
      <c r="AA259" s="1111">
        <f>SUMIFS(NewEmisData!K:K, NewEmisData!$A:$A, $G259, NewEmisData!$B:$B, $A259, NewEmisData!$C:$C, $H259, NewEmisData!$D:$D, AA$6)</f>
        <v>1.1882189073440399</v>
      </c>
      <c r="AB259" s="1111">
        <f>SUMIFS(NewEmisData!L:L, NewEmisData!$A:$A, $G259, NewEmisData!$B:$B, $A259, NewEmisData!$C:$C, $H259, NewEmisData!$D:$D, AB$6)</f>
        <v>1.18759279747034</v>
      </c>
      <c r="AC259" s="1111">
        <f>SUMIFS(NewEmisData!M:M, NewEmisData!$A:$A, $G259, NewEmisData!$B:$B, $A259, NewEmisData!$C:$C, $H259, NewEmisData!$D:$D, AC$6)</f>
        <v>1.1873143220192299</v>
      </c>
      <c r="AD259" s="1111">
        <f t="shared" si="321"/>
        <v>1.1873143220192299</v>
      </c>
      <c r="AE259" s="1111">
        <f t="shared" si="412"/>
        <v>1.9219515132106998E-2</v>
      </c>
      <c r="AF259" s="1111">
        <f>SUMIFS(NewEmisData!E:E, NewEmisData!$A:$A, $G259, NewEmisData!$B:$B, $A259, NewEmisData!$C:$C, $H259, NewEmisData!$D:$D, AF$6)</f>
        <v>1.9219515132106998E-2</v>
      </c>
      <c r="AG259" s="1111">
        <f>SUMIFS(NewEmisData!F:F, NewEmisData!$A:$A, $G259, NewEmisData!$B:$B, $A259, NewEmisData!$C:$C, $H259, NewEmisData!$D:$D, AG$6)</f>
        <v>1.8381789821165999E-2</v>
      </c>
      <c r="AH259" s="1111">
        <f>SUMIFS(NewEmisData!G:G, NewEmisData!$A:$A, $G259, NewEmisData!$B:$B, $A259, NewEmisData!$C:$C, $H259, NewEmisData!$D:$D, AH$6)</f>
        <v>1.1480506512681401E-2</v>
      </c>
      <c r="AI259" s="1111">
        <f>SUMIFS(NewEmisData!H:H, NewEmisData!$A:$A, $G259, NewEmisData!$B:$B, $A259, NewEmisData!$C:$C, $H259, NewEmisData!$D:$D, AI$6)</f>
        <v>1.1200613613581E-2</v>
      </c>
      <c r="AJ259" s="1111">
        <f>SUMIFS(NewEmisData!I:I, NewEmisData!$A:$A, $G259, NewEmisData!$B:$B, $A259, NewEmisData!$C:$C, $H259, NewEmisData!$D:$D, AJ$6)</f>
        <v>1.1033835716401499E-2</v>
      </c>
      <c r="AK259" s="1111">
        <f>SUMIFS(NewEmisData!J:J, NewEmisData!$A:$A, $G259, NewEmisData!$B:$B, $A259, NewEmisData!$C:$C, $H259, NewEmisData!$D:$D, AK$6)</f>
        <v>1.0983128564943399E-2</v>
      </c>
      <c r="AL259" s="1111">
        <f>SUMIFS(NewEmisData!K:K, NewEmisData!$A:$A, $G259, NewEmisData!$B:$B, $A259, NewEmisData!$C:$C, $H259, NewEmisData!$D:$D, AL$6)</f>
        <v>1.09661929621608E-2</v>
      </c>
      <c r="AM259" s="1111">
        <f>SUMIFS(NewEmisData!L:L, NewEmisData!$A:$A, $G259, NewEmisData!$B:$B, $A259, NewEmisData!$C:$C, $H259, NewEmisData!$D:$D, AM$6)</f>
        <v>1.09591556908048E-2</v>
      </c>
      <c r="AN259" s="1111">
        <f>SUMIFS(NewEmisData!M:M, NewEmisData!$A:$A, $G259, NewEmisData!$B:$B, $A259, NewEmisData!$C:$C, $H259, NewEmisData!$D:$D, AN$6)</f>
        <v>1.09539961645838E-2</v>
      </c>
      <c r="AO259" s="1111">
        <f t="shared" si="413"/>
        <v>1.09539961645838E-2</v>
      </c>
      <c r="AP259" s="1111">
        <f t="shared" si="414"/>
        <v>0.858529279217077</v>
      </c>
      <c r="AQ259" s="1111">
        <f>SUMIFS(NewEmisData!E:E, NewEmisData!$A:$A, $G259, NewEmisData!$B:$B, $A259, NewEmisData!$C:$C, $H259, NewEmisData!$D:$D, AQ$6)</f>
        <v>0.858529279217077</v>
      </c>
      <c r="AR259" s="1111">
        <f>SUMIFS(NewEmisData!F:F, NewEmisData!$A:$A, $G259, NewEmisData!$B:$B, $A259, NewEmisData!$C:$C, $H259, NewEmisData!$D:$D, AR$6)</f>
        <v>0.503731417508816</v>
      </c>
      <c r="AS259" s="1111">
        <f>SUMIFS(NewEmisData!G:G, NewEmisData!$A:$A, $G259, NewEmisData!$B:$B, $A259, NewEmisData!$C:$C, $H259, NewEmisData!$D:$D, AS$6)</f>
        <v>0.37512816215378397</v>
      </c>
      <c r="AT259" s="1111">
        <f>SUMIFS(NewEmisData!H:H, NewEmisData!$A:$A, $G259, NewEmisData!$B:$B, $A259, NewEmisData!$C:$C, $H259, NewEmisData!$D:$D, AT$6)</f>
        <v>0.30828199926496602</v>
      </c>
      <c r="AU259" s="1111">
        <f>SUMIFS(NewEmisData!I:I, NewEmisData!$A:$A, $G259, NewEmisData!$B:$B, $A259, NewEmisData!$C:$C, $H259, NewEmisData!$D:$D, AU$6)</f>
        <v>0.28661953326038297</v>
      </c>
      <c r="AV259" s="1111">
        <f>SUMIFS(NewEmisData!J:J, NewEmisData!$A:$A, $G259, NewEmisData!$B:$B, $A259, NewEmisData!$C:$C, $H259, NewEmisData!$D:$D, AV$6)</f>
        <v>0.28264038179328499</v>
      </c>
      <c r="AW259" s="1111">
        <f>SUMIFS(NewEmisData!K:K, NewEmisData!$A:$A, $G259, NewEmisData!$B:$B, $A259, NewEmisData!$C:$C, $H259, NewEmisData!$D:$D, AW$6)</f>
        <v>0.28162692153878699</v>
      </c>
      <c r="AX259" s="1111">
        <f>SUMIFS(NewEmisData!L:L, NewEmisData!$A:$A, $G259, NewEmisData!$B:$B, $A259, NewEmisData!$C:$C, $H259, NewEmisData!$D:$D, AX$6)</f>
        <v>0.281751869278763</v>
      </c>
      <c r="AY259" s="1111">
        <f>SUMIFS(NewEmisData!M:M, NewEmisData!$A:$A, $G259, NewEmisData!$B:$B, $A259, NewEmisData!$C:$C, $H259, NewEmisData!$D:$D, AY$6)</f>
        <v>0.28192306485273899</v>
      </c>
      <c r="AZ259" s="1111">
        <f t="shared" si="415"/>
        <v>0.28192306485273899</v>
      </c>
      <c r="BA259" s="1111">
        <f t="shared" si="416"/>
        <v>0.65283874806811604</v>
      </c>
      <c r="BB259" s="1111">
        <f>SUMIFS(NewEmisData!E:E, NewEmisData!$A:$A, $G259, NewEmisData!$B:$B, $A259, NewEmisData!$C:$C, $H259, NewEmisData!$D:$D, BB$6)</f>
        <v>0.65283874806811604</v>
      </c>
      <c r="BC259" s="1111">
        <f>SUMIFS(NewEmisData!F:F, NewEmisData!$A:$A, $G259, NewEmisData!$B:$B, $A259, NewEmisData!$C:$C, $H259, NewEmisData!$D:$D, BC$6)</f>
        <v>0.33224436660041701</v>
      </c>
      <c r="BD259" s="1111">
        <f>SUMIFS(NewEmisData!G:G, NewEmisData!$A:$A, $G259, NewEmisData!$B:$B, $A259, NewEmisData!$C:$C, $H259, NewEmisData!$D:$D, BD$6)</f>
        <v>0.13652581905042699</v>
      </c>
      <c r="BE259" s="1111">
        <f>SUMIFS(NewEmisData!H:H, NewEmisData!$A:$A, $G259, NewEmisData!$B:$B, $A259, NewEmisData!$C:$C, $H259, NewEmisData!$D:$D, BE$6)</f>
        <v>7.8025503719108297E-2</v>
      </c>
      <c r="BF259" s="1111">
        <f>SUMIFS(NewEmisData!I:I, NewEmisData!$A:$A, $G259, NewEmisData!$B:$B, $A259, NewEmisData!$C:$C, $H259, NewEmisData!$D:$D, BF$6)</f>
        <v>5.9231027771519597E-2</v>
      </c>
      <c r="BG259" s="1111">
        <f>SUMIFS(NewEmisData!J:J, NewEmisData!$A:$A, $G259, NewEmisData!$B:$B, $A259, NewEmisData!$C:$C, $H259, NewEmisData!$D:$D, BG$6)</f>
        <v>5.5901975487255798E-2</v>
      </c>
      <c r="BH259" s="1111">
        <f>SUMIFS(NewEmisData!K:K, NewEmisData!$A:$A, $G259, NewEmisData!$B:$B, $A259, NewEmisData!$C:$C, $H259, NewEmisData!$D:$D, BH$6)</f>
        <v>5.4946823671966197E-2</v>
      </c>
      <c r="BI259" s="1111">
        <f>SUMIFS(NewEmisData!L:L, NewEmisData!$A:$A, $G259, NewEmisData!$B:$B, $A259, NewEmisData!$C:$C, $H259, NewEmisData!$D:$D, BI$6)</f>
        <v>5.4950705011026502E-2</v>
      </c>
      <c r="BJ259" s="1111">
        <f>SUMIFS(NewEmisData!M:M, NewEmisData!$A:$A, $G259, NewEmisData!$B:$B, $A259, NewEmisData!$C:$C, $H259, NewEmisData!$D:$D, BJ$6)</f>
        <v>5.4967058193246002E-2</v>
      </c>
      <c r="BK259" s="1111">
        <f t="shared" si="417"/>
        <v>5.4967058193246002E-2</v>
      </c>
      <c r="BL259" s="1111">
        <f t="shared" si="418"/>
        <v>3.7476931274223899</v>
      </c>
      <c r="BM259" s="1111">
        <f>SUMIFS(NewEmisData!E:E, NewEmisData!$A:$A, $G259, NewEmisData!$B:$B, $A259, NewEmisData!$C:$C, $H259, NewEmisData!$D:$D, BM$6)</f>
        <v>3.7476931274223899</v>
      </c>
      <c r="BN259" s="1111">
        <f>SUMIFS(NewEmisData!F:F, NewEmisData!$A:$A, $G259, NewEmisData!$B:$B, $A259, NewEmisData!$C:$C, $H259, NewEmisData!$D:$D, BN$6)</f>
        <v>2.1224340778786099</v>
      </c>
      <c r="BO259" s="1111">
        <f>SUMIFS(NewEmisData!G:G, NewEmisData!$A:$A, $G259, NewEmisData!$B:$B, $A259, NewEmisData!$C:$C, $H259, NewEmisData!$D:$D, BO$6)</f>
        <v>1.1522241511654601</v>
      </c>
      <c r="BP259" s="1111">
        <f>SUMIFS(NewEmisData!H:H, NewEmisData!$A:$A, $G259, NewEmisData!$B:$B, $A259, NewEmisData!$C:$C, $H259, NewEmisData!$D:$D, BP$6)</f>
        <v>0.78635690911299205</v>
      </c>
      <c r="BQ259" s="1111">
        <f>SUMIFS(NewEmisData!I:I, NewEmisData!$A:$A, $G259, NewEmisData!$B:$B, $A259, NewEmisData!$C:$C, $H259, NewEmisData!$D:$D, BQ$6)</f>
        <v>0.67130079903850703</v>
      </c>
      <c r="BR259" s="1111">
        <f>SUMIFS(NewEmisData!J:J, NewEmisData!$A:$A, $G259, NewEmisData!$B:$B, $A259, NewEmisData!$C:$C, $H259, NewEmisData!$D:$D, BR$6)</f>
        <v>0.644768230895015</v>
      </c>
      <c r="BS259" s="1111">
        <f>SUMIFS(NewEmisData!K:K, NewEmisData!$A:$A, $G259, NewEmisData!$B:$B, $A259, NewEmisData!$C:$C, $H259, NewEmisData!$D:$D, BS$6)</f>
        <v>0.63723563956321205</v>
      </c>
      <c r="BT259" s="1111">
        <f>SUMIFS(NewEmisData!L:L, NewEmisData!$A:$A, $G259, NewEmisData!$B:$B, $A259, NewEmisData!$C:$C, $H259, NewEmisData!$D:$D, BT$6)</f>
        <v>0.63622564348836397</v>
      </c>
      <c r="BU259" s="1111">
        <f>SUMIFS(NewEmisData!M:M, NewEmisData!$A:$A, $G259, NewEmisData!$B:$B, $A259, NewEmisData!$C:$C, $H259, NewEmisData!$D:$D, BU$6)</f>
        <v>0.63613086524108198</v>
      </c>
      <c r="BV259" s="1111">
        <f t="shared" si="419"/>
        <v>0.63613086524108198</v>
      </c>
      <c r="BW259" s="1111">
        <f t="shared" si="420"/>
        <v>0.86967821617844199</v>
      </c>
      <c r="BX259" s="1111">
        <f>SUMIFS(NewEmisData!E:E, NewEmisData!$A:$A, $G259, NewEmisData!$B:$B, $A259, NewEmisData!$C:$C, $H259, NewEmisData!$D:$D, BX$6)</f>
        <v>0.86967821617844199</v>
      </c>
      <c r="BY259" s="1111">
        <f>SUMIFS(NewEmisData!F:F, NewEmisData!$A:$A, $G259, NewEmisData!$B:$B, $A259, NewEmisData!$C:$C, $H259, NewEmisData!$D:$D, BY$6)</f>
        <v>0.46203277812819299</v>
      </c>
      <c r="BZ259" s="1111">
        <f>SUMIFS(NewEmisData!G:G, NewEmisData!$A:$A, $G259, NewEmisData!$B:$B, $A259, NewEmisData!$C:$C, $H259, NewEmisData!$D:$D, BZ$6)</f>
        <v>0.24488064381328301</v>
      </c>
      <c r="CA259" s="1111">
        <f>SUMIFS(NewEmisData!H:H, NewEmisData!$A:$A, $G259, NewEmisData!$B:$B, $A259, NewEmisData!$C:$C, $H259, NewEmisData!$D:$D, CA$6)</f>
        <v>0.13082474453131801</v>
      </c>
      <c r="CB259" s="1111">
        <f>SUMIFS(NewEmisData!I:I, NewEmisData!$A:$A, $G259, NewEmisData!$B:$B, $A259, NewEmisData!$C:$C, $H259, NewEmisData!$D:$D, CB$6)</f>
        <v>9.5337955687742296E-2</v>
      </c>
      <c r="CC259" s="1111">
        <f>SUMIFS(NewEmisData!J:J, NewEmisData!$A:$A, $G259, NewEmisData!$B:$B, $A259, NewEmisData!$C:$C, $H259, NewEmisData!$D:$D, CC$6)</f>
        <v>8.7877867224047099E-2</v>
      </c>
      <c r="CD259" s="1111">
        <f>SUMIFS(NewEmisData!K:K, NewEmisData!$A:$A, $G259, NewEmisData!$B:$B, $A259, NewEmisData!$C:$C, $H259, NewEmisData!$D:$D, CD$6)</f>
        <v>8.5843418185397202E-2</v>
      </c>
      <c r="CE259" s="1111">
        <f>SUMIFS(NewEmisData!L:L, NewEmisData!$A:$A, $G259, NewEmisData!$B:$B, $A259, NewEmisData!$C:$C, $H259, NewEmisData!$D:$D, CE$6)</f>
        <v>8.5804625089355602E-2</v>
      </c>
      <c r="CF259" s="1111">
        <f>SUMIFS(NewEmisData!M:M, NewEmisData!$A:$A, $G259, NewEmisData!$B:$B, $A259, NewEmisData!$C:$C, $H259, NewEmisData!$D:$D, CF$6)</f>
        <v>8.5808752891254905E-2</v>
      </c>
      <c r="CG259" s="1111">
        <f t="shared" si="421"/>
        <v>8.5808752891254905E-2</v>
      </c>
      <c r="CH259" s="1111">
        <f t="shared" si="422"/>
        <v>2.53655238629573E-2</v>
      </c>
      <c r="CI259" s="1111">
        <f>SUMIFS(NewEmisData!E:E, NewEmisData!$A:$A, $G259, NewEmisData!$B:$B, $A259, NewEmisData!$C:$C, $H259, NewEmisData!$D:$D, CI$6)</f>
        <v>2.53655238629573E-2</v>
      </c>
      <c r="CJ259" s="1111">
        <f>SUMIFS(NewEmisData!F:F, NewEmisData!$A:$A, $G259, NewEmisData!$B:$B, $A259, NewEmisData!$C:$C, $H259, NewEmisData!$D:$D, CJ$6)</f>
        <v>2.52867699578843E-2</v>
      </c>
      <c r="CK259" s="1111">
        <f>SUMIFS(NewEmisData!G:G, NewEmisData!$A:$A, $G259, NewEmisData!$B:$B, $A259, NewEmisData!$C:$C, $H259, NewEmisData!$D:$D, CK$6)</f>
        <v>2.71717802821827E-2</v>
      </c>
      <c r="CL259" s="1111">
        <f>SUMIFS(NewEmisData!H:H, NewEmisData!$A:$A, $G259, NewEmisData!$B:$B, $A259, NewEmisData!$C:$C, $H259, NewEmisData!$D:$D, CL$6)</f>
        <v>2.71425219079954E-2</v>
      </c>
      <c r="CM259" s="1111">
        <f>SUMIFS(NewEmisData!I:I, NewEmisData!$A:$A, $G259, NewEmisData!$B:$B, $A259, NewEmisData!$C:$C, $H259, NewEmisData!$D:$D, CM$6)</f>
        <v>2.7128484897609599E-2</v>
      </c>
      <c r="CN259" s="1111">
        <f>SUMIFS(NewEmisData!J:J, NewEmisData!$A:$A, $G259, NewEmisData!$B:$B, $A259, NewEmisData!$C:$C, $H259, NewEmisData!$D:$D, CN$6)</f>
        <v>2.71242955243867E-2</v>
      </c>
      <c r="CO259" s="1111">
        <f>SUMIFS(NewEmisData!K:K, NewEmisData!$A:$A, $G259, NewEmisData!$B:$B, $A259, NewEmisData!$C:$C, $H259, NewEmisData!$D:$D, CO$6)</f>
        <v>2.71243976689509E-2</v>
      </c>
      <c r="CP259" s="1111">
        <f>SUMIFS(NewEmisData!L:L, NewEmisData!$A:$A, $G259, NewEmisData!$B:$B, $A259, NewEmisData!$C:$C, $H259, NewEmisData!$D:$D, CP$6)</f>
        <v>2.7125748973111801E-2</v>
      </c>
      <c r="CQ259" s="1111">
        <f>SUMIFS(NewEmisData!M:M, NewEmisData!$A:$A, $G259, NewEmisData!$B:$B, $A259, NewEmisData!$C:$C, $H259, NewEmisData!$D:$D, CQ$6)</f>
        <v>2.71273712236671E-2</v>
      </c>
      <c r="CR259" s="1111">
        <f t="shared" si="423"/>
        <v>2.71273712236671E-2</v>
      </c>
      <c r="CS259" s="1111">
        <f t="shared" si="424"/>
        <v>2.4958751743538398E-3</v>
      </c>
      <c r="CT259" s="1111">
        <f>SUMIFS(NewEmisData!E:E, NewEmisData!$A:$A, $G259, NewEmisData!$B:$B, $A259, NewEmisData!$C:$C, $H259, NewEmisData!$D:$D, CT$6)</f>
        <v>2.4958751743538398E-3</v>
      </c>
      <c r="CU259" s="1111">
        <f>SUMIFS(NewEmisData!F:F, NewEmisData!$A:$A, $G259, NewEmisData!$B:$B, $A259, NewEmisData!$C:$C, $H259, NewEmisData!$D:$D, CU$6)</f>
        <v>2.4447713868806899E-3</v>
      </c>
      <c r="CV259" s="1111">
        <f>SUMIFS(NewEmisData!G:G, NewEmisData!$A:$A, $G259, NewEmisData!$B:$B, $A259, NewEmisData!$C:$C, $H259, NewEmisData!$D:$D, CV$6)</f>
        <v>3.4529570026890898E-3</v>
      </c>
      <c r="CW259" s="1111">
        <f>SUMIFS(NewEmisData!H:H, NewEmisData!$A:$A, $G259, NewEmisData!$B:$B, $A259, NewEmisData!$C:$C, $H259, NewEmisData!$D:$D, CW$6)</f>
        <v>3.4238629713190701E-3</v>
      </c>
      <c r="CX259" s="1111">
        <f>SUMIFS(NewEmisData!I:I, NewEmisData!$A:$A, $G259, NewEmisData!$B:$B, $A259, NewEmisData!$C:$C, $H259, NewEmisData!$D:$D, CX$6)</f>
        <v>3.4056857972038501E-3</v>
      </c>
      <c r="CY259" s="1111">
        <f>SUMIFS(NewEmisData!J:J, NewEmisData!$A:$A, $G259, NewEmisData!$B:$B, $A259, NewEmisData!$C:$C, $H259, NewEmisData!$D:$D, CY$6)</f>
        <v>3.39842942017498E-3</v>
      </c>
      <c r="CZ259" s="1111">
        <f>SUMIFS(NewEmisData!K:K, NewEmisData!$A:$A, $G259, NewEmisData!$B:$B, $A259, NewEmisData!$C:$C, $H259, NewEmisData!$D:$D, CZ$6)</f>
        <v>3.3964615682354799E-3</v>
      </c>
      <c r="DA259" s="1111">
        <f>SUMIFS(NewEmisData!L:L, NewEmisData!$A:$A, $G259, NewEmisData!$B:$B, $A259, NewEmisData!$C:$C, $H259, NewEmisData!$D:$D, DA$6)</f>
        <v>3.3967409048497499E-3</v>
      </c>
      <c r="DB259" s="1111">
        <f>SUMIFS(NewEmisData!M:M, NewEmisData!$A:$A, $G259, NewEmisData!$B:$B, $A259, NewEmisData!$C:$C, $H259, NewEmisData!$D:$D, DB$6)</f>
        <v>3.3981280596405302E-3</v>
      </c>
      <c r="DC259" s="1111">
        <f t="shared" si="425"/>
        <v>3.3981280596405302E-3</v>
      </c>
      <c r="DD259" s="1111"/>
      <c r="DE259" s="1111"/>
      <c r="DF259" s="1111"/>
      <c r="DG259" s="1111"/>
      <c r="DH259" s="1111"/>
      <c r="DI259" s="1111"/>
      <c r="DJ259" s="1111"/>
      <c r="DK259" s="1111"/>
      <c r="DL259" s="1111"/>
      <c r="DM259" s="1111"/>
      <c r="DN259" s="1111"/>
      <c r="DO259" s="1111"/>
      <c r="DP259" s="1111"/>
      <c r="DQ259" s="1111"/>
      <c r="DR259" s="1111"/>
      <c r="DS259" s="1111"/>
      <c r="DT259" s="1111"/>
      <c r="DU259" s="1111"/>
      <c r="DV259" s="1111"/>
      <c r="DW259" s="1111"/>
      <c r="DX259" s="1111"/>
      <c r="DY259" s="1111"/>
      <c r="DZ259" s="1111">
        <f t="shared" si="426"/>
        <v>1.50837600567011E-2</v>
      </c>
      <c r="EA259" s="1111">
        <f>SUMIFS(NewEmisData!E:E, NewEmisData!$A:$A, $G259, NewEmisData!$B:$B, $A259, NewEmisData!$C:$C, $H259, NewEmisData!$D:$D, EA$6)</f>
        <v>1.50837600567011E-2</v>
      </c>
      <c r="EB259" s="1111">
        <f>SUMIFS(NewEmisData!F:F, NewEmisData!$A:$A, $G259, NewEmisData!$B:$B, $A259, NewEmisData!$C:$C, $H259, NewEmisData!$D:$D, EB$6)</f>
        <v>4.1820056790997803E-2</v>
      </c>
      <c r="EC259" s="1111">
        <f>SUMIFS(NewEmisData!G:G, NewEmisData!$A:$A, $G259, NewEmisData!$B:$B, $A259, NewEmisData!$C:$C, $H259, NewEmisData!$D:$D, EC$6)</f>
        <v>7.3126252157420996E-2</v>
      </c>
      <c r="ED259" s="1111">
        <f>SUMIFS(NewEmisData!H:H, NewEmisData!$A:$A, $G259, NewEmisData!$B:$B, $A259, NewEmisData!$C:$C, $H259, NewEmisData!$D:$D, ED$6)</f>
        <v>7.3867270375654201E-2</v>
      </c>
      <c r="EE259" s="1111">
        <f>SUMIFS(NewEmisData!I:I, NewEmisData!$A:$A, $G259, NewEmisData!$B:$B, $A259, NewEmisData!$C:$C, $H259, NewEmisData!$D:$D, EE$6)</f>
        <v>7.3939295087643395E-2</v>
      </c>
      <c r="EF259" s="1111">
        <f>SUMIFS(NewEmisData!J:J, NewEmisData!$A:$A, $G259, NewEmisData!$B:$B, $A259, NewEmisData!$C:$C, $H259, NewEmisData!$D:$D, EF$6)</f>
        <v>7.3756036716317294E-2</v>
      </c>
      <c r="EG259" s="1111">
        <f>SUMIFS(NewEmisData!K:K, NewEmisData!$A:$A, $G259, NewEmisData!$B:$B, $A259, NewEmisData!$C:$C, $H259, NewEmisData!$D:$D, EG$6)</f>
        <v>7.3800142314626199E-2</v>
      </c>
      <c r="EH259" s="1111">
        <f>SUMIFS(NewEmisData!L:L, NewEmisData!$A:$A, $G259, NewEmisData!$B:$B, $A259, NewEmisData!$C:$C, $H259, NewEmisData!$D:$D, EH$6)</f>
        <v>7.3776798768142804E-2</v>
      </c>
      <c r="EI259" s="1111">
        <f>SUMIFS(NewEmisData!M:M, NewEmisData!$A:$A, $G259, NewEmisData!$B:$B, $A259, NewEmisData!$C:$C, $H259, NewEmisData!$D:$D, EI$6)</f>
        <v>7.3798077513590202E-2</v>
      </c>
      <c r="EJ259" s="1111">
        <f t="shared" si="427"/>
        <v>7.3798077513590202E-2</v>
      </c>
      <c r="EK259" s="1111">
        <f t="shared" si="428"/>
        <v>1669.0822501080099</v>
      </c>
      <c r="EL259" s="1111">
        <f t="shared" si="343"/>
        <v>1669.0822501080099</v>
      </c>
      <c r="EM259" s="1111">
        <f t="shared" si="344"/>
        <v>1673.1688001129</v>
      </c>
      <c r="EN259" s="1111">
        <f t="shared" si="345"/>
        <v>1365.67564571155</v>
      </c>
      <c r="EO259" s="1111">
        <f t="shared" si="346"/>
        <v>1340.2430368273101</v>
      </c>
      <c r="EP259" s="1111">
        <f t="shared" si="347"/>
        <v>1322.8450856147599</v>
      </c>
      <c r="EQ259" s="1111">
        <f t="shared" si="348"/>
        <v>1317.23072914767</v>
      </c>
      <c r="ER259" s="1111">
        <f t="shared" si="349"/>
        <v>1315.3450285164099</v>
      </c>
      <c r="ES259" s="1111">
        <f t="shared" si="350"/>
        <v>1314.50089135955</v>
      </c>
      <c r="ET259" s="1111">
        <f t="shared" si="351"/>
        <v>1313.88241213587</v>
      </c>
      <c r="EU259" s="1111">
        <f t="shared" si="352"/>
        <v>1313.88241213587</v>
      </c>
      <c r="EV259" s="1111">
        <f t="shared" si="429"/>
        <v>13.492775574024799</v>
      </c>
      <c r="EW259" s="1111">
        <f t="shared" si="333"/>
        <v>13.492775574024799</v>
      </c>
      <c r="EX259" s="1111">
        <f t="shared" si="334"/>
        <v>7.5468458416536803</v>
      </c>
      <c r="EY259" s="1111">
        <f t="shared" si="335"/>
        <v>2.86440753900408</v>
      </c>
      <c r="EZ259" s="1111">
        <f t="shared" si="336"/>
        <v>1.66545036782072</v>
      </c>
      <c r="FA259" s="1111">
        <f t="shared" si="337"/>
        <v>1.2872223005865</v>
      </c>
      <c r="FB259" s="1111">
        <f t="shared" si="338"/>
        <v>1.20818388349511</v>
      </c>
      <c r="FC259" s="1111">
        <f t="shared" si="339"/>
        <v>1.1882189073440399</v>
      </c>
      <c r="FD259" s="1111">
        <f t="shared" si="340"/>
        <v>1.18759279747034</v>
      </c>
      <c r="FE259" s="1111">
        <f t="shared" si="341"/>
        <v>1.1873143220192299</v>
      </c>
      <c r="FF259" s="1111">
        <f t="shared" si="342"/>
        <v>1.1873143220192299</v>
      </c>
      <c r="FG259" s="1111">
        <f t="shared" si="389"/>
        <v>1.9219515132106998E-2</v>
      </c>
      <c r="FH259" s="1111">
        <f t="shared" si="390"/>
        <v>1.9219515132106998E-2</v>
      </c>
      <c r="FI259" s="1111">
        <f t="shared" si="391"/>
        <v>1.8381789821165999E-2</v>
      </c>
      <c r="FJ259" s="1111">
        <f t="shared" si="392"/>
        <v>1.1480506512681401E-2</v>
      </c>
      <c r="FK259" s="1111">
        <f t="shared" si="393"/>
        <v>1.1200613613581E-2</v>
      </c>
      <c r="FL259" s="1111">
        <f t="shared" si="394"/>
        <v>1.1033835716401499E-2</v>
      </c>
      <c r="FM259" s="1111">
        <f t="shared" si="395"/>
        <v>1.0983128564943399E-2</v>
      </c>
      <c r="FN259" s="1111">
        <f t="shared" si="396"/>
        <v>1.09661929621608E-2</v>
      </c>
      <c r="FO259" s="1111">
        <f t="shared" si="397"/>
        <v>1.09591556908048E-2</v>
      </c>
      <c r="FP259" s="1111">
        <f t="shared" si="398"/>
        <v>1.09539961645838E-2</v>
      </c>
      <c r="FQ259" s="1111">
        <f t="shared" si="399"/>
        <v>1.09539961645838E-2</v>
      </c>
      <c r="FR259" s="1111">
        <f t="shared" si="322"/>
        <v>0.858529279217077</v>
      </c>
      <c r="FS259" s="1111">
        <f t="shared" si="323"/>
        <v>0.858529279217077</v>
      </c>
      <c r="FT259" s="1111">
        <f t="shared" si="324"/>
        <v>0.503731417508816</v>
      </c>
      <c r="FU259" s="1111">
        <f t="shared" si="325"/>
        <v>0.37512816215378397</v>
      </c>
      <c r="FV259" s="1111">
        <f t="shared" si="326"/>
        <v>0.30828199926496602</v>
      </c>
      <c r="FW259" s="1111">
        <f t="shared" si="327"/>
        <v>0.28661953326038297</v>
      </c>
      <c r="FX259" s="1111">
        <f t="shared" si="328"/>
        <v>0.28264038179328499</v>
      </c>
      <c r="FY259" s="1111">
        <f t="shared" si="329"/>
        <v>0.28162692153878699</v>
      </c>
      <c r="FZ259" s="1111">
        <f t="shared" si="330"/>
        <v>0.281751869278763</v>
      </c>
      <c r="GA259" s="1111">
        <f t="shared" si="331"/>
        <v>0.28192306485273899</v>
      </c>
      <c r="GB259" s="1111">
        <f t="shared" si="332"/>
        <v>0.28192306485273899</v>
      </c>
      <c r="GC259" s="1111">
        <f t="shared" si="353"/>
        <v>0.65283874806811604</v>
      </c>
      <c r="GD259" s="1111">
        <f t="shared" si="354"/>
        <v>0.65283874806811604</v>
      </c>
      <c r="GE259" s="1111">
        <f t="shared" si="355"/>
        <v>0.33224436660041701</v>
      </c>
      <c r="GF259" s="1111">
        <f t="shared" si="356"/>
        <v>0.13652581905042699</v>
      </c>
      <c r="GG259" s="1111">
        <f t="shared" si="357"/>
        <v>7.8025503719108297E-2</v>
      </c>
      <c r="GH259" s="1111">
        <f t="shared" si="358"/>
        <v>5.9231027771519597E-2</v>
      </c>
      <c r="GI259" s="1111">
        <f t="shared" si="359"/>
        <v>5.5901975487255798E-2</v>
      </c>
      <c r="GJ259" s="1111">
        <f t="shared" si="360"/>
        <v>5.4946823671966197E-2</v>
      </c>
      <c r="GK259" s="1111">
        <f t="shared" si="361"/>
        <v>5.4950705011026502E-2</v>
      </c>
      <c r="GL259" s="1111">
        <f t="shared" si="362"/>
        <v>5.4967058193246002E-2</v>
      </c>
      <c r="GM259" s="1111">
        <f t="shared" si="363"/>
        <v>5.4967058193246002E-2</v>
      </c>
    </row>
    <row r="260" spans="1:195" x14ac:dyDescent="0.2">
      <c r="A260" s="1071" t="s">
        <v>190</v>
      </c>
      <c r="B260" s="1071" t="str">
        <f>Technologies!C148</f>
        <v>THSDSLADV</v>
      </c>
      <c r="C260" s="1071" t="str">
        <f>Technologies!D148</f>
        <v>Heavy Truck, Short Haul, Advanced Diesel</v>
      </c>
      <c r="D260" s="1071" t="str">
        <f>NewTech!D102</f>
        <v>bn-vmt, bn-vmt/a</v>
      </c>
      <c r="E260" s="1071" t="str">
        <f>Commodities!C$44</f>
        <v>THDSL</v>
      </c>
      <c r="F260" s="1071" t="s">
        <v>98</v>
      </c>
      <c r="G260" s="1110" t="s">
        <v>505</v>
      </c>
      <c r="H260" s="1110" t="s">
        <v>499</v>
      </c>
      <c r="I260" s="1112">
        <v>1</v>
      </c>
      <c r="J260" s="1111" t="str">
        <f t="shared" si="302"/>
        <v>Heavy duty short haul truck-DSL</v>
      </c>
      <c r="K260" s="1111">
        <f>SUMIFS(NewEmisData!E:E, NewEmisData!$A:$A, $G260, NewEmisData!$B:$B, $A260, NewEmisData!$C:$C, $H260, NewEmisData!$D:$D, K$6)</f>
        <v>1446.4734413180499</v>
      </c>
      <c r="L260" s="1111">
        <f>SUMIFS(NewEmisData!F:F, NewEmisData!$A:$A, $G260, NewEmisData!$B:$B, $A260, NewEmisData!$C:$C, $H260, NewEmisData!$D:$D, L$6)</f>
        <v>1740.72087390757</v>
      </c>
      <c r="M260" s="1111">
        <f>SUMIFS(NewEmisData!G:G, NewEmisData!$A:$A, $G260, NewEmisData!$B:$B, $A260, NewEmisData!$C:$C, $H260, NewEmisData!$D:$D, M$6)</f>
        <v>1883.5112444895601</v>
      </c>
      <c r="N260" s="1111">
        <f>SUMIFS(NewEmisData!H:H, NewEmisData!$A:$A, $G260, NewEmisData!$B:$B, $A260, NewEmisData!$C:$C, $H260, NewEmisData!$D:$D, N$6)</f>
        <v>1846.4691773357799</v>
      </c>
      <c r="O260" s="1111">
        <f>SUMIFS(NewEmisData!I:I, NewEmisData!$A:$A, $G260, NewEmisData!$B:$B, $A260, NewEmisData!$C:$C, $H260, NewEmisData!$D:$D, O$6)</f>
        <v>1831.61438997502</v>
      </c>
      <c r="P260" s="1111">
        <f>SUMIFS(NewEmisData!J:J, NewEmisData!$A:$A, $G260, NewEmisData!$B:$B, $A260, NewEmisData!$C:$C, $H260, NewEmisData!$D:$D, P$6)</f>
        <v>1827.40074627429</v>
      </c>
      <c r="Q260" s="1111">
        <f>SUMIFS(NewEmisData!K:K, NewEmisData!$A:$A, $G260, NewEmisData!$B:$B, $A260, NewEmisData!$C:$C, $H260, NewEmisData!$D:$D, Q$6)</f>
        <v>1826.3756740122001</v>
      </c>
      <c r="R260" s="1111">
        <f>SUMIFS(NewEmisData!L:L, NewEmisData!$A:$A, $G260, NewEmisData!$B:$B, $A260, NewEmisData!$C:$C, $H260, NewEmisData!$D:$D, R$6)</f>
        <v>1826.08515951495</v>
      </c>
      <c r="S260" s="1111">
        <f>SUMIFS(NewEmisData!M:M, NewEmisData!$A:$A, $G260, NewEmisData!$B:$B, $A260, NewEmisData!$C:$C, $H260, NewEmisData!$D:$D, S$6)</f>
        <v>1825.9462445100501</v>
      </c>
      <c r="T260" s="1111">
        <f t="shared" si="364"/>
        <v>1825.9462445100501</v>
      </c>
      <c r="U260" s="1111">
        <f>SUMIFS(NewEmisData!E:E, NewEmisData!$A:$A, $G260, NewEmisData!$B:$B, $A260, NewEmisData!$C:$C, $H260, NewEmisData!$D:$D, U$6)</f>
        <v>10.927472096680599</v>
      </c>
      <c r="V260" s="1111">
        <f>SUMIFS(NewEmisData!F:F, NewEmisData!$A:$A, $G260, NewEmisData!$B:$B, $A260, NewEmisData!$C:$C, $H260, NewEmisData!$D:$D, V$6)</f>
        <v>7.1206377233055003</v>
      </c>
      <c r="W260" s="1111">
        <f>SUMIFS(NewEmisData!G:G, NewEmisData!$A:$A, $G260, NewEmisData!$B:$B, $A260, NewEmisData!$C:$C, $H260, NewEmisData!$D:$D, W$6)</f>
        <v>3.1558879768380601</v>
      </c>
      <c r="X260" s="1111">
        <f>SUMIFS(NewEmisData!H:H, NewEmisData!$A:$A, $G260, NewEmisData!$B:$B, $A260, NewEmisData!$C:$C, $H260, NewEmisData!$D:$D, X$6)</f>
        <v>2.0748112225925799</v>
      </c>
      <c r="Y260" s="1111">
        <f>SUMIFS(NewEmisData!I:I, NewEmisData!$A:$A, $G260, NewEmisData!$B:$B, $A260, NewEmisData!$C:$C, $H260, NewEmisData!$D:$D, Y$6)</f>
        <v>1.74258491838324</v>
      </c>
      <c r="Z260" s="1111">
        <f>SUMIFS(NewEmisData!J:J, NewEmisData!$A:$A, $G260, NewEmisData!$B:$B, $A260, NewEmisData!$C:$C, $H260, NewEmisData!$D:$D, Z$6)</f>
        <v>1.67796051175704</v>
      </c>
      <c r="AA260" s="1111">
        <f>SUMIFS(NewEmisData!K:K, NewEmisData!$A:$A, $G260, NewEmisData!$B:$B, $A260, NewEmisData!$C:$C, $H260, NewEmisData!$D:$D, AA$6)</f>
        <v>1.66395683464412</v>
      </c>
      <c r="AB260" s="1111">
        <f>SUMIFS(NewEmisData!L:L, NewEmisData!$A:$A, $G260, NewEmisData!$B:$B, $A260, NewEmisData!$C:$C, $H260, NewEmisData!$D:$D, AB$6)</f>
        <v>1.6637625206784601</v>
      </c>
      <c r="AC260" s="1111">
        <f>SUMIFS(NewEmisData!M:M, NewEmisData!$A:$A, $G260, NewEmisData!$B:$B, $A260, NewEmisData!$C:$C, $H260, NewEmisData!$D:$D, AC$6)</f>
        <v>1.6637616447113901</v>
      </c>
      <c r="AD260" s="1111">
        <f t="shared" si="321"/>
        <v>1.6637616447113901</v>
      </c>
      <c r="AE260" s="1111">
        <f t="shared" si="412"/>
        <v>3.5795342325280199E-2</v>
      </c>
      <c r="AF260" s="1111">
        <f>SUMIFS(NewEmisData!E:E, NewEmisData!$A:$A, $G260, NewEmisData!$B:$B, $A260, NewEmisData!$C:$C, $H260, NewEmisData!$D:$D, AF$6)</f>
        <v>3.5795342325280199E-2</v>
      </c>
      <c r="AG260" s="1111">
        <f>SUMIFS(NewEmisData!F:F, NewEmisData!$A:$A, $G260, NewEmisData!$B:$B, $A260, NewEmisData!$C:$C, $H260, NewEmisData!$D:$D, AG$6)</f>
        <v>4.18895987456427E-2</v>
      </c>
      <c r="AH260" s="1111">
        <f>SUMIFS(NewEmisData!G:G, NewEmisData!$A:$A, $G260, NewEmisData!$B:$B, $A260, NewEmisData!$C:$C, $H260, NewEmisData!$D:$D, AH$6)</f>
        <v>1.5791060545945802E-2</v>
      </c>
      <c r="AI260" s="1111">
        <f>SUMIFS(NewEmisData!H:H, NewEmisData!$A:$A, $G260, NewEmisData!$B:$B, $A260, NewEmisData!$C:$C, $H260, NewEmisData!$D:$D, AI$6)</f>
        <v>1.5415670212051501E-2</v>
      </c>
      <c r="AJ260" s="1111">
        <f>SUMIFS(NewEmisData!I:I, NewEmisData!$A:$A, $G260, NewEmisData!$B:$B, $A260, NewEmisData!$C:$C, $H260, NewEmisData!$D:$D, AJ$6)</f>
        <v>1.5274431754930399E-2</v>
      </c>
      <c r="AK260" s="1111">
        <f>SUMIFS(NewEmisData!J:J, NewEmisData!$A:$A, $G260, NewEmisData!$B:$B, $A260, NewEmisData!$C:$C, $H260, NewEmisData!$D:$D, AK$6)</f>
        <v>1.5236164903811999E-2</v>
      </c>
      <c r="AL260" s="1111">
        <f>SUMIFS(NewEmisData!K:K, NewEmisData!$A:$A, $G260, NewEmisData!$B:$B, $A260, NewEmisData!$C:$C, $H260, NewEmisData!$D:$D, AL$6)</f>
        <v>1.52267203455439E-2</v>
      </c>
      <c r="AM260" s="1111">
        <f>SUMIFS(NewEmisData!L:L, NewEmisData!$A:$A, $G260, NewEmisData!$B:$B, $A260, NewEmisData!$C:$C, $H260, NewEmisData!$D:$D, AM$6)</f>
        <v>1.5224294731162401E-2</v>
      </c>
      <c r="AN260" s="1111">
        <f>SUMIFS(NewEmisData!M:M, NewEmisData!$A:$A, $G260, NewEmisData!$B:$B, $A260, NewEmisData!$C:$C, $H260, NewEmisData!$D:$D, AN$6)</f>
        <v>1.52231302628319E-2</v>
      </c>
      <c r="AO260" s="1111">
        <f t="shared" si="413"/>
        <v>1.52231302628319E-2</v>
      </c>
      <c r="AP260" s="1111">
        <f t="shared" si="414"/>
        <v>1.1386613940402399</v>
      </c>
      <c r="AQ260" s="1111">
        <f>SUMIFS(NewEmisData!E:E, NewEmisData!$A:$A, $G260, NewEmisData!$B:$B, $A260, NewEmisData!$C:$C, $H260, NewEmisData!$D:$D, AQ$6)</f>
        <v>1.1386613940402399</v>
      </c>
      <c r="AR260" s="1111">
        <f>SUMIFS(NewEmisData!F:F, NewEmisData!$A:$A, $G260, NewEmisData!$B:$B, $A260, NewEmisData!$C:$C, $H260, NewEmisData!$D:$D, AR$6)</f>
        <v>0.81062826870189697</v>
      </c>
      <c r="AS260" s="1111">
        <f>SUMIFS(NewEmisData!G:G, NewEmisData!$A:$A, $G260, NewEmisData!$B:$B, $A260, NewEmisData!$C:$C, $H260, NewEmisData!$D:$D, AS$6)</f>
        <v>0.53923885209480305</v>
      </c>
      <c r="AT260" s="1111">
        <f>SUMIFS(NewEmisData!H:H, NewEmisData!$A:$A, $G260, NewEmisData!$B:$B, $A260, NewEmisData!$C:$C, $H260, NewEmisData!$D:$D, AT$6)</f>
        <v>0.475762300205197</v>
      </c>
      <c r="AU260" s="1111">
        <f>SUMIFS(NewEmisData!I:I, NewEmisData!$A:$A, $G260, NewEmisData!$B:$B, $A260, NewEmisData!$C:$C, $H260, NewEmisData!$D:$D, AU$6)</f>
        <v>0.45922153968976998</v>
      </c>
      <c r="AV260" s="1111">
        <f>SUMIFS(NewEmisData!J:J, NewEmisData!$A:$A, $G260, NewEmisData!$B:$B, $A260, NewEmisData!$C:$C, $H260, NewEmisData!$D:$D, AV$6)</f>
        <v>0.45636829014935498</v>
      </c>
      <c r="AW260" s="1111">
        <f>SUMIFS(NewEmisData!K:K, NewEmisData!$A:$A, $G260, NewEmisData!$B:$B, $A260, NewEmisData!$C:$C, $H260, NewEmisData!$D:$D, AW$6)</f>
        <v>0.45567985208338102</v>
      </c>
      <c r="AX260" s="1111">
        <f>SUMIFS(NewEmisData!L:L, NewEmisData!$A:$A, $G260, NewEmisData!$B:$B, $A260, NewEmisData!$C:$C, $H260, NewEmisData!$D:$D, AX$6)</f>
        <v>0.45574905770507301</v>
      </c>
      <c r="AY260" s="1111">
        <f>SUMIFS(NewEmisData!M:M, NewEmisData!$A:$A, $G260, NewEmisData!$B:$B, $A260, NewEmisData!$C:$C, $H260, NewEmisData!$D:$D, AY$6)</f>
        <v>0.455831313218652</v>
      </c>
      <c r="AZ260" s="1111">
        <f t="shared" si="415"/>
        <v>0.455831313218652</v>
      </c>
      <c r="BA260" s="1111">
        <f t="shared" si="416"/>
        <v>0.76056597813754101</v>
      </c>
      <c r="BB260" s="1111">
        <f>SUMIFS(NewEmisData!E:E, NewEmisData!$A:$A, $G260, NewEmisData!$B:$B, $A260, NewEmisData!$C:$C, $H260, NewEmisData!$D:$D, BB$6)</f>
        <v>0.76056597813754101</v>
      </c>
      <c r="BC260" s="1111">
        <f>SUMIFS(NewEmisData!F:F, NewEmisData!$A:$A, $G260, NewEmisData!$B:$B, $A260, NewEmisData!$C:$C, $H260, NewEmisData!$D:$D, BC$6)</f>
        <v>0.44834360182688099</v>
      </c>
      <c r="BD260" s="1111">
        <f>SUMIFS(NewEmisData!G:G, NewEmisData!$A:$A, $G260, NewEmisData!$B:$B, $A260, NewEmisData!$C:$C, $H260, NewEmisData!$D:$D, BD$6)</f>
        <v>0.16425905468775201</v>
      </c>
      <c r="BE260" s="1111">
        <f>SUMIFS(NewEmisData!H:H, NewEmisData!$A:$A, $G260, NewEmisData!$B:$B, $A260, NewEmisData!$C:$C, $H260, NewEmisData!$D:$D, BE$6)</f>
        <v>0.106571454108964</v>
      </c>
      <c r="BF260" s="1111">
        <f>SUMIFS(NewEmisData!I:I, NewEmisData!$A:$A, $G260, NewEmisData!$B:$B, $A260, NewEmisData!$C:$C, $H260, NewEmisData!$D:$D, BF$6)</f>
        <v>9.1494531785506497E-2</v>
      </c>
      <c r="BG260" s="1111">
        <f>SUMIFS(NewEmisData!J:J, NewEmisData!$A:$A, $G260, NewEmisData!$B:$B, $A260, NewEmisData!$C:$C, $H260, NewEmisData!$D:$D, BG$6)</f>
        <v>8.8871730484206005E-2</v>
      </c>
      <c r="BH260" s="1111">
        <f>SUMIFS(NewEmisData!K:K, NewEmisData!$A:$A, $G260, NewEmisData!$B:$B, $A260, NewEmisData!$C:$C, $H260, NewEmisData!$D:$D, BH$6)</f>
        <v>8.8185150826517997E-2</v>
      </c>
      <c r="BI260" s="1111">
        <f>SUMIFS(NewEmisData!L:L, NewEmisData!$A:$A, $G260, NewEmisData!$B:$B, $A260, NewEmisData!$C:$C, $H260, NewEmisData!$D:$D, BI$6)</f>
        <v>8.8192675178559193E-2</v>
      </c>
      <c r="BJ260" s="1111">
        <f>SUMIFS(NewEmisData!M:M, NewEmisData!$A:$A, $G260, NewEmisData!$B:$B, $A260, NewEmisData!$C:$C, $H260, NewEmisData!$D:$D, BJ$6)</f>
        <v>8.8205281736577906E-2</v>
      </c>
      <c r="BK260" s="1111">
        <f t="shared" si="417"/>
        <v>8.8205281736577906E-2</v>
      </c>
      <c r="BL260" s="1111">
        <f t="shared" si="418"/>
        <v>4.6832626450914496</v>
      </c>
      <c r="BM260" s="1111">
        <f>SUMIFS(NewEmisData!E:E, NewEmisData!$A:$A, $G260, NewEmisData!$B:$B, $A260, NewEmisData!$C:$C, $H260, NewEmisData!$D:$D, BM$6)</f>
        <v>4.6832626450914496</v>
      </c>
      <c r="BN260" s="1111">
        <f>SUMIFS(NewEmisData!F:F, NewEmisData!$A:$A, $G260, NewEmisData!$B:$B, $A260, NewEmisData!$C:$C, $H260, NewEmisData!$D:$D, BN$6)</f>
        <v>2.6100431929147598</v>
      </c>
      <c r="BO260" s="1111">
        <f>SUMIFS(NewEmisData!G:G, NewEmisData!$A:$A, $G260, NewEmisData!$B:$B, $A260, NewEmisData!$C:$C, $H260, NewEmisData!$D:$D, BO$6)</f>
        <v>1.44727268865366</v>
      </c>
      <c r="BP260" s="1111">
        <f>SUMIFS(NewEmisData!H:H, NewEmisData!$A:$A, $G260, NewEmisData!$B:$B, $A260, NewEmisData!$C:$C, $H260, NewEmisData!$D:$D, BP$6)</f>
        <v>1.1207683835002999</v>
      </c>
      <c r="BQ260" s="1111">
        <f>SUMIFS(NewEmisData!I:I, NewEmisData!$A:$A, $G260, NewEmisData!$B:$B, $A260, NewEmisData!$C:$C, $H260, NewEmisData!$D:$D, BQ$6)</f>
        <v>1.0267847071138601</v>
      </c>
      <c r="BR260" s="1111">
        <f>SUMIFS(NewEmisData!J:J, NewEmisData!$A:$A, $G260, NewEmisData!$B:$B, $A260, NewEmisData!$C:$C, $H260, NewEmisData!$D:$D, BR$6)</f>
        <v>1.00432218637865</v>
      </c>
      <c r="BS260" s="1111">
        <f>SUMIFS(NewEmisData!K:K, NewEmisData!$A:$A, $G260, NewEmisData!$B:$B, $A260, NewEmisData!$C:$C, $H260, NewEmisData!$D:$D, BS$6)</f>
        <v>0.99794723012971298</v>
      </c>
      <c r="BT260" s="1111">
        <f>SUMIFS(NewEmisData!L:L, NewEmisData!$A:$A, $G260, NewEmisData!$B:$B, $A260, NewEmisData!$C:$C, $H260, NewEmisData!$D:$D, BT$6)</f>
        <v>0.99667933319928403</v>
      </c>
      <c r="BU260" s="1111">
        <f>SUMIFS(NewEmisData!M:M, NewEmisData!$A:$A, $G260, NewEmisData!$B:$B, $A260, NewEmisData!$C:$C, $H260, NewEmisData!$D:$D, BU$6)</f>
        <v>0.99661224661700498</v>
      </c>
      <c r="BV260" s="1111">
        <f t="shared" si="419"/>
        <v>0.99661224661700498</v>
      </c>
      <c r="BW260" s="1111">
        <f t="shared" si="420"/>
        <v>1.3036578993866199</v>
      </c>
      <c r="BX260" s="1111">
        <f>SUMIFS(NewEmisData!E:E, NewEmisData!$A:$A, $G260, NewEmisData!$B:$B, $A260, NewEmisData!$C:$C, $H260, NewEmisData!$D:$D, BX$6)</f>
        <v>1.3036578993866199</v>
      </c>
      <c r="BY260" s="1111">
        <f>SUMIFS(NewEmisData!F:F, NewEmisData!$A:$A, $G260, NewEmisData!$B:$B, $A260, NewEmisData!$C:$C, $H260, NewEmisData!$D:$D, BY$6)</f>
        <v>0.62654783684864801</v>
      </c>
      <c r="BZ260" s="1111">
        <f>SUMIFS(NewEmisData!G:G, NewEmisData!$A:$A, $G260, NewEmisData!$B:$B, $A260, NewEmisData!$C:$C, $H260, NewEmisData!$D:$D, BZ$6)</f>
        <v>0.256477663626625</v>
      </c>
      <c r="CA260" s="1111">
        <f>SUMIFS(NewEmisData!H:H, NewEmisData!$A:$A, $G260, NewEmisData!$B:$B, $A260, NewEmisData!$C:$C, $H260, NewEmisData!$D:$D, CA$6)</f>
        <v>0.15721626159253699</v>
      </c>
      <c r="CB260" s="1111">
        <f>SUMIFS(NewEmisData!I:I, NewEmisData!$A:$A, $G260, NewEmisData!$B:$B, $A260, NewEmisData!$C:$C, $H260, NewEmisData!$D:$D, CB$6)</f>
        <v>0.12995527844758301</v>
      </c>
      <c r="CC260" s="1111">
        <f>SUMIFS(NewEmisData!J:J, NewEmisData!$A:$A, $G260, NewEmisData!$B:$B, $A260, NewEmisData!$C:$C, $H260, NewEmisData!$D:$D, CC$6)</f>
        <v>0.124363752484154</v>
      </c>
      <c r="CD260" s="1111">
        <f>SUMIFS(NewEmisData!K:K, NewEmisData!$A:$A, $G260, NewEmisData!$B:$B, $A260, NewEmisData!$C:$C, $H260, NewEmisData!$D:$D, CD$6)</f>
        <v>0.12280434729006</v>
      </c>
      <c r="CE260" s="1111">
        <f>SUMIFS(NewEmisData!L:L, NewEmisData!$A:$A, $G260, NewEmisData!$B:$B, $A260, NewEmisData!$C:$C, $H260, NewEmisData!$D:$D, CE$6)</f>
        <v>0.12275657242648801</v>
      </c>
      <c r="CF260" s="1111">
        <f>SUMIFS(NewEmisData!M:M, NewEmisData!$A:$A, $G260, NewEmisData!$B:$B, $A260, NewEmisData!$C:$C, $H260, NewEmisData!$D:$D, CF$6)</f>
        <v>0.122755209940958</v>
      </c>
      <c r="CG260" s="1111">
        <f t="shared" si="421"/>
        <v>0.122755209940958</v>
      </c>
      <c r="CH260" s="1111">
        <f t="shared" si="422"/>
        <v>2.6814639578360101E-2</v>
      </c>
      <c r="CI260" s="1111">
        <f>SUMIFS(NewEmisData!E:E, NewEmisData!$A:$A, $G260, NewEmisData!$B:$B, $A260, NewEmisData!$C:$C, $H260, NewEmisData!$D:$D, CI$6)</f>
        <v>2.6814639578360101E-2</v>
      </c>
      <c r="CJ260" s="1111">
        <f>SUMIFS(NewEmisData!F:F, NewEmisData!$A:$A, $G260, NewEmisData!$B:$B, $A260, NewEmisData!$C:$C, $H260, NewEmisData!$D:$D, CJ$6)</f>
        <v>2.7377198484682501E-2</v>
      </c>
      <c r="CK260" s="1111">
        <f>SUMIFS(NewEmisData!G:G, NewEmisData!$A:$A, $G260, NewEmisData!$B:$B, $A260, NewEmisData!$C:$C, $H260, NewEmisData!$D:$D, CK$6)</f>
        <v>3.1744752331224299E-2</v>
      </c>
      <c r="CL260" s="1111">
        <f>SUMIFS(NewEmisData!H:H, NewEmisData!$A:$A, $G260, NewEmisData!$B:$B, $A260, NewEmisData!$C:$C, $H260, NewEmisData!$D:$D, CL$6)</f>
        <v>3.1751089810168102E-2</v>
      </c>
      <c r="CM260" s="1111">
        <f>SUMIFS(NewEmisData!I:I, NewEmisData!$A:$A, $G260, NewEmisData!$B:$B, $A260, NewEmisData!$C:$C, $H260, NewEmisData!$D:$D, CM$6)</f>
        <v>3.1753196220943601E-2</v>
      </c>
      <c r="CN260" s="1111">
        <f>SUMIFS(NewEmisData!J:J, NewEmisData!$A:$A, $G260, NewEmisData!$B:$B, $A260, NewEmisData!$C:$C, $H260, NewEmisData!$D:$D, CN$6)</f>
        <v>3.1754907653783297E-2</v>
      </c>
      <c r="CO260" s="1111">
        <f>SUMIFS(NewEmisData!K:K, NewEmisData!$A:$A, $G260, NewEmisData!$B:$B, $A260, NewEmisData!$C:$C, $H260, NewEmisData!$D:$D, CO$6)</f>
        <v>3.1756308019210901E-2</v>
      </c>
      <c r="CP260" s="1111">
        <f>SUMIFS(NewEmisData!L:L, NewEmisData!$A:$A, $G260, NewEmisData!$B:$B, $A260, NewEmisData!$C:$C, $H260, NewEmisData!$D:$D, CP$6)</f>
        <v>3.1757504483370197E-2</v>
      </c>
      <c r="CQ260" s="1111">
        <f>SUMIFS(NewEmisData!M:M, NewEmisData!$A:$A, $G260, NewEmisData!$B:$B, $A260, NewEmisData!$C:$C, $H260, NewEmisData!$D:$D, CQ$6)</f>
        <v>3.17586670417229E-2</v>
      </c>
      <c r="CR260" s="1111">
        <f t="shared" si="423"/>
        <v>3.17586670417229E-2</v>
      </c>
      <c r="CS260" s="1111">
        <f t="shared" si="424"/>
        <v>4.3846094197843499E-3</v>
      </c>
      <c r="CT260" s="1111">
        <f>SUMIFS(NewEmisData!E:E, NewEmisData!$A:$A, $G260, NewEmisData!$B:$B, $A260, NewEmisData!$C:$C, $H260, NewEmisData!$D:$D, CT$6)</f>
        <v>4.3846094197843499E-3</v>
      </c>
      <c r="CU260" s="1111">
        <f>SUMIFS(NewEmisData!F:F, NewEmisData!$A:$A, $G260, NewEmisData!$B:$B, $A260, NewEmisData!$C:$C, $H260, NewEmisData!$D:$D, CU$6)</f>
        <v>4.2824271816577098E-3</v>
      </c>
      <c r="CV260" s="1111">
        <f>SUMIFS(NewEmisData!G:G, NewEmisData!$A:$A, $G260, NewEmisData!$B:$B, $A260, NewEmisData!$C:$C, $H260, NewEmisData!$D:$D, CV$6)</f>
        <v>5.02899922498892E-3</v>
      </c>
      <c r="CW260" s="1111">
        <f>SUMIFS(NewEmisData!H:H, NewEmisData!$A:$A, $G260, NewEmisData!$B:$B, $A260, NewEmisData!$C:$C, $H260, NewEmisData!$D:$D, CW$6)</f>
        <v>5.0046662993367902E-3</v>
      </c>
      <c r="CX260" s="1111">
        <f>SUMIFS(NewEmisData!I:I, NewEmisData!$A:$A, $G260, NewEmisData!$B:$B, $A260, NewEmisData!$C:$C, $H260, NewEmisData!$D:$D, CX$6)</f>
        <v>4.9882594082795899E-3</v>
      </c>
      <c r="CY260" s="1111">
        <f>SUMIFS(NewEmisData!J:J, NewEmisData!$A:$A, $G260, NewEmisData!$B:$B, $A260, NewEmisData!$C:$C, $H260, NewEmisData!$D:$D, CY$6)</f>
        <v>4.9807823416885997E-3</v>
      </c>
      <c r="CZ260" s="1111">
        <f>SUMIFS(NewEmisData!K:K, NewEmisData!$A:$A, $G260, NewEmisData!$B:$B, $A260, NewEmisData!$C:$C, $H260, NewEmisData!$D:$D, CZ$6)</f>
        <v>4.9778351451056097E-3</v>
      </c>
      <c r="DA260" s="1111">
        <f>SUMIFS(NewEmisData!L:L, NewEmisData!$A:$A, $G260, NewEmisData!$B:$B, $A260, NewEmisData!$C:$C, $H260, NewEmisData!$D:$D, DA$6)</f>
        <v>4.9770350121877902E-3</v>
      </c>
      <c r="DB260" s="1111">
        <f>SUMIFS(NewEmisData!M:M, NewEmisData!$A:$A, $G260, NewEmisData!$B:$B, $A260, NewEmisData!$C:$C, $H260, NewEmisData!$D:$D, DB$6)</f>
        <v>4.97750081597703E-3</v>
      </c>
      <c r="DC260" s="1111">
        <f t="shared" si="425"/>
        <v>4.97750081597703E-3</v>
      </c>
      <c r="DD260" s="1111"/>
      <c r="DE260" s="1111"/>
      <c r="DF260" s="1111"/>
      <c r="DG260" s="1111"/>
      <c r="DH260" s="1111"/>
      <c r="DI260" s="1111"/>
      <c r="DJ260" s="1111"/>
      <c r="DK260" s="1111"/>
      <c r="DL260" s="1111"/>
      <c r="DM260" s="1111"/>
      <c r="DN260" s="1111"/>
      <c r="DO260" s="1111"/>
      <c r="DP260" s="1111"/>
      <c r="DQ260" s="1111"/>
      <c r="DR260" s="1111"/>
      <c r="DS260" s="1111"/>
      <c r="DT260" s="1111"/>
      <c r="DU260" s="1111"/>
      <c r="DV260" s="1111"/>
      <c r="DW260" s="1111"/>
      <c r="DX260" s="1111"/>
      <c r="DY260" s="1111"/>
      <c r="DZ260" s="1111">
        <f t="shared" si="426"/>
        <v>2.5837404070173101E-2</v>
      </c>
      <c r="EA260" s="1111">
        <f>SUMIFS(NewEmisData!E:E, NewEmisData!$A:$A, $G260, NewEmisData!$B:$B, $A260, NewEmisData!$C:$C, $H260, NewEmisData!$D:$D, EA$6)</f>
        <v>2.5837404070173101E-2</v>
      </c>
      <c r="EB260" s="1111">
        <f>SUMIFS(NewEmisData!F:F, NewEmisData!$A:$A, $G260, NewEmisData!$B:$B, $A260, NewEmisData!$C:$C, $H260, NewEmisData!$D:$D, EB$6)</f>
        <v>7.8297413767458204E-2</v>
      </c>
      <c r="EC260" s="1111">
        <f>SUMIFS(NewEmisData!G:G, NewEmisData!$A:$A, $G260, NewEmisData!$B:$B, $A260, NewEmisData!$C:$C, $H260, NewEmisData!$D:$D, EC$6)</f>
        <v>0.10066729837517401</v>
      </c>
      <c r="ED260" s="1111">
        <f>SUMIFS(NewEmisData!H:H, NewEmisData!$A:$A, $G260, NewEmisData!$B:$B, $A260, NewEmisData!$C:$C, $H260, NewEmisData!$D:$D, ED$6)</f>
        <v>0.10297636370982299</v>
      </c>
      <c r="EE260" s="1111">
        <f>SUMIFS(NewEmisData!I:I, NewEmisData!$A:$A, $G260, NewEmisData!$B:$B, $A260, NewEmisData!$C:$C, $H260, NewEmisData!$D:$D, EE$6)</f>
        <v>0.103171854151657</v>
      </c>
      <c r="EF260" s="1111">
        <f>SUMIFS(NewEmisData!J:J, NewEmisData!$A:$A, $G260, NewEmisData!$B:$B, $A260, NewEmisData!$C:$C, $H260, NewEmisData!$D:$D, EF$6)</f>
        <v>0.103095802852537</v>
      </c>
      <c r="EG260" s="1111">
        <f>SUMIFS(NewEmisData!K:K, NewEmisData!$A:$A, $G260, NewEmisData!$B:$B, $A260, NewEmisData!$C:$C, $H260, NewEmisData!$D:$D, EG$6)</f>
        <v>0.10319825346403599</v>
      </c>
      <c r="EH260" s="1111">
        <f>SUMIFS(NewEmisData!L:L, NewEmisData!$A:$A, $G260, NewEmisData!$B:$B, $A260, NewEmisData!$C:$C, $H260, NewEmisData!$D:$D, EH$6)</f>
        <v>0.103151432114074</v>
      </c>
      <c r="EI260" s="1111">
        <f>SUMIFS(NewEmisData!M:M, NewEmisData!$A:$A, $G260, NewEmisData!$B:$B, $A260, NewEmisData!$C:$C, $H260, NewEmisData!$D:$D, EI$6)</f>
        <v>0.103153661145232</v>
      </c>
      <c r="EJ260" s="1111">
        <f t="shared" si="427"/>
        <v>0.103153661145232</v>
      </c>
      <c r="EK260" s="1111">
        <f t="shared" si="428"/>
        <v>1446.4734413180499</v>
      </c>
      <c r="EL260" s="1111">
        <f t="shared" si="343"/>
        <v>1446.4734413180499</v>
      </c>
      <c r="EM260" s="1111">
        <f t="shared" si="344"/>
        <v>1740.72087390757</v>
      </c>
      <c r="EN260" s="1111">
        <f t="shared" si="345"/>
        <v>1883.5112444895601</v>
      </c>
      <c r="EO260" s="1111">
        <f t="shared" si="346"/>
        <v>1846.4691773357799</v>
      </c>
      <c r="EP260" s="1111">
        <f t="shared" si="347"/>
        <v>1831.61438997502</v>
      </c>
      <c r="EQ260" s="1111">
        <f t="shared" si="348"/>
        <v>1827.40074627429</v>
      </c>
      <c r="ER260" s="1111">
        <f t="shared" si="349"/>
        <v>1826.3756740122001</v>
      </c>
      <c r="ES260" s="1111">
        <f t="shared" si="350"/>
        <v>1826.08515951495</v>
      </c>
      <c r="ET260" s="1111">
        <f t="shared" si="351"/>
        <v>1825.9462445100501</v>
      </c>
      <c r="EU260" s="1111">
        <f t="shared" si="352"/>
        <v>1825.9462445100501</v>
      </c>
      <c r="EV260" s="1111">
        <f t="shared" si="429"/>
        <v>10.927472096680599</v>
      </c>
      <c r="EW260" s="1111">
        <f t="shared" si="333"/>
        <v>10.927472096680599</v>
      </c>
      <c r="EX260" s="1111">
        <f t="shared" si="334"/>
        <v>7.1206377233055003</v>
      </c>
      <c r="EY260" s="1111">
        <f t="shared" si="335"/>
        <v>3.1558879768380601</v>
      </c>
      <c r="EZ260" s="1111">
        <f t="shared" si="336"/>
        <v>2.0748112225925799</v>
      </c>
      <c r="FA260" s="1111">
        <f t="shared" si="337"/>
        <v>1.74258491838324</v>
      </c>
      <c r="FB260" s="1111">
        <f t="shared" si="338"/>
        <v>1.67796051175704</v>
      </c>
      <c r="FC260" s="1111">
        <f t="shared" si="339"/>
        <v>1.66395683464412</v>
      </c>
      <c r="FD260" s="1111">
        <f t="shared" si="340"/>
        <v>1.6637625206784601</v>
      </c>
      <c r="FE260" s="1111">
        <f t="shared" si="341"/>
        <v>1.6637616447113901</v>
      </c>
      <c r="FF260" s="1111">
        <f t="shared" si="342"/>
        <v>1.6637616447113901</v>
      </c>
      <c r="FG260" s="1111">
        <f t="shared" si="389"/>
        <v>3.5795342325280199E-2</v>
      </c>
      <c r="FH260" s="1111">
        <f t="shared" si="390"/>
        <v>3.5795342325280199E-2</v>
      </c>
      <c r="FI260" s="1111">
        <f t="shared" si="391"/>
        <v>4.18895987456427E-2</v>
      </c>
      <c r="FJ260" s="1111">
        <f t="shared" si="392"/>
        <v>1.5791060545945802E-2</v>
      </c>
      <c r="FK260" s="1111">
        <f t="shared" si="393"/>
        <v>1.5415670212051501E-2</v>
      </c>
      <c r="FL260" s="1111">
        <f t="shared" si="394"/>
        <v>1.5274431754930399E-2</v>
      </c>
      <c r="FM260" s="1111">
        <f t="shared" si="395"/>
        <v>1.5236164903811999E-2</v>
      </c>
      <c r="FN260" s="1111">
        <f t="shared" si="396"/>
        <v>1.52267203455439E-2</v>
      </c>
      <c r="FO260" s="1111">
        <f t="shared" si="397"/>
        <v>1.5224294731162401E-2</v>
      </c>
      <c r="FP260" s="1111">
        <f t="shared" si="398"/>
        <v>1.52231302628319E-2</v>
      </c>
      <c r="FQ260" s="1111">
        <f t="shared" si="399"/>
        <v>1.52231302628319E-2</v>
      </c>
      <c r="FR260" s="1111">
        <f t="shared" si="322"/>
        <v>1.1386613940402399</v>
      </c>
      <c r="FS260" s="1111">
        <f t="shared" si="323"/>
        <v>1.1386613940402399</v>
      </c>
      <c r="FT260" s="1111">
        <f t="shared" si="324"/>
        <v>0.81062826870189697</v>
      </c>
      <c r="FU260" s="1111">
        <f t="shared" si="325"/>
        <v>0.53923885209480305</v>
      </c>
      <c r="FV260" s="1111">
        <f t="shared" si="326"/>
        <v>0.475762300205197</v>
      </c>
      <c r="FW260" s="1111">
        <f t="shared" si="327"/>
        <v>0.45922153968976998</v>
      </c>
      <c r="FX260" s="1111">
        <f t="shared" si="328"/>
        <v>0.45636829014935498</v>
      </c>
      <c r="FY260" s="1111">
        <f t="shared" si="329"/>
        <v>0.45567985208338102</v>
      </c>
      <c r="FZ260" s="1111">
        <f t="shared" si="330"/>
        <v>0.45574905770507301</v>
      </c>
      <c r="GA260" s="1111">
        <f t="shared" si="331"/>
        <v>0.455831313218652</v>
      </c>
      <c r="GB260" s="1111">
        <f t="shared" si="332"/>
        <v>0.455831313218652</v>
      </c>
      <c r="GC260" s="1111">
        <f t="shared" si="353"/>
        <v>0.76056597813754101</v>
      </c>
      <c r="GD260" s="1111">
        <f t="shared" si="354"/>
        <v>0.76056597813754101</v>
      </c>
      <c r="GE260" s="1111">
        <f t="shared" si="355"/>
        <v>0.44834360182688099</v>
      </c>
      <c r="GF260" s="1111">
        <f t="shared" si="356"/>
        <v>0.16425905468775201</v>
      </c>
      <c r="GG260" s="1111">
        <f t="shared" si="357"/>
        <v>0.106571454108964</v>
      </c>
      <c r="GH260" s="1111">
        <f t="shared" si="358"/>
        <v>9.1494531785506497E-2</v>
      </c>
      <c r="GI260" s="1111">
        <f t="shared" si="359"/>
        <v>8.8871730484206005E-2</v>
      </c>
      <c r="GJ260" s="1111">
        <f t="shared" si="360"/>
        <v>8.8185150826517997E-2</v>
      </c>
      <c r="GK260" s="1111">
        <f t="shared" si="361"/>
        <v>8.8192675178559193E-2</v>
      </c>
      <c r="GL260" s="1111">
        <f t="shared" si="362"/>
        <v>8.8205281736577906E-2</v>
      </c>
      <c r="GM260" s="1111">
        <f t="shared" si="363"/>
        <v>8.8205281736577906E-2</v>
      </c>
    </row>
    <row r="261" spans="1:195" x14ac:dyDescent="0.2">
      <c r="A261" s="1071" t="s">
        <v>182</v>
      </c>
      <c r="B261" s="1071" t="str">
        <f>Technologies!C149</f>
        <v>THSDSLAH</v>
      </c>
      <c r="C261" s="1071" t="str">
        <f>Technologies!D149</f>
        <v>Heavy Truck, Short Haul, Hybrid Diesel</v>
      </c>
      <c r="D261" s="1071" t="str">
        <f>NewTech!D102</f>
        <v>bn-vmt, bn-vmt/a</v>
      </c>
      <c r="E261" s="1071" t="str">
        <f>Commodities!C$44</f>
        <v>THDSL</v>
      </c>
      <c r="F261" s="1071" t="s">
        <v>98</v>
      </c>
      <c r="G261" s="1110" t="s">
        <v>505</v>
      </c>
      <c r="H261" s="1110" t="s">
        <v>499</v>
      </c>
      <c r="I261" s="1112">
        <v>1</v>
      </c>
      <c r="J261" s="1111" t="str">
        <f t="shared" si="302"/>
        <v>Heavy duty short haul truck-DSL</v>
      </c>
      <c r="K261" s="1111">
        <f>SUMIFS(NewEmisData!E:E, NewEmisData!$A:$A, $G261, NewEmisData!$B:$B, $A261, NewEmisData!$C:$C, $H261, NewEmisData!$D:$D, K$6)</f>
        <v>1482.5754764799101</v>
      </c>
      <c r="L261" s="1111">
        <f>SUMIFS(NewEmisData!F:F, NewEmisData!$A:$A, $G261, NewEmisData!$B:$B, $A261, NewEmisData!$C:$C, $H261, NewEmisData!$D:$D, L$6)</f>
        <v>1635.6442478660899</v>
      </c>
      <c r="M261" s="1111">
        <f>SUMIFS(NewEmisData!G:G, NewEmisData!$A:$A, $G261, NewEmisData!$B:$B, $A261, NewEmisData!$C:$C, $H261, NewEmisData!$D:$D, M$6)</f>
        <v>2107.1372534500802</v>
      </c>
      <c r="N261" s="1111">
        <f>SUMIFS(NewEmisData!H:H, NewEmisData!$A:$A, $G261, NewEmisData!$B:$B, $A261, NewEmisData!$C:$C, $H261, NewEmisData!$D:$D, N$6)</f>
        <v>2071.9319953702902</v>
      </c>
      <c r="O261" s="1111">
        <f>SUMIFS(NewEmisData!I:I, NewEmisData!$A:$A, $G261, NewEmisData!$B:$B, $A261, NewEmisData!$C:$C, $H261, NewEmisData!$D:$D, O$6)</f>
        <v>2048.5012080599699</v>
      </c>
      <c r="P261" s="1111">
        <f>SUMIFS(NewEmisData!J:J, NewEmisData!$A:$A, $G261, NewEmisData!$B:$B, $A261, NewEmisData!$C:$C, $H261, NewEmisData!$D:$D, P$6)</f>
        <v>2041.23090502932</v>
      </c>
      <c r="Q261" s="1111">
        <f>SUMIFS(NewEmisData!K:K, NewEmisData!$A:$A, $G261, NewEmisData!$B:$B, $A261, NewEmisData!$C:$C, $H261, NewEmisData!$D:$D, Q$6)</f>
        <v>2038.8712683316101</v>
      </c>
      <c r="R261" s="1111">
        <f>SUMIFS(NewEmisData!L:L, NewEmisData!$A:$A, $G261, NewEmisData!$B:$B, $A261, NewEmisData!$C:$C, $H261, NewEmisData!$D:$D, R$6)</f>
        <v>2037.89380685326</v>
      </c>
      <c r="S261" s="1111">
        <f>SUMIFS(NewEmisData!M:M, NewEmisData!$A:$A, $G261, NewEmisData!$B:$B, $A261, NewEmisData!$C:$C, $H261, NewEmisData!$D:$D, S$6)</f>
        <v>2037.18147825705</v>
      </c>
      <c r="T261" s="1111">
        <f t="shared" si="364"/>
        <v>2037.18147825705</v>
      </c>
      <c r="U261" s="1111">
        <f>SUMIFS(NewEmisData!E:E, NewEmisData!$A:$A, $G261, NewEmisData!$B:$B, $A261, NewEmisData!$C:$C, $H261, NewEmisData!$D:$D, U$6)</f>
        <v>11.638950039279999</v>
      </c>
      <c r="V261" s="1111">
        <f>SUMIFS(NewEmisData!F:F, NewEmisData!$A:$A, $G261, NewEmisData!$B:$B, $A261, NewEmisData!$C:$C, $H261, NewEmisData!$D:$D, V$6)</f>
        <v>6.7839244745049401</v>
      </c>
      <c r="W261" s="1111">
        <f>SUMIFS(NewEmisData!G:G, NewEmisData!$A:$A, $G261, NewEmisData!$B:$B, $A261, NewEmisData!$C:$C, $H261, NewEmisData!$D:$D, W$6)</f>
        <v>4.3925354378646304</v>
      </c>
      <c r="X261" s="1111">
        <f>SUMIFS(NewEmisData!H:H, NewEmisData!$A:$A, $G261, NewEmisData!$B:$B, $A261, NewEmisData!$C:$C, $H261, NewEmisData!$D:$D, X$6)</f>
        <v>2.6191347420861701</v>
      </c>
      <c r="Y261" s="1111">
        <f>SUMIFS(NewEmisData!I:I, NewEmisData!$A:$A, $G261, NewEmisData!$B:$B, $A261, NewEmisData!$C:$C, $H261, NewEmisData!$D:$D, Y$6)</f>
        <v>2.06534470659102</v>
      </c>
      <c r="Z261" s="1111">
        <f>SUMIFS(NewEmisData!J:J, NewEmisData!$A:$A, $G261, NewEmisData!$B:$B, $A261, NewEmisData!$C:$C, $H261, NewEmisData!$D:$D, Z$6)</f>
        <v>1.9514955612034099</v>
      </c>
      <c r="AA261" s="1111">
        <f>SUMIFS(NewEmisData!K:K, NewEmisData!$A:$A, $G261, NewEmisData!$B:$B, $A261, NewEmisData!$C:$C, $H261, NewEmisData!$D:$D, AA$6)</f>
        <v>1.9247847205619899</v>
      </c>
      <c r="AB261" s="1111">
        <f>SUMIFS(NewEmisData!L:L, NewEmisData!$A:$A, $G261, NewEmisData!$B:$B, $A261, NewEmisData!$C:$C, $H261, NewEmisData!$D:$D, AB$6)</f>
        <v>1.9239170224512001</v>
      </c>
      <c r="AC261" s="1111">
        <f>SUMIFS(NewEmisData!M:M, NewEmisData!$A:$A, $G261, NewEmisData!$B:$B, $A261, NewEmisData!$C:$C, $H261, NewEmisData!$D:$D, AC$6)</f>
        <v>1.92345457739672</v>
      </c>
      <c r="AD261" s="1111">
        <f t="shared" si="321"/>
        <v>1.92345457739672</v>
      </c>
      <c r="AE261" s="1111">
        <f t="shared" si="412"/>
        <v>3.6844240816642601E-2</v>
      </c>
      <c r="AF261" s="1111">
        <f>SUMIFS(NewEmisData!E:E, NewEmisData!$A:$A, $G261, NewEmisData!$B:$B, $A261, NewEmisData!$C:$C, $H261, NewEmisData!$D:$D, AF$6)</f>
        <v>3.6844240816642601E-2</v>
      </c>
      <c r="AG261" s="1111">
        <f>SUMIFS(NewEmisData!F:F, NewEmisData!$A:$A, $G261, NewEmisData!$B:$B, $A261, NewEmisData!$C:$C, $H261, NewEmisData!$D:$D, AG$6)</f>
        <v>3.9353507212849297E-2</v>
      </c>
      <c r="AH261" s="1111">
        <f>SUMIFS(NewEmisData!G:G, NewEmisData!$A:$A, $G261, NewEmisData!$B:$B, $A261, NewEmisData!$C:$C, $H261, NewEmisData!$D:$D, AH$6)</f>
        <v>1.7702463178777099E-2</v>
      </c>
      <c r="AI261" s="1111">
        <f>SUMIFS(NewEmisData!H:H, NewEmisData!$A:$A, $G261, NewEmisData!$B:$B, $A261, NewEmisData!$C:$C, $H261, NewEmisData!$D:$D, AI$6)</f>
        <v>1.7311059741913899E-2</v>
      </c>
      <c r="AJ261" s="1111">
        <f>SUMIFS(NewEmisData!I:I, NewEmisData!$A:$A, $G261, NewEmisData!$B:$B, $A261, NewEmisData!$C:$C, $H261, NewEmisData!$D:$D, AJ$6)</f>
        <v>1.70853991434037E-2</v>
      </c>
      <c r="AK261" s="1111">
        <f>SUMIFS(NewEmisData!J:J, NewEmisData!$A:$A, $G261, NewEmisData!$B:$B, $A261, NewEmisData!$C:$C, $H261, NewEmisData!$D:$D, AK$6)</f>
        <v>1.70195621794277E-2</v>
      </c>
      <c r="AL261" s="1111">
        <f>SUMIFS(NewEmisData!K:K, NewEmisData!$A:$A, $G261, NewEmisData!$B:$B, $A261, NewEmisData!$C:$C, $H261, NewEmisData!$D:$D, AL$6)</f>
        <v>1.69983226363635E-2</v>
      </c>
      <c r="AM261" s="1111">
        <f>SUMIFS(NewEmisData!L:L, NewEmisData!$A:$A, $G261, NewEmisData!$B:$B, $A261, NewEmisData!$C:$C, $H261, NewEmisData!$D:$D, AM$6)</f>
        <v>1.6990168303807101E-2</v>
      </c>
      <c r="AN261" s="1111">
        <f>SUMIFS(NewEmisData!M:M, NewEmisData!$A:$A, $G261, NewEmisData!$B:$B, $A261, NewEmisData!$C:$C, $H261, NewEmisData!$D:$D, AN$6)</f>
        <v>1.69842326570817E-2</v>
      </c>
      <c r="AO261" s="1111">
        <f t="shared" si="413"/>
        <v>1.69842326570817E-2</v>
      </c>
      <c r="AP261" s="1111">
        <f t="shared" si="414"/>
        <v>1.2647150782943599</v>
      </c>
      <c r="AQ261" s="1111">
        <f>SUMIFS(NewEmisData!E:E, NewEmisData!$A:$A, $G261, NewEmisData!$B:$B, $A261, NewEmisData!$C:$C, $H261, NewEmisData!$D:$D, AQ$6)</f>
        <v>1.2647150782943599</v>
      </c>
      <c r="AR261" s="1111">
        <f>SUMIFS(NewEmisData!F:F, NewEmisData!$A:$A, $G261, NewEmisData!$B:$B, $A261, NewEmisData!$C:$C, $H261, NewEmisData!$D:$D, AR$6)</f>
        <v>0.82297495230985995</v>
      </c>
      <c r="AS261" s="1111">
        <f>SUMIFS(NewEmisData!G:G, NewEmisData!$A:$A, $G261, NewEmisData!$B:$B, $A261, NewEmisData!$C:$C, $H261, NewEmisData!$D:$D, AS$6)</f>
        <v>0.78295839522434196</v>
      </c>
      <c r="AT261" s="1111">
        <f>SUMIFS(NewEmisData!H:H, NewEmisData!$A:$A, $G261, NewEmisData!$B:$B, $A261, NewEmisData!$C:$C, $H261, NewEmisData!$D:$D, AT$6)</f>
        <v>0.68016675260069404</v>
      </c>
      <c r="AU261" s="1111">
        <f>SUMIFS(NewEmisData!I:I, NewEmisData!$A:$A, $G261, NewEmisData!$B:$B, $A261, NewEmisData!$C:$C, $H261, NewEmisData!$D:$D, AU$6)</f>
        <v>0.64888550894506702</v>
      </c>
      <c r="AV261" s="1111">
        <f>SUMIFS(NewEmisData!J:J, NewEmisData!$A:$A, $G261, NewEmisData!$B:$B, $A261, NewEmisData!$C:$C, $H261, NewEmisData!$D:$D, AV$6)</f>
        <v>0.64362415371119697</v>
      </c>
      <c r="AW261" s="1111">
        <f>SUMIFS(NewEmisData!K:K, NewEmisData!$A:$A, $G261, NewEmisData!$B:$B, $A261, NewEmisData!$C:$C, $H261, NewEmisData!$D:$D, AW$6)</f>
        <v>0.64216665150257801</v>
      </c>
      <c r="AX261" s="1111">
        <f>SUMIFS(NewEmisData!L:L, NewEmisData!$A:$A, $G261, NewEmisData!$B:$B, $A261, NewEmisData!$C:$C, $H261, NewEmisData!$D:$D, AX$6)</f>
        <v>0.64212477573891902</v>
      </c>
      <c r="AY261" s="1111">
        <f>SUMIFS(NewEmisData!M:M, NewEmisData!$A:$A, $G261, NewEmisData!$B:$B, $A261, NewEmisData!$C:$C, $H261, NewEmisData!$D:$D, AY$6)</f>
        <v>0.64210952076406802</v>
      </c>
      <c r="AZ261" s="1111">
        <f t="shared" si="415"/>
        <v>0.64210952076406802</v>
      </c>
      <c r="BA261" s="1111">
        <f t="shared" si="416"/>
        <v>0.85268225231092398</v>
      </c>
      <c r="BB261" s="1111">
        <f>SUMIFS(NewEmisData!E:E, NewEmisData!$A:$A, $G261, NewEmisData!$B:$B, $A261, NewEmisData!$C:$C, $H261, NewEmisData!$D:$D, BB$6)</f>
        <v>0.85268225231092398</v>
      </c>
      <c r="BC261" s="1111">
        <f>SUMIFS(NewEmisData!F:F, NewEmisData!$A:$A, $G261, NewEmisData!$B:$B, $A261, NewEmisData!$C:$C, $H261, NewEmisData!$D:$D, BC$6)</f>
        <v>0.44197863249122399</v>
      </c>
      <c r="BD261" s="1111">
        <f>SUMIFS(NewEmisData!G:G, NewEmisData!$A:$A, $G261, NewEmisData!$B:$B, $A261, NewEmisData!$C:$C, $H261, NewEmisData!$D:$D, BD$6)</f>
        <v>0.24083520219764601</v>
      </c>
      <c r="BE261" s="1111">
        <f>SUMIFS(NewEmisData!H:H, NewEmisData!$A:$A, $G261, NewEmisData!$B:$B, $A261, NewEmisData!$C:$C, $H261, NewEmisData!$D:$D, BE$6)</f>
        <v>0.148362414161788</v>
      </c>
      <c r="BF261" s="1111">
        <f>SUMIFS(NewEmisData!I:I, NewEmisData!$A:$A, $G261, NewEmisData!$B:$B, $A261, NewEmisData!$C:$C, $H261, NewEmisData!$D:$D, BF$6)</f>
        <v>0.11982020029779999</v>
      </c>
      <c r="BG261" s="1111">
        <f>SUMIFS(NewEmisData!J:J, NewEmisData!$A:$A, $G261, NewEmisData!$B:$B, $A261, NewEmisData!$C:$C, $H261, NewEmisData!$D:$D, BG$6)</f>
        <v>0.115075397080156</v>
      </c>
      <c r="BH261" s="1111">
        <f>SUMIFS(NewEmisData!K:K, NewEmisData!$A:$A, $G261, NewEmisData!$B:$B, $A261, NewEmisData!$C:$C, $H261, NewEmisData!$D:$D, BH$6)</f>
        <v>0.113741063740516</v>
      </c>
      <c r="BI261" s="1111">
        <f>SUMIFS(NewEmisData!L:L, NewEmisData!$A:$A, $G261, NewEmisData!$B:$B, $A261, NewEmisData!$C:$C, $H261, NewEmisData!$D:$D, BI$6)</f>
        <v>0.113717400839903</v>
      </c>
      <c r="BJ261" s="1111">
        <f>SUMIFS(NewEmisData!M:M, NewEmisData!$A:$A, $G261, NewEmisData!$B:$B, $A261, NewEmisData!$C:$C, $H261, NewEmisData!$D:$D, BJ$6)</f>
        <v>0.11370438522677</v>
      </c>
      <c r="BK261" s="1111">
        <f t="shared" si="417"/>
        <v>0.11370438522677</v>
      </c>
      <c r="BL261" s="1111">
        <f t="shared" si="418"/>
        <v>5.0328469585193201</v>
      </c>
      <c r="BM261" s="1111">
        <f>SUMIFS(NewEmisData!E:E, NewEmisData!$A:$A, $G261, NewEmisData!$B:$B, $A261, NewEmisData!$C:$C, $H261, NewEmisData!$D:$D, BM$6)</f>
        <v>5.0328469585193201</v>
      </c>
      <c r="BN261" s="1111">
        <f>SUMIFS(NewEmisData!F:F, NewEmisData!$A:$A, $G261, NewEmisData!$B:$B, $A261, NewEmisData!$C:$C, $H261, NewEmisData!$D:$D, BN$6)</f>
        <v>2.6827852293663099</v>
      </c>
      <c r="BO261" s="1111">
        <f>SUMIFS(NewEmisData!G:G, NewEmisData!$A:$A, $G261, NewEmisData!$B:$B, $A261, NewEmisData!$C:$C, $H261, NewEmisData!$D:$D, BO$6)</f>
        <v>1.7356120209921699</v>
      </c>
      <c r="BP261" s="1111">
        <f>SUMIFS(NewEmisData!H:H, NewEmisData!$A:$A, $G261, NewEmisData!$B:$B, $A261, NewEmisData!$C:$C, $H261, NewEmisData!$D:$D, BP$6)</f>
        <v>1.1963534366450099</v>
      </c>
      <c r="BQ261" s="1111">
        <f>SUMIFS(NewEmisData!I:I, NewEmisData!$A:$A, $G261, NewEmisData!$B:$B, $A261, NewEmisData!$C:$C, $H261, NewEmisData!$D:$D, BQ$6)</f>
        <v>1.0323047664296401</v>
      </c>
      <c r="BR261" s="1111">
        <f>SUMIFS(NewEmisData!J:J, NewEmisData!$A:$A, $G261, NewEmisData!$B:$B, $A261, NewEmisData!$C:$C, $H261, NewEmisData!$D:$D, BR$6)</f>
        <v>0.995595558537549</v>
      </c>
      <c r="BS261" s="1111">
        <f>SUMIFS(NewEmisData!K:K, NewEmisData!$A:$A, $G261, NewEmisData!$B:$B, $A261, NewEmisData!$C:$C, $H261, NewEmisData!$D:$D, BS$6)</f>
        <v>0.98556754943244496</v>
      </c>
      <c r="BT261" s="1111">
        <f>SUMIFS(NewEmisData!L:L, NewEmisData!$A:$A, $G261, NewEmisData!$B:$B, $A261, NewEmisData!$C:$C, $H261, NewEmisData!$D:$D, BT$6)</f>
        <v>0.98409018482975696</v>
      </c>
      <c r="BU261" s="1111">
        <f>SUMIFS(NewEmisData!M:M, NewEmisData!$A:$A, $G261, NewEmisData!$B:$B, $A261, NewEmisData!$C:$C, $H261, NewEmisData!$D:$D, BU$6)</f>
        <v>0.98392055504691101</v>
      </c>
      <c r="BV261" s="1111">
        <f t="shared" si="419"/>
        <v>0.98392055504691101</v>
      </c>
      <c r="BW261" s="1111">
        <f t="shared" si="420"/>
        <v>1.47076719543515</v>
      </c>
      <c r="BX261" s="1111">
        <f>SUMIFS(NewEmisData!E:E, NewEmisData!$A:$A, $G261, NewEmisData!$B:$B, $A261, NewEmisData!$C:$C, $H261, NewEmisData!$D:$D, BX$6)</f>
        <v>1.47076719543515</v>
      </c>
      <c r="BY261" s="1111">
        <f>SUMIFS(NewEmisData!F:F, NewEmisData!$A:$A, $G261, NewEmisData!$B:$B, $A261, NewEmisData!$C:$C, $H261, NewEmisData!$D:$D, BY$6)</f>
        <v>0.68796701308964903</v>
      </c>
      <c r="BZ261" s="1111">
        <f>SUMIFS(NewEmisData!G:G, NewEmisData!$A:$A, $G261, NewEmisData!$B:$B, $A261, NewEmisData!$C:$C, $H261, NewEmisData!$D:$D, BZ$6)</f>
        <v>0.402812160133037</v>
      </c>
      <c r="CA261" s="1111">
        <f>SUMIFS(NewEmisData!H:H, NewEmisData!$A:$A, $G261, NewEmisData!$B:$B, $A261, NewEmisData!$C:$C, $H261, NewEmisData!$D:$D, CA$6)</f>
        <v>0.22250982610906</v>
      </c>
      <c r="CB261" s="1111">
        <f>SUMIFS(NewEmisData!I:I, NewEmisData!$A:$A, $G261, NewEmisData!$B:$B, $A261, NewEmisData!$C:$C, $H261, NewEmisData!$D:$D, CB$6)</f>
        <v>0.16724007620430001</v>
      </c>
      <c r="CC261" s="1111">
        <f>SUMIFS(NewEmisData!J:J, NewEmisData!$A:$A, $G261, NewEmisData!$B:$B, $A261, NewEmisData!$C:$C, $H261, NewEmisData!$D:$D, CC$6)</f>
        <v>0.15629916703885099</v>
      </c>
      <c r="CD261" s="1111">
        <f>SUMIFS(NewEmisData!K:K, NewEmisData!$A:$A, $G261, NewEmisData!$B:$B, $A261, NewEmisData!$C:$C, $H261, NewEmisData!$D:$D, CD$6)</f>
        <v>0.15328186767858501</v>
      </c>
      <c r="CE261" s="1111">
        <f>SUMIFS(NewEmisData!L:L, NewEmisData!$A:$A, $G261, NewEmisData!$B:$B, $A261, NewEmisData!$C:$C, $H261, NewEmisData!$D:$D, CE$6)</f>
        <v>0.15319941180844801</v>
      </c>
      <c r="CF261" s="1111">
        <f>SUMIFS(NewEmisData!M:M, NewEmisData!$A:$A, $G261, NewEmisData!$B:$B, $A261, NewEmisData!$C:$C, $H261, NewEmisData!$D:$D, CF$6)</f>
        <v>0.15317662764687001</v>
      </c>
      <c r="CG261" s="1111">
        <f t="shared" si="421"/>
        <v>0.15317662764687001</v>
      </c>
      <c r="CH261" s="1111">
        <f t="shared" si="422"/>
        <v>2.7376905675536502E-2</v>
      </c>
      <c r="CI261" s="1111">
        <f>SUMIFS(NewEmisData!E:E, NewEmisData!$A:$A, $G261, NewEmisData!$B:$B, $A261, NewEmisData!$C:$C, $H261, NewEmisData!$D:$D, CI$6)</f>
        <v>2.7376905675536502E-2</v>
      </c>
      <c r="CJ261" s="1111">
        <f>SUMIFS(NewEmisData!F:F, NewEmisData!$A:$A, $G261, NewEmisData!$B:$B, $A261, NewEmisData!$C:$C, $H261, NewEmisData!$D:$D, CJ$6)</f>
        <v>2.7641391273496001E-2</v>
      </c>
      <c r="CK261" s="1111">
        <f>SUMIFS(NewEmisData!G:G, NewEmisData!$A:$A, $G261, NewEmisData!$B:$B, $A261, NewEmisData!$C:$C, $H261, NewEmisData!$D:$D, CK$6)</f>
        <v>3.7783493564809902E-2</v>
      </c>
      <c r="CL261" s="1111">
        <f>SUMIFS(NewEmisData!H:H, NewEmisData!$A:$A, $G261, NewEmisData!$B:$B, $A261, NewEmisData!$C:$C, $H261, NewEmisData!$D:$D, CL$6)</f>
        <v>3.7791768560113202E-2</v>
      </c>
      <c r="CM261" s="1111">
        <f>SUMIFS(NewEmisData!I:I, NewEmisData!$A:$A, $G261, NewEmisData!$B:$B, $A261, NewEmisData!$C:$C, $H261, NewEmisData!$D:$D, CM$6)</f>
        <v>3.7796042393498999E-2</v>
      </c>
      <c r="CN261" s="1111">
        <f>SUMIFS(NewEmisData!J:J, NewEmisData!$A:$A, $G261, NewEmisData!$B:$B, $A261, NewEmisData!$C:$C, $H261, NewEmisData!$D:$D, CN$6)</f>
        <v>3.7797273059285798E-2</v>
      </c>
      <c r="CO261" s="1111">
        <f>SUMIFS(NewEmisData!K:K, NewEmisData!$A:$A, $G261, NewEmisData!$B:$B, $A261, NewEmisData!$C:$C, $H261, NewEmisData!$D:$D, CO$6)</f>
        <v>3.7797290465285301E-2</v>
      </c>
      <c r="CP261" s="1111">
        <f>SUMIFS(NewEmisData!L:L, NewEmisData!$A:$A, $G261, NewEmisData!$B:$B, $A261, NewEmisData!$C:$C, $H261, NewEmisData!$D:$D, CP$6)</f>
        <v>3.77969592669226E-2</v>
      </c>
      <c r="CQ261" s="1111">
        <f>SUMIFS(NewEmisData!M:M, NewEmisData!$A:$A, $G261, NewEmisData!$B:$B, $A261, NewEmisData!$C:$C, $H261, NewEmisData!$D:$D, CQ$6)</f>
        <v>3.7796456239744897E-2</v>
      </c>
      <c r="CR261" s="1111">
        <f t="shared" si="423"/>
        <v>3.7796456239744897E-2</v>
      </c>
      <c r="CS261" s="1111">
        <f t="shared" si="424"/>
        <v>4.5435437093963096E-3</v>
      </c>
      <c r="CT261" s="1111">
        <f>SUMIFS(NewEmisData!E:E, NewEmisData!$A:$A, $G261, NewEmisData!$B:$B, $A261, NewEmisData!$C:$C, $H261, NewEmisData!$D:$D, CT$6)</f>
        <v>4.5435437093963096E-3</v>
      </c>
      <c r="CU261" s="1111">
        <f>SUMIFS(NewEmisData!F:F, NewEmisData!$A:$A, $G261, NewEmisData!$B:$B, $A261, NewEmisData!$C:$C, $H261, NewEmisData!$D:$D, CU$6)</f>
        <v>4.4398754909713801E-3</v>
      </c>
      <c r="CV261" s="1111">
        <f>SUMIFS(NewEmisData!G:G, NewEmisData!$A:$A, $G261, NewEmisData!$B:$B, $A261, NewEmisData!$C:$C, $H261, NewEmisData!$D:$D, CV$6)</f>
        <v>6.8039701300534198E-3</v>
      </c>
      <c r="CW261" s="1111">
        <f>SUMIFS(NewEmisData!H:H, NewEmisData!$A:$A, $G261, NewEmisData!$B:$B, $A261, NewEmisData!$C:$C, $H261, NewEmisData!$D:$D, CW$6)</f>
        <v>6.7823537903093098E-3</v>
      </c>
      <c r="CX261" s="1111">
        <f>SUMIFS(NewEmisData!I:I, NewEmisData!$A:$A, $G261, NewEmisData!$B:$B, $A261, NewEmisData!$C:$C, $H261, NewEmisData!$D:$D, CX$6)</f>
        <v>6.7664266882471596E-3</v>
      </c>
      <c r="CY261" s="1111">
        <f>SUMIFS(NewEmisData!J:J, NewEmisData!$A:$A, $G261, NewEmisData!$B:$B, $A261, NewEmisData!$C:$C, $H261, NewEmisData!$D:$D, CY$6)</f>
        <v>6.7587032892351797E-3</v>
      </c>
      <c r="CZ261" s="1111">
        <f>SUMIFS(NewEmisData!K:K, NewEmisData!$A:$A, $G261, NewEmisData!$B:$B, $A261, NewEmisData!$C:$C, $H261, NewEmisData!$D:$D, CZ$6)</f>
        <v>6.7553372449461798E-3</v>
      </c>
      <c r="DA261" s="1111">
        <f>SUMIFS(NewEmisData!L:L, NewEmisData!$A:$A, $G261, NewEmisData!$B:$B, $A261, NewEmisData!$C:$C, $H261, NewEmisData!$D:$D, DA$6)</f>
        <v>6.75420201921096E-3</v>
      </c>
      <c r="DB261" s="1111">
        <f>SUMIFS(NewEmisData!M:M, NewEmisData!$A:$A, $G261, NewEmisData!$B:$B, $A261, NewEmisData!$C:$C, $H261, NewEmisData!$D:$D, DB$6)</f>
        <v>6.7544025642624697E-3</v>
      </c>
      <c r="DC261" s="1111">
        <f t="shared" si="425"/>
        <v>6.7544025642624697E-3</v>
      </c>
      <c r="DD261" s="1111">
        <v>0.39397857160683847</v>
      </c>
      <c r="DE261" s="1111">
        <v>0.22910001041476069</v>
      </c>
      <c r="DF261" s="1111">
        <v>9.3891703000443583E-2</v>
      </c>
      <c r="DG261" s="1111">
        <v>1.7189501227545343E-2</v>
      </c>
      <c r="DH261" s="1111">
        <v>1.6160522719819933E-3</v>
      </c>
      <c r="DI261" s="1111">
        <v>1.6049653935622851E-3</v>
      </c>
      <c r="DJ261" s="1111">
        <v>1.6049983985356002E-3</v>
      </c>
      <c r="DK261" s="1111">
        <v>1.6098230122520154E-3</v>
      </c>
      <c r="DL261" s="1111">
        <v>1.6179747100716357E-3</v>
      </c>
      <c r="DM261" s="1111">
        <v>1.6245560853542357E-3</v>
      </c>
      <c r="DN261" s="1111">
        <v>1.6245560853542357E-3</v>
      </c>
      <c r="DO261" s="1111">
        <v>0.2153272217366988</v>
      </c>
      <c r="DP261" s="1111">
        <v>0.14953249017733392</v>
      </c>
      <c r="DQ261" s="1111">
        <v>6.7441600946284805E-2</v>
      </c>
      <c r="DR261" s="1111">
        <v>1.3565246309733816E-2</v>
      </c>
      <c r="DS261" s="1111">
        <v>2.8097295233125079E-3</v>
      </c>
      <c r="DT261" s="1111">
        <v>2.7904533416799396E-3</v>
      </c>
      <c r="DU261" s="1111">
        <v>2.7905106381460811E-3</v>
      </c>
      <c r="DV261" s="1111">
        <v>2.798898953096617E-3</v>
      </c>
      <c r="DW261" s="1111">
        <v>2.8130718384443347E-3</v>
      </c>
      <c r="DX261" s="1111">
        <v>2.824514428110457E-3</v>
      </c>
      <c r="DY261" s="1111">
        <v>2.824514428110457E-3</v>
      </c>
      <c r="DZ261" s="1111">
        <f t="shared" si="426"/>
        <v>2.0740750969478802E-2</v>
      </c>
      <c r="EA261" s="1111">
        <f>SUMIFS(NewEmisData!E:E, NewEmisData!$A:$A, $G261, NewEmisData!$B:$B, $A261, NewEmisData!$C:$C, $H261, NewEmisData!$D:$D, EA$6)</f>
        <v>2.0740750969478802E-2</v>
      </c>
      <c r="EB261" s="1111">
        <f>SUMIFS(NewEmisData!F:F, NewEmisData!$A:$A, $G261, NewEmisData!$B:$B, $A261, NewEmisData!$C:$C, $H261, NewEmisData!$D:$D, EB$6)</f>
        <v>7.9476630685157604E-2</v>
      </c>
      <c r="EC261" s="1111">
        <f>SUMIFS(NewEmisData!G:G, NewEmisData!$A:$A, $G261, NewEmisData!$B:$B, $A261, NewEmisData!$C:$C, $H261, NewEmisData!$D:$D, EC$6)</f>
        <v>0.132995121584536</v>
      </c>
      <c r="ED261" s="1111">
        <f>SUMIFS(NewEmisData!H:H, NewEmisData!$A:$A, $G261, NewEmisData!$B:$B, $A261, NewEmisData!$C:$C, $H261, NewEmisData!$D:$D, ED$6)</f>
        <v>0.13480815363144</v>
      </c>
      <c r="EE261" s="1111">
        <f>SUMIFS(NewEmisData!I:I, NewEmisData!$A:$A, $G261, NewEmisData!$B:$B, $A261, NewEmisData!$C:$C, $H261, NewEmisData!$D:$D, EE$6)</f>
        <v>0.13505884947628399</v>
      </c>
      <c r="EF261" s="1111">
        <f>SUMIFS(NewEmisData!J:J, NewEmisData!$A:$A, $G261, NewEmisData!$B:$B, $A261, NewEmisData!$C:$C, $H261, NewEmisData!$D:$D, EF$6)</f>
        <v>0.13476923534058399</v>
      </c>
      <c r="EG261" s="1111">
        <f>SUMIFS(NewEmisData!K:K, NewEmisData!$A:$A, $G261, NewEmisData!$B:$B, $A261, NewEmisData!$C:$C, $H261, NewEmisData!$D:$D, EG$6)</f>
        <v>0.13483063017123001</v>
      </c>
      <c r="EH261" s="1111">
        <f>SUMIFS(NewEmisData!L:L, NewEmisData!$A:$A, $G261, NewEmisData!$B:$B, $A261, NewEmisData!$C:$C, $H261, NewEmisData!$D:$D, EH$6)</f>
        <v>0.13476298539555601</v>
      </c>
      <c r="EI261" s="1111">
        <f>SUMIFS(NewEmisData!M:M, NewEmisData!$A:$A, $G261, NewEmisData!$B:$B, $A261, NewEmisData!$C:$C, $H261, NewEmisData!$D:$D, EI$6)</f>
        <v>0.134758213223449</v>
      </c>
      <c r="EJ261" s="1111">
        <f t="shared" si="427"/>
        <v>0.134758213223449</v>
      </c>
      <c r="EK261" s="1111">
        <f t="shared" si="428"/>
        <v>1482.5754764799101</v>
      </c>
      <c r="EL261" s="1111">
        <f t="shared" si="343"/>
        <v>1482.5754764799101</v>
      </c>
      <c r="EM261" s="1111">
        <f t="shared" si="344"/>
        <v>1635.6442478660899</v>
      </c>
      <c r="EN261" s="1111">
        <f t="shared" si="345"/>
        <v>2107.1372534500802</v>
      </c>
      <c r="EO261" s="1111">
        <f t="shared" si="346"/>
        <v>2071.9319953702902</v>
      </c>
      <c r="EP261" s="1111">
        <f t="shared" si="347"/>
        <v>2048.5012080599699</v>
      </c>
      <c r="EQ261" s="1111">
        <f t="shared" si="348"/>
        <v>2041.23090502932</v>
      </c>
      <c r="ER261" s="1111">
        <f t="shared" si="349"/>
        <v>2038.8712683316101</v>
      </c>
      <c r="ES261" s="1111">
        <f t="shared" si="350"/>
        <v>2037.89380685326</v>
      </c>
      <c r="ET261" s="1111">
        <f t="shared" si="351"/>
        <v>2037.18147825705</v>
      </c>
      <c r="EU261" s="1111">
        <f t="shared" si="352"/>
        <v>2037.18147825705</v>
      </c>
      <c r="EV261" s="1111">
        <f t="shared" si="429"/>
        <v>11.638950039279999</v>
      </c>
      <c r="EW261" s="1111">
        <f t="shared" si="333"/>
        <v>11.638950039279999</v>
      </c>
      <c r="EX261" s="1111">
        <f t="shared" si="334"/>
        <v>6.7839244745049401</v>
      </c>
      <c r="EY261" s="1111">
        <f t="shared" si="335"/>
        <v>4.3925354378646304</v>
      </c>
      <c r="EZ261" s="1111">
        <f t="shared" si="336"/>
        <v>2.6191347420861701</v>
      </c>
      <c r="FA261" s="1111">
        <f t="shared" si="337"/>
        <v>2.06534470659102</v>
      </c>
      <c r="FB261" s="1111">
        <f t="shared" si="338"/>
        <v>1.9514955612034099</v>
      </c>
      <c r="FC261" s="1111">
        <f t="shared" si="339"/>
        <v>1.9247847205619899</v>
      </c>
      <c r="FD261" s="1111">
        <f t="shared" si="340"/>
        <v>1.9239170224512001</v>
      </c>
      <c r="FE261" s="1111">
        <f t="shared" si="341"/>
        <v>1.92345457739672</v>
      </c>
      <c r="FF261" s="1111">
        <f t="shared" si="342"/>
        <v>1.92345457739672</v>
      </c>
      <c r="FG261" s="1111">
        <f t="shared" si="389"/>
        <v>3.6844240816642601E-2</v>
      </c>
      <c r="FH261" s="1111">
        <f t="shared" si="390"/>
        <v>3.6844240816642601E-2</v>
      </c>
      <c r="FI261" s="1111">
        <f t="shared" si="391"/>
        <v>3.9353507212849297E-2</v>
      </c>
      <c r="FJ261" s="1111">
        <f t="shared" si="392"/>
        <v>1.7702463178777099E-2</v>
      </c>
      <c r="FK261" s="1111">
        <f t="shared" si="393"/>
        <v>1.7311059741913899E-2</v>
      </c>
      <c r="FL261" s="1111">
        <f t="shared" si="394"/>
        <v>1.70853991434037E-2</v>
      </c>
      <c r="FM261" s="1111">
        <f t="shared" si="395"/>
        <v>1.70195621794277E-2</v>
      </c>
      <c r="FN261" s="1111">
        <f t="shared" si="396"/>
        <v>1.69983226363635E-2</v>
      </c>
      <c r="FO261" s="1111">
        <f t="shared" si="397"/>
        <v>1.6990168303807101E-2</v>
      </c>
      <c r="FP261" s="1111">
        <f t="shared" si="398"/>
        <v>1.69842326570817E-2</v>
      </c>
      <c r="FQ261" s="1111">
        <f t="shared" si="399"/>
        <v>1.69842326570817E-2</v>
      </c>
      <c r="FR261" s="1111">
        <f t="shared" si="322"/>
        <v>1.2647150782943599</v>
      </c>
      <c r="FS261" s="1111">
        <f t="shared" si="323"/>
        <v>1.2647150782943599</v>
      </c>
      <c r="FT261" s="1111">
        <f t="shared" si="324"/>
        <v>0.82297495230985995</v>
      </c>
      <c r="FU261" s="1111">
        <f t="shared" si="325"/>
        <v>0.78295839522434196</v>
      </c>
      <c r="FV261" s="1111">
        <f t="shared" si="326"/>
        <v>0.68016675260069404</v>
      </c>
      <c r="FW261" s="1111">
        <f t="shared" si="327"/>
        <v>0.64888550894506702</v>
      </c>
      <c r="FX261" s="1111">
        <f t="shared" si="328"/>
        <v>0.64362415371119697</v>
      </c>
      <c r="FY261" s="1111">
        <f t="shared" si="329"/>
        <v>0.64216665150257801</v>
      </c>
      <c r="FZ261" s="1111">
        <f t="shared" si="330"/>
        <v>0.64212477573891902</v>
      </c>
      <c r="GA261" s="1111">
        <f t="shared" si="331"/>
        <v>0.64210952076406802</v>
      </c>
      <c r="GB261" s="1111">
        <f t="shared" si="332"/>
        <v>0.64210952076406802</v>
      </c>
      <c r="GC261" s="1111">
        <f t="shared" si="353"/>
        <v>0.85268225231092398</v>
      </c>
      <c r="GD261" s="1111">
        <f t="shared" si="354"/>
        <v>0.85268225231092398</v>
      </c>
      <c r="GE261" s="1111">
        <f t="shared" si="355"/>
        <v>0.44197863249122399</v>
      </c>
      <c r="GF261" s="1111">
        <f t="shared" si="356"/>
        <v>0.24083520219764601</v>
      </c>
      <c r="GG261" s="1111">
        <f t="shared" si="357"/>
        <v>0.148362414161788</v>
      </c>
      <c r="GH261" s="1111">
        <f t="shared" si="358"/>
        <v>0.11982020029779999</v>
      </c>
      <c r="GI261" s="1111">
        <f t="shared" si="359"/>
        <v>0.115075397080156</v>
      </c>
      <c r="GJ261" s="1111">
        <f t="shared" si="360"/>
        <v>0.113741063740516</v>
      </c>
      <c r="GK261" s="1111">
        <f t="shared" si="361"/>
        <v>0.113717400839903</v>
      </c>
      <c r="GL261" s="1111">
        <f t="shared" si="362"/>
        <v>0.11370438522677</v>
      </c>
      <c r="GM261" s="1111">
        <f t="shared" si="363"/>
        <v>0.11370438522677</v>
      </c>
    </row>
    <row r="262" spans="1:195" x14ac:dyDescent="0.2">
      <c r="A262" s="1071" t="s">
        <v>184</v>
      </c>
      <c r="B262" s="1071" t="str">
        <f>Technologies!C149</f>
        <v>THSDSLAH</v>
      </c>
      <c r="C262" s="1071" t="str">
        <f>Technologies!D149</f>
        <v>Heavy Truck, Short Haul, Hybrid Diesel</v>
      </c>
      <c r="D262" s="1071" t="str">
        <f>NewTech!D102</f>
        <v>bn-vmt, bn-vmt/a</v>
      </c>
      <c r="E262" s="1071" t="str">
        <f>Commodities!C$44</f>
        <v>THDSL</v>
      </c>
      <c r="F262" s="1071" t="s">
        <v>98</v>
      </c>
      <c r="G262" s="1110" t="s">
        <v>505</v>
      </c>
      <c r="H262" s="1110" t="s">
        <v>499</v>
      </c>
      <c r="I262" s="1112">
        <v>1</v>
      </c>
      <c r="J262" s="1111" t="str">
        <f t="shared" si="302"/>
        <v>Heavy duty short haul truck-DSL</v>
      </c>
      <c r="K262" s="1111">
        <f>SUMIFS(NewEmisData!E:E, NewEmisData!$A:$A, $G262, NewEmisData!$B:$B, $A262, NewEmisData!$C:$C, $H262, NewEmisData!$D:$D, K$6)</f>
        <v>1319.49151917881</v>
      </c>
      <c r="L262" s="1111">
        <f>SUMIFS(NewEmisData!F:F, NewEmisData!$A:$A, $G262, NewEmisData!$B:$B, $A262, NewEmisData!$C:$C, $H262, NewEmisData!$D:$D, L$6)</f>
        <v>1464.7581509516101</v>
      </c>
      <c r="M262" s="1111">
        <f>SUMIFS(NewEmisData!G:G, NewEmisData!$A:$A, $G262, NewEmisData!$B:$B, $A262, NewEmisData!$C:$C, $H262, NewEmisData!$D:$D, M$6)</f>
        <v>1799.86335243286</v>
      </c>
      <c r="N262" s="1111">
        <f>SUMIFS(NewEmisData!H:H, NewEmisData!$A:$A, $G262, NewEmisData!$B:$B, $A262, NewEmisData!$C:$C, $H262, NewEmisData!$D:$D, N$6)</f>
        <v>1770.55999347335</v>
      </c>
      <c r="O262" s="1111">
        <f>SUMIFS(NewEmisData!I:I, NewEmisData!$A:$A, $G262, NewEmisData!$B:$B, $A262, NewEmisData!$C:$C, $H262, NewEmisData!$D:$D, O$6)</f>
        <v>1751.5422550708799</v>
      </c>
      <c r="P262" s="1111">
        <f>SUMIFS(NewEmisData!J:J, NewEmisData!$A:$A, $G262, NewEmisData!$B:$B, $A262, NewEmisData!$C:$C, $H262, NewEmisData!$D:$D, P$6)</f>
        <v>1745.6010707511</v>
      </c>
      <c r="Q262" s="1111">
        <f>SUMIFS(NewEmisData!K:K, NewEmisData!$A:$A, $G262, NewEmisData!$B:$B, $A262, NewEmisData!$C:$C, $H262, NewEmisData!$D:$D, Q$6)</f>
        <v>1743.5885799002001</v>
      </c>
      <c r="R262" s="1111">
        <f>SUMIFS(NewEmisData!L:L, NewEmisData!$A:$A, $G262, NewEmisData!$B:$B, $A262, NewEmisData!$C:$C, $H262, NewEmisData!$D:$D, R$6)</f>
        <v>1742.6485789820999</v>
      </c>
      <c r="S262" s="1111">
        <f>SUMIFS(NewEmisData!M:M, NewEmisData!$A:$A, $G262, NewEmisData!$B:$B, $A262, NewEmisData!$C:$C, $H262, NewEmisData!$D:$D, S$6)</f>
        <v>1741.9127550599401</v>
      </c>
      <c r="T262" s="1111">
        <f t="shared" si="364"/>
        <v>1741.9127550599401</v>
      </c>
      <c r="U262" s="1111">
        <f>SUMIFS(NewEmisData!E:E, NewEmisData!$A:$A, $G262, NewEmisData!$B:$B, $A262, NewEmisData!$C:$C, $H262, NewEmisData!$D:$D, U$6)</f>
        <v>10.6053442608649</v>
      </c>
      <c r="V262" s="1111">
        <f>SUMIFS(NewEmisData!F:F, NewEmisData!$A:$A, $G262, NewEmisData!$B:$B, $A262, NewEmisData!$C:$C, $H262, NewEmisData!$D:$D, V$6)</f>
        <v>6.5449635614234403</v>
      </c>
      <c r="W262" s="1111">
        <f>SUMIFS(NewEmisData!G:G, NewEmisData!$A:$A, $G262, NewEmisData!$B:$B, $A262, NewEmisData!$C:$C, $H262, NewEmisData!$D:$D, W$6)</f>
        <v>3.6787180180936701</v>
      </c>
      <c r="X262" s="1111">
        <f>SUMIFS(NewEmisData!H:H, NewEmisData!$A:$A, $G262, NewEmisData!$B:$B, $A262, NewEmisData!$C:$C, $H262, NewEmisData!$D:$D, X$6)</f>
        <v>2.2004570236663401</v>
      </c>
      <c r="Y262" s="1111">
        <f>SUMIFS(NewEmisData!I:I, NewEmisData!$A:$A, $G262, NewEmisData!$B:$B, $A262, NewEmisData!$C:$C, $H262, NewEmisData!$D:$D, Y$6)</f>
        <v>1.7396673866677801</v>
      </c>
      <c r="Z262" s="1111">
        <f>SUMIFS(NewEmisData!J:J, NewEmisData!$A:$A, $G262, NewEmisData!$B:$B, $A262, NewEmisData!$C:$C, $H262, NewEmisData!$D:$D, Z$6)</f>
        <v>1.64503462199088</v>
      </c>
      <c r="AA262" s="1111">
        <f>SUMIFS(NewEmisData!K:K, NewEmisData!$A:$A, $G262, NewEmisData!$B:$B, $A262, NewEmisData!$C:$C, $H262, NewEmisData!$D:$D, AA$6)</f>
        <v>1.62266726199586</v>
      </c>
      <c r="AB262" s="1111">
        <f>SUMIFS(NewEmisData!L:L, NewEmisData!$A:$A, $G262, NewEmisData!$B:$B, $A262, NewEmisData!$C:$C, $H262, NewEmisData!$D:$D, AB$6)</f>
        <v>1.62186968240176</v>
      </c>
      <c r="AC262" s="1111">
        <f>SUMIFS(NewEmisData!M:M, NewEmisData!$A:$A, $G262, NewEmisData!$B:$B, $A262, NewEmisData!$C:$C, $H262, NewEmisData!$D:$D, AC$6)</f>
        <v>1.62139928384052</v>
      </c>
      <c r="AD262" s="1111">
        <f t="shared" si="321"/>
        <v>1.62139928384052</v>
      </c>
      <c r="AE262" s="1111">
        <f t="shared" si="412"/>
        <v>3.2753858750071897E-2</v>
      </c>
      <c r="AF262" s="1111">
        <f>SUMIFS(NewEmisData!E:E, NewEmisData!$A:$A, $G262, NewEmisData!$B:$B, $A262, NewEmisData!$C:$C, $H262, NewEmisData!$D:$D, AF$6)</f>
        <v>3.2753858750071897E-2</v>
      </c>
      <c r="AG262" s="1111">
        <f>SUMIFS(NewEmisData!F:F, NewEmisData!$A:$A, $G262, NewEmisData!$B:$B, $A262, NewEmisData!$C:$C, $H262, NewEmisData!$D:$D, AG$6)</f>
        <v>3.5451037141744003E-2</v>
      </c>
      <c r="AH262" s="1111">
        <f>SUMIFS(NewEmisData!G:G, NewEmisData!$A:$A, $G262, NewEmisData!$B:$B, $A262, NewEmisData!$C:$C, $H262, NewEmisData!$D:$D, AH$6)</f>
        <v>1.5119273460284501E-2</v>
      </c>
      <c r="AI262" s="1111">
        <f>SUMIFS(NewEmisData!H:H, NewEmisData!$A:$A, $G262, NewEmisData!$B:$B, $A262, NewEmisData!$C:$C, $H262, NewEmisData!$D:$D, AI$6)</f>
        <v>1.47924708148466E-2</v>
      </c>
      <c r="AJ262" s="1111">
        <f>SUMIFS(NewEmisData!I:I, NewEmisData!$A:$A, $G262, NewEmisData!$B:$B, $A262, NewEmisData!$C:$C, $H262, NewEmisData!$D:$D, AJ$6)</f>
        <v>1.4608534822893701E-2</v>
      </c>
      <c r="AK262" s="1111">
        <f>SUMIFS(NewEmisData!J:J, NewEmisData!$A:$A, $G262, NewEmisData!$B:$B, $A262, NewEmisData!$C:$C, $H262, NewEmisData!$D:$D, AK$6)</f>
        <v>1.45546061834944E-2</v>
      </c>
      <c r="AL262" s="1111">
        <f>SUMIFS(NewEmisData!K:K, NewEmisData!$A:$A, $G262, NewEmisData!$B:$B, $A262, NewEmisData!$C:$C, $H262, NewEmisData!$D:$D, AL$6)</f>
        <v>1.4536510442551E-2</v>
      </c>
      <c r="AM262" s="1111">
        <f>SUMIFS(NewEmisData!L:L, NewEmisData!$A:$A, $G262, NewEmisData!$B:$B, $A262, NewEmisData!$C:$C, $H262, NewEmisData!$D:$D, AM$6)</f>
        <v>1.4528668182896999E-2</v>
      </c>
      <c r="AN262" s="1111">
        <f>SUMIFS(NewEmisData!M:M, NewEmisData!$A:$A, $G262, NewEmisData!$B:$B, $A262, NewEmisData!$C:$C, $H262, NewEmisData!$D:$D, AN$6)</f>
        <v>1.45225405658348E-2</v>
      </c>
      <c r="AO262" s="1111">
        <f t="shared" si="413"/>
        <v>1.45225405658348E-2</v>
      </c>
      <c r="AP262" s="1111">
        <f t="shared" si="414"/>
        <v>1.04983400982203</v>
      </c>
      <c r="AQ262" s="1111">
        <f>SUMIFS(NewEmisData!E:E, NewEmisData!$A:$A, $G262, NewEmisData!$B:$B, $A262, NewEmisData!$C:$C, $H262, NewEmisData!$D:$D, AQ$6)</f>
        <v>1.04983400982203</v>
      </c>
      <c r="AR262" s="1111">
        <f>SUMIFS(NewEmisData!F:F, NewEmisData!$A:$A, $G262, NewEmisData!$B:$B, $A262, NewEmisData!$C:$C, $H262, NewEmisData!$D:$D, AR$6)</f>
        <v>0.72832653653898105</v>
      </c>
      <c r="AS262" s="1111">
        <f>SUMIFS(NewEmisData!G:G, NewEmisData!$A:$A, $G262, NewEmisData!$B:$B, $A262, NewEmisData!$C:$C, $H262, NewEmisData!$D:$D, AS$6)</f>
        <v>0.58427614618818202</v>
      </c>
      <c r="AT262" s="1111">
        <f>SUMIFS(NewEmisData!H:H, NewEmisData!$A:$A, $G262, NewEmisData!$B:$B, $A262, NewEmisData!$C:$C, $H262, NewEmisData!$D:$D, AT$6)</f>
        <v>0.50134292856914997</v>
      </c>
      <c r="AU262" s="1111">
        <f>SUMIFS(NewEmisData!I:I, NewEmisData!$A:$A, $G262, NewEmisData!$B:$B, $A262, NewEmisData!$C:$C, $H262, NewEmisData!$D:$D, AU$6)</f>
        <v>0.47618546496589997</v>
      </c>
      <c r="AV262" s="1111">
        <f>SUMIFS(NewEmisData!J:J, NewEmisData!$A:$A, $G262, NewEmisData!$B:$B, $A262, NewEmisData!$C:$C, $H262, NewEmisData!$D:$D, AV$6)</f>
        <v>0.47190149656039998</v>
      </c>
      <c r="AW262" s="1111">
        <f>SUMIFS(NewEmisData!K:K, NewEmisData!$A:$A, $G262, NewEmisData!$B:$B, $A262, NewEmisData!$C:$C, $H262, NewEmisData!$D:$D, AW$6)</f>
        <v>0.47071689819165202</v>
      </c>
      <c r="AX262" s="1111">
        <f>SUMIFS(NewEmisData!L:L, NewEmisData!$A:$A, $G262, NewEmisData!$B:$B, $A262, NewEmisData!$C:$C, $H262, NewEmisData!$D:$D, AX$6)</f>
        <v>0.47069343749269799</v>
      </c>
      <c r="AY262" s="1111">
        <f>SUMIFS(NewEmisData!M:M, NewEmisData!$A:$A, $G262, NewEmisData!$B:$B, $A262, NewEmisData!$C:$C, $H262, NewEmisData!$D:$D, AY$6)</f>
        <v>0.47069114341764501</v>
      </c>
      <c r="AZ262" s="1111">
        <f t="shared" si="415"/>
        <v>0.47069114341764501</v>
      </c>
      <c r="BA262" s="1111">
        <f t="shared" si="416"/>
        <v>0.72578410583292197</v>
      </c>
      <c r="BB262" s="1111">
        <f>SUMIFS(NewEmisData!E:E, NewEmisData!$A:$A, $G262, NewEmisData!$B:$B, $A262, NewEmisData!$C:$C, $H262, NewEmisData!$D:$D, BB$6)</f>
        <v>0.72578410583292197</v>
      </c>
      <c r="BC262" s="1111">
        <f>SUMIFS(NewEmisData!F:F, NewEmisData!$A:$A, $G262, NewEmisData!$B:$B, $A262, NewEmisData!$C:$C, $H262, NewEmisData!$D:$D, BC$6)</f>
        <v>0.42763209762876098</v>
      </c>
      <c r="BD262" s="1111">
        <f>SUMIFS(NewEmisData!G:G, NewEmisData!$A:$A, $G262, NewEmisData!$B:$B, $A262, NewEmisData!$C:$C, $H262, NewEmisData!$D:$D, BD$6)</f>
        <v>0.18944103926397299</v>
      </c>
      <c r="BE262" s="1111">
        <f>SUMIFS(NewEmisData!H:H, NewEmisData!$A:$A, $G262, NewEmisData!$B:$B, $A262, NewEmisData!$C:$C, $H262, NewEmisData!$D:$D, BE$6)</f>
        <v>0.114666499637313</v>
      </c>
      <c r="BF262" s="1111">
        <f>SUMIFS(NewEmisData!I:I, NewEmisData!$A:$A, $G262, NewEmisData!$B:$B, $A262, NewEmisData!$C:$C, $H262, NewEmisData!$D:$D, BF$6)</f>
        <v>9.1724132402913702E-2</v>
      </c>
      <c r="BG262" s="1111">
        <f>SUMIFS(NewEmisData!J:J, NewEmisData!$A:$A, $G262, NewEmisData!$B:$B, $A262, NewEmisData!$C:$C, $H262, NewEmisData!$D:$D, BG$6)</f>
        <v>8.7857141954733695E-2</v>
      </c>
      <c r="BH262" s="1111">
        <f>SUMIFS(NewEmisData!K:K, NewEmisData!$A:$A, $G262, NewEmisData!$B:$B, $A262, NewEmisData!$C:$C, $H262, NewEmisData!$D:$D, BH$6)</f>
        <v>8.6767275626484494E-2</v>
      </c>
      <c r="BI262" s="1111">
        <f>SUMIFS(NewEmisData!L:L, NewEmisData!$A:$A, $G262, NewEmisData!$B:$B, $A262, NewEmisData!$C:$C, $H262, NewEmisData!$D:$D, BI$6)</f>
        <v>8.6748879396040507E-2</v>
      </c>
      <c r="BJ262" s="1111">
        <f>SUMIFS(NewEmisData!M:M, NewEmisData!$A:$A, $G262, NewEmisData!$B:$B, $A262, NewEmisData!$C:$C, $H262, NewEmisData!$D:$D, BJ$6)</f>
        <v>8.67391289437488E-2</v>
      </c>
      <c r="BK262" s="1111">
        <f t="shared" si="417"/>
        <v>8.67391289437488E-2</v>
      </c>
      <c r="BL262" s="1111">
        <f t="shared" si="418"/>
        <v>4.3049508481768202</v>
      </c>
      <c r="BM262" s="1111">
        <f>SUMIFS(NewEmisData!E:E, NewEmisData!$A:$A, $G262, NewEmisData!$B:$B, $A262, NewEmisData!$C:$C, $H262, NewEmisData!$D:$D, BM$6)</f>
        <v>4.3049508481768202</v>
      </c>
      <c r="BN262" s="1111">
        <f>SUMIFS(NewEmisData!F:F, NewEmisData!$A:$A, $G262, NewEmisData!$B:$B, $A262, NewEmisData!$C:$C, $H262, NewEmisData!$D:$D, BN$6)</f>
        <v>2.5543682877581499</v>
      </c>
      <c r="BO262" s="1111">
        <f>SUMIFS(NewEmisData!G:G, NewEmisData!$A:$A, $G262, NewEmisData!$B:$B, $A262, NewEmisData!$C:$C, $H262, NewEmisData!$D:$D, BO$6)</f>
        <v>1.41557635494585</v>
      </c>
      <c r="BP262" s="1111">
        <f>SUMIFS(NewEmisData!H:H, NewEmisData!$A:$A, $G262, NewEmisData!$B:$B, $A262, NewEmisData!$C:$C, $H262, NewEmisData!$D:$D, BP$6)</f>
        <v>0.97239499404962104</v>
      </c>
      <c r="BQ262" s="1111">
        <f>SUMIFS(NewEmisData!I:I, NewEmisData!$A:$A, $G262, NewEmisData!$B:$B, $A262, NewEmisData!$C:$C, $H262, NewEmisData!$D:$D, BQ$6)</f>
        <v>0.83818353775375698</v>
      </c>
      <c r="BR262" s="1111">
        <f>SUMIFS(NewEmisData!J:J, NewEmisData!$A:$A, $G262, NewEmisData!$B:$B, $A262, NewEmisData!$C:$C, $H262, NewEmisData!$D:$D, BR$6)</f>
        <v>0.80843597247967702</v>
      </c>
      <c r="BS262" s="1111">
        <f>SUMIFS(NewEmisData!K:K, NewEmisData!$A:$A, $G262, NewEmisData!$B:$B, $A262, NewEmisData!$C:$C, $H262, NewEmisData!$D:$D, BS$6)</f>
        <v>0.80034145030903103</v>
      </c>
      <c r="BT262" s="1111">
        <f>SUMIFS(NewEmisData!L:L, NewEmisData!$A:$A, $G262, NewEmisData!$B:$B, $A262, NewEmisData!$C:$C, $H262, NewEmisData!$D:$D, BT$6)</f>
        <v>0.79923379896798996</v>
      </c>
      <c r="BU262" s="1111">
        <f>SUMIFS(NewEmisData!M:M, NewEmisData!$A:$A, $G262, NewEmisData!$B:$B, $A262, NewEmisData!$C:$C, $H262, NewEmisData!$D:$D, BU$6)</f>
        <v>0.799086633890294</v>
      </c>
      <c r="BV262" s="1111">
        <f t="shared" si="419"/>
        <v>0.799086633890294</v>
      </c>
      <c r="BW262" s="1111">
        <f t="shared" si="420"/>
        <v>1.2471069760284099</v>
      </c>
      <c r="BX262" s="1111">
        <f>SUMIFS(NewEmisData!E:E, NewEmisData!$A:$A, $G262, NewEmisData!$B:$B, $A262, NewEmisData!$C:$C, $H262, NewEmisData!$D:$D, BX$6)</f>
        <v>1.2471069760284099</v>
      </c>
      <c r="BY262" s="1111">
        <f>SUMIFS(NewEmisData!F:F, NewEmisData!$A:$A, $G262, NewEmisData!$B:$B, $A262, NewEmisData!$C:$C, $H262, NewEmisData!$D:$D, BY$6)</f>
        <v>0.66664518440710496</v>
      </c>
      <c r="BZ262" s="1111">
        <f>SUMIFS(NewEmisData!G:G, NewEmisData!$A:$A, $G262, NewEmisData!$B:$B, $A262, NewEmisData!$C:$C, $H262, NewEmisData!$D:$D, BZ$6)</f>
        <v>0.32007282630831302</v>
      </c>
      <c r="CA262" s="1111">
        <f>SUMIFS(NewEmisData!H:H, NewEmisData!$A:$A, $G262, NewEmisData!$B:$B, $A262, NewEmisData!$C:$C, $H262, NewEmisData!$D:$D, CA$6)</f>
        <v>0.176542353194966</v>
      </c>
      <c r="CB262" s="1111">
        <f>SUMIFS(NewEmisData!I:I, NewEmisData!$A:$A, $G262, NewEmisData!$B:$B, $A262, NewEmisData!$C:$C, $H262, NewEmisData!$D:$D, CB$6)</f>
        <v>0.132926153663285</v>
      </c>
      <c r="CC262" s="1111">
        <f>SUMIFS(NewEmisData!J:J, NewEmisData!$A:$A, $G262, NewEmisData!$B:$B, $A262, NewEmisData!$C:$C, $H262, NewEmisData!$D:$D, CC$6)</f>
        <v>0.12423141693730599</v>
      </c>
      <c r="CD262" s="1111">
        <f>SUMIFS(NewEmisData!K:K, NewEmisData!$A:$A, $G262, NewEmisData!$B:$B, $A262, NewEmisData!$C:$C, $H262, NewEmisData!$D:$D, CD$6)</f>
        <v>0.121871982031799</v>
      </c>
      <c r="CE262" s="1111">
        <f>SUMIFS(NewEmisData!L:L, NewEmisData!$A:$A, $G262, NewEmisData!$B:$B, $A262, NewEmisData!$C:$C, $H262, NewEmisData!$D:$D, CE$6)</f>
        <v>0.121809764298298</v>
      </c>
      <c r="CF262" s="1111">
        <f>SUMIFS(NewEmisData!M:M, NewEmisData!$A:$A, $G262, NewEmisData!$B:$B, $A262, NewEmisData!$C:$C, $H262, NewEmisData!$D:$D, CF$6)</f>
        <v>0.121789215464539</v>
      </c>
      <c r="CG262" s="1111">
        <f t="shared" si="421"/>
        <v>0.121789215464539</v>
      </c>
      <c r="CH262" s="1111">
        <f t="shared" si="422"/>
        <v>2.61956847346188E-2</v>
      </c>
      <c r="CI262" s="1111">
        <f>SUMIFS(NewEmisData!E:E, NewEmisData!$A:$A, $G262, NewEmisData!$B:$B, $A262, NewEmisData!$C:$C, $H262, NewEmisData!$D:$D, CI$6)</f>
        <v>2.61956847346188E-2</v>
      </c>
      <c r="CJ262" s="1111">
        <f>SUMIFS(NewEmisData!F:F, NewEmisData!$A:$A, $G262, NewEmisData!$B:$B, $A262, NewEmisData!$C:$C, $H262, NewEmisData!$D:$D, CJ$6)</f>
        <v>2.6459582282205199E-2</v>
      </c>
      <c r="CK262" s="1111">
        <f>SUMIFS(NewEmisData!G:G, NewEmisData!$A:$A, $G262, NewEmisData!$B:$B, $A262, NewEmisData!$C:$C, $H262, NewEmisData!$D:$D, CK$6)</f>
        <v>3.3469493870709799E-2</v>
      </c>
      <c r="CL262" s="1111">
        <f>SUMIFS(NewEmisData!H:H, NewEmisData!$A:$A, $G262, NewEmisData!$B:$B, $A262, NewEmisData!$C:$C, $H262, NewEmisData!$D:$D, CL$6)</f>
        <v>3.3485441021182498E-2</v>
      </c>
      <c r="CM262" s="1111">
        <f>SUMIFS(NewEmisData!I:I, NewEmisData!$A:$A, $G262, NewEmisData!$B:$B, $A262, NewEmisData!$C:$C, $H262, NewEmisData!$D:$D, CM$6)</f>
        <v>3.3493620207947897E-2</v>
      </c>
      <c r="CN262" s="1111">
        <f>SUMIFS(NewEmisData!J:J, NewEmisData!$A:$A, $G262, NewEmisData!$B:$B, $A262, NewEmisData!$C:$C, $H262, NewEmisData!$D:$D, CN$6)</f>
        <v>3.3495964958687903E-2</v>
      </c>
      <c r="CO262" s="1111">
        <f>SUMIFS(NewEmisData!K:K, NewEmisData!$A:$A, $G262, NewEmisData!$B:$B, $A262, NewEmisData!$C:$C, $H262, NewEmisData!$D:$D, CO$6)</f>
        <v>3.3495912000105203E-2</v>
      </c>
      <c r="CP262" s="1111">
        <f>SUMIFS(NewEmisData!L:L, NewEmisData!$A:$A, $G262, NewEmisData!$B:$B, $A262, NewEmisData!$C:$C, $H262, NewEmisData!$D:$D, CP$6)</f>
        <v>3.3495078771151397E-2</v>
      </c>
      <c r="CQ262" s="1111">
        <f>SUMIFS(NewEmisData!M:M, NewEmisData!$A:$A, $G262, NewEmisData!$B:$B, $A262, NewEmisData!$C:$C, $H262, NewEmisData!$D:$D, CQ$6)</f>
        <v>3.34940363554617E-2</v>
      </c>
      <c r="CR262" s="1111">
        <f t="shared" si="423"/>
        <v>3.34940363554617E-2</v>
      </c>
      <c r="CS262" s="1111">
        <f t="shared" si="424"/>
        <v>3.5917736289565799E-3</v>
      </c>
      <c r="CT262" s="1111">
        <f>SUMIFS(NewEmisData!E:E, NewEmisData!$A:$A, $G262, NewEmisData!$B:$B, $A262, NewEmisData!$C:$C, $H262, NewEmisData!$D:$D, CT$6)</f>
        <v>3.5917736289565799E-3</v>
      </c>
      <c r="CU262" s="1111">
        <f>SUMIFS(NewEmisData!F:F, NewEmisData!$A:$A, $G262, NewEmisData!$B:$B, $A262, NewEmisData!$C:$C, $H262, NewEmisData!$D:$D, CU$6)</f>
        <v>3.6091903831295602E-3</v>
      </c>
      <c r="CV262" s="1111">
        <f>SUMIFS(NewEmisData!G:G, NewEmisData!$A:$A, $G262, NewEmisData!$B:$B, $A262, NewEmisData!$C:$C, $H262, NewEmisData!$D:$D, CV$6)</f>
        <v>5.2505206053814202E-3</v>
      </c>
      <c r="CW262" s="1111">
        <f>SUMIFS(NewEmisData!H:H, NewEmisData!$A:$A, $G262, NewEmisData!$B:$B, $A262, NewEmisData!$C:$C, $H262, NewEmisData!$D:$D, CW$6)</f>
        <v>5.2355362521004402E-3</v>
      </c>
      <c r="CX262" s="1111">
        <f>SUMIFS(NewEmisData!I:I, NewEmisData!$A:$A, $G262, NewEmisData!$B:$B, $A262, NewEmisData!$C:$C, $H262, NewEmisData!$D:$D, CX$6)</f>
        <v>5.2243063278227799E-3</v>
      </c>
      <c r="CY262" s="1111">
        <f>SUMIFS(NewEmisData!J:J, NewEmisData!$A:$A, $G262, NewEmisData!$B:$B, $A262, NewEmisData!$C:$C, $H262, NewEmisData!$D:$D, CY$6)</f>
        <v>5.2188288195051304E-3</v>
      </c>
      <c r="CZ262" s="1111">
        <f>SUMIFS(NewEmisData!K:K, NewEmisData!$A:$A, $G262, NewEmisData!$B:$B, $A262, NewEmisData!$C:$C, $H262, NewEmisData!$D:$D, CZ$6)</f>
        <v>5.2164145073888097E-3</v>
      </c>
      <c r="DA262" s="1111">
        <f>SUMIFS(NewEmisData!L:L, NewEmisData!$A:$A, $G262, NewEmisData!$B:$B, $A262, NewEmisData!$C:$C, $H262, NewEmisData!$D:$D, DA$6)</f>
        <v>5.2155948103937101E-3</v>
      </c>
      <c r="DB262" s="1111">
        <f>SUMIFS(NewEmisData!M:M, NewEmisData!$A:$A, $G262, NewEmisData!$B:$B, $A262, NewEmisData!$C:$C, $H262, NewEmisData!$D:$D, DB$6)</f>
        <v>5.2157496356988403E-3</v>
      </c>
      <c r="DC262" s="1111">
        <f t="shared" si="425"/>
        <v>5.2157496356988403E-3</v>
      </c>
      <c r="DD262" s="1111"/>
      <c r="DE262" s="1111"/>
      <c r="DF262" s="1111"/>
      <c r="DG262" s="1111"/>
      <c r="DH262" s="1111"/>
      <c r="DI262" s="1111"/>
      <c r="DJ262" s="1111"/>
      <c r="DK262" s="1111"/>
      <c r="DL262" s="1111"/>
      <c r="DM262" s="1111"/>
      <c r="DN262" s="1111"/>
      <c r="DO262" s="1111"/>
      <c r="DP262" s="1111"/>
      <c r="DQ262" s="1111"/>
      <c r="DR262" s="1111"/>
      <c r="DS262" s="1111"/>
      <c r="DT262" s="1111"/>
      <c r="DU262" s="1111"/>
      <c r="DV262" s="1111"/>
      <c r="DW262" s="1111"/>
      <c r="DX262" s="1111"/>
      <c r="DY262" s="1111"/>
      <c r="DZ262" s="1111">
        <f t="shared" si="426"/>
        <v>1.80110275159466E-2</v>
      </c>
      <c r="EA262" s="1111">
        <f>SUMIFS(NewEmisData!E:E, NewEmisData!$A:$A, $G262, NewEmisData!$B:$B, $A262, NewEmisData!$C:$C, $H262, NewEmisData!$D:$D, EA$6)</f>
        <v>1.80110275159466E-2</v>
      </c>
      <c r="EB262" s="1111">
        <f>SUMIFS(NewEmisData!F:F, NewEmisData!$A:$A, $G262, NewEmisData!$B:$B, $A262, NewEmisData!$C:$C, $H262, NewEmisData!$D:$D, EB$6)</f>
        <v>5.9415032543044199E-2</v>
      </c>
      <c r="EC262" s="1111">
        <f>SUMIFS(NewEmisData!G:G, NewEmisData!$A:$A, $G262, NewEmisData!$B:$B, $A262, NewEmisData!$C:$C, $H262, NewEmisData!$D:$D, EC$6)</f>
        <v>0.10406778688120299</v>
      </c>
      <c r="ED262" s="1111">
        <f>SUMIFS(NewEmisData!H:H, NewEmisData!$A:$A, $G262, NewEmisData!$B:$B, $A262, NewEmisData!$C:$C, $H262, NewEmisData!$D:$D, ED$6)</f>
        <v>0.105321093135052</v>
      </c>
      <c r="EE262" s="1111">
        <f>SUMIFS(NewEmisData!I:I, NewEmisData!$A:$A, $G262, NewEmisData!$B:$B, $A262, NewEmisData!$C:$C, $H262, NewEmisData!$D:$D, EE$6)</f>
        <v>0.10543994105987201</v>
      </c>
      <c r="EF262" s="1111">
        <f>SUMIFS(NewEmisData!J:J, NewEmisData!$A:$A, $G262, NewEmisData!$B:$B, $A262, NewEmisData!$C:$C, $H262, NewEmisData!$D:$D, EF$6)</f>
        <v>0.105208381907267</v>
      </c>
      <c r="EG262" s="1111">
        <f>SUMIFS(NewEmisData!K:K, NewEmisData!$A:$A, $G262, NewEmisData!$B:$B, $A262, NewEmisData!$C:$C, $H262, NewEmisData!$D:$D, EG$6)</f>
        <v>0.105244034731584</v>
      </c>
      <c r="EH262" s="1111">
        <f>SUMIFS(NewEmisData!L:L, NewEmisData!$A:$A, $G262, NewEmisData!$B:$B, $A262, NewEmisData!$C:$C, $H262, NewEmisData!$D:$D, EH$6)</f>
        <v>0.10519712220805</v>
      </c>
      <c r="EI262" s="1111">
        <f>SUMIFS(NewEmisData!M:M, NewEmisData!$A:$A, $G262, NewEmisData!$B:$B, $A262, NewEmisData!$C:$C, $H262, NewEmisData!$D:$D, EI$6)</f>
        <v>0.105194222004308</v>
      </c>
      <c r="EJ262" s="1111">
        <f t="shared" si="427"/>
        <v>0.105194222004308</v>
      </c>
      <c r="EK262" s="1111">
        <f t="shared" si="428"/>
        <v>1319.49151917881</v>
      </c>
      <c r="EL262" s="1111">
        <f t="shared" si="343"/>
        <v>1319.49151917881</v>
      </c>
      <c r="EM262" s="1111">
        <f t="shared" si="344"/>
        <v>1464.7581509516101</v>
      </c>
      <c r="EN262" s="1111">
        <f t="shared" si="345"/>
        <v>1799.86335243286</v>
      </c>
      <c r="EO262" s="1111">
        <f t="shared" si="346"/>
        <v>1770.55999347335</v>
      </c>
      <c r="EP262" s="1111">
        <f t="shared" si="347"/>
        <v>1751.5422550708799</v>
      </c>
      <c r="EQ262" s="1111">
        <f t="shared" si="348"/>
        <v>1745.6010707511</v>
      </c>
      <c r="ER262" s="1111">
        <f t="shared" si="349"/>
        <v>1743.5885799002001</v>
      </c>
      <c r="ES262" s="1111">
        <f t="shared" si="350"/>
        <v>1742.6485789820999</v>
      </c>
      <c r="ET262" s="1111">
        <f t="shared" si="351"/>
        <v>1741.9127550599401</v>
      </c>
      <c r="EU262" s="1111">
        <f t="shared" si="352"/>
        <v>1741.9127550599401</v>
      </c>
      <c r="EV262" s="1111">
        <f t="shared" si="429"/>
        <v>10.6053442608649</v>
      </c>
      <c r="EW262" s="1111">
        <f t="shared" si="333"/>
        <v>10.6053442608649</v>
      </c>
      <c r="EX262" s="1111">
        <f t="shared" si="334"/>
        <v>6.5449635614234403</v>
      </c>
      <c r="EY262" s="1111">
        <f t="shared" si="335"/>
        <v>3.6787180180936701</v>
      </c>
      <c r="EZ262" s="1111">
        <f t="shared" si="336"/>
        <v>2.2004570236663401</v>
      </c>
      <c r="FA262" s="1111">
        <f t="shared" si="337"/>
        <v>1.7396673866677801</v>
      </c>
      <c r="FB262" s="1111">
        <f t="shared" si="338"/>
        <v>1.64503462199088</v>
      </c>
      <c r="FC262" s="1111">
        <f t="shared" si="339"/>
        <v>1.62266726199586</v>
      </c>
      <c r="FD262" s="1111">
        <f t="shared" si="340"/>
        <v>1.62186968240176</v>
      </c>
      <c r="FE262" s="1111">
        <f t="shared" si="341"/>
        <v>1.62139928384052</v>
      </c>
      <c r="FF262" s="1111">
        <f t="shared" si="342"/>
        <v>1.62139928384052</v>
      </c>
      <c r="FG262" s="1111">
        <f t="shared" si="389"/>
        <v>3.2753858750071897E-2</v>
      </c>
      <c r="FH262" s="1111">
        <f t="shared" si="390"/>
        <v>3.2753858750071897E-2</v>
      </c>
      <c r="FI262" s="1111">
        <f t="shared" si="391"/>
        <v>3.5451037141744003E-2</v>
      </c>
      <c r="FJ262" s="1111">
        <f t="shared" si="392"/>
        <v>1.5119273460284501E-2</v>
      </c>
      <c r="FK262" s="1111">
        <f t="shared" si="393"/>
        <v>1.47924708148466E-2</v>
      </c>
      <c r="FL262" s="1111">
        <f t="shared" si="394"/>
        <v>1.4608534822893701E-2</v>
      </c>
      <c r="FM262" s="1111">
        <f t="shared" si="395"/>
        <v>1.45546061834944E-2</v>
      </c>
      <c r="FN262" s="1111">
        <f t="shared" si="396"/>
        <v>1.4536510442551E-2</v>
      </c>
      <c r="FO262" s="1111">
        <f t="shared" si="397"/>
        <v>1.4528668182896999E-2</v>
      </c>
      <c r="FP262" s="1111">
        <f t="shared" si="398"/>
        <v>1.45225405658348E-2</v>
      </c>
      <c r="FQ262" s="1111">
        <f t="shared" si="399"/>
        <v>1.45225405658348E-2</v>
      </c>
      <c r="FR262" s="1111">
        <f t="shared" si="322"/>
        <v>1.04983400982203</v>
      </c>
      <c r="FS262" s="1111">
        <f t="shared" si="323"/>
        <v>1.04983400982203</v>
      </c>
      <c r="FT262" s="1111">
        <f t="shared" si="324"/>
        <v>0.72832653653898105</v>
      </c>
      <c r="FU262" s="1111">
        <f t="shared" si="325"/>
        <v>0.58427614618818202</v>
      </c>
      <c r="FV262" s="1111">
        <f t="shared" si="326"/>
        <v>0.50134292856914997</v>
      </c>
      <c r="FW262" s="1111">
        <f t="shared" si="327"/>
        <v>0.47618546496589997</v>
      </c>
      <c r="FX262" s="1111">
        <f t="shared" si="328"/>
        <v>0.47190149656039998</v>
      </c>
      <c r="FY262" s="1111">
        <f t="shared" si="329"/>
        <v>0.47071689819165202</v>
      </c>
      <c r="FZ262" s="1111">
        <f t="shared" si="330"/>
        <v>0.47069343749269799</v>
      </c>
      <c r="GA262" s="1111">
        <f t="shared" si="331"/>
        <v>0.47069114341764501</v>
      </c>
      <c r="GB262" s="1111">
        <f t="shared" si="332"/>
        <v>0.47069114341764501</v>
      </c>
      <c r="GC262" s="1111">
        <f t="shared" si="353"/>
        <v>0.72578410583292197</v>
      </c>
      <c r="GD262" s="1111">
        <f t="shared" si="354"/>
        <v>0.72578410583292197</v>
      </c>
      <c r="GE262" s="1111">
        <f t="shared" si="355"/>
        <v>0.42763209762876098</v>
      </c>
      <c r="GF262" s="1111">
        <f t="shared" si="356"/>
        <v>0.18944103926397299</v>
      </c>
      <c r="GG262" s="1111">
        <f t="shared" si="357"/>
        <v>0.114666499637313</v>
      </c>
      <c r="GH262" s="1111">
        <f t="shared" si="358"/>
        <v>9.1724132402913702E-2</v>
      </c>
      <c r="GI262" s="1111">
        <f t="shared" si="359"/>
        <v>8.7857141954733695E-2</v>
      </c>
      <c r="GJ262" s="1111">
        <f t="shared" si="360"/>
        <v>8.6767275626484494E-2</v>
      </c>
      <c r="GK262" s="1111">
        <f t="shared" si="361"/>
        <v>8.6748879396040507E-2</v>
      </c>
      <c r="GL262" s="1111">
        <f t="shared" si="362"/>
        <v>8.67391289437488E-2</v>
      </c>
      <c r="GM262" s="1111">
        <f t="shared" si="363"/>
        <v>8.67391289437488E-2</v>
      </c>
    </row>
    <row r="263" spans="1:195" x14ac:dyDescent="0.2">
      <c r="A263" s="1071" t="s">
        <v>186</v>
      </c>
      <c r="B263" s="1071" t="str">
        <f>Technologies!C149</f>
        <v>THSDSLAH</v>
      </c>
      <c r="C263" s="1071" t="str">
        <f>Technologies!D149</f>
        <v>Heavy Truck, Short Haul, Hybrid Diesel</v>
      </c>
      <c r="D263" s="1071" t="str">
        <f>NewTech!D102</f>
        <v>bn-vmt, bn-vmt/a</v>
      </c>
      <c r="E263" s="1071" t="str">
        <f>Commodities!C$44</f>
        <v>THDSL</v>
      </c>
      <c r="F263" s="1071" t="s">
        <v>98</v>
      </c>
      <c r="G263" s="1110" t="s">
        <v>505</v>
      </c>
      <c r="H263" s="1110" t="s">
        <v>499</v>
      </c>
      <c r="I263" s="1112">
        <v>1</v>
      </c>
      <c r="J263" s="1111" t="str">
        <f t="shared" si="302"/>
        <v>Heavy duty short haul truck-DSL</v>
      </c>
      <c r="K263" s="1111">
        <f>SUMIFS(NewEmisData!E:E, NewEmisData!$A:$A, $G263, NewEmisData!$B:$B, $A263, NewEmisData!$C:$C, $H263, NewEmisData!$D:$D, K$6)</f>
        <v>1965.3480196129899</v>
      </c>
      <c r="L263" s="1111">
        <f>SUMIFS(NewEmisData!F:F, NewEmisData!$A:$A, $G263, NewEmisData!$B:$B, $A263, NewEmisData!$C:$C, $H263, NewEmisData!$D:$D, L$6)</f>
        <v>2010.3216718511901</v>
      </c>
      <c r="M263" s="1111">
        <f>SUMIFS(NewEmisData!G:G, NewEmisData!$A:$A, $G263, NewEmisData!$B:$B, $A263, NewEmisData!$C:$C, $H263, NewEmisData!$D:$D, M$6)</f>
        <v>2090.4906656609201</v>
      </c>
      <c r="N263" s="1111">
        <f>SUMIFS(NewEmisData!H:H, NewEmisData!$A:$A, $G263, NewEmisData!$B:$B, $A263, NewEmisData!$C:$C, $H263, NewEmisData!$D:$D, N$6)</f>
        <v>2053.9539193064902</v>
      </c>
      <c r="O263" s="1111">
        <f>SUMIFS(NewEmisData!I:I, NewEmisData!$A:$A, $G263, NewEmisData!$B:$B, $A263, NewEmisData!$C:$C, $H263, NewEmisData!$D:$D, O$6)</f>
        <v>2027.8421991422999</v>
      </c>
      <c r="P263" s="1111">
        <f>SUMIFS(NewEmisData!J:J, NewEmisData!$A:$A, $G263, NewEmisData!$B:$B, $A263, NewEmisData!$C:$C, $H263, NewEmisData!$D:$D, P$6)</f>
        <v>2019.45150345712</v>
      </c>
      <c r="Q263" s="1111">
        <f>SUMIFS(NewEmisData!K:K, NewEmisData!$A:$A, $G263, NewEmisData!$B:$B, $A263, NewEmisData!$C:$C, $H263, NewEmisData!$D:$D, Q$6)</f>
        <v>2016.54651893857</v>
      </c>
      <c r="R263" s="1111">
        <f>SUMIFS(NewEmisData!L:L, NewEmisData!$A:$A, $G263, NewEmisData!$B:$B, $A263, NewEmisData!$C:$C, $H263, NewEmisData!$D:$D, R$6)</f>
        <v>2015.2058723386001</v>
      </c>
      <c r="S263" s="1111">
        <f>SUMIFS(NewEmisData!M:M, NewEmisData!$A:$A, $G263, NewEmisData!$B:$B, $A263, NewEmisData!$C:$C, $H263, NewEmisData!$D:$D, S$6)</f>
        <v>2014.2294332377901</v>
      </c>
      <c r="T263" s="1111">
        <f t="shared" si="364"/>
        <v>2014.2294332377901</v>
      </c>
      <c r="U263" s="1111">
        <f>SUMIFS(NewEmisData!E:E, NewEmisData!$A:$A, $G263, NewEmisData!$B:$B, $A263, NewEmisData!$C:$C, $H263, NewEmisData!$D:$D, U$6)</f>
        <v>16.5695691882601</v>
      </c>
      <c r="V263" s="1111">
        <f>SUMIFS(NewEmisData!F:F, NewEmisData!$A:$A, $G263, NewEmisData!$B:$B, $A263, NewEmisData!$C:$C, $H263, NewEmisData!$D:$D, V$6)</f>
        <v>10.1915554047669</v>
      </c>
      <c r="W263" s="1111">
        <f>SUMIFS(NewEmisData!G:G, NewEmisData!$A:$A, $G263, NewEmisData!$B:$B, $A263, NewEmisData!$C:$C, $H263, NewEmisData!$D:$D, W$6)</f>
        <v>4.7067883339263101</v>
      </c>
      <c r="X263" s="1111">
        <f>SUMIFS(NewEmisData!H:H, NewEmisData!$A:$A, $G263, NewEmisData!$B:$B, $A263, NewEmisData!$C:$C, $H263, NewEmisData!$D:$D, X$6)</f>
        <v>2.74964441255411</v>
      </c>
      <c r="Y263" s="1111">
        <f>SUMIFS(NewEmisData!I:I, NewEmisData!$A:$A, $G263, NewEmisData!$B:$B, $A263, NewEmisData!$C:$C, $H263, NewEmisData!$D:$D, Y$6)</f>
        <v>2.1250543631144501</v>
      </c>
      <c r="Z263" s="1111">
        <f>SUMIFS(NewEmisData!J:J, NewEmisData!$A:$A, $G263, NewEmisData!$B:$B, $A263, NewEmisData!$C:$C, $H263, NewEmisData!$D:$D, Z$6)</f>
        <v>1.99369533696212</v>
      </c>
      <c r="AA263" s="1111">
        <f>SUMIFS(NewEmisData!K:K, NewEmisData!$A:$A, $G263, NewEmisData!$B:$B, $A263, NewEmisData!$C:$C, $H263, NewEmisData!$D:$D, AA$6)</f>
        <v>1.9596642716443899</v>
      </c>
      <c r="AB263" s="1111">
        <f>SUMIFS(NewEmisData!L:L, NewEmisData!$A:$A, $G263, NewEmisData!$B:$B, $A263, NewEmisData!$C:$C, $H263, NewEmisData!$D:$D, AB$6)</f>
        <v>1.95841045438728</v>
      </c>
      <c r="AC263" s="1111">
        <f>SUMIFS(NewEmisData!M:M, NewEmisData!$A:$A, $G263, NewEmisData!$B:$B, $A263, NewEmisData!$C:$C, $H263, NewEmisData!$D:$D, AC$6)</f>
        <v>1.95772834946656</v>
      </c>
      <c r="AD263" s="1111">
        <f t="shared" si="321"/>
        <v>1.95772834946656</v>
      </c>
      <c r="AE263" s="1111">
        <f t="shared" si="412"/>
        <v>4.8505368718434902E-2</v>
      </c>
      <c r="AF263" s="1111">
        <f>SUMIFS(NewEmisData!E:E, NewEmisData!$A:$A, $G263, NewEmisData!$B:$B, $A263, NewEmisData!$C:$C, $H263, NewEmisData!$D:$D, AF$6)</f>
        <v>4.8505368718434902E-2</v>
      </c>
      <c r="AG263" s="1111">
        <f>SUMIFS(NewEmisData!F:F, NewEmisData!$A:$A, $G263, NewEmisData!$B:$B, $A263, NewEmisData!$C:$C, $H263, NewEmisData!$D:$D, AG$6)</f>
        <v>4.8325981488473099E-2</v>
      </c>
      <c r="AH263" s="1111">
        <f>SUMIFS(NewEmisData!G:G, NewEmisData!$A:$A, $G263, NewEmisData!$B:$B, $A263, NewEmisData!$C:$C, $H263, NewEmisData!$D:$D, AH$6)</f>
        <v>1.7576572280014201E-2</v>
      </c>
      <c r="AI263" s="1111">
        <f>SUMIFS(NewEmisData!H:H, NewEmisData!$A:$A, $G263, NewEmisData!$B:$B, $A263, NewEmisData!$C:$C, $H263, NewEmisData!$D:$D, AI$6)</f>
        <v>1.7166395112910501E-2</v>
      </c>
      <c r="AJ263" s="1111">
        <f>SUMIFS(NewEmisData!I:I, NewEmisData!$A:$A, $G263, NewEmisData!$B:$B, $A263, NewEmisData!$C:$C, $H263, NewEmisData!$D:$D, AJ$6)</f>
        <v>1.6914594935806299E-2</v>
      </c>
      <c r="AK263" s="1111">
        <f>SUMIFS(NewEmisData!J:J, NewEmisData!$A:$A, $G263, NewEmisData!$B:$B, $A263, NewEmisData!$C:$C, $H263, NewEmisData!$D:$D, AK$6)</f>
        <v>1.68383799937354E-2</v>
      </c>
      <c r="AL263" s="1111">
        <f>SUMIFS(NewEmisData!K:K, NewEmisData!$A:$A, $G263, NewEmisData!$B:$B, $A263, NewEmisData!$C:$C, $H263, NewEmisData!$D:$D, AL$6)</f>
        <v>1.6812194631633502E-2</v>
      </c>
      <c r="AM263" s="1111">
        <f>SUMIFS(NewEmisData!L:L, NewEmisData!$A:$A, $G263, NewEmisData!$B:$B, $A263, NewEmisData!$C:$C, $H263, NewEmisData!$D:$D, AM$6)</f>
        <v>1.6801008524208499E-2</v>
      </c>
      <c r="AN263" s="1111">
        <f>SUMIFS(NewEmisData!M:M, NewEmisData!$A:$A, $G263, NewEmisData!$B:$B, $A263, NewEmisData!$C:$C, $H263, NewEmisData!$D:$D, AN$6)</f>
        <v>1.6792875741706501E-2</v>
      </c>
      <c r="AO263" s="1111">
        <f t="shared" si="413"/>
        <v>1.6792875741706501E-2</v>
      </c>
      <c r="AP263" s="1111">
        <f t="shared" si="414"/>
        <v>1.7897176326082</v>
      </c>
      <c r="AQ263" s="1111">
        <f>SUMIFS(NewEmisData!E:E, NewEmisData!$A:$A, $G263, NewEmisData!$B:$B, $A263, NewEmisData!$C:$C, $H263, NewEmisData!$D:$D, AQ$6)</f>
        <v>1.7897176326082</v>
      </c>
      <c r="AR263" s="1111">
        <f>SUMIFS(NewEmisData!F:F, NewEmisData!$A:$A, $G263, NewEmisData!$B:$B, $A263, NewEmisData!$C:$C, $H263, NewEmisData!$D:$D, AR$6)</f>
        <v>1.28184142907446</v>
      </c>
      <c r="AS263" s="1111">
        <f>SUMIFS(NewEmisData!G:G, NewEmisData!$A:$A, $G263, NewEmisData!$B:$B, $A263, NewEmisData!$C:$C, $H263, NewEmisData!$D:$D, AS$6)</f>
        <v>0.80585430140276804</v>
      </c>
      <c r="AT263" s="1111">
        <f>SUMIFS(NewEmisData!H:H, NewEmisData!$A:$A, $G263, NewEmisData!$B:$B, $A263, NewEmisData!$C:$C, $H263, NewEmisData!$D:$D, AT$6)</f>
        <v>0.69183592997618704</v>
      </c>
      <c r="AU263" s="1111">
        <f>SUMIFS(NewEmisData!I:I, NewEmisData!$A:$A, $G263, NewEmisData!$B:$B, $A263, NewEmisData!$C:$C, $H263, NewEmisData!$D:$D, AU$6)</f>
        <v>0.65551295326080194</v>
      </c>
      <c r="AV263" s="1111">
        <f>SUMIFS(NewEmisData!J:J, NewEmisData!$A:$A, $G263, NewEmisData!$B:$B, $A263, NewEmisData!$C:$C, $H263, NewEmisData!$D:$D, AV$6)</f>
        <v>0.64912663136166204</v>
      </c>
      <c r="AW263" s="1111">
        <f>SUMIFS(NewEmisData!K:K, NewEmisData!$A:$A, $G263, NewEmisData!$B:$B, $A263, NewEmisData!$C:$C, $H263, NewEmisData!$D:$D, AW$6)</f>
        <v>0.64721406840414997</v>
      </c>
      <c r="AX263" s="1111">
        <f>SUMIFS(NewEmisData!L:L, NewEmisData!$A:$A, $G263, NewEmisData!$B:$B, $A263, NewEmisData!$C:$C, $H263, NewEmisData!$D:$D, AX$6)</f>
        <v>0.64706992112985595</v>
      </c>
      <c r="AY263" s="1111">
        <f>SUMIFS(NewEmisData!M:M, NewEmisData!$A:$A, $G263, NewEmisData!$B:$B, $A263, NewEmisData!$C:$C, $H263, NewEmisData!$D:$D, AY$6)</f>
        <v>0.64695129381422201</v>
      </c>
      <c r="AZ263" s="1111">
        <f t="shared" si="415"/>
        <v>0.64695129381422201</v>
      </c>
      <c r="BA263" s="1111">
        <f t="shared" si="416"/>
        <v>1.18048167941492</v>
      </c>
      <c r="BB263" s="1111">
        <f>SUMIFS(NewEmisData!E:E, NewEmisData!$A:$A, $G263, NewEmisData!$B:$B, $A263, NewEmisData!$C:$C, $H263, NewEmisData!$D:$D, BB$6)</f>
        <v>1.18048167941492</v>
      </c>
      <c r="BC263" s="1111">
        <f>SUMIFS(NewEmisData!F:F, NewEmisData!$A:$A, $G263, NewEmisData!$B:$B, $A263, NewEmisData!$C:$C, $H263, NewEmisData!$D:$D, BC$6)</f>
        <v>0.70883111477306904</v>
      </c>
      <c r="BD263" s="1111">
        <f>SUMIFS(NewEmisData!G:G, NewEmisData!$A:$A, $G263, NewEmisData!$B:$B, $A263, NewEmisData!$C:$C, $H263, NewEmisData!$D:$D, BD$6)</f>
        <v>0.25820081252871602</v>
      </c>
      <c r="BE263" s="1111">
        <f>SUMIFS(NewEmisData!H:H, NewEmisData!$A:$A, $G263, NewEmisData!$B:$B, $A263, NewEmisData!$C:$C, $H263, NewEmisData!$D:$D, BE$6)</f>
        <v>0.154936314509238</v>
      </c>
      <c r="BF263" s="1111">
        <f>SUMIFS(NewEmisData!I:I, NewEmisData!$A:$A, $G263, NewEmisData!$B:$B, $A263, NewEmisData!$C:$C, $H263, NewEmisData!$D:$D, BF$6)</f>
        <v>0.12145150227391199</v>
      </c>
      <c r="BG263" s="1111">
        <f>SUMIFS(NewEmisData!J:J, NewEmisData!$A:$A, $G263, NewEmisData!$B:$B, $A263, NewEmisData!$C:$C, $H263, NewEmisData!$D:$D, BG$6)</f>
        <v>0.11561207466260399</v>
      </c>
      <c r="BH263" s="1111">
        <f>SUMIFS(NewEmisData!K:K, NewEmisData!$A:$A, $G263, NewEmisData!$B:$B, $A263, NewEmisData!$C:$C, $H263, NewEmisData!$D:$D, BH$6)</f>
        <v>0.113890264164102</v>
      </c>
      <c r="BI263" s="1111">
        <f>SUMIFS(NewEmisData!L:L, NewEmisData!$A:$A, $G263, NewEmisData!$B:$B, $A263, NewEmisData!$C:$C, $H263, NewEmisData!$D:$D, BI$6)</f>
        <v>0.11384461486997199</v>
      </c>
      <c r="BJ263" s="1111">
        <f>SUMIFS(NewEmisData!M:M, NewEmisData!$A:$A, $G263, NewEmisData!$B:$B, $A263, NewEmisData!$C:$C, $H263, NewEmisData!$D:$D, BJ$6)</f>
        <v>0.11381252319809999</v>
      </c>
      <c r="BK263" s="1111">
        <f t="shared" si="417"/>
        <v>0.11381252319809999</v>
      </c>
      <c r="BL263" s="1111">
        <f t="shared" si="418"/>
        <v>6.0456420020261303</v>
      </c>
      <c r="BM263" s="1111">
        <f>SUMIFS(NewEmisData!E:E, NewEmisData!$A:$A, $G263, NewEmisData!$B:$B, $A263, NewEmisData!$C:$C, $H263, NewEmisData!$D:$D, BM$6)</f>
        <v>6.0456420020261303</v>
      </c>
      <c r="BN263" s="1111">
        <f>SUMIFS(NewEmisData!F:F, NewEmisData!$A:$A, $G263, NewEmisData!$B:$B, $A263, NewEmisData!$C:$C, $H263, NewEmisData!$D:$D, BN$6)</f>
        <v>3.6427551386991199</v>
      </c>
      <c r="BO263" s="1111">
        <f>SUMIFS(NewEmisData!G:G, NewEmisData!$A:$A, $G263, NewEmisData!$B:$B, $A263, NewEmisData!$C:$C, $H263, NewEmisData!$D:$D, BO$6)</f>
        <v>1.8452011446226499</v>
      </c>
      <c r="BP263" s="1111">
        <f>SUMIFS(NewEmisData!H:H, NewEmisData!$A:$A, $G263, NewEmisData!$B:$B, $A263, NewEmisData!$C:$C, $H263, NewEmisData!$D:$D, BP$6)</f>
        <v>1.24194770746088</v>
      </c>
      <c r="BQ263" s="1111">
        <f>SUMIFS(NewEmisData!I:I, NewEmisData!$A:$A, $G263, NewEmisData!$B:$B, $A263, NewEmisData!$C:$C, $H263, NewEmisData!$D:$D, BQ$6)</f>
        <v>1.0526499630644499</v>
      </c>
      <c r="BR263" s="1111">
        <f>SUMIFS(NewEmisData!J:J, NewEmisData!$A:$A, $G263, NewEmisData!$B:$B, $A263, NewEmisData!$C:$C, $H263, NewEmisData!$D:$D, BR$6)</f>
        <v>1.0089819104633899</v>
      </c>
      <c r="BS263" s="1111">
        <f>SUMIFS(NewEmisData!K:K, NewEmisData!$A:$A, $G263, NewEmisData!$B:$B, $A263, NewEmisData!$C:$C, $H263, NewEmisData!$D:$D, BS$6)</f>
        <v>0.99667122961969301</v>
      </c>
      <c r="BT263" s="1111">
        <f>SUMIFS(NewEmisData!L:L, NewEmisData!$A:$A, $G263, NewEmisData!$B:$B, $A263, NewEmisData!$C:$C, $H263, NewEmisData!$D:$D, BT$6)</f>
        <v>0.99500593481504396</v>
      </c>
      <c r="BU263" s="1111">
        <f>SUMIFS(NewEmisData!M:M, NewEmisData!$A:$A, $G263, NewEmisData!$B:$B, $A263, NewEmisData!$C:$C, $H263, NewEmisData!$D:$D, BU$6)</f>
        <v>0.99474590902717697</v>
      </c>
      <c r="BV263" s="1111">
        <f t="shared" si="419"/>
        <v>0.99474590902717697</v>
      </c>
      <c r="BW263" s="1111">
        <f t="shared" si="420"/>
        <v>1.8523245224272999</v>
      </c>
      <c r="BX263" s="1111">
        <f>SUMIFS(NewEmisData!E:E, NewEmisData!$A:$A, $G263, NewEmisData!$B:$B, $A263, NewEmisData!$C:$C, $H263, NewEmisData!$D:$D, BX$6)</f>
        <v>1.8523245224272999</v>
      </c>
      <c r="BY263" s="1111">
        <f>SUMIFS(NewEmisData!F:F, NewEmisData!$A:$A, $G263, NewEmisData!$B:$B, $A263, NewEmisData!$C:$C, $H263, NewEmisData!$D:$D, BY$6)</f>
        <v>0.98457686139596001</v>
      </c>
      <c r="BZ263" s="1111">
        <f>SUMIFS(NewEmisData!G:G, NewEmisData!$A:$A, $G263, NewEmisData!$B:$B, $A263, NewEmisData!$C:$C, $H263, NewEmisData!$D:$D, BZ$6)</f>
        <v>0.454054708098104</v>
      </c>
      <c r="CA263" s="1111">
        <f>SUMIFS(NewEmisData!H:H, NewEmisData!$A:$A, $G263, NewEmisData!$B:$B, $A263, NewEmisData!$C:$C, $H263, NewEmisData!$D:$D, CA$6)</f>
        <v>0.24241218334548201</v>
      </c>
      <c r="CB263" s="1111">
        <f>SUMIFS(NewEmisData!I:I, NewEmisData!$A:$A, $G263, NewEmisData!$B:$B, $A263, NewEmisData!$C:$C, $H263, NewEmisData!$D:$D, CB$6)</f>
        <v>0.17574053877664</v>
      </c>
      <c r="CC263" s="1111">
        <f>SUMIFS(NewEmisData!J:J, NewEmisData!$A:$A, $G263, NewEmisData!$B:$B, $A263, NewEmisData!$C:$C, $H263, NewEmisData!$D:$D, CC$6)</f>
        <v>0.16190467325511401</v>
      </c>
      <c r="CD263" s="1111">
        <f>SUMIFS(NewEmisData!K:K, NewEmisData!$A:$A, $G263, NewEmisData!$B:$B, $A263, NewEmisData!$C:$C, $H263, NewEmisData!$D:$D, CD$6)</f>
        <v>0.15802874340941001</v>
      </c>
      <c r="CE263" s="1111">
        <f>SUMIFS(NewEmisData!L:L, NewEmisData!$A:$A, $G263, NewEmisData!$B:$B, $A263, NewEmisData!$C:$C, $H263, NewEmisData!$D:$D, CE$6)</f>
        <v>0.157924905411398</v>
      </c>
      <c r="CF263" s="1111">
        <f>SUMIFS(NewEmisData!M:M, NewEmisData!$A:$A, $G263, NewEmisData!$B:$B, $A263, NewEmisData!$C:$C, $H263, NewEmisData!$D:$D, CF$6)</f>
        <v>0.157888725635105</v>
      </c>
      <c r="CG263" s="1111">
        <f t="shared" si="421"/>
        <v>0.157888725635105</v>
      </c>
      <c r="CH263" s="1111">
        <f t="shared" si="422"/>
        <v>3.4893521946962498E-2</v>
      </c>
      <c r="CI263" s="1111">
        <f>SUMIFS(NewEmisData!E:E, NewEmisData!$A:$A, $G263, NewEmisData!$B:$B, $A263, NewEmisData!$C:$C, $H263, NewEmisData!$D:$D, CI$6)</f>
        <v>3.4893521946962498E-2</v>
      </c>
      <c r="CJ263" s="1111">
        <f>SUMIFS(NewEmisData!F:F, NewEmisData!$A:$A, $G263, NewEmisData!$B:$B, $A263, NewEmisData!$C:$C, $H263, NewEmisData!$D:$D, CJ$6)</f>
        <v>3.49788451002516E-2</v>
      </c>
      <c r="CK263" s="1111">
        <f>SUMIFS(NewEmisData!G:G, NewEmisData!$A:$A, $G263, NewEmisData!$B:$B, $A263, NewEmisData!$C:$C, $H263, NewEmisData!$D:$D, CK$6)</f>
        <v>3.9639501952122097E-2</v>
      </c>
      <c r="CL263" s="1111">
        <f>SUMIFS(NewEmisData!H:H, NewEmisData!$A:$A, $G263, NewEmisData!$B:$B, $A263, NewEmisData!$C:$C, $H263, NewEmisData!$D:$D, CL$6)</f>
        <v>3.9638483794636602E-2</v>
      </c>
      <c r="CM263" s="1111">
        <f>SUMIFS(NewEmisData!I:I, NewEmisData!$A:$A, $G263, NewEmisData!$B:$B, $A263, NewEmisData!$C:$C, $H263, NewEmisData!$D:$D, CM$6)</f>
        <v>3.9638118042141998E-2</v>
      </c>
      <c r="CN263" s="1111">
        <f>SUMIFS(NewEmisData!J:J, NewEmisData!$A:$A, $G263, NewEmisData!$B:$B, $A263, NewEmisData!$C:$C, $H263, NewEmisData!$D:$D, CN$6)</f>
        <v>3.9638000963104603E-2</v>
      </c>
      <c r="CO263" s="1111">
        <f>SUMIFS(NewEmisData!K:K, NewEmisData!$A:$A, $G263, NewEmisData!$B:$B, $A263, NewEmisData!$C:$C, $H263, NewEmisData!$D:$D, CO$6)</f>
        <v>3.9637988546095397E-2</v>
      </c>
      <c r="CP263" s="1111">
        <f>SUMIFS(NewEmisData!L:L, NewEmisData!$A:$A, $G263, NewEmisData!$B:$B, $A263, NewEmisData!$C:$C, $H263, NewEmisData!$D:$D, CP$6)</f>
        <v>3.9637972152367001E-2</v>
      </c>
      <c r="CQ263" s="1111">
        <f>SUMIFS(NewEmisData!M:M, NewEmisData!$A:$A, $G263, NewEmisData!$B:$B, $A263, NewEmisData!$C:$C, $H263, NewEmisData!$D:$D, CQ$6)</f>
        <v>3.9637979680126299E-2</v>
      </c>
      <c r="CR263" s="1111">
        <f t="shared" si="423"/>
        <v>3.9637979680126299E-2</v>
      </c>
      <c r="CS263" s="1111">
        <f t="shared" si="424"/>
        <v>6.6753767747216204E-3</v>
      </c>
      <c r="CT263" s="1111">
        <f>SUMIFS(NewEmisData!E:E, NewEmisData!$A:$A, $G263, NewEmisData!$B:$B, $A263, NewEmisData!$C:$C, $H263, NewEmisData!$D:$D, CT$6)</f>
        <v>6.6753767747216204E-3</v>
      </c>
      <c r="CU263" s="1111">
        <f>SUMIFS(NewEmisData!F:F, NewEmisData!$A:$A, $G263, NewEmisData!$B:$B, $A263, NewEmisData!$C:$C, $H263, NewEmisData!$D:$D, CU$6)</f>
        <v>6.5547982937163097E-3</v>
      </c>
      <c r="CV263" s="1111">
        <f>SUMIFS(NewEmisData!G:G, NewEmisData!$A:$A, $G263, NewEmisData!$B:$B, $A263, NewEmisData!$C:$C, $H263, NewEmisData!$D:$D, CV$6)</f>
        <v>7.2957432936417597E-3</v>
      </c>
      <c r="CW263" s="1111">
        <f>SUMIFS(NewEmisData!H:H, NewEmisData!$A:$A, $G263, NewEmisData!$B:$B, $A263, NewEmisData!$C:$C, $H263, NewEmisData!$D:$D, CW$6)</f>
        <v>7.2823273262305702E-3</v>
      </c>
      <c r="CX263" s="1111">
        <f>SUMIFS(NewEmisData!I:I, NewEmisData!$A:$A, $G263, NewEmisData!$B:$B, $A263, NewEmisData!$C:$C, $H263, NewEmisData!$D:$D, CX$6)</f>
        <v>7.2700258541815799E-3</v>
      </c>
      <c r="CY263" s="1111">
        <f>SUMIFS(NewEmisData!J:J, NewEmisData!$A:$A, $G263, NewEmisData!$B:$B, $A263, NewEmisData!$C:$C, $H263, NewEmisData!$D:$D, CY$6)</f>
        <v>7.2630982878354698E-3</v>
      </c>
      <c r="CZ263" s="1111">
        <f>SUMIFS(NewEmisData!K:K, NewEmisData!$A:$A, $G263, NewEmisData!$B:$B, $A263, NewEmisData!$C:$C, $H263, NewEmisData!$D:$D, CZ$6)</f>
        <v>7.25966994665462E-3</v>
      </c>
      <c r="DA263" s="1111">
        <f>SUMIFS(NewEmisData!L:L, NewEmisData!$A:$A, $G263, NewEmisData!$B:$B, $A263, NewEmisData!$C:$C, $H263, NewEmisData!$D:$D, DA$6)</f>
        <v>7.2582639480360299E-3</v>
      </c>
      <c r="DB263" s="1111">
        <f>SUMIFS(NewEmisData!M:M, NewEmisData!$A:$A, $G263, NewEmisData!$B:$B, $A263, NewEmisData!$C:$C, $H263, NewEmisData!$D:$D, DB$6)</f>
        <v>7.2582397653682199E-3</v>
      </c>
      <c r="DC263" s="1111">
        <f t="shared" si="425"/>
        <v>7.2582397653682199E-3</v>
      </c>
      <c r="DD263" s="1111"/>
      <c r="DE263" s="1111"/>
      <c r="DF263" s="1111"/>
      <c r="DG263" s="1111"/>
      <c r="DH263" s="1111"/>
      <c r="DI263" s="1111"/>
      <c r="DJ263" s="1111"/>
      <c r="DK263" s="1111"/>
      <c r="DL263" s="1111"/>
      <c r="DM263" s="1111"/>
      <c r="DN263" s="1111"/>
      <c r="DO263" s="1111"/>
      <c r="DP263" s="1111"/>
      <c r="DQ263" s="1111"/>
      <c r="DR263" s="1111"/>
      <c r="DS263" s="1111"/>
      <c r="DT263" s="1111"/>
      <c r="DU263" s="1111"/>
      <c r="DV263" s="1111"/>
      <c r="DW263" s="1111"/>
      <c r="DX263" s="1111"/>
      <c r="DY263" s="1111"/>
      <c r="DZ263" s="1111">
        <f t="shared" si="426"/>
        <v>3.9006976025732602E-2</v>
      </c>
      <c r="EA263" s="1111">
        <f>SUMIFS(NewEmisData!E:E, NewEmisData!$A:$A, $G263, NewEmisData!$B:$B, $A263, NewEmisData!$C:$C, $H263, NewEmisData!$D:$D, EA$6)</f>
        <v>3.9006976025732602E-2</v>
      </c>
      <c r="EB263" s="1111">
        <f>SUMIFS(NewEmisData!F:F, NewEmisData!$A:$A, $G263, NewEmisData!$B:$B, $A263, NewEmisData!$C:$C, $H263, NewEmisData!$D:$D, EB$6)</f>
        <v>9.7382260752850197E-2</v>
      </c>
      <c r="EC263" s="1111">
        <f>SUMIFS(NewEmisData!G:G, NewEmisData!$A:$A, $G263, NewEmisData!$B:$B, $A263, NewEmisData!$C:$C, $H263, NewEmisData!$D:$D, EC$6)</f>
        <v>0.14046349386005799</v>
      </c>
      <c r="ED263" s="1111">
        <f>SUMIFS(NewEmisData!H:H, NewEmisData!$A:$A, $G263, NewEmisData!$B:$B, $A263, NewEmisData!$C:$C, $H263, NewEmisData!$D:$D, ED$6)</f>
        <v>0.14210473049514299</v>
      </c>
      <c r="EE263" s="1111">
        <f>SUMIFS(NewEmisData!I:I, NewEmisData!$A:$A, $G263, NewEmisData!$B:$B, $A263, NewEmisData!$C:$C, $H263, NewEmisData!$D:$D, EE$6)</f>
        <v>0.142376657618557</v>
      </c>
      <c r="EF263" s="1111">
        <f>SUMIFS(NewEmisData!J:J, NewEmisData!$A:$A, $G263, NewEmisData!$B:$B, $A263, NewEmisData!$C:$C, $H263, NewEmisData!$D:$D, EF$6)</f>
        <v>0.14206400587052001</v>
      </c>
      <c r="EG263" s="1111">
        <f>SUMIFS(NewEmisData!K:K, NewEmisData!$A:$A, $G263, NewEmisData!$B:$B, $A263, NewEmisData!$C:$C, $H263, NewEmisData!$D:$D, EG$6)</f>
        <v>0.142101863494736</v>
      </c>
      <c r="EH263" s="1111">
        <f>SUMIFS(NewEmisData!L:L, NewEmisData!$A:$A, $G263, NewEmisData!$B:$B, $A263, NewEmisData!$C:$C, $H263, NewEmisData!$D:$D, EH$6)</f>
        <v>0.142019923590127</v>
      </c>
      <c r="EI263" s="1111">
        <f>SUMIFS(NewEmisData!M:M, NewEmisData!$A:$A, $G263, NewEmisData!$B:$B, $A263, NewEmisData!$C:$C, $H263, NewEmisData!$D:$D, EI$6)</f>
        <v>0.142008262982282</v>
      </c>
      <c r="EJ263" s="1111">
        <f t="shared" si="427"/>
        <v>0.142008262982282</v>
      </c>
      <c r="EK263" s="1111">
        <f t="shared" si="428"/>
        <v>1965.3480196129899</v>
      </c>
      <c r="EL263" s="1111">
        <f t="shared" si="343"/>
        <v>1965.3480196129899</v>
      </c>
      <c r="EM263" s="1111">
        <f t="shared" si="344"/>
        <v>2010.3216718511901</v>
      </c>
      <c r="EN263" s="1111">
        <f t="shared" si="345"/>
        <v>2090.4906656609201</v>
      </c>
      <c r="EO263" s="1111">
        <f t="shared" si="346"/>
        <v>2053.9539193064902</v>
      </c>
      <c r="EP263" s="1111">
        <f t="shared" si="347"/>
        <v>2027.8421991422999</v>
      </c>
      <c r="EQ263" s="1111">
        <f t="shared" si="348"/>
        <v>2019.45150345712</v>
      </c>
      <c r="ER263" s="1111">
        <f t="shared" si="349"/>
        <v>2016.54651893857</v>
      </c>
      <c r="ES263" s="1111">
        <f t="shared" si="350"/>
        <v>2015.2058723386001</v>
      </c>
      <c r="ET263" s="1111">
        <f t="shared" si="351"/>
        <v>2014.2294332377901</v>
      </c>
      <c r="EU263" s="1111">
        <f t="shared" si="352"/>
        <v>2014.2294332377901</v>
      </c>
      <c r="EV263" s="1111">
        <f t="shared" si="429"/>
        <v>16.5695691882601</v>
      </c>
      <c r="EW263" s="1111">
        <f t="shared" si="333"/>
        <v>16.5695691882601</v>
      </c>
      <c r="EX263" s="1111">
        <f t="shared" si="334"/>
        <v>10.1915554047669</v>
      </c>
      <c r="EY263" s="1111">
        <f t="shared" si="335"/>
        <v>4.7067883339263101</v>
      </c>
      <c r="EZ263" s="1111">
        <f t="shared" si="336"/>
        <v>2.74964441255411</v>
      </c>
      <c r="FA263" s="1111">
        <f t="shared" si="337"/>
        <v>2.1250543631144501</v>
      </c>
      <c r="FB263" s="1111">
        <f t="shared" si="338"/>
        <v>1.99369533696212</v>
      </c>
      <c r="FC263" s="1111">
        <f t="shared" si="339"/>
        <v>1.9596642716443899</v>
      </c>
      <c r="FD263" s="1111">
        <f t="shared" si="340"/>
        <v>1.95841045438728</v>
      </c>
      <c r="FE263" s="1111">
        <f t="shared" si="341"/>
        <v>1.95772834946656</v>
      </c>
      <c r="FF263" s="1111">
        <f t="shared" si="342"/>
        <v>1.95772834946656</v>
      </c>
      <c r="FG263" s="1111">
        <f t="shared" si="389"/>
        <v>4.8505368718434902E-2</v>
      </c>
      <c r="FH263" s="1111">
        <f t="shared" si="390"/>
        <v>4.8505368718434902E-2</v>
      </c>
      <c r="FI263" s="1111">
        <f t="shared" si="391"/>
        <v>4.8325981488473099E-2</v>
      </c>
      <c r="FJ263" s="1111">
        <f t="shared" si="392"/>
        <v>1.7576572280014201E-2</v>
      </c>
      <c r="FK263" s="1111">
        <f t="shared" si="393"/>
        <v>1.7166395112910501E-2</v>
      </c>
      <c r="FL263" s="1111">
        <f t="shared" si="394"/>
        <v>1.6914594935806299E-2</v>
      </c>
      <c r="FM263" s="1111">
        <f t="shared" si="395"/>
        <v>1.68383799937354E-2</v>
      </c>
      <c r="FN263" s="1111">
        <f t="shared" si="396"/>
        <v>1.6812194631633502E-2</v>
      </c>
      <c r="FO263" s="1111">
        <f t="shared" si="397"/>
        <v>1.6801008524208499E-2</v>
      </c>
      <c r="FP263" s="1111">
        <f t="shared" si="398"/>
        <v>1.6792875741706501E-2</v>
      </c>
      <c r="FQ263" s="1111">
        <f t="shared" si="399"/>
        <v>1.6792875741706501E-2</v>
      </c>
      <c r="FR263" s="1111">
        <f t="shared" si="322"/>
        <v>1.7897176326082</v>
      </c>
      <c r="FS263" s="1111">
        <f t="shared" si="323"/>
        <v>1.7897176326082</v>
      </c>
      <c r="FT263" s="1111">
        <f t="shared" si="324"/>
        <v>1.28184142907446</v>
      </c>
      <c r="FU263" s="1111">
        <f t="shared" si="325"/>
        <v>0.80585430140276804</v>
      </c>
      <c r="FV263" s="1111">
        <f t="shared" si="326"/>
        <v>0.69183592997618704</v>
      </c>
      <c r="FW263" s="1111">
        <f t="shared" si="327"/>
        <v>0.65551295326080194</v>
      </c>
      <c r="FX263" s="1111">
        <f t="shared" si="328"/>
        <v>0.64912663136166204</v>
      </c>
      <c r="FY263" s="1111">
        <f t="shared" si="329"/>
        <v>0.64721406840414997</v>
      </c>
      <c r="FZ263" s="1111">
        <f t="shared" si="330"/>
        <v>0.64706992112985595</v>
      </c>
      <c r="GA263" s="1111">
        <f t="shared" si="331"/>
        <v>0.64695129381422201</v>
      </c>
      <c r="GB263" s="1111">
        <f t="shared" si="332"/>
        <v>0.64695129381422201</v>
      </c>
      <c r="GC263" s="1111">
        <f t="shared" si="353"/>
        <v>1.18048167941492</v>
      </c>
      <c r="GD263" s="1111">
        <f t="shared" si="354"/>
        <v>1.18048167941492</v>
      </c>
      <c r="GE263" s="1111">
        <f t="shared" si="355"/>
        <v>0.70883111477306904</v>
      </c>
      <c r="GF263" s="1111">
        <f t="shared" si="356"/>
        <v>0.25820081252871602</v>
      </c>
      <c r="GG263" s="1111">
        <f t="shared" si="357"/>
        <v>0.154936314509238</v>
      </c>
      <c r="GH263" s="1111">
        <f t="shared" si="358"/>
        <v>0.12145150227391199</v>
      </c>
      <c r="GI263" s="1111">
        <f t="shared" si="359"/>
        <v>0.11561207466260399</v>
      </c>
      <c r="GJ263" s="1111">
        <f t="shared" si="360"/>
        <v>0.113890264164102</v>
      </c>
      <c r="GK263" s="1111">
        <f t="shared" si="361"/>
        <v>0.11384461486997199</v>
      </c>
      <c r="GL263" s="1111">
        <f t="shared" si="362"/>
        <v>0.11381252319809999</v>
      </c>
      <c r="GM263" s="1111">
        <f t="shared" si="363"/>
        <v>0.11381252319809999</v>
      </c>
    </row>
    <row r="264" spans="1:195" x14ac:dyDescent="0.2">
      <c r="A264" s="1071" t="s">
        <v>188</v>
      </c>
      <c r="B264" s="1071" t="str">
        <f>Technologies!C149</f>
        <v>THSDSLAH</v>
      </c>
      <c r="C264" s="1071" t="str">
        <f>Technologies!D149</f>
        <v>Heavy Truck, Short Haul, Hybrid Diesel</v>
      </c>
      <c r="D264" s="1071" t="str">
        <f>NewTech!D102</f>
        <v>bn-vmt, bn-vmt/a</v>
      </c>
      <c r="E264" s="1071" t="str">
        <f>Commodities!C$44</f>
        <v>THDSL</v>
      </c>
      <c r="F264" s="1071" t="s">
        <v>98</v>
      </c>
      <c r="G264" s="1110" t="s">
        <v>505</v>
      </c>
      <c r="H264" s="1110" t="s">
        <v>499</v>
      </c>
      <c r="I264" s="1112">
        <v>1</v>
      </c>
      <c r="J264" s="1111" t="str">
        <f t="shared" si="302"/>
        <v>Heavy duty short haul truck-DSL</v>
      </c>
      <c r="K264" s="1111">
        <f>SUMIFS(NewEmisData!E:E, NewEmisData!$A:$A, $G264, NewEmisData!$B:$B, $A264, NewEmisData!$C:$C, $H264, NewEmisData!$D:$D, K$6)</f>
        <v>1669.0822501080099</v>
      </c>
      <c r="L264" s="1111">
        <f>SUMIFS(NewEmisData!F:F, NewEmisData!$A:$A, $G264, NewEmisData!$B:$B, $A264, NewEmisData!$C:$C, $H264, NewEmisData!$D:$D, L$6)</f>
        <v>1673.1688001129</v>
      </c>
      <c r="M264" s="1111">
        <f>SUMIFS(NewEmisData!G:G, NewEmisData!$A:$A, $G264, NewEmisData!$B:$B, $A264, NewEmisData!$C:$C, $H264, NewEmisData!$D:$D, M$6)</f>
        <v>1365.67564571155</v>
      </c>
      <c r="N264" s="1111">
        <f>SUMIFS(NewEmisData!H:H, NewEmisData!$A:$A, $G264, NewEmisData!$B:$B, $A264, NewEmisData!$C:$C, $H264, NewEmisData!$D:$D, N$6)</f>
        <v>1340.2430368273101</v>
      </c>
      <c r="O264" s="1111">
        <f>SUMIFS(NewEmisData!I:I, NewEmisData!$A:$A, $G264, NewEmisData!$B:$B, $A264, NewEmisData!$C:$C, $H264, NewEmisData!$D:$D, O$6)</f>
        <v>1322.8450856147599</v>
      </c>
      <c r="P264" s="1111">
        <f>SUMIFS(NewEmisData!J:J, NewEmisData!$A:$A, $G264, NewEmisData!$B:$B, $A264, NewEmisData!$C:$C, $H264, NewEmisData!$D:$D, P$6)</f>
        <v>1317.23072914767</v>
      </c>
      <c r="Q264" s="1111">
        <f>SUMIFS(NewEmisData!K:K, NewEmisData!$A:$A, $G264, NewEmisData!$B:$B, $A264, NewEmisData!$C:$C, $H264, NewEmisData!$D:$D, Q$6)</f>
        <v>1315.3450285164099</v>
      </c>
      <c r="R264" s="1111">
        <f>SUMIFS(NewEmisData!L:L, NewEmisData!$A:$A, $G264, NewEmisData!$B:$B, $A264, NewEmisData!$C:$C, $H264, NewEmisData!$D:$D, R$6)</f>
        <v>1314.50089135955</v>
      </c>
      <c r="S264" s="1111">
        <f>SUMIFS(NewEmisData!M:M, NewEmisData!$A:$A, $G264, NewEmisData!$B:$B, $A264, NewEmisData!$C:$C, $H264, NewEmisData!$D:$D, S$6)</f>
        <v>1313.88241213587</v>
      </c>
      <c r="T264" s="1111">
        <f t="shared" si="364"/>
        <v>1313.88241213587</v>
      </c>
      <c r="U264" s="1111">
        <f>SUMIFS(NewEmisData!E:E, NewEmisData!$A:$A, $G264, NewEmisData!$B:$B, $A264, NewEmisData!$C:$C, $H264, NewEmisData!$D:$D, U$6)</f>
        <v>13.492775574024799</v>
      </c>
      <c r="V264" s="1111">
        <f>SUMIFS(NewEmisData!F:F, NewEmisData!$A:$A, $G264, NewEmisData!$B:$B, $A264, NewEmisData!$C:$C, $H264, NewEmisData!$D:$D, V$6)</f>
        <v>7.5468458416536803</v>
      </c>
      <c r="W264" s="1111">
        <f>SUMIFS(NewEmisData!G:G, NewEmisData!$A:$A, $G264, NewEmisData!$B:$B, $A264, NewEmisData!$C:$C, $H264, NewEmisData!$D:$D, W$6)</f>
        <v>2.86440753900408</v>
      </c>
      <c r="X264" s="1111">
        <f>SUMIFS(NewEmisData!H:H, NewEmisData!$A:$A, $G264, NewEmisData!$B:$B, $A264, NewEmisData!$C:$C, $H264, NewEmisData!$D:$D, X$6)</f>
        <v>1.66545036782072</v>
      </c>
      <c r="Y264" s="1111">
        <f>SUMIFS(NewEmisData!I:I, NewEmisData!$A:$A, $G264, NewEmisData!$B:$B, $A264, NewEmisData!$C:$C, $H264, NewEmisData!$D:$D, Y$6)</f>
        <v>1.2872223005865</v>
      </c>
      <c r="Z264" s="1111">
        <f>SUMIFS(NewEmisData!J:J, NewEmisData!$A:$A, $G264, NewEmisData!$B:$B, $A264, NewEmisData!$C:$C, $H264, NewEmisData!$D:$D, Z$6)</f>
        <v>1.20818388349511</v>
      </c>
      <c r="AA264" s="1111">
        <f>SUMIFS(NewEmisData!K:K, NewEmisData!$A:$A, $G264, NewEmisData!$B:$B, $A264, NewEmisData!$C:$C, $H264, NewEmisData!$D:$D, AA$6)</f>
        <v>1.1882189073440399</v>
      </c>
      <c r="AB264" s="1111">
        <f>SUMIFS(NewEmisData!L:L, NewEmisData!$A:$A, $G264, NewEmisData!$B:$B, $A264, NewEmisData!$C:$C, $H264, NewEmisData!$D:$D, AB$6)</f>
        <v>1.18759279747034</v>
      </c>
      <c r="AC264" s="1111">
        <f>SUMIFS(NewEmisData!M:M, NewEmisData!$A:$A, $G264, NewEmisData!$B:$B, $A264, NewEmisData!$C:$C, $H264, NewEmisData!$D:$D, AC$6)</f>
        <v>1.1873143220192299</v>
      </c>
      <c r="AD264" s="1111">
        <f t="shared" si="321"/>
        <v>1.1873143220192299</v>
      </c>
      <c r="AE264" s="1111">
        <f t="shared" si="412"/>
        <v>1.9219515132106998E-2</v>
      </c>
      <c r="AF264" s="1111">
        <f>SUMIFS(NewEmisData!E:E, NewEmisData!$A:$A, $G264, NewEmisData!$B:$B, $A264, NewEmisData!$C:$C, $H264, NewEmisData!$D:$D, AF$6)</f>
        <v>1.9219515132106998E-2</v>
      </c>
      <c r="AG264" s="1111">
        <f>SUMIFS(NewEmisData!F:F, NewEmisData!$A:$A, $G264, NewEmisData!$B:$B, $A264, NewEmisData!$C:$C, $H264, NewEmisData!$D:$D, AG$6)</f>
        <v>1.8381789821165999E-2</v>
      </c>
      <c r="AH264" s="1111">
        <f>SUMIFS(NewEmisData!G:G, NewEmisData!$A:$A, $G264, NewEmisData!$B:$B, $A264, NewEmisData!$C:$C, $H264, NewEmisData!$D:$D, AH$6)</f>
        <v>1.1480506512681401E-2</v>
      </c>
      <c r="AI264" s="1111">
        <f>SUMIFS(NewEmisData!H:H, NewEmisData!$A:$A, $G264, NewEmisData!$B:$B, $A264, NewEmisData!$C:$C, $H264, NewEmisData!$D:$D, AI$6)</f>
        <v>1.1200613613581E-2</v>
      </c>
      <c r="AJ264" s="1111">
        <f>SUMIFS(NewEmisData!I:I, NewEmisData!$A:$A, $G264, NewEmisData!$B:$B, $A264, NewEmisData!$C:$C, $H264, NewEmisData!$D:$D, AJ$6)</f>
        <v>1.1033835716401499E-2</v>
      </c>
      <c r="AK264" s="1111">
        <f>SUMIFS(NewEmisData!J:J, NewEmisData!$A:$A, $G264, NewEmisData!$B:$B, $A264, NewEmisData!$C:$C, $H264, NewEmisData!$D:$D, AK$6)</f>
        <v>1.0983128564943399E-2</v>
      </c>
      <c r="AL264" s="1111">
        <f>SUMIFS(NewEmisData!K:K, NewEmisData!$A:$A, $G264, NewEmisData!$B:$B, $A264, NewEmisData!$C:$C, $H264, NewEmisData!$D:$D, AL$6)</f>
        <v>1.09661929621608E-2</v>
      </c>
      <c r="AM264" s="1111">
        <f>SUMIFS(NewEmisData!L:L, NewEmisData!$A:$A, $G264, NewEmisData!$B:$B, $A264, NewEmisData!$C:$C, $H264, NewEmisData!$D:$D, AM$6)</f>
        <v>1.09591556908048E-2</v>
      </c>
      <c r="AN264" s="1111">
        <f>SUMIFS(NewEmisData!M:M, NewEmisData!$A:$A, $G264, NewEmisData!$B:$B, $A264, NewEmisData!$C:$C, $H264, NewEmisData!$D:$D, AN$6)</f>
        <v>1.09539961645838E-2</v>
      </c>
      <c r="AO264" s="1111">
        <f t="shared" si="413"/>
        <v>1.09539961645838E-2</v>
      </c>
      <c r="AP264" s="1111">
        <f t="shared" si="414"/>
        <v>0.858529279217077</v>
      </c>
      <c r="AQ264" s="1111">
        <f>SUMIFS(NewEmisData!E:E, NewEmisData!$A:$A, $G264, NewEmisData!$B:$B, $A264, NewEmisData!$C:$C, $H264, NewEmisData!$D:$D, AQ$6)</f>
        <v>0.858529279217077</v>
      </c>
      <c r="AR264" s="1111">
        <f>SUMIFS(NewEmisData!F:F, NewEmisData!$A:$A, $G264, NewEmisData!$B:$B, $A264, NewEmisData!$C:$C, $H264, NewEmisData!$D:$D, AR$6)</f>
        <v>0.503731417508816</v>
      </c>
      <c r="AS264" s="1111">
        <f>SUMIFS(NewEmisData!G:G, NewEmisData!$A:$A, $G264, NewEmisData!$B:$B, $A264, NewEmisData!$C:$C, $H264, NewEmisData!$D:$D, AS$6)</f>
        <v>0.37512816215378397</v>
      </c>
      <c r="AT264" s="1111">
        <f>SUMIFS(NewEmisData!H:H, NewEmisData!$A:$A, $G264, NewEmisData!$B:$B, $A264, NewEmisData!$C:$C, $H264, NewEmisData!$D:$D, AT$6)</f>
        <v>0.30828199926496602</v>
      </c>
      <c r="AU264" s="1111">
        <f>SUMIFS(NewEmisData!I:I, NewEmisData!$A:$A, $G264, NewEmisData!$B:$B, $A264, NewEmisData!$C:$C, $H264, NewEmisData!$D:$D, AU$6)</f>
        <v>0.28661953326038297</v>
      </c>
      <c r="AV264" s="1111">
        <f>SUMIFS(NewEmisData!J:J, NewEmisData!$A:$A, $G264, NewEmisData!$B:$B, $A264, NewEmisData!$C:$C, $H264, NewEmisData!$D:$D, AV$6)</f>
        <v>0.28264038179328499</v>
      </c>
      <c r="AW264" s="1111">
        <f>SUMIFS(NewEmisData!K:K, NewEmisData!$A:$A, $G264, NewEmisData!$B:$B, $A264, NewEmisData!$C:$C, $H264, NewEmisData!$D:$D, AW$6)</f>
        <v>0.28162692153878699</v>
      </c>
      <c r="AX264" s="1111">
        <f>SUMIFS(NewEmisData!L:L, NewEmisData!$A:$A, $G264, NewEmisData!$B:$B, $A264, NewEmisData!$C:$C, $H264, NewEmisData!$D:$D, AX$6)</f>
        <v>0.281751869278763</v>
      </c>
      <c r="AY264" s="1111">
        <f>SUMIFS(NewEmisData!M:M, NewEmisData!$A:$A, $G264, NewEmisData!$B:$B, $A264, NewEmisData!$C:$C, $H264, NewEmisData!$D:$D, AY$6)</f>
        <v>0.28192306485273899</v>
      </c>
      <c r="AZ264" s="1111">
        <f t="shared" si="415"/>
        <v>0.28192306485273899</v>
      </c>
      <c r="BA264" s="1111">
        <f t="shared" si="416"/>
        <v>0.65283874806811604</v>
      </c>
      <c r="BB264" s="1111">
        <f>SUMIFS(NewEmisData!E:E, NewEmisData!$A:$A, $G264, NewEmisData!$B:$B, $A264, NewEmisData!$C:$C, $H264, NewEmisData!$D:$D, BB$6)</f>
        <v>0.65283874806811604</v>
      </c>
      <c r="BC264" s="1111">
        <f>SUMIFS(NewEmisData!F:F, NewEmisData!$A:$A, $G264, NewEmisData!$B:$B, $A264, NewEmisData!$C:$C, $H264, NewEmisData!$D:$D, BC$6)</f>
        <v>0.33224436660041701</v>
      </c>
      <c r="BD264" s="1111">
        <f>SUMIFS(NewEmisData!G:G, NewEmisData!$A:$A, $G264, NewEmisData!$B:$B, $A264, NewEmisData!$C:$C, $H264, NewEmisData!$D:$D, BD$6)</f>
        <v>0.13652581905042699</v>
      </c>
      <c r="BE264" s="1111">
        <f>SUMIFS(NewEmisData!H:H, NewEmisData!$A:$A, $G264, NewEmisData!$B:$B, $A264, NewEmisData!$C:$C, $H264, NewEmisData!$D:$D, BE$6)</f>
        <v>7.8025503719108297E-2</v>
      </c>
      <c r="BF264" s="1111">
        <f>SUMIFS(NewEmisData!I:I, NewEmisData!$A:$A, $G264, NewEmisData!$B:$B, $A264, NewEmisData!$C:$C, $H264, NewEmisData!$D:$D, BF$6)</f>
        <v>5.9231027771519597E-2</v>
      </c>
      <c r="BG264" s="1111">
        <f>SUMIFS(NewEmisData!J:J, NewEmisData!$A:$A, $G264, NewEmisData!$B:$B, $A264, NewEmisData!$C:$C, $H264, NewEmisData!$D:$D, BG$6)</f>
        <v>5.5901975487255798E-2</v>
      </c>
      <c r="BH264" s="1111">
        <f>SUMIFS(NewEmisData!K:K, NewEmisData!$A:$A, $G264, NewEmisData!$B:$B, $A264, NewEmisData!$C:$C, $H264, NewEmisData!$D:$D, BH$6)</f>
        <v>5.4946823671966197E-2</v>
      </c>
      <c r="BI264" s="1111">
        <f>SUMIFS(NewEmisData!L:L, NewEmisData!$A:$A, $G264, NewEmisData!$B:$B, $A264, NewEmisData!$C:$C, $H264, NewEmisData!$D:$D, BI$6)</f>
        <v>5.4950705011026502E-2</v>
      </c>
      <c r="BJ264" s="1111">
        <f>SUMIFS(NewEmisData!M:M, NewEmisData!$A:$A, $G264, NewEmisData!$B:$B, $A264, NewEmisData!$C:$C, $H264, NewEmisData!$D:$D, BJ$6)</f>
        <v>5.4967058193246002E-2</v>
      </c>
      <c r="BK264" s="1111">
        <f t="shared" si="417"/>
        <v>5.4967058193246002E-2</v>
      </c>
      <c r="BL264" s="1111">
        <f t="shared" si="418"/>
        <v>3.7476931274223899</v>
      </c>
      <c r="BM264" s="1111">
        <f>SUMIFS(NewEmisData!E:E, NewEmisData!$A:$A, $G264, NewEmisData!$B:$B, $A264, NewEmisData!$C:$C, $H264, NewEmisData!$D:$D, BM$6)</f>
        <v>3.7476931274223899</v>
      </c>
      <c r="BN264" s="1111">
        <f>SUMIFS(NewEmisData!F:F, NewEmisData!$A:$A, $G264, NewEmisData!$B:$B, $A264, NewEmisData!$C:$C, $H264, NewEmisData!$D:$D, BN$6)</f>
        <v>2.1224340778786099</v>
      </c>
      <c r="BO264" s="1111">
        <f>SUMIFS(NewEmisData!G:G, NewEmisData!$A:$A, $G264, NewEmisData!$B:$B, $A264, NewEmisData!$C:$C, $H264, NewEmisData!$D:$D, BO$6)</f>
        <v>1.1522241511654601</v>
      </c>
      <c r="BP264" s="1111">
        <f>SUMIFS(NewEmisData!H:H, NewEmisData!$A:$A, $G264, NewEmisData!$B:$B, $A264, NewEmisData!$C:$C, $H264, NewEmisData!$D:$D, BP$6)</f>
        <v>0.78635690911299205</v>
      </c>
      <c r="BQ264" s="1111">
        <f>SUMIFS(NewEmisData!I:I, NewEmisData!$A:$A, $G264, NewEmisData!$B:$B, $A264, NewEmisData!$C:$C, $H264, NewEmisData!$D:$D, BQ$6)</f>
        <v>0.67130079903850703</v>
      </c>
      <c r="BR264" s="1111">
        <f>SUMIFS(NewEmisData!J:J, NewEmisData!$A:$A, $G264, NewEmisData!$B:$B, $A264, NewEmisData!$C:$C, $H264, NewEmisData!$D:$D, BR$6)</f>
        <v>0.644768230895015</v>
      </c>
      <c r="BS264" s="1111">
        <f>SUMIFS(NewEmisData!K:K, NewEmisData!$A:$A, $G264, NewEmisData!$B:$B, $A264, NewEmisData!$C:$C, $H264, NewEmisData!$D:$D, BS$6)</f>
        <v>0.63723563956321205</v>
      </c>
      <c r="BT264" s="1111">
        <f>SUMIFS(NewEmisData!L:L, NewEmisData!$A:$A, $G264, NewEmisData!$B:$B, $A264, NewEmisData!$C:$C, $H264, NewEmisData!$D:$D, BT$6)</f>
        <v>0.63622564348836397</v>
      </c>
      <c r="BU264" s="1111">
        <f>SUMIFS(NewEmisData!M:M, NewEmisData!$A:$A, $G264, NewEmisData!$B:$B, $A264, NewEmisData!$C:$C, $H264, NewEmisData!$D:$D, BU$6)</f>
        <v>0.63613086524108198</v>
      </c>
      <c r="BV264" s="1111">
        <f t="shared" si="419"/>
        <v>0.63613086524108198</v>
      </c>
      <c r="BW264" s="1111">
        <f t="shared" si="420"/>
        <v>0.86967821617844199</v>
      </c>
      <c r="BX264" s="1111">
        <f>SUMIFS(NewEmisData!E:E, NewEmisData!$A:$A, $G264, NewEmisData!$B:$B, $A264, NewEmisData!$C:$C, $H264, NewEmisData!$D:$D, BX$6)</f>
        <v>0.86967821617844199</v>
      </c>
      <c r="BY264" s="1111">
        <f>SUMIFS(NewEmisData!F:F, NewEmisData!$A:$A, $G264, NewEmisData!$B:$B, $A264, NewEmisData!$C:$C, $H264, NewEmisData!$D:$D, BY$6)</f>
        <v>0.46203277812819299</v>
      </c>
      <c r="BZ264" s="1111">
        <f>SUMIFS(NewEmisData!G:G, NewEmisData!$A:$A, $G264, NewEmisData!$B:$B, $A264, NewEmisData!$C:$C, $H264, NewEmisData!$D:$D, BZ$6)</f>
        <v>0.24488064381328301</v>
      </c>
      <c r="CA264" s="1111">
        <f>SUMIFS(NewEmisData!H:H, NewEmisData!$A:$A, $G264, NewEmisData!$B:$B, $A264, NewEmisData!$C:$C, $H264, NewEmisData!$D:$D, CA$6)</f>
        <v>0.13082474453131801</v>
      </c>
      <c r="CB264" s="1111">
        <f>SUMIFS(NewEmisData!I:I, NewEmisData!$A:$A, $G264, NewEmisData!$B:$B, $A264, NewEmisData!$C:$C, $H264, NewEmisData!$D:$D, CB$6)</f>
        <v>9.5337955687742296E-2</v>
      </c>
      <c r="CC264" s="1111">
        <f>SUMIFS(NewEmisData!J:J, NewEmisData!$A:$A, $G264, NewEmisData!$B:$B, $A264, NewEmisData!$C:$C, $H264, NewEmisData!$D:$D, CC$6)</f>
        <v>8.7877867224047099E-2</v>
      </c>
      <c r="CD264" s="1111">
        <f>SUMIFS(NewEmisData!K:K, NewEmisData!$A:$A, $G264, NewEmisData!$B:$B, $A264, NewEmisData!$C:$C, $H264, NewEmisData!$D:$D, CD$6)</f>
        <v>8.5843418185397202E-2</v>
      </c>
      <c r="CE264" s="1111">
        <f>SUMIFS(NewEmisData!L:L, NewEmisData!$A:$A, $G264, NewEmisData!$B:$B, $A264, NewEmisData!$C:$C, $H264, NewEmisData!$D:$D, CE$6)</f>
        <v>8.5804625089355602E-2</v>
      </c>
      <c r="CF264" s="1111">
        <f>SUMIFS(NewEmisData!M:M, NewEmisData!$A:$A, $G264, NewEmisData!$B:$B, $A264, NewEmisData!$C:$C, $H264, NewEmisData!$D:$D, CF$6)</f>
        <v>8.5808752891254905E-2</v>
      </c>
      <c r="CG264" s="1111">
        <f t="shared" si="421"/>
        <v>8.5808752891254905E-2</v>
      </c>
      <c r="CH264" s="1111">
        <f t="shared" si="422"/>
        <v>2.53655238629573E-2</v>
      </c>
      <c r="CI264" s="1111">
        <f>SUMIFS(NewEmisData!E:E, NewEmisData!$A:$A, $G264, NewEmisData!$B:$B, $A264, NewEmisData!$C:$C, $H264, NewEmisData!$D:$D, CI$6)</f>
        <v>2.53655238629573E-2</v>
      </c>
      <c r="CJ264" s="1111">
        <f>SUMIFS(NewEmisData!F:F, NewEmisData!$A:$A, $G264, NewEmisData!$B:$B, $A264, NewEmisData!$C:$C, $H264, NewEmisData!$D:$D, CJ$6)</f>
        <v>2.52867699578843E-2</v>
      </c>
      <c r="CK264" s="1111">
        <f>SUMIFS(NewEmisData!G:G, NewEmisData!$A:$A, $G264, NewEmisData!$B:$B, $A264, NewEmisData!$C:$C, $H264, NewEmisData!$D:$D, CK$6)</f>
        <v>2.71717802821827E-2</v>
      </c>
      <c r="CL264" s="1111">
        <f>SUMIFS(NewEmisData!H:H, NewEmisData!$A:$A, $G264, NewEmisData!$B:$B, $A264, NewEmisData!$C:$C, $H264, NewEmisData!$D:$D, CL$6)</f>
        <v>2.71425219079954E-2</v>
      </c>
      <c r="CM264" s="1111">
        <f>SUMIFS(NewEmisData!I:I, NewEmisData!$A:$A, $G264, NewEmisData!$B:$B, $A264, NewEmisData!$C:$C, $H264, NewEmisData!$D:$D, CM$6)</f>
        <v>2.7128484897609599E-2</v>
      </c>
      <c r="CN264" s="1111">
        <f>SUMIFS(NewEmisData!J:J, NewEmisData!$A:$A, $G264, NewEmisData!$B:$B, $A264, NewEmisData!$C:$C, $H264, NewEmisData!$D:$D, CN$6)</f>
        <v>2.71242955243867E-2</v>
      </c>
      <c r="CO264" s="1111">
        <f>SUMIFS(NewEmisData!K:K, NewEmisData!$A:$A, $G264, NewEmisData!$B:$B, $A264, NewEmisData!$C:$C, $H264, NewEmisData!$D:$D, CO$6)</f>
        <v>2.71243976689509E-2</v>
      </c>
      <c r="CP264" s="1111">
        <f>SUMIFS(NewEmisData!L:L, NewEmisData!$A:$A, $G264, NewEmisData!$B:$B, $A264, NewEmisData!$C:$C, $H264, NewEmisData!$D:$D, CP$6)</f>
        <v>2.7125748973111801E-2</v>
      </c>
      <c r="CQ264" s="1111">
        <f>SUMIFS(NewEmisData!M:M, NewEmisData!$A:$A, $G264, NewEmisData!$B:$B, $A264, NewEmisData!$C:$C, $H264, NewEmisData!$D:$D, CQ$6)</f>
        <v>2.71273712236671E-2</v>
      </c>
      <c r="CR264" s="1111">
        <f t="shared" si="423"/>
        <v>2.71273712236671E-2</v>
      </c>
      <c r="CS264" s="1111">
        <f t="shared" si="424"/>
        <v>2.4958751743538398E-3</v>
      </c>
      <c r="CT264" s="1111">
        <f>SUMIFS(NewEmisData!E:E, NewEmisData!$A:$A, $G264, NewEmisData!$B:$B, $A264, NewEmisData!$C:$C, $H264, NewEmisData!$D:$D, CT$6)</f>
        <v>2.4958751743538398E-3</v>
      </c>
      <c r="CU264" s="1111">
        <f>SUMIFS(NewEmisData!F:F, NewEmisData!$A:$A, $G264, NewEmisData!$B:$B, $A264, NewEmisData!$C:$C, $H264, NewEmisData!$D:$D, CU$6)</f>
        <v>2.4447713868806899E-3</v>
      </c>
      <c r="CV264" s="1111">
        <f>SUMIFS(NewEmisData!G:G, NewEmisData!$A:$A, $G264, NewEmisData!$B:$B, $A264, NewEmisData!$C:$C, $H264, NewEmisData!$D:$D, CV$6)</f>
        <v>3.4529570026890898E-3</v>
      </c>
      <c r="CW264" s="1111">
        <f>SUMIFS(NewEmisData!H:H, NewEmisData!$A:$A, $G264, NewEmisData!$B:$B, $A264, NewEmisData!$C:$C, $H264, NewEmisData!$D:$D, CW$6)</f>
        <v>3.4238629713190701E-3</v>
      </c>
      <c r="CX264" s="1111">
        <f>SUMIFS(NewEmisData!I:I, NewEmisData!$A:$A, $G264, NewEmisData!$B:$B, $A264, NewEmisData!$C:$C, $H264, NewEmisData!$D:$D, CX$6)</f>
        <v>3.4056857972038501E-3</v>
      </c>
      <c r="CY264" s="1111">
        <f>SUMIFS(NewEmisData!J:J, NewEmisData!$A:$A, $G264, NewEmisData!$B:$B, $A264, NewEmisData!$C:$C, $H264, NewEmisData!$D:$D, CY$6)</f>
        <v>3.39842942017498E-3</v>
      </c>
      <c r="CZ264" s="1111">
        <f>SUMIFS(NewEmisData!K:K, NewEmisData!$A:$A, $G264, NewEmisData!$B:$B, $A264, NewEmisData!$C:$C, $H264, NewEmisData!$D:$D, CZ$6)</f>
        <v>3.3964615682354799E-3</v>
      </c>
      <c r="DA264" s="1111">
        <f>SUMIFS(NewEmisData!L:L, NewEmisData!$A:$A, $G264, NewEmisData!$B:$B, $A264, NewEmisData!$C:$C, $H264, NewEmisData!$D:$D, DA$6)</f>
        <v>3.3967409048497499E-3</v>
      </c>
      <c r="DB264" s="1111">
        <f>SUMIFS(NewEmisData!M:M, NewEmisData!$A:$A, $G264, NewEmisData!$B:$B, $A264, NewEmisData!$C:$C, $H264, NewEmisData!$D:$D, DB$6)</f>
        <v>3.3981280596405302E-3</v>
      </c>
      <c r="DC264" s="1111">
        <f t="shared" si="425"/>
        <v>3.3981280596405302E-3</v>
      </c>
      <c r="DD264" s="1111"/>
      <c r="DE264" s="1111"/>
      <c r="DF264" s="1111"/>
      <c r="DG264" s="1111"/>
      <c r="DH264" s="1111"/>
      <c r="DI264" s="1111"/>
      <c r="DJ264" s="1111"/>
      <c r="DK264" s="1111"/>
      <c r="DL264" s="1111"/>
      <c r="DM264" s="1111"/>
      <c r="DN264" s="1111"/>
      <c r="DO264" s="1111"/>
      <c r="DP264" s="1111"/>
      <c r="DQ264" s="1111"/>
      <c r="DR264" s="1111"/>
      <c r="DS264" s="1111"/>
      <c r="DT264" s="1111"/>
      <c r="DU264" s="1111"/>
      <c r="DV264" s="1111"/>
      <c r="DW264" s="1111"/>
      <c r="DX264" s="1111"/>
      <c r="DY264" s="1111"/>
      <c r="DZ264" s="1111">
        <f t="shared" si="426"/>
        <v>1.50837600567011E-2</v>
      </c>
      <c r="EA264" s="1111">
        <f>SUMIFS(NewEmisData!E:E, NewEmisData!$A:$A, $G264, NewEmisData!$B:$B, $A264, NewEmisData!$C:$C, $H264, NewEmisData!$D:$D, EA$6)</f>
        <v>1.50837600567011E-2</v>
      </c>
      <c r="EB264" s="1111">
        <f>SUMIFS(NewEmisData!F:F, NewEmisData!$A:$A, $G264, NewEmisData!$B:$B, $A264, NewEmisData!$C:$C, $H264, NewEmisData!$D:$D, EB$6)</f>
        <v>4.1820056790997803E-2</v>
      </c>
      <c r="EC264" s="1111">
        <f>SUMIFS(NewEmisData!G:G, NewEmisData!$A:$A, $G264, NewEmisData!$B:$B, $A264, NewEmisData!$C:$C, $H264, NewEmisData!$D:$D, EC$6)</f>
        <v>7.3126252157420996E-2</v>
      </c>
      <c r="ED264" s="1111">
        <f>SUMIFS(NewEmisData!H:H, NewEmisData!$A:$A, $G264, NewEmisData!$B:$B, $A264, NewEmisData!$C:$C, $H264, NewEmisData!$D:$D, ED$6)</f>
        <v>7.3867270375654201E-2</v>
      </c>
      <c r="EE264" s="1111">
        <f>SUMIFS(NewEmisData!I:I, NewEmisData!$A:$A, $G264, NewEmisData!$B:$B, $A264, NewEmisData!$C:$C, $H264, NewEmisData!$D:$D, EE$6)</f>
        <v>7.3939295087643395E-2</v>
      </c>
      <c r="EF264" s="1111">
        <f>SUMIFS(NewEmisData!J:J, NewEmisData!$A:$A, $G264, NewEmisData!$B:$B, $A264, NewEmisData!$C:$C, $H264, NewEmisData!$D:$D, EF$6)</f>
        <v>7.3756036716317294E-2</v>
      </c>
      <c r="EG264" s="1111">
        <f>SUMIFS(NewEmisData!K:K, NewEmisData!$A:$A, $G264, NewEmisData!$B:$B, $A264, NewEmisData!$C:$C, $H264, NewEmisData!$D:$D, EG$6)</f>
        <v>7.3800142314626199E-2</v>
      </c>
      <c r="EH264" s="1111">
        <f>SUMIFS(NewEmisData!L:L, NewEmisData!$A:$A, $G264, NewEmisData!$B:$B, $A264, NewEmisData!$C:$C, $H264, NewEmisData!$D:$D, EH$6)</f>
        <v>7.3776798768142804E-2</v>
      </c>
      <c r="EI264" s="1111">
        <f>SUMIFS(NewEmisData!M:M, NewEmisData!$A:$A, $G264, NewEmisData!$B:$B, $A264, NewEmisData!$C:$C, $H264, NewEmisData!$D:$D, EI$6)</f>
        <v>7.3798077513590202E-2</v>
      </c>
      <c r="EJ264" s="1111">
        <f t="shared" si="427"/>
        <v>7.3798077513590202E-2</v>
      </c>
      <c r="EK264" s="1111">
        <f t="shared" si="428"/>
        <v>1669.0822501080099</v>
      </c>
      <c r="EL264" s="1111">
        <f t="shared" si="343"/>
        <v>1669.0822501080099</v>
      </c>
      <c r="EM264" s="1111">
        <f t="shared" si="344"/>
        <v>1673.1688001129</v>
      </c>
      <c r="EN264" s="1111">
        <f t="shared" si="345"/>
        <v>1365.67564571155</v>
      </c>
      <c r="EO264" s="1111">
        <f t="shared" si="346"/>
        <v>1340.2430368273101</v>
      </c>
      <c r="EP264" s="1111">
        <f t="shared" si="347"/>
        <v>1322.8450856147599</v>
      </c>
      <c r="EQ264" s="1111">
        <f t="shared" si="348"/>
        <v>1317.23072914767</v>
      </c>
      <c r="ER264" s="1111">
        <f t="shared" si="349"/>
        <v>1315.3450285164099</v>
      </c>
      <c r="ES264" s="1111">
        <f t="shared" si="350"/>
        <v>1314.50089135955</v>
      </c>
      <c r="ET264" s="1111">
        <f t="shared" si="351"/>
        <v>1313.88241213587</v>
      </c>
      <c r="EU264" s="1111">
        <f t="shared" si="352"/>
        <v>1313.88241213587</v>
      </c>
      <c r="EV264" s="1111">
        <f t="shared" si="429"/>
        <v>13.492775574024799</v>
      </c>
      <c r="EW264" s="1111">
        <f t="shared" si="333"/>
        <v>13.492775574024799</v>
      </c>
      <c r="EX264" s="1111">
        <f t="shared" si="334"/>
        <v>7.5468458416536803</v>
      </c>
      <c r="EY264" s="1111">
        <f t="shared" si="335"/>
        <v>2.86440753900408</v>
      </c>
      <c r="EZ264" s="1111">
        <f t="shared" si="336"/>
        <v>1.66545036782072</v>
      </c>
      <c r="FA264" s="1111">
        <f t="shared" si="337"/>
        <v>1.2872223005865</v>
      </c>
      <c r="FB264" s="1111">
        <f t="shared" si="338"/>
        <v>1.20818388349511</v>
      </c>
      <c r="FC264" s="1111">
        <f t="shared" si="339"/>
        <v>1.1882189073440399</v>
      </c>
      <c r="FD264" s="1111">
        <f t="shared" si="340"/>
        <v>1.18759279747034</v>
      </c>
      <c r="FE264" s="1111">
        <f t="shared" si="341"/>
        <v>1.1873143220192299</v>
      </c>
      <c r="FF264" s="1111">
        <f t="shared" si="342"/>
        <v>1.1873143220192299</v>
      </c>
      <c r="FG264" s="1111">
        <f t="shared" si="389"/>
        <v>1.9219515132106998E-2</v>
      </c>
      <c r="FH264" s="1111">
        <f t="shared" si="390"/>
        <v>1.9219515132106998E-2</v>
      </c>
      <c r="FI264" s="1111">
        <f t="shared" si="391"/>
        <v>1.8381789821165999E-2</v>
      </c>
      <c r="FJ264" s="1111">
        <f t="shared" si="392"/>
        <v>1.1480506512681401E-2</v>
      </c>
      <c r="FK264" s="1111">
        <f t="shared" si="393"/>
        <v>1.1200613613581E-2</v>
      </c>
      <c r="FL264" s="1111">
        <f t="shared" si="394"/>
        <v>1.1033835716401499E-2</v>
      </c>
      <c r="FM264" s="1111">
        <f t="shared" si="395"/>
        <v>1.0983128564943399E-2</v>
      </c>
      <c r="FN264" s="1111">
        <f t="shared" si="396"/>
        <v>1.09661929621608E-2</v>
      </c>
      <c r="FO264" s="1111">
        <f t="shared" si="397"/>
        <v>1.09591556908048E-2</v>
      </c>
      <c r="FP264" s="1111">
        <f t="shared" si="398"/>
        <v>1.09539961645838E-2</v>
      </c>
      <c r="FQ264" s="1111">
        <f t="shared" si="399"/>
        <v>1.09539961645838E-2</v>
      </c>
      <c r="FR264" s="1111">
        <f t="shared" si="322"/>
        <v>0.858529279217077</v>
      </c>
      <c r="FS264" s="1111">
        <f t="shared" si="323"/>
        <v>0.858529279217077</v>
      </c>
      <c r="FT264" s="1111">
        <f t="shared" si="324"/>
        <v>0.503731417508816</v>
      </c>
      <c r="FU264" s="1111">
        <f t="shared" si="325"/>
        <v>0.37512816215378397</v>
      </c>
      <c r="FV264" s="1111">
        <f t="shared" si="326"/>
        <v>0.30828199926496602</v>
      </c>
      <c r="FW264" s="1111">
        <f t="shared" si="327"/>
        <v>0.28661953326038297</v>
      </c>
      <c r="FX264" s="1111">
        <f t="shared" si="328"/>
        <v>0.28264038179328499</v>
      </c>
      <c r="FY264" s="1111">
        <f t="shared" si="329"/>
        <v>0.28162692153878699</v>
      </c>
      <c r="FZ264" s="1111">
        <f t="shared" si="330"/>
        <v>0.281751869278763</v>
      </c>
      <c r="GA264" s="1111">
        <f t="shared" si="331"/>
        <v>0.28192306485273899</v>
      </c>
      <c r="GB264" s="1111">
        <f t="shared" si="332"/>
        <v>0.28192306485273899</v>
      </c>
      <c r="GC264" s="1111">
        <f t="shared" si="353"/>
        <v>0.65283874806811604</v>
      </c>
      <c r="GD264" s="1111">
        <f t="shared" si="354"/>
        <v>0.65283874806811604</v>
      </c>
      <c r="GE264" s="1111">
        <f t="shared" si="355"/>
        <v>0.33224436660041701</v>
      </c>
      <c r="GF264" s="1111">
        <f t="shared" si="356"/>
        <v>0.13652581905042699</v>
      </c>
      <c r="GG264" s="1111">
        <f t="shared" si="357"/>
        <v>7.8025503719108297E-2</v>
      </c>
      <c r="GH264" s="1111">
        <f t="shared" si="358"/>
        <v>5.9231027771519597E-2</v>
      </c>
      <c r="GI264" s="1111">
        <f t="shared" si="359"/>
        <v>5.5901975487255798E-2</v>
      </c>
      <c r="GJ264" s="1111">
        <f t="shared" si="360"/>
        <v>5.4946823671966197E-2</v>
      </c>
      <c r="GK264" s="1111">
        <f t="shared" si="361"/>
        <v>5.4950705011026502E-2</v>
      </c>
      <c r="GL264" s="1111">
        <f t="shared" si="362"/>
        <v>5.4967058193246002E-2</v>
      </c>
      <c r="GM264" s="1111">
        <f t="shared" si="363"/>
        <v>5.4967058193246002E-2</v>
      </c>
    </row>
    <row r="265" spans="1:195" x14ac:dyDescent="0.2">
      <c r="A265" s="1071" t="s">
        <v>190</v>
      </c>
      <c r="B265" s="1071" t="str">
        <f>Technologies!C149</f>
        <v>THSDSLAH</v>
      </c>
      <c r="C265" s="1071" t="str">
        <f>Technologies!D149</f>
        <v>Heavy Truck, Short Haul, Hybrid Diesel</v>
      </c>
      <c r="D265" s="1071" t="str">
        <f>NewTech!D102</f>
        <v>bn-vmt, bn-vmt/a</v>
      </c>
      <c r="E265" s="1071" t="str">
        <f>Commodities!C$44</f>
        <v>THDSL</v>
      </c>
      <c r="F265" s="1071" t="s">
        <v>98</v>
      </c>
      <c r="G265" s="1110" t="s">
        <v>505</v>
      </c>
      <c r="H265" s="1110" t="s">
        <v>499</v>
      </c>
      <c r="I265" s="1112">
        <v>1</v>
      </c>
      <c r="J265" s="1111" t="str">
        <f t="shared" si="302"/>
        <v>Heavy duty short haul truck-DSL</v>
      </c>
      <c r="K265" s="1111">
        <f>SUMIFS(NewEmisData!E:E, NewEmisData!$A:$A, $G265, NewEmisData!$B:$B, $A265, NewEmisData!$C:$C, $H265, NewEmisData!$D:$D, K$6)</f>
        <v>1446.4734413180499</v>
      </c>
      <c r="L265" s="1111">
        <f>SUMIFS(NewEmisData!F:F, NewEmisData!$A:$A, $G265, NewEmisData!$B:$B, $A265, NewEmisData!$C:$C, $H265, NewEmisData!$D:$D, L$6)</f>
        <v>1740.72087390757</v>
      </c>
      <c r="M265" s="1111">
        <f>SUMIFS(NewEmisData!G:G, NewEmisData!$A:$A, $G265, NewEmisData!$B:$B, $A265, NewEmisData!$C:$C, $H265, NewEmisData!$D:$D, M$6)</f>
        <v>1883.5112444895601</v>
      </c>
      <c r="N265" s="1111">
        <f>SUMIFS(NewEmisData!H:H, NewEmisData!$A:$A, $G265, NewEmisData!$B:$B, $A265, NewEmisData!$C:$C, $H265, NewEmisData!$D:$D, N$6)</f>
        <v>1846.4691773357799</v>
      </c>
      <c r="O265" s="1111">
        <f>SUMIFS(NewEmisData!I:I, NewEmisData!$A:$A, $G265, NewEmisData!$B:$B, $A265, NewEmisData!$C:$C, $H265, NewEmisData!$D:$D, O$6)</f>
        <v>1831.61438997502</v>
      </c>
      <c r="P265" s="1111">
        <f>SUMIFS(NewEmisData!J:J, NewEmisData!$A:$A, $G265, NewEmisData!$B:$B, $A265, NewEmisData!$C:$C, $H265, NewEmisData!$D:$D, P$6)</f>
        <v>1827.40074627429</v>
      </c>
      <c r="Q265" s="1111">
        <f>SUMIFS(NewEmisData!K:K, NewEmisData!$A:$A, $G265, NewEmisData!$B:$B, $A265, NewEmisData!$C:$C, $H265, NewEmisData!$D:$D, Q$6)</f>
        <v>1826.3756740122001</v>
      </c>
      <c r="R265" s="1111">
        <f>SUMIFS(NewEmisData!L:L, NewEmisData!$A:$A, $G265, NewEmisData!$B:$B, $A265, NewEmisData!$C:$C, $H265, NewEmisData!$D:$D, R$6)</f>
        <v>1826.08515951495</v>
      </c>
      <c r="S265" s="1111">
        <f>SUMIFS(NewEmisData!M:M, NewEmisData!$A:$A, $G265, NewEmisData!$B:$B, $A265, NewEmisData!$C:$C, $H265, NewEmisData!$D:$D, S$6)</f>
        <v>1825.9462445100501</v>
      </c>
      <c r="T265" s="1111">
        <f t="shared" si="364"/>
        <v>1825.9462445100501</v>
      </c>
      <c r="U265" s="1111">
        <f>SUMIFS(NewEmisData!E:E, NewEmisData!$A:$A, $G265, NewEmisData!$B:$B, $A265, NewEmisData!$C:$C, $H265, NewEmisData!$D:$D, U$6)</f>
        <v>10.927472096680599</v>
      </c>
      <c r="V265" s="1111">
        <f>SUMIFS(NewEmisData!F:F, NewEmisData!$A:$A, $G265, NewEmisData!$B:$B, $A265, NewEmisData!$C:$C, $H265, NewEmisData!$D:$D, V$6)</f>
        <v>7.1206377233055003</v>
      </c>
      <c r="W265" s="1111">
        <f>SUMIFS(NewEmisData!G:G, NewEmisData!$A:$A, $G265, NewEmisData!$B:$B, $A265, NewEmisData!$C:$C, $H265, NewEmisData!$D:$D, W$6)</f>
        <v>3.1558879768380601</v>
      </c>
      <c r="X265" s="1111">
        <f>SUMIFS(NewEmisData!H:H, NewEmisData!$A:$A, $G265, NewEmisData!$B:$B, $A265, NewEmisData!$C:$C, $H265, NewEmisData!$D:$D, X$6)</f>
        <v>2.0748112225925799</v>
      </c>
      <c r="Y265" s="1111">
        <f>SUMIFS(NewEmisData!I:I, NewEmisData!$A:$A, $G265, NewEmisData!$B:$B, $A265, NewEmisData!$C:$C, $H265, NewEmisData!$D:$D, Y$6)</f>
        <v>1.74258491838324</v>
      </c>
      <c r="Z265" s="1111">
        <f>SUMIFS(NewEmisData!J:J, NewEmisData!$A:$A, $G265, NewEmisData!$B:$B, $A265, NewEmisData!$C:$C, $H265, NewEmisData!$D:$D, Z$6)</f>
        <v>1.67796051175704</v>
      </c>
      <c r="AA265" s="1111">
        <f>SUMIFS(NewEmisData!K:K, NewEmisData!$A:$A, $G265, NewEmisData!$B:$B, $A265, NewEmisData!$C:$C, $H265, NewEmisData!$D:$D, AA$6)</f>
        <v>1.66395683464412</v>
      </c>
      <c r="AB265" s="1111">
        <f>SUMIFS(NewEmisData!L:L, NewEmisData!$A:$A, $G265, NewEmisData!$B:$B, $A265, NewEmisData!$C:$C, $H265, NewEmisData!$D:$D, AB$6)</f>
        <v>1.6637625206784601</v>
      </c>
      <c r="AC265" s="1111">
        <f>SUMIFS(NewEmisData!M:M, NewEmisData!$A:$A, $G265, NewEmisData!$B:$B, $A265, NewEmisData!$C:$C, $H265, NewEmisData!$D:$D, AC$6)</f>
        <v>1.6637616447113901</v>
      </c>
      <c r="AD265" s="1111">
        <f t="shared" si="321"/>
        <v>1.6637616447113901</v>
      </c>
      <c r="AE265" s="1111">
        <f t="shared" si="412"/>
        <v>3.5795342325280199E-2</v>
      </c>
      <c r="AF265" s="1111">
        <f>SUMIFS(NewEmisData!E:E, NewEmisData!$A:$A, $G265, NewEmisData!$B:$B, $A265, NewEmisData!$C:$C, $H265, NewEmisData!$D:$D, AF$6)</f>
        <v>3.5795342325280199E-2</v>
      </c>
      <c r="AG265" s="1111">
        <f>SUMIFS(NewEmisData!F:F, NewEmisData!$A:$A, $G265, NewEmisData!$B:$B, $A265, NewEmisData!$C:$C, $H265, NewEmisData!$D:$D, AG$6)</f>
        <v>4.18895987456427E-2</v>
      </c>
      <c r="AH265" s="1111">
        <f>SUMIFS(NewEmisData!G:G, NewEmisData!$A:$A, $G265, NewEmisData!$B:$B, $A265, NewEmisData!$C:$C, $H265, NewEmisData!$D:$D, AH$6)</f>
        <v>1.5791060545945802E-2</v>
      </c>
      <c r="AI265" s="1111">
        <f>SUMIFS(NewEmisData!H:H, NewEmisData!$A:$A, $G265, NewEmisData!$B:$B, $A265, NewEmisData!$C:$C, $H265, NewEmisData!$D:$D, AI$6)</f>
        <v>1.5415670212051501E-2</v>
      </c>
      <c r="AJ265" s="1111">
        <f>SUMIFS(NewEmisData!I:I, NewEmisData!$A:$A, $G265, NewEmisData!$B:$B, $A265, NewEmisData!$C:$C, $H265, NewEmisData!$D:$D, AJ$6)</f>
        <v>1.5274431754930399E-2</v>
      </c>
      <c r="AK265" s="1111">
        <f>SUMIFS(NewEmisData!J:J, NewEmisData!$A:$A, $G265, NewEmisData!$B:$B, $A265, NewEmisData!$C:$C, $H265, NewEmisData!$D:$D, AK$6)</f>
        <v>1.5236164903811999E-2</v>
      </c>
      <c r="AL265" s="1111">
        <f>SUMIFS(NewEmisData!K:K, NewEmisData!$A:$A, $G265, NewEmisData!$B:$B, $A265, NewEmisData!$C:$C, $H265, NewEmisData!$D:$D, AL$6)</f>
        <v>1.52267203455439E-2</v>
      </c>
      <c r="AM265" s="1111">
        <f>SUMIFS(NewEmisData!L:L, NewEmisData!$A:$A, $G265, NewEmisData!$B:$B, $A265, NewEmisData!$C:$C, $H265, NewEmisData!$D:$D, AM$6)</f>
        <v>1.5224294731162401E-2</v>
      </c>
      <c r="AN265" s="1111">
        <f>SUMIFS(NewEmisData!M:M, NewEmisData!$A:$A, $G265, NewEmisData!$B:$B, $A265, NewEmisData!$C:$C, $H265, NewEmisData!$D:$D, AN$6)</f>
        <v>1.52231302628319E-2</v>
      </c>
      <c r="AO265" s="1111">
        <f t="shared" si="413"/>
        <v>1.52231302628319E-2</v>
      </c>
      <c r="AP265" s="1111">
        <f t="shared" si="414"/>
        <v>1.1386613940402399</v>
      </c>
      <c r="AQ265" s="1111">
        <f>SUMIFS(NewEmisData!E:E, NewEmisData!$A:$A, $G265, NewEmisData!$B:$B, $A265, NewEmisData!$C:$C, $H265, NewEmisData!$D:$D, AQ$6)</f>
        <v>1.1386613940402399</v>
      </c>
      <c r="AR265" s="1111">
        <f>SUMIFS(NewEmisData!F:F, NewEmisData!$A:$A, $G265, NewEmisData!$B:$B, $A265, NewEmisData!$C:$C, $H265, NewEmisData!$D:$D, AR$6)</f>
        <v>0.81062826870189697</v>
      </c>
      <c r="AS265" s="1111">
        <f>SUMIFS(NewEmisData!G:G, NewEmisData!$A:$A, $G265, NewEmisData!$B:$B, $A265, NewEmisData!$C:$C, $H265, NewEmisData!$D:$D, AS$6)</f>
        <v>0.53923885209480305</v>
      </c>
      <c r="AT265" s="1111">
        <f>SUMIFS(NewEmisData!H:H, NewEmisData!$A:$A, $G265, NewEmisData!$B:$B, $A265, NewEmisData!$C:$C, $H265, NewEmisData!$D:$D, AT$6)</f>
        <v>0.475762300205197</v>
      </c>
      <c r="AU265" s="1111">
        <f>SUMIFS(NewEmisData!I:I, NewEmisData!$A:$A, $G265, NewEmisData!$B:$B, $A265, NewEmisData!$C:$C, $H265, NewEmisData!$D:$D, AU$6)</f>
        <v>0.45922153968976998</v>
      </c>
      <c r="AV265" s="1111">
        <f>SUMIFS(NewEmisData!J:J, NewEmisData!$A:$A, $G265, NewEmisData!$B:$B, $A265, NewEmisData!$C:$C, $H265, NewEmisData!$D:$D, AV$6)</f>
        <v>0.45636829014935498</v>
      </c>
      <c r="AW265" s="1111">
        <f>SUMIFS(NewEmisData!K:K, NewEmisData!$A:$A, $G265, NewEmisData!$B:$B, $A265, NewEmisData!$C:$C, $H265, NewEmisData!$D:$D, AW$6)</f>
        <v>0.45567985208338102</v>
      </c>
      <c r="AX265" s="1111">
        <f>SUMIFS(NewEmisData!L:L, NewEmisData!$A:$A, $G265, NewEmisData!$B:$B, $A265, NewEmisData!$C:$C, $H265, NewEmisData!$D:$D, AX$6)</f>
        <v>0.45574905770507301</v>
      </c>
      <c r="AY265" s="1111">
        <f>SUMIFS(NewEmisData!M:M, NewEmisData!$A:$A, $G265, NewEmisData!$B:$B, $A265, NewEmisData!$C:$C, $H265, NewEmisData!$D:$D, AY$6)</f>
        <v>0.455831313218652</v>
      </c>
      <c r="AZ265" s="1111">
        <f t="shared" si="415"/>
        <v>0.455831313218652</v>
      </c>
      <c r="BA265" s="1111">
        <f t="shared" si="416"/>
        <v>0.76056597813754101</v>
      </c>
      <c r="BB265" s="1111">
        <f>SUMIFS(NewEmisData!E:E, NewEmisData!$A:$A, $G265, NewEmisData!$B:$B, $A265, NewEmisData!$C:$C, $H265, NewEmisData!$D:$D, BB$6)</f>
        <v>0.76056597813754101</v>
      </c>
      <c r="BC265" s="1111">
        <f>SUMIFS(NewEmisData!F:F, NewEmisData!$A:$A, $G265, NewEmisData!$B:$B, $A265, NewEmisData!$C:$C, $H265, NewEmisData!$D:$D, BC$6)</f>
        <v>0.44834360182688099</v>
      </c>
      <c r="BD265" s="1111">
        <f>SUMIFS(NewEmisData!G:G, NewEmisData!$A:$A, $G265, NewEmisData!$B:$B, $A265, NewEmisData!$C:$C, $H265, NewEmisData!$D:$D, BD$6)</f>
        <v>0.16425905468775201</v>
      </c>
      <c r="BE265" s="1111">
        <f>SUMIFS(NewEmisData!H:H, NewEmisData!$A:$A, $G265, NewEmisData!$B:$B, $A265, NewEmisData!$C:$C, $H265, NewEmisData!$D:$D, BE$6)</f>
        <v>0.106571454108964</v>
      </c>
      <c r="BF265" s="1111">
        <f>SUMIFS(NewEmisData!I:I, NewEmisData!$A:$A, $G265, NewEmisData!$B:$B, $A265, NewEmisData!$C:$C, $H265, NewEmisData!$D:$D, BF$6)</f>
        <v>9.1494531785506497E-2</v>
      </c>
      <c r="BG265" s="1111">
        <f>SUMIFS(NewEmisData!J:J, NewEmisData!$A:$A, $G265, NewEmisData!$B:$B, $A265, NewEmisData!$C:$C, $H265, NewEmisData!$D:$D, BG$6)</f>
        <v>8.8871730484206005E-2</v>
      </c>
      <c r="BH265" s="1111">
        <f>SUMIFS(NewEmisData!K:K, NewEmisData!$A:$A, $G265, NewEmisData!$B:$B, $A265, NewEmisData!$C:$C, $H265, NewEmisData!$D:$D, BH$6)</f>
        <v>8.8185150826517997E-2</v>
      </c>
      <c r="BI265" s="1111">
        <f>SUMIFS(NewEmisData!L:L, NewEmisData!$A:$A, $G265, NewEmisData!$B:$B, $A265, NewEmisData!$C:$C, $H265, NewEmisData!$D:$D, BI$6)</f>
        <v>8.8192675178559193E-2</v>
      </c>
      <c r="BJ265" s="1111">
        <f>SUMIFS(NewEmisData!M:M, NewEmisData!$A:$A, $G265, NewEmisData!$B:$B, $A265, NewEmisData!$C:$C, $H265, NewEmisData!$D:$D, BJ$6)</f>
        <v>8.8205281736577906E-2</v>
      </c>
      <c r="BK265" s="1111">
        <f t="shared" si="417"/>
        <v>8.8205281736577906E-2</v>
      </c>
      <c r="BL265" s="1111">
        <f t="shared" si="418"/>
        <v>4.6832626450914496</v>
      </c>
      <c r="BM265" s="1111">
        <f>SUMIFS(NewEmisData!E:E, NewEmisData!$A:$A, $G265, NewEmisData!$B:$B, $A265, NewEmisData!$C:$C, $H265, NewEmisData!$D:$D, BM$6)</f>
        <v>4.6832626450914496</v>
      </c>
      <c r="BN265" s="1111">
        <f>SUMIFS(NewEmisData!F:F, NewEmisData!$A:$A, $G265, NewEmisData!$B:$B, $A265, NewEmisData!$C:$C, $H265, NewEmisData!$D:$D, BN$6)</f>
        <v>2.6100431929147598</v>
      </c>
      <c r="BO265" s="1111">
        <f>SUMIFS(NewEmisData!G:G, NewEmisData!$A:$A, $G265, NewEmisData!$B:$B, $A265, NewEmisData!$C:$C, $H265, NewEmisData!$D:$D, BO$6)</f>
        <v>1.44727268865366</v>
      </c>
      <c r="BP265" s="1111">
        <f>SUMIFS(NewEmisData!H:H, NewEmisData!$A:$A, $G265, NewEmisData!$B:$B, $A265, NewEmisData!$C:$C, $H265, NewEmisData!$D:$D, BP$6)</f>
        <v>1.1207683835002999</v>
      </c>
      <c r="BQ265" s="1111">
        <f>SUMIFS(NewEmisData!I:I, NewEmisData!$A:$A, $G265, NewEmisData!$B:$B, $A265, NewEmisData!$C:$C, $H265, NewEmisData!$D:$D, BQ$6)</f>
        <v>1.0267847071138601</v>
      </c>
      <c r="BR265" s="1111">
        <f>SUMIFS(NewEmisData!J:J, NewEmisData!$A:$A, $G265, NewEmisData!$B:$B, $A265, NewEmisData!$C:$C, $H265, NewEmisData!$D:$D, BR$6)</f>
        <v>1.00432218637865</v>
      </c>
      <c r="BS265" s="1111">
        <f>SUMIFS(NewEmisData!K:K, NewEmisData!$A:$A, $G265, NewEmisData!$B:$B, $A265, NewEmisData!$C:$C, $H265, NewEmisData!$D:$D, BS$6)</f>
        <v>0.99794723012971298</v>
      </c>
      <c r="BT265" s="1111">
        <f>SUMIFS(NewEmisData!L:L, NewEmisData!$A:$A, $G265, NewEmisData!$B:$B, $A265, NewEmisData!$C:$C, $H265, NewEmisData!$D:$D, BT$6)</f>
        <v>0.99667933319928403</v>
      </c>
      <c r="BU265" s="1111">
        <f>SUMIFS(NewEmisData!M:M, NewEmisData!$A:$A, $G265, NewEmisData!$B:$B, $A265, NewEmisData!$C:$C, $H265, NewEmisData!$D:$D, BU$6)</f>
        <v>0.99661224661700498</v>
      </c>
      <c r="BV265" s="1111">
        <f t="shared" si="419"/>
        <v>0.99661224661700498</v>
      </c>
      <c r="BW265" s="1111">
        <f t="shared" si="420"/>
        <v>1.3036578993866199</v>
      </c>
      <c r="BX265" s="1111">
        <f>SUMIFS(NewEmisData!E:E, NewEmisData!$A:$A, $G265, NewEmisData!$B:$B, $A265, NewEmisData!$C:$C, $H265, NewEmisData!$D:$D, BX$6)</f>
        <v>1.3036578993866199</v>
      </c>
      <c r="BY265" s="1111">
        <f>SUMIFS(NewEmisData!F:F, NewEmisData!$A:$A, $G265, NewEmisData!$B:$B, $A265, NewEmisData!$C:$C, $H265, NewEmisData!$D:$D, BY$6)</f>
        <v>0.62654783684864801</v>
      </c>
      <c r="BZ265" s="1111">
        <f>SUMIFS(NewEmisData!G:G, NewEmisData!$A:$A, $G265, NewEmisData!$B:$B, $A265, NewEmisData!$C:$C, $H265, NewEmisData!$D:$D, BZ$6)</f>
        <v>0.256477663626625</v>
      </c>
      <c r="CA265" s="1111">
        <f>SUMIFS(NewEmisData!H:H, NewEmisData!$A:$A, $G265, NewEmisData!$B:$B, $A265, NewEmisData!$C:$C, $H265, NewEmisData!$D:$D, CA$6)</f>
        <v>0.15721626159253699</v>
      </c>
      <c r="CB265" s="1111">
        <f>SUMIFS(NewEmisData!I:I, NewEmisData!$A:$A, $G265, NewEmisData!$B:$B, $A265, NewEmisData!$C:$C, $H265, NewEmisData!$D:$D, CB$6)</f>
        <v>0.12995527844758301</v>
      </c>
      <c r="CC265" s="1111">
        <f>SUMIFS(NewEmisData!J:J, NewEmisData!$A:$A, $G265, NewEmisData!$B:$B, $A265, NewEmisData!$C:$C, $H265, NewEmisData!$D:$D, CC$6)</f>
        <v>0.124363752484154</v>
      </c>
      <c r="CD265" s="1111">
        <f>SUMIFS(NewEmisData!K:K, NewEmisData!$A:$A, $G265, NewEmisData!$B:$B, $A265, NewEmisData!$C:$C, $H265, NewEmisData!$D:$D, CD$6)</f>
        <v>0.12280434729006</v>
      </c>
      <c r="CE265" s="1111">
        <f>SUMIFS(NewEmisData!L:L, NewEmisData!$A:$A, $G265, NewEmisData!$B:$B, $A265, NewEmisData!$C:$C, $H265, NewEmisData!$D:$D, CE$6)</f>
        <v>0.12275657242648801</v>
      </c>
      <c r="CF265" s="1111">
        <f>SUMIFS(NewEmisData!M:M, NewEmisData!$A:$A, $G265, NewEmisData!$B:$B, $A265, NewEmisData!$C:$C, $H265, NewEmisData!$D:$D, CF$6)</f>
        <v>0.122755209940958</v>
      </c>
      <c r="CG265" s="1111">
        <f t="shared" si="421"/>
        <v>0.122755209940958</v>
      </c>
      <c r="CH265" s="1111">
        <f t="shared" si="422"/>
        <v>2.6814639578360101E-2</v>
      </c>
      <c r="CI265" s="1111">
        <f>SUMIFS(NewEmisData!E:E, NewEmisData!$A:$A, $G265, NewEmisData!$B:$B, $A265, NewEmisData!$C:$C, $H265, NewEmisData!$D:$D, CI$6)</f>
        <v>2.6814639578360101E-2</v>
      </c>
      <c r="CJ265" s="1111">
        <f>SUMIFS(NewEmisData!F:F, NewEmisData!$A:$A, $G265, NewEmisData!$B:$B, $A265, NewEmisData!$C:$C, $H265, NewEmisData!$D:$D, CJ$6)</f>
        <v>2.7377198484682501E-2</v>
      </c>
      <c r="CK265" s="1111">
        <f>SUMIFS(NewEmisData!G:G, NewEmisData!$A:$A, $G265, NewEmisData!$B:$B, $A265, NewEmisData!$C:$C, $H265, NewEmisData!$D:$D, CK$6)</f>
        <v>3.1744752331224299E-2</v>
      </c>
      <c r="CL265" s="1111">
        <f>SUMIFS(NewEmisData!H:H, NewEmisData!$A:$A, $G265, NewEmisData!$B:$B, $A265, NewEmisData!$C:$C, $H265, NewEmisData!$D:$D, CL$6)</f>
        <v>3.1751089810168102E-2</v>
      </c>
      <c r="CM265" s="1111">
        <f>SUMIFS(NewEmisData!I:I, NewEmisData!$A:$A, $G265, NewEmisData!$B:$B, $A265, NewEmisData!$C:$C, $H265, NewEmisData!$D:$D, CM$6)</f>
        <v>3.1753196220943601E-2</v>
      </c>
      <c r="CN265" s="1111">
        <f>SUMIFS(NewEmisData!J:J, NewEmisData!$A:$A, $G265, NewEmisData!$B:$B, $A265, NewEmisData!$C:$C, $H265, NewEmisData!$D:$D, CN$6)</f>
        <v>3.1754907653783297E-2</v>
      </c>
      <c r="CO265" s="1111">
        <f>SUMIFS(NewEmisData!K:K, NewEmisData!$A:$A, $G265, NewEmisData!$B:$B, $A265, NewEmisData!$C:$C, $H265, NewEmisData!$D:$D, CO$6)</f>
        <v>3.1756308019210901E-2</v>
      </c>
      <c r="CP265" s="1111">
        <f>SUMIFS(NewEmisData!L:L, NewEmisData!$A:$A, $G265, NewEmisData!$B:$B, $A265, NewEmisData!$C:$C, $H265, NewEmisData!$D:$D, CP$6)</f>
        <v>3.1757504483370197E-2</v>
      </c>
      <c r="CQ265" s="1111">
        <f>SUMIFS(NewEmisData!M:M, NewEmisData!$A:$A, $G265, NewEmisData!$B:$B, $A265, NewEmisData!$C:$C, $H265, NewEmisData!$D:$D, CQ$6)</f>
        <v>3.17586670417229E-2</v>
      </c>
      <c r="CR265" s="1111">
        <f t="shared" si="423"/>
        <v>3.17586670417229E-2</v>
      </c>
      <c r="CS265" s="1111">
        <f t="shared" si="424"/>
        <v>4.3846094197843499E-3</v>
      </c>
      <c r="CT265" s="1111">
        <f>SUMIFS(NewEmisData!E:E, NewEmisData!$A:$A, $G265, NewEmisData!$B:$B, $A265, NewEmisData!$C:$C, $H265, NewEmisData!$D:$D, CT$6)</f>
        <v>4.3846094197843499E-3</v>
      </c>
      <c r="CU265" s="1111">
        <f>SUMIFS(NewEmisData!F:F, NewEmisData!$A:$A, $G265, NewEmisData!$B:$B, $A265, NewEmisData!$C:$C, $H265, NewEmisData!$D:$D, CU$6)</f>
        <v>4.2824271816577098E-3</v>
      </c>
      <c r="CV265" s="1111">
        <f>SUMIFS(NewEmisData!G:G, NewEmisData!$A:$A, $G265, NewEmisData!$B:$B, $A265, NewEmisData!$C:$C, $H265, NewEmisData!$D:$D, CV$6)</f>
        <v>5.02899922498892E-3</v>
      </c>
      <c r="CW265" s="1111">
        <f>SUMIFS(NewEmisData!H:H, NewEmisData!$A:$A, $G265, NewEmisData!$B:$B, $A265, NewEmisData!$C:$C, $H265, NewEmisData!$D:$D, CW$6)</f>
        <v>5.0046662993367902E-3</v>
      </c>
      <c r="CX265" s="1111">
        <f>SUMIFS(NewEmisData!I:I, NewEmisData!$A:$A, $G265, NewEmisData!$B:$B, $A265, NewEmisData!$C:$C, $H265, NewEmisData!$D:$D, CX$6)</f>
        <v>4.9882594082795899E-3</v>
      </c>
      <c r="CY265" s="1111">
        <f>SUMIFS(NewEmisData!J:J, NewEmisData!$A:$A, $G265, NewEmisData!$B:$B, $A265, NewEmisData!$C:$C, $H265, NewEmisData!$D:$D, CY$6)</f>
        <v>4.9807823416885997E-3</v>
      </c>
      <c r="CZ265" s="1111">
        <f>SUMIFS(NewEmisData!K:K, NewEmisData!$A:$A, $G265, NewEmisData!$B:$B, $A265, NewEmisData!$C:$C, $H265, NewEmisData!$D:$D, CZ$6)</f>
        <v>4.9778351451056097E-3</v>
      </c>
      <c r="DA265" s="1111">
        <f>SUMIFS(NewEmisData!L:L, NewEmisData!$A:$A, $G265, NewEmisData!$B:$B, $A265, NewEmisData!$C:$C, $H265, NewEmisData!$D:$D, DA$6)</f>
        <v>4.9770350121877902E-3</v>
      </c>
      <c r="DB265" s="1111">
        <f>SUMIFS(NewEmisData!M:M, NewEmisData!$A:$A, $G265, NewEmisData!$B:$B, $A265, NewEmisData!$C:$C, $H265, NewEmisData!$D:$D, DB$6)</f>
        <v>4.97750081597703E-3</v>
      </c>
      <c r="DC265" s="1111">
        <f t="shared" si="425"/>
        <v>4.97750081597703E-3</v>
      </c>
      <c r="DD265" s="1111"/>
      <c r="DE265" s="1111"/>
      <c r="DF265" s="1111"/>
      <c r="DG265" s="1111"/>
      <c r="DH265" s="1111"/>
      <c r="DI265" s="1111"/>
      <c r="DJ265" s="1111"/>
      <c r="DK265" s="1111"/>
      <c r="DL265" s="1111"/>
      <c r="DM265" s="1111"/>
      <c r="DN265" s="1111"/>
      <c r="DO265" s="1111"/>
      <c r="DP265" s="1111"/>
      <c r="DQ265" s="1111"/>
      <c r="DR265" s="1111"/>
      <c r="DS265" s="1111"/>
      <c r="DT265" s="1111"/>
      <c r="DU265" s="1111"/>
      <c r="DV265" s="1111"/>
      <c r="DW265" s="1111"/>
      <c r="DX265" s="1111"/>
      <c r="DY265" s="1111"/>
      <c r="DZ265" s="1111">
        <f t="shared" si="426"/>
        <v>2.5837404070173101E-2</v>
      </c>
      <c r="EA265" s="1111">
        <f>SUMIFS(NewEmisData!E:E, NewEmisData!$A:$A, $G265, NewEmisData!$B:$B, $A265, NewEmisData!$C:$C, $H265, NewEmisData!$D:$D, EA$6)</f>
        <v>2.5837404070173101E-2</v>
      </c>
      <c r="EB265" s="1111">
        <f>SUMIFS(NewEmisData!F:F, NewEmisData!$A:$A, $G265, NewEmisData!$B:$B, $A265, NewEmisData!$C:$C, $H265, NewEmisData!$D:$D, EB$6)</f>
        <v>7.8297413767458204E-2</v>
      </c>
      <c r="EC265" s="1111">
        <f>SUMIFS(NewEmisData!G:G, NewEmisData!$A:$A, $G265, NewEmisData!$B:$B, $A265, NewEmisData!$C:$C, $H265, NewEmisData!$D:$D, EC$6)</f>
        <v>0.10066729837517401</v>
      </c>
      <c r="ED265" s="1111">
        <f>SUMIFS(NewEmisData!H:H, NewEmisData!$A:$A, $G265, NewEmisData!$B:$B, $A265, NewEmisData!$C:$C, $H265, NewEmisData!$D:$D, ED$6)</f>
        <v>0.10297636370982299</v>
      </c>
      <c r="EE265" s="1111">
        <f>SUMIFS(NewEmisData!I:I, NewEmisData!$A:$A, $G265, NewEmisData!$B:$B, $A265, NewEmisData!$C:$C, $H265, NewEmisData!$D:$D, EE$6)</f>
        <v>0.103171854151657</v>
      </c>
      <c r="EF265" s="1111">
        <f>SUMIFS(NewEmisData!J:J, NewEmisData!$A:$A, $G265, NewEmisData!$B:$B, $A265, NewEmisData!$C:$C, $H265, NewEmisData!$D:$D, EF$6)</f>
        <v>0.103095802852537</v>
      </c>
      <c r="EG265" s="1111">
        <f>SUMIFS(NewEmisData!K:K, NewEmisData!$A:$A, $G265, NewEmisData!$B:$B, $A265, NewEmisData!$C:$C, $H265, NewEmisData!$D:$D, EG$6)</f>
        <v>0.10319825346403599</v>
      </c>
      <c r="EH265" s="1111">
        <f>SUMIFS(NewEmisData!L:L, NewEmisData!$A:$A, $G265, NewEmisData!$B:$B, $A265, NewEmisData!$C:$C, $H265, NewEmisData!$D:$D, EH$6)</f>
        <v>0.103151432114074</v>
      </c>
      <c r="EI265" s="1111">
        <f>SUMIFS(NewEmisData!M:M, NewEmisData!$A:$A, $G265, NewEmisData!$B:$B, $A265, NewEmisData!$C:$C, $H265, NewEmisData!$D:$D, EI$6)</f>
        <v>0.103153661145232</v>
      </c>
      <c r="EJ265" s="1111">
        <f t="shared" si="427"/>
        <v>0.103153661145232</v>
      </c>
      <c r="EK265" s="1111">
        <f t="shared" si="428"/>
        <v>1446.4734413180499</v>
      </c>
      <c r="EL265" s="1111">
        <f t="shared" si="343"/>
        <v>1446.4734413180499</v>
      </c>
      <c r="EM265" s="1111">
        <f t="shared" si="344"/>
        <v>1740.72087390757</v>
      </c>
      <c r="EN265" s="1111">
        <f t="shared" si="345"/>
        <v>1883.5112444895601</v>
      </c>
      <c r="EO265" s="1111">
        <f t="shared" si="346"/>
        <v>1846.4691773357799</v>
      </c>
      <c r="EP265" s="1111">
        <f t="shared" si="347"/>
        <v>1831.61438997502</v>
      </c>
      <c r="EQ265" s="1111">
        <f t="shared" si="348"/>
        <v>1827.40074627429</v>
      </c>
      <c r="ER265" s="1111">
        <f t="shared" si="349"/>
        <v>1826.3756740122001</v>
      </c>
      <c r="ES265" s="1111">
        <f t="shared" si="350"/>
        <v>1826.08515951495</v>
      </c>
      <c r="ET265" s="1111">
        <f t="shared" si="351"/>
        <v>1825.9462445100501</v>
      </c>
      <c r="EU265" s="1111">
        <f t="shared" si="352"/>
        <v>1825.9462445100501</v>
      </c>
      <c r="EV265" s="1111">
        <f t="shared" si="429"/>
        <v>10.927472096680599</v>
      </c>
      <c r="EW265" s="1111">
        <f t="shared" si="333"/>
        <v>10.927472096680599</v>
      </c>
      <c r="EX265" s="1111">
        <f t="shared" si="334"/>
        <v>7.1206377233055003</v>
      </c>
      <c r="EY265" s="1111">
        <f t="shared" si="335"/>
        <v>3.1558879768380601</v>
      </c>
      <c r="EZ265" s="1111">
        <f t="shared" si="336"/>
        <v>2.0748112225925799</v>
      </c>
      <c r="FA265" s="1111">
        <f t="shared" si="337"/>
        <v>1.74258491838324</v>
      </c>
      <c r="FB265" s="1111">
        <f t="shared" si="338"/>
        <v>1.67796051175704</v>
      </c>
      <c r="FC265" s="1111">
        <f t="shared" si="339"/>
        <v>1.66395683464412</v>
      </c>
      <c r="FD265" s="1111">
        <f t="shared" si="340"/>
        <v>1.6637625206784601</v>
      </c>
      <c r="FE265" s="1111">
        <f t="shared" si="341"/>
        <v>1.6637616447113901</v>
      </c>
      <c r="FF265" s="1111">
        <f t="shared" si="342"/>
        <v>1.6637616447113901</v>
      </c>
      <c r="FG265" s="1111">
        <f t="shared" si="389"/>
        <v>3.5795342325280199E-2</v>
      </c>
      <c r="FH265" s="1111">
        <f t="shared" si="390"/>
        <v>3.5795342325280199E-2</v>
      </c>
      <c r="FI265" s="1111">
        <f t="shared" si="391"/>
        <v>4.18895987456427E-2</v>
      </c>
      <c r="FJ265" s="1111">
        <f t="shared" si="392"/>
        <v>1.5791060545945802E-2</v>
      </c>
      <c r="FK265" s="1111">
        <f t="shared" si="393"/>
        <v>1.5415670212051501E-2</v>
      </c>
      <c r="FL265" s="1111">
        <f t="shared" si="394"/>
        <v>1.5274431754930399E-2</v>
      </c>
      <c r="FM265" s="1111">
        <f t="shared" si="395"/>
        <v>1.5236164903811999E-2</v>
      </c>
      <c r="FN265" s="1111">
        <f t="shared" si="396"/>
        <v>1.52267203455439E-2</v>
      </c>
      <c r="FO265" s="1111">
        <f t="shared" si="397"/>
        <v>1.5224294731162401E-2</v>
      </c>
      <c r="FP265" s="1111">
        <f t="shared" si="398"/>
        <v>1.52231302628319E-2</v>
      </c>
      <c r="FQ265" s="1111">
        <f t="shared" si="399"/>
        <v>1.52231302628319E-2</v>
      </c>
      <c r="FR265" s="1111">
        <f t="shared" si="322"/>
        <v>1.1386613940402399</v>
      </c>
      <c r="FS265" s="1111">
        <f t="shared" si="323"/>
        <v>1.1386613940402399</v>
      </c>
      <c r="FT265" s="1111">
        <f t="shared" si="324"/>
        <v>0.81062826870189697</v>
      </c>
      <c r="FU265" s="1111">
        <f t="shared" si="325"/>
        <v>0.53923885209480305</v>
      </c>
      <c r="FV265" s="1111">
        <f t="shared" si="326"/>
        <v>0.475762300205197</v>
      </c>
      <c r="FW265" s="1111">
        <f t="shared" si="327"/>
        <v>0.45922153968976998</v>
      </c>
      <c r="FX265" s="1111">
        <f t="shared" si="328"/>
        <v>0.45636829014935498</v>
      </c>
      <c r="FY265" s="1111">
        <f t="shared" si="329"/>
        <v>0.45567985208338102</v>
      </c>
      <c r="FZ265" s="1111">
        <f t="shared" si="330"/>
        <v>0.45574905770507301</v>
      </c>
      <c r="GA265" s="1111">
        <f t="shared" si="331"/>
        <v>0.455831313218652</v>
      </c>
      <c r="GB265" s="1111">
        <f t="shared" si="332"/>
        <v>0.455831313218652</v>
      </c>
      <c r="GC265" s="1111">
        <f t="shared" si="353"/>
        <v>0.76056597813754101</v>
      </c>
      <c r="GD265" s="1111">
        <f t="shared" si="354"/>
        <v>0.76056597813754101</v>
      </c>
      <c r="GE265" s="1111">
        <f t="shared" si="355"/>
        <v>0.44834360182688099</v>
      </c>
      <c r="GF265" s="1111">
        <f t="shared" si="356"/>
        <v>0.16425905468775201</v>
      </c>
      <c r="GG265" s="1111">
        <f t="shared" si="357"/>
        <v>0.106571454108964</v>
      </c>
      <c r="GH265" s="1111">
        <f t="shared" si="358"/>
        <v>9.1494531785506497E-2</v>
      </c>
      <c r="GI265" s="1111">
        <f t="shared" si="359"/>
        <v>8.8871730484206005E-2</v>
      </c>
      <c r="GJ265" s="1111">
        <f t="shared" si="360"/>
        <v>8.8185150826517997E-2</v>
      </c>
      <c r="GK265" s="1111">
        <f t="shared" si="361"/>
        <v>8.8192675178559193E-2</v>
      </c>
      <c r="GL265" s="1111">
        <f t="shared" si="362"/>
        <v>8.8205281736577906E-2</v>
      </c>
      <c r="GM265" s="1111">
        <f t="shared" si="363"/>
        <v>8.8205281736577906E-2</v>
      </c>
    </row>
    <row r="266" spans="1:195" x14ac:dyDescent="0.2">
      <c r="A266" s="1071" t="str">
        <f>Technologies!B156</f>
        <v>*R2,R3,R4,R5,R6</v>
      </c>
      <c r="B266" s="1071" t="str">
        <f>Technologies!C156</f>
        <v>THSB20C10</v>
      </c>
      <c r="C266" s="1071" t="str">
        <f>Technologies!D156</f>
        <v>Heavy Truck, Short Haul, Conventional B20 2010</v>
      </c>
      <c r="D266" s="1071" t="str">
        <f>NewTech!D102</f>
        <v>bn-vmt, bn-vmt/a</v>
      </c>
      <c r="E266" s="1071" t="str">
        <f>Commodities!C62</f>
        <v>THB20X</v>
      </c>
      <c r="F266" s="1071" t="s">
        <v>98</v>
      </c>
      <c r="G266" s="1110" t="s">
        <v>505</v>
      </c>
      <c r="H266" s="1110" t="s">
        <v>507</v>
      </c>
      <c r="I266" s="1112">
        <v>1</v>
      </c>
      <c r="J266" s="1111" t="str">
        <f t="shared" si="302"/>
        <v>Heavy duty short haul truck-B20</v>
      </c>
      <c r="K266" s="1111">
        <v>1323.7853362484905</v>
      </c>
      <c r="L266" s="1111">
        <v>1296.4635772728425</v>
      </c>
      <c r="M266" s="1111">
        <v>1275.3627505048582</v>
      </c>
      <c r="N266" s="1111">
        <v>1243.4615005927876</v>
      </c>
      <c r="O266" s="1111">
        <v>1224.3949409410063</v>
      </c>
      <c r="P266" s="1111">
        <v>1222.9901189949537</v>
      </c>
      <c r="Q266" s="1111">
        <v>1226.9235387553133</v>
      </c>
      <c r="R266" s="1111">
        <v>1232.4895131215164</v>
      </c>
      <c r="S266" s="1111">
        <v>1237.3291566878763</v>
      </c>
      <c r="T266" s="1111">
        <f t="shared" si="364"/>
        <v>1237.3291566878763</v>
      </c>
      <c r="U266" s="1111">
        <v>8.6790836194592274</v>
      </c>
      <c r="V266" s="1111">
        <v>4.0302916241966971</v>
      </c>
      <c r="W266" s="1111">
        <v>1.9006888087227418</v>
      </c>
      <c r="X266" s="1111">
        <v>0.99506843010457846</v>
      </c>
      <c r="Y266" s="1111">
        <v>0.95266150348034961</v>
      </c>
      <c r="Z266" s="1111">
        <v>0.93704545712337217</v>
      </c>
      <c r="AA266" s="1111">
        <v>0.93983215803486553</v>
      </c>
      <c r="AB266" s="1111">
        <v>0.9448337161115955</v>
      </c>
      <c r="AC266" s="1111">
        <v>0.94882595222180732</v>
      </c>
      <c r="AD266" s="1111">
        <f t="shared" si="321"/>
        <v>0.94882595222180732</v>
      </c>
      <c r="AE266" s="1111">
        <v>0.11237252950795644</v>
      </c>
      <c r="AF266" s="1111">
        <v>1.2008319186445036E-2</v>
      </c>
      <c r="AG266" s="1111">
        <v>1.1440428722236702E-2</v>
      </c>
      <c r="AH266" s="1111">
        <v>1.1019303297620332E-2</v>
      </c>
      <c r="AI266" s="1111">
        <v>1.0695497094274172E-2</v>
      </c>
      <c r="AJ266" s="1111">
        <v>1.0531498610697288E-2</v>
      </c>
      <c r="AK266" s="1111">
        <v>1.0519414508804963E-2</v>
      </c>
      <c r="AL266" s="1111">
        <v>1.055324831014035E-2</v>
      </c>
      <c r="AM266" s="1111">
        <v>1.0601123586026544E-2</v>
      </c>
      <c r="AN266" s="1111">
        <v>1.0642750687487285E-2</v>
      </c>
      <c r="AO266" s="1111">
        <v>1.0642750687487285E-2</v>
      </c>
      <c r="AP266" s="1111">
        <v>0.76096183093709546</v>
      </c>
      <c r="AQ266" s="1111">
        <v>0.5125560171571476</v>
      </c>
      <c r="AR266" s="1111">
        <v>0.28524363227152555</v>
      </c>
      <c r="AS266" s="1111">
        <v>0.15059869345286986</v>
      </c>
      <c r="AT266" s="1111">
        <v>0.12255913430641784</v>
      </c>
      <c r="AU266" s="1111">
        <v>0.12254515032899667</v>
      </c>
      <c r="AV266" s="1111">
        <v>0.12254600139319219</v>
      </c>
      <c r="AW266" s="1111">
        <v>0.12281946952026185</v>
      </c>
      <c r="AX266" s="1111">
        <v>0.12322966354005825</v>
      </c>
      <c r="AY266" s="1111">
        <v>0.12358051031149252</v>
      </c>
      <c r="AZ266" s="1111">
        <v>0.12358051031149252</v>
      </c>
      <c r="BA266" s="1111">
        <v>0.61049632105256801</v>
      </c>
      <c r="BB266" s="1111">
        <v>0.38758646883273457</v>
      </c>
      <c r="BC266" s="1111">
        <v>0.18136463395361682</v>
      </c>
      <c r="BD266" s="1111">
        <v>5.7072010865232503E-2</v>
      </c>
      <c r="BE266" s="1111">
        <v>3.142625482561888E-2</v>
      </c>
      <c r="BF266" s="1111">
        <v>3.1318237314232916E-2</v>
      </c>
      <c r="BG266" s="1111">
        <v>3.1318665014832332E-2</v>
      </c>
      <c r="BH266" s="1111">
        <v>3.1400963877355435E-2</v>
      </c>
      <c r="BI266" s="1111">
        <v>3.1533170518796588E-2</v>
      </c>
      <c r="BJ266" s="1111">
        <v>3.1642506198363458E-2</v>
      </c>
      <c r="BK266" s="1111">
        <v>3.1642506198363458E-2</v>
      </c>
      <c r="BL266" s="1111">
        <v>3.5535822820768308</v>
      </c>
      <c r="BM266" s="1111">
        <v>2.6868312461912573</v>
      </c>
      <c r="BN266" s="1111">
        <v>1.4399525312393475</v>
      </c>
      <c r="BO266" s="1111">
        <v>0.70915157533615336</v>
      </c>
      <c r="BP266" s="1111">
        <v>0.53550228904915931</v>
      </c>
      <c r="BQ266" s="1111">
        <v>0.54463026923924274</v>
      </c>
      <c r="BR266" s="1111">
        <v>0.54959472152842181</v>
      </c>
      <c r="BS266" s="1111">
        <v>0.55306029136103696</v>
      </c>
      <c r="BT266" s="1111">
        <v>0.55278859363798649</v>
      </c>
      <c r="BU266" s="1111">
        <v>0.55248226732582861</v>
      </c>
      <c r="BV266" s="1111">
        <v>0.55248226732582861</v>
      </c>
      <c r="BW266" s="1111">
        <v>0.92293982632888583</v>
      </c>
      <c r="BX266" s="1111">
        <v>0.74574849265678245</v>
      </c>
      <c r="BY266" s="1111">
        <v>0.37776138418682154</v>
      </c>
      <c r="BZ266" s="1111">
        <v>0.14374508985852863</v>
      </c>
      <c r="CA266" s="1111">
        <v>9.5698100173101527E-2</v>
      </c>
      <c r="CB266" s="1111">
        <v>9.5906601484258572E-2</v>
      </c>
      <c r="CC266" s="1111">
        <v>9.6248609413392208E-2</v>
      </c>
      <c r="CD266" s="1111">
        <v>9.659076930546244E-2</v>
      </c>
      <c r="CE266" s="1111">
        <v>9.6675995413558993E-2</v>
      </c>
      <c r="CF266" s="1111">
        <v>9.6729166147167076E-2</v>
      </c>
      <c r="CG266" s="1111">
        <v>9.6729166147167076E-2</v>
      </c>
      <c r="CH266" s="1111">
        <v>2.4066924054933193E-2</v>
      </c>
      <c r="CI266" s="1111">
        <v>2.3874682536588154E-2</v>
      </c>
      <c r="CJ266" s="1111">
        <v>2.3827696105878482E-2</v>
      </c>
      <c r="CK266" s="1111">
        <v>2.3852203299910037E-2</v>
      </c>
      <c r="CL266" s="1111">
        <v>2.3846962195096008E-2</v>
      </c>
      <c r="CM266" s="1111">
        <v>2.384148107179623E-2</v>
      </c>
      <c r="CN266" s="1111">
        <v>2.3841500805815506E-2</v>
      </c>
      <c r="CO266" s="1111">
        <v>2.3850584443407319E-2</v>
      </c>
      <c r="CP266" s="1111">
        <v>2.3863746255656192E-2</v>
      </c>
      <c r="CQ266" s="1111">
        <v>2.3875203028595665E-2</v>
      </c>
      <c r="CR266" s="1111">
        <v>2.3875203028595665E-2</v>
      </c>
      <c r="CS266" s="1111">
        <v>14.621387679895253</v>
      </c>
      <c r="CT266" s="1111">
        <v>8.6790836194592274</v>
      </c>
      <c r="CU266" s="1111">
        <v>4.0302916241966971</v>
      </c>
      <c r="CV266" s="1111">
        <v>1.9006888087227418</v>
      </c>
      <c r="CW266" s="1111">
        <v>0.99506843010457846</v>
      </c>
      <c r="CX266" s="1111">
        <v>0.95266150348034961</v>
      </c>
      <c r="CY266" s="1111">
        <v>0.93704545712337217</v>
      </c>
      <c r="CZ266" s="1111">
        <v>0.93983215803486553</v>
      </c>
      <c r="DA266" s="1111">
        <v>0.9448337161115955</v>
      </c>
      <c r="DB266" s="1111">
        <v>0.94882595222180732</v>
      </c>
      <c r="DC266" s="1111">
        <v>0.94882595222180732</v>
      </c>
      <c r="DD266" s="1111">
        <v>0.33251795074375806</v>
      </c>
      <c r="DE266" s="1111">
        <v>0.19341562931778372</v>
      </c>
      <c r="DF266" s="1111">
        <v>7.94095714927468E-2</v>
      </c>
      <c r="DG266" s="1111">
        <v>1.4754576201348133E-2</v>
      </c>
      <c r="DH266" s="1111">
        <v>1.6160522719819933E-3</v>
      </c>
      <c r="DI266" s="1111">
        <v>1.6049653935622851E-3</v>
      </c>
      <c r="DJ266" s="1111">
        <v>1.6049983985356002E-3</v>
      </c>
      <c r="DK266" s="1111">
        <v>1.6098230122520154E-3</v>
      </c>
      <c r="DL266" s="1111">
        <v>1.6179747100716357E-3</v>
      </c>
      <c r="DM266" s="1111">
        <v>1.6245560853542357E-3</v>
      </c>
      <c r="DN266" s="1111">
        <v>1.6245560853542357E-3</v>
      </c>
      <c r="DO266" s="1111">
        <v>0.18173617785151971</v>
      </c>
      <c r="DP266" s="1111">
        <v>0.12630141991533564</v>
      </c>
      <c r="DQ266" s="1111">
        <v>5.7207536276329247E-2</v>
      </c>
      <c r="DR266" s="1111">
        <v>1.1877878061966447E-2</v>
      </c>
      <c r="DS266" s="1111">
        <v>2.8097295233125079E-3</v>
      </c>
      <c r="DT266" s="1111">
        <v>2.7904533416799396E-3</v>
      </c>
      <c r="DU266" s="1111">
        <v>2.7905106381460811E-3</v>
      </c>
      <c r="DV266" s="1111">
        <v>2.798898953096617E-3</v>
      </c>
      <c r="DW266" s="1111">
        <v>2.8130718384443347E-3</v>
      </c>
      <c r="DX266" s="1111">
        <v>2.824514428110457E-3</v>
      </c>
      <c r="DY266" s="1111">
        <v>2.824514428110457E-3</v>
      </c>
      <c r="DZ266" s="1111">
        <v>2.163455887507321E-3</v>
      </c>
      <c r="EA266" s="1111">
        <v>1.7446487490935424E-2</v>
      </c>
      <c r="EB266" s="1111">
        <v>4.917132241319308E-2</v>
      </c>
      <c r="EC266" s="1111">
        <v>6.8509645192273691E-2</v>
      </c>
      <c r="ED266" s="1111">
        <v>6.7237592787248612E-2</v>
      </c>
      <c r="EE266" s="1111">
        <v>6.7978431753472374E-2</v>
      </c>
      <c r="EF266" s="1111">
        <v>6.8386896673477388E-2</v>
      </c>
      <c r="EG266" s="1111">
        <v>6.8580196778142088E-2</v>
      </c>
      <c r="EH266" s="1111">
        <v>6.8421552475490532E-2</v>
      </c>
      <c r="EI266" s="1111">
        <v>6.8260915197163818E-2</v>
      </c>
      <c r="EJ266" s="1111">
        <v>6.8260915197163818E-2</v>
      </c>
      <c r="EK266" s="1111">
        <v>1400.6813509233457</v>
      </c>
      <c r="EL266" s="1111">
        <f t="shared" si="343"/>
        <v>1323.7853362484905</v>
      </c>
      <c r="EM266" s="1111">
        <f t="shared" si="344"/>
        <v>1296.4635772728425</v>
      </c>
      <c r="EN266" s="1111">
        <f t="shared" si="345"/>
        <v>1275.3627505048582</v>
      </c>
      <c r="EO266" s="1111">
        <f t="shared" si="346"/>
        <v>1243.4615005927876</v>
      </c>
      <c r="EP266" s="1111">
        <f t="shared" si="347"/>
        <v>1224.3949409410063</v>
      </c>
      <c r="EQ266" s="1111">
        <f t="shared" si="348"/>
        <v>1222.9901189949537</v>
      </c>
      <c r="ER266" s="1111">
        <f t="shared" si="349"/>
        <v>1226.9235387553133</v>
      </c>
      <c r="ES266" s="1111">
        <f t="shared" si="350"/>
        <v>1232.4895131215164</v>
      </c>
      <c r="ET266" s="1111">
        <f t="shared" si="351"/>
        <v>1237.3291566878763</v>
      </c>
      <c r="EU266" s="1111">
        <f t="shared" si="352"/>
        <v>1237.3291566878763</v>
      </c>
      <c r="EV266" s="1111">
        <v>14.621387679895253</v>
      </c>
      <c r="EW266" s="1111">
        <f t="shared" si="333"/>
        <v>8.6790836194592274</v>
      </c>
      <c r="EX266" s="1111">
        <f t="shared" si="334"/>
        <v>4.0302916241966971</v>
      </c>
      <c r="EY266" s="1111">
        <f t="shared" si="335"/>
        <v>1.9006888087227418</v>
      </c>
      <c r="EZ266" s="1111">
        <f t="shared" si="336"/>
        <v>0.99506843010457846</v>
      </c>
      <c r="FA266" s="1111">
        <f t="shared" si="337"/>
        <v>0.95266150348034961</v>
      </c>
      <c r="FB266" s="1111">
        <f t="shared" si="338"/>
        <v>0.93704545712337217</v>
      </c>
      <c r="FC266" s="1111">
        <f t="shared" si="339"/>
        <v>0.93983215803486553</v>
      </c>
      <c r="FD266" s="1111">
        <f t="shared" si="340"/>
        <v>0.9448337161115955</v>
      </c>
      <c r="FE266" s="1111">
        <f t="shared" si="341"/>
        <v>0.94882595222180732</v>
      </c>
      <c r="FF266" s="1111">
        <f t="shared" si="342"/>
        <v>0.94882595222180732</v>
      </c>
      <c r="FG266" s="1111">
        <f t="shared" si="389"/>
        <v>0.11237252950795644</v>
      </c>
      <c r="FH266" s="1111">
        <f t="shared" si="390"/>
        <v>1.2008319186445036E-2</v>
      </c>
      <c r="FI266" s="1111">
        <f t="shared" si="391"/>
        <v>1.1440428722236702E-2</v>
      </c>
      <c r="FJ266" s="1111">
        <f t="shared" si="392"/>
        <v>1.1019303297620332E-2</v>
      </c>
      <c r="FK266" s="1111">
        <f t="shared" si="393"/>
        <v>1.0695497094274172E-2</v>
      </c>
      <c r="FL266" s="1111">
        <f t="shared" si="394"/>
        <v>1.0531498610697288E-2</v>
      </c>
      <c r="FM266" s="1111">
        <f t="shared" si="395"/>
        <v>1.0519414508804963E-2</v>
      </c>
      <c r="FN266" s="1111">
        <f t="shared" si="396"/>
        <v>1.055324831014035E-2</v>
      </c>
      <c r="FO266" s="1111">
        <f t="shared" si="397"/>
        <v>1.0601123586026544E-2</v>
      </c>
      <c r="FP266" s="1111">
        <f t="shared" si="398"/>
        <v>1.0642750687487285E-2</v>
      </c>
      <c r="FQ266" s="1111">
        <f t="shared" si="399"/>
        <v>1.0642750687487285E-2</v>
      </c>
      <c r="FR266" s="1111">
        <f t="shared" si="322"/>
        <v>0.76096183093709546</v>
      </c>
      <c r="FS266" s="1111">
        <f t="shared" si="323"/>
        <v>0.5125560171571476</v>
      </c>
      <c r="FT266" s="1111">
        <f t="shared" si="324"/>
        <v>0.28524363227152555</v>
      </c>
      <c r="FU266" s="1111">
        <f t="shared" si="325"/>
        <v>0.15059869345286986</v>
      </c>
      <c r="FV266" s="1111">
        <f t="shared" si="326"/>
        <v>0.12255913430641784</v>
      </c>
      <c r="FW266" s="1111">
        <f t="shared" si="327"/>
        <v>0.12254515032899667</v>
      </c>
      <c r="FX266" s="1111">
        <f t="shared" si="328"/>
        <v>0.12254600139319219</v>
      </c>
      <c r="FY266" s="1111">
        <f t="shared" si="329"/>
        <v>0.12281946952026185</v>
      </c>
      <c r="FZ266" s="1111">
        <f t="shared" si="330"/>
        <v>0.12322966354005825</v>
      </c>
      <c r="GA266" s="1111">
        <f t="shared" si="331"/>
        <v>0.12358051031149252</v>
      </c>
      <c r="GB266" s="1111">
        <f t="shared" si="332"/>
        <v>0.12358051031149252</v>
      </c>
      <c r="GC266" s="1111">
        <f t="shared" si="353"/>
        <v>0.61049632105256801</v>
      </c>
      <c r="GD266" s="1111">
        <f t="shared" si="354"/>
        <v>0.38758646883273457</v>
      </c>
      <c r="GE266" s="1111">
        <f t="shared" si="355"/>
        <v>0.18136463395361682</v>
      </c>
      <c r="GF266" s="1111">
        <f t="shared" si="356"/>
        <v>5.7072010865232503E-2</v>
      </c>
      <c r="GG266" s="1111">
        <f t="shared" si="357"/>
        <v>3.142625482561888E-2</v>
      </c>
      <c r="GH266" s="1111">
        <f t="shared" si="358"/>
        <v>3.1318237314232916E-2</v>
      </c>
      <c r="GI266" s="1111">
        <f t="shared" si="359"/>
        <v>3.1318665014832332E-2</v>
      </c>
      <c r="GJ266" s="1111">
        <f t="shared" si="360"/>
        <v>3.1400963877355435E-2</v>
      </c>
      <c r="GK266" s="1111">
        <f t="shared" si="361"/>
        <v>3.1533170518796588E-2</v>
      </c>
      <c r="GL266" s="1111">
        <f t="shared" si="362"/>
        <v>3.1642506198363458E-2</v>
      </c>
      <c r="GM266" s="1111">
        <f t="shared" si="363"/>
        <v>3.1642506198363458E-2</v>
      </c>
    </row>
    <row r="267" spans="1:195" x14ac:dyDescent="0.2">
      <c r="A267" s="1071" t="str">
        <f>Technologies!B157</f>
        <v>*R2,R3,R4,R5,R6</v>
      </c>
      <c r="B267" s="1071" t="str">
        <f>Technologies!C157</f>
        <v>THSB20C</v>
      </c>
      <c r="C267" s="1071" t="str">
        <f>Technologies!D157</f>
        <v>Heavy Truck, Short Haul, Conventional B20</v>
      </c>
      <c r="D267" s="1071" t="str">
        <f>NewTech!D104</f>
        <v>bn-vmt, bn-vmt/a</v>
      </c>
      <c r="E267" s="1071" t="str">
        <f>Commodities!C62</f>
        <v>THB20X</v>
      </c>
      <c r="F267" s="1071" t="s">
        <v>98</v>
      </c>
      <c r="G267" s="1110" t="s">
        <v>505</v>
      </c>
      <c r="H267" s="1110" t="s">
        <v>507</v>
      </c>
      <c r="I267" s="1112">
        <v>1</v>
      </c>
      <c r="J267" s="1111" t="str">
        <f t="shared" si="302"/>
        <v>Heavy duty short haul truck-B20</v>
      </c>
      <c r="K267" s="1111">
        <v>1323.7853362484905</v>
      </c>
      <c r="L267" s="1111">
        <v>1296.4635772728425</v>
      </c>
      <c r="M267" s="1111">
        <v>1275.3627505048582</v>
      </c>
      <c r="N267" s="1111">
        <v>1243.4615005927876</v>
      </c>
      <c r="O267" s="1111">
        <v>1224.3949409410063</v>
      </c>
      <c r="P267" s="1111">
        <v>1222.9901189949537</v>
      </c>
      <c r="Q267" s="1111">
        <v>1226.9235387553133</v>
      </c>
      <c r="R267" s="1111">
        <v>1232.4895131215164</v>
      </c>
      <c r="S267" s="1111">
        <v>1237.3291566878763</v>
      </c>
      <c r="T267" s="1111">
        <f t="shared" si="364"/>
        <v>1237.3291566878763</v>
      </c>
      <c r="U267" s="1111">
        <v>8.6790836194592274</v>
      </c>
      <c r="V267" s="1111">
        <v>4.0302916241966971</v>
      </c>
      <c r="W267" s="1111">
        <v>1.9006888087227418</v>
      </c>
      <c r="X267" s="1111">
        <v>0.99506843010457846</v>
      </c>
      <c r="Y267" s="1111">
        <v>0.95266150348034961</v>
      </c>
      <c r="Z267" s="1111">
        <v>0.93704545712337217</v>
      </c>
      <c r="AA267" s="1111">
        <v>0.93983215803486553</v>
      </c>
      <c r="AB267" s="1111">
        <v>0.9448337161115955</v>
      </c>
      <c r="AC267" s="1111">
        <v>0.94882595222180732</v>
      </c>
      <c r="AD267" s="1111">
        <f t="shared" si="321"/>
        <v>0.94882595222180732</v>
      </c>
      <c r="AE267" s="1111">
        <v>0.11237252950795644</v>
      </c>
      <c r="AF267" s="1111">
        <v>1.2008319186445036E-2</v>
      </c>
      <c r="AG267" s="1111">
        <v>1.1440428722236702E-2</v>
      </c>
      <c r="AH267" s="1111">
        <v>1.1019303297620332E-2</v>
      </c>
      <c r="AI267" s="1111">
        <v>1.0695497094274172E-2</v>
      </c>
      <c r="AJ267" s="1111">
        <v>1.0531498610697288E-2</v>
      </c>
      <c r="AK267" s="1111">
        <v>1.0519414508804963E-2</v>
      </c>
      <c r="AL267" s="1111">
        <v>1.055324831014035E-2</v>
      </c>
      <c r="AM267" s="1111">
        <v>1.0601123586026544E-2</v>
      </c>
      <c r="AN267" s="1111">
        <v>1.0642750687487285E-2</v>
      </c>
      <c r="AO267" s="1111">
        <v>1.0642750687487285E-2</v>
      </c>
      <c r="AP267" s="1111">
        <v>0.76096183093709546</v>
      </c>
      <c r="AQ267" s="1111">
        <v>0.5125560171571476</v>
      </c>
      <c r="AR267" s="1111">
        <v>0.28524363227152555</v>
      </c>
      <c r="AS267" s="1111">
        <v>0.15059869345286986</v>
      </c>
      <c r="AT267" s="1111">
        <v>0.12255913430641784</v>
      </c>
      <c r="AU267" s="1111">
        <v>0.12254515032899667</v>
      </c>
      <c r="AV267" s="1111">
        <v>0.12254600139319219</v>
      </c>
      <c r="AW267" s="1111">
        <v>0.12281946952026185</v>
      </c>
      <c r="AX267" s="1111">
        <v>0.12322966354005825</v>
      </c>
      <c r="AY267" s="1111">
        <v>0.12358051031149252</v>
      </c>
      <c r="AZ267" s="1111">
        <v>0.12358051031149252</v>
      </c>
      <c r="BA267" s="1111">
        <v>0.61049632105256801</v>
      </c>
      <c r="BB267" s="1111">
        <v>0.38758646883273457</v>
      </c>
      <c r="BC267" s="1111">
        <v>0.18136463395361682</v>
      </c>
      <c r="BD267" s="1111">
        <v>5.7072010865232503E-2</v>
      </c>
      <c r="BE267" s="1111">
        <v>3.142625482561888E-2</v>
      </c>
      <c r="BF267" s="1111">
        <v>3.1318237314232916E-2</v>
      </c>
      <c r="BG267" s="1111">
        <v>3.1318665014832332E-2</v>
      </c>
      <c r="BH267" s="1111">
        <v>3.1400963877355435E-2</v>
      </c>
      <c r="BI267" s="1111">
        <v>3.1533170518796588E-2</v>
      </c>
      <c r="BJ267" s="1111">
        <v>3.1642506198363458E-2</v>
      </c>
      <c r="BK267" s="1111">
        <v>3.1642506198363458E-2</v>
      </c>
      <c r="BL267" s="1111">
        <v>3.5535822820768308</v>
      </c>
      <c r="BM267" s="1111">
        <v>2.6868312461912573</v>
      </c>
      <c r="BN267" s="1111">
        <v>1.4399525312393475</v>
      </c>
      <c r="BO267" s="1111">
        <v>0.70915157533615336</v>
      </c>
      <c r="BP267" s="1111">
        <v>0.53550228904915931</v>
      </c>
      <c r="BQ267" s="1111">
        <v>0.54463026923924274</v>
      </c>
      <c r="BR267" s="1111">
        <v>0.54959472152842181</v>
      </c>
      <c r="BS267" s="1111">
        <v>0.55306029136103696</v>
      </c>
      <c r="BT267" s="1111">
        <v>0.55278859363798649</v>
      </c>
      <c r="BU267" s="1111">
        <v>0.55248226732582861</v>
      </c>
      <c r="BV267" s="1111">
        <v>0.55248226732582861</v>
      </c>
      <c r="BW267" s="1111">
        <v>0.92293982632888583</v>
      </c>
      <c r="BX267" s="1111">
        <v>0.74574849265678245</v>
      </c>
      <c r="BY267" s="1111">
        <v>0.37776138418682154</v>
      </c>
      <c r="BZ267" s="1111">
        <v>0.14374508985852863</v>
      </c>
      <c r="CA267" s="1111">
        <v>9.5698100173101527E-2</v>
      </c>
      <c r="CB267" s="1111">
        <v>9.5906601484258572E-2</v>
      </c>
      <c r="CC267" s="1111">
        <v>9.6248609413392208E-2</v>
      </c>
      <c r="CD267" s="1111">
        <v>9.659076930546244E-2</v>
      </c>
      <c r="CE267" s="1111">
        <v>9.6675995413558993E-2</v>
      </c>
      <c r="CF267" s="1111">
        <v>9.6729166147167076E-2</v>
      </c>
      <c r="CG267" s="1111">
        <v>9.6729166147167076E-2</v>
      </c>
      <c r="CH267" s="1111">
        <v>2.4066924054933193E-2</v>
      </c>
      <c r="CI267" s="1111">
        <v>2.3874682536588154E-2</v>
      </c>
      <c r="CJ267" s="1111">
        <v>2.3827696105878482E-2</v>
      </c>
      <c r="CK267" s="1111">
        <v>2.3852203299910037E-2</v>
      </c>
      <c r="CL267" s="1111">
        <v>2.3846962195096008E-2</v>
      </c>
      <c r="CM267" s="1111">
        <v>2.384148107179623E-2</v>
      </c>
      <c r="CN267" s="1111">
        <v>2.3841500805815506E-2</v>
      </c>
      <c r="CO267" s="1111">
        <v>2.3850584443407319E-2</v>
      </c>
      <c r="CP267" s="1111">
        <v>2.3863746255656192E-2</v>
      </c>
      <c r="CQ267" s="1111">
        <v>2.3875203028595665E-2</v>
      </c>
      <c r="CR267" s="1111">
        <v>2.3875203028595665E-2</v>
      </c>
      <c r="CS267" s="1111">
        <v>14.621387679895253</v>
      </c>
      <c r="CT267" s="1111">
        <v>8.6790836194592274</v>
      </c>
      <c r="CU267" s="1111">
        <v>4.0302916241966971</v>
      </c>
      <c r="CV267" s="1111">
        <v>1.9006888087227418</v>
      </c>
      <c r="CW267" s="1111">
        <v>0.99506843010457846</v>
      </c>
      <c r="CX267" s="1111">
        <v>0.95266150348034961</v>
      </c>
      <c r="CY267" s="1111">
        <v>0.93704545712337217</v>
      </c>
      <c r="CZ267" s="1111">
        <v>0.93983215803486553</v>
      </c>
      <c r="DA267" s="1111">
        <v>0.9448337161115955</v>
      </c>
      <c r="DB267" s="1111">
        <v>0.94882595222180732</v>
      </c>
      <c r="DC267" s="1111">
        <v>0.94882595222180732</v>
      </c>
      <c r="DD267" s="1111">
        <v>0.33251795074375806</v>
      </c>
      <c r="DE267" s="1111">
        <v>0.19341562931778372</v>
      </c>
      <c r="DF267" s="1111">
        <v>7.94095714927468E-2</v>
      </c>
      <c r="DG267" s="1111">
        <v>1.4754576201348133E-2</v>
      </c>
      <c r="DH267" s="1111">
        <v>1.6160522719819933E-3</v>
      </c>
      <c r="DI267" s="1111">
        <v>1.6049653935622851E-3</v>
      </c>
      <c r="DJ267" s="1111">
        <v>1.6049983985356002E-3</v>
      </c>
      <c r="DK267" s="1111">
        <v>1.6098230122520154E-3</v>
      </c>
      <c r="DL267" s="1111">
        <v>1.6179747100716357E-3</v>
      </c>
      <c r="DM267" s="1111">
        <v>1.6245560853542357E-3</v>
      </c>
      <c r="DN267" s="1111">
        <v>1.6245560853542357E-3</v>
      </c>
      <c r="DO267" s="1111">
        <v>0.18173617785151971</v>
      </c>
      <c r="DP267" s="1111">
        <v>0.12630141991533564</v>
      </c>
      <c r="DQ267" s="1111">
        <v>5.7207536276329247E-2</v>
      </c>
      <c r="DR267" s="1111">
        <v>1.1877878061966447E-2</v>
      </c>
      <c r="DS267" s="1111">
        <v>2.8097295233125079E-3</v>
      </c>
      <c r="DT267" s="1111">
        <v>2.7904533416799396E-3</v>
      </c>
      <c r="DU267" s="1111">
        <v>2.7905106381460811E-3</v>
      </c>
      <c r="DV267" s="1111">
        <v>2.798898953096617E-3</v>
      </c>
      <c r="DW267" s="1111">
        <v>2.8130718384443347E-3</v>
      </c>
      <c r="DX267" s="1111">
        <v>2.824514428110457E-3</v>
      </c>
      <c r="DY267" s="1111">
        <v>2.824514428110457E-3</v>
      </c>
      <c r="DZ267" s="1111">
        <v>2.163455887507321E-3</v>
      </c>
      <c r="EA267" s="1111">
        <v>1.7446487490935424E-2</v>
      </c>
      <c r="EB267" s="1111">
        <v>4.917132241319308E-2</v>
      </c>
      <c r="EC267" s="1111">
        <v>6.8509645192273691E-2</v>
      </c>
      <c r="ED267" s="1111">
        <v>6.7237592787248612E-2</v>
      </c>
      <c r="EE267" s="1111">
        <v>6.7978431753472374E-2</v>
      </c>
      <c r="EF267" s="1111">
        <v>6.8386896673477388E-2</v>
      </c>
      <c r="EG267" s="1111">
        <v>6.8580196778142088E-2</v>
      </c>
      <c r="EH267" s="1111">
        <v>6.8421552475490532E-2</v>
      </c>
      <c r="EI267" s="1111">
        <v>6.8260915197163818E-2</v>
      </c>
      <c r="EJ267" s="1111">
        <v>6.8260915197163818E-2</v>
      </c>
      <c r="EK267" s="1111">
        <v>1400.6813509233457</v>
      </c>
      <c r="EL267" s="1111">
        <f t="shared" si="343"/>
        <v>1323.7853362484905</v>
      </c>
      <c r="EM267" s="1111">
        <f t="shared" si="344"/>
        <v>1296.4635772728425</v>
      </c>
      <c r="EN267" s="1111">
        <f t="shared" si="345"/>
        <v>1275.3627505048582</v>
      </c>
      <c r="EO267" s="1111">
        <f t="shared" si="346"/>
        <v>1243.4615005927876</v>
      </c>
      <c r="EP267" s="1111">
        <f t="shared" si="347"/>
        <v>1224.3949409410063</v>
      </c>
      <c r="EQ267" s="1111">
        <f t="shared" si="348"/>
        <v>1222.9901189949537</v>
      </c>
      <c r="ER267" s="1111">
        <f t="shared" si="349"/>
        <v>1226.9235387553133</v>
      </c>
      <c r="ES267" s="1111">
        <f t="shared" si="350"/>
        <v>1232.4895131215164</v>
      </c>
      <c r="ET267" s="1111">
        <f t="shared" si="351"/>
        <v>1237.3291566878763</v>
      </c>
      <c r="EU267" s="1111">
        <f t="shared" si="352"/>
        <v>1237.3291566878763</v>
      </c>
      <c r="EV267" s="1111">
        <v>14.621387679895253</v>
      </c>
      <c r="EW267" s="1111">
        <f t="shared" si="333"/>
        <v>8.6790836194592274</v>
      </c>
      <c r="EX267" s="1111">
        <f t="shared" si="334"/>
        <v>4.0302916241966971</v>
      </c>
      <c r="EY267" s="1111">
        <f t="shared" si="335"/>
        <v>1.9006888087227418</v>
      </c>
      <c r="EZ267" s="1111">
        <f t="shared" si="336"/>
        <v>0.99506843010457846</v>
      </c>
      <c r="FA267" s="1111">
        <f t="shared" si="337"/>
        <v>0.95266150348034961</v>
      </c>
      <c r="FB267" s="1111">
        <f t="shared" si="338"/>
        <v>0.93704545712337217</v>
      </c>
      <c r="FC267" s="1111">
        <f t="shared" si="339"/>
        <v>0.93983215803486553</v>
      </c>
      <c r="FD267" s="1111">
        <f t="shared" si="340"/>
        <v>0.9448337161115955</v>
      </c>
      <c r="FE267" s="1111">
        <f t="shared" si="341"/>
        <v>0.94882595222180732</v>
      </c>
      <c r="FF267" s="1111">
        <f t="shared" si="342"/>
        <v>0.94882595222180732</v>
      </c>
      <c r="FG267" s="1111">
        <f t="shared" si="389"/>
        <v>0.11237252950795644</v>
      </c>
      <c r="FH267" s="1111">
        <f t="shared" si="390"/>
        <v>1.2008319186445036E-2</v>
      </c>
      <c r="FI267" s="1111">
        <f t="shared" si="391"/>
        <v>1.1440428722236702E-2</v>
      </c>
      <c r="FJ267" s="1111">
        <f t="shared" si="392"/>
        <v>1.1019303297620332E-2</v>
      </c>
      <c r="FK267" s="1111">
        <f t="shared" si="393"/>
        <v>1.0695497094274172E-2</v>
      </c>
      <c r="FL267" s="1111">
        <f t="shared" si="394"/>
        <v>1.0531498610697288E-2</v>
      </c>
      <c r="FM267" s="1111">
        <f t="shared" si="395"/>
        <v>1.0519414508804963E-2</v>
      </c>
      <c r="FN267" s="1111">
        <f t="shared" si="396"/>
        <v>1.055324831014035E-2</v>
      </c>
      <c r="FO267" s="1111">
        <f t="shared" si="397"/>
        <v>1.0601123586026544E-2</v>
      </c>
      <c r="FP267" s="1111">
        <f t="shared" si="398"/>
        <v>1.0642750687487285E-2</v>
      </c>
      <c r="FQ267" s="1111">
        <f t="shared" si="399"/>
        <v>1.0642750687487285E-2</v>
      </c>
      <c r="FR267" s="1111">
        <f t="shared" si="322"/>
        <v>0.76096183093709546</v>
      </c>
      <c r="FS267" s="1111">
        <f t="shared" si="323"/>
        <v>0.5125560171571476</v>
      </c>
      <c r="FT267" s="1111">
        <f t="shared" si="324"/>
        <v>0.28524363227152555</v>
      </c>
      <c r="FU267" s="1111">
        <f t="shared" si="325"/>
        <v>0.15059869345286986</v>
      </c>
      <c r="FV267" s="1111">
        <f t="shared" si="326"/>
        <v>0.12255913430641784</v>
      </c>
      <c r="FW267" s="1111">
        <f t="shared" si="327"/>
        <v>0.12254515032899667</v>
      </c>
      <c r="FX267" s="1111">
        <f t="shared" si="328"/>
        <v>0.12254600139319219</v>
      </c>
      <c r="FY267" s="1111">
        <f t="shared" si="329"/>
        <v>0.12281946952026185</v>
      </c>
      <c r="FZ267" s="1111">
        <f t="shared" si="330"/>
        <v>0.12322966354005825</v>
      </c>
      <c r="GA267" s="1111">
        <f t="shared" si="331"/>
        <v>0.12358051031149252</v>
      </c>
      <c r="GB267" s="1111">
        <f t="shared" si="332"/>
        <v>0.12358051031149252</v>
      </c>
      <c r="GC267" s="1111">
        <f t="shared" si="353"/>
        <v>0.61049632105256801</v>
      </c>
      <c r="GD267" s="1111">
        <f t="shared" si="354"/>
        <v>0.38758646883273457</v>
      </c>
      <c r="GE267" s="1111">
        <f t="shared" si="355"/>
        <v>0.18136463395361682</v>
      </c>
      <c r="GF267" s="1111">
        <f t="shared" si="356"/>
        <v>5.7072010865232503E-2</v>
      </c>
      <c r="GG267" s="1111">
        <f t="shared" si="357"/>
        <v>3.142625482561888E-2</v>
      </c>
      <c r="GH267" s="1111">
        <f t="shared" si="358"/>
        <v>3.1318237314232916E-2</v>
      </c>
      <c r="GI267" s="1111">
        <f t="shared" si="359"/>
        <v>3.1318665014832332E-2</v>
      </c>
      <c r="GJ267" s="1111">
        <f t="shared" si="360"/>
        <v>3.1400963877355435E-2</v>
      </c>
      <c r="GK267" s="1111">
        <f t="shared" si="361"/>
        <v>3.1533170518796588E-2</v>
      </c>
      <c r="GL267" s="1111">
        <f t="shared" si="362"/>
        <v>3.1642506198363458E-2</v>
      </c>
      <c r="GM267" s="1111">
        <f t="shared" si="363"/>
        <v>3.1642506198363458E-2</v>
      </c>
    </row>
    <row r="268" spans="1:195" x14ac:dyDescent="0.2">
      <c r="A268" s="1071" t="str">
        <f>Technologies!B158</f>
        <v>*R2,R3,R4,R5,R6</v>
      </c>
      <c r="B268" s="1071" t="str">
        <f>Technologies!C158</f>
        <v>THSB20IM</v>
      </c>
      <c r="C268" s="1071" t="str">
        <f>Technologies!D158</f>
        <v>Heavy Truck, Short Haul, Improved B20</v>
      </c>
      <c r="D268" s="1071" t="str">
        <f>NewTech!D105</f>
        <v>bn-vmt, bn-vmt/a</v>
      </c>
      <c r="E268" s="1071" t="str">
        <f>Commodities!C62</f>
        <v>THB20X</v>
      </c>
      <c r="F268" s="1071" t="s">
        <v>98</v>
      </c>
      <c r="G268" s="1110" t="s">
        <v>505</v>
      </c>
      <c r="H268" s="1110" t="s">
        <v>507</v>
      </c>
      <c r="I268" s="1112">
        <v>1</v>
      </c>
      <c r="J268" s="1111" t="str">
        <f t="shared" si="302"/>
        <v>Heavy duty short haul truck-B20</v>
      </c>
      <c r="K268" s="1111">
        <v>1323.7853362484905</v>
      </c>
      <c r="L268" s="1111">
        <v>1296.4635772728425</v>
      </c>
      <c r="M268" s="1111">
        <v>1275.3627505048582</v>
      </c>
      <c r="N268" s="1111">
        <v>1243.4615005927876</v>
      </c>
      <c r="O268" s="1111">
        <v>1224.3949409410063</v>
      </c>
      <c r="P268" s="1111">
        <v>1222.9901189949537</v>
      </c>
      <c r="Q268" s="1111">
        <v>1226.9235387553133</v>
      </c>
      <c r="R268" s="1111">
        <v>1232.4895131215164</v>
      </c>
      <c r="S268" s="1111">
        <v>1237.3291566878763</v>
      </c>
      <c r="T268" s="1111">
        <f t="shared" si="364"/>
        <v>1237.3291566878763</v>
      </c>
      <c r="U268" s="1111">
        <v>8.6790836194592274</v>
      </c>
      <c r="V268" s="1111">
        <v>4.0302916241966971</v>
      </c>
      <c r="W268" s="1111">
        <v>1.9006888087227418</v>
      </c>
      <c r="X268" s="1111">
        <v>0.99506843010457846</v>
      </c>
      <c r="Y268" s="1111">
        <v>0.95266150348034961</v>
      </c>
      <c r="Z268" s="1111">
        <v>0.93704545712337217</v>
      </c>
      <c r="AA268" s="1111">
        <v>0.93983215803486553</v>
      </c>
      <c r="AB268" s="1111">
        <v>0.9448337161115955</v>
      </c>
      <c r="AC268" s="1111">
        <v>0.94882595222180732</v>
      </c>
      <c r="AD268" s="1111">
        <f t="shared" si="321"/>
        <v>0.94882595222180732</v>
      </c>
      <c r="AE268" s="1111">
        <v>0.11237252950795644</v>
      </c>
      <c r="AF268" s="1111">
        <v>1.2008319186445036E-2</v>
      </c>
      <c r="AG268" s="1111">
        <v>1.1440428722236702E-2</v>
      </c>
      <c r="AH268" s="1111">
        <v>1.1019303297620332E-2</v>
      </c>
      <c r="AI268" s="1111">
        <v>1.0695497094274172E-2</v>
      </c>
      <c r="AJ268" s="1111">
        <v>1.0531498610697288E-2</v>
      </c>
      <c r="AK268" s="1111">
        <v>1.0519414508804963E-2</v>
      </c>
      <c r="AL268" s="1111">
        <v>1.055324831014035E-2</v>
      </c>
      <c r="AM268" s="1111">
        <v>1.0601123586026544E-2</v>
      </c>
      <c r="AN268" s="1111">
        <v>1.0642750687487285E-2</v>
      </c>
      <c r="AO268" s="1111">
        <v>1.0642750687487285E-2</v>
      </c>
      <c r="AP268" s="1111">
        <v>0.76096183093709546</v>
      </c>
      <c r="AQ268" s="1111">
        <v>0.5125560171571476</v>
      </c>
      <c r="AR268" s="1111">
        <v>0.28524363227152555</v>
      </c>
      <c r="AS268" s="1111">
        <v>0.15059869345286986</v>
      </c>
      <c r="AT268" s="1111">
        <v>0.12255913430641784</v>
      </c>
      <c r="AU268" s="1111">
        <v>0.12254515032899667</v>
      </c>
      <c r="AV268" s="1111">
        <v>0.12254600139319219</v>
      </c>
      <c r="AW268" s="1111">
        <v>0.12281946952026185</v>
      </c>
      <c r="AX268" s="1111">
        <v>0.12322966354005825</v>
      </c>
      <c r="AY268" s="1111">
        <v>0.12358051031149252</v>
      </c>
      <c r="AZ268" s="1111">
        <v>0.12358051031149252</v>
      </c>
      <c r="BA268" s="1111">
        <v>0.61049632105256801</v>
      </c>
      <c r="BB268" s="1111">
        <v>0.38758646883273457</v>
      </c>
      <c r="BC268" s="1111">
        <v>0.18136463395361682</v>
      </c>
      <c r="BD268" s="1111">
        <v>5.7072010865232503E-2</v>
      </c>
      <c r="BE268" s="1111">
        <v>3.142625482561888E-2</v>
      </c>
      <c r="BF268" s="1111">
        <v>3.1318237314232916E-2</v>
      </c>
      <c r="BG268" s="1111">
        <v>3.1318665014832332E-2</v>
      </c>
      <c r="BH268" s="1111">
        <v>3.1400963877355435E-2</v>
      </c>
      <c r="BI268" s="1111">
        <v>3.1533170518796588E-2</v>
      </c>
      <c r="BJ268" s="1111">
        <v>3.1642506198363458E-2</v>
      </c>
      <c r="BK268" s="1111">
        <v>3.1642506198363458E-2</v>
      </c>
      <c r="BL268" s="1111">
        <v>3.5535822820768308</v>
      </c>
      <c r="BM268" s="1111">
        <v>2.6868312461912573</v>
      </c>
      <c r="BN268" s="1111">
        <v>1.4399525312393475</v>
      </c>
      <c r="BO268" s="1111">
        <v>0.70915157533615336</v>
      </c>
      <c r="BP268" s="1111">
        <v>0.53550228904915931</v>
      </c>
      <c r="BQ268" s="1111">
        <v>0.54463026923924274</v>
      </c>
      <c r="BR268" s="1111">
        <v>0.54959472152842181</v>
      </c>
      <c r="BS268" s="1111">
        <v>0.55306029136103696</v>
      </c>
      <c r="BT268" s="1111">
        <v>0.55278859363798649</v>
      </c>
      <c r="BU268" s="1111">
        <v>0.55248226732582861</v>
      </c>
      <c r="BV268" s="1111">
        <v>0.55248226732582861</v>
      </c>
      <c r="BW268" s="1111">
        <v>0.92293982632888583</v>
      </c>
      <c r="BX268" s="1111">
        <v>0.74574849265678245</v>
      </c>
      <c r="BY268" s="1111">
        <v>0.37776138418682154</v>
      </c>
      <c r="BZ268" s="1111">
        <v>0.14374508985852863</v>
      </c>
      <c r="CA268" s="1111">
        <v>9.5698100173101527E-2</v>
      </c>
      <c r="CB268" s="1111">
        <v>9.5906601484258572E-2</v>
      </c>
      <c r="CC268" s="1111">
        <v>9.6248609413392208E-2</v>
      </c>
      <c r="CD268" s="1111">
        <v>9.659076930546244E-2</v>
      </c>
      <c r="CE268" s="1111">
        <v>9.6675995413558993E-2</v>
      </c>
      <c r="CF268" s="1111">
        <v>9.6729166147167076E-2</v>
      </c>
      <c r="CG268" s="1111">
        <v>9.6729166147167076E-2</v>
      </c>
      <c r="CH268" s="1111">
        <v>2.4066924054933193E-2</v>
      </c>
      <c r="CI268" s="1111">
        <v>2.3874682536588154E-2</v>
      </c>
      <c r="CJ268" s="1111">
        <v>2.3827696105878482E-2</v>
      </c>
      <c r="CK268" s="1111">
        <v>2.3852203299910037E-2</v>
      </c>
      <c r="CL268" s="1111">
        <v>2.3846962195096008E-2</v>
      </c>
      <c r="CM268" s="1111">
        <v>2.384148107179623E-2</v>
      </c>
      <c r="CN268" s="1111">
        <v>2.3841500805815506E-2</v>
      </c>
      <c r="CO268" s="1111">
        <v>2.3850584443407319E-2</v>
      </c>
      <c r="CP268" s="1111">
        <v>2.3863746255656192E-2</v>
      </c>
      <c r="CQ268" s="1111">
        <v>2.3875203028595665E-2</v>
      </c>
      <c r="CR268" s="1111">
        <v>2.3875203028595665E-2</v>
      </c>
      <c r="CS268" s="1111">
        <v>14.621387679895253</v>
      </c>
      <c r="CT268" s="1111">
        <v>8.6790836194592274</v>
      </c>
      <c r="CU268" s="1111">
        <v>4.0302916241966971</v>
      </c>
      <c r="CV268" s="1111">
        <v>1.9006888087227418</v>
      </c>
      <c r="CW268" s="1111">
        <v>0.99506843010457846</v>
      </c>
      <c r="CX268" s="1111">
        <v>0.95266150348034961</v>
      </c>
      <c r="CY268" s="1111">
        <v>0.93704545712337217</v>
      </c>
      <c r="CZ268" s="1111">
        <v>0.93983215803486553</v>
      </c>
      <c r="DA268" s="1111">
        <v>0.9448337161115955</v>
      </c>
      <c r="DB268" s="1111">
        <v>0.94882595222180732</v>
      </c>
      <c r="DC268" s="1111">
        <v>0.94882595222180732</v>
      </c>
      <c r="DD268" s="1111">
        <v>0.33251795074375806</v>
      </c>
      <c r="DE268" s="1111">
        <v>0.19341562931778372</v>
      </c>
      <c r="DF268" s="1111">
        <v>7.94095714927468E-2</v>
      </c>
      <c r="DG268" s="1111">
        <v>1.4754576201348133E-2</v>
      </c>
      <c r="DH268" s="1111">
        <v>1.6160522719819933E-3</v>
      </c>
      <c r="DI268" s="1111">
        <v>1.6049653935622851E-3</v>
      </c>
      <c r="DJ268" s="1111">
        <v>1.6049983985356002E-3</v>
      </c>
      <c r="DK268" s="1111">
        <v>1.6098230122520154E-3</v>
      </c>
      <c r="DL268" s="1111">
        <v>1.6179747100716357E-3</v>
      </c>
      <c r="DM268" s="1111">
        <v>1.6245560853542357E-3</v>
      </c>
      <c r="DN268" s="1111">
        <v>1.6245560853542357E-3</v>
      </c>
      <c r="DO268" s="1111">
        <v>0.18173617785151971</v>
      </c>
      <c r="DP268" s="1111">
        <v>0.12630141991533564</v>
      </c>
      <c r="DQ268" s="1111">
        <v>5.7207536276329247E-2</v>
      </c>
      <c r="DR268" s="1111">
        <v>1.1877878061966447E-2</v>
      </c>
      <c r="DS268" s="1111">
        <v>2.8097295233125079E-3</v>
      </c>
      <c r="DT268" s="1111">
        <v>2.7904533416799396E-3</v>
      </c>
      <c r="DU268" s="1111">
        <v>2.7905106381460811E-3</v>
      </c>
      <c r="DV268" s="1111">
        <v>2.798898953096617E-3</v>
      </c>
      <c r="DW268" s="1111">
        <v>2.8130718384443347E-3</v>
      </c>
      <c r="DX268" s="1111">
        <v>2.824514428110457E-3</v>
      </c>
      <c r="DY268" s="1111">
        <v>2.824514428110457E-3</v>
      </c>
      <c r="DZ268" s="1111">
        <v>2.163455887507321E-3</v>
      </c>
      <c r="EA268" s="1111">
        <v>1.7446487490935424E-2</v>
      </c>
      <c r="EB268" s="1111">
        <v>4.917132241319308E-2</v>
      </c>
      <c r="EC268" s="1111">
        <v>6.8509645192273691E-2</v>
      </c>
      <c r="ED268" s="1111">
        <v>6.7237592787248612E-2</v>
      </c>
      <c r="EE268" s="1111">
        <v>6.7978431753472374E-2</v>
      </c>
      <c r="EF268" s="1111">
        <v>6.8386896673477388E-2</v>
      </c>
      <c r="EG268" s="1111">
        <v>6.8580196778142088E-2</v>
      </c>
      <c r="EH268" s="1111">
        <v>6.8421552475490532E-2</v>
      </c>
      <c r="EI268" s="1111">
        <v>6.8260915197163818E-2</v>
      </c>
      <c r="EJ268" s="1111">
        <v>6.8260915197163818E-2</v>
      </c>
      <c r="EK268" s="1111">
        <v>1400.6813509233457</v>
      </c>
      <c r="EL268" s="1111">
        <f t="shared" si="343"/>
        <v>1323.7853362484905</v>
      </c>
      <c r="EM268" s="1111">
        <f t="shared" si="344"/>
        <v>1296.4635772728425</v>
      </c>
      <c r="EN268" s="1111">
        <f t="shared" si="345"/>
        <v>1275.3627505048582</v>
      </c>
      <c r="EO268" s="1111">
        <f t="shared" si="346"/>
        <v>1243.4615005927876</v>
      </c>
      <c r="EP268" s="1111">
        <f t="shared" si="347"/>
        <v>1224.3949409410063</v>
      </c>
      <c r="EQ268" s="1111">
        <f t="shared" si="348"/>
        <v>1222.9901189949537</v>
      </c>
      <c r="ER268" s="1111">
        <f t="shared" si="349"/>
        <v>1226.9235387553133</v>
      </c>
      <c r="ES268" s="1111">
        <f t="shared" si="350"/>
        <v>1232.4895131215164</v>
      </c>
      <c r="ET268" s="1111">
        <f t="shared" si="351"/>
        <v>1237.3291566878763</v>
      </c>
      <c r="EU268" s="1111">
        <f t="shared" si="352"/>
        <v>1237.3291566878763</v>
      </c>
      <c r="EV268" s="1111">
        <v>14.621387679895253</v>
      </c>
      <c r="EW268" s="1111">
        <f t="shared" si="333"/>
        <v>8.6790836194592274</v>
      </c>
      <c r="EX268" s="1111">
        <f t="shared" si="334"/>
        <v>4.0302916241966971</v>
      </c>
      <c r="EY268" s="1111">
        <f t="shared" si="335"/>
        <v>1.9006888087227418</v>
      </c>
      <c r="EZ268" s="1111">
        <f t="shared" si="336"/>
        <v>0.99506843010457846</v>
      </c>
      <c r="FA268" s="1111">
        <f t="shared" si="337"/>
        <v>0.95266150348034961</v>
      </c>
      <c r="FB268" s="1111">
        <f t="shared" si="338"/>
        <v>0.93704545712337217</v>
      </c>
      <c r="FC268" s="1111">
        <f t="shared" si="339"/>
        <v>0.93983215803486553</v>
      </c>
      <c r="FD268" s="1111">
        <f t="shared" si="340"/>
        <v>0.9448337161115955</v>
      </c>
      <c r="FE268" s="1111">
        <f t="shared" si="341"/>
        <v>0.94882595222180732</v>
      </c>
      <c r="FF268" s="1111">
        <f t="shared" si="342"/>
        <v>0.94882595222180732</v>
      </c>
      <c r="FG268" s="1111">
        <f t="shared" si="389"/>
        <v>0.11237252950795644</v>
      </c>
      <c r="FH268" s="1111">
        <f t="shared" si="390"/>
        <v>1.2008319186445036E-2</v>
      </c>
      <c r="FI268" s="1111">
        <f t="shared" si="391"/>
        <v>1.1440428722236702E-2</v>
      </c>
      <c r="FJ268" s="1111">
        <f t="shared" si="392"/>
        <v>1.1019303297620332E-2</v>
      </c>
      <c r="FK268" s="1111">
        <f t="shared" si="393"/>
        <v>1.0695497094274172E-2</v>
      </c>
      <c r="FL268" s="1111">
        <f t="shared" si="394"/>
        <v>1.0531498610697288E-2</v>
      </c>
      <c r="FM268" s="1111">
        <f t="shared" si="395"/>
        <v>1.0519414508804963E-2</v>
      </c>
      <c r="FN268" s="1111">
        <f t="shared" si="396"/>
        <v>1.055324831014035E-2</v>
      </c>
      <c r="FO268" s="1111">
        <f t="shared" si="397"/>
        <v>1.0601123586026544E-2</v>
      </c>
      <c r="FP268" s="1111">
        <f t="shared" si="398"/>
        <v>1.0642750687487285E-2</v>
      </c>
      <c r="FQ268" s="1111">
        <f t="shared" si="399"/>
        <v>1.0642750687487285E-2</v>
      </c>
      <c r="FR268" s="1111">
        <f t="shared" si="322"/>
        <v>0.76096183093709546</v>
      </c>
      <c r="FS268" s="1111">
        <f t="shared" si="323"/>
        <v>0.5125560171571476</v>
      </c>
      <c r="FT268" s="1111">
        <f t="shared" si="324"/>
        <v>0.28524363227152555</v>
      </c>
      <c r="FU268" s="1111">
        <f t="shared" si="325"/>
        <v>0.15059869345286986</v>
      </c>
      <c r="FV268" s="1111">
        <f t="shared" si="326"/>
        <v>0.12255913430641784</v>
      </c>
      <c r="FW268" s="1111">
        <f t="shared" si="327"/>
        <v>0.12254515032899667</v>
      </c>
      <c r="FX268" s="1111">
        <f t="shared" si="328"/>
        <v>0.12254600139319219</v>
      </c>
      <c r="FY268" s="1111">
        <f t="shared" si="329"/>
        <v>0.12281946952026185</v>
      </c>
      <c r="FZ268" s="1111">
        <f t="shared" si="330"/>
        <v>0.12322966354005825</v>
      </c>
      <c r="GA268" s="1111">
        <f t="shared" si="331"/>
        <v>0.12358051031149252</v>
      </c>
      <c r="GB268" s="1111">
        <f t="shared" si="332"/>
        <v>0.12358051031149252</v>
      </c>
      <c r="GC268" s="1111">
        <f t="shared" si="353"/>
        <v>0.61049632105256801</v>
      </c>
      <c r="GD268" s="1111">
        <f t="shared" si="354"/>
        <v>0.38758646883273457</v>
      </c>
      <c r="GE268" s="1111">
        <f t="shared" si="355"/>
        <v>0.18136463395361682</v>
      </c>
      <c r="GF268" s="1111">
        <f t="shared" si="356"/>
        <v>5.7072010865232503E-2</v>
      </c>
      <c r="GG268" s="1111">
        <f t="shared" si="357"/>
        <v>3.142625482561888E-2</v>
      </c>
      <c r="GH268" s="1111">
        <f t="shared" si="358"/>
        <v>3.1318237314232916E-2</v>
      </c>
      <c r="GI268" s="1111">
        <f t="shared" si="359"/>
        <v>3.1318665014832332E-2</v>
      </c>
      <c r="GJ268" s="1111">
        <f t="shared" si="360"/>
        <v>3.1400963877355435E-2</v>
      </c>
      <c r="GK268" s="1111">
        <f t="shared" si="361"/>
        <v>3.1533170518796588E-2</v>
      </c>
      <c r="GL268" s="1111">
        <f t="shared" si="362"/>
        <v>3.1642506198363458E-2</v>
      </c>
      <c r="GM268" s="1111">
        <f t="shared" si="363"/>
        <v>3.1642506198363458E-2</v>
      </c>
    </row>
    <row r="269" spans="1:195" x14ac:dyDescent="0.2">
      <c r="A269" s="1071" t="str">
        <f>Technologies!B159</f>
        <v>*R2,R3,R4,R5,R6</v>
      </c>
      <c r="B269" s="1071" t="str">
        <f>Technologies!C159</f>
        <v>THSB20ADV</v>
      </c>
      <c r="C269" s="1071" t="str">
        <f>Technologies!D159</f>
        <v>Heavy Truck, Short Haul, Advanced B20</v>
      </c>
      <c r="D269" s="1071" t="str">
        <f>NewTech!D106</f>
        <v>bn-vmt, bn-vmt/a</v>
      </c>
      <c r="E269" s="1071" t="str">
        <f>Commodities!C62</f>
        <v>THB20X</v>
      </c>
      <c r="F269" s="1071" t="s">
        <v>98</v>
      </c>
      <c r="G269" s="1110" t="s">
        <v>505</v>
      </c>
      <c r="H269" s="1110" t="s">
        <v>507</v>
      </c>
      <c r="I269" s="1112">
        <v>1</v>
      </c>
      <c r="J269" s="1111" t="str">
        <f t="shared" si="302"/>
        <v>Heavy duty short haul truck-B20</v>
      </c>
      <c r="K269" s="1111">
        <v>1323.7853362484905</v>
      </c>
      <c r="L269" s="1111">
        <v>1296.4635772728425</v>
      </c>
      <c r="M269" s="1111">
        <v>1275.3627505048582</v>
      </c>
      <c r="N269" s="1111">
        <v>1243.4615005927876</v>
      </c>
      <c r="O269" s="1111">
        <v>1224.3949409410063</v>
      </c>
      <c r="P269" s="1111">
        <v>1222.9901189949537</v>
      </c>
      <c r="Q269" s="1111">
        <v>1226.9235387553133</v>
      </c>
      <c r="R269" s="1111">
        <v>1232.4895131215164</v>
      </c>
      <c r="S269" s="1111">
        <v>1237.3291566878763</v>
      </c>
      <c r="T269" s="1111">
        <f t="shared" si="364"/>
        <v>1237.3291566878763</v>
      </c>
      <c r="U269" s="1111">
        <v>8.6790836194592274</v>
      </c>
      <c r="V269" s="1111">
        <v>4.0302916241966971</v>
      </c>
      <c r="W269" s="1111">
        <v>1.9006888087227418</v>
      </c>
      <c r="X269" s="1111">
        <v>0.99506843010457846</v>
      </c>
      <c r="Y269" s="1111">
        <v>0.95266150348034961</v>
      </c>
      <c r="Z269" s="1111">
        <v>0.93704545712337217</v>
      </c>
      <c r="AA269" s="1111">
        <v>0.93983215803486553</v>
      </c>
      <c r="AB269" s="1111">
        <v>0.9448337161115955</v>
      </c>
      <c r="AC269" s="1111">
        <v>0.94882595222180732</v>
      </c>
      <c r="AD269" s="1111">
        <f t="shared" si="321"/>
        <v>0.94882595222180732</v>
      </c>
      <c r="AE269" s="1111">
        <v>0.11237252950795644</v>
      </c>
      <c r="AF269" s="1111">
        <v>1.2008319186445036E-2</v>
      </c>
      <c r="AG269" s="1111">
        <v>1.1440428722236702E-2</v>
      </c>
      <c r="AH269" s="1111">
        <v>1.1019303297620332E-2</v>
      </c>
      <c r="AI269" s="1111">
        <v>1.0695497094274172E-2</v>
      </c>
      <c r="AJ269" s="1111">
        <v>1.0531498610697288E-2</v>
      </c>
      <c r="AK269" s="1111">
        <v>1.0519414508804963E-2</v>
      </c>
      <c r="AL269" s="1111">
        <v>1.055324831014035E-2</v>
      </c>
      <c r="AM269" s="1111">
        <v>1.0601123586026544E-2</v>
      </c>
      <c r="AN269" s="1111">
        <v>1.0642750687487285E-2</v>
      </c>
      <c r="AO269" s="1111">
        <v>1.0642750687487285E-2</v>
      </c>
      <c r="AP269" s="1111">
        <v>0.76096183093709546</v>
      </c>
      <c r="AQ269" s="1111">
        <v>0.5125560171571476</v>
      </c>
      <c r="AR269" s="1111">
        <v>0.28524363227152555</v>
      </c>
      <c r="AS269" s="1111">
        <v>0.15059869345286986</v>
      </c>
      <c r="AT269" s="1111">
        <v>0.12255913430641784</v>
      </c>
      <c r="AU269" s="1111">
        <v>0.12254515032899667</v>
      </c>
      <c r="AV269" s="1111">
        <v>0.12254600139319219</v>
      </c>
      <c r="AW269" s="1111">
        <v>0.12281946952026185</v>
      </c>
      <c r="AX269" s="1111">
        <v>0.12322966354005825</v>
      </c>
      <c r="AY269" s="1111">
        <v>0.12358051031149252</v>
      </c>
      <c r="AZ269" s="1111">
        <v>0.12358051031149252</v>
      </c>
      <c r="BA269" s="1111">
        <v>0.61049632105256801</v>
      </c>
      <c r="BB269" s="1111">
        <v>0.38758646883273457</v>
      </c>
      <c r="BC269" s="1111">
        <v>0.18136463395361682</v>
      </c>
      <c r="BD269" s="1111">
        <v>5.7072010865232503E-2</v>
      </c>
      <c r="BE269" s="1111">
        <v>3.142625482561888E-2</v>
      </c>
      <c r="BF269" s="1111">
        <v>3.1318237314232916E-2</v>
      </c>
      <c r="BG269" s="1111">
        <v>3.1318665014832332E-2</v>
      </c>
      <c r="BH269" s="1111">
        <v>3.1400963877355435E-2</v>
      </c>
      <c r="BI269" s="1111">
        <v>3.1533170518796588E-2</v>
      </c>
      <c r="BJ269" s="1111">
        <v>3.1642506198363458E-2</v>
      </c>
      <c r="BK269" s="1111">
        <v>3.1642506198363458E-2</v>
      </c>
      <c r="BL269" s="1111">
        <v>3.5535822820768308</v>
      </c>
      <c r="BM269" s="1111">
        <v>2.6868312461912573</v>
      </c>
      <c r="BN269" s="1111">
        <v>1.4399525312393475</v>
      </c>
      <c r="BO269" s="1111">
        <v>0.70915157533615336</v>
      </c>
      <c r="BP269" s="1111">
        <v>0.53550228904915931</v>
      </c>
      <c r="BQ269" s="1111">
        <v>0.54463026923924274</v>
      </c>
      <c r="BR269" s="1111">
        <v>0.54959472152842181</v>
      </c>
      <c r="BS269" s="1111">
        <v>0.55306029136103696</v>
      </c>
      <c r="BT269" s="1111">
        <v>0.55278859363798649</v>
      </c>
      <c r="BU269" s="1111">
        <v>0.55248226732582861</v>
      </c>
      <c r="BV269" s="1111">
        <v>0.55248226732582861</v>
      </c>
      <c r="BW269" s="1111">
        <v>0.92293982632888583</v>
      </c>
      <c r="BX269" s="1111">
        <v>0.74574849265678245</v>
      </c>
      <c r="BY269" s="1111">
        <v>0.37776138418682154</v>
      </c>
      <c r="BZ269" s="1111">
        <v>0.14374508985852863</v>
      </c>
      <c r="CA269" s="1111">
        <v>9.5698100173101527E-2</v>
      </c>
      <c r="CB269" s="1111">
        <v>9.5906601484258572E-2</v>
      </c>
      <c r="CC269" s="1111">
        <v>9.6248609413392208E-2</v>
      </c>
      <c r="CD269" s="1111">
        <v>9.659076930546244E-2</v>
      </c>
      <c r="CE269" s="1111">
        <v>9.6675995413558993E-2</v>
      </c>
      <c r="CF269" s="1111">
        <v>9.6729166147167076E-2</v>
      </c>
      <c r="CG269" s="1111">
        <v>9.6729166147167076E-2</v>
      </c>
      <c r="CH269" s="1111">
        <v>2.4066924054933193E-2</v>
      </c>
      <c r="CI269" s="1111">
        <v>2.3874682536588154E-2</v>
      </c>
      <c r="CJ269" s="1111">
        <v>2.3827696105878482E-2</v>
      </c>
      <c r="CK269" s="1111">
        <v>2.3852203299910037E-2</v>
      </c>
      <c r="CL269" s="1111">
        <v>2.3846962195096008E-2</v>
      </c>
      <c r="CM269" s="1111">
        <v>2.384148107179623E-2</v>
      </c>
      <c r="CN269" s="1111">
        <v>2.3841500805815506E-2</v>
      </c>
      <c r="CO269" s="1111">
        <v>2.3850584443407319E-2</v>
      </c>
      <c r="CP269" s="1111">
        <v>2.3863746255656192E-2</v>
      </c>
      <c r="CQ269" s="1111">
        <v>2.3875203028595665E-2</v>
      </c>
      <c r="CR269" s="1111">
        <v>2.3875203028595665E-2</v>
      </c>
      <c r="CS269" s="1111">
        <v>14.621387679895253</v>
      </c>
      <c r="CT269" s="1111">
        <v>8.6790836194592274</v>
      </c>
      <c r="CU269" s="1111">
        <v>4.0302916241966971</v>
      </c>
      <c r="CV269" s="1111">
        <v>1.9006888087227418</v>
      </c>
      <c r="CW269" s="1111">
        <v>0.99506843010457846</v>
      </c>
      <c r="CX269" s="1111">
        <v>0.95266150348034961</v>
      </c>
      <c r="CY269" s="1111">
        <v>0.93704545712337217</v>
      </c>
      <c r="CZ269" s="1111">
        <v>0.93983215803486553</v>
      </c>
      <c r="DA269" s="1111">
        <v>0.9448337161115955</v>
      </c>
      <c r="DB269" s="1111">
        <v>0.94882595222180732</v>
      </c>
      <c r="DC269" s="1111">
        <v>0.94882595222180732</v>
      </c>
      <c r="DD269" s="1111">
        <v>0.33251795074375806</v>
      </c>
      <c r="DE269" s="1111">
        <v>0.19341562931778372</v>
      </c>
      <c r="DF269" s="1111">
        <v>7.94095714927468E-2</v>
      </c>
      <c r="DG269" s="1111">
        <v>1.4754576201348133E-2</v>
      </c>
      <c r="DH269" s="1111">
        <v>1.6160522719819933E-3</v>
      </c>
      <c r="DI269" s="1111">
        <v>1.6049653935622851E-3</v>
      </c>
      <c r="DJ269" s="1111">
        <v>1.6049983985356002E-3</v>
      </c>
      <c r="DK269" s="1111">
        <v>1.6098230122520154E-3</v>
      </c>
      <c r="DL269" s="1111">
        <v>1.6179747100716357E-3</v>
      </c>
      <c r="DM269" s="1111">
        <v>1.6245560853542357E-3</v>
      </c>
      <c r="DN269" s="1111">
        <v>1.6245560853542357E-3</v>
      </c>
      <c r="DO269" s="1111">
        <v>0.18173617785151971</v>
      </c>
      <c r="DP269" s="1111">
        <v>0.12630141991533564</v>
      </c>
      <c r="DQ269" s="1111">
        <v>5.7207536276329247E-2</v>
      </c>
      <c r="DR269" s="1111">
        <v>1.1877878061966447E-2</v>
      </c>
      <c r="DS269" s="1111">
        <v>2.8097295233125079E-3</v>
      </c>
      <c r="DT269" s="1111">
        <v>2.7904533416799396E-3</v>
      </c>
      <c r="DU269" s="1111">
        <v>2.7905106381460811E-3</v>
      </c>
      <c r="DV269" s="1111">
        <v>2.798898953096617E-3</v>
      </c>
      <c r="DW269" s="1111">
        <v>2.8130718384443347E-3</v>
      </c>
      <c r="DX269" s="1111">
        <v>2.824514428110457E-3</v>
      </c>
      <c r="DY269" s="1111">
        <v>2.824514428110457E-3</v>
      </c>
      <c r="DZ269" s="1111">
        <v>2.163455887507321E-3</v>
      </c>
      <c r="EA269" s="1111">
        <v>1.7446487490935424E-2</v>
      </c>
      <c r="EB269" s="1111">
        <v>4.917132241319308E-2</v>
      </c>
      <c r="EC269" s="1111">
        <v>6.8509645192273691E-2</v>
      </c>
      <c r="ED269" s="1111">
        <v>6.7237592787248612E-2</v>
      </c>
      <c r="EE269" s="1111">
        <v>6.7978431753472374E-2</v>
      </c>
      <c r="EF269" s="1111">
        <v>6.8386896673477388E-2</v>
      </c>
      <c r="EG269" s="1111">
        <v>6.8580196778142088E-2</v>
      </c>
      <c r="EH269" s="1111">
        <v>6.8421552475490532E-2</v>
      </c>
      <c r="EI269" s="1111">
        <v>6.8260915197163818E-2</v>
      </c>
      <c r="EJ269" s="1111">
        <v>6.8260915197163818E-2</v>
      </c>
      <c r="EK269" s="1111">
        <v>1400.6813509233457</v>
      </c>
      <c r="EL269" s="1111">
        <f t="shared" si="343"/>
        <v>1323.7853362484905</v>
      </c>
      <c r="EM269" s="1111">
        <f t="shared" si="344"/>
        <v>1296.4635772728425</v>
      </c>
      <c r="EN269" s="1111">
        <f t="shared" si="345"/>
        <v>1275.3627505048582</v>
      </c>
      <c r="EO269" s="1111">
        <f t="shared" si="346"/>
        <v>1243.4615005927876</v>
      </c>
      <c r="EP269" s="1111">
        <f t="shared" si="347"/>
        <v>1224.3949409410063</v>
      </c>
      <c r="EQ269" s="1111">
        <f t="shared" si="348"/>
        <v>1222.9901189949537</v>
      </c>
      <c r="ER269" s="1111">
        <f t="shared" si="349"/>
        <v>1226.9235387553133</v>
      </c>
      <c r="ES269" s="1111">
        <f t="shared" si="350"/>
        <v>1232.4895131215164</v>
      </c>
      <c r="ET269" s="1111">
        <f t="shared" si="351"/>
        <v>1237.3291566878763</v>
      </c>
      <c r="EU269" s="1111">
        <f t="shared" si="352"/>
        <v>1237.3291566878763</v>
      </c>
      <c r="EV269" s="1111">
        <v>14.621387679895253</v>
      </c>
      <c r="EW269" s="1111">
        <f t="shared" si="333"/>
        <v>8.6790836194592274</v>
      </c>
      <c r="EX269" s="1111">
        <f t="shared" si="334"/>
        <v>4.0302916241966971</v>
      </c>
      <c r="EY269" s="1111">
        <f t="shared" si="335"/>
        <v>1.9006888087227418</v>
      </c>
      <c r="EZ269" s="1111">
        <f t="shared" si="336"/>
        <v>0.99506843010457846</v>
      </c>
      <c r="FA269" s="1111">
        <f t="shared" si="337"/>
        <v>0.95266150348034961</v>
      </c>
      <c r="FB269" s="1111">
        <f t="shared" si="338"/>
        <v>0.93704545712337217</v>
      </c>
      <c r="FC269" s="1111">
        <f t="shared" si="339"/>
        <v>0.93983215803486553</v>
      </c>
      <c r="FD269" s="1111">
        <f t="shared" si="340"/>
        <v>0.9448337161115955</v>
      </c>
      <c r="FE269" s="1111">
        <f t="shared" si="341"/>
        <v>0.94882595222180732</v>
      </c>
      <c r="FF269" s="1111">
        <f t="shared" si="342"/>
        <v>0.94882595222180732</v>
      </c>
      <c r="FG269" s="1111">
        <f t="shared" si="389"/>
        <v>0.11237252950795644</v>
      </c>
      <c r="FH269" s="1111">
        <f t="shared" si="390"/>
        <v>1.2008319186445036E-2</v>
      </c>
      <c r="FI269" s="1111">
        <f t="shared" si="391"/>
        <v>1.1440428722236702E-2</v>
      </c>
      <c r="FJ269" s="1111">
        <f t="shared" si="392"/>
        <v>1.1019303297620332E-2</v>
      </c>
      <c r="FK269" s="1111">
        <f t="shared" si="393"/>
        <v>1.0695497094274172E-2</v>
      </c>
      <c r="FL269" s="1111">
        <f t="shared" si="394"/>
        <v>1.0531498610697288E-2</v>
      </c>
      <c r="FM269" s="1111">
        <f t="shared" si="395"/>
        <v>1.0519414508804963E-2</v>
      </c>
      <c r="FN269" s="1111">
        <f t="shared" si="396"/>
        <v>1.055324831014035E-2</v>
      </c>
      <c r="FO269" s="1111">
        <f t="shared" si="397"/>
        <v>1.0601123586026544E-2</v>
      </c>
      <c r="FP269" s="1111">
        <f t="shared" si="398"/>
        <v>1.0642750687487285E-2</v>
      </c>
      <c r="FQ269" s="1111">
        <f t="shared" si="399"/>
        <v>1.0642750687487285E-2</v>
      </c>
      <c r="FR269" s="1111">
        <f t="shared" si="322"/>
        <v>0.76096183093709546</v>
      </c>
      <c r="FS269" s="1111">
        <f t="shared" si="323"/>
        <v>0.5125560171571476</v>
      </c>
      <c r="FT269" s="1111">
        <f t="shared" si="324"/>
        <v>0.28524363227152555</v>
      </c>
      <c r="FU269" s="1111">
        <f t="shared" si="325"/>
        <v>0.15059869345286986</v>
      </c>
      <c r="FV269" s="1111">
        <f t="shared" si="326"/>
        <v>0.12255913430641784</v>
      </c>
      <c r="FW269" s="1111">
        <f t="shared" si="327"/>
        <v>0.12254515032899667</v>
      </c>
      <c r="FX269" s="1111">
        <f t="shared" si="328"/>
        <v>0.12254600139319219</v>
      </c>
      <c r="FY269" s="1111">
        <f t="shared" si="329"/>
        <v>0.12281946952026185</v>
      </c>
      <c r="FZ269" s="1111">
        <f t="shared" si="330"/>
        <v>0.12322966354005825</v>
      </c>
      <c r="GA269" s="1111">
        <f t="shared" si="331"/>
        <v>0.12358051031149252</v>
      </c>
      <c r="GB269" s="1111">
        <f t="shared" si="332"/>
        <v>0.12358051031149252</v>
      </c>
      <c r="GC269" s="1111">
        <f t="shared" si="353"/>
        <v>0.61049632105256801</v>
      </c>
      <c r="GD269" s="1111">
        <f t="shared" si="354"/>
        <v>0.38758646883273457</v>
      </c>
      <c r="GE269" s="1111">
        <f t="shared" si="355"/>
        <v>0.18136463395361682</v>
      </c>
      <c r="GF269" s="1111">
        <f t="shared" si="356"/>
        <v>5.7072010865232503E-2</v>
      </c>
      <c r="GG269" s="1111">
        <f t="shared" si="357"/>
        <v>3.142625482561888E-2</v>
      </c>
      <c r="GH269" s="1111">
        <f t="shared" si="358"/>
        <v>3.1318237314232916E-2</v>
      </c>
      <c r="GI269" s="1111">
        <f t="shared" si="359"/>
        <v>3.1318665014832332E-2</v>
      </c>
      <c r="GJ269" s="1111">
        <f t="shared" si="360"/>
        <v>3.1400963877355435E-2</v>
      </c>
      <c r="GK269" s="1111">
        <f t="shared" si="361"/>
        <v>3.1533170518796588E-2</v>
      </c>
      <c r="GL269" s="1111">
        <f t="shared" si="362"/>
        <v>3.1642506198363458E-2</v>
      </c>
      <c r="GM269" s="1111">
        <f t="shared" si="363"/>
        <v>3.1642506198363458E-2</v>
      </c>
    </row>
    <row r="270" spans="1:195" x14ac:dyDescent="0.2">
      <c r="A270" s="1071" t="str">
        <f>Technologies!B160</f>
        <v>*R2,R3,R4,R5,R6</v>
      </c>
      <c r="B270" s="1071" t="str">
        <f>Technologies!C160</f>
        <v>THSB20AH</v>
      </c>
      <c r="C270" s="1071" t="str">
        <f>Technologies!D160</f>
        <v>Heavy Truck, Short Haul, Hybrid B20</v>
      </c>
      <c r="D270" s="1071" t="str">
        <f>NewTech!D107</f>
        <v>bn-vmt, bn-vmt/a</v>
      </c>
      <c r="E270" s="1071" t="str">
        <f>Commodities!C62</f>
        <v>THB20X</v>
      </c>
      <c r="F270" s="1071" t="s">
        <v>98</v>
      </c>
      <c r="G270" s="1110" t="s">
        <v>505</v>
      </c>
      <c r="H270" s="1110" t="s">
        <v>507</v>
      </c>
      <c r="I270" s="1112">
        <v>1</v>
      </c>
      <c r="J270" s="1111" t="str">
        <f t="shared" si="302"/>
        <v>Heavy duty short haul truck-B20</v>
      </c>
      <c r="K270" s="1111">
        <v>1323.7853362484905</v>
      </c>
      <c r="L270" s="1111">
        <v>1296.4635772728425</v>
      </c>
      <c r="M270" s="1111">
        <v>1275.3627505048582</v>
      </c>
      <c r="N270" s="1111">
        <v>1243.4615005927876</v>
      </c>
      <c r="O270" s="1111">
        <v>1224.3949409410063</v>
      </c>
      <c r="P270" s="1111">
        <v>1222.9901189949537</v>
      </c>
      <c r="Q270" s="1111">
        <v>1226.9235387553133</v>
      </c>
      <c r="R270" s="1111">
        <v>1232.4895131215164</v>
      </c>
      <c r="S270" s="1111">
        <v>1237.3291566878763</v>
      </c>
      <c r="T270" s="1111">
        <f t="shared" si="364"/>
        <v>1237.3291566878763</v>
      </c>
      <c r="U270" s="1111">
        <v>8.6790836194592274</v>
      </c>
      <c r="V270" s="1111">
        <v>4.0302916241966971</v>
      </c>
      <c r="W270" s="1111">
        <v>1.9006888087227418</v>
      </c>
      <c r="X270" s="1111">
        <v>0.99506843010457846</v>
      </c>
      <c r="Y270" s="1111">
        <v>0.95266150348034961</v>
      </c>
      <c r="Z270" s="1111">
        <v>0.93704545712337217</v>
      </c>
      <c r="AA270" s="1111">
        <v>0.93983215803486553</v>
      </c>
      <c r="AB270" s="1111">
        <v>0.9448337161115955</v>
      </c>
      <c r="AC270" s="1111">
        <v>0.94882595222180732</v>
      </c>
      <c r="AD270" s="1111">
        <f t="shared" si="321"/>
        <v>0.94882595222180732</v>
      </c>
      <c r="AE270" s="1111">
        <v>0.11237252950795644</v>
      </c>
      <c r="AF270" s="1111">
        <v>1.2008319186445036E-2</v>
      </c>
      <c r="AG270" s="1111">
        <v>1.1440428722236702E-2</v>
      </c>
      <c r="AH270" s="1111">
        <v>1.1019303297620332E-2</v>
      </c>
      <c r="AI270" s="1111">
        <v>1.0695497094274172E-2</v>
      </c>
      <c r="AJ270" s="1111">
        <v>1.0531498610697288E-2</v>
      </c>
      <c r="AK270" s="1111">
        <v>1.0519414508804963E-2</v>
      </c>
      <c r="AL270" s="1111">
        <v>1.055324831014035E-2</v>
      </c>
      <c r="AM270" s="1111">
        <v>1.0601123586026544E-2</v>
      </c>
      <c r="AN270" s="1111">
        <v>1.0642750687487285E-2</v>
      </c>
      <c r="AO270" s="1111">
        <v>1.0642750687487285E-2</v>
      </c>
      <c r="AP270" s="1111">
        <v>0.76096183093709546</v>
      </c>
      <c r="AQ270" s="1111">
        <v>0.5125560171571476</v>
      </c>
      <c r="AR270" s="1111">
        <v>0.28524363227152555</v>
      </c>
      <c r="AS270" s="1111">
        <v>0.15059869345286986</v>
      </c>
      <c r="AT270" s="1111">
        <v>0.12255913430641784</v>
      </c>
      <c r="AU270" s="1111">
        <v>0.12254515032899667</v>
      </c>
      <c r="AV270" s="1111">
        <v>0.12254600139319219</v>
      </c>
      <c r="AW270" s="1111">
        <v>0.12281946952026185</v>
      </c>
      <c r="AX270" s="1111">
        <v>0.12322966354005825</v>
      </c>
      <c r="AY270" s="1111">
        <v>0.12358051031149252</v>
      </c>
      <c r="AZ270" s="1111">
        <v>0.12358051031149252</v>
      </c>
      <c r="BA270" s="1111">
        <v>0.61049632105256801</v>
      </c>
      <c r="BB270" s="1111">
        <v>0.38758646883273457</v>
      </c>
      <c r="BC270" s="1111">
        <v>0.18136463395361682</v>
      </c>
      <c r="BD270" s="1111">
        <v>5.7072010865232503E-2</v>
      </c>
      <c r="BE270" s="1111">
        <v>3.142625482561888E-2</v>
      </c>
      <c r="BF270" s="1111">
        <v>3.1318237314232916E-2</v>
      </c>
      <c r="BG270" s="1111">
        <v>3.1318665014832332E-2</v>
      </c>
      <c r="BH270" s="1111">
        <v>3.1400963877355435E-2</v>
      </c>
      <c r="BI270" s="1111">
        <v>3.1533170518796588E-2</v>
      </c>
      <c r="BJ270" s="1111">
        <v>3.1642506198363458E-2</v>
      </c>
      <c r="BK270" s="1111">
        <v>3.1642506198363458E-2</v>
      </c>
      <c r="BL270" s="1111">
        <v>3.5535822820768308</v>
      </c>
      <c r="BM270" s="1111">
        <v>2.6868312461912573</v>
      </c>
      <c r="BN270" s="1111">
        <v>1.4399525312393475</v>
      </c>
      <c r="BO270" s="1111">
        <v>0.70915157533615336</v>
      </c>
      <c r="BP270" s="1111">
        <v>0.53550228904915931</v>
      </c>
      <c r="BQ270" s="1111">
        <v>0.54463026923924274</v>
      </c>
      <c r="BR270" s="1111">
        <v>0.54959472152842181</v>
      </c>
      <c r="BS270" s="1111">
        <v>0.55306029136103696</v>
      </c>
      <c r="BT270" s="1111">
        <v>0.55278859363798649</v>
      </c>
      <c r="BU270" s="1111">
        <v>0.55248226732582861</v>
      </c>
      <c r="BV270" s="1111">
        <v>0.55248226732582861</v>
      </c>
      <c r="BW270" s="1111">
        <v>0.92293982632888583</v>
      </c>
      <c r="BX270" s="1111">
        <v>0.74574849265678245</v>
      </c>
      <c r="BY270" s="1111">
        <v>0.37776138418682154</v>
      </c>
      <c r="BZ270" s="1111">
        <v>0.14374508985852863</v>
      </c>
      <c r="CA270" s="1111">
        <v>9.5698100173101527E-2</v>
      </c>
      <c r="CB270" s="1111">
        <v>9.5906601484258572E-2</v>
      </c>
      <c r="CC270" s="1111">
        <v>9.6248609413392208E-2</v>
      </c>
      <c r="CD270" s="1111">
        <v>9.659076930546244E-2</v>
      </c>
      <c r="CE270" s="1111">
        <v>9.6675995413558993E-2</v>
      </c>
      <c r="CF270" s="1111">
        <v>9.6729166147167076E-2</v>
      </c>
      <c r="CG270" s="1111">
        <v>9.6729166147167076E-2</v>
      </c>
      <c r="CH270" s="1111">
        <v>2.4066924054933193E-2</v>
      </c>
      <c r="CI270" s="1111">
        <v>2.3874682536588154E-2</v>
      </c>
      <c r="CJ270" s="1111">
        <v>2.3827696105878482E-2</v>
      </c>
      <c r="CK270" s="1111">
        <v>2.3852203299910037E-2</v>
      </c>
      <c r="CL270" s="1111">
        <v>2.3846962195096008E-2</v>
      </c>
      <c r="CM270" s="1111">
        <v>2.384148107179623E-2</v>
      </c>
      <c r="CN270" s="1111">
        <v>2.3841500805815506E-2</v>
      </c>
      <c r="CO270" s="1111">
        <v>2.3850584443407319E-2</v>
      </c>
      <c r="CP270" s="1111">
        <v>2.3863746255656192E-2</v>
      </c>
      <c r="CQ270" s="1111">
        <v>2.3875203028595665E-2</v>
      </c>
      <c r="CR270" s="1111">
        <v>2.3875203028595665E-2</v>
      </c>
      <c r="CS270" s="1111">
        <v>14.621387679895253</v>
      </c>
      <c r="CT270" s="1111">
        <v>8.6790836194592274</v>
      </c>
      <c r="CU270" s="1111">
        <v>4.0302916241966971</v>
      </c>
      <c r="CV270" s="1111">
        <v>1.9006888087227418</v>
      </c>
      <c r="CW270" s="1111">
        <v>0.99506843010457846</v>
      </c>
      <c r="CX270" s="1111">
        <v>0.95266150348034961</v>
      </c>
      <c r="CY270" s="1111">
        <v>0.93704545712337217</v>
      </c>
      <c r="CZ270" s="1111">
        <v>0.93983215803486553</v>
      </c>
      <c r="DA270" s="1111">
        <v>0.9448337161115955</v>
      </c>
      <c r="DB270" s="1111">
        <v>0.94882595222180732</v>
      </c>
      <c r="DC270" s="1111">
        <v>0.94882595222180732</v>
      </c>
      <c r="DD270" s="1111">
        <v>0.33251795074375806</v>
      </c>
      <c r="DE270" s="1111">
        <v>0.19341562931778372</v>
      </c>
      <c r="DF270" s="1111">
        <v>7.94095714927468E-2</v>
      </c>
      <c r="DG270" s="1111">
        <v>1.4754576201348133E-2</v>
      </c>
      <c r="DH270" s="1111">
        <v>1.6160522719819933E-3</v>
      </c>
      <c r="DI270" s="1111">
        <v>1.6049653935622851E-3</v>
      </c>
      <c r="DJ270" s="1111">
        <v>1.6049983985356002E-3</v>
      </c>
      <c r="DK270" s="1111">
        <v>1.6098230122520154E-3</v>
      </c>
      <c r="DL270" s="1111">
        <v>1.6179747100716357E-3</v>
      </c>
      <c r="DM270" s="1111">
        <v>1.6245560853542357E-3</v>
      </c>
      <c r="DN270" s="1111">
        <v>1.6245560853542357E-3</v>
      </c>
      <c r="DO270" s="1111">
        <v>0.18173617785151971</v>
      </c>
      <c r="DP270" s="1111">
        <v>0.12630141991533564</v>
      </c>
      <c r="DQ270" s="1111">
        <v>5.7207536276329247E-2</v>
      </c>
      <c r="DR270" s="1111">
        <v>1.1877878061966447E-2</v>
      </c>
      <c r="DS270" s="1111">
        <v>2.8097295233125079E-3</v>
      </c>
      <c r="DT270" s="1111">
        <v>2.7904533416799396E-3</v>
      </c>
      <c r="DU270" s="1111">
        <v>2.7905106381460811E-3</v>
      </c>
      <c r="DV270" s="1111">
        <v>2.798898953096617E-3</v>
      </c>
      <c r="DW270" s="1111">
        <v>2.8130718384443347E-3</v>
      </c>
      <c r="DX270" s="1111">
        <v>2.824514428110457E-3</v>
      </c>
      <c r="DY270" s="1111">
        <v>2.824514428110457E-3</v>
      </c>
      <c r="DZ270" s="1111">
        <v>2.163455887507321E-3</v>
      </c>
      <c r="EA270" s="1111">
        <v>1.7446487490935424E-2</v>
      </c>
      <c r="EB270" s="1111">
        <v>4.917132241319308E-2</v>
      </c>
      <c r="EC270" s="1111">
        <v>6.8509645192273691E-2</v>
      </c>
      <c r="ED270" s="1111">
        <v>6.7237592787248612E-2</v>
      </c>
      <c r="EE270" s="1111">
        <v>6.7978431753472374E-2</v>
      </c>
      <c r="EF270" s="1111">
        <v>6.8386896673477388E-2</v>
      </c>
      <c r="EG270" s="1111">
        <v>6.8580196778142088E-2</v>
      </c>
      <c r="EH270" s="1111">
        <v>6.8421552475490532E-2</v>
      </c>
      <c r="EI270" s="1111">
        <v>6.8260915197163818E-2</v>
      </c>
      <c r="EJ270" s="1111">
        <v>6.8260915197163818E-2</v>
      </c>
      <c r="EK270" s="1111">
        <v>1400.6813509233457</v>
      </c>
      <c r="EL270" s="1111">
        <f t="shared" si="343"/>
        <v>1323.7853362484905</v>
      </c>
      <c r="EM270" s="1111">
        <f t="shared" si="344"/>
        <v>1296.4635772728425</v>
      </c>
      <c r="EN270" s="1111">
        <f t="shared" si="345"/>
        <v>1275.3627505048582</v>
      </c>
      <c r="EO270" s="1111">
        <f t="shared" si="346"/>
        <v>1243.4615005927876</v>
      </c>
      <c r="EP270" s="1111">
        <f t="shared" si="347"/>
        <v>1224.3949409410063</v>
      </c>
      <c r="EQ270" s="1111">
        <f t="shared" si="348"/>
        <v>1222.9901189949537</v>
      </c>
      <c r="ER270" s="1111">
        <f t="shared" si="349"/>
        <v>1226.9235387553133</v>
      </c>
      <c r="ES270" s="1111">
        <f t="shared" si="350"/>
        <v>1232.4895131215164</v>
      </c>
      <c r="ET270" s="1111">
        <f t="shared" si="351"/>
        <v>1237.3291566878763</v>
      </c>
      <c r="EU270" s="1111">
        <f t="shared" si="352"/>
        <v>1237.3291566878763</v>
      </c>
      <c r="EV270" s="1111">
        <v>14.621387679895253</v>
      </c>
      <c r="EW270" s="1111">
        <f t="shared" si="333"/>
        <v>8.6790836194592274</v>
      </c>
      <c r="EX270" s="1111">
        <f t="shared" si="334"/>
        <v>4.0302916241966971</v>
      </c>
      <c r="EY270" s="1111">
        <f t="shared" si="335"/>
        <v>1.9006888087227418</v>
      </c>
      <c r="EZ270" s="1111">
        <f t="shared" si="336"/>
        <v>0.99506843010457846</v>
      </c>
      <c r="FA270" s="1111">
        <f t="shared" si="337"/>
        <v>0.95266150348034961</v>
      </c>
      <c r="FB270" s="1111">
        <f t="shared" si="338"/>
        <v>0.93704545712337217</v>
      </c>
      <c r="FC270" s="1111">
        <f t="shared" si="339"/>
        <v>0.93983215803486553</v>
      </c>
      <c r="FD270" s="1111">
        <f t="shared" si="340"/>
        <v>0.9448337161115955</v>
      </c>
      <c r="FE270" s="1111">
        <f t="shared" si="341"/>
        <v>0.94882595222180732</v>
      </c>
      <c r="FF270" s="1111">
        <f t="shared" si="342"/>
        <v>0.94882595222180732</v>
      </c>
      <c r="FG270" s="1111">
        <f t="shared" si="389"/>
        <v>0.11237252950795644</v>
      </c>
      <c r="FH270" s="1111">
        <f t="shared" si="390"/>
        <v>1.2008319186445036E-2</v>
      </c>
      <c r="FI270" s="1111">
        <f t="shared" si="391"/>
        <v>1.1440428722236702E-2</v>
      </c>
      <c r="FJ270" s="1111">
        <f t="shared" si="392"/>
        <v>1.1019303297620332E-2</v>
      </c>
      <c r="FK270" s="1111">
        <f t="shared" si="393"/>
        <v>1.0695497094274172E-2</v>
      </c>
      <c r="FL270" s="1111">
        <f t="shared" si="394"/>
        <v>1.0531498610697288E-2</v>
      </c>
      <c r="FM270" s="1111">
        <f t="shared" si="395"/>
        <v>1.0519414508804963E-2</v>
      </c>
      <c r="FN270" s="1111">
        <f t="shared" si="396"/>
        <v>1.055324831014035E-2</v>
      </c>
      <c r="FO270" s="1111">
        <f t="shared" si="397"/>
        <v>1.0601123586026544E-2</v>
      </c>
      <c r="FP270" s="1111">
        <f t="shared" si="398"/>
        <v>1.0642750687487285E-2</v>
      </c>
      <c r="FQ270" s="1111">
        <f t="shared" si="399"/>
        <v>1.0642750687487285E-2</v>
      </c>
      <c r="FR270" s="1111">
        <f t="shared" si="322"/>
        <v>0.76096183093709546</v>
      </c>
      <c r="FS270" s="1111">
        <f t="shared" si="323"/>
        <v>0.5125560171571476</v>
      </c>
      <c r="FT270" s="1111">
        <f t="shared" si="324"/>
        <v>0.28524363227152555</v>
      </c>
      <c r="FU270" s="1111">
        <f t="shared" si="325"/>
        <v>0.15059869345286986</v>
      </c>
      <c r="FV270" s="1111">
        <f t="shared" si="326"/>
        <v>0.12255913430641784</v>
      </c>
      <c r="FW270" s="1111">
        <f t="shared" si="327"/>
        <v>0.12254515032899667</v>
      </c>
      <c r="FX270" s="1111">
        <f t="shared" si="328"/>
        <v>0.12254600139319219</v>
      </c>
      <c r="FY270" s="1111">
        <f t="shared" si="329"/>
        <v>0.12281946952026185</v>
      </c>
      <c r="FZ270" s="1111">
        <f t="shared" si="330"/>
        <v>0.12322966354005825</v>
      </c>
      <c r="GA270" s="1111">
        <f t="shared" si="331"/>
        <v>0.12358051031149252</v>
      </c>
      <c r="GB270" s="1111">
        <f t="shared" si="332"/>
        <v>0.12358051031149252</v>
      </c>
      <c r="GC270" s="1111">
        <f t="shared" si="353"/>
        <v>0.61049632105256801</v>
      </c>
      <c r="GD270" s="1111">
        <f t="shared" si="354"/>
        <v>0.38758646883273457</v>
      </c>
      <c r="GE270" s="1111">
        <f t="shared" si="355"/>
        <v>0.18136463395361682</v>
      </c>
      <c r="GF270" s="1111">
        <f t="shared" si="356"/>
        <v>5.7072010865232503E-2</v>
      </c>
      <c r="GG270" s="1111">
        <f t="shared" si="357"/>
        <v>3.142625482561888E-2</v>
      </c>
      <c r="GH270" s="1111">
        <f t="shared" si="358"/>
        <v>3.1318237314232916E-2</v>
      </c>
      <c r="GI270" s="1111">
        <f t="shared" si="359"/>
        <v>3.1318665014832332E-2</v>
      </c>
      <c r="GJ270" s="1111">
        <f t="shared" si="360"/>
        <v>3.1400963877355435E-2</v>
      </c>
      <c r="GK270" s="1111">
        <f t="shared" si="361"/>
        <v>3.1533170518796588E-2</v>
      </c>
      <c r="GL270" s="1111">
        <f t="shared" si="362"/>
        <v>3.1642506198363458E-2</v>
      </c>
      <c r="GM270" s="1111">
        <f t="shared" si="363"/>
        <v>3.1642506198363458E-2</v>
      </c>
    </row>
    <row r="271" spans="1:195" x14ac:dyDescent="0.2">
      <c r="A271" s="1071" t="s">
        <v>182</v>
      </c>
      <c r="B271" s="1071" t="str">
        <f>Technologies!C161</f>
        <v>THSCNGC10</v>
      </c>
      <c r="C271" s="1071" t="str">
        <f>Technologies!D161</f>
        <v>Heavy Truck, Short Haul, Conventional CNG 2010</v>
      </c>
      <c r="D271" s="1071" t="str">
        <f>NewTech!D108</f>
        <v>bn-vmt, bn-vmt/a</v>
      </c>
      <c r="E271" s="1071" t="str">
        <f>Commodities!C$58</f>
        <v>THCNG</v>
      </c>
      <c r="F271" s="1071" t="s">
        <v>98</v>
      </c>
      <c r="G271" s="1110" t="s">
        <v>505</v>
      </c>
      <c r="H271" s="1110" t="s">
        <v>500</v>
      </c>
      <c r="I271" s="1112">
        <v>1</v>
      </c>
      <c r="J271" s="1111" t="str">
        <f t="shared" si="302"/>
        <v>Heavy duty short haul truck-GSL</v>
      </c>
      <c r="K271" s="1111">
        <f>SUMIFS(NewEmisData!E:E, NewEmisData!$A:$A, $G271, NewEmisData!$B:$B, $A271, NewEmisData!$C:$C, $H271, NewEmisData!$D:$D, K$6)</f>
        <v>1261.7193045716699</v>
      </c>
      <c r="L271" s="1111">
        <f>SUMIFS(NewEmisData!F:F, NewEmisData!$A:$A, $G271, NewEmisData!$B:$B, $A271, NewEmisData!$C:$C, $H271, NewEmisData!$D:$D, L$6)</f>
        <v>1249.12075772399</v>
      </c>
      <c r="M271" s="1111">
        <f>SUMIFS(NewEmisData!G:G, NewEmisData!$A:$A, $G271, NewEmisData!$B:$B, $A271, NewEmisData!$C:$C, $H271, NewEmisData!$D:$D, M$6)</f>
        <v>1645.5452306145801</v>
      </c>
      <c r="N271" s="1111">
        <f>SUMIFS(NewEmisData!H:H, NewEmisData!$A:$A, $G271, NewEmisData!$B:$B, $A271, NewEmisData!$C:$C, $H271, NewEmisData!$D:$D, N$6)</f>
        <v>1615.5067230397001</v>
      </c>
      <c r="O271" s="1111">
        <f>SUMIFS(NewEmisData!I:I, NewEmisData!$A:$A, $G271, NewEmisData!$B:$B, $A271, NewEmisData!$C:$C, $H271, NewEmisData!$D:$D, O$6)</f>
        <v>1561.96512576184</v>
      </c>
      <c r="P271" s="1111">
        <f>SUMIFS(NewEmisData!J:J, NewEmisData!$A:$A, $G271, NewEmisData!$B:$B, $A271, NewEmisData!$C:$C, $H271, NewEmisData!$D:$D, P$6)</f>
        <v>1548.35062809069</v>
      </c>
      <c r="Q271" s="1111">
        <f>SUMIFS(NewEmisData!K:K, NewEmisData!$A:$A, $G271, NewEmisData!$B:$B, $A271, NewEmisData!$C:$C, $H271, NewEmisData!$D:$D, Q$6)</f>
        <v>1545.11245308096</v>
      </c>
      <c r="R271" s="1111">
        <f>SUMIFS(NewEmisData!L:L, NewEmisData!$A:$A, $G271, NewEmisData!$B:$B, $A271, NewEmisData!$C:$C, $H271, NewEmisData!$D:$D, R$6)</f>
        <v>1544.5579062120401</v>
      </c>
      <c r="S271" s="1111">
        <f>SUMIFS(NewEmisData!M:M, NewEmisData!$A:$A, $G271, NewEmisData!$B:$B, $A271, NewEmisData!$C:$C, $H271, NewEmisData!$D:$D, S$6)</f>
        <v>1544.55231111378</v>
      </c>
      <c r="T271" s="1111">
        <f t="shared" si="364"/>
        <v>1544.55231111378</v>
      </c>
      <c r="U271" s="1111">
        <f>SUMIFS(NewEmisData!E:E, NewEmisData!$A:$A, $G271, NewEmisData!$B:$B, $A271, NewEmisData!$C:$C, $H271, NewEmisData!$D:$D, U$6)</f>
        <v>5.0421157380649202</v>
      </c>
      <c r="V271" s="1111">
        <f>SUMIFS(NewEmisData!F:F, NewEmisData!$A:$A, $G271, NewEmisData!$B:$B, $A271, NewEmisData!$C:$C, $H271, NewEmisData!$D:$D, V$6)</f>
        <v>2.6891275593082402</v>
      </c>
      <c r="W271" s="1111">
        <f>SUMIFS(NewEmisData!G:G, NewEmisData!$A:$A, $G271, NewEmisData!$B:$B, $A271, NewEmisData!$C:$C, $H271, NewEmisData!$D:$D, W$6)</f>
        <v>1.59672970269866</v>
      </c>
      <c r="X271" s="1111">
        <f>SUMIFS(NewEmisData!H:H, NewEmisData!$A:$A, $G271, NewEmisData!$B:$B, $A271, NewEmisData!$C:$C, $H271, NewEmisData!$D:$D, X$6)</f>
        <v>1.2533988169049</v>
      </c>
      <c r="Y271" s="1111">
        <f>SUMIFS(NewEmisData!I:I, NewEmisData!$A:$A, $G271, NewEmisData!$B:$B, $A271, NewEmisData!$C:$C, $H271, NewEmisData!$D:$D, Y$6)</f>
        <v>1.1377603861924299</v>
      </c>
      <c r="Z271" s="1111">
        <f>SUMIFS(NewEmisData!J:J, NewEmisData!$A:$A, $G271, NewEmisData!$B:$B, $A271, NewEmisData!$C:$C, $H271, NewEmisData!$D:$D, Z$6)</f>
        <v>1.11657517091755</v>
      </c>
      <c r="AA271" s="1111">
        <f>SUMIFS(NewEmisData!K:K, NewEmisData!$A:$A, $G271, NewEmisData!$B:$B, $A271, NewEmisData!$C:$C, $H271, NewEmisData!$D:$D, AA$6)</f>
        <v>1.10785037464988</v>
      </c>
      <c r="AB271" s="1111">
        <f>SUMIFS(NewEmisData!L:L, NewEmisData!$A:$A, $G271, NewEmisData!$B:$B, $A271, NewEmisData!$C:$C, $H271, NewEmisData!$D:$D, AB$6)</f>
        <v>1.10808970467776</v>
      </c>
      <c r="AC271" s="1111">
        <f>SUMIFS(NewEmisData!M:M, NewEmisData!$A:$A, $G271, NewEmisData!$B:$B, $A271, NewEmisData!$C:$C, $H271, NewEmisData!$D:$D, AC$6)</f>
        <v>1.10829058082377</v>
      </c>
      <c r="AD271" s="1111">
        <f t="shared" si="321"/>
        <v>1.10829058082377</v>
      </c>
      <c r="AE271" s="1111">
        <f t="shared" ref="AE271:AE290" si="430">AF271</f>
        <v>2.18321680952577E-2</v>
      </c>
      <c r="AF271" s="1111">
        <f>SUMIFS(NewEmisData!E:E, NewEmisData!$A:$A, $G271, NewEmisData!$B:$B, $A271, NewEmisData!$C:$C, $H271, NewEmisData!$D:$D, AF$6)</f>
        <v>2.18321680952577E-2</v>
      </c>
      <c r="AG271" s="1111">
        <f>SUMIFS(NewEmisData!F:F, NewEmisData!$A:$A, $G271, NewEmisData!$B:$B, $A271, NewEmisData!$C:$C, $H271, NewEmisData!$D:$D, AG$6)</f>
        <v>2.1614175028351099E-2</v>
      </c>
      <c r="AH271" s="1111">
        <f>SUMIFS(NewEmisData!G:G, NewEmisData!$A:$A, $G271, NewEmisData!$B:$B, $A271, NewEmisData!$C:$C, $H271, NewEmisData!$D:$D, AH$6)</f>
        <v>2.3606201662977298E-2</v>
      </c>
      <c r="AI271" s="1111">
        <f>SUMIFS(NewEmisData!H:H, NewEmisData!$A:$A, $G271, NewEmisData!$B:$B, $A271, NewEmisData!$C:$C, $H271, NewEmisData!$D:$D, AI$6)</f>
        <v>2.3175292056127901E-2</v>
      </c>
      <c r="AJ271" s="1111">
        <f>SUMIFS(NewEmisData!I:I, NewEmisData!$A:$A, $G271, NewEmisData!$B:$B, $A271, NewEmisData!$C:$C, $H271, NewEmisData!$D:$D, AJ$6)</f>
        <v>2.2407191257778802E-2</v>
      </c>
      <c r="AK271" s="1111">
        <f>SUMIFS(NewEmisData!J:J, NewEmisData!$A:$A, $G271, NewEmisData!$B:$B, $A271, NewEmisData!$C:$C, $H271, NewEmisData!$D:$D, AK$6)</f>
        <v>2.2211896644643399E-2</v>
      </c>
      <c r="AL271" s="1111">
        <f>SUMIFS(NewEmisData!K:K, NewEmisData!$A:$A, $G271, NewEmisData!$B:$B, $A271, NewEmisData!$C:$C, $H271, NewEmisData!$D:$D, AL$6)</f>
        <v>2.21654317430676E-2</v>
      </c>
      <c r="AM271" s="1111">
        <f>SUMIFS(NewEmisData!L:L, NewEmisData!$A:$A, $G271, NewEmisData!$B:$B, $A271, NewEmisData!$C:$C, $H271, NewEmisData!$D:$D, AM$6)</f>
        <v>2.21574783013113E-2</v>
      </c>
      <c r="AN271" s="1111">
        <f>SUMIFS(NewEmisData!M:M, NewEmisData!$A:$A, $G271, NewEmisData!$B:$B, $A271, NewEmisData!$C:$C, $H271, NewEmisData!$D:$D, AN$6)</f>
        <v>2.21574091915673E-2</v>
      </c>
      <c r="AO271" s="1111">
        <f t="shared" ref="AO271:AO290" si="431">AN271</f>
        <v>2.21574091915673E-2</v>
      </c>
      <c r="AP271" s="1111">
        <f t="shared" ref="AP271:AP290" si="432">AQ271</f>
        <v>0.37498220674272298</v>
      </c>
      <c r="AQ271" s="1111">
        <f>SUMIFS(NewEmisData!E:E, NewEmisData!$A:$A, $G271, NewEmisData!$B:$B, $A271, NewEmisData!$C:$C, $H271, NewEmisData!$D:$D, AQ$6)</f>
        <v>0.37498220674272298</v>
      </c>
      <c r="AR271" s="1111">
        <f>SUMIFS(NewEmisData!F:F, NewEmisData!$A:$A, $G271, NewEmisData!$B:$B, $A271, NewEmisData!$C:$C, $H271, NewEmisData!$D:$D, AR$6)</f>
        <v>0.30800096091118401</v>
      </c>
      <c r="AS271" s="1111">
        <f>SUMIFS(NewEmisData!G:G, NewEmisData!$A:$A, $G271, NewEmisData!$B:$B, $A271, NewEmisData!$C:$C, $H271, NewEmisData!$D:$D, AS$6)</f>
        <v>0.47876990917977102</v>
      </c>
      <c r="AT271" s="1111">
        <f>SUMIFS(NewEmisData!H:H, NewEmisData!$A:$A, $G271, NewEmisData!$B:$B, $A271, NewEmisData!$C:$C, $H271, NewEmisData!$D:$D, AT$6)</f>
        <v>0.47474601446343401</v>
      </c>
      <c r="AU271" s="1111">
        <f>SUMIFS(NewEmisData!I:I, NewEmisData!$A:$A, $G271, NewEmisData!$B:$B, $A271, NewEmisData!$C:$C, $H271, NewEmisData!$D:$D, AU$6)</f>
        <v>0.462592935753106</v>
      </c>
      <c r="AV271" s="1111">
        <f>SUMIFS(NewEmisData!J:J, NewEmisData!$A:$A, $G271, NewEmisData!$B:$B, $A271, NewEmisData!$C:$C, $H271, NewEmisData!$D:$D, AV$6)</f>
        <v>0.45943594701357998</v>
      </c>
      <c r="AW271" s="1111">
        <f>SUMIFS(NewEmisData!K:K, NewEmisData!$A:$A, $G271, NewEmisData!$B:$B, $A271, NewEmisData!$C:$C, $H271, NewEmisData!$D:$D, AW$6)</f>
        <v>0.45873466896290599</v>
      </c>
      <c r="AX271" s="1111">
        <f>SUMIFS(NewEmisData!L:L, NewEmisData!$A:$A, $G271, NewEmisData!$B:$B, $A271, NewEmisData!$C:$C, $H271, NewEmisData!$D:$D, AX$6)</f>
        <v>0.45859669819349802</v>
      </c>
      <c r="AY271" s="1111">
        <f>SUMIFS(NewEmisData!M:M, NewEmisData!$A:$A, $G271, NewEmisData!$B:$B, $A271, NewEmisData!$C:$C, $H271, NewEmisData!$D:$D, AY$6)</f>
        <v>0.458612118231494</v>
      </c>
      <c r="AZ271" s="1111">
        <f t="shared" ref="AZ271:AZ290" si="433">AY271</f>
        <v>0.458612118231494</v>
      </c>
      <c r="BA271" s="1111">
        <f t="shared" ref="BA271:BA290" si="434">BB271</f>
        <v>0.110253629274602</v>
      </c>
      <c r="BB271" s="1111">
        <f>SUMIFS(NewEmisData!E:E, NewEmisData!$A:$A, $G271, NewEmisData!$B:$B, $A271, NewEmisData!$C:$C, $H271, NewEmisData!$D:$D, BB$6)</f>
        <v>0.110253629274602</v>
      </c>
      <c r="BC271" s="1111">
        <f>SUMIFS(NewEmisData!F:F, NewEmisData!$A:$A, $G271, NewEmisData!$B:$B, $A271, NewEmisData!$C:$C, $H271, NewEmisData!$D:$D, BC$6)</f>
        <v>5.10415619775157E-2</v>
      </c>
      <c r="BD271" s="1111">
        <f>SUMIFS(NewEmisData!G:G, NewEmisData!$A:$A, $G271, NewEmisData!$B:$B, $A271, NewEmisData!$C:$C, $H271, NewEmisData!$D:$D, BD$6)</f>
        <v>6.9684988099320805E-2</v>
      </c>
      <c r="BE271" s="1111">
        <f>SUMIFS(NewEmisData!H:H, NewEmisData!$A:$A, $G271, NewEmisData!$B:$B, $A271, NewEmisData!$C:$C, $H271, NewEmisData!$D:$D, BE$6)</f>
        <v>6.9040658676098196E-2</v>
      </c>
      <c r="BF271" s="1111">
        <f>SUMIFS(NewEmisData!I:I, NewEmisData!$A:$A, $G271, NewEmisData!$B:$B, $A271, NewEmisData!$C:$C, $H271, NewEmisData!$D:$D, BF$6)</f>
        <v>6.6765177638673803E-2</v>
      </c>
      <c r="BG271" s="1111">
        <f>SUMIFS(NewEmisData!J:J, NewEmisData!$A:$A, $G271, NewEmisData!$B:$B, $A271, NewEmisData!$C:$C, $H271, NewEmisData!$D:$D, BG$6)</f>
        <v>6.6229434848786198E-2</v>
      </c>
      <c r="BH271" s="1111">
        <f>SUMIFS(NewEmisData!K:K, NewEmisData!$A:$A, $G271, NewEmisData!$B:$B, $A271, NewEmisData!$C:$C, $H271, NewEmisData!$D:$D, BH$6)</f>
        <v>6.6102443905475594E-2</v>
      </c>
      <c r="BI271" s="1111">
        <f>SUMIFS(NewEmisData!L:L, NewEmisData!$A:$A, $G271, NewEmisData!$B:$B, $A271, NewEmisData!$C:$C, $H271, NewEmisData!$D:$D, BI$6)</f>
        <v>6.6105381584131498E-2</v>
      </c>
      <c r="BJ271" s="1111">
        <f>SUMIFS(NewEmisData!M:M, NewEmisData!$A:$A, $G271, NewEmisData!$B:$B, $A271, NewEmisData!$C:$C, $H271, NewEmisData!$D:$D, BJ$6)</f>
        <v>6.6121307340381005E-2</v>
      </c>
      <c r="BK271" s="1111">
        <f t="shared" ref="BK271:BK290" si="435">BJ271</f>
        <v>6.6121307340381005E-2</v>
      </c>
      <c r="BL271" s="1111">
        <f t="shared" ref="BL271:BL290" si="436">BM271</f>
        <v>58.234105162975901</v>
      </c>
      <c r="BM271" s="1111">
        <f>SUMIFS(NewEmisData!E:E, NewEmisData!$A:$A, $G271, NewEmisData!$B:$B, $A271, NewEmisData!$C:$C, $H271, NewEmisData!$D:$D, BM$6)</f>
        <v>58.234105162975901</v>
      </c>
      <c r="BN271" s="1111">
        <f>SUMIFS(NewEmisData!F:F, NewEmisData!$A:$A, $G271, NewEmisData!$B:$B, $A271, NewEmisData!$C:$C, $H271, NewEmisData!$D:$D, BN$6)</f>
        <v>33.622567193752097</v>
      </c>
      <c r="BO271" s="1111">
        <f>SUMIFS(NewEmisData!G:G, NewEmisData!$A:$A, $G271, NewEmisData!$B:$B, $A271, NewEmisData!$C:$C, $H271, NewEmisData!$D:$D, BO$6)</f>
        <v>22.365559009141499</v>
      </c>
      <c r="BP271" s="1111">
        <f>SUMIFS(NewEmisData!H:H, NewEmisData!$A:$A, $G271, NewEmisData!$B:$B, $A271, NewEmisData!$C:$C, $H271, NewEmisData!$D:$D, BP$6)</f>
        <v>20.003128322257201</v>
      </c>
      <c r="BQ271" s="1111">
        <f>SUMIFS(NewEmisData!I:I, NewEmisData!$A:$A, $G271, NewEmisData!$B:$B, $A271, NewEmisData!$C:$C, $H271, NewEmisData!$D:$D, BQ$6)</f>
        <v>20.195447260462402</v>
      </c>
      <c r="BR271" s="1111">
        <f>SUMIFS(NewEmisData!J:J, NewEmisData!$A:$A, $G271, NewEmisData!$B:$B, $A271, NewEmisData!$C:$C, $H271, NewEmisData!$D:$D, BR$6)</f>
        <v>20.8243673392587</v>
      </c>
      <c r="BS271" s="1111">
        <f>SUMIFS(NewEmisData!K:K, NewEmisData!$A:$A, $G271, NewEmisData!$B:$B, $A271, NewEmisData!$C:$C, $H271, NewEmisData!$D:$D, BS$6)</f>
        <v>20.9804766424047</v>
      </c>
      <c r="BT271" s="1111">
        <f>SUMIFS(NewEmisData!L:L, NewEmisData!$A:$A, $G271, NewEmisData!$B:$B, $A271, NewEmisData!$C:$C, $H271, NewEmisData!$D:$D, BT$6)</f>
        <v>21.2133429593407</v>
      </c>
      <c r="BU271" s="1111">
        <f>SUMIFS(NewEmisData!M:M, NewEmisData!$A:$A, $G271, NewEmisData!$B:$B, $A271, NewEmisData!$C:$C, $H271, NewEmisData!$D:$D, BU$6)</f>
        <v>21.2954024378494</v>
      </c>
      <c r="BV271" s="1111">
        <f t="shared" ref="BV271:BV290" si="437">BU271</f>
        <v>21.2954024378494</v>
      </c>
      <c r="BW271" s="1111">
        <f t="shared" ref="BW271:BW290" si="438">BX271</f>
        <v>3.64761393243701</v>
      </c>
      <c r="BX271" s="1111">
        <f>SUMIFS(NewEmisData!E:E, NewEmisData!$A:$A, $G271, NewEmisData!$B:$B, $A271, NewEmisData!$C:$C, $H271, NewEmisData!$D:$D, BX$6)</f>
        <v>3.64761393243701</v>
      </c>
      <c r="BY271" s="1111">
        <f>SUMIFS(NewEmisData!F:F, NewEmisData!$A:$A, $G271, NewEmisData!$B:$B, $A271, NewEmisData!$C:$C, $H271, NewEmisData!$D:$D, BY$6)</f>
        <v>1.49818839927699</v>
      </c>
      <c r="BZ271" s="1111">
        <f>SUMIFS(NewEmisData!G:G, NewEmisData!$A:$A, $G271, NewEmisData!$B:$B, $A271, NewEmisData!$C:$C, $H271, NewEmisData!$D:$D, BZ$6)</f>
        <v>0.86599323443475895</v>
      </c>
      <c r="CA271" s="1111">
        <f>SUMIFS(NewEmisData!H:H, NewEmisData!$A:$A, $G271, NewEmisData!$B:$B, $A271, NewEmisData!$C:$C, $H271, NewEmisData!$D:$D, CA$6)</f>
        <v>0.66124009173105702</v>
      </c>
      <c r="CB271" s="1111">
        <f>SUMIFS(NewEmisData!I:I, NewEmisData!$A:$A, $G271, NewEmisData!$B:$B, $A271, NewEmisData!$C:$C, $H271, NewEmisData!$D:$D, CB$6)</f>
        <v>0.59061098160806302</v>
      </c>
      <c r="CC271" s="1111">
        <f>SUMIFS(NewEmisData!J:J, NewEmisData!$A:$A, $G271, NewEmisData!$B:$B, $A271, NewEmisData!$C:$C, $H271, NewEmisData!$D:$D, CC$6)</f>
        <v>0.58137460363365601</v>
      </c>
      <c r="CD271" s="1111">
        <f>SUMIFS(NewEmisData!K:K, NewEmisData!$A:$A, $G271, NewEmisData!$B:$B, $A271, NewEmisData!$C:$C, $H271, NewEmisData!$D:$D, CD$6)</f>
        <v>0.57503033366723</v>
      </c>
      <c r="CE271" s="1111">
        <f>SUMIFS(NewEmisData!L:L, NewEmisData!$A:$A, $G271, NewEmisData!$B:$B, $A271, NewEmisData!$C:$C, $H271, NewEmisData!$D:$D, CE$6)</f>
        <v>0.578080207454851</v>
      </c>
      <c r="CF271" s="1111">
        <f>SUMIFS(NewEmisData!M:M, NewEmisData!$A:$A, $G271, NewEmisData!$B:$B, $A271, NewEmisData!$C:$C, $H271, NewEmisData!$D:$D, CF$6)</f>
        <v>0.57875611374779701</v>
      </c>
      <c r="CG271" s="1111">
        <f t="shared" ref="CG271:CG290" si="439">CF271</f>
        <v>0.57875611374779701</v>
      </c>
      <c r="CH271" s="1111">
        <f t="shared" ref="CH271:CH290" si="440">CI271</f>
        <v>4.5387333445833802E-2</v>
      </c>
      <c r="CI271" s="1111">
        <f>SUMIFS(NewEmisData!E:E, NewEmisData!$A:$A, $G271, NewEmisData!$B:$B, $A271, NewEmisData!$C:$C, $H271, NewEmisData!$D:$D, CI$6)</f>
        <v>4.5387333445833802E-2</v>
      </c>
      <c r="CJ271" s="1111">
        <f>SUMIFS(NewEmisData!F:F, NewEmisData!$A:$A, $G271, NewEmisData!$B:$B, $A271, NewEmisData!$C:$C, $H271, NewEmisData!$D:$D, CJ$6)</f>
        <v>4.5385137405685602E-2</v>
      </c>
      <c r="CK271" s="1111">
        <f>SUMIFS(NewEmisData!G:G, NewEmisData!$A:$A, $G271, NewEmisData!$B:$B, $A271, NewEmisData!$C:$C, $H271, NewEmisData!$D:$D, CK$6)</f>
        <v>6.2585802863492496E-2</v>
      </c>
      <c r="CL271" s="1111">
        <f>SUMIFS(NewEmisData!H:H, NewEmisData!$A:$A, $G271, NewEmisData!$B:$B, $A271, NewEmisData!$C:$C, $H271, NewEmisData!$D:$D, CL$6)</f>
        <v>6.2570457425533493E-2</v>
      </c>
      <c r="CM271" s="1111">
        <f>SUMIFS(NewEmisData!I:I, NewEmisData!$A:$A, $G271, NewEmisData!$B:$B, $A271, NewEmisData!$C:$C, $H271, NewEmisData!$D:$D, CM$6)</f>
        <v>6.2526825017837198E-2</v>
      </c>
      <c r="CN271" s="1111">
        <f>SUMIFS(NewEmisData!J:J, NewEmisData!$A:$A, $G271, NewEmisData!$B:$B, $A271, NewEmisData!$C:$C, $H271, NewEmisData!$D:$D, CN$6)</f>
        <v>6.2515199827795506E-2</v>
      </c>
      <c r="CO271" s="1111">
        <f>SUMIFS(NewEmisData!K:K, NewEmisData!$A:$A, $G271, NewEmisData!$B:$B, $A271, NewEmisData!$C:$C, $H271, NewEmisData!$D:$D, CO$6)</f>
        <v>6.2512659799535894E-2</v>
      </c>
      <c r="CP271" s="1111">
        <f>SUMIFS(NewEmisData!L:L, NewEmisData!$A:$A, $G271, NewEmisData!$B:$B, $A271, NewEmisData!$C:$C, $H271, NewEmisData!$D:$D, CP$6)</f>
        <v>6.2511995706699006E-2</v>
      </c>
      <c r="CQ271" s="1111">
        <f>SUMIFS(NewEmisData!M:M, NewEmisData!$A:$A, $G271, NewEmisData!$B:$B, $A271, NewEmisData!$C:$C, $H271, NewEmisData!$D:$D, CQ$6)</f>
        <v>6.2512032461297801E-2</v>
      </c>
      <c r="CR271" s="1111">
        <f t="shared" ref="CR271:CR290" si="441">CQ271</f>
        <v>6.2512032461297801E-2</v>
      </c>
      <c r="CS271" s="1111">
        <f t="shared" ref="CS271:CS290" si="442">CT271</f>
        <v>7.45806670433007E-2</v>
      </c>
      <c r="CT271" s="1111">
        <f>SUMIFS(NewEmisData!E:E, NewEmisData!$A:$A, $G271, NewEmisData!$B:$B, $A271, NewEmisData!$C:$C, $H271, NewEmisData!$D:$D, CT$6)</f>
        <v>7.45806670433007E-2</v>
      </c>
      <c r="CU271" s="1111">
        <f>SUMIFS(NewEmisData!F:F, NewEmisData!$A:$A, $G271, NewEmisData!$B:$B, $A271, NewEmisData!$C:$C, $H271, NewEmisData!$D:$D, CU$6)</f>
        <v>4.11694236212614E-2</v>
      </c>
      <c r="CV271" s="1111">
        <f>SUMIFS(NewEmisData!G:G, NewEmisData!$A:$A, $G271, NewEmisData!$B:$B, $A271, NewEmisData!$C:$C, $H271, NewEmisData!$D:$D, CV$6)</f>
        <v>2.8985978458602801E-2</v>
      </c>
      <c r="CW271" s="1111">
        <f>SUMIFS(NewEmisData!H:H, NewEmisData!$A:$A, $G271, NewEmisData!$B:$B, $A271, NewEmisData!$C:$C, $H271, NewEmisData!$D:$D, CW$6)</f>
        <v>2.0012914871466302E-2</v>
      </c>
      <c r="CX271" s="1111">
        <f>SUMIFS(NewEmisData!I:I, NewEmisData!$A:$A, $G271, NewEmisData!$B:$B, $A271, NewEmisData!$C:$C, $H271, NewEmisData!$D:$D, CX$6)</f>
        <v>1.70994949062814E-2</v>
      </c>
      <c r="CY271" s="1111">
        <f>SUMIFS(NewEmisData!J:J, NewEmisData!$A:$A, $G271, NewEmisData!$B:$B, $A271, NewEmisData!$C:$C, $H271, NewEmisData!$D:$D, CY$6)</f>
        <v>1.6621401634368399E-2</v>
      </c>
      <c r="CZ271" s="1111">
        <f>SUMIFS(NewEmisData!K:K, NewEmisData!$A:$A, $G271, NewEmisData!$B:$B, $A271, NewEmisData!$C:$C, $H271, NewEmisData!$D:$D, CZ$6)</f>
        <v>1.62276934153717E-2</v>
      </c>
      <c r="DA271" s="1111">
        <f>SUMIFS(NewEmisData!L:L, NewEmisData!$A:$A, $G271, NewEmisData!$B:$B, $A271, NewEmisData!$C:$C, $H271, NewEmisData!$D:$D, DA$6)</f>
        <v>1.6300252431035001E-2</v>
      </c>
      <c r="DB271" s="1111">
        <f>SUMIFS(NewEmisData!M:M, NewEmisData!$A:$A, $G271, NewEmisData!$B:$B, $A271, NewEmisData!$C:$C, $H271, NewEmisData!$D:$D, DB$6)</f>
        <v>1.6326186183154599E-2</v>
      </c>
      <c r="DC271" s="1111">
        <f t="shared" ref="DC271:DC290" si="443">DB271</f>
        <v>1.6326186183154599E-2</v>
      </c>
      <c r="DD271" s="1111">
        <v>8.4618435807310901E-3</v>
      </c>
      <c r="DE271" s="1111">
        <v>5.582477734601141E-3</v>
      </c>
      <c r="DF271" s="1111">
        <v>3.3037857638444934E-3</v>
      </c>
      <c r="DG271" s="1111">
        <v>2.7435421434771584E-3</v>
      </c>
      <c r="DH271" s="1111">
        <v>2.6596327326652057E-3</v>
      </c>
      <c r="DI271" s="1111">
        <v>2.6810534446588602E-3</v>
      </c>
      <c r="DJ271" s="1111">
        <v>2.68992317602929E-3</v>
      </c>
      <c r="DK271" s="1111">
        <v>2.6843011275704282E-3</v>
      </c>
      <c r="DL271" s="1111">
        <v>2.693521842385466E-3</v>
      </c>
      <c r="DM271" s="1111">
        <v>2.7034957820921053E-3</v>
      </c>
      <c r="DN271" s="1111">
        <v>2.7034957820921053E-3</v>
      </c>
      <c r="DO271" s="1111">
        <v>2.733686553814714E-2</v>
      </c>
      <c r="DP271" s="1111">
        <v>1.8332271788011459E-2</v>
      </c>
      <c r="DQ271" s="1111">
        <v>1.0522373499872563E-2</v>
      </c>
      <c r="DR271" s="1111">
        <v>8.2106858583474232E-3</v>
      </c>
      <c r="DS271" s="1111">
        <v>8.1464823839333782E-3</v>
      </c>
      <c r="DT271" s="1111">
        <v>8.1548441301475764E-3</v>
      </c>
      <c r="DU271" s="1111">
        <v>8.1625855885729438E-3</v>
      </c>
      <c r="DV271" s="1111">
        <v>8.1414389894490409E-3</v>
      </c>
      <c r="DW271" s="1111">
        <v>8.1579958309337917E-3</v>
      </c>
      <c r="DX271" s="1111">
        <v>8.1758856290748885E-3</v>
      </c>
      <c r="DY271" s="1111">
        <v>8.1758856290748885E-3</v>
      </c>
      <c r="DZ271" s="1111">
        <f t="shared" ref="DZ271:DZ290" si="444">EA271</f>
        <v>0.17782774655845099</v>
      </c>
      <c r="EA271" s="1111">
        <f>SUMIFS(NewEmisData!E:E, NewEmisData!$A:$A, $G271, NewEmisData!$B:$B, $A271, NewEmisData!$C:$C, $H271, NewEmisData!$D:$D, EA$6)</f>
        <v>0.17782774655845099</v>
      </c>
      <c r="EB271" s="1111">
        <f>SUMIFS(NewEmisData!F:F, NewEmisData!$A:$A, $G271, NewEmisData!$B:$B, $A271, NewEmisData!$C:$C, $H271, NewEmisData!$D:$D, EB$6)</f>
        <v>4.9445543705968001E-2</v>
      </c>
      <c r="EC271" s="1111">
        <f>SUMIFS(NewEmisData!G:G, NewEmisData!$A:$A, $G271, NewEmisData!$B:$B, $A271, NewEmisData!$C:$C, $H271, NewEmisData!$D:$D, EC$6)</f>
        <v>2.14914790323418E-2</v>
      </c>
      <c r="ED271" s="1111">
        <f>SUMIFS(NewEmisData!H:H, NewEmisData!$A:$A, $G271, NewEmisData!$B:$B, $A271, NewEmisData!$C:$C, $H271, NewEmisData!$D:$D, ED$6)</f>
        <v>1.74631086819735E-2</v>
      </c>
      <c r="EE271" s="1111">
        <f>SUMIFS(NewEmisData!I:I, NewEmisData!$A:$A, $G271, NewEmisData!$B:$B, $A271, NewEmisData!$C:$C, $H271, NewEmisData!$D:$D, EE$6)</f>
        <v>1.7306502140019699E-2</v>
      </c>
      <c r="EF271" s="1111">
        <f>SUMIFS(NewEmisData!J:J, NewEmisData!$A:$A, $G271, NewEmisData!$B:$B, $A271, NewEmisData!$C:$C, $H271, NewEmisData!$D:$D, EF$6)</f>
        <v>1.77413796860907E-2</v>
      </c>
      <c r="EG271" s="1111">
        <f>SUMIFS(NewEmisData!K:K, NewEmisData!$A:$A, $G271, NewEmisData!$B:$B, $A271, NewEmisData!$C:$C, $H271, NewEmisData!$D:$D, EG$6)</f>
        <v>1.7873917726394802E-2</v>
      </c>
      <c r="EH271" s="1111">
        <f>SUMIFS(NewEmisData!L:L, NewEmisData!$A:$A, $G271, NewEmisData!$B:$B, $A271, NewEmisData!$C:$C, $H271, NewEmisData!$D:$D, EH$6)</f>
        <v>1.8044608652160399E-2</v>
      </c>
      <c r="EI271" s="1111">
        <f>SUMIFS(NewEmisData!M:M, NewEmisData!$A:$A, $G271, NewEmisData!$B:$B, $A271, NewEmisData!$C:$C, $H271, NewEmisData!$D:$D, EI$6)</f>
        <v>1.8102357634055401E-2</v>
      </c>
      <c r="EJ271" s="1111">
        <f t="shared" ref="EJ271:EJ290" si="445">EI271</f>
        <v>1.8102357634055401E-2</v>
      </c>
      <c r="EK271" s="1111">
        <f t="shared" ref="EK271:EK290" si="446">EL271</f>
        <v>1261.7193045716699</v>
      </c>
      <c r="EL271" s="1111">
        <f t="shared" si="343"/>
        <v>1261.7193045716699</v>
      </c>
      <c r="EM271" s="1111">
        <f t="shared" si="344"/>
        <v>1249.12075772399</v>
      </c>
      <c r="EN271" s="1111">
        <f t="shared" si="345"/>
        <v>1645.5452306145801</v>
      </c>
      <c r="EO271" s="1111">
        <f t="shared" si="346"/>
        <v>1615.5067230397001</v>
      </c>
      <c r="EP271" s="1111">
        <f t="shared" si="347"/>
        <v>1561.96512576184</v>
      </c>
      <c r="EQ271" s="1111">
        <f t="shared" si="348"/>
        <v>1548.35062809069</v>
      </c>
      <c r="ER271" s="1111">
        <f t="shared" si="349"/>
        <v>1545.11245308096</v>
      </c>
      <c r="ES271" s="1111">
        <f t="shared" si="350"/>
        <v>1544.5579062120401</v>
      </c>
      <c r="ET271" s="1111">
        <f t="shared" si="351"/>
        <v>1544.55231111378</v>
      </c>
      <c r="EU271" s="1111">
        <f t="shared" si="352"/>
        <v>1544.55231111378</v>
      </c>
      <c r="EV271" s="1111">
        <f t="shared" ref="EV271:EV290" si="447">EW271</f>
        <v>5.0421157380649202</v>
      </c>
      <c r="EW271" s="1111">
        <f t="shared" si="333"/>
        <v>5.0421157380649202</v>
      </c>
      <c r="EX271" s="1111">
        <f t="shared" si="334"/>
        <v>2.6891275593082402</v>
      </c>
      <c r="EY271" s="1111">
        <f t="shared" si="335"/>
        <v>1.59672970269866</v>
      </c>
      <c r="EZ271" s="1111">
        <f t="shared" si="336"/>
        <v>1.2533988169049</v>
      </c>
      <c r="FA271" s="1111">
        <f t="shared" si="337"/>
        <v>1.1377603861924299</v>
      </c>
      <c r="FB271" s="1111">
        <f t="shared" si="338"/>
        <v>1.11657517091755</v>
      </c>
      <c r="FC271" s="1111">
        <f t="shared" si="339"/>
        <v>1.10785037464988</v>
      </c>
      <c r="FD271" s="1111">
        <f t="shared" si="340"/>
        <v>1.10808970467776</v>
      </c>
      <c r="FE271" s="1111">
        <f t="shared" si="341"/>
        <v>1.10829058082377</v>
      </c>
      <c r="FF271" s="1111">
        <f t="shared" si="342"/>
        <v>1.10829058082377</v>
      </c>
      <c r="FG271" s="1111">
        <f t="shared" si="389"/>
        <v>2.18321680952577E-2</v>
      </c>
      <c r="FH271" s="1111">
        <f t="shared" si="390"/>
        <v>2.18321680952577E-2</v>
      </c>
      <c r="FI271" s="1111">
        <f t="shared" si="391"/>
        <v>2.1614175028351099E-2</v>
      </c>
      <c r="FJ271" s="1111">
        <f t="shared" si="392"/>
        <v>2.3606201662977298E-2</v>
      </c>
      <c r="FK271" s="1111">
        <f t="shared" si="393"/>
        <v>2.3175292056127901E-2</v>
      </c>
      <c r="FL271" s="1111">
        <f t="shared" si="394"/>
        <v>2.2407191257778802E-2</v>
      </c>
      <c r="FM271" s="1111">
        <f t="shared" si="395"/>
        <v>2.2211896644643399E-2</v>
      </c>
      <c r="FN271" s="1111">
        <f t="shared" si="396"/>
        <v>2.21654317430676E-2</v>
      </c>
      <c r="FO271" s="1111">
        <f t="shared" si="397"/>
        <v>2.21574783013113E-2</v>
      </c>
      <c r="FP271" s="1111">
        <f t="shared" si="398"/>
        <v>2.21574091915673E-2</v>
      </c>
      <c r="FQ271" s="1111">
        <f t="shared" si="399"/>
        <v>2.21574091915673E-2</v>
      </c>
      <c r="FR271" s="1111">
        <f t="shared" si="322"/>
        <v>0.37498220674272298</v>
      </c>
      <c r="FS271" s="1111">
        <f t="shared" si="323"/>
        <v>0.37498220674272298</v>
      </c>
      <c r="FT271" s="1111">
        <f t="shared" si="324"/>
        <v>0.30800096091118401</v>
      </c>
      <c r="FU271" s="1111">
        <f t="shared" si="325"/>
        <v>0.47876990917977102</v>
      </c>
      <c r="FV271" s="1111">
        <f t="shared" si="326"/>
        <v>0.47474601446343401</v>
      </c>
      <c r="FW271" s="1111">
        <f t="shared" si="327"/>
        <v>0.462592935753106</v>
      </c>
      <c r="FX271" s="1111">
        <f t="shared" si="328"/>
        <v>0.45943594701357998</v>
      </c>
      <c r="FY271" s="1111">
        <f t="shared" si="329"/>
        <v>0.45873466896290599</v>
      </c>
      <c r="FZ271" s="1111">
        <f t="shared" si="330"/>
        <v>0.45859669819349802</v>
      </c>
      <c r="GA271" s="1111">
        <f t="shared" si="331"/>
        <v>0.458612118231494</v>
      </c>
      <c r="GB271" s="1111">
        <f t="shared" si="332"/>
        <v>0.458612118231494</v>
      </c>
      <c r="GC271" s="1111">
        <f t="shared" si="353"/>
        <v>0.110253629274602</v>
      </c>
      <c r="GD271" s="1111">
        <f t="shared" si="354"/>
        <v>0.110253629274602</v>
      </c>
      <c r="GE271" s="1111">
        <f t="shared" si="355"/>
        <v>5.10415619775157E-2</v>
      </c>
      <c r="GF271" s="1111">
        <f t="shared" si="356"/>
        <v>6.9684988099320805E-2</v>
      </c>
      <c r="GG271" s="1111">
        <f t="shared" si="357"/>
        <v>6.9040658676098196E-2</v>
      </c>
      <c r="GH271" s="1111">
        <f t="shared" si="358"/>
        <v>6.6765177638673803E-2</v>
      </c>
      <c r="GI271" s="1111">
        <f t="shared" si="359"/>
        <v>6.6229434848786198E-2</v>
      </c>
      <c r="GJ271" s="1111">
        <f t="shared" si="360"/>
        <v>6.6102443905475594E-2</v>
      </c>
      <c r="GK271" s="1111">
        <f t="shared" si="361"/>
        <v>6.6105381584131498E-2</v>
      </c>
      <c r="GL271" s="1111">
        <f t="shared" si="362"/>
        <v>6.6121307340381005E-2</v>
      </c>
      <c r="GM271" s="1111">
        <f t="shared" si="363"/>
        <v>6.6121307340381005E-2</v>
      </c>
    </row>
    <row r="272" spans="1:195" x14ac:dyDescent="0.2">
      <c r="A272" s="1071" t="s">
        <v>184</v>
      </c>
      <c r="B272" s="1071" t="str">
        <f>Technologies!C161</f>
        <v>THSCNGC10</v>
      </c>
      <c r="C272" s="1071" t="str">
        <f>Technologies!D161</f>
        <v>Heavy Truck, Short Haul, Conventional CNG 2010</v>
      </c>
      <c r="D272" s="1071" t="str">
        <f>NewTech!D108</f>
        <v>bn-vmt, bn-vmt/a</v>
      </c>
      <c r="E272" s="1071" t="str">
        <f>Commodities!C$58</f>
        <v>THCNG</v>
      </c>
      <c r="F272" s="1071" t="s">
        <v>98</v>
      </c>
      <c r="G272" s="1110" t="s">
        <v>505</v>
      </c>
      <c r="H272" s="1110" t="s">
        <v>500</v>
      </c>
      <c r="I272" s="1112">
        <v>1</v>
      </c>
      <c r="J272" s="1111" t="str">
        <f t="shared" si="302"/>
        <v>Heavy duty short haul truck-GSL</v>
      </c>
      <c r="K272" s="1111">
        <f>SUMIFS(NewEmisData!E:E, NewEmisData!$A:$A, $G272, NewEmisData!$B:$B, $A272, NewEmisData!$C:$C, $H272, NewEmisData!$D:$D, K$6)</f>
        <v>1130.1167624525301</v>
      </c>
      <c r="L272" s="1111">
        <f>SUMIFS(NewEmisData!F:F, NewEmisData!$A:$A, $G272, NewEmisData!$B:$B, $A272, NewEmisData!$C:$C, $H272, NewEmisData!$D:$D, L$6)</f>
        <v>1130.8984145920599</v>
      </c>
      <c r="M272" s="1111">
        <f>SUMIFS(NewEmisData!G:G, NewEmisData!$A:$A, $G272, NewEmisData!$B:$B, $A272, NewEmisData!$C:$C, $H272, NewEmisData!$D:$D, M$6)</f>
        <v>1405.3513402599599</v>
      </c>
      <c r="N272" s="1111">
        <f>SUMIFS(NewEmisData!H:H, NewEmisData!$A:$A, $G272, NewEmisData!$B:$B, $A272, NewEmisData!$C:$C, $H272, NewEmisData!$D:$D, N$6)</f>
        <v>1379.6052405171799</v>
      </c>
      <c r="O272" s="1111">
        <f>SUMIFS(NewEmisData!I:I, NewEmisData!$A:$A, $G272, NewEmisData!$B:$B, $A272, NewEmisData!$C:$C, $H272, NewEmisData!$D:$D, O$6)</f>
        <v>1334.4147184286501</v>
      </c>
      <c r="P272" s="1111">
        <f>SUMIFS(NewEmisData!J:J, NewEmisData!$A:$A, $G272, NewEmisData!$B:$B, $A272, NewEmisData!$C:$C, $H272, NewEmisData!$D:$D, P$6)</f>
        <v>1322.9454628220101</v>
      </c>
      <c r="Q272" s="1111">
        <f>SUMIFS(NewEmisData!K:K, NewEmisData!$A:$A, $G272, NewEmisData!$B:$B, $A272, NewEmisData!$C:$C, $H272, NewEmisData!$D:$D, Q$6)</f>
        <v>1320.2157375614299</v>
      </c>
      <c r="R272" s="1111">
        <f>SUMIFS(NewEmisData!L:L, NewEmisData!$A:$A, $G272, NewEmisData!$B:$B, $A272, NewEmisData!$C:$C, $H272, NewEmisData!$D:$D, R$6)</f>
        <v>1319.7277214958499</v>
      </c>
      <c r="S272" s="1111">
        <f>SUMIFS(NewEmisData!M:M, NewEmisData!$A:$A, $G272, NewEmisData!$B:$B, $A272, NewEmisData!$C:$C, $H272, NewEmisData!$D:$D, S$6)</f>
        <v>1319.71246990391</v>
      </c>
      <c r="T272" s="1111">
        <f t="shared" si="364"/>
        <v>1319.71246990391</v>
      </c>
      <c r="U272" s="1111">
        <f>SUMIFS(NewEmisData!E:E, NewEmisData!$A:$A, $G272, NewEmisData!$B:$B, $A272, NewEmisData!$C:$C, $H272, NewEmisData!$D:$D, U$6)</f>
        <v>4.0566113456988298</v>
      </c>
      <c r="V272" s="1111">
        <f>SUMIFS(NewEmisData!F:F, NewEmisData!$A:$A, $G272, NewEmisData!$B:$B, $A272, NewEmisData!$C:$C, $H272, NewEmisData!$D:$D, V$6)</f>
        <v>2.5724270871349901</v>
      </c>
      <c r="W272" s="1111">
        <f>SUMIFS(NewEmisData!G:G, NewEmisData!$A:$A, $G272, NewEmisData!$B:$B, $A272, NewEmisData!$C:$C, $H272, NewEmisData!$D:$D, W$6)</f>
        <v>1.4424895677524801</v>
      </c>
      <c r="X272" s="1111">
        <f>SUMIFS(NewEmisData!H:H, NewEmisData!$A:$A, $G272, NewEmisData!$B:$B, $A272, NewEmisData!$C:$C, $H272, NewEmisData!$D:$D, X$6)</f>
        <v>1.13924742539507</v>
      </c>
      <c r="Y272" s="1111">
        <f>SUMIFS(NewEmisData!I:I, NewEmisData!$A:$A, $G272, NewEmisData!$B:$B, $A272, NewEmisData!$C:$C, $H272, NewEmisData!$D:$D, Y$6)</f>
        <v>1.03965564636638</v>
      </c>
      <c r="Z272" s="1111">
        <f>SUMIFS(NewEmisData!J:J, NewEmisData!$A:$A, $G272, NewEmisData!$B:$B, $A272, NewEmisData!$C:$C, $H272, NewEmisData!$D:$D, Z$6)</f>
        <v>1.02198349229239</v>
      </c>
      <c r="AA272" s="1111">
        <f>SUMIFS(NewEmisData!K:K, NewEmisData!$A:$A, $G272, NewEmisData!$B:$B, $A272, NewEmisData!$C:$C, $H272, NewEmisData!$D:$D, AA$6)</f>
        <v>1.0148563657413801</v>
      </c>
      <c r="AB272" s="1111">
        <f>SUMIFS(NewEmisData!L:L, NewEmisData!$A:$A, $G272, NewEmisData!$B:$B, $A272, NewEmisData!$C:$C, $H272, NewEmisData!$D:$D, AB$6)</f>
        <v>1.01503532465236</v>
      </c>
      <c r="AC272" s="1111">
        <f>SUMIFS(NewEmisData!M:M, NewEmisData!$A:$A, $G272, NewEmisData!$B:$B, $A272, NewEmisData!$C:$C, $H272, NewEmisData!$D:$D, AC$6)</f>
        <v>1.0151899457145299</v>
      </c>
      <c r="AD272" s="1111">
        <f t="shared" si="321"/>
        <v>1.0151899457145299</v>
      </c>
      <c r="AE272" s="1111">
        <f t="shared" si="430"/>
        <v>1.9554990283156898E-2</v>
      </c>
      <c r="AF272" s="1111">
        <f>SUMIFS(NewEmisData!E:E, NewEmisData!$A:$A, $G272, NewEmisData!$B:$B, $A272, NewEmisData!$C:$C, $H272, NewEmisData!$D:$D, AF$6)</f>
        <v>1.9554990283156898E-2</v>
      </c>
      <c r="AG272" s="1111">
        <f>SUMIFS(NewEmisData!F:F, NewEmisData!$A:$A, $G272, NewEmisData!$B:$B, $A272, NewEmisData!$C:$C, $H272, NewEmisData!$D:$D, AG$6)</f>
        <v>1.95685182638505E-2</v>
      </c>
      <c r="AH272" s="1111">
        <f>SUMIFS(NewEmisData!G:G, NewEmisData!$A:$A, $G272, NewEmisData!$B:$B, $A272, NewEmisData!$C:$C, $H272, NewEmisData!$D:$D, AH$6)</f>
        <v>2.01604922584692E-2</v>
      </c>
      <c r="AI272" s="1111">
        <f>SUMIFS(NewEmisData!H:H, NewEmisData!$A:$A, $G272, NewEmisData!$B:$B, $A272, NewEmisData!$C:$C, $H272, NewEmisData!$D:$D, AI$6)</f>
        <v>1.97911521572584E-2</v>
      </c>
      <c r="AJ272" s="1111">
        <f>SUMIFS(NewEmisData!I:I, NewEmisData!$A:$A, $G272, NewEmisData!$B:$B, $A272, NewEmisData!$C:$C, $H272, NewEmisData!$D:$D, AJ$6)</f>
        <v>1.9142873562620798E-2</v>
      </c>
      <c r="AK272" s="1111">
        <f>SUMIFS(NewEmisData!J:J, NewEmisData!$A:$A, $G272, NewEmisData!$B:$B, $A272, NewEmisData!$C:$C, $H272, NewEmisData!$D:$D, AK$6)</f>
        <v>1.89783356086532E-2</v>
      </c>
      <c r="AL272" s="1111">
        <f>SUMIFS(NewEmisData!K:K, NewEmisData!$A:$A, $G272, NewEmisData!$B:$B, $A272, NewEmisData!$C:$C, $H272, NewEmisData!$D:$D, AL$6)</f>
        <v>1.8939180344523601E-2</v>
      </c>
      <c r="AM272" s="1111">
        <f>SUMIFS(NewEmisData!L:L, NewEmisData!$A:$A, $G272, NewEmisData!$B:$B, $A272, NewEmisData!$C:$C, $H272, NewEmisData!$D:$D, AM$6)</f>
        <v>1.8932175415884701E-2</v>
      </c>
      <c r="AN272" s="1111">
        <f>SUMIFS(NewEmisData!M:M, NewEmisData!$A:$A, $G272, NewEmisData!$B:$B, $A272, NewEmisData!$C:$C, $H272, NewEmisData!$D:$D, AN$6)</f>
        <v>1.89319567223225E-2</v>
      </c>
      <c r="AO272" s="1111">
        <f t="shared" si="431"/>
        <v>1.89319567223225E-2</v>
      </c>
      <c r="AP272" s="1111">
        <f t="shared" si="432"/>
        <v>0.25577646184958402</v>
      </c>
      <c r="AQ272" s="1111">
        <f>SUMIFS(NewEmisData!E:E, NewEmisData!$A:$A, $G272, NewEmisData!$B:$B, $A272, NewEmisData!$C:$C, $H272, NewEmisData!$D:$D, AQ$6)</f>
        <v>0.25577646184958402</v>
      </c>
      <c r="AR272" s="1111">
        <f>SUMIFS(NewEmisData!F:F, NewEmisData!$A:$A, $G272, NewEmisData!$B:$B, $A272, NewEmisData!$C:$C, $H272, NewEmisData!$D:$D, AR$6)</f>
        <v>0.23859206785442999</v>
      </c>
      <c r="AS272" s="1111">
        <f>SUMIFS(NewEmisData!G:G, NewEmisData!$A:$A, $G272, NewEmisData!$B:$B, $A272, NewEmisData!$C:$C, $H272, NewEmisData!$D:$D, AS$6)</f>
        <v>0.351764857744302</v>
      </c>
      <c r="AT272" s="1111">
        <f>SUMIFS(NewEmisData!H:H, NewEmisData!$A:$A, $G272, NewEmisData!$B:$B, $A272, NewEmisData!$C:$C, $H272, NewEmisData!$D:$D, AT$6)</f>
        <v>0.34931824303782499</v>
      </c>
      <c r="AU272" s="1111">
        <f>SUMIFS(NewEmisData!I:I, NewEmisData!$A:$A, $G272, NewEmisData!$B:$B, $A272, NewEmisData!$C:$C, $H272, NewEmisData!$D:$D, AU$6)</f>
        <v>0.34154946312290901</v>
      </c>
      <c r="AV272" s="1111">
        <f>SUMIFS(NewEmisData!J:J, NewEmisData!$A:$A, $G272, NewEmisData!$B:$B, $A272, NewEmisData!$C:$C, $H272, NewEmisData!$D:$D, AV$6)</f>
        <v>0.33956199269290699</v>
      </c>
      <c r="AW272" s="1111">
        <f>SUMIFS(NewEmisData!K:K, NewEmisData!$A:$A, $G272, NewEmisData!$B:$B, $A272, NewEmisData!$C:$C, $H272, NewEmisData!$D:$D, AW$6)</f>
        <v>0.33912280958847202</v>
      </c>
      <c r="AX272" s="1111">
        <f>SUMIFS(NewEmisData!L:L, NewEmisData!$A:$A, $G272, NewEmisData!$B:$B, $A272, NewEmisData!$C:$C, $H272, NewEmisData!$D:$D, AX$6)</f>
        <v>0.33904138785011401</v>
      </c>
      <c r="AY272" s="1111">
        <f>SUMIFS(NewEmisData!M:M, NewEmisData!$A:$A, $G272, NewEmisData!$B:$B, $A272, NewEmisData!$C:$C, $H272, NewEmisData!$D:$D, AY$6)</f>
        <v>0.33905343527213999</v>
      </c>
      <c r="AZ272" s="1111">
        <f t="shared" si="433"/>
        <v>0.33905343527213999</v>
      </c>
      <c r="BA272" s="1111">
        <f t="shared" si="434"/>
        <v>5.4814467904693999E-2</v>
      </c>
      <c r="BB272" s="1111">
        <f>SUMIFS(NewEmisData!E:E, NewEmisData!$A:$A, $G272, NewEmisData!$B:$B, $A272, NewEmisData!$C:$C, $H272, NewEmisData!$D:$D, BB$6)</f>
        <v>5.4814467904693999E-2</v>
      </c>
      <c r="BC272" s="1111">
        <f>SUMIFS(NewEmisData!F:F, NewEmisData!$A:$A, $G272, NewEmisData!$B:$B, $A272, NewEmisData!$C:$C, $H272, NewEmisData!$D:$D, BC$6)</f>
        <v>3.9660843522864801E-2</v>
      </c>
      <c r="BD272" s="1111">
        <f>SUMIFS(NewEmisData!G:G, NewEmisData!$A:$A, $G272, NewEmisData!$B:$B, $A272, NewEmisData!$C:$C, $H272, NewEmisData!$D:$D, BD$6)</f>
        <v>5.2889801360665199E-2</v>
      </c>
      <c r="BE272" s="1111">
        <f>SUMIFS(NewEmisData!H:H, NewEmisData!$A:$A, $G272, NewEmisData!$B:$B, $A272, NewEmisData!$C:$C, $H272, NewEmisData!$D:$D, BE$6)</f>
        <v>5.2551386947303103E-2</v>
      </c>
      <c r="BF272" s="1111">
        <f>SUMIFS(NewEmisData!I:I, NewEmisData!$A:$A, $G272, NewEmisData!$B:$B, $A272, NewEmisData!$C:$C, $H272, NewEmisData!$D:$D, BF$6)</f>
        <v>5.0945334073008497E-2</v>
      </c>
      <c r="BG272" s="1111">
        <f>SUMIFS(NewEmisData!J:J, NewEmisData!$A:$A, $G272, NewEmisData!$B:$B, $A272, NewEmisData!$C:$C, $H272, NewEmisData!$D:$D, BG$6)</f>
        <v>5.0580577350149397E-2</v>
      </c>
      <c r="BH272" s="1111">
        <f>SUMIFS(NewEmisData!K:K, NewEmisData!$A:$A, $G272, NewEmisData!$B:$B, $A272, NewEmisData!$C:$C, $H272, NewEmisData!$D:$D, BH$6)</f>
        <v>5.0495841537682197E-2</v>
      </c>
      <c r="BI272" s="1111">
        <f>SUMIFS(NewEmisData!L:L, NewEmisData!$A:$A, $G272, NewEmisData!$B:$B, $A272, NewEmisData!$C:$C, $H272, NewEmisData!$D:$D, BI$6)</f>
        <v>5.0500593811481399E-2</v>
      </c>
      <c r="BJ272" s="1111">
        <f>SUMIFS(NewEmisData!M:M, NewEmisData!$A:$A, $G272, NewEmisData!$B:$B, $A272, NewEmisData!$C:$C, $H272, NewEmisData!$D:$D, BJ$6)</f>
        <v>5.0513012114000298E-2</v>
      </c>
      <c r="BK272" s="1111">
        <f t="shared" si="435"/>
        <v>5.0513012114000298E-2</v>
      </c>
      <c r="BL272" s="1111">
        <f t="shared" si="436"/>
        <v>32.184051509772999</v>
      </c>
      <c r="BM272" s="1111">
        <f>SUMIFS(NewEmisData!E:E, NewEmisData!$A:$A, $G272, NewEmisData!$B:$B, $A272, NewEmisData!$C:$C, $H272, NewEmisData!$D:$D, BM$6)</f>
        <v>32.184051509772999</v>
      </c>
      <c r="BN272" s="1111">
        <f>SUMIFS(NewEmisData!F:F, NewEmisData!$A:$A, $G272, NewEmisData!$B:$B, $A272, NewEmisData!$C:$C, $H272, NewEmisData!$D:$D, BN$6)</f>
        <v>25.790545556992701</v>
      </c>
      <c r="BO272" s="1111">
        <f>SUMIFS(NewEmisData!G:G, NewEmisData!$A:$A, $G272, NewEmisData!$B:$B, $A272, NewEmisData!$C:$C, $H272, NewEmisData!$D:$D, BO$6)</f>
        <v>17.593987471051999</v>
      </c>
      <c r="BP272" s="1111">
        <f>SUMIFS(NewEmisData!H:H, NewEmisData!$A:$A, $G272, NewEmisData!$B:$B, $A272, NewEmisData!$C:$C, $H272, NewEmisData!$D:$D, BP$6)</f>
        <v>15.548032809457499</v>
      </c>
      <c r="BQ272" s="1111">
        <f>SUMIFS(NewEmisData!I:I, NewEmisData!$A:$A, $G272, NewEmisData!$B:$B, $A272, NewEmisData!$C:$C, $H272, NewEmisData!$D:$D, BQ$6)</f>
        <v>15.5605262464888</v>
      </c>
      <c r="BR272" s="1111">
        <f>SUMIFS(NewEmisData!J:J, NewEmisData!$A:$A, $G272, NewEmisData!$B:$B, $A272, NewEmisData!$C:$C, $H272, NewEmisData!$D:$D, BR$6)</f>
        <v>15.9871963814061</v>
      </c>
      <c r="BS272" s="1111">
        <f>SUMIFS(NewEmisData!K:K, NewEmisData!$A:$A, $G272, NewEmisData!$B:$B, $A272, NewEmisData!$C:$C, $H272, NewEmisData!$D:$D, BS$6)</f>
        <v>16.091605975104901</v>
      </c>
      <c r="BT272" s="1111">
        <f>SUMIFS(NewEmisData!L:L, NewEmisData!$A:$A, $G272, NewEmisData!$B:$B, $A272, NewEmisData!$C:$C, $H272, NewEmisData!$D:$D, BT$6)</f>
        <v>16.2582160020517</v>
      </c>
      <c r="BU272" s="1111">
        <f>SUMIFS(NewEmisData!M:M, NewEmisData!$A:$A, $G272, NewEmisData!$B:$B, $A272, NewEmisData!$C:$C, $H272, NewEmisData!$D:$D, BU$6)</f>
        <v>16.317714638715799</v>
      </c>
      <c r="BV272" s="1111">
        <f t="shared" si="437"/>
        <v>16.317714638715799</v>
      </c>
      <c r="BW272" s="1111">
        <f t="shared" si="438"/>
        <v>1.6076832062105699</v>
      </c>
      <c r="BX272" s="1111">
        <f>SUMIFS(NewEmisData!E:E, NewEmisData!$A:$A, $G272, NewEmisData!$B:$B, $A272, NewEmisData!$C:$C, $H272, NewEmisData!$D:$D, BX$6)</f>
        <v>1.6076832062105699</v>
      </c>
      <c r="BY272" s="1111">
        <f>SUMIFS(NewEmisData!F:F, NewEmisData!$A:$A, $G272, NewEmisData!$B:$B, $A272, NewEmisData!$C:$C, $H272, NewEmisData!$D:$D, BY$6)</f>
        <v>1.07737691728375</v>
      </c>
      <c r="BZ272" s="1111">
        <f>SUMIFS(NewEmisData!G:G, NewEmisData!$A:$A, $G272, NewEmisData!$B:$B, $A272, NewEmisData!$C:$C, $H272, NewEmisData!$D:$D, BZ$6)</f>
        <v>0.66089486679656995</v>
      </c>
      <c r="CA272" s="1111">
        <f>SUMIFS(NewEmisData!H:H, NewEmisData!$A:$A, $G272, NewEmisData!$B:$B, $A272, NewEmisData!$C:$C, $H272, NewEmisData!$D:$D, CA$6)</f>
        <v>0.50665329469086795</v>
      </c>
      <c r="CB272" s="1111">
        <f>SUMIFS(NewEmisData!I:I, NewEmisData!$A:$A, $G272, NewEmisData!$B:$B, $A272, NewEmisData!$C:$C, $H272, NewEmisData!$D:$D, CB$6)</f>
        <v>0.45395027729947901</v>
      </c>
      <c r="CC272" s="1111">
        <f>SUMIFS(NewEmisData!J:J, NewEmisData!$A:$A, $G272, NewEmisData!$B:$B, $A272, NewEmisData!$C:$C, $H272, NewEmisData!$D:$D, CC$6)</f>
        <v>0.44710959546622903</v>
      </c>
      <c r="CD272" s="1111">
        <f>SUMIFS(NewEmisData!K:K, NewEmisData!$A:$A, $G272, NewEmisData!$B:$B, $A272, NewEmisData!$C:$C, $H272, NewEmisData!$D:$D, CD$6)</f>
        <v>0.44246515211993698</v>
      </c>
      <c r="CE272" s="1111">
        <f>SUMIFS(NewEmisData!L:L, NewEmisData!$A:$A, $G272, NewEmisData!$B:$B, $A272, NewEmisData!$C:$C, $H272, NewEmisData!$D:$D, CE$6)</f>
        <v>0.44466448973498501</v>
      </c>
      <c r="CF272" s="1111">
        <f>SUMIFS(NewEmisData!M:M, NewEmisData!$A:$A, $G272, NewEmisData!$B:$B, $A272, NewEmisData!$C:$C, $H272, NewEmisData!$D:$D, CF$6)</f>
        <v>0.44515250539012002</v>
      </c>
      <c r="CG272" s="1111">
        <f t="shared" si="439"/>
        <v>0.44515250539012002</v>
      </c>
      <c r="CH272" s="1111">
        <f t="shared" si="440"/>
        <v>4.3399422117819303E-2</v>
      </c>
      <c r="CI272" s="1111">
        <f>SUMIFS(NewEmisData!E:E, NewEmisData!$A:$A, $G272, NewEmisData!$B:$B, $A272, NewEmisData!$C:$C, $H272, NewEmisData!$D:$D, CI$6)</f>
        <v>4.3399422117819303E-2</v>
      </c>
      <c r="CJ272" s="1111">
        <f>SUMIFS(NewEmisData!F:F, NewEmisData!$A:$A, $G272, NewEmisData!$B:$B, $A272, NewEmisData!$C:$C, $H272, NewEmisData!$D:$D, CJ$6)</f>
        <v>4.3400015102987403E-2</v>
      </c>
      <c r="CK272" s="1111">
        <f>SUMIFS(NewEmisData!G:G, NewEmisData!$A:$A, $G272, NewEmisData!$B:$B, $A272, NewEmisData!$C:$C, $H272, NewEmisData!$D:$D, CK$6)</f>
        <v>5.51180775849354E-2</v>
      </c>
      <c r="CL272" s="1111">
        <f>SUMIFS(NewEmisData!H:H, NewEmisData!$A:$A, $G272, NewEmisData!$B:$B, $A272, NewEmisData!$C:$C, $H272, NewEmisData!$D:$D, CL$6)</f>
        <v>5.5092760124654402E-2</v>
      </c>
      <c r="CM272" s="1111">
        <f>SUMIFS(NewEmisData!I:I, NewEmisData!$A:$A, $G272, NewEmisData!$B:$B, $A272, NewEmisData!$C:$C, $H272, NewEmisData!$D:$D, CM$6)</f>
        <v>5.5018575060889002E-2</v>
      </c>
      <c r="CN272" s="1111">
        <f>SUMIFS(NewEmisData!J:J, NewEmisData!$A:$A, $G272, NewEmisData!$B:$B, $A272, NewEmisData!$C:$C, $H272, NewEmisData!$D:$D, CN$6)</f>
        <v>5.4999024433032603E-2</v>
      </c>
      <c r="CO272" s="1111">
        <f>SUMIFS(NewEmisData!K:K, NewEmisData!$A:$A, $G272, NewEmisData!$B:$B, $A272, NewEmisData!$C:$C, $H272, NewEmisData!$D:$D, CO$6)</f>
        <v>5.49947267932255E-2</v>
      </c>
      <c r="CP272" s="1111">
        <f>SUMIFS(NewEmisData!L:L, NewEmisData!$A:$A, $G272, NewEmisData!$B:$B, $A272, NewEmisData!$C:$C, $H272, NewEmisData!$D:$D, CP$6)</f>
        <v>5.4993686114600697E-2</v>
      </c>
      <c r="CQ272" s="1111">
        <f>SUMIFS(NewEmisData!M:M, NewEmisData!$A:$A, $G272, NewEmisData!$B:$B, $A272, NewEmisData!$C:$C, $H272, NewEmisData!$D:$D, CQ$6)</f>
        <v>5.4993670901738401E-2</v>
      </c>
      <c r="CR272" s="1111">
        <f t="shared" si="441"/>
        <v>5.4993670901738401E-2</v>
      </c>
      <c r="CS272" s="1111">
        <f t="shared" si="442"/>
        <v>4.2091134803139398E-2</v>
      </c>
      <c r="CT272" s="1111">
        <f>SUMIFS(NewEmisData!E:E, NewEmisData!$A:$A, $G272, NewEmisData!$B:$B, $A272, NewEmisData!$C:$C, $H272, NewEmisData!$D:$D, CT$6)</f>
        <v>4.2091134803139398E-2</v>
      </c>
      <c r="CU272" s="1111">
        <f>SUMIFS(NewEmisData!F:F, NewEmisData!$A:$A, $G272, NewEmisData!$B:$B, $A272, NewEmisData!$C:$C, $H272, NewEmisData!$D:$D, CU$6)</f>
        <v>2.9413368678447099E-2</v>
      </c>
      <c r="CV272" s="1111">
        <f>SUMIFS(NewEmisData!G:G, NewEmisData!$A:$A, $G272, NewEmisData!$B:$B, $A272, NewEmisData!$C:$C, $H272, NewEmisData!$D:$D, CV$6)</f>
        <v>2.1908117014146501E-2</v>
      </c>
      <c r="CW272" s="1111">
        <f>SUMIFS(NewEmisData!H:H, NewEmisData!$A:$A, $G272, NewEmisData!$B:$B, $A272, NewEmisData!$C:$C, $H272, NewEmisData!$D:$D, CW$6)</f>
        <v>1.51235650548124E-2</v>
      </c>
      <c r="CX272" s="1111">
        <f>SUMIFS(NewEmisData!I:I, NewEmisData!$A:$A, $G272, NewEmisData!$B:$B, $A272, NewEmisData!$C:$C, $H272, NewEmisData!$D:$D, CX$6)</f>
        <v>1.29093526067743E-2</v>
      </c>
      <c r="CY272" s="1111">
        <f>SUMIFS(NewEmisData!J:J, NewEmisData!$A:$A, $G272, NewEmisData!$B:$B, $A272, NewEmisData!$C:$C, $H272, NewEmisData!$D:$D, CY$6)</f>
        <v>1.25399672188876E-2</v>
      </c>
      <c r="CZ272" s="1111">
        <f>SUMIFS(NewEmisData!K:K, NewEmisData!$A:$A, $G272, NewEmisData!$B:$B, $A272, NewEmisData!$C:$C, $H272, NewEmisData!$D:$D, CZ$6)</f>
        <v>1.2248391252448299E-2</v>
      </c>
      <c r="DA272" s="1111">
        <f>SUMIFS(NewEmisData!L:L, NewEmisData!$A:$A, $G272, NewEmisData!$B:$B, $A272, NewEmisData!$C:$C, $H272, NewEmisData!$D:$D, DA$6)</f>
        <v>1.22999318738547E-2</v>
      </c>
      <c r="DB272" s="1111">
        <f>SUMIFS(NewEmisData!M:M, NewEmisData!$A:$A, $G272, NewEmisData!$B:$B, $A272, NewEmisData!$C:$C, $H272, NewEmisData!$D:$D, DB$6)</f>
        <v>1.23186618660251E-2</v>
      </c>
      <c r="DC272" s="1111">
        <f t="shared" si="443"/>
        <v>1.23186618660251E-2</v>
      </c>
      <c r="DD272" s="1111"/>
      <c r="DE272" s="1111"/>
      <c r="DF272" s="1111"/>
      <c r="DG272" s="1111"/>
      <c r="DH272" s="1111"/>
      <c r="DI272" s="1111"/>
      <c r="DJ272" s="1111"/>
      <c r="DK272" s="1111"/>
      <c r="DL272" s="1111"/>
      <c r="DM272" s="1111"/>
      <c r="DN272" s="1111"/>
      <c r="DO272" s="1111"/>
      <c r="DP272" s="1111"/>
      <c r="DQ272" s="1111"/>
      <c r="DR272" s="1111"/>
      <c r="DS272" s="1111"/>
      <c r="DT272" s="1111"/>
      <c r="DU272" s="1111"/>
      <c r="DV272" s="1111"/>
      <c r="DW272" s="1111"/>
      <c r="DX272" s="1111"/>
      <c r="DY272" s="1111"/>
      <c r="DZ272" s="1111">
        <f t="shared" si="444"/>
        <v>5.7853229299281397E-2</v>
      </c>
      <c r="EA272" s="1111">
        <f>SUMIFS(NewEmisData!E:E, NewEmisData!$A:$A, $G272, NewEmisData!$B:$B, $A272, NewEmisData!$C:$C, $H272, NewEmisData!$D:$D, EA$6)</f>
        <v>5.7853229299281397E-2</v>
      </c>
      <c r="EB272" s="1111">
        <f>SUMIFS(NewEmisData!F:F, NewEmisData!$A:$A, $G272, NewEmisData!$B:$B, $A272, NewEmisData!$C:$C, $H272, NewEmisData!$D:$D, EB$6)</f>
        <v>2.9073352809047302E-2</v>
      </c>
      <c r="EC272" s="1111">
        <f>SUMIFS(NewEmisData!G:G, NewEmisData!$A:$A, $G272, NewEmisData!$B:$B, $A272, NewEmisData!$C:$C, $H272, NewEmisData!$D:$D, EC$6)</f>
        <v>1.58088583493518E-2</v>
      </c>
      <c r="ED272" s="1111">
        <f>SUMIFS(NewEmisData!H:H, NewEmisData!$A:$A, $G272, NewEmisData!$B:$B, $A272, NewEmisData!$C:$C, $H272, NewEmisData!$D:$D, ED$6)</f>
        <v>1.27598175965856E-2</v>
      </c>
      <c r="EE272" s="1111">
        <f>SUMIFS(NewEmisData!I:I, NewEmisData!$A:$A, $G272, NewEmisData!$B:$B, $A272, NewEmisData!$C:$C, $H272, NewEmisData!$D:$D, EE$6)</f>
        <v>1.25765761718582E-2</v>
      </c>
      <c r="EF272" s="1111">
        <f>SUMIFS(NewEmisData!J:J, NewEmisData!$A:$A, $G272, NewEmisData!$B:$B, $A272, NewEmisData!$C:$C, $H272, NewEmisData!$D:$D, EF$6)</f>
        <v>1.28662791289052E-2</v>
      </c>
      <c r="EG272" s="1111">
        <f>SUMIFS(NewEmisData!K:K, NewEmisData!$A:$A, $G272, NewEmisData!$B:$B, $A272, NewEmisData!$C:$C, $H272, NewEmisData!$D:$D, EG$6)</f>
        <v>1.2955321110398099E-2</v>
      </c>
      <c r="EH272" s="1111">
        <f>SUMIFS(NewEmisData!L:L, NewEmisData!$A:$A, $G272, NewEmisData!$B:$B, $A272, NewEmisData!$C:$C, $H272, NewEmisData!$D:$D, EH$6)</f>
        <v>1.30753171444039E-2</v>
      </c>
      <c r="EI272" s="1111">
        <f>SUMIFS(NewEmisData!M:M, NewEmisData!$A:$A, $G272, NewEmisData!$B:$B, $A272, NewEmisData!$C:$C, $H272, NewEmisData!$D:$D, EI$6)</f>
        <v>1.31164603255322E-2</v>
      </c>
      <c r="EJ272" s="1111">
        <f t="shared" si="445"/>
        <v>1.31164603255322E-2</v>
      </c>
      <c r="EK272" s="1111">
        <f t="shared" si="446"/>
        <v>1130.1167624525301</v>
      </c>
      <c r="EL272" s="1111">
        <f t="shared" si="343"/>
        <v>1130.1167624525301</v>
      </c>
      <c r="EM272" s="1111">
        <f t="shared" si="344"/>
        <v>1130.8984145920599</v>
      </c>
      <c r="EN272" s="1111">
        <f t="shared" si="345"/>
        <v>1405.3513402599599</v>
      </c>
      <c r="EO272" s="1111">
        <f t="shared" si="346"/>
        <v>1379.6052405171799</v>
      </c>
      <c r="EP272" s="1111">
        <f t="shared" si="347"/>
        <v>1334.4147184286501</v>
      </c>
      <c r="EQ272" s="1111">
        <f t="shared" si="348"/>
        <v>1322.9454628220101</v>
      </c>
      <c r="ER272" s="1111">
        <f t="shared" si="349"/>
        <v>1320.2157375614299</v>
      </c>
      <c r="ES272" s="1111">
        <f t="shared" si="350"/>
        <v>1319.7277214958499</v>
      </c>
      <c r="ET272" s="1111">
        <f t="shared" si="351"/>
        <v>1319.71246990391</v>
      </c>
      <c r="EU272" s="1111">
        <f t="shared" si="352"/>
        <v>1319.71246990391</v>
      </c>
      <c r="EV272" s="1111">
        <f t="shared" si="447"/>
        <v>4.0566113456988298</v>
      </c>
      <c r="EW272" s="1111">
        <f t="shared" si="333"/>
        <v>4.0566113456988298</v>
      </c>
      <c r="EX272" s="1111">
        <f t="shared" si="334"/>
        <v>2.5724270871349901</v>
      </c>
      <c r="EY272" s="1111">
        <f t="shared" si="335"/>
        <v>1.4424895677524801</v>
      </c>
      <c r="EZ272" s="1111">
        <f t="shared" si="336"/>
        <v>1.13924742539507</v>
      </c>
      <c r="FA272" s="1111">
        <f t="shared" si="337"/>
        <v>1.03965564636638</v>
      </c>
      <c r="FB272" s="1111">
        <f t="shared" si="338"/>
        <v>1.02198349229239</v>
      </c>
      <c r="FC272" s="1111">
        <f t="shared" si="339"/>
        <v>1.0148563657413801</v>
      </c>
      <c r="FD272" s="1111">
        <f t="shared" si="340"/>
        <v>1.01503532465236</v>
      </c>
      <c r="FE272" s="1111">
        <f t="shared" si="341"/>
        <v>1.0151899457145299</v>
      </c>
      <c r="FF272" s="1111">
        <f t="shared" si="342"/>
        <v>1.0151899457145299</v>
      </c>
      <c r="FG272" s="1111">
        <f t="shared" si="389"/>
        <v>1.9554990283156898E-2</v>
      </c>
      <c r="FH272" s="1111">
        <f t="shared" si="390"/>
        <v>1.9554990283156898E-2</v>
      </c>
      <c r="FI272" s="1111">
        <f t="shared" si="391"/>
        <v>1.95685182638505E-2</v>
      </c>
      <c r="FJ272" s="1111">
        <f t="shared" si="392"/>
        <v>2.01604922584692E-2</v>
      </c>
      <c r="FK272" s="1111">
        <f t="shared" si="393"/>
        <v>1.97911521572584E-2</v>
      </c>
      <c r="FL272" s="1111">
        <f t="shared" si="394"/>
        <v>1.9142873562620798E-2</v>
      </c>
      <c r="FM272" s="1111">
        <f t="shared" si="395"/>
        <v>1.89783356086532E-2</v>
      </c>
      <c r="FN272" s="1111">
        <f t="shared" si="396"/>
        <v>1.8939180344523601E-2</v>
      </c>
      <c r="FO272" s="1111">
        <f t="shared" si="397"/>
        <v>1.8932175415884701E-2</v>
      </c>
      <c r="FP272" s="1111">
        <f t="shared" si="398"/>
        <v>1.89319567223225E-2</v>
      </c>
      <c r="FQ272" s="1111">
        <f t="shared" si="399"/>
        <v>1.89319567223225E-2</v>
      </c>
      <c r="FR272" s="1111">
        <f t="shared" si="322"/>
        <v>0.25577646184958402</v>
      </c>
      <c r="FS272" s="1111">
        <f t="shared" si="323"/>
        <v>0.25577646184958402</v>
      </c>
      <c r="FT272" s="1111">
        <f t="shared" si="324"/>
        <v>0.23859206785442999</v>
      </c>
      <c r="FU272" s="1111">
        <f t="shared" si="325"/>
        <v>0.351764857744302</v>
      </c>
      <c r="FV272" s="1111">
        <f t="shared" si="326"/>
        <v>0.34931824303782499</v>
      </c>
      <c r="FW272" s="1111">
        <f t="shared" si="327"/>
        <v>0.34154946312290901</v>
      </c>
      <c r="FX272" s="1111">
        <f t="shared" si="328"/>
        <v>0.33956199269290699</v>
      </c>
      <c r="FY272" s="1111">
        <f t="shared" si="329"/>
        <v>0.33912280958847202</v>
      </c>
      <c r="FZ272" s="1111">
        <f t="shared" si="330"/>
        <v>0.33904138785011401</v>
      </c>
      <c r="GA272" s="1111">
        <f t="shared" si="331"/>
        <v>0.33905343527213999</v>
      </c>
      <c r="GB272" s="1111">
        <f t="shared" si="332"/>
        <v>0.33905343527213999</v>
      </c>
      <c r="GC272" s="1111">
        <f t="shared" si="353"/>
        <v>5.4814467904693999E-2</v>
      </c>
      <c r="GD272" s="1111">
        <f t="shared" si="354"/>
        <v>5.4814467904693999E-2</v>
      </c>
      <c r="GE272" s="1111">
        <f t="shared" si="355"/>
        <v>3.9660843522864801E-2</v>
      </c>
      <c r="GF272" s="1111">
        <f t="shared" si="356"/>
        <v>5.2889801360665199E-2</v>
      </c>
      <c r="GG272" s="1111">
        <f t="shared" si="357"/>
        <v>5.2551386947303103E-2</v>
      </c>
      <c r="GH272" s="1111">
        <f t="shared" si="358"/>
        <v>5.0945334073008497E-2</v>
      </c>
      <c r="GI272" s="1111">
        <f t="shared" si="359"/>
        <v>5.0580577350149397E-2</v>
      </c>
      <c r="GJ272" s="1111">
        <f t="shared" si="360"/>
        <v>5.0495841537682197E-2</v>
      </c>
      <c r="GK272" s="1111">
        <f t="shared" si="361"/>
        <v>5.0500593811481399E-2</v>
      </c>
      <c r="GL272" s="1111">
        <f t="shared" si="362"/>
        <v>5.0513012114000298E-2</v>
      </c>
      <c r="GM272" s="1111">
        <f t="shared" si="363"/>
        <v>5.0513012114000298E-2</v>
      </c>
    </row>
    <row r="273" spans="1:195" x14ac:dyDescent="0.2">
      <c r="A273" s="1071" t="s">
        <v>186</v>
      </c>
      <c r="B273" s="1071" t="str">
        <f>Technologies!C161</f>
        <v>THSCNGC10</v>
      </c>
      <c r="C273" s="1071" t="str">
        <f>Technologies!D161</f>
        <v>Heavy Truck, Short Haul, Conventional CNG 2010</v>
      </c>
      <c r="D273" s="1071" t="str">
        <f>NewTech!D108</f>
        <v>bn-vmt, bn-vmt/a</v>
      </c>
      <c r="E273" s="1071" t="str">
        <f>Commodities!C$58</f>
        <v>THCNG</v>
      </c>
      <c r="F273" s="1071" t="s">
        <v>98</v>
      </c>
      <c r="G273" s="1110" t="s">
        <v>505</v>
      </c>
      <c r="H273" s="1110" t="s">
        <v>500</v>
      </c>
      <c r="I273" s="1112">
        <v>1</v>
      </c>
      <c r="J273" s="1111" t="str">
        <f t="shared" si="302"/>
        <v>Heavy duty short haul truck-GSL</v>
      </c>
      <c r="K273" s="1111">
        <f>SUMIFS(NewEmisData!E:E, NewEmisData!$A:$A, $G273, NewEmisData!$B:$B, $A273, NewEmisData!$C:$C, $H273, NewEmisData!$D:$D, K$6)</f>
        <v>1638.3455086040899</v>
      </c>
      <c r="L273" s="1111">
        <f>SUMIFS(NewEmisData!F:F, NewEmisData!$A:$A, $G273, NewEmisData!$B:$B, $A273, NewEmisData!$C:$C, $H273, NewEmisData!$D:$D, L$6)</f>
        <v>1597.91146698485</v>
      </c>
      <c r="M273" s="1111">
        <f>SUMIFS(NewEmisData!G:G, NewEmisData!$A:$A, $G273, NewEmisData!$B:$B, $A273, NewEmisData!$C:$C, $H273, NewEmisData!$D:$D, M$6)</f>
        <v>1675.8815285015601</v>
      </c>
      <c r="N273" s="1111">
        <f>SUMIFS(NewEmisData!H:H, NewEmisData!$A:$A, $G273, NewEmisData!$B:$B, $A273, NewEmisData!$C:$C, $H273, NewEmisData!$D:$D, N$6)</f>
        <v>1650.32431693742</v>
      </c>
      <c r="O273" s="1111">
        <f>SUMIFS(NewEmisData!I:I, NewEmisData!$A:$A, $G273, NewEmisData!$B:$B, $A273, NewEmisData!$C:$C, $H273, NewEmisData!$D:$D, O$6)</f>
        <v>1614.69992415768</v>
      </c>
      <c r="P273" s="1111">
        <f>SUMIFS(NewEmisData!J:J, NewEmisData!$A:$A, $G273, NewEmisData!$B:$B, $A273, NewEmisData!$C:$C, $H273, NewEmisData!$D:$D, P$6)</f>
        <v>1606.15558948889</v>
      </c>
      <c r="Q273" s="1111">
        <f>SUMIFS(NewEmisData!K:K, NewEmisData!$A:$A, $G273, NewEmisData!$B:$B, $A273, NewEmisData!$C:$C, $H273, NewEmisData!$D:$D, Q$6)</f>
        <v>1604.0186206973899</v>
      </c>
      <c r="R273" s="1111">
        <f>SUMIFS(NewEmisData!L:L, NewEmisData!$A:$A, $G273, NewEmisData!$B:$B, $A273, NewEmisData!$C:$C, $H273, NewEmisData!$D:$D, R$6)</f>
        <v>1603.71196653328</v>
      </c>
      <c r="S273" s="1111">
        <f>SUMIFS(NewEmisData!M:M, NewEmisData!$A:$A, $G273, NewEmisData!$B:$B, $A273, NewEmisData!$C:$C, $H273, NewEmisData!$D:$D, S$6)</f>
        <v>1603.6927150798599</v>
      </c>
      <c r="T273" s="1111">
        <f t="shared" si="364"/>
        <v>1603.6927150798599</v>
      </c>
      <c r="U273" s="1111">
        <f>SUMIFS(NewEmisData!E:E, NewEmisData!$A:$A, $G273, NewEmisData!$B:$B, $A273, NewEmisData!$C:$C, $H273, NewEmisData!$D:$D, U$6)</f>
        <v>9.1319765062058504</v>
      </c>
      <c r="V273" s="1111">
        <f>SUMIFS(NewEmisData!F:F, NewEmisData!$A:$A, $G273, NewEmisData!$B:$B, $A273, NewEmisData!$C:$C, $H273, NewEmisData!$D:$D, V$6)</f>
        <v>5.5211126740351997</v>
      </c>
      <c r="W273" s="1111">
        <f>SUMIFS(NewEmisData!G:G, NewEmisData!$A:$A, $G273, NewEmisData!$B:$B, $A273, NewEmisData!$C:$C, $H273, NewEmisData!$D:$D, W$6)</f>
        <v>1.6178749329459601</v>
      </c>
      <c r="X273" s="1111">
        <f>SUMIFS(NewEmisData!H:H, NewEmisData!$A:$A, $G273, NewEmisData!$B:$B, $A273, NewEmisData!$C:$C, $H273, NewEmisData!$D:$D, X$6)</f>
        <v>1.2717662893164099</v>
      </c>
      <c r="Y273" s="1111">
        <f>SUMIFS(NewEmisData!I:I, NewEmisData!$A:$A, $G273, NewEmisData!$B:$B, $A273, NewEmisData!$C:$C, $H273, NewEmisData!$D:$D, Y$6)</f>
        <v>1.1726866302876999</v>
      </c>
      <c r="Z273" s="1111">
        <f>SUMIFS(NewEmisData!J:J, NewEmisData!$A:$A, $G273, NewEmisData!$B:$B, $A273, NewEmisData!$C:$C, $H273, NewEmisData!$D:$D, Z$6)</f>
        <v>1.1568218913658399</v>
      </c>
      <c r="AA273" s="1111">
        <f>SUMIFS(NewEmisData!K:K, NewEmisData!$A:$A, $G273, NewEmisData!$B:$B, $A273, NewEmisData!$C:$C, $H273, NewEmisData!$D:$D, AA$6)</f>
        <v>1.1498419858081399</v>
      </c>
      <c r="AB273" s="1111">
        <f>SUMIFS(NewEmisData!L:L, NewEmisData!$A:$A, $G273, NewEmisData!$B:$B, $A273, NewEmisData!$C:$C, $H273, NewEmisData!$D:$D, AB$6)</f>
        <v>1.1502565377520699</v>
      </c>
      <c r="AC273" s="1111">
        <f>SUMIFS(NewEmisData!M:M, NewEmisData!$A:$A, $G273, NewEmisData!$B:$B, $A273, NewEmisData!$C:$C, $H273, NewEmisData!$D:$D, AC$6)</f>
        <v>1.15043111371947</v>
      </c>
      <c r="AD273" s="1111">
        <f t="shared" si="321"/>
        <v>1.15043111371947</v>
      </c>
      <c r="AE273" s="1111">
        <f t="shared" si="430"/>
        <v>2.8349118417612802E-2</v>
      </c>
      <c r="AF273" s="1111">
        <f>SUMIFS(NewEmisData!E:E, NewEmisData!$A:$A, $G273, NewEmisData!$B:$B, $A273, NewEmisData!$C:$C, $H273, NewEmisData!$D:$D, AF$6)</f>
        <v>2.8349118417612802E-2</v>
      </c>
      <c r="AG273" s="1111">
        <f>SUMIFS(NewEmisData!F:F, NewEmisData!$A:$A, $G273, NewEmisData!$B:$B, $A273, NewEmisData!$C:$C, $H273, NewEmisData!$D:$D, AG$6)</f>
        <v>2.7649475988106201E-2</v>
      </c>
      <c r="AH273" s="1111">
        <f>SUMIFS(NewEmisData!G:G, NewEmisData!$A:$A, $G273, NewEmisData!$B:$B, $A273, NewEmisData!$C:$C, $H273, NewEmisData!$D:$D, AH$6)</f>
        <v>2.4041393237435399E-2</v>
      </c>
      <c r="AI273" s="1111">
        <f>SUMIFS(NewEmisData!H:H, NewEmisData!$A:$A, $G273, NewEmisData!$B:$B, $A273, NewEmisData!$C:$C, $H273, NewEmisData!$D:$D, AI$6)</f>
        <v>2.3674756516432201E-2</v>
      </c>
      <c r="AJ273" s="1111">
        <f>SUMIFS(NewEmisData!I:I, NewEmisData!$A:$A, $G273, NewEmisData!$B:$B, $A273, NewEmisData!$C:$C, $H273, NewEmisData!$D:$D, AJ$6)</f>
        <v>2.3163709294895699E-2</v>
      </c>
      <c r="AK273" s="1111">
        <f>SUMIFS(NewEmisData!J:J, NewEmisData!$A:$A, $G273, NewEmisData!$B:$B, $A273, NewEmisData!$C:$C, $H273, NewEmisData!$D:$D, AK$6)</f>
        <v>2.30411322742359E-2</v>
      </c>
      <c r="AL273" s="1111">
        <f>SUMIFS(NewEmisData!K:K, NewEmisData!$A:$A, $G273, NewEmisData!$B:$B, $A273, NewEmisData!$C:$C, $H273, NewEmisData!$D:$D, AL$6)</f>
        <v>2.30104772532812E-2</v>
      </c>
      <c r="AM273" s="1111">
        <f>SUMIFS(NewEmisData!L:L, NewEmisData!$A:$A, $G273, NewEmisData!$B:$B, $A273, NewEmisData!$C:$C, $H273, NewEmisData!$D:$D, AM$6)</f>
        <v>2.3006075572322301E-2</v>
      </c>
      <c r="AN273" s="1111">
        <f>SUMIFS(NewEmisData!M:M, NewEmisData!$A:$A, $G273, NewEmisData!$B:$B, $A273, NewEmisData!$C:$C, $H273, NewEmisData!$D:$D, AN$6)</f>
        <v>2.30058103409179E-2</v>
      </c>
      <c r="AO273" s="1111">
        <f t="shared" si="431"/>
        <v>2.30058103409179E-2</v>
      </c>
      <c r="AP273" s="1111">
        <f t="shared" si="432"/>
        <v>0.73529708323819798</v>
      </c>
      <c r="AQ273" s="1111">
        <f>SUMIFS(NewEmisData!E:E, NewEmisData!$A:$A, $G273, NewEmisData!$B:$B, $A273, NewEmisData!$C:$C, $H273, NewEmisData!$D:$D, AQ$6)</f>
        <v>0.73529708323819798</v>
      </c>
      <c r="AR273" s="1111">
        <f>SUMIFS(NewEmisData!F:F, NewEmisData!$A:$A, $G273, NewEmisData!$B:$B, $A273, NewEmisData!$C:$C, $H273, NewEmisData!$D:$D, AR$6)</f>
        <v>0.50377232353792301</v>
      </c>
      <c r="AS273" s="1111">
        <f>SUMIFS(NewEmisData!G:G, NewEmisData!$A:$A, $G273, NewEmisData!$B:$B, $A273, NewEmisData!$C:$C, $H273, NewEmisData!$D:$D, AS$6)</f>
        <v>0.46277242259546703</v>
      </c>
      <c r="AT273" s="1111">
        <f>SUMIFS(NewEmisData!H:H, NewEmisData!$A:$A, $G273, NewEmisData!$B:$B, $A273, NewEmisData!$C:$C, $H273, NewEmisData!$D:$D, AT$6)</f>
        <v>0.460021400855742</v>
      </c>
      <c r="AU273" s="1111">
        <f>SUMIFS(NewEmisData!I:I, NewEmisData!$A:$A, $G273, NewEmisData!$B:$B, $A273, NewEmisData!$C:$C, $H273, NewEmisData!$D:$D, AU$6)</f>
        <v>0.452859239004402</v>
      </c>
      <c r="AV273" s="1111">
        <f>SUMIFS(NewEmisData!J:J, NewEmisData!$A:$A, $G273, NewEmisData!$B:$B, $A273, NewEmisData!$C:$C, $H273, NewEmisData!$D:$D, AV$6)</f>
        <v>0.451173530693247</v>
      </c>
      <c r="AW273" s="1111">
        <f>SUMIFS(NewEmisData!K:K, NewEmisData!$A:$A, $G273, NewEmisData!$B:$B, $A273, NewEmisData!$C:$C, $H273, NewEmisData!$D:$D, AW$6)</f>
        <v>0.450827249569491</v>
      </c>
      <c r="AX273" s="1111">
        <f>SUMIFS(NewEmisData!L:L, NewEmisData!$A:$A, $G273, NewEmisData!$B:$B, $A273, NewEmisData!$C:$C, $H273, NewEmisData!$D:$D, AX$6)</f>
        <v>0.45077517726501898</v>
      </c>
      <c r="AY273" s="1111">
        <f>SUMIFS(NewEmisData!M:M, NewEmisData!$A:$A, $G273, NewEmisData!$B:$B, $A273, NewEmisData!$C:$C, $H273, NewEmisData!$D:$D, AY$6)</f>
        <v>0.45078915116546198</v>
      </c>
      <c r="AZ273" s="1111">
        <f t="shared" si="433"/>
        <v>0.45078915116546198</v>
      </c>
      <c r="BA273" s="1111">
        <f t="shared" si="434"/>
        <v>0.32686256972546901</v>
      </c>
      <c r="BB273" s="1111">
        <f>SUMIFS(NewEmisData!E:E, NewEmisData!$A:$A, $G273, NewEmisData!$B:$B, $A273, NewEmisData!$C:$C, $H273, NewEmisData!$D:$D, BB$6)</f>
        <v>0.32686256972546901</v>
      </c>
      <c r="BC273" s="1111">
        <f>SUMIFS(NewEmisData!F:F, NewEmisData!$A:$A, $G273, NewEmisData!$B:$B, $A273, NewEmisData!$C:$C, $H273, NewEmisData!$D:$D, BC$6)</f>
        <v>0.12210843934221401</v>
      </c>
      <c r="BD273" s="1111">
        <f>SUMIFS(NewEmisData!G:G, NewEmisData!$A:$A, $G273, NewEmisData!$B:$B, $A273, NewEmisData!$C:$C, $H273, NewEmisData!$D:$D, BD$6)</f>
        <v>6.7146210191433603E-2</v>
      </c>
      <c r="BE273" s="1111">
        <f>SUMIFS(NewEmisData!H:H, NewEmisData!$A:$A, $G273, NewEmisData!$B:$B, $A273, NewEmisData!$C:$C, $H273, NewEmisData!$D:$D, BE$6)</f>
        <v>6.6587970120787598E-2</v>
      </c>
      <c r="BF273" s="1111">
        <f>SUMIFS(NewEmisData!I:I, NewEmisData!$A:$A, $G273, NewEmisData!$B:$B, $A273, NewEmisData!$C:$C, $H273, NewEmisData!$D:$D, BF$6)</f>
        <v>6.5405051516030002E-2</v>
      </c>
      <c r="BG273" s="1111">
        <f>SUMIFS(NewEmisData!J:J, NewEmisData!$A:$A, $G273, NewEmisData!$B:$B, $A273, NewEmisData!$C:$C, $H273, NewEmisData!$D:$D, BG$6)</f>
        <v>6.5233637829240507E-2</v>
      </c>
      <c r="BH273" s="1111">
        <f>SUMIFS(NewEmisData!K:K, NewEmisData!$A:$A, $G273, NewEmisData!$B:$B, $A273, NewEmisData!$C:$C, $H273, NewEmisData!$D:$D, BH$6)</f>
        <v>6.5212571890131396E-2</v>
      </c>
      <c r="BI273" s="1111">
        <f>SUMIFS(NewEmisData!L:L, NewEmisData!$A:$A, $G273, NewEmisData!$B:$B, $A273, NewEmisData!$C:$C, $H273, NewEmisData!$D:$D, BI$6)</f>
        <v>6.5238116883072003E-2</v>
      </c>
      <c r="BJ273" s="1111">
        <f>SUMIFS(NewEmisData!M:M, NewEmisData!$A:$A, $G273, NewEmisData!$B:$B, $A273, NewEmisData!$C:$C, $H273, NewEmisData!$D:$D, BJ$6)</f>
        <v>6.5252352689838797E-2</v>
      </c>
      <c r="BK273" s="1111">
        <f t="shared" si="435"/>
        <v>6.5252352689838797E-2</v>
      </c>
      <c r="BL273" s="1111">
        <f t="shared" si="436"/>
        <v>130.83848080286899</v>
      </c>
      <c r="BM273" s="1111">
        <f>SUMIFS(NewEmisData!E:E, NewEmisData!$A:$A, $G273, NewEmisData!$B:$B, $A273, NewEmisData!$C:$C, $H273, NewEmisData!$D:$D, BM$6)</f>
        <v>130.83848080286899</v>
      </c>
      <c r="BN273" s="1111">
        <f>SUMIFS(NewEmisData!F:F, NewEmisData!$A:$A, $G273, NewEmisData!$B:$B, $A273, NewEmisData!$C:$C, $H273, NewEmisData!$D:$D, BN$6)</f>
        <v>69.1513563753808</v>
      </c>
      <c r="BO273" s="1111">
        <f>SUMIFS(NewEmisData!G:G, NewEmisData!$A:$A, $G273, NewEmisData!$B:$B, $A273, NewEmisData!$C:$C, $H273, NewEmisData!$D:$D, BO$6)</f>
        <v>19.817984760190502</v>
      </c>
      <c r="BP273" s="1111">
        <f>SUMIFS(NewEmisData!H:H, NewEmisData!$A:$A, $G273, NewEmisData!$B:$B, $A273, NewEmisData!$C:$C, $H273, NewEmisData!$D:$D, BP$6)</f>
        <v>17.220719333709599</v>
      </c>
      <c r="BQ273" s="1111">
        <f>SUMIFS(NewEmisData!I:I, NewEmisData!$A:$A, $G273, NewEmisData!$B:$B, $A273, NewEmisData!$C:$C, $H273, NewEmisData!$D:$D, BQ$6)</f>
        <v>17.138637099239801</v>
      </c>
      <c r="BR273" s="1111">
        <f>SUMIFS(NewEmisData!J:J, NewEmisData!$A:$A, $G273, NewEmisData!$B:$B, $A273, NewEmisData!$C:$C, $H273, NewEmisData!$D:$D, BR$6)</f>
        <v>17.632152503072199</v>
      </c>
      <c r="BS273" s="1111">
        <f>SUMIFS(NewEmisData!K:K, NewEmisData!$A:$A, $G273, NewEmisData!$B:$B, $A273, NewEmisData!$C:$C, $H273, NewEmisData!$D:$D, BS$6)</f>
        <v>17.755687797126999</v>
      </c>
      <c r="BT273" s="1111">
        <f>SUMIFS(NewEmisData!L:L, NewEmisData!$A:$A, $G273, NewEmisData!$B:$B, $A273, NewEmisData!$C:$C, $H273, NewEmisData!$D:$D, BT$6)</f>
        <v>17.941584451804498</v>
      </c>
      <c r="BU273" s="1111">
        <f>SUMIFS(NewEmisData!M:M, NewEmisData!$A:$A, $G273, NewEmisData!$B:$B, $A273, NewEmisData!$C:$C, $H273, NewEmisData!$D:$D, BU$6)</f>
        <v>18.0048069260293</v>
      </c>
      <c r="BV273" s="1111">
        <f t="shared" si="437"/>
        <v>18.0048069260293</v>
      </c>
      <c r="BW273" s="1111">
        <f t="shared" si="438"/>
        <v>10.6632197589814</v>
      </c>
      <c r="BX273" s="1111">
        <f>SUMIFS(NewEmisData!E:E, NewEmisData!$A:$A, $G273, NewEmisData!$B:$B, $A273, NewEmisData!$C:$C, $H273, NewEmisData!$D:$D, BX$6)</f>
        <v>10.6632197589814</v>
      </c>
      <c r="BY273" s="1111">
        <f>SUMIFS(NewEmisData!F:F, NewEmisData!$A:$A, $G273, NewEmisData!$B:$B, $A273, NewEmisData!$C:$C, $H273, NewEmisData!$D:$D, BY$6)</f>
        <v>4.8239495150941396</v>
      </c>
      <c r="BZ273" s="1111">
        <f>SUMIFS(NewEmisData!G:G, NewEmisData!$A:$A, $G273, NewEmisData!$B:$B, $A273, NewEmisData!$C:$C, $H273, NewEmisData!$D:$D, BZ$6)</f>
        <v>0.81908851058061705</v>
      </c>
      <c r="CA273" s="1111">
        <f>SUMIFS(NewEmisData!H:H, NewEmisData!$A:$A, $G273, NewEmisData!$B:$B, $A273, NewEmisData!$C:$C, $H273, NewEmisData!$D:$D, CA$6)</f>
        <v>0.62586158145999404</v>
      </c>
      <c r="CB273" s="1111">
        <f>SUMIFS(NewEmisData!I:I, NewEmisData!$A:$A, $G273, NewEmisData!$B:$B, $A273, NewEmisData!$C:$C, $H273, NewEmisData!$D:$D, CB$6)</f>
        <v>0.57122462058997703</v>
      </c>
      <c r="CC273" s="1111">
        <f>SUMIFS(NewEmisData!J:J, NewEmisData!$A:$A, $G273, NewEmisData!$B:$B, $A273, NewEmisData!$C:$C, $H273, NewEmisData!$D:$D, CC$6)</f>
        <v>0.56704170620868999</v>
      </c>
      <c r="CD273" s="1111">
        <f>SUMIFS(NewEmisData!K:K, NewEmisData!$A:$A, $G273, NewEmisData!$B:$B, $A273, NewEmisData!$C:$C, $H273, NewEmisData!$D:$D, CD$6)</f>
        <v>0.56343324146208396</v>
      </c>
      <c r="CE273" s="1111">
        <f>SUMIFS(NewEmisData!L:L, NewEmisData!$A:$A, $G273, NewEmisData!$B:$B, $A273, NewEmisData!$C:$C, $H273, NewEmisData!$D:$D, CE$6)</f>
        <v>0.56643140863739405</v>
      </c>
      <c r="CF273" s="1111">
        <f>SUMIFS(NewEmisData!M:M, NewEmisData!$A:$A, $G273, NewEmisData!$B:$B, $A273, NewEmisData!$C:$C, $H273, NewEmisData!$D:$D, CF$6)</f>
        <v>0.56703635625762505</v>
      </c>
      <c r="CG273" s="1111">
        <f t="shared" si="439"/>
        <v>0.56703635625762505</v>
      </c>
      <c r="CH273" s="1111">
        <f t="shared" si="440"/>
        <v>5.78767923405668E-2</v>
      </c>
      <c r="CI273" s="1111">
        <f>SUMIFS(NewEmisData!E:E, NewEmisData!$A:$A, $G273, NewEmisData!$B:$B, $A273, NewEmisData!$C:$C, $H273, NewEmisData!$D:$D, CI$6)</f>
        <v>5.78767923405668E-2</v>
      </c>
      <c r="CJ273" s="1111">
        <f>SUMIFS(NewEmisData!F:F, NewEmisData!$A:$A, $G273, NewEmisData!$B:$B, $A273, NewEmisData!$C:$C, $H273, NewEmisData!$D:$D, CJ$6)</f>
        <v>5.7878614167795599E-2</v>
      </c>
      <c r="CK273" s="1111">
        <f>SUMIFS(NewEmisData!G:G, NewEmisData!$A:$A, $G273, NewEmisData!$B:$B, $A273, NewEmisData!$C:$C, $H273, NewEmisData!$D:$D, CK$6)</f>
        <v>6.6011734406023898E-2</v>
      </c>
      <c r="CL273" s="1111">
        <f>SUMIFS(NewEmisData!H:H, NewEmisData!$A:$A, $G273, NewEmisData!$B:$B, $A273, NewEmisData!$C:$C, $H273, NewEmisData!$D:$D, CL$6)</f>
        <v>6.6011880543447907E-2</v>
      </c>
      <c r="CM273" s="1111">
        <f>SUMIFS(NewEmisData!I:I, NewEmisData!$A:$A, $G273, NewEmisData!$B:$B, $A273, NewEmisData!$C:$C, $H273, NewEmisData!$D:$D, CM$6)</f>
        <v>6.60108416242811E-2</v>
      </c>
      <c r="CN273" s="1111">
        <f>SUMIFS(NewEmisData!J:J, NewEmisData!$A:$A, $G273, NewEmisData!$B:$B, $A273, NewEmisData!$C:$C, $H273, NewEmisData!$D:$D, CN$6)</f>
        <v>6.6010592604017995E-2</v>
      </c>
      <c r="CO273" s="1111">
        <f>SUMIFS(NewEmisData!K:K, NewEmisData!$A:$A, $G273, NewEmisData!$B:$B, $A273, NewEmisData!$C:$C, $H273, NewEmisData!$D:$D, CO$6)</f>
        <v>6.6010460965888904E-2</v>
      </c>
      <c r="CP273" s="1111">
        <f>SUMIFS(NewEmisData!L:L, NewEmisData!$A:$A, $G273, NewEmisData!$B:$B, $A273, NewEmisData!$C:$C, $H273, NewEmisData!$D:$D, CP$6)</f>
        <v>6.6010507177606106E-2</v>
      </c>
      <c r="CQ273" s="1111">
        <f>SUMIFS(NewEmisData!M:M, NewEmisData!$A:$A, $G273, NewEmisData!$B:$B, $A273, NewEmisData!$C:$C, $H273, NewEmisData!$D:$D, CQ$6)</f>
        <v>6.6010478652079901E-2</v>
      </c>
      <c r="CR273" s="1111">
        <f t="shared" si="441"/>
        <v>6.6010478652079901E-2</v>
      </c>
      <c r="CS273" s="1111">
        <f t="shared" si="442"/>
        <v>0.136220551325273</v>
      </c>
      <c r="CT273" s="1111">
        <f>SUMIFS(NewEmisData!E:E, NewEmisData!$A:$A, $G273, NewEmisData!$B:$B, $A273, NewEmisData!$C:$C, $H273, NewEmisData!$D:$D, CT$6)</f>
        <v>0.136220551325273</v>
      </c>
      <c r="CU273" s="1111">
        <f>SUMIFS(NewEmisData!F:F, NewEmisData!$A:$A, $G273, NewEmisData!$B:$B, $A273, NewEmisData!$C:$C, $H273, NewEmisData!$D:$D, CU$6)</f>
        <v>7.8581411328771694E-2</v>
      </c>
      <c r="CV273" s="1111">
        <f>SUMIFS(NewEmisData!G:G, NewEmisData!$A:$A, $G273, NewEmisData!$B:$B, $A273, NewEmisData!$C:$C, $H273, NewEmisData!$D:$D, CV$6)</f>
        <v>2.7901639783808298E-2</v>
      </c>
      <c r="CW273" s="1111">
        <f>SUMIFS(NewEmisData!H:H, NewEmisData!$A:$A, $G273, NewEmisData!$B:$B, $A273, NewEmisData!$C:$C, $H273, NewEmisData!$D:$D, CW$6)</f>
        <v>1.918958657892E-2</v>
      </c>
      <c r="CX273" s="1111">
        <f>SUMIFS(NewEmisData!I:I, NewEmisData!$A:$A, $G273, NewEmisData!$B:$B, $A273, NewEmisData!$C:$C, $H273, NewEmisData!$D:$D, CX$6)</f>
        <v>1.63653759329912E-2</v>
      </c>
      <c r="CY273" s="1111">
        <f>SUMIFS(NewEmisData!J:J, NewEmisData!$A:$A, $G273, NewEmisData!$B:$B, $A273, NewEmisData!$C:$C, $H273, NewEmisData!$D:$D, CY$6)</f>
        <v>1.5904522358171299E-2</v>
      </c>
      <c r="CZ273" s="1111">
        <f>SUMIFS(NewEmisData!K:K, NewEmisData!$A:$A, $G273, NewEmisData!$B:$B, $A273, NewEmisData!$C:$C, $H273, NewEmisData!$D:$D, CZ$6)</f>
        <v>1.55783654289861E-2</v>
      </c>
      <c r="DA273" s="1111">
        <f>SUMIFS(NewEmisData!L:L, NewEmisData!$A:$A, $G273, NewEmisData!$B:$B, $A273, NewEmisData!$C:$C, $H273, NewEmisData!$D:$D, DA$6)</f>
        <v>1.5635092695124999E-2</v>
      </c>
      <c r="DB273" s="1111">
        <f>SUMIFS(NewEmisData!M:M, NewEmisData!$A:$A, $G273, NewEmisData!$B:$B, $A273, NewEmisData!$C:$C, $H273, NewEmisData!$D:$D, DB$6)</f>
        <v>1.5654923502366299E-2</v>
      </c>
      <c r="DC273" s="1111">
        <f t="shared" si="443"/>
        <v>1.5654923502366299E-2</v>
      </c>
      <c r="DD273" s="1111"/>
      <c r="DE273" s="1111"/>
      <c r="DF273" s="1111"/>
      <c r="DG273" s="1111"/>
      <c r="DH273" s="1111"/>
      <c r="DI273" s="1111"/>
      <c r="DJ273" s="1111"/>
      <c r="DK273" s="1111"/>
      <c r="DL273" s="1111"/>
      <c r="DM273" s="1111"/>
      <c r="DN273" s="1111"/>
      <c r="DO273" s="1111"/>
      <c r="DP273" s="1111"/>
      <c r="DQ273" s="1111"/>
      <c r="DR273" s="1111"/>
      <c r="DS273" s="1111"/>
      <c r="DT273" s="1111"/>
      <c r="DU273" s="1111"/>
      <c r="DV273" s="1111"/>
      <c r="DW273" s="1111"/>
      <c r="DX273" s="1111"/>
      <c r="DY273" s="1111"/>
      <c r="DZ273" s="1111">
        <f t="shared" si="444"/>
        <v>0.62504346102021602</v>
      </c>
      <c r="EA273" s="1111">
        <f>SUMIFS(NewEmisData!E:E, NewEmisData!$A:$A, $G273, NewEmisData!$B:$B, $A273, NewEmisData!$C:$C, $H273, NewEmisData!$D:$D, EA$6)</f>
        <v>0.62504346102021602</v>
      </c>
      <c r="EB273" s="1111">
        <f>SUMIFS(NewEmisData!F:F, NewEmisData!$A:$A, $G273, NewEmisData!$B:$B, $A273, NewEmisData!$C:$C, $H273, NewEmisData!$D:$D, EB$6)</f>
        <v>0.23204922511968301</v>
      </c>
      <c r="EC273" s="1111">
        <f>SUMIFS(NewEmisData!G:G, NewEmisData!$A:$A, $G273, NewEmisData!$B:$B, $A273, NewEmisData!$C:$C, $H273, NewEmisData!$D:$D, EC$6)</f>
        <v>1.8847290687364501E-2</v>
      </c>
      <c r="ED273" s="1111">
        <f>SUMIFS(NewEmisData!H:H, NewEmisData!$A:$A, $G273, NewEmisData!$B:$B, $A273, NewEmisData!$C:$C, $H273, NewEmisData!$D:$D, ED$6)</f>
        <v>1.50181456752262E-2</v>
      </c>
      <c r="EE273" s="1111">
        <f>SUMIFS(NewEmisData!I:I, NewEmisData!$A:$A, $G273, NewEmisData!$B:$B, $A273, NewEmisData!$C:$C, $H273, NewEmisData!$D:$D, EE$6)</f>
        <v>1.46208045841804E-2</v>
      </c>
      <c r="EF273" s="1111">
        <f>SUMIFS(NewEmisData!J:J, NewEmisData!$A:$A, $G273, NewEmisData!$B:$B, $A273, NewEmisData!$C:$C, $H273, NewEmisData!$D:$D, EF$6)</f>
        <v>1.49239047594049E-2</v>
      </c>
      <c r="EG273" s="1111">
        <f>SUMIFS(NewEmisData!K:K, NewEmisData!$A:$A, $G273, NewEmisData!$B:$B, $A273, NewEmisData!$C:$C, $H273, NewEmisData!$D:$D, EG$6)</f>
        <v>1.5019413019286301E-2</v>
      </c>
      <c r="EH273" s="1111">
        <f>SUMIFS(NewEmisData!L:L, NewEmisData!$A:$A, $G273, NewEmisData!$B:$B, $A273, NewEmisData!$C:$C, $H273, NewEmisData!$D:$D, EH$6)</f>
        <v>1.5153092065068799E-2</v>
      </c>
      <c r="EI273" s="1111">
        <f>SUMIFS(NewEmisData!M:M, NewEmisData!$A:$A, $G273, NewEmisData!$B:$B, $A273, NewEmisData!$C:$C, $H273, NewEmisData!$D:$D, EI$6)</f>
        <v>1.5197280715758399E-2</v>
      </c>
      <c r="EJ273" s="1111">
        <f t="shared" si="445"/>
        <v>1.5197280715758399E-2</v>
      </c>
      <c r="EK273" s="1111">
        <f t="shared" si="446"/>
        <v>1638.3455086040899</v>
      </c>
      <c r="EL273" s="1111">
        <f t="shared" si="343"/>
        <v>1638.3455086040899</v>
      </c>
      <c r="EM273" s="1111">
        <f t="shared" si="344"/>
        <v>1597.91146698485</v>
      </c>
      <c r="EN273" s="1111">
        <f t="shared" si="345"/>
        <v>1675.8815285015601</v>
      </c>
      <c r="EO273" s="1111">
        <f t="shared" si="346"/>
        <v>1650.32431693742</v>
      </c>
      <c r="EP273" s="1111">
        <f t="shared" si="347"/>
        <v>1614.69992415768</v>
      </c>
      <c r="EQ273" s="1111">
        <f t="shared" si="348"/>
        <v>1606.15558948889</v>
      </c>
      <c r="ER273" s="1111">
        <f t="shared" si="349"/>
        <v>1604.0186206973899</v>
      </c>
      <c r="ES273" s="1111">
        <f t="shared" si="350"/>
        <v>1603.71196653328</v>
      </c>
      <c r="ET273" s="1111">
        <f t="shared" si="351"/>
        <v>1603.6927150798599</v>
      </c>
      <c r="EU273" s="1111">
        <f t="shared" si="352"/>
        <v>1603.6927150798599</v>
      </c>
      <c r="EV273" s="1111">
        <f t="shared" si="447"/>
        <v>9.1319765062058504</v>
      </c>
      <c r="EW273" s="1111">
        <f t="shared" si="333"/>
        <v>9.1319765062058504</v>
      </c>
      <c r="EX273" s="1111">
        <f t="shared" si="334"/>
        <v>5.5211126740351997</v>
      </c>
      <c r="EY273" s="1111">
        <f t="shared" si="335"/>
        <v>1.6178749329459601</v>
      </c>
      <c r="EZ273" s="1111">
        <f t="shared" si="336"/>
        <v>1.2717662893164099</v>
      </c>
      <c r="FA273" s="1111">
        <f t="shared" si="337"/>
        <v>1.1726866302876999</v>
      </c>
      <c r="FB273" s="1111">
        <f t="shared" si="338"/>
        <v>1.1568218913658399</v>
      </c>
      <c r="FC273" s="1111">
        <f t="shared" si="339"/>
        <v>1.1498419858081399</v>
      </c>
      <c r="FD273" s="1111">
        <f t="shared" si="340"/>
        <v>1.1502565377520699</v>
      </c>
      <c r="FE273" s="1111">
        <f t="shared" si="341"/>
        <v>1.15043111371947</v>
      </c>
      <c r="FF273" s="1111">
        <f t="shared" si="342"/>
        <v>1.15043111371947</v>
      </c>
      <c r="FG273" s="1111">
        <f t="shared" si="389"/>
        <v>2.8349118417612802E-2</v>
      </c>
      <c r="FH273" s="1111">
        <f t="shared" si="390"/>
        <v>2.8349118417612802E-2</v>
      </c>
      <c r="FI273" s="1111">
        <f t="shared" si="391"/>
        <v>2.7649475988106201E-2</v>
      </c>
      <c r="FJ273" s="1111">
        <f t="shared" si="392"/>
        <v>2.4041393237435399E-2</v>
      </c>
      <c r="FK273" s="1111">
        <f t="shared" si="393"/>
        <v>2.3674756516432201E-2</v>
      </c>
      <c r="FL273" s="1111">
        <f t="shared" si="394"/>
        <v>2.3163709294895699E-2</v>
      </c>
      <c r="FM273" s="1111">
        <f t="shared" si="395"/>
        <v>2.30411322742359E-2</v>
      </c>
      <c r="FN273" s="1111">
        <f t="shared" si="396"/>
        <v>2.30104772532812E-2</v>
      </c>
      <c r="FO273" s="1111">
        <f t="shared" si="397"/>
        <v>2.3006075572322301E-2</v>
      </c>
      <c r="FP273" s="1111">
        <f t="shared" si="398"/>
        <v>2.30058103409179E-2</v>
      </c>
      <c r="FQ273" s="1111">
        <f t="shared" si="399"/>
        <v>2.30058103409179E-2</v>
      </c>
      <c r="FR273" s="1111">
        <f t="shared" si="322"/>
        <v>0.73529708323819798</v>
      </c>
      <c r="FS273" s="1111">
        <f t="shared" si="323"/>
        <v>0.73529708323819798</v>
      </c>
      <c r="FT273" s="1111">
        <f t="shared" si="324"/>
        <v>0.50377232353792301</v>
      </c>
      <c r="FU273" s="1111">
        <f t="shared" si="325"/>
        <v>0.46277242259546703</v>
      </c>
      <c r="FV273" s="1111">
        <f t="shared" si="326"/>
        <v>0.460021400855742</v>
      </c>
      <c r="FW273" s="1111">
        <f t="shared" si="327"/>
        <v>0.452859239004402</v>
      </c>
      <c r="FX273" s="1111">
        <f t="shared" si="328"/>
        <v>0.451173530693247</v>
      </c>
      <c r="FY273" s="1111">
        <f t="shared" si="329"/>
        <v>0.450827249569491</v>
      </c>
      <c r="FZ273" s="1111">
        <f t="shared" si="330"/>
        <v>0.45077517726501898</v>
      </c>
      <c r="GA273" s="1111">
        <f t="shared" si="331"/>
        <v>0.45078915116546198</v>
      </c>
      <c r="GB273" s="1111">
        <f t="shared" si="332"/>
        <v>0.45078915116546198</v>
      </c>
      <c r="GC273" s="1111">
        <f t="shared" si="353"/>
        <v>0.32686256972546901</v>
      </c>
      <c r="GD273" s="1111">
        <f t="shared" si="354"/>
        <v>0.32686256972546901</v>
      </c>
      <c r="GE273" s="1111">
        <f t="shared" si="355"/>
        <v>0.12210843934221401</v>
      </c>
      <c r="GF273" s="1111">
        <f t="shared" si="356"/>
        <v>6.7146210191433603E-2</v>
      </c>
      <c r="GG273" s="1111">
        <f t="shared" si="357"/>
        <v>6.6587970120787598E-2</v>
      </c>
      <c r="GH273" s="1111">
        <f t="shared" si="358"/>
        <v>6.5405051516030002E-2</v>
      </c>
      <c r="GI273" s="1111">
        <f t="shared" si="359"/>
        <v>6.5233637829240507E-2</v>
      </c>
      <c r="GJ273" s="1111">
        <f t="shared" si="360"/>
        <v>6.5212571890131396E-2</v>
      </c>
      <c r="GK273" s="1111">
        <f t="shared" si="361"/>
        <v>6.5238116883072003E-2</v>
      </c>
      <c r="GL273" s="1111">
        <f t="shared" si="362"/>
        <v>6.5252352689838797E-2</v>
      </c>
      <c r="GM273" s="1111">
        <f t="shared" si="363"/>
        <v>6.5252352689838797E-2</v>
      </c>
    </row>
    <row r="274" spans="1:195" x14ac:dyDescent="0.2">
      <c r="A274" s="1071" t="s">
        <v>188</v>
      </c>
      <c r="B274" s="1071" t="str">
        <f>Technologies!C161</f>
        <v>THSCNGC10</v>
      </c>
      <c r="C274" s="1071" t="str">
        <f>Technologies!D161</f>
        <v>Heavy Truck, Short Haul, Conventional CNG 2010</v>
      </c>
      <c r="D274" s="1071" t="str">
        <f>NewTech!D108</f>
        <v>bn-vmt, bn-vmt/a</v>
      </c>
      <c r="E274" s="1071" t="str">
        <f>Commodities!C$58</f>
        <v>THCNG</v>
      </c>
      <c r="F274" s="1071" t="s">
        <v>98</v>
      </c>
      <c r="G274" s="1110" t="s">
        <v>505</v>
      </c>
      <c r="H274" s="1110" t="s">
        <v>500</v>
      </c>
      <c r="I274" s="1112">
        <v>1</v>
      </c>
      <c r="J274" s="1111" t="str">
        <f t="shared" si="302"/>
        <v>Heavy duty short haul truck-GSL</v>
      </c>
      <c r="K274" s="1111">
        <f>SUMIFS(NewEmisData!E:E, NewEmisData!$A:$A, $G274, NewEmisData!$B:$B, $A274, NewEmisData!$C:$C, $H274, NewEmisData!$D:$D, K$6)</f>
        <v>1245.3418505198399</v>
      </c>
      <c r="L274" s="1111">
        <f>SUMIFS(NewEmisData!F:F, NewEmisData!$A:$A, $G274, NewEmisData!$B:$B, $A274, NewEmisData!$C:$C, $H274, NewEmisData!$D:$D, L$6)</f>
        <v>1233.52680028807</v>
      </c>
      <c r="M274" s="1111">
        <f>SUMIFS(NewEmisData!G:G, NewEmisData!$A:$A, $G274, NewEmisData!$B:$B, $A274, NewEmisData!$C:$C, $H274, NewEmisData!$D:$D, M$6)</f>
        <v>1155.77413052821</v>
      </c>
      <c r="N274" s="1111">
        <f>SUMIFS(NewEmisData!H:H, NewEmisData!$A:$A, $G274, NewEmisData!$B:$B, $A274, NewEmisData!$C:$C, $H274, NewEmisData!$D:$D, N$6)</f>
        <v>1137.9436610154601</v>
      </c>
      <c r="O274" s="1111">
        <f>SUMIFS(NewEmisData!I:I, NewEmisData!$A:$A, $G274, NewEmisData!$B:$B, $A274, NewEmisData!$C:$C, $H274, NewEmisData!$D:$D, O$6)</f>
        <v>1112.6987382597499</v>
      </c>
      <c r="P274" s="1111">
        <f>SUMIFS(NewEmisData!J:J, NewEmisData!$A:$A, $G274, NewEmisData!$B:$B, $A274, NewEmisData!$C:$C, $H274, NewEmisData!$D:$D, P$6)</f>
        <v>1106.54119248744</v>
      </c>
      <c r="Q274" s="1111">
        <f>SUMIFS(NewEmisData!K:K, NewEmisData!$A:$A, $G274, NewEmisData!$B:$B, $A274, NewEmisData!$C:$C, $H274, NewEmisData!$D:$D, Q$6)</f>
        <v>1105.0069411203201</v>
      </c>
      <c r="R274" s="1111">
        <f>SUMIFS(NewEmisData!L:L, NewEmisData!$A:$A, $G274, NewEmisData!$B:$B, $A274, NewEmisData!$C:$C, $H274, NewEmisData!$D:$D, R$6)</f>
        <v>1104.77778091038</v>
      </c>
      <c r="S274" s="1111">
        <f>SUMIFS(NewEmisData!M:M, NewEmisData!$A:$A, $G274, NewEmisData!$B:$B, $A274, NewEmisData!$C:$C, $H274, NewEmisData!$D:$D, S$6)</f>
        <v>1104.7649925096</v>
      </c>
      <c r="T274" s="1111">
        <f t="shared" si="364"/>
        <v>1104.7649925096</v>
      </c>
      <c r="U274" s="1111">
        <f>SUMIFS(NewEmisData!E:E, NewEmisData!$A:$A, $G274, NewEmisData!$B:$B, $A274, NewEmisData!$C:$C, $H274, NewEmisData!$D:$D, U$6)</f>
        <v>4.9618269183312798</v>
      </c>
      <c r="V274" s="1111">
        <f>SUMIFS(NewEmisData!F:F, NewEmisData!$A:$A, $G274, NewEmisData!$B:$B, $A274, NewEmisData!$C:$C, $H274, NewEmisData!$D:$D, V$6)</f>
        <v>3.5223524226374598</v>
      </c>
      <c r="W274" s="1111">
        <f>SUMIFS(NewEmisData!G:G, NewEmisData!$A:$A, $G274, NewEmisData!$B:$B, $A274, NewEmisData!$C:$C, $H274, NewEmisData!$D:$D, W$6)</f>
        <v>1.2618027970035901</v>
      </c>
      <c r="X274" s="1111">
        <f>SUMIFS(NewEmisData!H:H, NewEmisData!$A:$A, $G274, NewEmisData!$B:$B, $A274, NewEmisData!$C:$C, $H274, NewEmisData!$D:$D, X$6)</f>
        <v>0.99784143742540199</v>
      </c>
      <c r="Y274" s="1111">
        <f>SUMIFS(NewEmisData!I:I, NewEmisData!$A:$A, $G274, NewEmisData!$B:$B, $A274, NewEmisData!$C:$C, $H274, NewEmisData!$D:$D, Y$6)</f>
        <v>0.92115341275504903</v>
      </c>
      <c r="Z274" s="1111">
        <f>SUMIFS(NewEmisData!J:J, NewEmisData!$A:$A, $G274, NewEmisData!$B:$B, $A274, NewEmisData!$C:$C, $H274, NewEmisData!$D:$D, Z$6)</f>
        <v>0.90873745362837199</v>
      </c>
      <c r="AA274" s="1111">
        <f>SUMIFS(NewEmisData!K:K, NewEmisData!$A:$A, $G274, NewEmisData!$B:$B, $A274, NewEmisData!$C:$C, $H274, NewEmisData!$D:$D, AA$6)</f>
        <v>0.903404659383922</v>
      </c>
      <c r="AB274" s="1111">
        <f>SUMIFS(NewEmisData!L:L, NewEmisData!$A:$A, $G274, NewEmisData!$B:$B, $A274, NewEmisData!$C:$C, $H274, NewEmisData!$D:$D, AB$6)</f>
        <v>0.90367749375583695</v>
      </c>
      <c r="AC274" s="1111">
        <f>SUMIFS(NewEmisData!M:M, NewEmisData!$A:$A, $G274, NewEmisData!$B:$B, $A274, NewEmisData!$C:$C, $H274, NewEmisData!$D:$D, AC$6)</f>
        <v>0.90380303336619205</v>
      </c>
      <c r="AD274" s="1111">
        <f t="shared" si="321"/>
        <v>0.90380303336619205</v>
      </c>
      <c r="AE274" s="1111">
        <f t="shared" si="430"/>
        <v>2.2268353622481699E-2</v>
      </c>
      <c r="AF274" s="1111">
        <f>SUMIFS(NewEmisData!E:E, NewEmisData!$A:$A, $G274, NewEmisData!$B:$B, $A274, NewEmisData!$C:$C, $H274, NewEmisData!$D:$D, AF$6)</f>
        <v>2.2268353622481699E-2</v>
      </c>
      <c r="AG274" s="1111">
        <f>SUMIFS(NewEmisData!F:F, NewEmisData!$A:$A, $G274, NewEmisData!$B:$B, $A274, NewEmisData!$C:$C, $H274, NewEmisData!$D:$D, AG$6)</f>
        <v>2.15800397384973E-2</v>
      </c>
      <c r="AH274" s="1111">
        <f>SUMIFS(NewEmisData!G:G, NewEmisData!$A:$A, $G274, NewEmisData!$B:$B, $A274, NewEmisData!$C:$C, $H274, NewEmisData!$D:$D, AH$6)</f>
        <v>1.6580182769147099E-2</v>
      </c>
      <c r="AI274" s="1111">
        <f>SUMIFS(NewEmisData!H:H, NewEmisData!$A:$A, $G274, NewEmisData!$B:$B, $A274, NewEmisData!$C:$C, $H274, NewEmisData!$D:$D, AI$6)</f>
        <v>1.6324389370389901E-2</v>
      </c>
      <c r="AJ274" s="1111">
        <f>SUMIFS(NewEmisData!I:I, NewEmisData!$A:$A, $G274, NewEmisData!$B:$B, $A274, NewEmisData!$C:$C, $H274, NewEmisData!$D:$D, AJ$6)</f>
        <v>1.5962239345052798E-2</v>
      </c>
      <c r="AK274" s="1111">
        <f>SUMIFS(NewEmisData!J:J, NewEmisData!$A:$A, $G274, NewEmisData!$B:$B, $A274, NewEmisData!$C:$C, $H274, NewEmisData!$D:$D, AK$6)</f>
        <v>1.5873905588610002E-2</v>
      </c>
      <c r="AL274" s="1111">
        <f>SUMIFS(NewEmisData!K:K, NewEmisData!$A:$A, $G274, NewEmisData!$B:$B, $A274, NewEmisData!$C:$C, $H274, NewEmisData!$D:$D, AL$6)</f>
        <v>1.5851896144737601E-2</v>
      </c>
      <c r="AM274" s="1111">
        <f>SUMIFS(NewEmisData!L:L, NewEmisData!$A:$A, $G274, NewEmisData!$B:$B, $A274, NewEmisData!$C:$C, $H274, NewEmisData!$D:$D, AM$6)</f>
        <v>1.58486207061387E-2</v>
      </c>
      <c r="AN274" s="1111">
        <f>SUMIFS(NewEmisData!M:M, NewEmisData!$A:$A, $G274, NewEmisData!$B:$B, $A274, NewEmisData!$C:$C, $H274, NewEmisData!$D:$D, AN$6)</f>
        <v>1.5848421937017101E-2</v>
      </c>
      <c r="AO274" s="1111">
        <f t="shared" si="431"/>
        <v>1.5848421937017101E-2</v>
      </c>
      <c r="AP274" s="1111">
        <f t="shared" si="432"/>
        <v>0.316522847739098</v>
      </c>
      <c r="AQ274" s="1111">
        <f>SUMIFS(NewEmisData!E:E, NewEmisData!$A:$A, $G274, NewEmisData!$B:$B, $A274, NewEmisData!$C:$C, $H274, NewEmisData!$D:$D, AQ$6)</f>
        <v>0.316522847739098</v>
      </c>
      <c r="AR274" s="1111">
        <f>SUMIFS(NewEmisData!F:F, NewEmisData!$A:$A, $G274, NewEmisData!$B:$B, $A274, NewEmisData!$C:$C, $H274, NewEmisData!$D:$D, AR$6)</f>
        <v>0.296906260657962</v>
      </c>
      <c r="AS274" s="1111">
        <f>SUMIFS(NewEmisData!G:G, NewEmisData!$A:$A, $G274, NewEmisData!$B:$B, $A274, NewEmisData!$C:$C, $H274, NewEmisData!$D:$D, AS$6)</f>
        <v>0.23822746383424401</v>
      </c>
      <c r="AT274" s="1111">
        <f>SUMIFS(NewEmisData!H:H, NewEmisData!$A:$A, $G274, NewEmisData!$B:$B, $A274, NewEmisData!$C:$C, $H274, NewEmisData!$D:$D, AT$6)</f>
        <v>0.23861290236278199</v>
      </c>
      <c r="AU274" s="1111">
        <f>SUMIFS(NewEmisData!I:I, NewEmisData!$A:$A, $G274, NewEmisData!$B:$B, $A274, NewEmisData!$C:$C, $H274, NewEmisData!$D:$D, AU$6)</f>
        <v>0.23938243498850501</v>
      </c>
      <c r="AV274" s="1111">
        <f>SUMIFS(NewEmisData!J:J, NewEmisData!$A:$A, $G274, NewEmisData!$B:$B, $A274, NewEmisData!$C:$C, $H274, NewEmisData!$D:$D, AV$6)</f>
        <v>0.23966935323295199</v>
      </c>
      <c r="AW274" s="1111">
        <f>SUMIFS(NewEmisData!K:K, NewEmisData!$A:$A, $G274, NewEmisData!$B:$B, $A274, NewEmisData!$C:$C, $H274, NewEmisData!$D:$D, AW$6)</f>
        <v>0.239739729662128</v>
      </c>
      <c r="AX274" s="1111">
        <f>SUMIFS(NewEmisData!L:L, NewEmisData!$A:$A, $G274, NewEmisData!$B:$B, $A274, NewEmisData!$C:$C, $H274, NewEmisData!$D:$D, AX$6)</f>
        <v>0.239781897722738</v>
      </c>
      <c r="AY274" s="1111">
        <f>SUMIFS(NewEmisData!M:M, NewEmisData!$A:$A, $G274, NewEmisData!$B:$B, $A274, NewEmisData!$C:$C, $H274, NewEmisData!$D:$D, AY$6)</f>
        <v>0.23979416449461</v>
      </c>
      <c r="AZ274" s="1111">
        <f t="shared" si="433"/>
        <v>0.23979416449461</v>
      </c>
      <c r="BA274" s="1111">
        <f t="shared" si="434"/>
        <v>8.6551780570898199E-2</v>
      </c>
      <c r="BB274" s="1111">
        <f>SUMIFS(NewEmisData!E:E, NewEmisData!$A:$A, $G274, NewEmisData!$B:$B, $A274, NewEmisData!$C:$C, $H274, NewEmisData!$D:$D, BB$6)</f>
        <v>8.6551780570898199E-2</v>
      </c>
      <c r="BC274" s="1111">
        <f>SUMIFS(NewEmisData!F:F, NewEmisData!$A:$A, $G274, NewEmisData!$B:$B, $A274, NewEmisData!$C:$C, $H274, NewEmisData!$D:$D, BC$6)</f>
        <v>6.4372293434568101E-2</v>
      </c>
      <c r="BD274" s="1111">
        <f>SUMIFS(NewEmisData!G:G, NewEmisData!$A:$A, $G274, NewEmisData!$B:$B, $A274, NewEmisData!$C:$C, $H274, NewEmisData!$D:$D, BD$6)</f>
        <v>3.7426910923255501E-2</v>
      </c>
      <c r="BE274" s="1111">
        <f>SUMIFS(NewEmisData!H:H, NewEmisData!$A:$A, $G274, NewEmisData!$B:$B, $A274, NewEmisData!$C:$C, $H274, NewEmisData!$D:$D, BE$6)</f>
        <v>3.7415863467985699E-2</v>
      </c>
      <c r="BF274" s="1111">
        <f>SUMIFS(NewEmisData!I:I, NewEmisData!$A:$A, $G274, NewEmisData!$B:$B, $A274, NewEmisData!$C:$C, $H274, NewEmisData!$D:$D, BF$6)</f>
        <v>3.7155994555793902E-2</v>
      </c>
      <c r="BG274" s="1111">
        <f>SUMIFS(NewEmisData!J:J, NewEmisData!$A:$A, $G274, NewEmisData!$B:$B, $A274, NewEmisData!$C:$C, $H274, NewEmisData!$D:$D, BG$6)</f>
        <v>3.71692451762419E-2</v>
      </c>
      <c r="BH274" s="1111">
        <f>SUMIFS(NewEmisData!K:K, NewEmisData!$A:$A, $G274, NewEmisData!$B:$B, $A274, NewEmisData!$C:$C, $H274, NewEmisData!$D:$D, BH$6)</f>
        <v>3.71792258741903E-2</v>
      </c>
      <c r="BI274" s="1111">
        <f>SUMIFS(NewEmisData!L:L, NewEmisData!$A:$A, $G274, NewEmisData!$B:$B, $A274, NewEmisData!$C:$C, $H274, NewEmisData!$D:$D, BI$6)</f>
        <v>3.7203306400845099E-2</v>
      </c>
      <c r="BJ274" s="1111">
        <f>SUMIFS(NewEmisData!M:M, NewEmisData!$A:$A, $G274, NewEmisData!$B:$B, $A274, NewEmisData!$C:$C, $H274, NewEmisData!$D:$D, BJ$6)</f>
        <v>3.7213861680524402E-2</v>
      </c>
      <c r="BK274" s="1111">
        <f t="shared" si="435"/>
        <v>3.7213861680524402E-2</v>
      </c>
      <c r="BL274" s="1111">
        <f t="shared" si="436"/>
        <v>44.405857011560997</v>
      </c>
      <c r="BM274" s="1111">
        <f>SUMIFS(NewEmisData!E:E, NewEmisData!$A:$A, $G274, NewEmisData!$B:$B, $A274, NewEmisData!$C:$C, $H274, NewEmisData!$D:$D, BM$6)</f>
        <v>44.405857011560997</v>
      </c>
      <c r="BN274" s="1111">
        <f>SUMIFS(NewEmisData!F:F, NewEmisData!$A:$A, $G274, NewEmisData!$B:$B, $A274, NewEmisData!$C:$C, $H274, NewEmisData!$D:$D, BN$6)</f>
        <v>36.848029493126198</v>
      </c>
      <c r="BO274" s="1111">
        <f>SUMIFS(NewEmisData!G:G, NewEmisData!$A:$A, $G274, NewEmisData!$B:$B, $A274, NewEmisData!$C:$C, $H274, NewEmisData!$D:$D, BO$6)</f>
        <v>14.0750386718197</v>
      </c>
      <c r="BP274" s="1111">
        <f>SUMIFS(NewEmisData!H:H, NewEmisData!$A:$A, $G274, NewEmisData!$B:$B, $A274, NewEmisData!$C:$C, $H274, NewEmisData!$D:$D, BP$6)</f>
        <v>12.254998131296899</v>
      </c>
      <c r="BQ274" s="1111">
        <f>SUMIFS(NewEmisData!I:I, NewEmisData!$A:$A, $G274, NewEmisData!$B:$B, $A274, NewEmisData!$C:$C, $H274, NewEmisData!$D:$D, BQ$6)</f>
        <v>12.2179762392729</v>
      </c>
      <c r="BR274" s="1111">
        <f>SUMIFS(NewEmisData!J:J, NewEmisData!$A:$A, $G274, NewEmisData!$B:$B, $A274, NewEmisData!$C:$C, $H274, NewEmisData!$D:$D, BR$6)</f>
        <v>12.5483128548097</v>
      </c>
      <c r="BS274" s="1111">
        <f>SUMIFS(NewEmisData!K:K, NewEmisData!$A:$A, $G274, NewEmisData!$B:$B, $A274, NewEmisData!$C:$C, $H274, NewEmisData!$D:$D, BS$6)</f>
        <v>12.6290552691631</v>
      </c>
      <c r="BT274" s="1111">
        <f>SUMIFS(NewEmisData!L:L, NewEmisData!$A:$A, $G274, NewEmisData!$B:$B, $A274, NewEmisData!$C:$C, $H274, NewEmisData!$D:$D, BT$6)</f>
        <v>12.756109867155899</v>
      </c>
      <c r="BU274" s="1111">
        <f>SUMIFS(NewEmisData!M:M, NewEmisData!$A:$A, $G274, NewEmisData!$B:$B, $A274, NewEmisData!$C:$C, $H274, NewEmisData!$D:$D, BU$6)</f>
        <v>12.800533369187299</v>
      </c>
      <c r="BV274" s="1111">
        <f t="shared" si="437"/>
        <v>12.800533369187299</v>
      </c>
      <c r="BW274" s="1111">
        <f t="shared" si="438"/>
        <v>2.14680819384954</v>
      </c>
      <c r="BX274" s="1111">
        <f>SUMIFS(NewEmisData!E:E, NewEmisData!$A:$A, $G274, NewEmisData!$B:$B, $A274, NewEmisData!$C:$C, $H274, NewEmisData!$D:$D, BX$6)</f>
        <v>2.14680819384954</v>
      </c>
      <c r="BY274" s="1111">
        <f>SUMIFS(NewEmisData!F:F, NewEmisData!$A:$A, $G274, NewEmisData!$B:$B, $A274, NewEmisData!$C:$C, $H274, NewEmisData!$D:$D, BY$6)</f>
        <v>1.6414932721656601</v>
      </c>
      <c r="BZ274" s="1111">
        <f>SUMIFS(NewEmisData!G:G, NewEmisData!$A:$A, $G274, NewEmisData!$B:$B, $A274, NewEmisData!$C:$C, $H274, NewEmisData!$D:$D, BZ$6)</f>
        <v>0.47923130880280401</v>
      </c>
      <c r="CA274" s="1111">
        <f>SUMIFS(NewEmisData!H:H, NewEmisData!$A:$A, $G274, NewEmisData!$B:$B, $A274, NewEmisData!$C:$C, $H274, NewEmisData!$D:$D, CA$6)</f>
        <v>0.36532781197988201</v>
      </c>
      <c r="CB274" s="1111">
        <f>SUMIFS(NewEmisData!I:I, NewEmisData!$A:$A, $G274, NewEmisData!$B:$B, $A274, NewEmisData!$C:$C, $H274, NewEmisData!$D:$D, CB$6)</f>
        <v>0.334636907672411</v>
      </c>
      <c r="CC274" s="1111">
        <f>SUMIFS(NewEmisData!J:J, NewEmisData!$A:$A, $G274, NewEmisData!$B:$B, $A274, NewEmisData!$C:$C, $H274, NewEmisData!$D:$D, CC$6)</f>
        <v>0.33199768040625</v>
      </c>
      <c r="CD274" s="1111">
        <f>SUMIFS(NewEmisData!K:K, NewEmisData!$A:$A, $G274, NewEmisData!$B:$B, $A274, NewEmisData!$C:$C, $H274, NewEmisData!$D:$D, CD$6)</f>
        <v>0.32940217473438299</v>
      </c>
      <c r="CE274" s="1111">
        <f>SUMIFS(NewEmisData!L:L, NewEmisData!$A:$A, $G274, NewEmisData!$B:$B, $A274, NewEmisData!$C:$C, $H274, NewEmisData!$D:$D, CE$6)</f>
        <v>0.33126268454531199</v>
      </c>
      <c r="CF274" s="1111">
        <f>SUMIFS(NewEmisData!M:M, NewEmisData!$A:$A, $G274, NewEmisData!$B:$B, $A274, NewEmisData!$C:$C, $H274, NewEmisData!$D:$D, CF$6)</f>
        <v>0.331634896570775</v>
      </c>
      <c r="CG274" s="1111">
        <f t="shared" si="439"/>
        <v>0.331634896570775</v>
      </c>
      <c r="CH274" s="1111">
        <f t="shared" si="440"/>
        <v>4.49194482849559E-2</v>
      </c>
      <c r="CI274" s="1111">
        <f>SUMIFS(NewEmisData!E:E, NewEmisData!$A:$A, $G274, NewEmisData!$B:$B, $A274, NewEmisData!$C:$C, $H274, NewEmisData!$D:$D, CI$6)</f>
        <v>4.49194482849559E-2</v>
      </c>
      <c r="CJ274" s="1111">
        <f>SUMIFS(NewEmisData!F:F, NewEmisData!$A:$A, $G274, NewEmisData!$B:$B, $A274, NewEmisData!$C:$C, $H274, NewEmisData!$D:$D, CJ$6)</f>
        <v>4.5044780297083503E-2</v>
      </c>
      <c r="CK274" s="1111">
        <f>SUMIFS(NewEmisData!G:G, NewEmisData!$A:$A, $G274, NewEmisData!$B:$B, $A274, NewEmisData!$C:$C, $H274, NewEmisData!$D:$D, CK$6)</f>
        <v>4.5736190408202697E-2</v>
      </c>
      <c r="CL274" s="1111">
        <f>SUMIFS(NewEmisData!H:H, NewEmisData!$A:$A, $G274, NewEmisData!$B:$B, $A274, NewEmisData!$C:$C, $H274, NewEmisData!$D:$D, CL$6)</f>
        <v>4.5759494534362899E-2</v>
      </c>
      <c r="CM274" s="1111">
        <f>SUMIFS(NewEmisData!I:I, NewEmisData!$A:$A, $G274, NewEmisData!$B:$B, $A274, NewEmisData!$C:$C, $H274, NewEmisData!$D:$D, CM$6)</f>
        <v>4.5817996189111899E-2</v>
      </c>
      <c r="CN274" s="1111">
        <f>SUMIFS(NewEmisData!J:J, NewEmisData!$A:$A, $G274, NewEmisData!$B:$B, $A274, NewEmisData!$C:$C, $H274, NewEmisData!$D:$D, CN$6)</f>
        <v>4.5833049406016901E-2</v>
      </c>
      <c r="CO274" s="1111">
        <f>SUMIFS(NewEmisData!K:K, NewEmisData!$A:$A, $G274, NewEmisData!$B:$B, $A274, NewEmisData!$C:$C, $H274, NewEmisData!$D:$D, CO$6)</f>
        <v>4.5836329184160897E-2</v>
      </c>
      <c r="CP274" s="1111">
        <f>SUMIFS(NewEmisData!L:L, NewEmisData!$A:$A, $G274, NewEmisData!$B:$B, $A274, NewEmisData!$C:$C, $H274, NewEmisData!$D:$D, CP$6)</f>
        <v>4.58372025008323E-2</v>
      </c>
      <c r="CQ274" s="1111">
        <f>SUMIFS(NewEmisData!M:M, NewEmisData!$A:$A, $G274, NewEmisData!$B:$B, $A274, NewEmisData!$C:$C, $H274, NewEmisData!$D:$D, CQ$6)</f>
        <v>4.5837179172897799E-2</v>
      </c>
      <c r="CR274" s="1111">
        <f t="shared" si="441"/>
        <v>4.5837179172897799E-2</v>
      </c>
      <c r="CS274" s="1111">
        <f t="shared" si="442"/>
        <v>4.23785786247831E-2</v>
      </c>
      <c r="CT274" s="1111">
        <f>SUMIFS(NewEmisData!E:E, NewEmisData!$A:$A, $G274, NewEmisData!$B:$B, $A274, NewEmisData!$C:$C, $H274, NewEmisData!$D:$D, CT$6)</f>
        <v>4.23785786247831E-2</v>
      </c>
      <c r="CU274" s="1111">
        <f>SUMIFS(NewEmisData!F:F, NewEmisData!$A:$A, $G274, NewEmisData!$B:$B, $A274, NewEmisData!$C:$C, $H274, NewEmisData!$D:$D, CU$6)</f>
        <v>3.6476147142376902E-2</v>
      </c>
      <c r="CV274" s="1111">
        <f>SUMIFS(NewEmisData!G:G, NewEmisData!$A:$A, $G274, NewEmisData!$B:$B, $A274, NewEmisData!$C:$C, $H274, NewEmisData!$D:$D, CV$6)</f>
        <v>1.5910071003880501E-2</v>
      </c>
      <c r="CW274" s="1111">
        <f>SUMIFS(NewEmisData!H:H, NewEmisData!$A:$A, $G274, NewEmisData!$B:$B, $A274, NewEmisData!$C:$C, $H274, NewEmisData!$D:$D, CW$6)</f>
        <v>1.0887161334639401E-2</v>
      </c>
      <c r="CX274" s="1111">
        <f>SUMIFS(NewEmisData!I:I, NewEmisData!$A:$A, $G274, NewEmisData!$B:$B, $A274, NewEmisData!$C:$C, $H274, NewEmisData!$D:$D, CX$6)</f>
        <v>9.2481178897355007E-3</v>
      </c>
      <c r="CY274" s="1111">
        <f>SUMIFS(NewEmisData!J:J, NewEmisData!$A:$A, $G274, NewEmisData!$B:$B, $A274, NewEmisData!$C:$C, $H274, NewEmisData!$D:$D, CY$6)</f>
        <v>8.9851479443452901E-3</v>
      </c>
      <c r="CZ274" s="1111">
        <f>SUMIFS(NewEmisData!K:K, NewEmisData!$A:$A, $G274, NewEmisData!$B:$B, $A274, NewEmisData!$C:$C, $H274, NewEmisData!$D:$D, CZ$6)</f>
        <v>8.7728322711615007E-3</v>
      </c>
      <c r="DA274" s="1111">
        <f>SUMIFS(NewEmisData!L:L, NewEmisData!$A:$A, $G274, NewEmisData!$B:$B, $A274, NewEmisData!$C:$C, $H274, NewEmisData!$D:$D, DA$6)</f>
        <v>8.8121160479205408E-3</v>
      </c>
      <c r="DB274" s="1111">
        <f>SUMIFS(NewEmisData!M:M, NewEmisData!$A:$A, $G274, NewEmisData!$B:$B, $A274, NewEmisData!$C:$C, $H274, NewEmisData!$D:$D, DB$6)</f>
        <v>8.8260551340968493E-3</v>
      </c>
      <c r="DC274" s="1111">
        <f t="shared" si="443"/>
        <v>8.8260551340968493E-3</v>
      </c>
      <c r="DD274" s="1111"/>
      <c r="DE274" s="1111"/>
      <c r="DF274" s="1111"/>
      <c r="DG274" s="1111"/>
      <c r="DH274" s="1111"/>
      <c r="DI274" s="1111"/>
      <c r="DJ274" s="1111"/>
      <c r="DK274" s="1111"/>
      <c r="DL274" s="1111"/>
      <c r="DM274" s="1111"/>
      <c r="DN274" s="1111"/>
      <c r="DO274" s="1111"/>
      <c r="DP274" s="1111"/>
      <c r="DQ274" s="1111"/>
      <c r="DR274" s="1111"/>
      <c r="DS274" s="1111"/>
      <c r="DT274" s="1111"/>
      <c r="DU274" s="1111"/>
      <c r="DV274" s="1111"/>
      <c r="DW274" s="1111"/>
      <c r="DX274" s="1111"/>
      <c r="DY274" s="1111"/>
      <c r="DZ274" s="1111">
        <f t="shared" si="444"/>
        <v>7.9223624422698202E-2</v>
      </c>
      <c r="EA274" s="1111">
        <f>SUMIFS(NewEmisData!E:E, NewEmisData!$A:$A, $G274, NewEmisData!$B:$B, $A274, NewEmisData!$C:$C, $H274, NewEmisData!$D:$D, EA$6)</f>
        <v>7.9223624422698202E-2</v>
      </c>
      <c r="EB274" s="1111">
        <f>SUMIFS(NewEmisData!F:F, NewEmisData!$A:$A, $G274, NewEmisData!$B:$B, $A274, NewEmisData!$C:$C, $H274, NewEmisData!$D:$D, EB$6)</f>
        <v>4.9616772406464199E-2</v>
      </c>
      <c r="EC274" s="1111">
        <f>SUMIFS(NewEmisData!G:G, NewEmisData!$A:$A, $G274, NewEmisData!$B:$B, $A274, NewEmisData!$C:$C, $H274, NewEmisData!$D:$D, EC$6)</f>
        <v>1.1730401934771701E-2</v>
      </c>
      <c r="ED274" s="1111">
        <f>SUMIFS(NewEmisData!H:H, NewEmisData!$A:$A, $G274, NewEmisData!$B:$B, $A274, NewEmisData!$C:$C, $H274, NewEmisData!$D:$D, ED$6)</f>
        <v>9.4240573443951908E-3</v>
      </c>
      <c r="EE274" s="1111">
        <f>SUMIFS(NewEmisData!I:I, NewEmisData!$A:$A, $G274, NewEmisData!$B:$B, $A274, NewEmisData!$C:$C, $H274, NewEmisData!$D:$D, EE$6)</f>
        <v>9.2771376980736696E-3</v>
      </c>
      <c r="EF274" s="1111">
        <f>SUMIFS(NewEmisData!J:J, NewEmisData!$A:$A, $G274, NewEmisData!$B:$B, $A274, NewEmisData!$C:$C, $H274, NewEmisData!$D:$D, EF$6)</f>
        <v>9.4970065030402697E-3</v>
      </c>
      <c r="EG274" s="1111">
        <f>SUMIFS(NewEmisData!K:K, NewEmisData!$A:$A, $G274, NewEmisData!$B:$B, $A274, NewEmisData!$C:$C, $H274, NewEmisData!$D:$D, EG$6)</f>
        <v>9.5652604789833208E-3</v>
      </c>
      <c r="EH274" s="1111">
        <f>SUMIFS(NewEmisData!L:L, NewEmisData!$A:$A, $G274, NewEmisData!$B:$B, $A274, NewEmisData!$C:$C, $H274, NewEmisData!$D:$D, EH$6)</f>
        <v>9.6560772920169392E-3</v>
      </c>
      <c r="EI274" s="1111">
        <f>SUMIFS(NewEmisData!M:M, NewEmisData!$A:$A, $G274, NewEmisData!$B:$B, $A274, NewEmisData!$C:$C, $H274, NewEmisData!$D:$D, EI$6)</f>
        <v>9.6867337196690894E-3</v>
      </c>
      <c r="EJ274" s="1111">
        <f t="shared" si="445"/>
        <v>9.6867337196690894E-3</v>
      </c>
      <c r="EK274" s="1111">
        <f t="shared" si="446"/>
        <v>1245.3418505198399</v>
      </c>
      <c r="EL274" s="1111">
        <f t="shared" si="343"/>
        <v>1245.3418505198399</v>
      </c>
      <c r="EM274" s="1111">
        <f t="shared" si="344"/>
        <v>1233.52680028807</v>
      </c>
      <c r="EN274" s="1111">
        <f t="shared" si="345"/>
        <v>1155.77413052821</v>
      </c>
      <c r="EO274" s="1111">
        <f t="shared" si="346"/>
        <v>1137.9436610154601</v>
      </c>
      <c r="EP274" s="1111">
        <f t="shared" si="347"/>
        <v>1112.6987382597499</v>
      </c>
      <c r="EQ274" s="1111">
        <f t="shared" si="348"/>
        <v>1106.54119248744</v>
      </c>
      <c r="ER274" s="1111">
        <f t="shared" si="349"/>
        <v>1105.0069411203201</v>
      </c>
      <c r="ES274" s="1111">
        <f t="shared" si="350"/>
        <v>1104.77778091038</v>
      </c>
      <c r="ET274" s="1111">
        <f t="shared" si="351"/>
        <v>1104.7649925096</v>
      </c>
      <c r="EU274" s="1111">
        <f t="shared" si="352"/>
        <v>1104.7649925096</v>
      </c>
      <c r="EV274" s="1111">
        <f t="shared" si="447"/>
        <v>4.9618269183312798</v>
      </c>
      <c r="EW274" s="1111">
        <f t="shared" si="333"/>
        <v>4.9618269183312798</v>
      </c>
      <c r="EX274" s="1111">
        <f t="shared" si="334"/>
        <v>3.5223524226374598</v>
      </c>
      <c r="EY274" s="1111">
        <f t="shared" si="335"/>
        <v>1.2618027970035901</v>
      </c>
      <c r="EZ274" s="1111">
        <f t="shared" si="336"/>
        <v>0.99784143742540199</v>
      </c>
      <c r="FA274" s="1111">
        <f t="shared" si="337"/>
        <v>0.92115341275504903</v>
      </c>
      <c r="FB274" s="1111">
        <f t="shared" si="338"/>
        <v>0.90873745362837199</v>
      </c>
      <c r="FC274" s="1111">
        <f t="shared" si="339"/>
        <v>0.903404659383922</v>
      </c>
      <c r="FD274" s="1111">
        <f t="shared" si="340"/>
        <v>0.90367749375583695</v>
      </c>
      <c r="FE274" s="1111">
        <f t="shared" si="341"/>
        <v>0.90380303336619205</v>
      </c>
      <c r="FF274" s="1111">
        <f t="shared" si="342"/>
        <v>0.90380303336619205</v>
      </c>
      <c r="FG274" s="1111">
        <f t="shared" si="389"/>
        <v>2.2268353622481699E-2</v>
      </c>
      <c r="FH274" s="1111">
        <f t="shared" si="390"/>
        <v>2.2268353622481699E-2</v>
      </c>
      <c r="FI274" s="1111">
        <f t="shared" si="391"/>
        <v>2.15800397384973E-2</v>
      </c>
      <c r="FJ274" s="1111">
        <f t="shared" si="392"/>
        <v>1.6580182769147099E-2</v>
      </c>
      <c r="FK274" s="1111">
        <f t="shared" si="393"/>
        <v>1.6324389370389901E-2</v>
      </c>
      <c r="FL274" s="1111">
        <f t="shared" si="394"/>
        <v>1.5962239345052798E-2</v>
      </c>
      <c r="FM274" s="1111">
        <f t="shared" si="395"/>
        <v>1.5873905588610002E-2</v>
      </c>
      <c r="FN274" s="1111">
        <f t="shared" si="396"/>
        <v>1.5851896144737601E-2</v>
      </c>
      <c r="FO274" s="1111">
        <f t="shared" si="397"/>
        <v>1.58486207061387E-2</v>
      </c>
      <c r="FP274" s="1111">
        <f t="shared" si="398"/>
        <v>1.5848421937017101E-2</v>
      </c>
      <c r="FQ274" s="1111">
        <f t="shared" si="399"/>
        <v>1.5848421937017101E-2</v>
      </c>
      <c r="FR274" s="1111">
        <f t="shared" si="322"/>
        <v>0.316522847739098</v>
      </c>
      <c r="FS274" s="1111">
        <f t="shared" si="323"/>
        <v>0.316522847739098</v>
      </c>
      <c r="FT274" s="1111">
        <f t="shared" si="324"/>
        <v>0.296906260657962</v>
      </c>
      <c r="FU274" s="1111">
        <f t="shared" si="325"/>
        <v>0.23822746383424401</v>
      </c>
      <c r="FV274" s="1111">
        <f t="shared" si="326"/>
        <v>0.23861290236278199</v>
      </c>
      <c r="FW274" s="1111">
        <f t="shared" si="327"/>
        <v>0.23938243498850501</v>
      </c>
      <c r="FX274" s="1111">
        <f t="shared" si="328"/>
        <v>0.23966935323295199</v>
      </c>
      <c r="FY274" s="1111">
        <f t="shared" si="329"/>
        <v>0.239739729662128</v>
      </c>
      <c r="FZ274" s="1111">
        <f t="shared" si="330"/>
        <v>0.239781897722738</v>
      </c>
      <c r="GA274" s="1111">
        <f t="shared" si="331"/>
        <v>0.23979416449461</v>
      </c>
      <c r="GB274" s="1111">
        <f t="shared" si="332"/>
        <v>0.23979416449461</v>
      </c>
      <c r="GC274" s="1111">
        <f t="shared" si="353"/>
        <v>8.6551780570898199E-2</v>
      </c>
      <c r="GD274" s="1111">
        <f t="shared" si="354"/>
        <v>8.6551780570898199E-2</v>
      </c>
      <c r="GE274" s="1111">
        <f t="shared" si="355"/>
        <v>6.4372293434568101E-2</v>
      </c>
      <c r="GF274" s="1111">
        <f t="shared" si="356"/>
        <v>3.7426910923255501E-2</v>
      </c>
      <c r="GG274" s="1111">
        <f t="shared" si="357"/>
        <v>3.7415863467985699E-2</v>
      </c>
      <c r="GH274" s="1111">
        <f t="shared" si="358"/>
        <v>3.7155994555793902E-2</v>
      </c>
      <c r="GI274" s="1111">
        <f t="shared" si="359"/>
        <v>3.71692451762419E-2</v>
      </c>
      <c r="GJ274" s="1111">
        <f t="shared" si="360"/>
        <v>3.71792258741903E-2</v>
      </c>
      <c r="GK274" s="1111">
        <f t="shared" si="361"/>
        <v>3.7203306400845099E-2</v>
      </c>
      <c r="GL274" s="1111">
        <f t="shared" si="362"/>
        <v>3.7213861680524402E-2</v>
      </c>
      <c r="GM274" s="1111">
        <f t="shared" si="363"/>
        <v>3.7213861680524402E-2</v>
      </c>
    </row>
    <row r="275" spans="1:195" x14ac:dyDescent="0.2">
      <c r="A275" s="1071" t="s">
        <v>190</v>
      </c>
      <c r="B275" s="1071" t="str">
        <f>Technologies!C161</f>
        <v>THSCNGC10</v>
      </c>
      <c r="C275" s="1071" t="str">
        <f>Technologies!D161</f>
        <v>Heavy Truck, Short Haul, Conventional CNG 2010</v>
      </c>
      <c r="D275" s="1071" t="str">
        <f>NewTech!D108</f>
        <v>bn-vmt, bn-vmt/a</v>
      </c>
      <c r="E275" s="1071" t="str">
        <f>Commodities!C$58</f>
        <v>THCNG</v>
      </c>
      <c r="F275" s="1071" t="s">
        <v>98</v>
      </c>
      <c r="G275" s="1110" t="s">
        <v>505</v>
      </c>
      <c r="H275" s="1110" t="s">
        <v>500</v>
      </c>
      <c r="I275" s="1112">
        <v>1</v>
      </c>
      <c r="J275" s="1111" t="str">
        <f t="shared" si="302"/>
        <v>Heavy duty short haul truck-GSL</v>
      </c>
      <c r="K275" s="1111">
        <f>SUMIFS(NewEmisData!E:E, NewEmisData!$A:$A, $G275, NewEmisData!$B:$B, $A275, NewEmisData!$C:$C, $H275, NewEmisData!$D:$D, K$6)</f>
        <v>1241.38928176117</v>
      </c>
      <c r="L275" s="1111">
        <f>SUMIFS(NewEmisData!F:F, NewEmisData!$A:$A, $G275, NewEmisData!$B:$B, $A275, NewEmisData!$C:$C, $H275, NewEmisData!$D:$D, L$6)</f>
        <v>1226.10777955711</v>
      </c>
      <c r="M275" s="1111">
        <f>SUMIFS(NewEmisData!G:G, NewEmisData!$A:$A, $G275, NewEmisData!$B:$B, $A275, NewEmisData!$C:$C, $H275, NewEmisData!$D:$D, M$6)</f>
        <v>1383.33894651986</v>
      </c>
      <c r="N275" s="1111">
        <f>SUMIFS(NewEmisData!H:H, NewEmisData!$A:$A, $G275, NewEmisData!$B:$B, $A275, NewEmisData!$C:$C, $H275, NewEmisData!$D:$D, N$6)</f>
        <v>1356.5010921445701</v>
      </c>
      <c r="O275" s="1111">
        <f>SUMIFS(NewEmisData!I:I, NewEmisData!$A:$A, $G275, NewEmisData!$B:$B, $A275, NewEmisData!$C:$C, $H275, NewEmisData!$D:$D, O$6)</f>
        <v>1306.9931195674901</v>
      </c>
      <c r="P275" s="1111">
        <f>SUMIFS(NewEmisData!J:J, NewEmisData!$A:$A, $G275, NewEmisData!$B:$B, $A275, NewEmisData!$C:$C, $H275, NewEmisData!$D:$D, P$6)</f>
        <v>1294.5393575191799</v>
      </c>
      <c r="Q275" s="1111">
        <f>SUMIFS(NewEmisData!K:K, NewEmisData!$A:$A, $G275, NewEmisData!$B:$B, $A275, NewEmisData!$C:$C, $H275, NewEmisData!$D:$D, Q$6)</f>
        <v>1291.60029261402</v>
      </c>
      <c r="R275" s="1111">
        <f>SUMIFS(NewEmisData!L:L, NewEmisData!$A:$A, $G275, NewEmisData!$B:$B, $A275, NewEmisData!$C:$C, $H275, NewEmisData!$D:$D, R$6)</f>
        <v>1291.22786948009</v>
      </c>
      <c r="S275" s="1111">
        <f>SUMIFS(NewEmisData!M:M, NewEmisData!$A:$A, $G275, NewEmisData!$B:$B, $A275, NewEmisData!$C:$C, $H275, NewEmisData!$D:$D, S$6)</f>
        <v>1291.2762589420699</v>
      </c>
      <c r="T275" s="1111">
        <f t="shared" si="364"/>
        <v>1291.2762589420699</v>
      </c>
      <c r="U275" s="1111">
        <f>SUMIFS(NewEmisData!E:E, NewEmisData!$A:$A, $G275, NewEmisData!$B:$B, $A275, NewEmisData!$C:$C, $H275, NewEmisData!$D:$D, U$6)</f>
        <v>6.2719490238573599</v>
      </c>
      <c r="V275" s="1111">
        <f>SUMIFS(NewEmisData!F:F, NewEmisData!$A:$A, $G275, NewEmisData!$B:$B, $A275, NewEmisData!$C:$C, $H275, NewEmisData!$D:$D, V$6)</f>
        <v>3.54586562371545</v>
      </c>
      <c r="W275" s="1111">
        <f>SUMIFS(NewEmisData!G:G, NewEmisData!$A:$A, $G275, NewEmisData!$B:$B, $A275, NewEmisData!$C:$C, $H275, NewEmisData!$D:$D, W$6)</f>
        <v>1.5390863619428401</v>
      </c>
      <c r="X275" s="1111">
        <f>SUMIFS(NewEmisData!H:H, NewEmisData!$A:$A, $G275, NewEmisData!$B:$B, $A275, NewEmisData!$C:$C, $H275, NewEmisData!$D:$D, X$6)</f>
        <v>1.17307553707704</v>
      </c>
      <c r="Y275" s="1111">
        <f>SUMIFS(NewEmisData!I:I, NewEmisData!$A:$A, $G275, NewEmisData!$B:$B, $A275, NewEmisData!$C:$C, $H275, NewEmisData!$D:$D, Y$6)</f>
        <v>1.0487695492759499</v>
      </c>
      <c r="Z275" s="1111">
        <f>SUMIFS(NewEmisData!J:J, NewEmisData!$A:$A, $G275, NewEmisData!$B:$B, $A275, NewEmisData!$C:$C, $H275, NewEmisData!$D:$D, Z$6)</f>
        <v>1.0243777697646099</v>
      </c>
      <c r="AA275" s="1111">
        <f>SUMIFS(NewEmisData!K:K, NewEmisData!$A:$A, $G275, NewEmisData!$B:$B, $A275, NewEmisData!$C:$C, $H275, NewEmisData!$D:$D, AA$6)</f>
        <v>1.01315476025102</v>
      </c>
      <c r="AB275" s="1111">
        <f>SUMIFS(NewEmisData!L:L, NewEmisData!$A:$A, $G275, NewEmisData!$B:$B, $A275, NewEmisData!$C:$C, $H275, NewEmisData!$D:$D, AB$6)</f>
        <v>1.01368282027686</v>
      </c>
      <c r="AC275" s="1111">
        <f>SUMIFS(NewEmisData!M:M, NewEmisData!$A:$A, $G275, NewEmisData!$B:$B, $A275, NewEmisData!$C:$C, $H275, NewEmisData!$D:$D, AC$6)</f>
        <v>1.0139821488193099</v>
      </c>
      <c r="AD275" s="1111">
        <f t="shared" si="321"/>
        <v>1.0139821488193099</v>
      </c>
      <c r="AE275" s="1111">
        <f t="shared" si="430"/>
        <v>2.1480399186289099E-2</v>
      </c>
      <c r="AF275" s="1111">
        <f>SUMIFS(NewEmisData!E:E, NewEmisData!$A:$A, $G275, NewEmisData!$B:$B, $A275, NewEmisData!$C:$C, $H275, NewEmisData!$D:$D, AF$6)</f>
        <v>2.1480399186289099E-2</v>
      </c>
      <c r="AG275" s="1111">
        <f>SUMIFS(NewEmisData!F:F, NewEmisData!$A:$A, $G275, NewEmisData!$B:$B, $A275, NewEmisData!$C:$C, $H275, NewEmisData!$D:$D, AG$6)</f>
        <v>2.12159707578937E-2</v>
      </c>
      <c r="AH275" s="1111">
        <f>SUMIFS(NewEmisData!G:G, NewEmisData!$A:$A, $G275, NewEmisData!$B:$B, $A275, NewEmisData!$C:$C, $H275, NewEmisData!$D:$D, AH$6)</f>
        <v>1.98447183890453E-2</v>
      </c>
      <c r="AI275" s="1111">
        <f>SUMIFS(NewEmisData!H:H, NewEmisData!$A:$A, $G275, NewEmisData!$B:$B, $A275, NewEmisData!$C:$C, $H275, NewEmisData!$D:$D, AI$6)</f>
        <v>1.9459715058680899E-2</v>
      </c>
      <c r="AJ275" s="1111">
        <f>SUMIFS(NewEmisData!I:I, NewEmisData!$A:$A, $G275, NewEmisData!$B:$B, $A275, NewEmisData!$C:$C, $H275, NewEmisData!$D:$D, AJ$6)</f>
        <v>1.8749491555680699E-2</v>
      </c>
      <c r="AK275" s="1111">
        <f>SUMIFS(NewEmisData!J:J, NewEmisData!$A:$A, $G275, NewEmisData!$B:$B, $A275, NewEmisData!$C:$C, $H275, NewEmisData!$D:$D, AK$6)</f>
        <v>1.8570836872203001E-2</v>
      </c>
      <c r="AL275" s="1111">
        <f>SUMIFS(NewEmisData!K:K, NewEmisData!$A:$A, $G275, NewEmisData!$B:$B, $A275, NewEmisData!$C:$C, $H275, NewEmisData!$D:$D, AL$6)</f>
        <v>1.8528673088893999E-2</v>
      </c>
      <c r="AM275" s="1111">
        <f>SUMIFS(NewEmisData!L:L, NewEmisData!$A:$A, $G275, NewEmisData!$B:$B, $A275, NewEmisData!$C:$C, $H275, NewEmisData!$D:$D, AM$6)</f>
        <v>1.8523329942848499E-2</v>
      </c>
      <c r="AN275" s="1111">
        <f>SUMIFS(NewEmisData!M:M, NewEmisData!$A:$A, $G275, NewEmisData!$B:$B, $A275, NewEmisData!$C:$C, $H275, NewEmisData!$D:$D, AN$6)</f>
        <v>1.85240308404678E-2</v>
      </c>
      <c r="AO275" s="1111">
        <f t="shared" si="431"/>
        <v>1.85240308404678E-2</v>
      </c>
      <c r="AP275" s="1111">
        <f t="shared" si="432"/>
        <v>0.431302480142082</v>
      </c>
      <c r="AQ275" s="1111">
        <f>SUMIFS(NewEmisData!E:E, NewEmisData!$A:$A, $G275, NewEmisData!$B:$B, $A275, NewEmisData!$C:$C, $H275, NewEmisData!$D:$D, AQ$6)</f>
        <v>0.431302480142082</v>
      </c>
      <c r="AR275" s="1111">
        <f>SUMIFS(NewEmisData!F:F, NewEmisData!$A:$A, $G275, NewEmisData!$B:$B, $A275, NewEmisData!$C:$C, $H275, NewEmisData!$D:$D, AR$6)</f>
        <v>0.30380256982536802</v>
      </c>
      <c r="AS275" s="1111">
        <f>SUMIFS(NewEmisData!G:G, NewEmisData!$A:$A, $G275, NewEmisData!$B:$B, $A275, NewEmisData!$C:$C, $H275, NewEmisData!$D:$D, AS$6)</f>
        <v>0.33709491699606497</v>
      </c>
      <c r="AT275" s="1111">
        <f>SUMIFS(NewEmisData!H:H, NewEmisData!$A:$A, $G275, NewEmisData!$B:$B, $A275, NewEmisData!$C:$C, $H275, NewEmisData!$D:$D, AT$6)</f>
        <v>0.33516632877566999</v>
      </c>
      <c r="AU275" s="1111">
        <f>SUMIFS(NewEmisData!I:I, NewEmisData!$A:$A, $G275, NewEmisData!$B:$B, $A275, NewEmisData!$C:$C, $H275, NewEmisData!$D:$D, AU$6)</f>
        <v>0.32912031916096701</v>
      </c>
      <c r="AV275" s="1111">
        <f>SUMIFS(NewEmisData!J:J, NewEmisData!$A:$A, $G275, NewEmisData!$B:$B, $A275, NewEmisData!$C:$C, $H275, NewEmisData!$D:$D, AV$6)</f>
        <v>0.32758501468683399</v>
      </c>
      <c r="AW275" s="1111">
        <f>SUMIFS(NewEmisData!K:K, NewEmisData!$A:$A, $G275, NewEmisData!$B:$B, $A275, NewEmisData!$C:$C, $H275, NewEmisData!$D:$D, AW$6)</f>
        <v>0.32722883547270099</v>
      </c>
      <c r="AX275" s="1111">
        <f>SUMIFS(NewEmisData!L:L, NewEmisData!$A:$A, $G275, NewEmisData!$B:$B, $A275, NewEmisData!$C:$C, $H275, NewEmisData!$D:$D, AX$6)</f>
        <v>0.32719882154575503</v>
      </c>
      <c r="AY275" s="1111">
        <f>SUMIFS(NewEmisData!M:M, NewEmisData!$A:$A, $G275, NewEmisData!$B:$B, $A275, NewEmisData!$C:$C, $H275, NewEmisData!$D:$D, AY$6)</f>
        <v>0.327223389729702</v>
      </c>
      <c r="AZ275" s="1111">
        <f t="shared" si="433"/>
        <v>0.327223389729702</v>
      </c>
      <c r="BA275" s="1111">
        <f t="shared" si="434"/>
        <v>0.17747003545562401</v>
      </c>
      <c r="BB275" s="1111">
        <f>SUMIFS(NewEmisData!E:E, NewEmisData!$A:$A, $G275, NewEmisData!$B:$B, $A275, NewEmisData!$C:$C, $H275, NewEmisData!$D:$D, BB$6)</f>
        <v>0.17747003545562401</v>
      </c>
      <c r="BC275" s="1111">
        <f>SUMIFS(NewEmisData!F:F, NewEmisData!$A:$A, $G275, NewEmisData!$B:$B, $A275, NewEmisData!$C:$C, $H275, NewEmisData!$D:$D, BC$6)</f>
        <v>6.4774980240540195E-2</v>
      </c>
      <c r="BD275" s="1111">
        <f>SUMIFS(NewEmisData!G:G, NewEmisData!$A:$A, $G275, NewEmisData!$B:$B, $A275, NewEmisData!$C:$C, $H275, NewEmisData!$D:$D, BD$6)</f>
        <v>5.2197571243419401E-2</v>
      </c>
      <c r="BE275" s="1111">
        <f>SUMIFS(NewEmisData!H:H, NewEmisData!$A:$A, $G275, NewEmisData!$B:$B, $A275, NewEmisData!$C:$C, $H275, NewEmisData!$D:$D, BE$6)</f>
        <v>5.1709470142354899E-2</v>
      </c>
      <c r="BF275" s="1111">
        <f>SUMIFS(NewEmisData!I:I, NewEmisData!$A:$A, $G275, NewEmisData!$B:$B, $A275, NewEmisData!$C:$C, $H275, NewEmisData!$D:$D, BF$6)</f>
        <v>5.0080554256354597E-2</v>
      </c>
      <c r="BG275" s="1111">
        <f>SUMIFS(NewEmisData!J:J, NewEmisData!$A:$A, $G275, NewEmisData!$B:$B, $A275, NewEmisData!$C:$C, $H275, NewEmisData!$D:$D, BG$6)</f>
        <v>4.9730195246478197E-2</v>
      </c>
      <c r="BH275" s="1111">
        <f>SUMIFS(NewEmisData!K:K, NewEmisData!$A:$A, $G275, NewEmisData!$B:$B, $A275, NewEmisData!$C:$C, $H275, NewEmisData!$D:$D, BH$6)</f>
        <v>4.9636064827908E-2</v>
      </c>
      <c r="BI275" s="1111">
        <f>SUMIFS(NewEmisData!L:L, NewEmisData!$A:$A, $G275, NewEmisData!$B:$B, $A275, NewEmisData!$C:$C, $H275, NewEmisData!$D:$D, BI$6)</f>
        <v>4.96653353802936E-2</v>
      </c>
      <c r="BJ275" s="1111">
        <f>SUMIFS(NewEmisData!M:M, NewEmisData!$A:$A, $G275, NewEmisData!$B:$B, $A275, NewEmisData!$C:$C, $H275, NewEmisData!$D:$D, BJ$6)</f>
        <v>4.9688283166283001E-2</v>
      </c>
      <c r="BK275" s="1111">
        <f t="shared" si="435"/>
        <v>4.9688283166283001E-2</v>
      </c>
      <c r="BL275" s="1111">
        <f t="shared" si="436"/>
        <v>90.191733728878702</v>
      </c>
      <c r="BM275" s="1111">
        <f>SUMIFS(NewEmisData!E:E, NewEmisData!$A:$A, $G275, NewEmisData!$B:$B, $A275, NewEmisData!$C:$C, $H275, NewEmisData!$D:$D, BM$6)</f>
        <v>90.191733728878702</v>
      </c>
      <c r="BN275" s="1111">
        <f>SUMIFS(NewEmisData!F:F, NewEmisData!$A:$A, $G275, NewEmisData!$B:$B, $A275, NewEmisData!$C:$C, $H275, NewEmisData!$D:$D, BN$6)</f>
        <v>57.854593707734402</v>
      </c>
      <c r="BO275" s="1111">
        <f>SUMIFS(NewEmisData!G:G, NewEmisData!$A:$A, $G275, NewEmisData!$B:$B, $A275, NewEmisData!$C:$C, $H275, NewEmisData!$D:$D, BO$6)</f>
        <v>30.439196833936801</v>
      </c>
      <c r="BP275" s="1111">
        <f>SUMIFS(NewEmisData!H:H, NewEmisData!$A:$A, $G275, NewEmisData!$B:$B, $A275, NewEmisData!$C:$C, $H275, NewEmisData!$D:$D, BP$6)</f>
        <v>28.2649013216366</v>
      </c>
      <c r="BQ275" s="1111">
        <f>SUMIFS(NewEmisData!I:I, NewEmisData!$A:$A, $G275, NewEmisData!$B:$B, $A275, NewEmisData!$C:$C, $H275, NewEmisData!$D:$D, BQ$6)</f>
        <v>29.534698697919499</v>
      </c>
      <c r="BR275" s="1111">
        <f>SUMIFS(NewEmisData!J:J, NewEmisData!$A:$A, $G275, NewEmisData!$B:$B, $A275, NewEmisData!$C:$C, $H275, NewEmisData!$D:$D, BR$6)</f>
        <v>30.882451342188901</v>
      </c>
      <c r="BS275" s="1111">
        <f>SUMIFS(NewEmisData!K:K, NewEmisData!$A:$A, $G275, NewEmisData!$B:$B, $A275, NewEmisData!$C:$C, $H275, NewEmisData!$D:$D, BS$6)</f>
        <v>31.2274964250777</v>
      </c>
      <c r="BT275" s="1111">
        <f>SUMIFS(NewEmisData!L:L, NewEmisData!$A:$A, $G275, NewEmisData!$B:$B, $A275, NewEmisData!$C:$C, $H275, NewEmisData!$D:$D, BT$6)</f>
        <v>31.6561745639336</v>
      </c>
      <c r="BU275" s="1111">
        <f>SUMIFS(NewEmisData!M:M, NewEmisData!$A:$A, $G275, NewEmisData!$B:$B, $A275, NewEmisData!$C:$C, $H275, NewEmisData!$D:$D, BU$6)</f>
        <v>31.800591464728001</v>
      </c>
      <c r="BV275" s="1111">
        <f t="shared" si="437"/>
        <v>31.800591464728001</v>
      </c>
      <c r="BW275" s="1111">
        <f t="shared" si="438"/>
        <v>6.1897171455643996</v>
      </c>
      <c r="BX275" s="1111">
        <f>SUMIFS(NewEmisData!E:E, NewEmisData!$A:$A, $G275, NewEmisData!$B:$B, $A275, NewEmisData!$C:$C, $H275, NewEmisData!$D:$D, BX$6)</f>
        <v>6.1897171455643996</v>
      </c>
      <c r="BY275" s="1111">
        <f>SUMIFS(NewEmisData!F:F, NewEmisData!$A:$A, $G275, NewEmisData!$B:$B, $A275, NewEmisData!$C:$C, $H275, NewEmisData!$D:$D, BY$6)</f>
        <v>2.9467128361474</v>
      </c>
      <c r="BZ275" s="1111">
        <f>SUMIFS(NewEmisData!G:G, NewEmisData!$A:$A, $G275, NewEmisData!$B:$B, $A275, NewEmisData!$C:$C, $H275, NewEmisData!$D:$D, BZ$6)</f>
        <v>0.87646546659881797</v>
      </c>
      <c r="CA275" s="1111">
        <f>SUMIFS(NewEmisData!H:H, NewEmisData!$A:$A, $G275, NewEmisData!$B:$B, $A275, NewEmisData!$C:$C, $H275, NewEmisData!$D:$D, CA$6)</f>
        <v>0.63725747288066603</v>
      </c>
      <c r="CB275" s="1111">
        <f>SUMIFS(NewEmisData!I:I, NewEmisData!$A:$A, $G275, NewEmisData!$B:$B, $A275, NewEmisData!$C:$C, $H275, NewEmisData!$D:$D, CB$6)</f>
        <v>0.56209464698364098</v>
      </c>
      <c r="CC275" s="1111">
        <f>SUMIFS(NewEmisData!J:J, NewEmisData!$A:$A, $G275, NewEmisData!$B:$B, $A275, NewEmisData!$C:$C, $H275, NewEmisData!$D:$D, CC$6)</f>
        <v>0.55142425018993102</v>
      </c>
      <c r="CD275" s="1111">
        <f>SUMIFS(NewEmisData!K:K, NewEmisData!$A:$A, $G275, NewEmisData!$B:$B, $A275, NewEmisData!$C:$C, $H275, NewEmisData!$D:$D, CD$6)</f>
        <v>0.54197445474169104</v>
      </c>
      <c r="CE275" s="1111">
        <f>SUMIFS(NewEmisData!L:L, NewEmisData!$A:$A, $G275, NewEmisData!$B:$B, $A275, NewEmisData!$C:$C, $H275, NewEmisData!$D:$D, CE$6)</f>
        <v>0.54705176135937394</v>
      </c>
      <c r="CF275" s="1111">
        <f>SUMIFS(NewEmisData!M:M, NewEmisData!$A:$A, $G275, NewEmisData!$B:$B, $A275, NewEmisData!$C:$C, $H275, NewEmisData!$D:$D, CF$6)</f>
        <v>0.54797129774840603</v>
      </c>
      <c r="CG275" s="1111">
        <f t="shared" si="439"/>
        <v>0.54797129774840603</v>
      </c>
      <c r="CH275" s="1111">
        <f t="shared" si="440"/>
        <v>4.4374916412660802E-2</v>
      </c>
      <c r="CI275" s="1111">
        <f>SUMIFS(NewEmisData!E:E, NewEmisData!$A:$A, $G275, NewEmisData!$B:$B, $A275, NewEmisData!$C:$C, $H275, NewEmisData!$D:$D, CI$6)</f>
        <v>4.4374916412660802E-2</v>
      </c>
      <c r="CJ275" s="1111">
        <f>SUMIFS(NewEmisData!F:F, NewEmisData!$A:$A, $G275, NewEmisData!$B:$B, $A275, NewEmisData!$C:$C, $H275, NewEmisData!$D:$D, CJ$6)</f>
        <v>4.4376196385727797E-2</v>
      </c>
      <c r="CK275" s="1111">
        <f>SUMIFS(NewEmisData!G:G, NewEmisData!$A:$A, $G275, NewEmisData!$B:$B, $A275, NewEmisData!$C:$C, $H275, NewEmisData!$D:$D, CK$6)</f>
        <v>5.2118868523528802E-2</v>
      </c>
      <c r="CL275" s="1111">
        <f>SUMIFS(NewEmisData!H:H, NewEmisData!$A:$A, $G275, NewEmisData!$B:$B, $A275, NewEmisData!$C:$C, $H275, NewEmisData!$D:$D, CL$6)</f>
        <v>5.2132349413666103E-2</v>
      </c>
      <c r="CM275" s="1111">
        <f>SUMIFS(NewEmisData!I:I, NewEmisData!$A:$A, $G275, NewEmisData!$B:$B, $A275, NewEmisData!$C:$C, $H275, NewEmisData!$D:$D, CM$6)</f>
        <v>5.21711043619991E-2</v>
      </c>
      <c r="CN275" s="1111">
        <f>SUMIFS(NewEmisData!J:J, NewEmisData!$A:$A, $G275, NewEmisData!$B:$B, $A275, NewEmisData!$C:$C, $H275, NewEmisData!$D:$D, CN$6)</f>
        <v>5.2181552336128E-2</v>
      </c>
      <c r="CO275" s="1111">
        <f>SUMIFS(NewEmisData!K:K, NewEmisData!$A:$A, $G275, NewEmisData!$B:$B, $A275, NewEmisData!$C:$C, $H275, NewEmisData!$D:$D, CO$6)</f>
        <v>5.21837897669589E-2</v>
      </c>
      <c r="CP275" s="1111">
        <f>SUMIFS(NewEmisData!L:L, NewEmisData!$A:$A, $G275, NewEmisData!$B:$B, $A275, NewEmisData!$C:$C, $H275, NewEmisData!$D:$D, CP$6)</f>
        <v>5.2184377186595597E-2</v>
      </c>
      <c r="CQ275" s="1111">
        <f>SUMIFS(NewEmisData!M:M, NewEmisData!$A:$A, $G275, NewEmisData!$B:$B, $A275, NewEmisData!$C:$C, $H275, NewEmisData!$D:$D, CQ$6)</f>
        <v>5.2184437559851103E-2</v>
      </c>
      <c r="CR275" s="1111">
        <f t="shared" si="441"/>
        <v>5.2184437559851103E-2</v>
      </c>
      <c r="CS275" s="1111">
        <f t="shared" si="442"/>
        <v>0.10324282903592</v>
      </c>
      <c r="CT275" s="1111">
        <f>SUMIFS(NewEmisData!E:E, NewEmisData!$A:$A, $G275, NewEmisData!$B:$B, $A275, NewEmisData!$C:$C, $H275, NewEmisData!$D:$D, CT$6)</f>
        <v>0.10324282903592</v>
      </c>
      <c r="CU275" s="1111">
        <f>SUMIFS(NewEmisData!F:F, NewEmisData!$A:$A, $G275, NewEmisData!$B:$B, $A275, NewEmisData!$C:$C, $H275, NewEmisData!$D:$D, CU$6)</f>
        <v>6.5839025751757901E-2</v>
      </c>
      <c r="CV275" s="1111">
        <f>SUMIFS(NewEmisData!G:G, NewEmisData!$A:$A, $G275, NewEmisData!$B:$B, $A275, NewEmisData!$C:$C, $H275, NewEmisData!$D:$D, CV$6)</f>
        <v>3.3013078185438E-2</v>
      </c>
      <c r="CW275" s="1111">
        <f>SUMIFS(NewEmisData!H:H, NewEmisData!$A:$A, $G275, NewEmisData!$B:$B, $A275, NewEmisData!$C:$C, $H275, NewEmisData!$D:$D, CW$6)</f>
        <v>2.22676216275507E-2</v>
      </c>
      <c r="CX275" s="1111">
        <f>SUMIFS(NewEmisData!I:I, NewEmisData!$A:$A, $G275, NewEmisData!$B:$B, $A275, NewEmisData!$C:$C, $H275, NewEmisData!$D:$D, CX$6)</f>
        <v>1.8691589461130299E-2</v>
      </c>
      <c r="CY275" s="1111">
        <f>SUMIFS(NewEmisData!J:J, NewEmisData!$A:$A, $G275, NewEmisData!$B:$B, $A275, NewEmisData!$C:$C, $H275, NewEmisData!$D:$D, CY$6)</f>
        <v>1.8191418075059002E-2</v>
      </c>
      <c r="CZ275" s="1111">
        <f>SUMIFS(NewEmisData!K:K, NewEmisData!$A:$A, $G275, NewEmisData!$B:$B, $A275, NewEmisData!$C:$C, $H275, NewEmisData!$D:$D, CZ$6)</f>
        <v>1.75998124004558E-2</v>
      </c>
      <c r="DA275" s="1111">
        <f>SUMIFS(NewEmisData!L:L, NewEmisData!$A:$A, $G275, NewEmisData!$B:$B, $A275, NewEmisData!$C:$C, $H275, NewEmisData!$D:$D, DA$6)</f>
        <v>1.77356234724158E-2</v>
      </c>
      <c r="DB275" s="1111">
        <f>SUMIFS(NewEmisData!M:M, NewEmisData!$A:$A, $G275, NewEmisData!$B:$B, $A275, NewEmisData!$C:$C, $H275, NewEmisData!$D:$D, DB$6)</f>
        <v>1.7781712985484099E-2</v>
      </c>
      <c r="DC275" s="1111">
        <f t="shared" si="443"/>
        <v>1.7781712985484099E-2</v>
      </c>
      <c r="DD275" s="1111"/>
      <c r="DE275" s="1111"/>
      <c r="DF275" s="1111"/>
      <c r="DG275" s="1111"/>
      <c r="DH275" s="1111"/>
      <c r="DI275" s="1111"/>
      <c r="DJ275" s="1111"/>
      <c r="DK275" s="1111"/>
      <c r="DL275" s="1111"/>
      <c r="DM275" s="1111"/>
      <c r="DN275" s="1111"/>
      <c r="DO275" s="1111"/>
      <c r="DP275" s="1111"/>
      <c r="DQ275" s="1111"/>
      <c r="DR275" s="1111"/>
      <c r="DS275" s="1111"/>
      <c r="DT275" s="1111"/>
      <c r="DU275" s="1111"/>
      <c r="DV275" s="1111"/>
      <c r="DW275" s="1111"/>
      <c r="DX275" s="1111"/>
      <c r="DY275" s="1111"/>
      <c r="DZ275" s="1111">
        <f t="shared" si="444"/>
        <v>0.34764874845075999</v>
      </c>
      <c r="EA275" s="1111">
        <f>SUMIFS(NewEmisData!E:E, NewEmisData!$A:$A, $G275, NewEmisData!$B:$B, $A275, NewEmisData!$C:$C, $H275, NewEmisData!$D:$D, EA$6)</f>
        <v>0.34764874845075999</v>
      </c>
      <c r="EB275" s="1111">
        <f>SUMIFS(NewEmisData!F:F, NewEmisData!$A:$A, $G275, NewEmisData!$B:$B, $A275, NewEmisData!$C:$C, $H275, NewEmisData!$D:$D, EB$6)</f>
        <v>0.14142715332318501</v>
      </c>
      <c r="EC275" s="1111">
        <f>SUMIFS(NewEmisData!G:G, NewEmisData!$A:$A, $G275, NewEmisData!$B:$B, $A275, NewEmisData!$C:$C, $H275, NewEmisData!$D:$D, EC$6)</f>
        <v>2.8640359201048099E-2</v>
      </c>
      <c r="ED275" s="1111">
        <f>SUMIFS(NewEmisData!H:H, NewEmisData!$A:$A, $G275, NewEmisData!$B:$B, $A275, NewEmisData!$C:$C, $H275, NewEmisData!$D:$D, ED$6)</f>
        <v>2.3851757275478599E-2</v>
      </c>
      <c r="EE275" s="1111">
        <f>SUMIFS(NewEmisData!I:I, NewEmisData!$A:$A, $G275, NewEmisData!$B:$B, $A275, NewEmisData!$C:$C, $H275, NewEmisData!$D:$D, EE$6)</f>
        <v>2.44690782189021E-2</v>
      </c>
      <c r="EF275" s="1111">
        <f>SUMIFS(NewEmisData!J:J, NewEmisData!$A:$A, $G275, NewEmisData!$B:$B, $A275, NewEmisData!$C:$C, $H275, NewEmisData!$D:$D, EF$6)</f>
        <v>2.5450390210075498E-2</v>
      </c>
      <c r="EG275" s="1111">
        <f>SUMIFS(NewEmisData!K:K, NewEmisData!$A:$A, $G275, NewEmisData!$B:$B, $A275, NewEmisData!$C:$C, $H275, NewEmisData!$D:$D, EG$6)</f>
        <v>2.5745715046546401E-2</v>
      </c>
      <c r="EH275" s="1111">
        <f>SUMIFS(NewEmisData!L:L, NewEmisData!$A:$A, $G275, NewEmisData!$B:$B, $A275, NewEmisData!$C:$C, $H275, NewEmisData!$D:$D, EH$6)</f>
        <v>2.6059342938699701E-2</v>
      </c>
      <c r="EI275" s="1111">
        <f>SUMIFS(NewEmisData!M:M, NewEmisData!$A:$A, $G275, NewEmisData!$B:$B, $A275, NewEmisData!$C:$C, $H275, NewEmisData!$D:$D, EI$6)</f>
        <v>2.6160400057414299E-2</v>
      </c>
      <c r="EJ275" s="1111">
        <f t="shared" si="445"/>
        <v>2.6160400057414299E-2</v>
      </c>
      <c r="EK275" s="1111">
        <f t="shared" si="446"/>
        <v>1241.38928176117</v>
      </c>
      <c r="EL275" s="1111">
        <f t="shared" si="343"/>
        <v>1241.38928176117</v>
      </c>
      <c r="EM275" s="1111">
        <f t="shared" si="344"/>
        <v>1226.10777955711</v>
      </c>
      <c r="EN275" s="1111">
        <f t="shared" si="345"/>
        <v>1383.33894651986</v>
      </c>
      <c r="EO275" s="1111">
        <f t="shared" si="346"/>
        <v>1356.5010921445701</v>
      </c>
      <c r="EP275" s="1111">
        <f t="shared" si="347"/>
        <v>1306.9931195674901</v>
      </c>
      <c r="EQ275" s="1111">
        <f t="shared" si="348"/>
        <v>1294.5393575191799</v>
      </c>
      <c r="ER275" s="1111">
        <f t="shared" si="349"/>
        <v>1291.60029261402</v>
      </c>
      <c r="ES275" s="1111">
        <f t="shared" si="350"/>
        <v>1291.22786948009</v>
      </c>
      <c r="ET275" s="1111">
        <f t="shared" si="351"/>
        <v>1291.2762589420699</v>
      </c>
      <c r="EU275" s="1111">
        <f t="shared" si="352"/>
        <v>1291.2762589420699</v>
      </c>
      <c r="EV275" s="1111">
        <f t="shared" si="447"/>
        <v>6.2719490238573599</v>
      </c>
      <c r="EW275" s="1111">
        <f t="shared" si="333"/>
        <v>6.2719490238573599</v>
      </c>
      <c r="EX275" s="1111">
        <f t="shared" si="334"/>
        <v>3.54586562371545</v>
      </c>
      <c r="EY275" s="1111">
        <f t="shared" si="335"/>
        <v>1.5390863619428401</v>
      </c>
      <c r="EZ275" s="1111">
        <f t="shared" si="336"/>
        <v>1.17307553707704</v>
      </c>
      <c r="FA275" s="1111">
        <f t="shared" si="337"/>
        <v>1.0487695492759499</v>
      </c>
      <c r="FB275" s="1111">
        <f t="shared" si="338"/>
        <v>1.0243777697646099</v>
      </c>
      <c r="FC275" s="1111">
        <f t="shared" si="339"/>
        <v>1.01315476025102</v>
      </c>
      <c r="FD275" s="1111">
        <f t="shared" si="340"/>
        <v>1.01368282027686</v>
      </c>
      <c r="FE275" s="1111">
        <f t="shared" si="341"/>
        <v>1.0139821488193099</v>
      </c>
      <c r="FF275" s="1111">
        <f t="shared" si="342"/>
        <v>1.0139821488193099</v>
      </c>
      <c r="FG275" s="1111">
        <f t="shared" si="389"/>
        <v>2.1480399186289099E-2</v>
      </c>
      <c r="FH275" s="1111">
        <f t="shared" si="390"/>
        <v>2.1480399186289099E-2</v>
      </c>
      <c r="FI275" s="1111">
        <f t="shared" si="391"/>
        <v>2.12159707578937E-2</v>
      </c>
      <c r="FJ275" s="1111">
        <f t="shared" si="392"/>
        <v>1.98447183890453E-2</v>
      </c>
      <c r="FK275" s="1111">
        <f t="shared" si="393"/>
        <v>1.9459715058680899E-2</v>
      </c>
      <c r="FL275" s="1111">
        <f t="shared" si="394"/>
        <v>1.8749491555680699E-2</v>
      </c>
      <c r="FM275" s="1111">
        <f t="shared" si="395"/>
        <v>1.8570836872203001E-2</v>
      </c>
      <c r="FN275" s="1111">
        <f t="shared" si="396"/>
        <v>1.8528673088893999E-2</v>
      </c>
      <c r="FO275" s="1111">
        <f t="shared" si="397"/>
        <v>1.8523329942848499E-2</v>
      </c>
      <c r="FP275" s="1111">
        <f t="shared" si="398"/>
        <v>1.85240308404678E-2</v>
      </c>
      <c r="FQ275" s="1111">
        <f t="shared" si="399"/>
        <v>1.85240308404678E-2</v>
      </c>
      <c r="FR275" s="1111">
        <f t="shared" si="322"/>
        <v>0.431302480142082</v>
      </c>
      <c r="FS275" s="1111">
        <f t="shared" si="323"/>
        <v>0.431302480142082</v>
      </c>
      <c r="FT275" s="1111">
        <f t="shared" si="324"/>
        <v>0.30380256982536802</v>
      </c>
      <c r="FU275" s="1111">
        <f t="shared" si="325"/>
        <v>0.33709491699606497</v>
      </c>
      <c r="FV275" s="1111">
        <f t="shared" si="326"/>
        <v>0.33516632877566999</v>
      </c>
      <c r="FW275" s="1111">
        <f t="shared" si="327"/>
        <v>0.32912031916096701</v>
      </c>
      <c r="FX275" s="1111">
        <f t="shared" si="328"/>
        <v>0.32758501468683399</v>
      </c>
      <c r="FY275" s="1111">
        <f t="shared" si="329"/>
        <v>0.32722883547270099</v>
      </c>
      <c r="FZ275" s="1111">
        <f t="shared" si="330"/>
        <v>0.32719882154575503</v>
      </c>
      <c r="GA275" s="1111">
        <f t="shared" si="331"/>
        <v>0.327223389729702</v>
      </c>
      <c r="GB275" s="1111">
        <f t="shared" si="332"/>
        <v>0.327223389729702</v>
      </c>
      <c r="GC275" s="1111">
        <f t="shared" si="353"/>
        <v>0.17747003545562401</v>
      </c>
      <c r="GD275" s="1111">
        <f t="shared" si="354"/>
        <v>0.17747003545562401</v>
      </c>
      <c r="GE275" s="1111">
        <f t="shared" si="355"/>
        <v>6.4774980240540195E-2</v>
      </c>
      <c r="GF275" s="1111">
        <f t="shared" si="356"/>
        <v>5.2197571243419401E-2</v>
      </c>
      <c r="GG275" s="1111">
        <f t="shared" si="357"/>
        <v>5.1709470142354899E-2</v>
      </c>
      <c r="GH275" s="1111">
        <f t="shared" si="358"/>
        <v>5.0080554256354597E-2</v>
      </c>
      <c r="GI275" s="1111">
        <f t="shared" si="359"/>
        <v>4.9730195246478197E-2</v>
      </c>
      <c r="GJ275" s="1111">
        <f t="shared" si="360"/>
        <v>4.9636064827908E-2</v>
      </c>
      <c r="GK275" s="1111">
        <f t="shared" si="361"/>
        <v>4.96653353802936E-2</v>
      </c>
      <c r="GL275" s="1111">
        <f t="shared" si="362"/>
        <v>4.9688283166283001E-2</v>
      </c>
      <c r="GM275" s="1111">
        <f t="shared" si="363"/>
        <v>4.9688283166283001E-2</v>
      </c>
    </row>
    <row r="276" spans="1:195" x14ac:dyDescent="0.2">
      <c r="A276" s="1071" t="s">
        <v>182</v>
      </c>
      <c r="B276" s="1071" t="str">
        <f>Technologies!C162</f>
        <v>THSCNGC</v>
      </c>
      <c r="C276" s="1071" t="str">
        <f>Technologies!D162</f>
        <v>Heavy Truck, Short Haul, Conventional CNG</v>
      </c>
      <c r="D276" s="1071" t="str">
        <f>NewTech!D109</f>
        <v>bn-vmt, bn-vmt/a</v>
      </c>
      <c r="E276" s="1071" t="str">
        <f>Commodities!C$58</f>
        <v>THCNG</v>
      </c>
      <c r="F276" s="1071" t="s">
        <v>98</v>
      </c>
      <c r="G276" s="1110" t="s">
        <v>505</v>
      </c>
      <c r="H276" s="1110" t="s">
        <v>500</v>
      </c>
      <c r="I276" s="1112">
        <v>1</v>
      </c>
      <c r="J276" s="1111" t="str">
        <f t="shared" si="302"/>
        <v>Heavy duty short haul truck-GSL</v>
      </c>
      <c r="K276" s="1111">
        <f>SUMIFS(NewEmisData!E:E, NewEmisData!$A:$A, $G276, NewEmisData!$B:$B, $A276, NewEmisData!$C:$C, $H276, NewEmisData!$D:$D, K$6)</f>
        <v>1261.7193045716699</v>
      </c>
      <c r="L276" s="1111">
        <f>SUMIFS(NewEmisData!F:F, NewEmisData!$A:$A, $G276, NewEmisData!$B:$B, $A276, NewEmisData!$C:$C, $H276, NewEmisData!$D:$D, L$6)</f>
        <v>1249.12075772399</v>
      </c>
      <c r="M276" s="1111">
        <f>SUMIFS(NewEmisData!G:G, NewEmisData!$A:$A, $G276, NewEmisData!$B:$B, $A276, NewEmisData!$C:$C, $H276, NewEmisData!$D:$D, M$6)</f>
        <v>1645.5452306145801</v>
      </c>
      <c r="N276" s="1111">
        <f>SUMIFS(NewEmisData!H:H, NewEmisData!$A:$A, $G276, NewEmisData!$B:$B, $A276, NewEmisData!$C:$C, $H276, NewEmisData!$D:$D, N$6)</f>
        <v>1615.5067230397001</v>
      </c>
      <c r="O276" s="1111">
        <f>SUMIFS(NewEmisData!I:I, NewEmisData!$A:$A, $G276, NewEmisData!$B:$B, $A276, NewEmisData!$C:$C, $H276, NewEmisData!$D:$D, O$6)</f>
        <v>1561.96512576184</v>
      </c>
      <c r="P276" s="1111">
        <f>SUMIFS(NewEmisData!J:J, NewEmisData!$A:$A, $G276, NewEmisData!$B:$B, $A276, NewEmisData!$C:$C, $H276, NewEmisData!$D:$D, P$6)</f>
        <v>1548.35062809069</v>
      </c>
      <c r="Q276" s="1111">
        <f>SUMIFS(NewEmisData!K:K, NewEmisData!$A:$A, $G276, NewEmisData!$B:$B, $A276, NewEmisData!$C:$C, $H276, NewEmisData!$D:$D, Q$6)</f>
        <v>1545.11245308096</v>
      </c>
      <c r="R276" s="1111">
        <f>SUMIFS(NewEmisData!L:L, NewEmisData!$A:$A, $G276, NewEmisData!$B:$B, $A276, NewEmisData!$C:$C, $H276, NewEmisData!$D:$D, R$6)</f>
        <v>1544.5579062120401</v>
      </c>
      <c r="S276" s="1111">
        <f>SUMIFS(NewEmisData!M:M, NewEmisData!$A:$A, $G276, NewEmisData!$B:$B, $A276, NewEmisData!$C:$C, $H276, NewEmisData!$D:$D, S$6)</f>
        <v>1544.55231111378</v>
      </c>
      <c r="T276" s="1111">
        <f t="shared" si="364"/>
        <v>1544.55231111378</v>
      </c>
      <c r="U276" s="1111">
        <f>SUMIFS(NewEmisData!E:E, NewEmisData!$A:$A, $G276, NewEmisData!$B:$B, $A276, NewEmisData!$C:$C, $H276, NewEmisData!$D:$D, U$6)</f>
        <v>5.0421157380649202</v>
      </c>
      <c r="V276" s="1111">
        <f>SUMIFS(NewEmisData!F:F, NewEmisData!$A:$A, $G276, NewEmisData!$B:$B, $A276, NewEmisData!$C:$C, $H276, NewEmisData!$D:$D, V$6)</f>
        <v>2.6891275593082402</v>
      </c>
      <c r="W276" s="1111">
        <f>SUMIFS(NewEmisData!G:G, NewEmisData!$A:$A, $G276, NewEmisData!$B:$B, $A276, NewEmisData!$C:$C, $H276, NewEmisData!$D:$D, W$6)</f>
        <v>1.59672970269866</v>
      </c>
      <c r="X276" s="1111">
        <f>SUMIFS(NewEmisData!H:H, NewEmisData!$A:$A, $G276, NewEmisData!$B:$B, $A276, NewEmisData!$C:$C, $H276, NewEmisData!$D:$D, X$6)</f>
        <v>1.2533988169049</v>
      </c>
      <c r="Y276" s="1111">
        <f>SUMIFS(NewEmisData!I:I, NewEmisData!$A:$A, $G276, NewEmisData!$B:$B, $A276, NewEmisData!$C:$C, $H276, NewEmisData!$D:$D, Y$6)</f>
        <v>1.1377603861924299</v>
      </c>
      <c r="Z276" s="1111">
        <f>SUMIFS(NewEmisData!J:J, NewEmisData!$A:$A, $G276, NewEmisData!$B:$B, $A276, NewEmisData!$C:$C, $H276, NewEmisData!$D:$D, Z$6)</f>
        <v>1.11657517091755</v>
      </c>
      <c r="AA276" s="1111">
        <f>SUMIFS(NewEmisData!K:K, NewEmisData!$A:$A, $G276, NewEmisData!$B:$B, $A276, NewEmisData!$C:$C, $H276, NewEmisData!$D:$D, AA$6)</f>
        <v>1.10785037464988</v>
      </c>
      <c r="AB276" s="1111">
        <f>SUMIFS(NewEmisData!L:L, NewEmisData!$A:$A, $G276, NewEmisData!$B:$B, $A276, NewEmisData!$C:$C, $H276, NewEmisData!$D:$D, AB$6)</f>
        <v>1.10808970467776</v>
      </c>
      <c r="AC276" s="1111">
        <f>SUMIFS(NewEmisData!M:M, NewEmisData!$A:$A, $G276, NewEmisData!$B:$B, $A276, NewEmisData!$C:$C, $H276, NewEmisData!$D:$D, AC$6)</f>
        <v>1.10829058082377</v>
      </c>
      <c r="AD276" s="1111">
        <f t="shared" si="321"/>
        <v>1.10829058082377</v>
      </c>
      <c r="AE276" s="1111">
        <f t="shared" si="430"/>
        <v>2.18321680952577E-2</v>
      </c>
      <c r="AF276" s="1111">
        <f>SUMIFS(NewEmisData!E:E, NewEmisData!$A:$A, $G276, NewEmisData!$B:$B, $A276, NewEmisData!$C:$C, $H276, NewEmisData!$D:$D, AF$6)</f>
        <v>2.18321680952577E-2</v>
      </c>
      <c r="AG276" s="1111">
        <f>SUMIFS(NewEmisData!F:F, NewEmisData!$A:$A, $G276, NewEmisData!$B:$B, $A276, NewEmisData!$C:$C, $H276, NewEmisData!$D:$D, AG$6)</f>
        <v>2.1614175028351099E-2</v>
      </c>
      <c r="AH276" s="1111">
        <f>SUMIFS(NewEmisData!G:G, NewEmisData!$A:$A, $G276, NewEmisData!$B:$B, $A276, NewEmisData!$C:$C, $H276, NewEmisData!$D:$D, AH$6)</f>
        <v>2.3606201662977298E-2</v>
      </c>
      <c r="AI276" s="1111">
        <f>SUMIFS(NewEmisData!H:H, NewEmisData!$A:$A, $G276, NewEmisData!$B:$B, $A276, NewEmisData!$C:$C, $H276, NewEmisData!$D:$D, AI$6)</f>
        <v>2.3175292056127901E-2</v>
      </c>
      <c r="AJ276" s="1111">
        <f>SUMIFS(NewEmisData!I:I, NewEmisData!$A:$A, $G276, NewEmisData!$B:$B, $A276, NewEmisData!$C:$C, $H276, NewEmisData!$D:$D, AJ$6)</f>
        <v>2.2407191257778802E-2</v>
      </c>
      <c r="AK276" s="1111">
        <f>SUMIFS(NewEmisData!J:J, NewEmisData!$A:$A, $G276, NewEmisData!$B:$B, $A276, NewEmisData!$C:$C, $H276, NewEmisData!$D:$D, AK$6)</f>
        <v>2.2211896644643399E-2</v>
      </c>
      <c r="AL276" s="1111">
        <f>SUMIFS(NewEmisData!K:K, NewEmisData!$A:$A, $G276, NewEmisData!$B:$B, $A276, NewEmisData!$C:$C, $H276, NewEmisData!$D:$D, AL$6)</f>
        <v>2.21654317430676E-2</v>
      </c>
      <c r="AM276" s="1111">
        <f>SUMIFS(NewEmisData!L:L, NewEmisData!$A:$A, $G276, NewEmisData!$B:$B, $A276, NewEmisData!$C:$C, $H276, NewEmisData!$D:$D, AM$6)</f>
        <v>2.21574783013113E-2</v>
      </c>
      <c r="AN276" s="1111">
        <f>SUMIFS(NewEmisData!M:M, NewEmisData!$A:$A, $G276, NewEmisData!$B:$B, $A276, NewEmisData!$C:$C, $H276, NewEmisData!$D:$D, AN$6)</f>
        <v>2.21574091915673E-2</v>
      </c>
      <c r="AO276" s="1111">
        <f t="shared" si="431"/>
        <v>2.21574091915673E-2</v>
      </c>
      <c r="AP276" s="1111">
        <f t="shared" si="432"/>
        <v>0.37498220674272298</v>
      </c>
      <c r="AQ276" s="1111">
        <f>SUMIFS(NewEmisData!E:E, NewEmisData!$A:$A, $G276, NewEmisData!$B:$B, $A276, NewEmisData!$C:$C, $H276, NewEmisData!$D:$D, AQ$6)</f>
        <v>0.37498220674272298</v>
      </c>
      <c r="AR276" s="1111">
        <f>SUMIFS(NewEmisData!F:F, NewEmisData!$A:$A, $G276, NewEmisData!$B:$B, $A276, NewEmisData!$C:$C, $H276, NewEmisData!$D:$D, AR$6)</f>
        <v>0.30800096091118401</v>
      </c>
      <c r="AS276" s="1111">
        <f>SUMIFS(NewEmisData!G:G, NewEmisData!$A:$A, $G276, NewEmisData!$B:$B, $A276, NewEmisData!$C:$C, $H276, NewEmisData!$D:$D, AS$6)</f>
        <v>0.47876990917977102</v>
      </c>
      <c r="AT276" s="1111">
        <f>SUMIFS(NewEmisData!H:H, NewEmisData!$A:$A, $G276, NewEmisData!$B:$B, $A276, NewEmisData!$C:$C, $H276, NewEmisData!$D:$D, AT$6)</f>
        <v>0.47474601446343401</v>
      </c>
      <c r="AU276" s="1111">
        <f>SUMIFS(NewEmisData!I:I, NewEmisData!$A:$A, $G276, NewEmisData!$B:$B, $A276, NewEmisData!$C:$C, $H276, NewEmisData!$D:$D, AU$6)</f>
        <v>0.462592935753106</v>
      </c>
      <c r="AV276" s="1111">
        <f>SUMIFS(NewEmisData!J:J, NewEmisData!$A:$A, $G276, NewEmisData!$B:$B, $A276, NewEmisData!$C:$C, $H276, NewEmisData!$D:$D, AV$6)</f>
        <v>0.45943594701357998</v>
      </c>
      <c r="AW276" s="1111">
        <f>SUMIFS(NewEmisData!K:K, NewEmisData!$A:$A, $G276, NewEmisData!$B:$B, $A276, NewEmisData!$C:$C, $H276, NewEmisData!$D:$D, AW$6)</f>
        <v>0.45873466896290599</v>
      </c>
      <c r="AX276" s="1111">
        <f>SUMIFS(NewEmisData!L:L, NewEmisData!$A:$A, $G276, NewEmisData!$B:$B, $A276, NewEmisData!$C:$C, $H276, NewEmisData!$D:$D, AX$6)</f>
        <v>0.45859669819349802</v>
      </c>
      <c r="AY276" s="1111">
        <f>SUMIFS(NewEmisData!M:M, NewEmisData!$A:$A, $G276, NewEmisData!$B:$B, $A276, NewEmisData!$C:$C, $H276, NewEmisData!$D:$D, AY$6)</f>
        <v>0.458612118231494</v>
      </c>
      <c r="AZ276" s="1111">
        <f t="shared" si="433"/>
        <v>0.458612118231494</v>
      </c>
      <c r="BA276" s="1111">
        <f t="shared" si="434"/>
        <v>0.110253629274602</v>
      </c>
      <c r="BB276" s="1111">
        <f>SUMIFS(NewEmisData!E:E, NewEmisData!$A:$A, $G276, NewEmisData!$B:$B, $A276, NewEmisData!$C:$C, $H276, NewEmisData!$D:$D, BB$6)</f>
        <v>0.110253629274602</v>
      </c>
      <c r="BC276" s="1111">
        <f>SUMIFS(NewEmisData!F:F, NewEmisData!$A:$A, $G276, NewEmisData!$B:$B, $A276, NewEmisData!$C:$C, $H276, NewEmisData!$D:$D, BC$6)</f>
        <v>5.10415619775157E-2</v>
      </c>
      <c r="BD276" s="1111">
        <f>SUMIFS(NewEmisData!G:G, NewEmisData!$A:$A, $G276, NewEmisData!$B:$B, $A276, NewEmisData!$C:$C, $H276, NewEmisData!$D:$D, BD$6)</f>
        <v>6.9684988099320805E-2</v>
      </c>
      <c r="BE276" s="1111">
        <f>SUMIFS(NewEmisData!H:H, NewEmisData!$A:$A, $G276, NewEmisData!$B:$B, $A276, NewEmisData!$C:$C, $H276, NewEmisData!$D:$D, BE$6)</f>
        <v>6.9040658676098196E-2</v>
      </c>
      <c r="BF276" s="1111">
        <f>SUMIFS(NewEmisData!I:I, NewEmisData!$A:$A, $G276, NewEmisData!$B:$B, $A276, NewEmisData!$C:$C, $H276, NewEmisData!$D:$D, BF$6)</f>
        <v>6.6765177638673803E-2</v>
      </c>
      <c r="BG276" s="1111">
        <f>SUMIFS(NewEmisData!J:J, NewEmisData!$A:$A, $G276, NewEmisData!$B:$B, $A276, NewEmisData!$C:$C, $H276, NewEmisData!$D:$D, BG$6)</f>
        <v>6.6229434848786198E-2</v>
      </c>
      <c r="BH276" s="1111">
        <f>SUMIFS(NewEmisData!K:K, NewEmisData!$A:$A, $G276, NewEmisData!$B:$B, $A276, NewEmisData!$C:$C, $H276, NewEmisData!$D:$D, BH$6)</f>
        <v>6.6102443905475594E-2</v>
      </c>
      <c r="BI276" s="1111">
        <f>SUMIFS(NewEmisData!L:L, NewEmisData!$A:$A, $G276, NewEmisData!$B:$B, $A276, NewEmisData!$C:$C, $H276, NewEmisData!$D:$D, BI$6)</f>
        <v>6.6105381584131498E-2</v>
      </c>
      <c r="BJ276" s="1111">
        <f>SUMIFS(NewEmisData!M:M, NewEmisData!$A:$A, $G276, NewEmisData!$B:$B, $A276, NewEmisData!$C:$C, $H276, NewEmisData!$D:$D, BJ$6)</f>
        <v>6.6121307340381005E-2</v>
      </c>
      <c r="BK276" s="1111">
        <f t="shared" si="435"/>
        <v>6.6121307340381005E-2</v>
      </c>
      <c r="BL276" s="1111">
        <f t="shared" si="436"/>
        <v>58.234105162975901</v>
      </c>
      <c r="BM276" s="1111">
        <f>SUMIFS(NewEmisData!E:E, NewEmisData!$A:$A, $G276, NewEmisData!$B:$B, $A276, NewEmisData!$C:$C, $H276, NewEmisData!$D:$D, BM$6)</f>
        <v>58.234105162975901</v>
      </c>
      <c r="BN276" s="1111">
        <f>SUMIFS(NewEmisData!F:F, NewEmisData!$A:$A, $G276, NewEmisData!$B:$B, $A276, NewEmisData!$C:$C, $H276, NewEmisData!$D:$D, BN$6)</f>
        <v>33.622567193752097</v>
      </c>
      <c r="BO276" s="1111">
        <f>SUMIFS(NewEmisData!G:G, NewEmisData!$A:$A, $G276, NewEmisData!$B:$B, $A276, NewEmisData!$C:$C, $H276, NewEmisData!$D:$D, BO$6)</f>
        <v>22.365559009141499</v>
      </c>
      <c r="BP276" s="1111">
        <f>SUMIFS(NewEmisData!H:H, NewEmisData!$A:$A, $G276, NewEmisData!$B:$B, $A276, NewEmisData!$C:$C, $H276, NewEmisData!$D:$D, BP$6)</f>
        <v>20.003128322257201</v>
      </c>
      <c r="BQ276" s="1111">
        <f>SUMIFS(NewEmisData!I:I, NewEmisData!$A:$A, $G276, NewEmisData!$B:$B, $A276, NewEmisData!$C:$C, $H276, NewEmisData!$D:$D, BQ$6)</f>
        <v>20.195447260462402</v>
      </c>
      <c r="BR276" s="1111">
        <f>SUMIFS(NewEmisData!J:J, NewEmisData!$A:$A, $G276, NewEmisData!$B:$B, $A276, NewEmisData!$C:$C, $H276, NewEmisData!$D:$D, BR$6)</f>
        <v>20.8243673392587</v>
      </c>
      <c r="BS276" s="1111">
        <f>SUMIFS(NewEmisData!K:K, NewEmisData!$A:$A, $G276, NewEmisData!$B:$B, $A276, NewEmisData!$C:$C, $H276, NewEmisData!$D:$D, BS$6)</f>
        <v>20.9804766424047</v>
      </c>
      <c r="BT276" s="1111">
        <f>SUMIFS(NewEmisData!L:L, NewEmisData!$A:$A, $G276, NewEmisData!$B:$B, $A276, NewEmisData!$C:$C, $H276, NewEmisData!$D:$D, BT$6)</f>
        <v>21.2133429593407</v>
      </c>
      <c r="BU276" s="1111">
        <f>SUMIFS(NewEmisData!M:M, NewEmisData!$A:$A, $G276, NewEmisData!$B:$B, $A276, NewEmisData!$C:$C, $H276, NewEmisData!$D:$D, BU$6)</f>
        <v>21.2954024378494</v>
      </c>
      <c r="BV276" s="1111">
        <f t="shared" si="437"/>
        <v>21.2954024378494</v>
      </c>
      <c r="BW276" s="1111">
        <f t="shared" si="438"/>
        <v>3.64761393243701</v>
      </c>
      <c r="BX276" s="1111">
        <f>SUMIFS(NewEmisData!E:E, NewEmisData!$A:$A, $G276, NewEmisData!$B:$B, $A276, NewEmisData!$C:$C, $H276, NewEmisData!$D:$D, BX$6)</f>
        <v>3.64761393243701</v>
      </c>
      <c r="BY276" s="1111">
        <f>SUMIFS(NewEmisData!F:F, NewEmisData!$A:$A, $G276, NewEmisData!$B:$B, $A276, NewEmisData!$C:$C, $H276, NewEmisData!$D:$D, BY$6)</f>
        <v>1.49818839927699</v>
      </c>
      <c r="BZ276" s="1111">
        <f>SUMIFS(NewEmisData!G:G, NewEmisData!$A:$A, $G276, NewEmisData!$B:$B, $A276, NewEmisData!$C:$C, $H276, NewEmisData!$D:$D, BZ$6)</f>
        <v>0.86599323443475895</v>
      </c>
      <c r="CA276" s="1111">
        <f>SUMIFS(NewEmisData!H:H, NewEmisData!$A:$A, $G276, NewEmisData!$B:$B, $A276, NewEmisData!$C:$C, $H276, NewEmisData!$D:$D, CA$6)</f>
        <v>0.66124009173105702</v>
      </c>
      <c r="CB276" s="1111">
        <f>SUMIFS(NewEmisData!I:I, NewEmisData!$A:$A, $G276, NewEmisData!$B:$B, $A276, NewEmisData!$C:$C, $H276, NewEmisData!$D:$D, CB$6)</f>
        <v>0.59061098160806302</v>
      </c>
      <c r="CC276" s="1111">
        <f>SUMIFS(NewEmisData!J:J, NewEmisData!$A:$A, $G276, NewEmisData!$B:$B, $A276, NewEmisData!$C:$C, $H276, NewEmisData!$D:$D, CC$6)</f>
        <v>0.58137460363365601</v>
      </c>
      <c r="CD276" s="1111">
        <f>SUMIFS(NewEmisData!K:K, NewEmisData!$A:$A, $G276, NewEmisData!$B:$B, $A276, NewEmisData!$C:$C, $H276, NewEmisData!$D:$D, CD$6)</f>
        <v>0.57503033366723</v>
      </c>
      <c r="CE276" s="1111">
        <f>SUMIFS(NewEmisData!L:L, NewEmisData!$A:$A, $G276, NewEmisData!$B:$B, $A276, NewEmisData!$C:$C, $H276, NewEmisData!$D:$D, CE$6)</f>
        <v>0.578080207454851</v>
      </c>
      <c r="CF276" s="1111">
        <f>SUMIFS(NewEmisData!M:M, NewEmisData!$A:$A, $G276, NewEmisData!$B:$B, $A276, NewEmisData!$C:$C, $H276, NewEmisData!$D:$D, CF$6)</f>
        <v>0.57875611374779701</v>
      </c>
      <c r="CG276" s="1111">
        <f t="shared" si="439"/>
        <v>0.57875611374779701</v>
      </c>
      <c r="CH276" s="1111">
        <f t="shared" si="440"/>
        <v>4.5387333445833802E-2</v>
      </c>
      <c r="CI276" s="1111">
        <f>SUMIFS(NewEmisData!E:E, NewEmisData!$A:$A, $G276, NewEmisData!$B:$B, $A276, NewEmisData!$C:$C, $H276, NewEmisData!$D:$D, CI$6)</f>
        <v>4.5387333445833802E-2</v>
      </c>
      <c r="CJ276" s="1111">
        <f>SUMIFS(NewEmisData!F:F, NewEmisData!$A:$A, $G276, NewEmisData!$B:$B, $A276, NewEmisData!$C:$C, $H276, NewEmisData!$D:$D, CJ$6)</f>
        <v>4.5385137405685602E-2</v>
      </c>
      <c r="CK276" s="1111">
        <f>SUMIFS(NewEmisData!G:G, NewEmisData!$A:$A, $G276, NewEmisData!$B:$B, $A276, NewEmisData!$C:$C, $H276, NewEmisData!$D:$D, CK$6)</f>
        <v>6.2585802863492496E-2</v>
      </c>
      <c r="CL276" s="1111">
        <f>SUMIFS(NewEmisData!H:H, NewEmisData!$A:$A, $G276, NewEmisData!$B:$B, $A276, NewEmisData!$C:$C, $H276, NewEmisData!$D:$D, CL$6)</f>
        <v>6.2570457425533493E-2</v>
      </c>
      <c r="CM276" s="1111">
        <f>SUMIFS(NewEmisData!I:I, NewEmisData!$A:$A, $G276, NewEmisData!$B:$B, $A276, NewEmisData!$C:$C, $H276, NewEmisData!$D:$D, CM$6)</f>
        <v>6.2526825017837198E-2</v>
      </c>
      <c r="CN276" s="1111">
        <f>SUMIFS(NewEmisData!J:J, NewEmisData!$A:$A, $G276, NewEmisData!$B:$B, $A276, NewEmisData!$C:$C, $H276, NewEmisData!$D:$D, CN$6)</f>
        <v>6.2515199827795506E-2</v>
      </c>
      <c r="CO276" s="1111">
        <f>SUMIFS(NewEmisData!K:K, NewEmisData!$A:$A, $G276, NewEmisData!$B:$B, $A276, NewEmisData!$C:$C, $H276, NewEmisData!$D:$D, CO$6)</f>
        <v>6.2512659799535894E-2</v>
      </c>
      <c r="CP276" s="1111">
        <f>SUMIFS(NewEmisData!L:L, NewEmisData!$A:$A, $G276, NewEmisData!$B:$B, $A276, NewEmisData!$C:$C, $H276, NewEmisData!$D:$D, CP$6)</f>
        <v>6.2511995706699006E-2</v>
      </c>
      <c r="CQ276" s="1111">
        <f>SUMIFS(NewEmisData!M:M, NewEmisData!$A:$A, $G276, NewEmisData!$B:$B, $A276, NewEmisData!$C:$C, $H276, NewEmisData!$D:$D, CQ$6)</f>
        <v>6.2512032461297801E-2</v>
      </c>
      <c r="CR276" s="1111">
        <f t="shared" si="441"/>
        <v>6.2512032461297801E-2</v>
      </c>
      <c r="CS276" s="1111">
        <f t="shared" si="442"/>
        <v>7.45806670433007E-2</v>
      </c>
      <c r="CT276" s="1111">
        <f>SUMIFS(NewEmisData!E:E, NewEmisData!$A:$A, $G276, NewEmisData!$B:$B, $A276, NewEmisData!$C:$C, $H276, NewEmisData!$D:$D, CT$6)</f>
        <v>7.45806670433007E-2</v>
      </c>
      <c r="CU276" s="1111">
        <f>SUMIFS(NewEmisData!F:F, NewEmisData!$A:$A, $G276, NewEmisData!$B:$B, $A276, NewEmisData!$C:$C, $H276, NewEmisData!$D:$D, CU$6)</f>
        <v>4.11694236212614E-2</v>
      </c>
      <c r="CV276" s="1111">
        <f>SUMIFS(NewEmisData!G:G, NewEmisData!$A:$A, $G276, NewEmisData!$B:$B, $A276, NewEmisData!$C:$C, $H276, NewEmisData!$D:$D, CV$6)</f>
        <v>2.8985978458602801E-2</v>
      </c>
      <c r="CW276" s="1111">
        <f>SUMIFS(NewEmisData!H:H, NewEmisData!$A:$A, $G276, NewEmisData!$B:$B, $A276, NewEmisData!$C:$C, $H276, NewEmisData!$D:$D, CW$6)</f>
        <v>2.0012914871466302E-2</v>
      </c>
      <c r="CX276" s="1111">
        <f>SUMIFS(NewEmisData!I:I, NewEmisData!$A:$A, $G276, NewEmisData!$B:$B, $A276, NewEmisData!$C:$C, $H276, NewEmisData!$D:$D, CX$6)</f>
        <v>1.70994949062814E-2</v>
      </c>
      <c r="CY276" s="1111">
        <f>SUMIFS(NewEmisData!J:J, NewEmisData!$A:$A, $G276, NewEmisData!$B:$B, $A276, NewEmisData!$C:$C, $H276, NewEmisData!$D:$D, CY$6)</f>
        <v>1.6621401634368399E-2</v>
      </c>
      <c r="CZ276" s="1111">
        <f>SUMIFS(NewEmisData!K:K, NewEmisData!$A:$A, $G276, NewEmisData!$B:$B, $A276, NewEmisData!$C:$C, $H276, NewEmisData!$D:$D, CZ$6)</f>
        <v>1.62276934153717E-2</v>
      </c>
      <c r="DA276" s="1111">
        <f>SUMIFS(NewEmisData!L:L, NewEmisData!$A:$A, $G276, NewEmisData!$B:$B, $A276, NewEmisData!$C:$C, $H276, NewEmisData!$D:$D, DA$6)</f>
        <v>1.6300252431035001E-2</v>
      </c>
      <c r="DB276" s="1111">
        <f>SUMIFS(NewEmisData!M:M, NewEmisData!$A:$A, $G276, NewEmisData!$B:$B, $A276, NewEmisData!$C:$C, $H276, NewEmisData!$D:$D, DB$6)</f>
        <v>1.6326186183154599E-2</v>
      </c>
      <c r="DC276" s="1111">
        <f t="shared" si="443"/>
        <v>1.6326186183154599E-2</v>
      </c>
      <c r="DD276" s="1111">
        <v>8.4618435807310901E-3</v>
      </c>
      <c r="DE276" s="1111">
        <v>5.582477734601141E-3</v>
      </c>
      <c r="DF276" s="1111">
        <v>3.3037857638444934E-3</v>
      </c>
      <c r="DG276" s="1111">
        <v>2.7435421434771584E-3</v>
      </c>
      <c r="DH276" s="1111">
        <v>2.6596327326652057E-3</v>
      </c>
      <c r="DI276" s="1111">
        <v>2.6810534446588602E-3</v>
      </c>
      <c r="DJ276" s="1111">
        <v>2.68992317602929E-3</v>
      </c>
      <c r="DK276" s="1111">
        <v>2.6843011275704282E-3</v>
      </c>
      <c r="DL276" s="1111">
        <v>2.693521842385466E-3</v>
      </c>
      <c r="DM276" s="1111">
        <v>2.7034957820921053E-3</v>
      </c>
      <c r="DN276" s="1111">
        <v>2.7034957820921053E-3</v>
      </c>
      <c r="DO276" s="1111">
        <v>2.733686553814714E-2</v>
      </c>
      <c r="DP276" s="1111">
        <v>1.8332271788011459E-2</v>
      </c>
      <c r="DQ276" s="1111">
        <v>1.0522373499872563E-2</v>
      </c>
      <c r="DR276" s="1111">
        <v>8.2106858583474232E-3</v>
      </c>
      <c r="DS276" s="1111">
        <v>8.1464823839333782E-3</v>
      </c>
      <c r="DT276" s="1111">
        <v>8.1548441301475764E-3</v>
      </c>
      <c r="DU276" s="1111">
        <v>8.1625855885729438E-3</v>
      </c>
      <c r="DV276" s="1111">
        <v>8.1414389894490409E-3</v>
      </c>
      <c r="DW276" s="1111">
        <v>8.1579958309337917E-3</v>
      </c>
      <c r="DX276" s="1111">
        <v>8.1758856290748885E-3</v>
      </c>
      <c r="DY276" s="1111">
        <v>8.1758856290748885E-3</v>
      </c>
      <c r="DZ276" s="1111">
        <f t="shared" si="444"/>
        <v>0.17782774655845099</v>
      </c>
      <c r="EA276" s="1111">
        <f>SUMIFS(NewEmisData!E:E, NewEmisData!$A:$A, $G276, NewEmisData!$B:$B, $A276, NewEmisData!$C:$C, $H276, NewEmisData!$D:$D, EA$6)</f>
        <v>0.17782774655845099</v>
      </c>
      <c r="EB276" s="1111">
        <f>SUMIFS(NewEmisData!F:F, NewEmisData!$A:$A, $G276, NewEmisData!$B:$B, $A276, NewEmisData!$C:$C, $H276, NewEmisData!$D:$D, EB$6)</f>
        <v>4.9445543705968001E-2</v>
      </c>
      <c r="EC276" s="1111">
        <f>SUMIFS(NewEmisData!G:G, NewEmisData!$A:$A, $G276, NewEmisData!$B:$B, $A276, NewEmisData!$C:$C, $H276, NewEmisData!$D:$D, EC$6)</f>
        <v>2.14914790323418E-2</v>
      </c>
      <c r="ED276" s="1111">
        <f>SUMIFS(NewEmisData!H:H, NewEmisData!$A:$A, $G276, NewEmisData!$B:$B, $A276, NewEmisData!$C:$C, $H276, NewEmisData!$D:$D, ED$6)</f>
        <v>1.74631086819735E-2</v>
      </c>
      <c r="EE276" s="1111">
        <f>SUMIFS(NewEmisData!I:I, NewEmisData!$A:$A, $G276, NewEmisData!$B:$B, $A276, NewEmisData!$C:$C, $H276, NewEmisData!$D:$D, EE$6)</f>
        <v>1.7306502140019699E-2</v>
      </c>
      <c r="EF276" s="1111">
        <f>SUMIFS(NewEmisData!J:J, NewEmisData!$A:$A, $G276, NewEmisData!$B:$B, $A276, NewEmisData!$C:$C, $H276, NewEmisData!$D:$D, EF$6)</f>
        <v>1.77413796860907E-2</v>
      </c>
      <c r="EG276" s="1111">
        <f>SUMIFS(NewEmisData!K:K, NewEmisData!$A:$A, $G276, NewEmisData!$B:$B, $A276, NewEmisData!$C:$C, $H276, NewEmisData!$D:$D, EG$6)</f>
        <v>1.7873917726394802E-2</v>
      </c>
      <c r="EH276" s="1111">
        <f>SUMIFS(NewEmisData!L:L, NewEmisData!$A:$A, $G276, NewEmisData!$B:$B, $A276, NewEmisData!$C:$C, $H276, NewEmisData!$D:$D, EH$6)</f>
        <v>1.8044608652160399E-2</v>
      </c>
      <c r="EI276" s="1111">
        <f>SUMIFS(NewEmisData!M:M, NewEmisData!$A:$A, $G276, NewEmisData!$B:$B, $A276, NewEmisData!$C:$C, $H276, NewEmisData!$D:$D, EI$6)</f>
        <v>1.8102357634055401E-2</v>
      </c>
      <c r="EJ276" s="1111">
        <f t="shared" si="445"/>
        <v>1.8102357634055401E-2</v>
      </c>
      <c r="EK276" s="1111">
        <f t="shared" si="446"/>
        <v>1261.7193045716699</v>
      </c>
      <c r="EL276" s="1111">
        <f t="shared" si="343"/>
        <v>1261.7193045716699</v>
      </c>
      <c r="EM276" s="1111">
        <f t="shared" si="344"/>
        <v>1249.12075772399</v>
      </c>
      <c r="EN276" s="1111">
        <f t="shared" si="345"/>
        <v>1645.5452306145801</v>
      </c>
      <c r="EO276" s="1111">
        <f t="shared" si="346"/>
        <v>1615.5067230397001</v>
      </c>
      <c r="EP276" s="1111">
        <f t="shared" si="347"/>
        <v>1561.96512576184</v>
      </c>
      <c r="EQ276" s="1111">
        <f t="shared" si="348"/>
        <v>1548.35062809069</v>
      </c>
      <c r="ER276" s="1111">
        <f t="shared" si="349"/>
        <v>1545.11245308096</v>
      </c>
      <c r="ES276" s="1111">
        <f t="shared" si="350"/>
        <v>1544.5579062120401</v>
      </c>
      <c r="ET276" s="1111">
        <f t="shared" si="351"/>
        <v>1544.55231111378</v>
      </c>
      <c r="EU276" s="1111">
        <f t="shared" si="352"/>
        <v>1544.55231111378</v>
      </c>
      <c r="EV276" s="1111">
        <f t="shared" si="447"/>
        <v>5.0421157380649202</v>
      </c>
      <c r="EW276" s="1111">
        <f t="shared" si="333"/>
        <v>5.0421157380649202</v>
      </c>
      <c r="EX276" s="1111">
        <f t="shared" si="334"/>
        <v>2.6891275593082402</v>
      </c>
      <c r="EY276" s="1111">
        <f t="shared" si="335"/>
        <v>1.59672970269866</v>
      </c>
      <c r="EZ276" s="1111">
        <f t="shared" si="336"/>
        <v>1.2533988169049</v>
      </c>
      <c r="FA276" s="1111">
        <f t="shared" si="337"/>
        <v>1.1377603861924299</v>
      </c>
      <c r="FB276" s="1111">
        <f t="shared" si="338"/>
        <v>1.11657517091755</v>
      </c>
      <c r="FC276" s="1111">
        <f t="shared" si="339"/>
        <v>1.10785037464988</v>
      </c>
      <c r="FD276" s="1111">
        <f t="shared" si="340"/>
        <v>1.10808970467776</v>
      </c>
      <c r="FE276" s="1111">
        <f t="shared" si="341"/>
        <v>1.10829058082377</v>
      </c>
      <c r="FF276" s="1111">
        <f t="shared" si="342"/>
        <v>1.10829058082377</v>
      </c>
      <c r="FG276" s="1111">
        <f t="shared" si="389"/>
        <v>2.18321680952577E-2</v>
      </c>
      <c r="FH276" s="1111">
        <f t="shared" si="390"/>
        <v>2.18321680952577E-2</v>
      </c>
      <c r="FI276" s="1111">
        <f t="shared" si="391"/>
        <v>2.1614175028351099E-2</v>
      </c>
      <c r="FJ276" s="1111">
        <f t="shared" si="392"/>
        <v>2.3606201662977298E-2</v>
      </c>
      <c r="FK276" s="1111">
        <f t="shared" si="393"/>
        <v>2.3175292056127901E-2</v>
      </c>
      <c r="FL276" s="1111">
        <f t="shared" si="394"/>
        <v>2.2407191257778802E-2</v>
      </c>
      <c r="FM276" s="1111">
        <f t="shared" si="395"/>
        <v>2.2211896644643399E-2</v>
      </c>
      <c r="FN276" s="1111">
        <f t="shared" si="396"/>
        <v>2.21654317430676E-2</v>
      </c>
      <c r="FO276" s="1111">
        <f t="shared" si="397"/>
        <v>2.21574783013113E-2</v>
      </c>
      <c r="FP276" s="1111">
        <f t="shared" si="398"/>
        <v>2.21574091915673E-2</v>
      </c>
      <c r="FQ276" s="1111">
        <f t="shared" si="399"/>
        <v>2.21574091915673E-2</v>
      </c>
      <c r="FR276" s="1111">
        <f t="shared" si="322"/>
        <v>0.37498220674272298</v>
      </c>
      <c r="FS276" s="1111">
        <f t="shared" si="323"/>
        <v>0.37498220674272298</v>
      </c>
      <c r="FT276" s="1111">
        <f t="shared" si="324"/>
        <v>0.30800096091118401</v>
      </c>
      <c r="FU276" s="1111">
        <f t="shared" si="325"/>
        <v>0.47876990917977102</v>
      </c>
      <c r="FV276" s="1111">
        <f t="shared" si="326"/>
        <v>0.47474601446343401</v>
      </c>
      <c r="FW276" s="1111">
        <f t="shared" si="327"/>
        <v>0.462592935753106</v>
      </c>
      <c r="FX276" s="1111">
        <f t="shared" si="328"/>
        <v>0.45943594701357998</v>
      </c>
      <c r="FY276" s="1111">
        <f t="shared" si="329"/>
        <v>0.45873466896290599</v>
      </c>
      <c r="FZ276" s="1111">
        <f t="shared" si="330"/>
        <v>0.45859669819349802</v>
      </c>
      <c r="GA276" s="1111">
        <f t="shared" si="331"/>
        <v>0.458612118231494</v>
      </c>
      <c r="GB276" s="1111">
        <f t="shared" si="332"/>
        <v>0.458612118231494</v>
      </c>
      <c r="GC276" s="1111">
        <f t="shared" si="353"/>
        <v>0.110253629274602</v>
      </c>
      <c r="GD276" s="1111">
        <f t="shared" si="354"/>
        <v>0.110253629274602</v>
      </c>
      <c r="GE276" s="1111">
        <f t="shared" si="355"/>
        <v>5.10415619775157E-2</v>
      </c>
      <c r="GF276" s="1111">
        <f t="shared" si="356"/>
        <v>6.9684988099320805E-2</v>
      </c>
      <c r="GG276" s="1111">
        <f t="shared" si="357"/>
        <v>6.9040658676098196E-2</v>
      </c>
      <c r="GH276" s="1111">
        <f t="shared" si="358"/>
        <v>6.6765177638673803E-2</v>
      </c>
      <c r="GI276" s="1111">
        <f t="shared" si="359"/>
        <v>6.6229434848786198E-2</v>
      </c>
      <c r="GJ276" s="1111">
        <f t="shared" si="360"/>
        <v>6.6102443905475594E-2</v>
      </c>
      <c r="GK276" s="1111">
        <f t="shared" si="361"/>
        <v>6.6105381584131498E-2</v>
      </c>
      <c r="GL276" s="1111">
        <f t="shared" si="362"/>
        <v>6.6121307340381005E-2</v>
      </c>
      <c r="GM276" s="1111">
        <f t="shared" si="363"/>
        <v>6.6121307340381005E-2</v>
      </c>
    </row>
    <row r="277" spans="1:195" x14ac:dyDescent="0.2">
      <c r="A277" s="1071" t="s">
        <v>184</v>
      </c>
      <c r="B277" s="1071" t="str">
        <f>Technologies!C162</f>
        <v>THSCNGC</v>
      </c>
      <c r="C277" s="1071" t="str">
        <f>Technologies!D162</f>
        <v>Heavy Truck, Short Haul, Conventional CNG</v>
      </c>
      <c r="D277" s="1071" t="str">
        <f>NewTech!D109</f>
        <v>bn-vmt, bn-vmt/a</v>
      </c>
      <c r="E277" s="1071" t="str">
        <f>Commodities!C$58</f>
        <v>THCNG</v>
      </c>
      <c r="F277" s="1071" t="s">
        <v>98</v>
      </c>
      <c r="G277" s="1110" t="s">
        <v>505</v>
      </c>
      <c r="H277" s="1110" t="s">
        <v>500</v>
      </c>
      <c r="I277" s="1112">
        <v>1</v>
      </c>
      <c r="J277" s="1111" t="str">
        <f t="shared" si="302"/>
        <v>Heavy duty short haul truck-GSL</v>
      </c>
      <c r="K277" s="1111">
        <f>SUMIFS(NewEmisData!E:E, NewEmisData!$A:$A, $G277, NewEmisData!$B:$B, $A277, NewEmisData!$C:$C, $H277, NewEmisData!$D:$D, K$6)</f>
        <v>1130.1167624525301</v>
      </c>
      <c r="L277" s="1111">
        <f>SUMIFS(NewEmisData!F:F, NewEmisData!$A:$A, $G277, NewEmisData!$B:$B, $A277, NewEmisData!$C:$C, $H277, NewEmisData!$D:$D, L$6)</f>
        <v>1130.8984145920599</v>
      </c>
      <c r="M277" s="1111">
        <f>SUMIFS(NewEmisData!G:G, NewEmisData!$A:$A, $G277, NewEmisData!$B:$B, $A277, NewEmisData!$C:$C, $H277, NewEmisData!$D:$D, M$6)</f>
        <v>1405.3513402599599</v>
      </c>
      <c r="N277" s="1111">
        <f>SUMIFS(NewEmisData!H:H, NewEmisData!$A:$A, $G277, NewEmisData!$B:$B, $A277, NewEmisData!$C:$C, $H277, NewEmisData!$D:$D, N$6)</f>
        <v>1379.6052405171799</v>
      </c>
      <c r="O277" s="1111">
        <f>SUMIFS(NewEmisData!I:I, NewEmisData!$A:$A, $G277, NewEmisData!$B:$B, $A277, NewEmisData!$C:$C, $H277, NewEmisData!$D:$D, O$6)</f>
        <v>1334.4147184286501</v>
      </c>
      <c r="P277" s="1111">
        <f>SUMIFS(NewEmisData!J:J, NewEmisData!$A:$A, $G277, NewEmisData!$B:$B, $A277, NewEmisData!$C:$C, $H277, NewEmisData!$D:$D, P$6)</f>
        <v>1322.9454628220101</v>
      </c>
      <c r="Q277" s="1111">
        <f>SUMIFS(NewEmisData!K:K, NewEmisData!$A:$A, $G277, NewEmisData!$B:$B, $A277, NewEmisData!$C:$C, $H277, NewEmisData!$D:$D, Q$6)</f>
        <v>1320.2157375614299</v>
      </c>
      <c r="R277" s="1111">
        <f>SUMIFS(NewEmisData!L:L, NewEmisData!$A:$A, $G277, NewEmisData!$B:$B, $A277, NewEmisData!$C:$C, $H277, NewEmisData!$D:$D, R$6)</f>
        <v>1319.7277214958499</v>
      </c>
      <c r="S277" s="1111">
        <f>SUMIFS(NewEmisData!M:M, NewEmisData!$A:$A, $G277, NewEmisData!$B:$B, $A277, NewEmisData!$C:$C, $H277, NewEmisData!$D:$D, S$6)</f>
        <v>1319.71246990391</v>
      </c>
      <c r="T277" s="1111">
        <f t="shared" si="364"/>
        <v>1319.71246990391</v>
      </c>
      <c r="U277" s="1111">
        <f>SUMIFS(NewEmisData!E:E, NewEmisData!$A:$A, $G277, NewEmisData!$B:$B, $A277, NewEmisData!$C:$C, $H277, NewEmisData!$D:$D, U$6)</f>
        <v>4.0566113456988298</v>
      </c>
      <c r="V277" s="1111">
        <f>SUMIFS(NewEmisData!F:F, NewEmisData!$A:$A, $G277, NewEmisData!$B:$B, $A277, NewEmisData!$C:$C, $H277, NewEmisData!$D:$D, V$6)</f>
        <v>2.5724270871349901</v>
      </c>
      <c r="W277" s="1111">
        <f>SUMIFS(NewEmisData!G:G, NewEmisData!$A:$A, $G277, NewEmisData!$B:$B, $A277, NewEmisData!$C:$C, $H277, NewEmisData!$D:$D, W$6)</f>
        <v>1.4424895677524801</v>
      </c>
      <c r="X277" s="1111">
        <f>SUMIFS(NewEmisData!H:H, NewEmisData!$A:$A, $G277, NewEmisData!$B:$B, $A277, NewEmisData!$C:$C, $H277, NewEmisData!$D:$D, X$6)</f>
        <v>1.13924742539507</v>
      </c>
      <c r="Y277" s="1111">
        <f>SUMIFS(NewEmisData!I:I, NewEmisData!$A:$A, $G277, NewEmisData!$B:$B, $A277, NewEmisData!$C:$C, $H277, NewEmisData!$D:$D, Y$6)</f>
        <v>1.03965564636638</v>
      </c>
      <c r="Z277" s="1111">
        <f>SUMIFS(NewEmisData!J:J, NewEmisData!$A:$A, $G277, NewEmisData!$B:$B, $A277, NewEmisData!$C:$C, $H277, NewEmisData!$D:$D, Z$6)</f>
        <v>1.02198349229239</v>
      </c>
      <c r="AA277" s="1111">
        <f>SUMIFS(NewEmisData!K:K, NewEmisData!$A:$A, $G277, NewEmisData!$B:$B, $A277, NewEmisData!$C:$C, $H277, NewEmisData!$D:$D, AA$6)</f>
        <v>1.0148563657413801</v>
      </c>
      <c r="AB277" s="1111">
        <f>SUMIFS(NewEmisData!L:L, NewEmisData!$A:$A, $G277, NewEmisData!$B:$B, $A277, NewEmisData!$C:$C, $H277, NewEmisData!$D:$D, AB$6)</f>
        <v>1.01503532465236</v>
      </c>
      <c r="AC277" s="1111">
        <f>SUMIFS(NewEmisData!M:M, NewEmisData!$A:$A, $G277, NewEmisData!$B:$B, $A277, NewEmisData!$C:$C, $H277, NewEmisData!$D:$D, AC$6)</f>
        <v>1.0151899457145299</v>
      </c>
      <c r="AD277" s="1111">
        <f t="shared" si="321"/>
        <v>1.0151899457145299</v>
      </c>
      <c r="AE277" s="1111">
        <f t="shared" si="430"/>
        <v>1.9554990283156898E-2</v>
      </c>
      <c r="AF277" s="1111">
        <f>SUMIFS(NewEmisData!E:E, NewEmisData!$A:$A, $G277, NewEmisData!$B:$B, $A277, NewEmisData!$C:$C, $H277, NewEmisData!$D:$D, AF$6)</f>
        <v>1.9554990283156898E-2</v>
      </c>
      <c r="AG277" s="1111">
        <f>SUMIFS(NewEmisData!F:F, NewEmisData!$A:$A, $G277, NewEmisData!$B:$B, $A277, NewEmisData!$C:$C, $H277, NewEmisData!$D:$D, AG$6)</f>
        <v>1.95685182638505E-2</v>
      </c>
      <c r="AH277" s="1111">
        <f>SUMIFS(NewEmisData!G:G, NewEmisData!$A:$A, $G277, NewEmisData!$B:$B, $A277, NewEmisData!$C:$C, $H277, NewEmisData!$D:$D, AH$6)</f>
        <v>2.01604922584692E-2</v>
      </c>
      <c r="AI277" s="1111">
        <f>SUMIFS(NewEmisData!H:H, NewEmisData!$A:$A, $G277, NewEmisData!$B:$B, $A277, NewEmisData!$C:$C, $H277, NewEmisData!$D:$D, AI$6)</f>
        <v>1.97911521572584E-2</v>
      </c>
      <c r="AJ277" s="1111">
        <f>SUMIFS(NewEmisData!I:I, NewEmisData!$A:$A, $G277, NewEmisData!$B:$B, $A277, NewEmisData!$C:$C, $H277, NewEmisData!$D:$D, AJ$6)</f>
        <v>1.9142873562620798E-2</v>
      </c>
      <c r="AK277" s="1111">
        <f>SUMIFS(NewEmisData!J:J, NewEmisData!$A:$A, $G277, NewEmisData!$B:$B, $A277, NewEmisData!$C:$C, $H277, NewEmisData!$D:$D, AK$6)</f>
        <v>1.89783356086532E-2</v>
      </c>
      <c r="AL277" s="1111">
        <f>SUMIFS(NewEmisData!K:K, NewEmisData!$A:$A, $G277, NewEmisData!$B:$B, $A277, NewEmisData!$C:$C, $H277, NewEmisData!$D:$D, AL$6)</f>
        <v>1.8939180344523601E-2</v>
      </c>
      <c r="AM277" s="1111">
        <f>SUMIFS(NewEmisData!L:L, NewEmisData!$A:$A, $G277, NewEmisData!$B:$B, $A277, NewEmisData!$C:$C, $H277, NewEmisData!$D:$D, AM$6)</f>
        <v>1.8932175415884701E-2</v>
      </c>
      <c r="AN277" s="1111">
        <f>SUMIFS(NewEmisData!M:M, NewEmisData!$A:$A, $G277, NewEmisData!$B:$B, $A277, NewEmisData!$C:$C, $H277, NewEmisData!$D:$D, AN$6)</f>
        <v>1.89319567223225E-2</v>
      </c>
      <c r="AO277" s="1111">
        <f t="shared" si="431"/>
        <v>1.89319567223225E-2</v>
      </c>
      <c r="AP277" s="1111">
        <f t="shared" si="432"/>
        <v>0.25577646184958402</v>
      </c>
      <c r="AQ277" s="1111">
        <f>SUMIFS(NewEmisData!E:E, NewEmisData!$A:$A, $G277, NewEmisData!$B:$B, $A277, NewEmisData!$C:$C, $H277, NewEmisData!$D:$D, AQ$6)</f>
        <v>0.25577646184958402</v>
      </c>
      <c r="AR277" s="1111">
        <f>SUMIFS(NewEmisData!F:F, NewEmisData!$A:$A, $G277, NewEmisData!$B:$B, $A277, NewEmisData!$C:$C, $H277, NewEmisData!$D:$D, AR$6)</f>
        <v>0.23859206785442999</v>
      </c>
      <c r="AS277" s="1111">
        <f>SUMIFS(NewEmisData!G:G, NewEmisData!$A:$A, $G277, NewEmisData!$B:$B, $A277, NewEmisData!$C:$C, $H277, NewEmisData!$D:$D, AS$6)</f>
        <v>0.351764857744302</v>
      </c>
      <c r="AT277" s="1111">
        <f>SUMIFS(NewEmisData!H:H, NewEmisData!$A:$A, $G277, NewEmisData!$B:$B, $A277, NewEmisData!$C:$C, $H277, NewEmisData!$D:$D, AT$6)</f>
        <v>0.34931824303782499</v>
      </c>
      <c r="AU277" s="1111">
        <f>SUMIFS(NewEmisData!I:I, NewEmisData!$A:$A, $G277, NewEmisData!$B:$B, $A277, NewEmisData!$C:$C, $H277, NewEmisData!$D:$D, AU$6)</f>
        <v>0.34154946312290901</v>
      </c>
      <c r="AV277" s="1111">
        <f>SUMIFS(NewEmisData!J:J, NewEmisData!$A:$A, $G277, NewEmisData!$B:$B, $A277, NewEmisData!$C:$C, $H277, NewEmisData!$D:$D, AV$6)</f>
        <v>0.33956199269290699</v>
      </c>
      <c r="AW277" s="1111">
        <f>SUMIFS(NewEmisData!K:K, NewEmisData!$A:$A, $G277, NewEmisData!$B:$B, $A277, NewEmisData!$C:$C, $H277, NewEmisData!$D:$D, AW$6)</f>
        <v>0.33912280958847202</v>
      </c>
      <c r="AX277" s="1111">
        <f>SUMIFS(NewEmisData!L:L, NewEmisData!$A:$A, $G277, NewEmisData!$B:$B, $A277, NewEmisData!$C:$C, $H277, NewEmisData!$D:$D, AX$6)</f>
        <v>0.33904138785011401</v>
      </c>
      <c r="AY277" s="1111">
        <f>SUMIFS(NewEmisData!M:M, NewEmisData!$A:$A, $G277, NewEmisData!$B:$B, $A277, NewEmisData!$C:$C, $H277, NewEmisData!$D:$D, AY$6)</f>
        <v>0.33905343527213999</v>
      </c>
      <c r="AZ277" s="1111">
        <f t="shared" si="433"/>
        <v>0.33905343527213999</v>
      </c>
      <c r="BA277" s="1111">
        <f t="shared" si="434"/>
        <v>5.4814467904693999E-2</v>
      </c>
      <c r="BB277" s="1111">
        <f>SUMIFS(NewEmisData!E:E, NewEmisData!$A:$A, $G277, NewEmisData!$B:$B, $A277, NewEmisData!$C:$C, $H277, NewEmisData!$D:$D, BB$6)</f>
        <v>5.4814467904693999E-2</v>
      </c>
      <c r="BC277" s="1111">
        <f>SUMIFS(NewEmisData!F:F, NewEmisData!$A:$A, $G277, NewEmisData!$B:$B, $A277, NewEmisData!$C:$C, $H277, NewEmisData!$D:$D, BC$6)</f>
        <v>3.9660843522864801E-2</v>
      </c>
      <c r="BD277" s="1111">
        <f>SUMIFS(NewEmisData!G:G, NewEmisData!$A:$A, $G277, NewEmisData!$B:$B, $A277, NewEmisData!$C:$C, $H277, NewEmisData!$D:$D, BD$6)</f>
        <v>5.2889801360665199E-2</v>
      </c>
      <c r="BE277" s="1111">
        <f>SUMIFS(NewEmisData!H:H, NewEmisData!$A:$A, $G277, NewEmisData!$B:$B, $A277, NewEmisData!$C:$C, $H277, NewEmisData!$D:$D, BE$6)</f>
        <v>5.2551386947303103E-2</v>
      </c>
      <c r="BF277" s="1111">
        <f>SUMIFS(NewEmisData!I:I, NewEmisData!$A:$A, $G277, NewEmisData!$B:$B, $A277, NewEmisData!$C:$C, $H277, NewEmisData!$D:$D, BF$6)</f>
        <v>5.0945334073008497E-2</v>
      </c>
      <c r="BG277" s="1111">
        <f>SUMIFS(NewEmisData!J:J, NewEmisData!$A:$A, $G277, NewEmisData!$B:$B, $A277, NewEmisData!$C:$C, $H277, NewEmisData!$D:$D, BG$6)</f>
        <v>5.0580577350149397E-2</v>
      </c>
      <c r="BH277" s="1111">
        <f>SUMIFS(NewEmisData!K:K, NewEmisData!$A:$A, $G277, NewEmisData!$B:$B, $A277, NewEmisData!$C:$C, $H277, NewEmisData!$D:$D, BH$6)</f>
        <v>5.0495841537682197E-2</v>
      </c>
      <c r="BI277" s="1111">
        <f>SUMIFS(NewEmisData!L:L, NewEmisData!$A:$A, $G277, NewEmisData!$B:$B, $A277, NewEmisData!$C:$C, $H277, NewEmisData!$D:$D, BI$6)</f>
        <v>5.0500593811481399E-2</v>
      </c>
      <c r="BJ277" s="1111">
        <f>SUMIFS(NewEmisData!M:M, NewEmisData!$A:$A, $G277, NewEmisData!$B:$B, $A277, NewEmisData!$C:$C, $H277, NewEmisData!$D:$D, BJ$6)</f>
        <v>5.0513012114000298E-2</v>
      </c>
      <c r="BK277" s="1111">
        <f t="shared" si="435"/>
        <v>5.0513012114000298E-2</v>
      </c>
      <c r="BL277" s="1111">
        <f t="shared" si="436"/>
        <v>32.184051509772999</v>
      </c>
      <c r="BM277" s="1111">
        <f>SUMIFS(NewEmisData!E:E, NewEmisData!$A:$A, $G277, NewEmisData!$B:$B, $A277, NewEmisData!$C:$C, $H277, NewEmisData!$D:$D, BM$6)</f>
        <v>32.184051509772999</v>
      </c>
      <c r="BN277" s="1111">
        <f>SUMIFS(NewEmisData!F:F, NewEmisData!$A:$A, $G277, NewEmisData!$B:$B, $A277, NewEmisData!$C:$C, $H277, NewEmisData!$D:$D, BN$6)</f>
        <v>25.790545556992701</v>
      </c>
      <c r="BO277" s="1111">
        <f>SUMIFS(NewEmisData!G:G, NewEmisData!$A:$A, $G277, NewEmisData!$B:$B, $A277, NewEmisData!$C:$C, $H277, NewEmisData!$D:$D, BO$6)</f>
        <v>17.593987471051999</v>
      </c>
      <c r="BP277" s="1111">
        <f>SUMIFS(NewEmisData!H:H, NewEmisData!$A:$A, $G277, NewEmisData!$B:$B, $A277, NewEmisData!$C:$C, $H277, NewEmisData!$D:$D, BP$6)</f>
        <v>15.548032809457499</v>
      </c>
      <c r="BQ277" s="1111">
        <f>SUMIFS(NewEmisData!I:I, NewEmisData!$A:$A, $G277, NewEmisData!$B:$B, $A277, NewEmisData!$C:$C, $H277, NewEmisData!$D:$D, BQ$6)</f>
        <v>15.5605262464888</v>
      </c>
      <c r="BR277" s="1111">
        <f>SUMIFS(NewEmisData!J:J, NewEmisData!$A:$A, $G277, NewEmisData!$B:$B, $A277, NewEmisData!$C:$C, $H277, NewEmisData!$D:$D, BR$6)</f>
        <v>15.9871963814061</v>
      </c>
      <c r="BS277" s="1111">
        <f>SUMIFS(NewEmisData!K:K, NewEmisData!$A:$A, $G277, NewEmisData!$B:$B, $A277, NewEmisData!$C:$C, $H277, NewEmisData!$D:$D, BS$6)</f>
        <v>16.091605975104901</v>
      </c>
      <c r="BT277" s="1111">
        <f>SUMIFS(NewEmisData!L:L, NewEmisData!$A:$A, $G277, NewEmisData!$B:$B, $A277, NewEmisData!$C:$C, $H277, NewEmisData!$D:$D, BT$6)</f>
        <v>16.2582160020517</v>
      </c>
      <c r="BU277" s="1111">
        <f>SUMIFS(NewEmisData!M:M, NewEmisData!$A:$A, $G277, NewEmisData!$B:$B, $A277, NewEmisData!$C:$C, $H277, NewEmisData!$D:$D, BU$6)</f>
        <v>16.317714638715799</v>
      </c>
      <c r="BV277" s="1111">
        <f t="shared" si="437"/>
        <v>16.317714638715799</v>
      </c>
      <c r="BW277" s="1111">
        <f t="shared" si="438"/>
        <v>1.6076832062105699</v>
      </c>
      <c r="BX277" s="1111">
        <f>SUMIFS(NewEmisData!E:E, NewEmisData!$A:$A, $G277, NewEmisData!$B:$B, $A277, NewEmisData!$C:$C, $H277, NewEmisData!$D:$D, BX$6)</f>
        <v>1.6076832062105699</v>
      </c>
      <c r="BY277" s="1111">
        <f>SUMIFS(NewEmisData!F:F, NewEmisData!$A:$A, $G277, NewEmisData!$B:$B, $A277, NewEmisData!$C:$C, $H277, NewEmisData!$D:$D, BY$6)</f>
        <v>1.07737691728375</v>
      </c>
      <c r="BZ277" s="1111">
        <f>SUMIFS(NewEmisData!G:G, NewEmisData!$A:$A, $G277, NewEmisData!$B:$B, $A277, NewEmisData!$C:$C, $H277, NewEmisData!$D:$D, BZ$6)</f>
        <v>0.66089486679656995</v>
      </c>
      <c r="CA277" s="1111">
        <f>SUMIFS(NewEmisData!H:H, NewEmisData!$A:$A, $G277, NewEmisData!$B:$B, $A277, NewEmisData!$C:$C, $H277, NewEmisData!$D:$D, CA$6)</f>
        <v>0.50665329469086795</v>
      </c>
      <c r="CB277" s="1111">
        <f>SUMIFS(NewEmisData!I:I, NewEmisData!$A:$A, $G277, NewEmisData!$B:$B, $A277, NewEmisData!$C:$C, $H277, NewEmisData!$D:$D, CB$6)</f>
        <v>0.45395027729947901</v>
      </c>
      <c r="CC277" s="1111">
        <f>SUMIFS(NewEmisData!J:J, NewEmisData!$A:$A, $G277, NewEmisData!$B:$B, $A277, NewEmisData!$C:$C, $H277, NewEmisData!$D:$D, CC$6)</f>
        <v>0.44710959546622903</v>
      </c>
      <c r="CD277" s="1111">
        <f>SUMIFS(NewEmisData!K:K, NewEmisData!$A:$A, $G277, NewEmisData!$B:$B, $A277, NewEmisData!$C:$C, $H277, NewEmisData!$D:$D, CD$6)</f>
        <v>0.44246515211993698</v>
      </c>
      <c r="CE277" s="1111">
        <f>SUMIFS(NewEmisData!L:L, NewEmisData!$A:$A, $G277, NewEmisData!$B:$B, $A277, NewEmisData!$C:$C, $H277, NewEmisData!$D:$D, CE$6)</f>
        <v>0.44466448973498501</v>
      </c>
      <c r="CF277" s="1111">
        <f>SUMIFS(NewEmisData!M:M, NewEmisData!$A:$A, $G277, NewEmisData!$B:$B, $A277, NewEmisData!$C:$C, $H277, NewEmisData!$D:$D, CF$6)</f>
        <v>0.44515250539012002</v>
      </c>
      <c r="CG277" s="1111">
        <f t="shared" si="439"/>
        <v>0.44515250539012002</v>
      </c>
      <c r="CH277" s="1111">
        <f t="shared" si="440"/>
        <v>4.3399422117819303E-2</v>
      </c>
      <c r="CI277" s="1111">
        <f>SUMIFS(NewEmisData!E:E, NewEmisData!$A:$A, $G277, NewEmisData!$B:$B, $A277, NewEmisData!$C:$C, $H277, NewEmisData!$D:$D, CI$6)</f>
        <v>4.3399422117819303E-2</v>
      </c>
      <c r="CJ277" s="1111">
        <f>SUMIFS(NewEmisData!F:F, NewEmisData!$A:$A, $G277, NewEmisData!$B:$B, $A277, NewEmisData!$C:$C, $H277, NewEmisData!$D:$D, CJ$6)</f>
        <v>4.3400015102987403E-2</v>
      </c>
      <c r="CK277" s="1111">
        <f>SUMIFS(NewEmisData!G:G, NewEmisData!$A:$A, $G277, NewEmisData!$B:$B, $A277, NewEmisData!$C:$C, $H277, NewEmisData!$D:$D, CK$6)</f>
        <v>5.51180775849354E-2</v>
      </c>
      <c r="CL277" s="1111">
        <f>SUMIFS(NewEmisData!H:H, NewEmisData!$A:$A, $G277, NewEmisData!$B:$B, $A277, NewEmisData!$C:$C, $H277, NewEmisData!$D:$D, CL$6)</f>
        <v>5.5092760124654402E-2</v>
      </c>
      <c r="CM277" s="1111">
        <f>SUMIFS(NewEmisData!I:I, NewEmisData!$A:$A, $G277, NewEmisData!$B:$B, $A277, NewEmisData!$C:$C, $H277, NewEmisData!$D:$D, CM$6)</f>
        <v>5.5018575060889002E-2</v>
      </c>
      <c r="CN277" s="1111">
        <f>SUMIFS(NewEmisData!J:J, NewEmisData!$A:$A, $G277, NewEmisData!$B:$B, $A277, NewEmisData!$C:$C, $H277, NewEmisData!$D:$D, CN$6)</f>
        <v>5.4999024433032603E-2</v>
      </c>
      <c r="CO277" s="1111">
        <f>SUMIFS(NewEmisData!K:K, NewEmisData!$A:$A, $G277, NewEmisData!$B:$B, $A277, NewEmisData!$C:$C, $H277, NewEmisData!$D:$D, CO$6)</f>
        <v>5.49947267932255E-2</v>
      </c>
      <c r="CP277" s="1111">
        <f>SUMIFS(NewEmisData!L:L, NewEmisData!$A:$A, $G277, NewEmisData!$B:$B, $A277, NewEmisData!$C:$C, $H277, NewEmisData!$D:$D, CP$6)</f>
        <v>5.4993686114600697E-2</v>
      </c>
      <c r="CQ277" s="1111">
        <f>SUMIFS(NewEmisData!M:M, NewEmisData!$A:$A, $G277, NewEmisData!$B:$B, $A277, NewEmisData!$C:$C, $H277, NewEmisData!$D:$D, CQ$6)</f>
        <v>5.4993670901738401E-2</v>
      </c>
      <c r="CR277" s="1111">
        <f t="shared" si="441"/>
        <v>5.4993670901738401E-2</v>
      </c>
      <c r="CS277" s="1111">
        <f t="shared" si="442"/>
        <v>4.2091134803139398E-2</v>
      </c>
      <c r="CT277" s="1111">
        <f>SUMIFS(NewEmisData!E:E, NewEmisData!$A:$A, $G277, NewEmisData!$B:$B, $A277, NewEmisData!$C:$C, $H277, NewEmisData!$D:$D, CT$6)</f>
        <v>4.2091134803139398E-2</v>
      </c>
      <c r="CU277" s="1111">
        <f>SUMIFS(NewEmisData!F:F, NewEmisData!$A:$A, $G277, NewEmisData!$B:$B, $A277, NewEmisData!$C:$C, $H277, NewEmisData!$D:$D, CU$6)</f>
        <v>2.9413368678447099E-2</v>
      </c>
      <c r="CV277" s="1111">
        <f>SUMIFS(NewEmisData!G:G, NewEmisData!$A:$A, $G277, NewEmisData!$B:$B, $A277, NewEmisData!$C:$C, $H277, NewEmisData!$D:$D, CV$6)</f>
        <v>2.1908117014146501E-2</v>
      </c>
      <c r="CW277" s="1111">
        <f>SUMIFS(NewEmisData!H:H, NewEmisData!$A:$A, $G277, NewEmisData!$B:$B, $A277, NewEmisData!$C:$C, $H277, NewEmisData!$D:$D, CW$6)</f>
        <v>1.51235650548124E-2</v>
      </c>
      <c r="CX277" s="1111">
        <f>SUMIFS(NewEmisData!I:I, NewEmisData!$A:$A, $G277, NewEmisData!$B:$B, $A277, NewEmisData!$C:$C, $H277, NewEmisData!$D:$D, CX$6)</f>
        <v>1.29093526067743E-2</v>
      </c>
      <c r="CY277" s="1111">
        <f>SUMIFS(NewEmisData!J:J, NewEmisData!$A:$A, $G277, NewEmisData!$B:$B, $A277, NewEmisData!$C:$C, $H277, NewEmisData!$D:$D, CY$6)</f>
        <v>1.25399672188876E-2</v>
      </c>
      <c r="CZ277" s="1111">
        <f>SUMIFS(NewEmisData!K:K, NewEmisData!$A:$A, $G277, NewEmisData!$B:$B, $A277, NewEmisData!$C:$C, $H277, NewEmisData!$D:$D, CZ$6)</f>
        <v>1.2248391252448299E-2</v>
      </c>
      <c r="DA277" s="1111">
        <f>SUMIFS(NewEmisData!L:L, NewEmisData!$A:$A, $G277, NewEmisData!$B:$B, $A277, NewEmisData!$C:$C, $H277, NewEmisData!$D:$D, DA$6)</f>
        <v>1.22999318738547E-2</v>
      </c>
      <c r="DB277" s="1111">
        <f>SUMIFS(NewEmisData!M:M, NewEmisData!$A:$A, $G277, NewEmisData!$B:$B, $A277, NewEmisData!$C:$C, $H277, NewEmisData!$D:$D, DB$6)</f>
        <v>1.23186618660251E-2</v>
      </c>
      <c r="DC277" s="1111">
        <f t="shared" si="443"/>
        <v>1.23186618660251E-2</v>
      </c>
      <c r="DD277" s="1111"/>
      <c r="DE277" s="1111"/>
      <c r="DF277" s="1111"/>
      <c r="DG277" s="1111"/>
      <c r="DH277" s="1111"/>
      <c r="DI277" s="1111"/>
      <c r="DJ277" s="1111"/>
      <c r="DK277" s="1111"/>
      <c r="DL277" s="1111"/>
      <c r="DM277" s="1111"/>
      <c r="DN277" s="1111"/>
      <c r="DO277" s="1111"/>
      <c r="DP277" s="1111"/>
      <c r="DQ277" s="1111"/>
      <c r="DR277" s="1111"/>
      <c r="DS277" s="1111"/>
      <c r="DT277" s="1111"/>
      <c r="DU277" s="1111"/>
      <c r="DV277" s="1111"/>
      <c r="DW277" s="1111"/>
      <c r="DX277" s="1111"/>
      <c r="DY277" s="1111"/>
      <c r="DZ277" s="1111">
        <f t="shared" si="444"/>
        <v>5.7853229299281397E-2</v>
      </c>
      <c r="EA277" s="1111">
        <f>SUMIFS(NewEmisData!E:E, NewEmisData!$A:$A, $G277, NewEmisData!$B:$B, $A277, NewEmisData!$C:$C, $H277, NewEmisData!$D:$D, EA$6)</f>
        <v>5.7853229299281397E-2</v>
      </c>
      <c r="EB277" s="1111">
        <f>SUMIFS(NewEmisData!F:F, NewEmisData!$A:$A, $G277, NewEmisData!$B:$B, $A277, NewEmisData!$C:$C, $H277, NewEmisData!$D:$D, EB$6)</f>
        <v>2.9073352809047302E-2</v>
      </c>
      <c r="EC277" s="1111">
        <f>SUMIFS(NewEmisData!G:G, NewEmisData!$A:$A, $G277, NewEmisData!$B:$B, $A277, NewEmisData!$C:$C, $H277, NewEmisData!$D:$D, EC$6)</f>
        <v>1.58088583493518E-2</v>
      </c>
      <c r="ED277" s="1111">
        <f>SUMIFS(NewEmisData!H:H, NewEmisData!$A:$A, $G277, NewEmisData!$B:$B, $A277, NewEmisData!$C:$C, $H277, NewEmisData!$D:$D, ED$6)</f>
        <v>1.27598175965856E-2</v>
      </c>
      <c r="EE277" s="1111">
        <f>SUMIFS(NewEmisData!I:I, NewEmisData!$A:$A, $G277, NewEmisData!$B:$B, $A277, NewEmisData!$C:$C, $H277, NewEmisData!$D:$D, EE$6)</f>
        <v>1.25765761718582E-2</v>
      </c>
      <c r="EF277" s="1111">
        <f>SUMIFS(NewEmisData!J:J, NewEmisData!$A:$A, $G277, NewEmisData!$B:$B, $A277, NewEmisData!$C:$C, $H277, NewEmisData!$D:$D, EF$6)</f>
        <v>1.28662791289052E-2</v>
      </c>
      <c r="EG277" s="1111">
        <f>SUMIFS(NewEmisData!K:K, NewEmisData!$A:$A, $G277, NewEmisData!$B:$B, $A277, NewEmisData!$C:$C, $H277, NewEmisData!$D:$D, EG$6)</f>
        <v>1.2955321110398099E-2</v>
      </c>
      <c r="EH277" s="1111">
        <f>SUMIFS(NewEmisData!L:L, NewEmisData!$A:$A, $G277, NewEmisData!$B:$B, $A277, NewEmisData!$C:$C, $H277, NewEmisData!$D:$D, EH$6)</f>
        <v>1.30753171444039E-2</v>
      </c>
      <c r="EI277" s="1111">
        <f>SUMIFS(NewEmisData!M:M, NewEmisData!$A:$A, $G277, NewEmisData!$B:$B, $A277, NewEmisData!$C:$C, $H277, NewEmisData!$D:$D, EI$6)</f>
        <v>1.31164603255322E-2</v>
      </c>
      <c r="EJ277" s="1111">
        <f t="shared" si="445"/>
        <v>1.31164603255322E-2</v>
      </c>
      <c r="EK277" s="1111">
        <f t="shared" si="446"/>
        <v>1130.1167624525301</v>
      </c>
      <c r="EL277" s="1111">
        <f t="shared" si="343"/>
        <v>1130.1167624525301</v>
      </c>
      <c r="EM277" s="1111">
        <f t="shared" si="344"/>
        <v>1130.8984145920599</v>
      </c>
      <c r="EN277" s="1111">
        <f t="shared" si="345"/>
        <v>1405.3513402599599</v>
      </c>
      <c r="EO277" s="1111">
        <f t="shared" si="346"/>
        <v>1379.6052405171799</v>
      </c>
      <c r="EP277" s="1111">
        <f t="shared" si="347"/>
        <v>1334.4147184286501</v>
      </c>
      <c r="EQ277" s="1111">
        <f t="shared" si="348"/>
        <v>1322.9454628220101</v>
      </c>
      <c r="ER277" s="1111">
        <f t="shared" si="349"/>
        <v>1320.2157375614299</v>
      </c>
      <c r="ES277" s="1111">
        <f t="shared" si="350"/>
        <v>1319.7277214958499</v>
      </c>
      <c r="ET277" s="1111">
        <f t="shared" si="351"/>
        <v>1319.71246990391</v>
      </c>
      <c r="EU277" s="1111">
        <f t="shared" si="352"/>
        <v>1319.71246990391</v>
      </c>
      <c r="EV277" s="1111">
        <f t="shared" si="447"/>
        <v>4.0566113456988298</v>
      </c>
      <c r="EW277" s="1111">
        <f t="shared" si="333"/>
        <v>4.0566113456988298</v>
      </c>
      <c r="EX277" s="1111">
        <f t="shared" si="334"/>
        <v>2.5724270871349901</v>
      </c>
      <c r="EY277" s="1111">
        <f t="shared" si="335"/>
        <v>1.4424895677524801</v>
      </c>
      <c r="EZ277" s="1111">
        <f t="shared" si="336"/>
        <v>1.13924742539507</v>
      </c>
      <c r="FA277" s="1111">
        <f t="shared" si="337"/>
        <v>1.03965564636638</v>
      </c>
      <c r="FB277" s="1111">
        <f t="shared" si="338"/>
        <v>1.02198349229239</v>
      </c>
      <c r="FC277" s="1111">
        <f t="shared" si="339"/>
        <v>1.0148563657413801</v>
      </c>
      <c r="FD277" s="1111">
        <f t="shared" si="340"/>
        <v>1.01503532465236</v>
      </c>
      <c r="FE277" s="1111">
        <f t="shared" si="341"/>
        <v>1.0151899457145299</v>
      </c>
      <c r="FF277" s="1111">
        <f t="shared" si="342"/>
        <v>1.0151899457145299</v>
      </c>
      <c r="FG277" s="1111">
        <f t="shared" si="389"/>
        <v>1.9554990283156898E-2</v>
      </c>
      <c r="FH277" s="1111">
        <f t="shared" si="390"/>
        <v>1.9554990283156898E-2</v>
      </c>
      <c r="FI277" s="1111">
        <f t="shared" si="391"/>
        <v>1.95685182638505E-2</v>
      </c>
      <c r="FJ277" s="1111">
        <f t="shared" si="392"/>
        <v>2.01604922584692E-2</v>
      </c>
      <c r="FK277" s="1111">
        <f t="shared" si="393"/>
        <v>1.97911521572584E-2</v>
      </c>
      <c r="FL277" s="1111">
        <f t="shared" si="394"/>
        <v>1.9142873562620798E-2</v>
      </c>
      <c r="FM277" s="1111">
        <f t="shared" si="395"/>
        <v>1.89783356086532E-2</v>
      </c>
      <c r="FN277" s="1111">
        <f t="shared" si="396"/>
        <v>1.8939180344523601E-2</v>
      </c>
      <c r="FO277" s="1111">
        <f t="shared" si="397"/>
        <v>1.8932175415884701E-2</v>
      </c>
      <c r="FP277" s="1111">
        <f t="shared" si="398"/>
        <v>1.89319567223225E-2</v>
      </c>
      <c r="FQ277" s="1111">
        <f t="shared" si="399"/>
        <v>1.89319567223225E-2</v>
      </c>
      <c r="FR277" s="1111">
        <f t="shared" si="322"/>
        <v>0.25577646184958402</v>
      </c>
      <c r="FS277" s="1111">
        <f t="shared" si="323"/>
        <v>0.25577646184958402</v>
      </c>
      <c r="FT277" s="1111">
        <f t="shared" si="324"/>
        <v>0.23859206785442999</v>
      </c>
      <c r="FU277" s="1111">
        <f t="shared" si="325"/>
        <v>0.351764857744302</v>
      </c>
      <c r="FV277" s="1111">
        <f t="shared" si="326"/>
        <v>0.34931824303782499</v>
      </c>
      <c r="FW277" s="1111">
        <f t="shared" si="327"/>
        <v>0.34154946312290901</v>
      </c>
      <c r="FX277" s="1111">
        <f t="shared" si="328"/>
        <v>0.33956199269290699</v>
      </c>
      <c r="FY277" s="1111">
        <f t="shared" si="329"/>
        <v>0.33912280958847202</v>
      </c>
      <c r="FZ277" s="1111">
        <f t="shared" si="330"/>
        <v>0.33904138785011401</v>
      </c>
      <c r="GA277" s="1111">
        <f t="shared" si="331"/>
        <v>0.33905343527213999</v>
      </c>
      <c r="GB277" s="1111">
        <f t="shared" si="332"/>
        <v>0.33905343527213999</v>
      </c>
      <c r="GC277" s="1111">
        <f t="shared" si="353"/>
        <v>5.4814467904693999E-2</v>
      </c>
      <c r="GD277" s="1111">
        <f t="shared" si="354"/>
        <v>5.4814467904693999E-2</v>
      </c>
      <c r="GE277" s="1111">
        <f t="shared" si="355"/>
        <v>3.9660843522864801E-2</v>
      </c>
      <c r="GF277" s="1111">
        <f t="shared" si="356"/>
        <v>5.2889801360665199E-2</v>
      </c>
      <c r="GG277" s="1111">
        <f t="shared" si="357"/>
        <v>5.2551386947303103E-2</v>
      </c>
      <c r="GH277" s="1111">
        <f t="shared" si="358"/>
        <v>5.0945334073008497E-2</v>
      </c>
      <c r="GI277" s="1111">
        <f t="shared" si="359"/>
        <v>5.0580577350149397E-2</v>
      </c>
      <c r="GJ277" s="1111">
        <f t="shared" si="360"/>
        <v>5.0495841537682197E-2</v>
      </c>
      <c r="GK277" s="1111">
        <f t="shared" si="361"/>
        <v>5.0500593811481399E-2</v>
      </c>
      <c r="GL277" s="1111">
        <f t="shared" si="362"/>
        <v>5.0513012114000298E-2</v>
      </c>
      <c r="GM277" s="1111">
        <f t="shared" si="363"/>
        <v>5.0513012114000298E-2</v>
      </c>
    </row>
    <row r="278" spans="1:195" x14ac:dyDescent="0.2">
      <c r="A278" s="1071" t="s">
        <v>186</v>
      </c>
      <c r="B278" s="1071" t="str">
        <f>Technologies!C162</f>
        <v>THSCNGC</v>
      </c>
      <c r="C278" s="1071" t="str">
        <f>Technologies!D162</f>
        <v>Heavy Truck, Short Haul, Conventional CNG</v>
      </c>
      <c r="D278" s="1071" t="str">
        <f>NewTech!D109</f>
        <v>bn-vmt, bn-vmt/a</v>
      </c>
      <c r="E278" s="1071" t="str">
        <f>Commodities!C$58</f>
        <v>THCNG</v>
      </c>
      <c r="F278" s="1071" t="s">
        <v>98</v>
      </c>
      <c r="G278" s="1110" t="s">
        <v>505</v>
      </c>
      <c r="H278" s="1110" t="s">
        <v>500</v>
      </c>
      <c r="I278" s="1112">
        <v>1</v>
      </c>
      <c r="J278" s="1111" t="str">
        <f t="shared" si="302"/>
        <v>Heavy duty short haul truck-GSL</v>
      </c>
      <c r="K278" s="1111">
        <f>SUMIFS(NewEmisData!E:E, NewEmisData!$A:$A, $G278, NewEmisData!$B:$B, $A278, NewEmisData!$C:$C, $H278, NewEmisData!$D:$D, K$6)</f>
        <v>1638.3455086040899</v>
      </c>
      <c r="L278" s="1111">
        <f>SUMIFS(NewEmisData!F:F, NewEmisData!$A:$A, $G278, NewEmisData!$B:$B, $A278, NewEmisData!$C:$C, $H278, NewEmisData!$D:$D, L$6)</f>
        <v>1597.91146698485</v>
      </c>
      <c r="M278" s="1111">
        <f>SUMIFS(NewEmisData!G:G, NewEmisData!$A:$A, $G278, NewEmisData!$B:$B, $A278, NewEmisData!$C:$C, $H278, NewEmisData!$D:$D, M$6)</f>
        <v>1675.8815285015601</v>
      </c>
      <c r="N278" s="1111">
        <f>SUMIFS(NewEmisData!H:H, NewEmisData!$A:$A, $G278, NewEmisData!$B:$B, $A278, NewEmisData!$C:$C, $H278, NewEmisData!$D:$D, N$6)</f>
        <v>1650.32431693742</v>
      </c>
      <c r="O278" s="1111">
        <f>SUMIFS(NewEmisData!I:I, NewEmisData!$A:$A, $G278, NewEmisData!$B:$B, $A278, NewEmisData!$C:$C, $H278, NewEmisData!$D:$D, O$6)</f>
        <v>1614.69992415768</v>
      </c>
      <c r="P278" s="1111">
        <f>SUMIFS(NewEmisData!J:J, NewEmisData!$A:$A, $G278, NewEmisData!$B:$B, $A278, NewEmisData!$C:$C, $H278, NewEmisData!$D:$D, P$6)</f>
        <v>1606.15558948889</v>
      </c>
      <c r="Q278" s="1111">
        <f>SUMIFS(NewEmisData!K:K, NewEmisData!$A:$A, $G278, NewEmisData!$B:$B, $A278, NewEmisData!$C:$C, $H278, NewEmisData!$D:$D, Q$6)</f>
        <v>1604.0186206973899</v>
      </c>
      <c r="R278" s="1111">
        <f>SUMIFS(NewEmisData!L:L, NewEmisData!$A:$A, $G278, NewEmisData!$B:$B, $A278, NewEmisData!$C:$C, $H278, NewEmisData!$D:$D, R$6)</f>
        <v>1603.71196653328</v>
      </c>
      <c r="S278" s="1111">
        <f>SUMIFS(NewEmisData!M:M, NewEmisData!$A:$A, $G278, NewEmisData!$B:$B, $A278, NewEmisData!$C:$C, $H278, NewEmisData!$D:$D, S$6)</f>
        <v>1603.6927150798599</v>
      </c>
      <c r="T278" s="1111">
        <f t="shared" si="364"/>
        <v>1603.6927150798599</v>
      </c>
      <c r="U278" s="1111">
        <f>SUMIFS(NewEmisData!E:E, NewEmisData!$A:$A, $G278, NewEmisData!$B:$B, $A278, NewEmisData!$C:$C, $H278, NewEmisData!$D:$D, U$6)</f>
        <v>9.1319765062058504</v>
      </c>
      <c r="V278" s="1111">
        <f>SUMIFS(NewEmisData!F:F, NewEmisData!$A:$A, $G278, NewEmisData!$B:$B, $A278, NewEmisData!$C:$C, $H278, NewEmisData!$D:$D, V$6)</f>
        <v>5.5211126740351997</v>
      </c>
      <c r="W278" s="1111">
        <f>SUMIFS(NewEmisData!G:G, NewEmisData!$A:$A, $G278, NewEmisData!$B:$B, $A278, NewEmisData!$C:$C, $H278, NewEmisData!$D:$D, W$6)</f>
        <v>1.6178749329459601</v>
      </c>
      <c r="X278" s="1111">
        <f>SUMIFS(NewEmisData!H:H, NewEmisData!$A:$A, $G278, NewEmisData!$B:$B, $A278, NewEmisData!$C:$C, $H278, NewEmisData!$D:$D, X$6)</f>
        <v>1.2717662893164099</v>
      </c>
      <c r="Y278" s="1111">
        <f>SUMIFS(NewEmisData!I:I, NewEmisData!$A:$A, $G278, NewEmisData!$B:$B, $A278, NewEmisData!$C:$C, $H278, NewEmisData!$D:$D, Y$6)</f>
        <v>1.1726866302876999</v>
      </c>
      <c r="Z278" s="1111">
        <f>SUMIFS(NewEmisData!J:J, NewEmisData!$A:$A, $G278, NewEmisData!$B:$B, $A278, NewEmisData!$C:$C, $H278, NewEmisData!$D:$D, Z$6)</f>
        <v>1.1568218913658399</v>
      </c>
      <c r="AA278" s="1111">
        <f>SUMIFS(NewEmisData!K:K, NewEmisData!$A:$A, $G278, NewEmisData!$B:$B, $A278, NewEmisData!$C:$C, $H278, NewEmisData!$D:$D, AA$6)</f>
        <v>1.1498419858081399</v>
      </c>
      <c r="AB278" s="1111">
        <f>SUMIFS(NewEmisData!L:L, NewEmisData!$A:$A, $G278, NewEmisData!$B:$B, $A278, NewEmisData!$C:$C, $H278, NewEmisData!$D:$D, AB$6)</f>
        <v>1.1502565377520699</v>
      </c>
      <c r="AC278" s="1111">
        <f>SUMIFS(NewEmisData!M:M, NewEmisData!$A:$A, $G278, NewEmisData!$B:$B, $A278, NewEmisData!$C:$C, $H278, NewEmisData!$D:$D, AC$6)</f>
        <v>1.15043111371947</v>
      </c>
      <c r="AD278" s="1111">
        <f t="shared" si="321"/>
        <v>1.15043111371947</v>
      </c>
      <c r="AE278" s="1111">
        <f t="shared" si="430"/>
        <v>2.8349118417612802E-2</v>
      </c>
      <c r="AF278" s="1111">
        <f>SUMIFS(NewEmisData!E:E, NewEmisData!$A:$A, $G278, NewEmisData!$B:$B, $A278, NewEmisData!$C:$C, $H278, NewEmisData!$D:$D, AF$6)</f>
        <v>2.8349118417612802E-2</v>
      </c>
      <c r="AG278" s="1111">
        <f>SUMIFS(NewEmisData!F:F, NewEmisData!$A:$A, $G278, NewEmisData!$B:$B, $A278, NewEmisData!$C:$C, $H278, NewEmisData!$D:$D, AG$6)</f>
        <v>2.7649475988106201E-2</v>
      </c>
      <c r="AH278" s="1111">
        <f>SUMIFS(NewEmisData!G:G, NewEmisData!$A:$A, $G278, NewEmisData!$B:$B, $A278, NewEmisData!$C:$C, $H278, NewEmisData!$D:$D, AH$6)</f>
        <v>2.4041393237435399E-2</v>
      </c>
      <c r="AI278" s="1111">
        <f>SUMIFS(NewEmisData!H:H, NewEmisData!$A:$A, $G278, NewEmisData!$B:$B, $A278, NewEmisData!$C:$C, $H278, NewEmisData!$D:$D, AI$6)</f>
        <v>2.3674756516432201E-2</v>
      </c>
      <c r="AJ278" s="1111">
        <f>SUMIFS(NewEmisData!I:I, NewEmisData!$A:$A, $G278, NewEmisData!$B:$B, $A278, NewEmisData!$C:$C, $H278, NewEmisData!$D:$D, AJ$6)</f>
        <v>2.3163709294895699E-2</v>
      </c>
      <c r="AK278" s="1111">
        <f>SUMIFS(NewEmisData!J:J, NewEmisData!$A:$A, $G278, NewEmisData!$B:$B, $A278, NewEmisData!$C:$C, $H278, NewEmisData!$D:$D, AK$6)</f>
        <v>2.30411322742359E-2</v>
      </c>
      <c r="AL278" s="1111">
        <f>SUMIFS(NewEmisData!K:K, NewEmisData!$A:$A, $G278, NewEmisData!$B:$B, $A278, NewEmisData!$C:$C, $H278, NewEmisData!$D:$D, AL$6)</f>
        <v>2.30104772532812E-2</v>
      </c>
      <c r="AM278" s="1111">
        <f>SUMIFS(NewEmisData!L:L, NewEmisData!$A:$A, $G278, NewEmisData!$B:$B, $A278, NewEmisData!$C:$C, $H278, NewEmisData!$D:$D, AM$6)</f>
        <v>2.3006075572322301E-2</v>
      </c>
      <c r="AN278" s="1111">
        <f>SUMIFS(NewEmisData!M:M, NewEmisData!$A:$A, $G278, NewEmisData!$B:$B, $A278, NewEmisData!$C:$C, $H278, NewEmisData!$D:$D, AN$6)</f>
        <v>2.30058103409179E-2</v>
      </c>
      <c r="AO278" s="1111">
        <f t="shared" si="431"/>
        <v>2.30058103409179E-2</v>
      </c>
      <c r="AP278" s="1111">
        <f t="shared" si="432"/>
        <v>0.73529708323819798</v>
      </c>
      <c r="AQ278" s="1111">
        <f>SUMIFS(NewEmisData!E:E, NewEmisData!$A:$A, $G278, NewEmisData!$B:$B, $A278, NewEmisData!$C:$C, $H278, NewEmisData!$D:$D, AQ$6)</f>
        <v>0.73529708323819798</v>
      </c>
      <c r="AR278" s="1111">
        <f>SUMIFS(NewEmisData!F:F, NewEmisData!$A:$A, $G278, NewEmisData!$B:$B, $A278, NewEmisData!$C:$C, $H278, NewEmisData!$D:$D, AR$6)</f>
        <v>0.50377232353792301</v>
      </c>
      <c r="AS278" s="1111">
        <f>SUMIFS(NewEmisData!G:G, NewEmisData!$A:$A, $G278, NewEmisData!$B:$B, $A278, NewEmisData!$C:$C, $H278, NewEmisData!$D:$D, AS$6)</f>
        <v>0.46277242259546703</v>
      </c>
      <c r="AT278" s="1111">
        <f>SUMIFS(NewEmisData!H:H, NewEmisData!$A:$A, $G278, NewEmisData!$B:$B, $A278, NewEmisData!$C:$C, $H278, NewEmisData!$D:$D, AT$6)</f>
        <v>0.460021400855742</v>
      </c>
      <c r="AU278" s="1111">
        <f>SUMIFS(NewEmisData!I:I, NewEmisData!$A:$A, $G278, NewEmisData!$B:$B, $A278, NewEmisData!$C:$C, $H278, NewEmisData!$D:$D, AU$6)</f>
        <v>0.452859239004402</v>
      </c>
      <c r="AV278" s="1111">
        <f>SUMIFS(NewEmisData!J:J, NewEmisData!$A:$A, $G278, NewEmisData!$B:$B, $A278, NewEmisData!$C:$C, $H278, NewEmisData!$D:$D, AV$6)</f>
        <v>0.451173530693247</v>
      </c>
      <c r="AW278" s="1111">
        <f>SUMIFS(NewEmisData!K:K, NewEmisData!$A:$A, $G278, NewEmisData!$B:$B, $A278, NewEmisData!$C:$C, $H278, NewEmisData!$D:$D, AW$6)</f>
        <v>0.450827249569491</v>
      </c>
      <c r="AX278" s="1111">
        <f>SUMIFS(NewEmisData!L:L, NewEmisData!$A:$A, $G278, NewEmisData!$B:$B, $A278, NewEmisData!$C:$C, $H278, NewEmisData!$D:$D, AX$6)</f>
        <v>0.45077517726501898</v>
      </c>
      <c r="AY278" s="1111">
        <f>SUMIFS(NewEmisData!M:M, NewEmisData!$A:$A, $G278, NewEmisData!$B:$B, $A278, NewEmisData!$C:$C, $H278, NewEmisData!$D:$D, AY$6)</f>
        <v>0.45078915116546198</v>
      </c>
      <c r="AZ278" s="1111">
        <f t="shared" si="433"/>
        <v>0.45078915116546198</v>
      </c>
      <c r="BA278" s="1111">
        <f t="shared" si="434"/>
        <v>0.32686256972546901</v>
      </c>
      <c r="BB278" s="1111">
        <f>SUMIFS(NewEmisData!E:E, NewEmisData!$A:$A, $G278, NewEmisData!$B:$B, $A278, NewEmisData!$C:$C, $H278, NewEmisData!$D:$D, BB$6)</f>
        <v>0.32686256972546901</v>
      </c>
      <c r="BC278" s="1111">
        <f>SUMIFS(NewEmisData!F:F, NewEmisData!$A:$A, $G278, NewEmisData!$B:$B, $A278, NewEmisData!$C:$C, $H278, NewEmisData!$D:$D, BC$6)</f>
        <v>0.12210843934221401</v>
      </c>
      <c r="BD278" s="1111">
        <f>SUMIFS(NewEmisData!G:G, NewEmisData!$A:$A, $G278, NewEmisData!$B:$B, $A278, NewEmisData!$C:$C, $H278, NewEmisData!$D:$D, BD$6)</f>
        <v>6.7146210191433603E-2</v>
      </c>
      <c r="BE278" s="1111">
        <f>SUMIFS(NewEmisData!H:H, NewEmisData!$A:$A, $G278, NewEmisData!$B:$B, $A278, NewEmisData!$C:$C, $H278, NewEmisData!$D:$D, BE$6)</f>
        <v>6.6587970120787598E-2</v>
      </c>
      <c r="BF278" s="1111">
        <f>SUMIFS(NewEmisData!I:I, NewEmisData!$A:$A, $G278, NewEmisData!$B:$B, $A278, NewEmisData!$C:$C, $H278, NewEmisData!$D:$D, BF$6)</f>
        <v>6.5405051516030002E-2</v>
      </c>
      <c r="BG278" s="1111">
        <f>SUMIFS(NewEmisData!J:J, NewEmisData!$A:$A, $G278, NewEmisData!$B:$B, $A278, NewEmisData!$C:$C, $H278, NewEmisData!$D:$D, BG$6)</f>
        <v>6.5233637829240507E-2</v>
      </c>
      <c r="BH278" s="1111">
        <f>SUMIFS(NewEmisData!K:K, NewEmisData!$A:$A, $G278, NewEmisData!$B:$B, $A278, NewEmisData!$C:$C, $H278, NewEmisData!$D:$D, BH$6)</f>
        <v>6.5212571890131396E-2</v>
      </c>
      <c r="BI278" s="1111">
        <f>SUMIFS(NewEmisData!L:L, NewEmisData!$A:$A, $G278, NewEmisData!$B:$B, $A278, NewEmisData!$C:$C, $H278, NewEmisData!$D:$D, BI$6)</f>
        <v>6.5238116883072003E-2</v>
      </c>
      <c r="BJ278" s="1111">
        <f>SUMIFS(NewEmisData!M:M, NewEmisData!$A:$A, $G278, NewEmisData!$B:$B, $A278, NewEmisData!$C:$C, $H278, NewEmisData!$D:$D, BJ$6)</f>
        <v>6.5252352689838797E-2</v>
      </c>
      <c r="BK278" s="1111">
        <f t="shared" si="435"/>
        <v>6.5252352689838797E-2</v>
      </c>
      <c r="BL278" s="1111">
        <f t="shared" si="436"/>
        <v>130.83848080286899</v>
      </c>
      <c r="BM278" s="1111">
        <f>SUMIFS(NewEmisData!E:E, NewEmisData!$A:$A, $G278, NewEmisData!$B:$B, $A278, NewEmisData!$C:$C, $H278, NewEmisData!$D:$D, BM$6)</f>
        <v>130.83848080286899</v>
      </c>
      <c r="BN278" s="1111">
        <f>SUMIFS(NewEmisData!F:F, NewEmisData!$A:$A, $G278, NewEmisData!$B:$B, $A278, NewEmisData!$C:$C, $H278, NewEmisData!$D:$D, BN$6)</f>
        <v>69.1513563753808</v>
      </c>
      <c r="BO278" s="1111">
        <f>SUMIFS(NewEmisData!G:G, NewEmisData!$A:$A, $G278, NewEmisData!$B:$B, $A278, NewEmisData!$C:$C, $H278, NewEmisData!$D:$D, BO$6)</f>
        <v>19.817984760190502</v>
      </c>
      <c r="BP278" s="1111">
        <f>SUMIFS(NewEmisData!H:H, NewEmisData!$A:$A, $G278, NewEmisData!$B:$B, $A278, NewEmisData!$C:$C, $H278, NewEmisData!$D:$D, BP$6)</f>
        <v>17.220719333709599</v>
      </c>
      <c r="BQ278" s="1111">
        <f>SUMIFS(NewEmisData!I:I, NewEmisData!$A:$A, $G278, NewEmisData!$B:$B, $A278, NewEmisData!$C:$C, $H278, NewEmisData!$D:$D, BQ$6)</f>
        <v>17.138637099239801</v>
      </c>
      <c r="BR278" s="1111">
        <f>SUMIFS(NewEmisData!J:J, NewEmisData!$A:$A, $G278, NewEmisData!$B:$B, $A278, NewEmisData!$C:$C, $H278, NewEmisData!$D:$D, BR$6)</f>
        <v>17.632152503072199</v>
      </c>
      <c r="BS278" s="1111">
        <f>SUMIFS(NewEmisData!K:K, NewEmisData!$A:$A, $G278, NewEmisData!$B:$B, $A278, NewEmisData!$C:$C, $H278, NewEmisData!$D:$D, BS$6)</f>
        <v>17.755687797126999</v>
      </c>
      <c r="BT278" s="1111">
        <f>SUMIFS(NewEmisData!L:L, NewEmisData!$A:$A, $G278, NewEmisData!$B:$B, $A278, NewEmisData!$C:$C, $H278, NewEmisData!$D:$D, BT$6)</f>
        <v>17.941584451804498</v>
      </c>
      <c r="BU278" s="1111">
        <f>SUMIFS(NewEmisData!M:M, NewEmisData!$A:$A, $G278, NewEmisData!$B:$B, $A278, NewEmisData!$C:$C, $H278, NewEmisData!$D:$D, BU$6)</f>
        <v>18.0048069260293</v>
      </c>
      <c r="BV278" s="1111">
        <f t="shared" si="437"/>
        <v>18.0048069260293</v>
      </c>
      <c r="BW278" s="1111">
        <f t="shared" si="438"/>
        <v>10.6632197589814</v>
      </c>
      <c r="BX278" s="1111">
        <f>SUMIFS(NewEmisData!E:E, NewEmisData!$A:$A, $G278, NewEmisData!$B:$B, $A278, NewEmisData!$C:$C, $H278, NewEmisData!$D:$D, BX$6)</f>
        <v>10.6632197589814</v>
      </c>
      <c r="BY278" s="1111">
        <f>SUMIFS(NewEmisData!F:F, NewEmisData!$A:$A, $G278, NewEmisData!$B:$B, $A278, NewEmisData!$C:$C, $H278, NewEmisData!$D:$D, BY$6)</f>
        <v>4.8239495150941396</v>
      </c>
      <c r="BZ278" s="1111">
        <f>SUMIFS(NewEmisData!G:G, NewEmisData!$A:$A, $G278, NewEmisData!$B:$B, $A278, NewEmisData!$C:$C, $H278, NewEmisData!$D:$D, BZ$6)</f>
        <v>0.81908851058061705</v>
      </c>
      <c r="CA278" s="1111">
        <f>SUMIFS(NewEmisData!H:H, NewEmisData!$A:$A, $G278, NewEmisData!$B:$B, $A278, NewEmisData!$C:$C, $H278, NewEmisData!$D:$D, CA$6)</f>
        <v>0.62586158145999404</v>
      </c>
      <c r="CB278" s="1111">
        <f>SUMIFS(NewEmisData!I:I, NewEmisData!$A:$A, $G278, NewEmisData!$B:$B, $A278, NewEmisData!$C:$C, $H278, NewEmisData!$D:$D, CB$6)</f>
        <v>0.57122462058997703</v>
      </c>
      <c r="CC278" s="1111">
        <f>SUMIFS(NewEmisData!J:J, NewEmisData!$A:$A, $G278, NewEmisData!$B:$B, $A278, NewEmisData!$C:$C, $H278, NewEmisData!$D:$D, CC$6)</f>
        <v>0.56704170620868999</v>
      </c>
      <c r="CD278" s="1111">
        <f>SUMIFS(NewEmisData!K:K, NewEmisData!$A:$A, $G278, NewEmisData!$B:$B, $A278, NewEmisData!$C:$C, $H278, NewEmisData!$D:$D, CD$6)</f>
        <v>0.56343324146208396</v>
      </c>
      <c r="CE278" s="1111">
        <f>SUMIFS(NewEmisData!L:L, NewEmisData!$A:$A, $G278, NewEmisData!$B:$B, $A278, NewEmisData!$C:$C, $H278, NewEmisData!$D:$D, CE$6)</f>
        <v>0.56643140863739405</v>
      </c>
      <c r="CF278" s="1111">
        <f>SUMIFS(NewEmisData!M:M, NewEmisData!$A:$A, $G278, NewEmisData!$B:$B, $A278, NewEmisData!$C:$C, $H278, NewEmisData!$D:$D, CF$6)</f>
        <v>0.56703635625762505</v>
      </c>
      <c r="CG278" s="1111">
        <f t="shared" si="439"/>
        <v>0.56703635625762505</v>
      </c>
      <c r="CH278" s="1111">
        <f t="shared" si="440"/>
        <v>5.78767923405668E-2</v>
      </c>
      <c r="CI278" s="1111">
        <f>SUMIFS(NewEmisData!E:E, NewEmisData!$A:$A, $G278, NewEmisData!$B:$B, $A278, NewEmisData!$C:$C, $H278, NewEmisData!$D:$D, CI$6)</f>
        <v>5.78767923405668E-2</v>
      </c>
      <c r="CJ278" s="1111">
        <f>SUMIFS(NewEmisData!F:F, NewEmisData!$A:$A, $G278, NewEmisData!$B:$B, $A278, NewEmisData!$C:$C, $H278, NewEmisData!$D:$D, CJ$6)</f>
        <v>5.7878614167795599E-2</v>
      </c>
      <c r="CK278" s="1111">
        <f>SUMIFS(NewEmisData!G:G, NewEmisData!$A:$A, $G278, NewEmisData!$B:$B, $A278, NewEmisData!$C:$C, $H278, NewEmisData!$D:$D, CK$6)</f>
        <v>6.6011734406023898E-2</v>
      </c>
      <c r="CL278" s="1111">
        <f>SUMIFS(NewEmisData!H:H, NewEmisData!$A:$A, $G278, NewEmisData!$B:$B, $A278, NewEmisData!$C:$C, $H278, NewEmisData!$D:$D, CL$6)</f>
        <v>6.6011880543447907E-2</v>
      </c>
      <c r="CM278" s="1111">
        <f>SUMIFS(NewEmisData!I:I, NewEmisData!$A:$A, $G278, NewEmisData!$B:$B, $A278, NewEmisData!$C:$C, $H278, NewEmisData!$D:$D, CM$6)</f>
        <v>6.60108416242811E-2</v>
      </c>
      <c r="CN278" s="1111">
        <f>SUMIFS(NewEmisData!J:J, NewEmisData!$A:$A, $G278, NewEmisData!$B:$B, $A278, NewEmisData!$C:$C, $H278, NewEmisData!$D:$D, CN$6)</f>
        <v>6.6010592604017995E-2</v>
      </c>
      <c r="CO278" s="1111">
        <f>SUMIFS(NewEmisData!K:K, NewEmisData!$A:$A, $G278, NewEmisData!$B:$B, $A278, NewEmisData!$C:$C, $H278, NewEmisData!$D:$D, CO$6)</f>
        <v>6.6010460965888904E-2</v>
      </c>
      <c r="CP278" s="1111">
        <f>SUMIFS(NewEmisData!L:L, NewEmisData!$A:$A, $G278, NewEmisData!$B:$B, $A278, NewEmisData!$C:$C, $H278, NewEmisData!$D:$D, CP$6)</f>
        <v>6.6010507177606106E-2</v>
      </c>
      <c r="CQ278" s="1111">
        <f>SUMIFS(NewEmisData!M:M, NewEmisData!$A:$A, $G278, NewEmisData!$B:$B, $A278, NewEmisData!$C:$C, $H278, NewEmisData!$D:$D, CQ$6)</f>
        <v>6.6010478652079901E-2</v>
      </c>
      <c r="CR278" s="1111">
        <f t="shared" si="441"/>
        <v>6.6010478652079901E-2</v>
      </c>
      <c r="CS278" s="1111">
        <f t="shared" si="442"/>
        <v>0.136220551325273</v>
      </c>
      <c r="CT278" s="1111">
        <f>SUMIFS(NewEmisData!E:E, NewEmisData!$A:$A, $G278, NewEmisData!$B:$B, $A278, NewEmisData!$C:$C, $H278, NewEmisData!$D:$D, CT$6)</f>
        <v>0.136220551325273</v>
      </c>
      <c r="CU278" s="1111">
        <f>SUMIFS(NewEmisData!F:F, NewEmisData!$A:$A, $G278, NewEmisData!$B:$B, $A278, NewEmisData!$C:$C, $H278, NewEmisData!$D:$D, CU$6)</f>
        <v>7.8581411328771694E-2</v>
      </c>
      <c r="CV278" s="1111">
        <f>SUMIFS(NewEmisData!G:G, NewEmisData!$A:$A, $G278, NewEmisData!$B:$B, $A278, NewEmisData!$C:$C, $H278, NewEmisData!$D:$D, CV$6)</f>
        <v>2.7901639783808298E-2</v>
      </c>
      <c r="CW278" s="1111">
        <f>SUMIFS(NewEmisData!H:H, NewEmisData!$A:$A, $G278, NewEmisData!$B:$B, $A278, NewEmisData!$C:$C, $H278, NewEmisData!$D:$D, CW$6)</f>
        <v>1.918958657892E-2</v>
      </c>
      <c r="CX278" s="1111">
        <f>SUMIFS(NewEmisData!I:I, NewEmisData!$A:$A, $G278, NewEmisData!$B:$B, $A278, NewEmisData!$C:$C, $H278, NewEmisData!$D:$D, CX$6)</f>
        <v>1.63653759329912E-2</v>
      </c>
      <c r="CY278" s="1111">
        <f>SUMIFS(NewEmisData!J:J, NewEmisData!$A:$A, $G278, NewEmisData!$B:$B, $A278, NewEmisData!$C:$C, $H278, NewEmisData!$D:$D, CY$6)</f>
        <v>1.5904522358171299E-2</v>
      </c>
      <c r="CZ278" s="1111">
        <f>SUMIFS(NewEmisData!K:K, NewEmisData!$A:$A, $G278, NewEmisData!$B:$B, $A278, NewEmisData!$C:$C, $H278, NewEmisData!$D:$D, CZ$6)</f>
        <v>1.55783654289861E-2</v>
      </c>
      <c r="DA278" s="1111">
        <f>SUMIFS(NewEmisData!L:L, NewEmisData!$A:$A, $G278, NewEmisData!$B:$B, $A278, NewEmisData!$C:$C, $H278, NewEmisData!$D:$D, DA$6)</f>
        <v>1.5635092695124999E-2</v>
      </c>
      <c r="DB278" s="1111">
        <f>SUMIFS(NewEmisData!M:M, NewEmisData!$A:$A, $G278, NewEmisData!$B:$B, $A278, NewEmisData!$C:$C, $H278, NewEmisData!$D:$D, DB$6)</f>
        <v>1.5654923502366299E-2</v>
      </c>
      <c r="DC278" s="1111">
        <f t="shared" si="443"/>
        <v>1.5654923502366299E-2</v>
      </c>
      <c r="DD278" s="1111"/>
      <c r="DE278" s="1111"/>
      <c r="DF278" s="1111"/>
      <c r="DG278" s="1111"/>
      <c r="DH278" s="1111"/>
      <c r="DI278" s="1111"/>
      <c r="DJ278" s="1111"/>
      <c r="DK278" s="1111"/>
      <c r="DL278" s="1111"/>
      <c r="DM278" s="1111"/>
      <c r="DN278" s="1111"/>
      <c r="DO278" s="1111"/>
      <c r="DP278" s="1111"/>
      <c r="DQ278" s="1111"/>
      <c r="DR278" s="1111"/>
      <c r="DS278" s="1111"/>
      <c r="DT278" s="1111"/>
      <c r="DU278" s="1111"/>
      <c r="DV278" s="1111"/>
      <c r="DW278" s="1111"/>
      <c r="DX278" s="1111"/>
      <c r="DY278" s="1111"/>
      <c r="DZ278" s="1111">
        <f t="shared" si="444"/>
        <v>0.62504346102021602</v>
      </c>
      <c r="EA278" s="1111">
        <f>SUMIFS(NewEmisData!E:E, NewEmisData!$A:$A, $G278, NewEmisData!$B:$B, $A278, NewEmisData!$C:$C, $H278, NewEmisData!$D:$D, EA$6)</f>
        <v>0.62504346102021602</v>
      </c>
      <c r="EB278" s="1111">
        <f>SUMIFS(NewEmisData!F:F, NewEmisData!$A:$A, $G278, NewEmisData!$B:$B, $A278, NewEmisData!$C:$C, $H278, NewEmisData!$D:$D, EB$6)</f>
        <v>0.23204922511968301</v>
      </c>
      <c r="EC278" s="1111">
        <f>SUMIFS(NewEmisData!G:G, NewEmisData!$A:$A, $G278, NewEmisData!$B:$B, $A278, NewEmisData!$C:$C, $H278, NewEmisData!$D:$D, EC$6)</f>
        <v>1.8847290687364501E-2</v>
      </c>
      <c r="ED278" s="1111">
        <f>SUMIFS(NewEmisData!H:H, NewEmisData!$A:$A, $G278, NewEmisData!$B:$B, $A278, NewEmisData!$C:$C, $H278, NewEmisData!$D:$D, ED$6)</f>
        <v>1.50181456752262E-2</v>
      </c>
      <c r="EE278" s="1111">
        <f>SUMIFS(NewEmisData!I:I, NewEmisData!$A:$A, $G278, NewEmisData!$B:$B, $A278, NewEmisData!$C:$C, $H278, NewEmisData!$D:$D, EE$6)</f>
        <v>1.46208045841804E-2</v>
      </c>
      <c r="EF278" s="1111">
        <f>SUMIFS(NewEmisData!J:J, NewEmisData!$A:$A, $G278, NewEmisData!$B:$B, $A278, NewEmisData!$C:$C, $H278, NewEmisData!$D:$D, EF$6)</f>
        <v>1.49239047594049E-2</v>
      </c>
      <c r="EG278" s="1111">
        <f>SUMIFS(NewEmisData!K:K, NewEmisData!$A:$A, $G278, NewEmisData!$B:$B, $A278, NewEmisData!$C:$C, $H278, NewEmisData!$D:$D, EG$6)</f>
        <v>1.5019413019286301E-2</v>
      </c>
      <c r="EH278" s="1111">
        <f>SUMIFS(NewEmisData!L:L, NewEmisData!$A:$A, $G278, NewEmisData!$B:$B, $A278, NewEmisData!$C:$C, $H278, NewEmisData!$D:$D, EH$6)</f>
        <v>1.5153092065068799E-2</v>
      </c>
      <c r="EI278" s="1111">
        <f>SUMIFS(NewEmisData!M:M, NewEmisData!$A:$A, $G278, NewEmisData!$B:$B, $A278, NewEmisData!$C:$C, $H278, NewEmisData!$D:$D, EI$6)</f>
        <v>1.5197280715758399E-2</v>
      </c>
      <c r="EJ278" s="1111">
        <f t="shared" si="445"/>
        <v>1.5197280715758399E-2</v>
      </c>
      <c r="EK278" s="1111">
        <f t="shared" si="446"/>
        <v>1638.3455086040899</v>
      </c>
      <c r="EL278" s="1111">
        <f t="shared" si="343"/>
        <v>1638.3455086040899</v>
      </c>
      <c r="EM278" s="1111">
        <f t="shared" si="344"/>
        <v>1597.91146698485</v>
      </c>
      <c r="EN278" s="1111">
        <f t="shared" si="345"/>
        <v>1675.8815285015601</v>
      </c>
      <c r="EO278" s="1111">
        <f t="shared" si="346"/>
        <v>1650.32431693742</v>
      </c>
      <c r="EP278" s="1111">
        <f t="shared" si="347"/>
        <v>1614.69992415768</v>
      </c>
      <c r="EQ278" s="1111">
        <f t="shared" si="348"/>
        <v>1606.15558948889</v>
      </c>
      <c r="ER278" s="1111">
        <f t="shared" si="349"/>
        <v>1604.0186206973899</v>
      </c>
      <c r="ES278" s="1111">
        <f t="shared" si="350"/>
        <v>1603.71196653328</v>
      </c>
      <c r="ET278" s="1111">
        <f t="shared" si="351"/>
        <v>1603.6927150798599</v>
      </c>
      <c r="EU278" s="1111">
        <f t="shared" si="352"/>
        <v>1603.6927150798599</v>
      </c>
      <c r="EV278" s="1111">
        <f t="shared" si="447"/>
        <v>9.1319765062058504</v>
      </c>
      <c r="EW278" s="1111">
        <f t="shared" si="333"/>
        <v>9.1319765062058504</v>
      </c>
      <c r="EX278" s="1111">
        <f t="shared" si="334"/>
        <v>5.5211126740351997</v>
      </c>
      <c r="EY278" s="1111">
        <f t="shared" si="335"/>
        <v>1.6178749329459601</v>
      </c>
      <c r="EZ278" s="1111">
        <f t="shared" si="336"/>
        <v>1.2717662893164099</v>
      </c>
      <c r="FA278" s="1111">
        <f t="shared" si="337"/>
        <v>1.1726866302876999</v>
      </c>
      <c r="FB278" s="1111">
        <f t="shared" si="338"/>
        <v>1.1568218913658399</v>
      </c>
      <c r="FC278" s="1111">
        <f t="shared" si="339"/>
        <v>1.1498419858081399</v>
      </c>
      <c r="FD278" s="1111">
        <f t="shared" si="340"/>
        <v>1.1502565377520699</v>
      </c>
      <c r="FE278" s="1111">
        <f t="shared" si="341"/>
        <v>1.15043111371947</v>
      </c>
      <c r="FF278" s="1111">
        <f t="shared" si="342"/>
        <v>1.15043111371947</v>
      </c>
      <c r="FG278" s="1111">
        <f t="shared" si="389"/>
        <v>2.8349118417612802E-2</v>
      </c>
      <c r="FH278" s="1111">
        <f t="shared" si="390"/>
        <v>2.8349118417612802E-2</v>
      </c>
      <c r="FI278" s="1111">
        <f t="shared" si="391"/>
        <v>2.7649475988106201E-2</v>
      </c>
      <c r="FJ278" s="1111">
        <f t="shared" si="392"/>
        <v>2.4041393237435399E-2</v>
      </c>
      <c r="FK278" s="1111">
        <f t="shared" si="393"/>
        <v>2.3674756516432201E-2</v>
      </c>
      <c r="FL278" s="1111">
        <f t="shared" si="394"/>
        <v>2.3163709294895699E-2</v>
      </c>
      <c r="FM278" s="1111">
        <f t="shared" si="395"/>
        <v>2.30411322742359E-2</v>
      </c>
      <c r="FN278" s="1111">
        <f t="shared" si="396"/>
        <v>2.30104772532812E-2</v>
      </c>
      <c r="FO278" s="1111">
        <f t="shared" si="397"/>
        <v>2.3006075572322301E-2</v>
      </c>
      <c r="FP278" s="1111">
        <f t="shared" si="398"/>
        <v>2.30058103409179E-2</v>
      </c>
      <c r="FQ278" s="1111">
        <f t="shared" si="399"/>
        <v>2.30058103409179E-2</v>
      </c>
      <c r="FR278" s="1111">
        <f t="shared" si="322"/>
        <v>0.73529708323819798</v>
      </c>
      <c r="FS278" s="1111">
        <f t="shared" si="323"/>
        <v>0.73529708323819798</v>
      </c>
      <c r="FT278" s="1111">
        <f t="shared" si="324"/>
        <v>0.50377232353792301</v>
      </c>
      <c r="FU278" s="1111">
        <f t="shared" si="325"/>
        <v>0.46277242259546703</v>
      </c>
      <c r="FV278" s="1111">
        <f t="shared" si="326"/>
        <v>0.460021400855742</v>
      </c>
      <c r="FW278" s="1111">
        <f t="shared" si="327"/>
        <v>0.452859239004402</v>
      </c>
      <c r="FX278" s="1111">
        <f t="shared" si="328"/>
        <v>0.451173530693247</v>
      </c>
      <c r="FY278" s="1111">
        <f t="shared" si="329"/>
        <v>0.450827249569491</v>
      </c>
      <c r="FZ278" s="1111">
        <f t="shared" si="330"/>
        <v>0.45077517726501898</v>
      </c>
      <c r="GA278" s="1111">
        <f t="shared" si="331"/>
        <v>0.45078915116546198</v>
      </c>
      <c r="GB278" s="1111">
        <f t="shared" si="332"/>
        <v>0.45078915116546198</v>
      </c>
      <c r="GC278" s="1111">
        <f t="shared" si="353"/>
        <v>0.32686256972546901</v>
      </c>
      <c r="GD278" s="1111">
        <f t="shared" si="354"/>
        <v>0.32686256972546901</v>
      </c>
      <c r="GE278" s="1111">
        <f t="shared" si="355"/>
        <v>0.12210843934221401</v>
      </c>
      <c r="GF278" s="1111">
        <f t="shared" si="356"/>
        <v>6.7146210191433603E-2</v>
      </c>
      <c r="GG278" s="1111">
        <f t="shared" si="357"/>
        <v>6.6587970120787598E-2</v>
      </c>
      <c r="GH278" s="1111">
        <f t="shared" si="358"/>
        <v>6.5405051516030002E-2</v>
      </c>
      <c r="GI278" s="1111">
        <f t="shared" si="359"/>
        <v>6.5233637829240507E-2</v>
      </c>
      <c r="GJ278" s="1111">
        <f t="shared" si="360"/>
        <v>6.5212571890131396E-2</v>
      </c>
      <c r="GK278" s="1111">
        <f t="shared" si="361"/>
        <v>6.5238116883072003E-2</v>
      </c>
      <c r="GL278" s="1111">
        <f t="shared" si="362"/>
        <v>6.5252352689838797E-2</v>
      </c>
      <c r="GM278" s="1111">
        <f t="shared" si="363"/>
        <v>6.5252352689838797E-2</v>
      </c>
    </row>
    <row r="279" spans="1:195" x14ac:dyDescent="0.2">
      <c r="A279" s="1071" t="s">
        <v>188</v>
      </c>
      <c r="B279" s="1071" t="str">
        <f>Technologies!C162</f>
        <v>THSCNGC</v>
      </c>
      <c r="C279" s="1071" t="str">
        <f>Technologies!D162</f>
        <v>Heavy Truck, Short Haul, Conventional CNG</v>
      </c>
      <c r="D279" s="1071" t="str">
        <f>NewTech!D109</f>
        <v>bn-vmt, bn-vmt/a</v>
      </c>
      <c r="E279" s="1071" t="str">
        <f>Commodities!C$58</f>
        <v>THCNG</v>
      </c>
      <c r="F279" s="1071" t="s">
        <v>98</v>
      </c>
      <c r="G279" s="1110" t="s">
        <v>505</v>
      </c>
      <c r="H279" s="1110" t="s">
        <v>500</v>
      </c>
      <c r="I279" s="1112">
        <v>1</v>
      </c>
      <c r="J279" s="1111" t="str">
        <f t="shared" si="302"/>
        <v>Heavy duty short haul truck-GSL</v>
      </c>
      <c r="K279" s="1111">
        <f>SUMIFS(NewEmisData!E:E, NewEmisData!$A:$A, $G279, NewEmisData!$B:$B, $A279, NewEmisData!$C:$C, $H279, NewEmisData!$D:$D, K$6)</f>
        <v>1245.3418505198399</v>
      </c>
      <c r="L279" s="1111">
        <f>SUMIFS(NewEmisData!F:F, NewEmisData!$A:$A, $G279, NewEmisData!$B:$B, $A279, NewEmisData!$C:$C, $H279, NewEmisData!$D:$D, L$6)</f>
        <v>1233.52680028807</v>
      </c>
      <c r="M279" s="1111">
        <f>SUMIFS(NewEmisData!G:G, NewEmisData!$A:$A, $G279, NewEmisData!$B:$B, $A279, NewEmisData!$C:$C, $H279, NewEmisData!$D:$D, M$6)</f>
        <v>1155.77413052821</v>
      </c>
      <c r="N279" s="1111">
        <f>SUMIFS(NewEmisData!H:H, NewEmisData!$A:$A, $G279, NewEmisData!$B:$B, $A279, NewEmisData!$C:$C, $H279, NewEmisData!$D:$D, N$6)</f>
        <v>1137.9436610154601</v>
      </c>
      <c r="O279" s="1111">
        <f>SUMIFS(NewEmisData!I:I, NewEmisData!$A:$A, $G279, NewEmisData!$B:$B, $A279, NewEmisData!$C:$C, $H279, NewEmisData!$D:$D, O$6)</f>
        <v>1112.6987382597499</v>
      </c>
      <c r="P279" s="1111">
        <f>SUMIFS(NewEmisData!J:J, NewEmisData!$A:$A, $G279, NewEmisData!$B:$B, $A279, NewEmisData!$C:$C, $H279, NewEmisData!$D:$D, P$6)</f>
        <v>1106.54119248744</v>
      </c>
      <c r="Q279" s="1111">
        <f>SUMIFS(NewEmisData!K:K, NewEmisData!$A:$A, $G279, NewEmisData!$B:$B, $A279, NewEmisData!$C:$C, $H279, NewEmisData!$D:$D, Q$6)</f>
        <v>1105.0069411203201</v>
      </c>
      <c r="R279" s="1111">
        <f>SUMIFS(NewEmisData!L:L, NewEmisData!$A:$A, $G279, NewEmisData!$B:$B, $A279, NewEmisData!$C:$C, $H279, NewEmisData!$D:$D, R$6)</f>
        <v>1104.77778091038</v>
      </c>
      <c r="S279" s="1111">
        <f>SUMIFS(NewEmisData!M:M, NewEmisData!$A:$A, $G279, NewEmisData!$B:$B, $A279, NewEmisData!$C:$C, $H279, NewEmisData!$D:$D, S$6)</f>
        <v>1104.7649925096</v>
      </c>
      <c r="T279" s="1111">
        <f t="shared" si="364"/>
        <v>1104.7649925096</v>
      </c>
      <c r="U279" s="1111">
        <f>SUMIFS(NewEmisData!E:E, NewEmisData!$A:$A, $G279, NewEmisData!$B:$B, $A279, NewEmisData!$C:$C, $H279, NewEmisData!$D:$D, U$6)</f>
        <v>4.9618269183312798</v>
      </c>
      <c r="V279" s="1111">
        <f>SUMIFS(NewEmisData!F:F, NewEmisData!$A:$A, $G279, NewEmisData!$B:$B, $A279, NewEmisData!$C:$C, $H279, NewEmisData!$D:$D, V$6)</f>
        <v>3.5223524226374598</v>
      </c>
      <c r="W279" s="1111">
        <f>SUMIFS(NewEmisData!G:G, NewEmisData!$A:$A, $G279, NewEmisData!$B:$B, $A279, NewEmisData!$C:$C, $H279, NewEmisData!$D:$D, W$6)</f>
        <v>1.2618027970035901</v>
      </c>
      <c r="X279" s="1111">
        <f>SUMIFS(NewEmisData!H:H, NewEmisData!$A:$A, $G279, NewEmisData!$B:$B, $A279, NewEmisData!$C:$C, $H279, NewEmisData!$D:$D, X$6)</f>
        <v>0.99784143742540199</v>
      </c>
      <c r="Y279" s="1111">
        <f>SUMIFS(NewEmisData!I:I, NewEmisData!$A:$A, $G279, NewEmisData!$B:$B, $A279, NewEmisData!$C:$C, $H279, NewEmisData!$D:$D, Y$6)</f>
        <v>0.92115341275504903</v>
      </c>
      <c r="Z279" s="1111">
        <f>SUMIFS(NewEmisData!J:J, NewEmisData!$A:$A, $G279, NewEmisData!$B:$B, $A279, NewEmisData!$C:$C, $H279, NewEmisData!$D:$D, Z$6)</f>
        <v>0.90873745362837199</v>
      </c>
      <c r="AA279" s="1111">
        <f>SUMIFS(NewEmisData!K:K, NewEmisData!$A:$A, $G279, NewEmisData!$B:$B, $A279, NewEmisData!$C:$C, $H279, NewEmisData!$D:$D, AA$6)</f>
        <v>0.903404659383922</v>
      </c>
      <c r="AB279" s="1111">
        <f>SUMIFS(NewEmisData!L:L, NewEmisData!$A:$A, $G279, NewEmisData!$B:$B, $A279, NewEmisData!$C:$C, $H279, NewEmisData!$D:$D, AB$6)</f>
        <v>0.90367749375583695</v>
      </c>
      <c r="AC279" s="1111">
        <f>SUMIFS(NewEmisData!M:M, NewEmisData!$A:$A, $G279, NewEmisData!$B:$B, $A279, NewEmisData!$C:$C, $H279, NewEmisData!$D:$D, AC$6)</f>
        <v>0.90380303336619205</v>
      </c>
      <c r="AD279" s="1111">
        <f t="shared" si="321"/>
        <v>0.90380303336619205</v>
      </c>
      <c r="AE279" s="1111">
        <f t="shared" si="430"/>
        <v>2.2268353622481699E-2</v>
      </c>
      <c r="AF279" s="1111">
        <f>SUMIFS(NewEmisData!E:E, NewEmisData!$A:$A, $G279, NewEmisData!$B:$B, $A279, NewEmisData!$C:$C, $H279, NewEmisData!$D:$D, AF$6)</f>
        <v>2.2268353622481699E-2</v>
      </c>
      <c r="AG279" s="1111">
        <f>SUMIFS(NewEmisData!F:F, NewEmisData!$A:$A, $G279, NewEmisData!$B:$B, $A279, NewEmisData!$C:$C, $H279, NewEmisData!$D:$D, AG$6)</f>
        <v>2.15800397384973E-2</v>
      </c>
      <c r="AH279" s="1111">
        <f>SUMIFS(NewEmisData!G:G, NewEmisData!$A:$A, $G279, NewEmisData!$B:$B, $A279, NewEmisData!$C:$C, $H279, NewEmisData!$D:$D, AH$6)</f>
        <v>1.6580182769147099E-2</v>
      </c>
      <c r="AI279" s="1111">
        <f>SUMIFS(NewEmisData!H:H, NewEmisData!$A:$A, $G279, NewEmisData!$B:$B, $A279, NewEmisData!$C:$C, $H279, NewEmisData!$D:$D, AI$6)</f>
        <v>1.6324389370389901E-2</v>
      </c>
      <c r="AJ279" s="1111">
        <f>SUMIFS(NewEmisData!I:I, NewEmisData!$A:$A, $G279, NewEmisData!$B:$B, $A279, NewEmisData!$C:$C, $H279, NewEmisData!$D:$D, AJ$6)</f>
        <v>1.5962239345052798E-2</v>
      </c>
      <c r="AK279" s="1111">
        <f>SUMIFS(NewEmisData!J:J, NewEmisData!$A:$A, $G279, NewEmisData!$B:$B, $A279, NewEmisData!$C:$C, $H279, NewEmisData!$D:$D, AK$6)</f>
        <v>1.5873905588610002E-2</v>
      </c>
      <c r="AL279" s="1111">
        <f>SUMIFS(NewEmisData!K:K, NewEmisData!$A:$A, $G279, NewEmisData!$B:$B, $A279, NewEmisData!$C:$C, $H279, NewEmisData!$D:$D, AL$6)</f>
        <v>1.5851896144737601E-2</v>
      </c>
      <c r="AM279" s="1111">
        <f>SUMIFS(NewEmisData!L:L, NewEmisData!$A:$A, $G279, NewEmisData!$B:$B, $A279, NewEmisData!$C:$C, $H279, NewEmisData!$D:$D, AM$6)</f>
        <v>1.58486207061387E-2</v>
      </c>
      <c r="AN279" s="1111">
        <f>SUMIFS(NewEmisData!M:M, NewEmisData!$A:$A, $G279, NewEmisData!$B:$B, $A279, NewEmisData!$C:$C, $H279, NewEmisData!$D:$D, AN$6)</f>
        <v>1.5848421937017101E-2</v>
      </c>
      <c r="AO279" s="1111">
        <f t="shared" si="431"/>
        <v>1.5848421937017101E-2</v>
      </c>
      <c r="AP279" s="1111">
        <f t="shared" si="432"/>
        <v>0.316522847739098</v>
      </c>
      <c r="AQ279" s="1111">
        <f>SUMIFS(NewEmisData!E:E, NewEmisData!$A:$A, $G279, NewEmisData!$B:$B, $A279, NewEmisData!$C:$C, $H279, NewEmisData!$D:$D, AQ$6)</f>
        <v>0.316522847739098</v>
      </c>
      <c r="AR279" s="1111">
        <f>SUMIFS(NewEmisData!F:F, NewEmisData!$A:$A, $G279, NewEmisData!$B:$B, $A279, NewEmisData!$C:$C, $H279, NewEmisData!$D:$D, AR$6)</f>
        <v>0.296906260657962</v>
      </c>
      <c r="AS279" s="1111">
        <f>SUMIFS(NewEmisData!G:G, NewEmisData!$A:$A, $G279, NewEmisData!$B:$B, $A279, NewEmisData!$C:$C, $H279, NewEmisData!$D:$D, AS$6)</f>
        <v>0.23822746383424401</v>
      </c>
      <c r="AT279" s="1111">
        <f>SUMIFS(NewEmisData!H:H, NewEmisData!$A:$A, $G279, NewEmisData!$B:$B, $A279, NewEmisData!$C:$C, $H279, NewEmisData!$D:$D, AT$6)</f>
        <v>0.23861290236278199</v>
      </c>
      <c r="AU279" s="1111">
        <f>SUMIFS(NewEmisData!I:I, NewEmisData!$A:$A, $G279, NewEmisData!$B:$B, $A279, NewEmisData!$C:$C, $H279, NewEmisData!$D:$D, AU$6)</f>
        <v>0.23938243498850501</v>
      </c>
      <c r="AV279" s="1111">
        <f>SUMIFS(NewEmisData!J:J, NewEmisData!$A:$A, $G279, NewEmisData!$B:$B, $A279, NewEmisData!$C:$C, $H279, NewEmisData!$D:$D, AV$6)</f>
        <v>0.23966935323295199</v>
      </c>
      <c r="AW279" s="1111">
        <f>SUMIFS(NewEmisData!K:K, NewEmisData!$A:$A, $G279, NewEmisData!$B:$B, $A279, NewEmisData!$C:$C, $H279, NewEmisData!$D:$D, AW$6)</f>
        <v>0.239739729662128</v>
      </c>
      <c r="AX279" s="1111">
        <f>SUMIFS(NewEmisData!L:L, NewEmisData!$A:$A, $G279, NewEmisData!$B:$B, $A279, NewEmisData!$C:$C, $H279, NewEmisData!$D:$D, AX$6)</f>
        <v>0.239781897722738</v>
      </c>
      <c r="AY279" s="1111">
        <f>SUMIFS(NewEmisData!M:M, NewEmisData!$A:$A, $G279, NewEmisData!$B:$B, $A279, NewEmisData!$C:$C, $H279, NewEmisData!$D:$D, AY$6)</f>
        <v>0.23979416449461</v>
      </c>
      <c r="AZ279" s="1111">
        <f t="shared" si="433"/>
        <v>0.23979416449461</v>
      </c>
      <c r="BA279" s="1111">
        <f t="shared" si="434"/>
        <v>8.6551780570898199E-2</v>
      </c>
      <c r="BB279" s="1111">
        <f>SUMIFS(NewEmisData!E:E, NewEmisData!$A:$A, $G279, NewEmisData!$B:$B, $A279, NewEmisData!$C:$C, $H279, NewEmisData!$D:$D, BB$6)</f>
        <v>8.6551780570898199E-2</v>
      </c>
      <c r="BC279" s="1111">
        <f>SUMIFS(NewEmisData!F:F, NewEmisData!$A:$A, $G279, NewEmisData!$B:$B, $A279, NewEmisData!$C:$C, $H279, NewEmisData!$D:$D, BC$6)</f>
        <v>6.4372293434568101E-2</v>
      </c>
      <c r="BD279" s="1111">
        <f>SUMIFS(NewEmisData!G:G, NewEmisData!$A:$A, $G279, NewEmisData!$B:$B, $A279, NewEmisData!$C:$C, $H279, NewEmisData!$D:$D, BD$6)</f>
        <v>3.7426910923255501E-2</v>
      </c>
      <c r="BE279" s="1111">
        <f>SUMIFS(NewEmisData!H:H, NewEmisData!$A:$A, $G279, NewEmisData!$B:$B, $A279, NewEmisData!$C:$C, $H279, NewEmisData!$D:$D, BE$6)</f>
        <v>3.7415863467985699E-2</v>
      </c>
      <c r="BF279" s="1111">
        <f>SUMIFS(NewEmisData!I:I, NewEmisData!$A:$A, $G279, NewEmisData!$B:$B, $A279, NewEmisData!$C:$C, $H279, NewEmisData!$D:$D, BF$6)</f>
        <v>3.7155994555793902E-2</v>
      </c>
      <c r="BG279" s="1111">
        <f>SUMIFS(NewEmisData!J:J, NewEmisData!$A:$A, $G279, NewEmisData!$B:$B, $A279, NewEmisData!$C:$C, $H279, NewEmisData!$D:$D, BG$6)</f>
        <v>3.71692451762419E-2</v>
      </c>
      <c r="BH279" s="1111">
        <f>SUMIFS(NewEmisData!K:K, NewEmisData!$A:$A, $G279, NewEmisData!$B:$B, $A279, NewEmisData!$C:$C, $H279, NewEmisData!$D:$D, BH$6)</f>
        <v>3.71792258741903E-2</v>
      </c>
      <c r="BI279" s="1111">
        <f>SUMIFS(NewEmisData!L:L, NewEmisData!$A:$A, $G279, NewEmisData!$B:$B, $A279, NewEmisData!$C:$C, $H279, NewEmisData!$D:$D, BI$6)</f>
        <v>3.7203306400845099E-2</v>
      </c>
      <c r="BJ279" s="1111">
        <f>SUMIFS(NewEmisData!M:M, NewEmisData!$A:$A, $G279, NewEmisData!$B:$B, $A279, NewEmisData!$C:$C, $H279, NewEmisData!$D:$D, BJ$6)</f>
        <v>3.7213861680524402E-2</v>
      </c>
      <c r="BK279" s="1111">
        <f t="shared" si="435"/>
        <v>3.7213861680524402E-2</v>
      </c>
      <c r="BL279" s="1111">
        <f t="shared" si="436"/>
        <v>44.405857011560997</v>
      </c>
      <c r="BM279" s="1111">
        <f>SUMIFS(NewEmisData!E:E, NewEmisData!$A:$A, $G279, NewEmisData!$B:$B, $A279, NewEmisData!$C:$C, $H279, NewEmisData!$D:$D, BM$6)</f>
        <v>44.405857011560997</v>
      </c>
      <c r="BN279" s="1111">
        <f>SUMIFS(NewEmisData!F:F, NewEmisData!$A:$A, $G279, NewEmisData!$B:$B, $A279, NewEmisData!$C:$C, $H279, NewEmisData!$D:$D, BN$6)</f>
        <v>36.848029493126198</v>
      </c>
      <c r="BO279" s="1111">
        <f>SUMIFS(NewEmisData!G:G, NewEmisData!$A:$A, $G279, NewEmisData!$B:$B, $A279, NewEmisData!$C:$C, $H279, NewEmisData!$D:$D, BO$6)</f>
        <v>14.0750386718197</v>
      </c>
      <c r="BP279" s="1111">
        <f>SUMIFS(NewEmisData!H:H, NewEmisData!$A:$A, $G279, NewEmisData!$B:$B, $A279, NewEmisData!$C:$C, $H279, NewEmisData!$D:$D, BP$6)</f>
        <v>12.254998131296899</v>
      </c>
      <c r="BQ279" s="1111">
        <f>SUMIFS(NewEmisData!I:I, NewEmisData!$A:$A, $G279, NewEmisData!$B:$B, $A279, NewEmisData!$C:$C, $H279, NewEmisData!$D:$D, BQ$6)</f>
        <v>12.2179762392729</v>
      </c>
      <c r="BR279" s="1111">
        <f>SUMIFS(NewEmisData!J:J, NewEmisData!$A:$A, $G279, NewEmisData!$B:$B, $A279, NewEmisData!$C:$C, $H279, NewEmisData!$D:$D, BR$6)</f>
        <v>12.5483128548097</v>
      </c>
      <c r="BS279" s="1111">
        <f>SUMIFS(NewEmisData!K:K, NewEmisData!$A:$A, $G279, NewEmisData!$B:$B, $A279, NewEmisData!$C:$C, $H279, NewEmisData!$D:$D, BS$6)</f>
        <v>12.6290552691631</v>
      </c>
      <c r="BT279" s="1111">
        <f>SUMIFS(NewEmisData!L:L, NewEmisData!$A:$A, $G279, NewEmisData!$B:$B, $A279, NewEmisData!$C:$C, $H279, NewEmisData!$D:$D, BT$6)</f>
        <v>12.756109867155899</v>
      </c>
      <c r="BU279" s="1111">
        <f>SUMIFS(NewEmisData!M:M, NewEmisData!$A:$A, $G279, NewEmisData!$B:$B, $A279, NewEmisData!$C:$C, $H279, NewEmisData!$D:$D, BU$6)</f>
        <v>12.800533369187299</v>
      </c>
      <c r="BV279" s="1111">
        <f t="shared" si="437"/>
        <v>12.800533369187299</v>
      </c>
      <c r="BW279" s="1111">
        <f t="shared" si="438"/>
        <v>2.14680819384954</v>
      </c>
      <c r="BX279" s="1111">
        <f>SUMIFS(NewEmisData!E:E, NewEmisData!$A:$A, $G279, NewEmisData!$B:$B, $A279, NewEmisData!$C:$C, $H279, NewEmisData!$D:$D, BX$6)</f>
        <v>2.14680819384954</v>
      </c>
      <c r="BY279" s="1111">
        <f>SUMIFS(NewEmisData!F:F, NewEmisData!$A:$A, $G279, NewEmisData!$B:$B, $A279, NewEmisData!$C:$C, $H279, NewEmisData!$D:$D, BY$6)</f>
        <v>1.6414932721656601</v>
      </c>
      <c r="BZ279" s="1111">
        <f>SUMIFS(NewEmisData!G:G, NewEmisData!$A:$A, $G279, NewEmisData!$B:$B, $A279, NewEmisData!$C:$C, $H279, NewEmisData!$D:$D, BZ$6)</f>
        <v>0.47923130880280401</v>
      </c>
      <c r="CA279" s="1111">
        <f>SUMIFS(NewEmisData!H:H, NewEmisData!$A:$A, $G279, NewEmisData!$B:$B, $A279, NewEmisData!$C:$C, $H279, NewEmisData!$D:$D, CA$6)</f>
        <v>0.36532781197988201</v>
      </c>
      <c r="CB279" s="1111">
        <f>SUMIFS(NewEmisData!I:I, NewEmisData!$A:$A, $G279, NewEmisData!$B:$B, $A279, NewEmisData!$C:$C, $H279, NewEmisData!$D:$D, CB$6)</f>
        <v>0.334636907672411</v>
      </c>
      <c r="CC279" s="1111">
        <f>SUMIFS(NewEmisData!J:J, NewEmisData!$A:$A, $G279, NewEmisData!$B:$B, $A279, NewEmisData!$C:$C, $H279, NewEmisData!$D:$D, CC$6)</f>
        <v>0.33199768040625</v>
      </c>
      <c r="CD279" s="1111">
        <f>SUMIFS(NewEmisData!K:K, NewEmisData!$A:$A, $G279, NewEmisData!$B:$B, $A279, NewEmisData!$C:$C, $H279, NewEmisData!$D:$D, CD$6)</f>
        <v>0.32940217473438299</v>
      </c>
      <c r="CE279" s="1111">
        <f>SUMIFS(NewEmisData!L:L, NewEmisData!$A:$A, $G279, NewEmisData!$B:$B, $A279, NewEmisData!$C:$C, $H279, NewEmisData!$D:$D, CE$6)</f>
        <v>0.33126268454531199</v>
      </c>
      <c r="CF279" s="1111">
        <f>SUMIFS(NewEmisData!M:M, NewEmisData!$A:$A, $G279, NewEmisData!$B:$B, $A279, NewEmisData!$C:$C, $H279, NewEmisData!$D:$D, CF$6)</f>
        <v>0.331634896570775</v>
      </c>
      <c r="CG279" s="1111">
        <f t="shared" si="439"/>
        <v>0.331634896570775</v>
      </c>
      <c r="CH279" s="1111">
        <f t="shared" si="440"/>
        <v>4.49194482849559E-2</v>
      </c>
      <c r="CI279" s="1111">
        <f>SUMIFS(NewEmisData!E:E, NewEmisData!$A:$A, $G279, NewEmisData!$B:$B, $A279, NewEmisData!$C:$C, $H279, NewEmisData!$D:$D, CI$6)</f>
        <v>4.49194482849559E-2</v>
      </c>
      <c r="CJ279" s="1111">
        <f>SUMIFS(NewEmisData!F:F, NewEmisData!$A:$A, $G279, NewEmisData!$B:$B, $A279, NewEmisData!$C:$C, $H279, NewEmisData!$D:$D, CJ$6)</f>
        <v>4.5044780297083503E-2</v>
      </c>
      <c r="CK279" s="1111">
        <f>SUMIFS(NewEmisData!G:G, NewEmisData!$A:$A, $G279, NewEmisData!$B:$B, $A279, NewEmisData!$C:$C, $H279, NewEmisData!$D:$D, CK$6)</f>
        <v>4.5736190408202697E-2</v>
      </c>
      <c r="CL279" s="1111">
        <f>SUMIFS(NewEmisData!H:H, NewEmisData!$A:$A, $G279, NewEmisData!$B:$B, $A279, NewEmisData!$C:$C, $H279, NewEmisData!$D:$D, CL$6)</f>
        <v>4.5759494534362899E-2</v>
      </c>
      <c r="CM279" s="1111">
        <f>SUMIFS(NewEmisData!I:I, NewEmisData!$A:$A, $G279, NewEmisData!$B:$B, $A279, NewEmisData!$C:$C, $H279, NewEmisData!$D:$D, CM$6)</f>
        <v>4.5817996189111899E-2</v>
      </c>
      <c r="CN279" s="1111">
        <f>SUMIFS(NewEmisData!J:J, NewEmisData!$A:$A, $G279, NewEmisData!$B:$B, $A279, NewEmisData!$C:$C, $H279, NewEmisData!$D:$D, CN$6)</f>
        <v>4.5833049406016901E-2</v>
      </c>
      <c r="CO279" s="1111">
        <f>SUMIFS(NewEmisData!K:K, NewEmisData!$A:$A, $G279, NewEmisData!$B:$B, $A279, NewEmisData!$C:$C, $H279, NewEmisData!$D:$D, CO$6)</f>
        <v>4.5836329184160897E-2</v>
      </c>
      <c r="CP279" s="1111">
        <f>SUMIFS(NewEmisData!L:L, NewEmisData!$A:$A, $G279, NewEmisData!$B:$B, $A279, NewEmisData!$C:$C, $H279, NewEmisData!$D:$D, CP$6)</f>
        <v>4.58372025008323E-2</v>
      </c>
      <c r="CQ279" s="1111">
        <f>SUMIFS(NewEmisData!M:M, NewEmisData!$A:$A, $G279, NewEmisData!$B:$B, $A279, NewEmisData!$C:$C, $H279, NewEmisData!$D:$D, CQ$6)</f>
        <v>4.5837179172897799E-2</v>
      </c>
      <c r="CR279" s="1111">
        <f t="shared" si="441"/>
        <v>4.5837179172897799E-2</v>
      </c>
      <c r="CS279" s="1111">
        <f t="shared" si="442"/>
        <v>4.23785786247831E-2</v>
      </c>
      <c r="CT279" s="1111">
        <f>SUMIFS(NewEmisData!E:E, NewEmisData!$A:$A, $G279, NewEmisData!$B:$B, $A279, NewEmisData!$C:$C, $H279, NewEmisData!$D:$D, CT$6)</f>
        <v>4.23785786247831E-2</v>
      </c>
      <c r="CU279" s="1111">
        <f>SUMIFS(NewEmisData!F:F, NewEmisData!$A:$A, $G279, NewEmisData!$B:$B, $A279, NewEmisData!$C:$C, $H279, NewEmisData!$D:$D, CU$6)</f>
        <v>3.6476147142376902E-2</v>
      </c>
      <c r="CV279" s="1111">
        <f>SUMIFS(NewEmisData!G:G, NewEmisData!$A:$A, $G279, NewEmisData!$B:$B, $A279, NewEmisData!$C:$C, $H279, NewEmisData!$D:$D, CV$6)</f>
        <v>1.5910071003880501E-2</v>
      </c>
      <c r="CW279" s="1111">
        <f>SUMIFS(NewEmisData!H:H, NewEmisData!$A:$A, $G279, NewEmisData!$B:$B, $A279, NewEmisData!$C:$C, $H279, NewEmisData!$D:$D, CW$6)</f>
        <v>1.0887161334639401E-2</v>
      </c>
      <c r="CX279" s="1111">
        <f>SUMIFS(NewEmisData!I:I, NewEmisData!$A:$A, $G279, NewEmisData!$B:$B, $A279, NewEmisData!$C:$C, $H279, NewEmisData!$D:$D, CX$6)</f>
        <v>9.2481178897355007E-3</v>
      </c>
      <c r="CY279" s="1111">
        <f>SUMIFS(NewEmisData!J:J, NewEmisData!$A:$A, $G279, NewEmisData!$B:$B, $A279, NewEmisData!$C:$C, $H279, NewEmisData!$D:$D, CY$6)</f>
        <v>8.9851479443452901E-3</v>
      </c>
      <c r="CZ279" s="1111">
        <f>SUMIFS(NewEmisData!K:K, NewEmisData!$A:$A, $G279, NewEmisData!$B:$B, $A279, NewEmisData!$C:$C, $H279, NewEmisData!$D:$D, CZ$6)</f>
        <v>8.7728322711615007E-3</v>
      </c>
      <c r="DA279" s="1111">
        <f>SUMIFS(NewEmisData!L:L, NewEmisData!$A:$A, $G279, NewEmisData!$B:$B, $A279, NewEmisData!$C:$C, $H279, NewEmisData!$D:$D, DA$6)</f>
        <v>8.8121160479205408E-3</v>
      </c>
      <c r="DB279" s="1111">
        <f>SUMIFS(NewEmisData!M:M, NewEmisData!$A:$A, $G279, NewEmisData!$B:$B, $A279, NewEmisData!$C:$C, $H279, NewEmisData!$D:$D, DB$6)</f>
        <v>8.8260551340968493E-3</v>
      </c>
      <c r="DC279" s="1111">
        <f t="shared" si="443"/>
        <v>8.8260551340968493E-3</v>
      </c>
      <c r="DD279" s="1111"/>
      <c r="DE279" s="1111"/>
      <c r="DF279" s="1111"/>
      <c r="DG279" s="1111"/>
      <c r="DH279" s="1111"/>
      <c r="DI279" s="1111"/>
      <c r="DJ279" s="1111"/>
      <c r="DK279" s="1111"/>
      <c r="DL279" s="1111"/>
      <c r="DM279" s="1111"/>
      <c r="DN279" s="1111"/>
      <c r="DO279" s="1111"/>
      <c r="DP279" s="1111"/>
      <c r="DQ279" s="1111"/>
      <c r="DR279" s="1111"/>
      <c r="DS279" s="1111"/>
      <c r="DT279" s="1111"/>
      <c r="DU279" s="1111"/>
      <c r="DV279" s="1111"/>
      <c r="DW279" s="1111"/>
      <c r="DX279" s="1111"/>
      <c r="DY279" s="1111"/>
      <c r="DZ279" s="1111">
        <f t="shared" si="444"/>
        <v>7.9223624422698202E-2</v>
      </c>
      <c r="EA279" s="1111">
        <f>SUMIFS(NewEmisData!E:E, NewEmisData!$A:$A, $G279, NewEmisData!$B:$B, $A279, NewEmisData!$C:$C, $H279, NewEmisData!$D:$D, EA$6)</f>
        <v>7.9223624422698202E-2</v>
      </c>
      <c r="EB279" s="1111">
        <f>SUMIFS(NewEmisData!F:F, NewEmisData!$A:$A, $G279, NewEmisData!$B:$B, $A279, NewEmisData!$C:$C, $H279, NewEmisData!$D:$D, EB$6)</f>
        <v>4.9616772406464199E-2</v>
      </c>
      <c r="EC279" s="1111">
        <f>SUMIFS(NewEmisData!G:G, NewEmisData!$A:$A, $G279, NewEmisData!$B:$B, $A279, NewEmisData!$C:$C, $H279, NewEmisData!$D:$D, EC$6)</f>
        <v>1.1730401934771701E-2</v>
      </c>
      <c r="ED279" s="1111">
        <f>SUMIFS(NewEmisData!H:H, NewEmisData!$A:$A, $G279, NewEmisData!$B:$B, $A279, NewEmisData!$C:$C, $H279, NewEmisData!$D:$D, ED$6)</f>
        <v>9.4240573443951908E-3</v>
      </c>
      <c r="EE279" s="1111">
        <f>SUMIFS(NewEmisData!I:I, NewEmisData!$A:$A, $G279, NewEmisData!$B:$B, $A279, NewEmisData!$C:$C, $H279, NewEmisData!$D:$D, EE$6)</f>
        <v>9.2771376980736696E-3</v>
      </c>
      <c r="EF279" s="1111">
        <f>SUMIFS(NewEmisData!J:J, NewEmisData!$A:$A, $G279, NewEmisData!$B:$B, $A279, NewEmisData!$C:$C, $H279, NewEmisData!$D:$D, EF$6)</f>
        <v>9.4970065030402697E-3</v>
      </c>
      <c r="EG279" s="1111">
        <f>SUMIFS(NewEmisData!K:K, NewEmisData!$A:$A, $G279, NewEmisData!$B:$B, $A279, NewEmisData!$C:$C, $H279, NewEmisData!$D:$D, EG$6)</f>
        <v>9.5652604789833208E-3</v>
      </c>
      <c r="EH279" s="1111">
        <f>SUMIFS(NewEmisData!L:L, NewEmisData!$A:$A, $G279, NewEmisData!$B:$B, $A279, NewEmisData!$C:$C, $H279, NewEmisData!$D:$D, EH$6)</f>
        <v>9.6560772920169392E-3</v>
      </c>
      <c r="EI279" s="1111">
        <f>SUMIFS(NewEmisData!M:M, NewEmisData!$A:$A, $G279, NewEmisData!$B:$B, $A279, NewEmisData!$C:$C, $H279, NewEmisData!$D:$D, EI$6)</f>
        <v>9.6867337196690894E-3</v>
      </c>
      <c r="EJ279" s="1111">
        <f t="shared" si="445"/>
        <v>9.6867337196690894E-3</v>
      </c>
      <c r="EK279" s="1111">
        <f t="shared" si="446"/>
        <v>1245.3418505198399</v>
      </c>
      <c r="EL279" s="1111">
        <f t="shared" si="343"/>
        <v>1245.3418505198399</v>
      </c>
      <c r="EM279" s="1111">
        <f t="shared" si="344"/>
        <v>1233.52680028807</v>
      </c>
      <c r="EN279" s="1111">
        <f t="shared" si="345"/>
        <v>1155.77413052821</v>
      </c>
      <c r="EO279" s="1111">
        <f t="shared" si="346"/>
        <v>1137.9436610154601</v>
      </c>
      <c r="EP279" s="1111">
        <f t="shared" si="347"/>
        <v>1112.6987382597499</v>
      </c>
      <c r="EQ279" s="1111">
        <f t="shared" si="348"/>
        <v>1106.54119248744</v>
      </c>
      <c r="ER279" s="1111">
        <f t="shared" si="349"/>
        <v>1105.0069411203201</v>
      </c>
      <c r="ES279" s="1111">
        <f t="shared" si="350"/>
        <v>1104.77778091038</v>
      </c>
      <c r="ET279" s="1111">
        <f t="shared" si="351"/>
        <v>1104.7649925096</v>
      </c>
      <c r="EU279" s="1111">
        <f t="shared" si="352"/>
        <v>1104.7649925096</v>
      </c>
      <c r="EV279" s="1111">
        <f t="shared" si="447"/>
        <v>4.9618269183312798</v>
      </c>
      <c r="EW279" s="1111">
        <f t="shared" si="333"/>
        <v>4.9618269183312798</v>
      </c>
      <c r="EX279" s="1111">
        <f t="shared" si="334"/>
        <v>3.5223524226374598</v>
      </c>
      <c r="EY279" s="1111">
        <f t="shared" si="335"/>
        <v>1.2618027970035901</v>
      </c>
      <c r="EZ279" s="1111">
        <f t="shared" si="336"/>
        <v>0.99784143742540199</v>
      </c>
      <c r="FA279" s="1111">
        <f t="shared" si="337"/>
        <v>0.92115341275504903</v>
      </c>
      <c r="FB279" s="1111">
        <f t="shared" si="338"/>
        <v>0.90873745362837199</v>
      </c>
      <c r="FC279" s="1111">
        <f t="shared" si="339"/>
        <v>0.903404659383922</v>
      </c>
      <c r="FD279" s="1111">
        <f t="shared" si="340"/>
        <v>0.90367749375583695</v>
      </c>
      <c r="FE279" s="1111">
        <f t="shared" si="341"/>
        <v>0.90380303336619205</v>
      </c>
      <c r="FF279" s="1111">
        <f t="shared" si="342"/>
        <v>0.90380303336619205</v>
      </c>
      <c r="FG279" s="1111">
        <f t="shared" si="389"/>
        <v>2.2268353622481699E-2</v>
      </c>
      <c r="FH279" s="1111">
        <f t="shared" si="390"/>
        <v>2.2268353622481699E-2</v>
      </c>
      <c r="FI279" s="1111">
        <f t="shared" si="391"/>
        <v>2.15800397384973E-2</v>
      </c>
      <c r="FJ279" s="1111">
        <f t="shared" si="392"/>
        <v>1.6580182769147099E-2</v>
      </c>
      <c r="FK279" s="1111">
        <f t="shared" si="393"/>
        <v>1.6324389370389901E-2</v>
      </c>
      <c r="FL279" s="1111">
        <f t="shared" si="394"/>
        <v>1.5962239345052798E-2</v>
      </c>
      <c r="FM279" s="1111">
        <f t="shared" si="395"/>
        <v>1.5873905588610002E-2</v>
      </c>
      <c r="FN279" s="1111">
        <f t="shared" si="396"/>
        <v>1.5851896144737601E-2</v>
      </c>
      <c r="FO279" s="1111">
        <f t="shared" si="397"/>
        <v>1.58486207061387E-2</v>
      </c>
      <c r="FP279" s="1111">
        <f t="shared" si="398"/>
        <v>1.5848421937017101E-2</v>
      </c>
      <c r="FQ279" s="1111">
        <f t="shared" si="399"/>
        <v>1.5848421937017101E-2</v>
      </c>
      <c r="FR279" s="1111">
        <f t="shared" si="322"/>
        <v>0.316522847739098</v>
      </c>
      <c r="FS279" s="1111">
        <f t="shared" si="323"/>
        <v>0.316522847739098</v>
      </c>
      <c r="FT279" s="1111">
        <f t="shared" si="324"/>
        <v>0.296906260657962</v>
      </c>
      <c r="FU279" s="1111">
        <f t="shared" si="325"/>
        <v>0.23822746383424401</v>
      </c>
      <c r="FV279" s="1111">
        <f t="shared" si="326"/>
        <v>0.23861290236278199</v>
      </c>
      <c r="FW279" s="1111">
        <f t="shared" si="327"/>
        <v>0.23938243498850501</v>
      </c>
      <c r="FX279" s="1111">
        <f t="shared" si="328"/>
        <v>0.23966935323295199</v>
      </c>
      <c r="FY279" s="1111">
        <f t="shared" si="329"/>
        <v>0.239739729662128</v>
      </c>
      <c r="FZ279" s="1111">
        <f t="shared" si="330"/>
        <v>0.239781897722738</v>
      </c>
      <c r="GA279" s="1111">
        <f t="shared" si="331"/>
        <v>0.23979416449461</v>
      </c>
      <c r="GB279" s="1111">
        <f t="shared" si="332"/>
        <v>0.23979416449461</v>
      </c>
      <c r="GC279" s="1111">
        <f t="shared" si="353"/>
        <v>8.6551780570898199E-2</v>
      </c>
      <c r="GD279" s="1111">
        <f t="shared" si="354"/>
        <v>8.6551780570898199E-2</v>
      </c>
      <c r="GE279" s="1111">
        <f t="shared" si="355"/>
        <v>6.4372293434568101E-2</v>
      </c>
      <c r="GF279" s="1111">
        <f t="shared" si="356"/>
        <v>3.7426910923255501E-2</v>
      </c>
      <c r="GG279" s="1111">
        <f t="shared" si="357"/>
        <v>3.7415863467985699E-2</v>
      </c>
      <c r="GH279" s="1111">
        <f t="shared" si="358"/>
        <v>3.7155994555793902E-2</v>
      </c>
      <c r="GI279" s="1111">
        <f t="shared" si="359"/>
        <v>3.71692451762419E-2</v>
      </c>
      <c r="GJ279" s="1111">
        <f t="shared" si="360"/>
        <v>3.71792258741903E-2</v>
      </c>
      <c r="GK279" s="1111">
        <f t="shared" si="361"/>
        <v>3.7203306400845099E-2</v>
      </c>
      <c r="GL279" s="1111">
        <f t="shared" si="362"/>
        <v>3.7213861680524402E-2</v>
      </c>
      <c r="GM279" s="1111">
        <f t="shared" si="363"/>
        <v>3.7213861680524402E-2</v>
      </c>
    </row>
    <row r="280" spans="1:195" x14ac:dyDescent="0.2">
      <c r="A280" s="1071" t="s">
        <v>190</v>
      </c>
      <c r="B280" s="1071" t="str">
        <f>Technologies!C162</f>
        <v>THSCNGC</v>
      </c>
      <c r="C280" s="1071" t="str">
        <f>Technologies!D162</f>
        <v>Heavy Truck, Short Haul, Conventional CNG</v>
      </c>
      <c r="D280" s="1071" t="str">
        <f>NewTech!D109</f>
        <v>bn-vmt, bn-vmt/a</v>
      </c>
      <c r="E280" s="1071" t="str">
        <f>Commodities!C$58</f>
        <v>THCNG</v>
      </c>
      <c r="F280" s="1071" t="s">
        <v>98</v>
      </c>
      <c r="G280" s="1110" t="s">
        <v>505</v>
      </c>
      <c r="H280" s="1110" t="s">
        <v>500</v>
      </c>
      <c r="I280" s="1112">
        <v>1</v>
      </c>
      <c r="J280" s="1111" t="str">
        <f t="shared" si="302"/>
        <v>Heavy duty short haul truck-GSL</v>
      </c>
      <c r="K280" s="1111">
        <f>SUMIFS(NewEmisData!E:E, NewEmisData!$A:$A, $G280, NewEmisData!$B:$B, $A280, NewEmisData!$C:$C, $H280, NewEmisData!$D:$D, K$6)</f>
        <v>1241.38928176117</v>
      </c>
      <c r="L280" s="1111">
        <f>SUMIFS(NewEmisData!F:F, NewEmisData!$A:$A, $G280, NewEmisData!$B:$B, $A280, NewEmisData!$C:$C, $H280, NewEmisData!$D:$D, L$6)</f>
        <v>1226.10777955711</v>
      </c>
      <c r="M280" s="1111">
        <f>SUMIFS(NewEmisData!G:G, NewEmisData!$A:$A, $G280, NewEmisData!$B:$B, $A280, NewEmisData!$C:$C, $H280, NewEmisData!$D:$D, M$6)</f>
        <v>1383.33894651986</v>
      </c>
      <c r="N280" s="1111">
        <f>SUMIFS(NewEmisData!H:H, NewEmisData!$A:$A, $G280, NewEmisData!$B:$B, $A280, NewEmisData!$C:$C, $H280, NewEmisData!$D:$D, N$6)</f>
        <v>1356.5010921445701</v>
      </c>
      <c r="O280" s="1111">
        <f>SUMIFS(NewEmisData!I:I, NewEmisData!$A:$A, $G280, NewEmisData!$B:$B, $A280, NewEmisData!$C:$C, $H280, NewEmisData!$D:$D, O$6)</f>
        <v>1306.9931195674901</v>
      </c>
      <c r="P280" s="1111">
        <f>SUMIFS(NewEmisData!J:J, NewEmisData!$A:$A, $G280, NewEmisData!$B:$B, $A280, NewEmisData!$C:$C, $H280, NewEmisData!$D:$D, P$6)</f>
        <v>1294.5393575191799</v>
      </c>
      <c r="Q280" s="1111">
        <f>SUMIFS(NewEmisData!K:K, NewEmisData!$A:$A, $G280, NewEmisData!$B:$B, $A280, NewEmisData!$C:$C, $H280, NewEmisData!$D:$D, Q$6)</f>
        <v>1291.60029261402</v>
      </c>
      <c r="R280" s="1111">
        <f>SUMIFS(NewEmisData!L:L, NewEmisData!$A:$A, $G280, NewEmisData!$B:$B, $A280, NewEmisData!$C:$C, $H280, NewEmisData!$D:$D, R$6)</f>
        <v>1291.22786948009</v>
      </c>
      <c r="S280" s="1111">
        <f>SUMIFS(NewEmisData!M:M, NewEmisData!$A:$A, $G280, NewEmisData!$B:$B, $A280, NewEmisData!$C:$C, $H280, NewEmisData!$D:$D, S$6)</f>
        <v>1291.2762589420699</v>
      </c>
      <c r="T280" s="1111">
        <f t="shared" si="364"/>
        <v>1291.2762589420699</v>
      </c>
      <c r="U280" s="1111">
        <f>SUMIFS(NewEmisData!E:E, NewEmisData!$A:$A, $G280, NewEmisData!$B:$B, $A280, NewEmisData!$C:$C, $H280, NewEmisData!$D:$D, U$6)</f>
        <v>6.2719490238573599</v>
      </c>
      <c r="V280" s="1111">
        <f>SUMIFS(NewEmisData!F:F, NewEmisData!$A:$A, $G280, NewEmisData!$B:$B, $A280, NewEmisData!$C:$C, $H280, NewEmisData!$D:$D, V$6)</f>
        <v>3.54586562371545</v>
      </c>
      <c r="W280" s="1111">
        <f>SUMIFS(NewEmisData!G:G, NewEmisData!$A:$A, $G280, NewEmisData!$B:$B, $A280, NewEmisData!$C:$C, $H280, NewEmisData!$D:$D, W$6)</f>
        <v>1.5390863619428401</v>
      </c>
      <c r="X280" s="1111">
        <f>SUMIFS(NewEmisData!H:H, NewEmisData!$A:$A, $G280, NewEmisData!$B:$B, $A280, NewEmisData!$C:$C, $H280, NewEmisData!$D:$D, X$6)</f>
        <v>1.17307553707704</v>
      </c>
      <c r="Y280" s="1111">
        <f>SUMIFS(NewEmisData!I:I, NewEmisData!$A:$A, $G280, NewEmisData!$B:$B, $A280, NewEmisData!$C:$C, $H280, NewEmisData!$D:$D, Y$6)</f>
        <v>1.0487695492759499</v>
      </c>
      <c r="Z280" s="1111">
        <f>SUMIFS(NewEmisData!J:J, NewEmisData!$A:$A, $G280, NewEmisData!$B:$B, $A280, NewEmisData!$C:$C, $H280, NewEmisData!$D:$D, Z$6)</f>
        <v>1.0243777697646099</v>
      </c>
      <c r="AA280" s="1111">
        <f>SUMIFS(NewEmisData!K:K, NewEmisData!$A:$A, $G280, NewEmisData!$B:$B, $A280, NewEmisData!$C:$C, $H280, NewEmisData!$D:$D, AA$6)</f>
        <v>1.01315476025102</v>
      </c>
      <c r="AB280" s="1111">
        <f>SUMIFS(NewEmisData!L:L, NewEmisData!$A:$A, $G280, NewEmisData!$B:$B, $A280, NewEmisData!$C:$C, $H280, NewEmisData!$D:$D, AB$6)</f>
        <v>1.01368282027686</v>
      </c>
      <c r="AC280" s="1111">
        <f>SUMIFS(NewEmisData!M:M, NewEmisData!$A:$A, $G280, NewEmisData!$B:$B, $A280, NewEmisData!$C:$C, $H280, NewEmisData!$D:$D, AC$6)</f>
        <v>1.0139821488193099</v>
      </c>
      <c r="AD280" s="1111">
        <f t="shared" si="321"/>
        <v>1.0139821488193099</v>
      </c>
      <c r="AE280" s="1111">
        <f t="shared" si="430"/>
        <v>2.1480399186289099E-2</v>
      </c>
      <c r="AF280" s="1111">
        <f>SUMIFS(NewEmisData!E:E, NewEmisData!$A:$A, $G280, NewEmisData!$B:$B, $A280, NewEmisData!$C:$C, $H280, NewEmisData!$D:$D, AF$6)</f>
        <v>2.1480399186289099E-2</v>
      </c>
      <c r="AG280" s="1111">
        <f>SUMIFS(NewEmisData!F:F, NewEmisData!$A:$A, $G280, NewEmisData!$B:$B, $A280, NewEmisData!$C:$C, $H280, NewEmisData!$D:$D, AG$6)</f>
        <v>2.12159707578937E-2</v>
      </c>
      <c r="AH280" s="1111">
        <f>SUMIFS(NewEmisData!G:G, NewEmisData!$A:$A, $G280, NewEmisData!$B:$B, $A280, NewEmisData!$C:$C, $H280, NewEmisData!$D:$D, AH$6)</f>
        <v>1.98447183890453E-2</v>
      </c>
      <c r="AI280" s="1111">
        <f>SUMIFS(NewEmisData!H:H, NewEmisData!$A:$A, $G280, NewEmisData!$B:$B, $A280, NewEmisData!$C:$C, $H280, NewEmisData!$D:$D, AI$6)</f>
        <v>1.9459715058680899E-2</v>
      </c>
      <c r="AJ280" s="1111">
        <f>SUMIFS(NewEmisData!I:I, NewEmisData!$A:$A, $G280, NewEmisData!$B:$B, $A280, NewEmisData!$C:$C, $H280, NewEmisData!$D:$D, AJ$6)</f>
        <v>1.8749491555680699E-2</v>
      </c>
      <c r="AK280" s="1111">
        <f>SUMIFS(NewEmisData!J:J, NewEmisData!$A:$A, $G280, NewEmisData!$B:$B, $A280, NewEmisData!$C:$C, $H280, NewEmisData!$D:$D, AK$6)</f>
        <v>1.8570836872203001E-2</v>
      </c>
      <c r="AL280" s="1111">
        <f>SUMIFS(NewEmisData!K:K, NewEmisData!$A:$A, $G280, NewEmisData!$B:$B, $A280, NewEmisData!$C:$C, $H280, NewEmisData!$D:$D, AL$6)</f>
        <v>1.8528673088893999E-2</v>
      </c>
      <c r="AM280" s="1111">
        <f>SUMIFS(NewEmisData!L:L, NewEmisData!$A:$A, $G280, NewEmisData!$B:$B, $A280, NewEmisData!$C:$C, $H280, NewEmisData!$D:$D, AM$6)</f>
        <v>1.8523329942848499E-2</v>
      </c>
      <c r="AN280" s="1111">
        <f>SUMIFS(NewEmisData!M:M, NewEmisData!$A:$A, $G280, NewEmisData!$B:$B, $A280, NewEmisData!$C:$C, $H280, NewEmisData!$D:$D, AN$6)</f>
        <v>1.85240308404678E-2</v>
      </c>
      <c r="AO280" s="1111">
        <f t="shared" si="431"/>
        <v>1.85240308404678E-2</v>
      </c>
      <c r="AP280" s="1111">
        <f t="shared" si="432"/>
        <v>0.431302480142082</v>
      </c>
      <c r="AQ280" s="1111">
        <f>SUMIFS(NewEmisData!E:E, NewEmisData!$A:$A, $G280, NewEmisData!$B:$B, $A280, NewEmisData!$C:$C, $H280, NewEmisData!$D:$D, AQ$6)</f>
        <v>0.431302480142082</v>
      </c>
      <c r="AR280" s="1111">
        <f>SUMIFS(NewEmisData!F:F, NewEmisData!$A:$A, $G280, NewEmisData!$B:$B, $A280, NewEmisData!$C:$C, $H280, NewEmisData!$D:$D, AR$6)</f>
        <v>0.30380256982536802</v>
      </c>
      <c r="AS280" s="1111">
        <f>SUMIFS(NewEmisData!G:G, NewEmisData!$A:$A, $G280, NewEmisData!$B:$B, $A280, NewEmisData!$C:$C, $H280, NewEmisData!$D:$D, AS$6)</f>
        <v>0.33709491699606497</v>
      </c>
      <c r="AT280" s="1111">
        <f>SUMIFS(NewEmisData!H:H, NewEmisData!$A:$A, $G280, NewEmisData!$B:$B, $A280, NewEmisData!$C:$C, $H280, NewEmisData!$D:$D, AT$6)</f>
        <v>0.33516632877566999</v>
      </c>
      <c r="AU280" s="1111">
        <f>SUMIFS(NewEmisData!I:I, NewEmisData!$A:$A, $G280, NewEmisData!$B:$B, $A280, NewEmisData!$C:$C, $H280, NewEmisData!$D:$D, AU$6)</f>
        <v>0.32912031916096701</v>
      </c>
      <c r="AV280" s="1111">
        <f>SUMIFS(NewEmisData!J:J, NewEmisData!$A:$A, $G280, NewEmisData!$B:$B, $A280, NewEmisData!$C:$C, $H280, NewEmisData!$D:$D, AV$6)</f>
        <v>0.32758501468683399</v>
      </c>
      <c r="AW280" s="1111">
        <f>SUMIFS(NewEmisData!K:K, NewEmisData!$A:$A, $G280, NewEmisData!$B:$B, $A280, NewEmisData!$C:$C, $H280, NewEmisData!$D:$D, AW$6)</f>
        <v>0.32722883547270099</v>
      </c>
      <c r="AX280" s="1111">
        <f>SUMIFS(NewEmisData!L:L, NewEmisData!$A:$A, $G280, NewEmisData!$B:$B, $A280, NewEmisData!$C:$C, $H280, NewEmisData!$D:$D, AX$6)</f>
        <v>0.32719882154575503</v>
      </c>
      <c r="AY280" s="1111">
        <f>SUMIFS(NewEmisData!M:M, NewEmisData!$A:$A, $G280, NewEmisData!$B:$B, $A280, NewEmisData!$C:$C, $H280, NewEmisData!$D:$D, AY$6)</f>
        <v>0.327223389729702</v>
      </c>
      <c r="AZ280" s="1111">
        <f t="shared" si="433"/>
        <v>0.327223389729702</v>
      </c>
      <c r="BA280" s="1111">
        <f t="shared" si="434"/>
        <v>0.17747003545562401</v>
      </c>
      <c r="BB280" s="1111">
        <f>SUMIFS(NewEmisData!E:E, NewEmisData!$A:$A, $G280, NewEmisData!$B:$B, $A280, NewEmisData!$C:$C, $H280, NewEmisData!$D:$D, BB$6)</f>
        <v>0.17747003545562401</v>
      </c>
      <c r="BC280" s="1111">
        <f>SUMIFS(NewEmisData!F:F, NewEmisData!$A:$A, $G280, NewEmisData!$B:$B, $A280, NewEmisData!$C:$C, $H280, NewEmisData!$D:$D, BC$6)</f>
        <v>6.4774980240540195E-2</v>
      </c>
      <c r="BD280" s="1111">
        <f>SUMIFS(NewEmisData!G:G, NewEmisData!$A:$A, $G280, NewEmisData!$B:$B, $A280, NewEmisData!$C:$C, $H280, NewEmisData!$D:$D, BD$6)</f>
        <v>5.2197571243419401E-2</v>
      </c>
      <c r="BE280" s="1111">
        <f>SUMIFS(NewEmisData!H:H, NewEmisData!$A:$A, $G280, NewEmisData!$B:$B, $A280, NewEmisData!$C:$C, $H280, NewEmisData!$D:$D, BE$6)</f>
        <v>5.1709470142354899E-2</v>
      </c>
      <c r="BF280" s="1111">
        <f>SUMIFS(NewEmisData!I:I, NewEmisData!$A:$A, $G280, NewEmisData!$B:$B, $A280, NewEmisData!$C:$C, $H280, NewEmisData!$D:$D, BF$6)</f>
        <v>5.0080554256354597E-2</v>
      </c>
      <c r="BG280" s="1111">
        <f>SUMIFS(NewEmisData!J:J, NewEmisData!$A:$A, $G280, NewEmisData!$B:$B, $A280, NewEmisData!$C:$C, $H280, NewEmisData!$D:$D, BG$6)</f>
        <v>4.9730195246478197E-2</v>
      </c>
      <c r="BH280" s="1111">
        <f>SUMIFS(NewEmisData!K:K, NewEmisData!$A:$A, $G280, NewEmisData!$B:$B, $A280, NewEmisData!$C:$C, $H280, NewEmisData!$D:$D, BH$6)</f>
        <v>4.9636064827908E-2</v>
      </c>
      <c r="BI280" s="1111">
        <f>SUMIFS(NewEmisData!L:L, NewEmisData!$A:$A, $G280, NewEmisData!$B:$B, $A280, NewEmisData!$C:$C, $H280, NewEmisData!$D:$D, BI$6)</f>
        <v>4.96653353802936E-2</v>
      </c>
      <c r="BJ280" s="1111">
        <f>SUMIFS(NewEmisData!M:M, NewEmisData!$A:$A, $G280, NewEmisData!$B:$B, $A280, NewEmisData!$C:$C, $H280, NewEmisData!$D:$D, BJ$6)</f>
        <v>4.9688283166283001E-2</v>
      </c>
      <c r="BK280" s="1111">
        <f t="shared" si="435"/>
        <v>4.9688283166283001E-2</v>
      </c>
      <c r="BL280" s="1111">
        <f t="shared" si="436"/>
        <v>90.191733728878702</v>
      </c>
      <c r="BM280" s="1111">
        <f>SUMIFS(NewEmisData!E:E, NewEmisData!$A:$A, $G280, NewEmisData!$B:$B, $A280, NewEmisData!$C:$C, $H280, NewEmisData!$D:$D, BM$6)</f>
        <v>90.191733728878702</v>
      </c>
      <c r="BN280" s="1111">
        <f>SUMIFS(NewEmisData!F:F, NewEmisData!$A:$A, $G280, NewEmisData!$B:$B, $A280, NewEmisData!$C:$C, $H280, NewEmisData!$D:$D, BN$6)</f>
        <v>57.854593707734402</v>
      </c>
      <c r="BO280" s="1111">
        <f>SUMIFS(NewEmisData!G:G, NewEmisData!$A:$A, $G280, NewEmisData!$B:$B, $A280, NewEmisData!$C:$C, $H280, NewEmisData!$D:$D, BO$6)</f>
        <v>30.439196833936801</v>
      </c>
      <c r="BP280" s="1111">
        <f>SUMIFS(NewEmisData!H:H, NewEmisData!$A:$A, $G280, NewEmisData!$B:$B, $A280, NewEmisData!$C:$C, $H280, NewEmisData!$D:$D, BP$6)</f>
        <v>28.2649013216366</v>
      </c>
      <c r="BQ280" s="1111">
        <f>SUMIFS(NewEmisData!I:I, NewEmisData!$A:$A, $G280, NewEmisData!$B:$B, $A280, NewEmisData!$C:$C, $H280, NewEmisData!$D:$D, BQ$6)</f>
        <v>29.534698697919499</v>
      </c>
      <c r="BR280" s="1111">
        <f>SUMIFS(NewEmisData!J:J, NewEmisData!$A:$A, $G280, NewEmisData!$B:$B, $A280, NewEmisData!$C:$C, $H280, NewEmisData!$D:$D, BR$6)</f>
        <v>30.882451342188901</v>
      </c>
      <c r="BS280" s="1111">
        <f>SUMIFS(NewEmisData!K:K, NewEmisData!$A:$A, $G280, NewEmisData!$B:$B, $A280, NewEmisData!$C:$C, $H280, NewEmisData!$D:$D, BS$6)</f>
        <v>31.2274964250777</v>
      </c>
      <c r="BT280" s="1111">
        <f>SUMIFS(NewEmisData!L:L, NewEmisData!$A:$A, $G280, NewEmisData!$B:$B, $A280, NewEmisData!$C:$C, $H280, NewEmisData!$D:$D, BT$6)</f>
        <v>31.6561745639336</v>
      </c>
      <c r="BU280" s="1111">
        <f>SUMIFS(NewEmisData!M:M, NewEmisData!$A:$A, $G280, NewEmisData!$B:$B, $A280, NewEmisData!$C:$C, $H280, NewEmisData!$D:$D, BU$6)</f>
        <v>31.800591464728001</v>
      </c>
      <c r="BV280" s="1111">
        <f t="shared" si="437"/>
        <v>31.800591464728001</v>
      </c>
      <c r="BW280" s="1111">
        <f t="shared" si="438"/>
        <v>6.1897171455643996</v>
      </c>
      <c r="BX280" s="1111">
        <f>SUMIFS(NewEmisData!E:E, NewEmisData!$A:$A, $G280, NewEmisData!$B:$B, $A280, NewEmisData!$C:$C, $H280, NewEmisData!$D:$D, BX$6)</f>
        <v>6.1897171455643996</v>
      </c>
      <c r="BY280" s="1111">
        <f>SUMIFS(NewEmisData!F:F, NewEmisData!$A:$A, $G280, NewEmisData!$B:$B, $A280, NewEmisData!$C:$C, $H280, NewEmisData!$D:$D, BY$6)</f>
        <v>2.9467128361474</v>
      </c>
      <c r="BZ280" s="1111">
        <f>SUMIFS(NewEmisData!G:G, NewEmisData!$A:$A, $G280, NewEmisData!$B:$B, $A280, NewEmisData!$C:$C, $H280, NewEmisData!$D:$D, BZ$6)</f>
        <v>0.87646546659881797</v>
      </c>
      <c r="CA280" s="1111">
        <f>SUMIFS(NewEmisData!H:H, NewEmisData!$A:$A, $G280, NewEmisData!$B:$B, $A280, NewEmisData!$C:$C, $H280, NewEmisData!$D:$D, CA$6)</f>
        <v>0.63725747288066603</v>
      </c>
      <c r="CB280" s="1111">
        <f>SUMIFS(NewEmisData!I:I, NewEmisData!$A:$A, $G280, NewEmisData!$B:$B, $A280, NewEmisData!$C:$C, $H280, NewEmisData!$D:$D, CB$6)</f>
        <v>0.56209464698364098</v>
      </c>
      <c r="CC280" s="1111">
        <f>SUMIFS(NewEmisData!J:J, NewEmisData!$A:$A, $G280, NewEmisData!$B:$B, $A280, NewEmisData!$C:$C, $H280, NewEmisData!$D:$D, CC$6)</f>
        <v>0.55142425018993102</v>
      </c>
      <c r="CD280" s="1111">
        <f>SUMIFS(NewEmisData!K:K, NewEmisData!$A:$A, $G280, NewEmisData!$B:$B, $A280, NewEmisData!$C:$C, $H280, NewEmisData!$D:$D, CD$6)</f>
        <v>0.54197445474169104</v>
      </c>
      <c r="CE280" s="1111">
        <f>SUMIFS(NewEmisData!L:L, NewEmisData!$A:$A, $G280, NewEmisData!$B:$B, $A280, NewEmisData!$C:$C, $H280, NewEmisData!$D:$D, CE$6)</f>
        <v>0.54705176135937394</v>
      </c>
      <c r="CF280" s="1111">
        <f>SUMIFS(NewEmisData!M:M, NewEmisData!$A:$A, $G280, NewEmisData!$B:$B, $A280, NewEmisData!$C:$C, $H280, NewEmisData!$D:$D, CF$6)</f>
        <v>0.54797129774840603</v>
      </c>
      <c r="CG280" s="1111">
        <f t="shared" si="439"/>
        <v>0.54797129774840603</v>
      </c>
      <c r="CH280" s="1111">
        <f t="shared" si="440"/>
        <v>4.4374916412660802E-2</v>
      </c>
      <c r="CI280" s="1111">
        <f>SUMIFS(NewEmisData!E:E, NewEmisData!$A:$A, $G280, NewEmisData!$B:$B, $A280, NewEmisData!$C:$C, $H280, NewEmisData!$D:$D, CI$6)</f>
        <v>4.4374916412660802E-2</v>
      </c>
      <c r="CJ280" s="1111">
        <f>SUMIFS(NewEmisData!F:F, NewEmisData!$A:$A, $G280, NewEmisData!$B:$B, $A280, NewEmisData!$C:$C, $H280, NewEmisData!$D:$D, CJ$6)</f>
        <v>4.4376196385727797E-2</v>
      </c>
      <c r="CK280" s="1111">
        <f>SUMIFS(NewEmisData!G:G, NewEmisData!$A:$A, $G280, NewEmisData!$B:$B, $A280, NewEmisData!$C:$C, $H280, NewEmisData!$D:$D, CK$6)</f>
        <v>5.2118868523528802E-2</v>
      </c>
      <c r="CL280" s="1111">
        <f>SUMIFS(NewEmisData!H:H, NewEmisData!$A:$A, $G280, NewEmisData!$B:$B, $A280, NewEmisData!$C:$C, $H280, NewEmisData!$D:$D, CL$6)</f>
        <v>5.2132349413666103E-2</v>
      </c>
      <c r="CM280" s="1111">
        <f>SUMIFS(NewEmisData!I:I, NewEmisData!$A:$A, $G280, NewEmisData!$B:$B, $A280, NewEmisData!$C:$C, $H280, NewEmisData!$D:$D, CM$6)</f>
        <v>5.21711043619991E-2</v>
      </c>
      <c r="CN280" s="1111">
        <f>SUMIFS(NewEmisData!J:J, NewEmisData!$A:$A, $G280, NewEmisData!$B:$B, $A280, NewEmisData!$C:$C, $H280, NewEmisData!$D:$D, CN$6)</f>
        <v>5.2181552336128E-2</v>
      </c>
      <c r="CO280" s="1111">
        <f>SUMIFS(NewEmisData!K:K, NewEmisData!$A:$A, $G280, NewEmisData!$B:$B, $A280, NewEmisData!$C:$C, $H280, NewEmisData!$D:$D, CO$6)</f>
        <v>5.21837897669589E-2</v>
      </c>
      <c r="CP280" s="1111">
        <f>SUMIFS(NewEmisData!L:L, NewEmisData!$A:$A, $G280, NewEmisData!$B:$B, $A280, NewEmisData!$C:$C, $H280, NewEmisData!$D:$D, CP$6)</f>
        <v>5.2184377186595597E-2</v>
      </c>
      <c r="CQ280" s="1111">
        <f>SUMIFS(NewEmisData!M:M, NewEmisData!$A:$A, $G280, NewEmisData!$B:$B, $A280, NewEmisData!$C:$C, $H280, NewEmisData!$D:$D, CQ$6)</f>
        <v>5.2184437559851103E-2</v>
      </c>
      <c r="CR280" s="1111">
        <f t="shared" si="441"/>
        <v>5.2184437559851103E-2</v>
      </c>
      <c r="CS280" s="1111">
        <f t="shared" si="442"/>
        <v>0.10324282903592</v>
      </c>
      <c r="CT280" s="1111">
        <f>SUMIFS(NewEmisData!E:E, NewEmisData!$A:$A, $G280, NewEmisData!$B:$B, $A280, NewEmisData!$C:$C, $H280, NewEmisData!$D:$D, CT$6)</f>
        <v>0.10324282903592</v>
      </c>
      <c r="CU280" s="1111">
        <f>SUMIFS(NewEmisData!F:F, NewEmisData!$A:$A, $G280, NewEmisData!$B:$B, $A280, NewEmisData!$C:$C, $H280, NewEmisData!$D:$D, CU$6)</f>
        <v>6.5839025751757901E-2</v>
      </c>
      <c r="CV280" s="1111">
        <f>SUMIFS(NewEmisData!G:G, NewEmisData!$A:$A, $G280, NewEmisData!$B:$B, $A280, NewEmisData!$C:$C, $H280, NewEmisData!$D:$D, CV$6)</f>
        <v>3.3013078185438E-2</v>
      </c>
      <c r="CW280" s="1111">
        <f>SUMIFS(NewEmisData!H:H, NewEmisData!$A:$A, $G280, NewEmisData!$B:$B, $A280, NewEmisData!$C:$C, $H280, NewEmisData!$D:$D, CW$6)</f>
        <v>2.22676216275507E-2</v>
      </c>
      <c r="CX280" s="1111">
        <f>SUMIFS(NewEmisData!I:I, NewEmisData!$A:$A, $G280, NewEmisData!$B:$B, $A280, NewEmisData!$C:$C, $H280, NewEmisData!$D:$D, CX$6)</f>
        <v>1.8691589461130299E-2</v>
      </c>
      <c r="CY280" s="1111">
        <f>SUMIFS(NewEmisData!J:J, NewEmisData!$A:$A, $G280, NewEmisData!$B:$B, $A280, NewEmisData!$C:$C, $H280, NewEmisData!$D:$D, CY$6)</f>
        <v>1.8191418075059002E-2</v>
      </c>
      <c r="CZ280" s="1111">
        <f>SUMIFS(NewEmisData!K:K, NewEmisData!$A:$A, $G280, NewEmisData!$B:$B, $A280, NewEmisData!$C:$C, $H280, NewEmisData!$D:$D, CZ$6)</f>
        <v>1.75998124004558E-2</v>
      </c>
      <c r="DA280" s="1111">
        <f>SUMIFS(NewEmisData!L:L, NewEmisData!$A:$A, $G280, NewEmisData!$B:$B, $A280, NewEmisData!$C:$C, $H280, NewEmisData!$D:$D, DA$6)</f>
        <v>1.77356234724158E-2</v>
      </c>
      <c r="DB280" s="1111">
        <f>SUMIFS(NewEmisData!M:M, NewEmisData!$A:$A, $G280, NewEmisData!$B:$B, $A280, NewEmisData!$C:$C, $H280, NewEmisData!$D:$D, DB$6)</f>
        <v>1.7781712985484099E-2</v>
      </c>
      <c r="DC280" s="1111">
        <f t="shared" si="443"/>
        <v>1.7781712985484099E-2</v>
      </c>
      <c r="DD280" s="1111"/>
      <c r="DE280" s="1111"/>
      <c r="DF280" s="1111"/>
      <c r="DG280" s="1111"/>
      <c r="DH280" s="1111"/>
      <c r="DI280" s="1111"/>
      <c r="DJ280" s="1111"/>
      <c r="DK280" s="1111"/>
      <c r="DL280" s="1111"/>
      <c r="DM280" s="1111"/>
      <c r="DN280" s="1111"/>
      <c r="DO280" s="1111"/>
      <c r="DP280" s="1111"/>
      <c r="DQ280" s="1111"/>
      <c r="DR280" s="1111"/>
      <c r="DS280" s="1111"/>
      <c r="DT280" s="1111"/>
      <c r="DU280" s="1111"/>
      <c r="DV280" s="1111"/>
      <c r="DW280" s="1111"/>
      <c r="DX280" s="1111"/>
      <c r="DY280" s="1111"/>
      <c r="DZ280" s="1111">
        <f t="shared" si="444"/>
        <v>0.34764874845075999</v>
      </c>
      <c r="EA280" s="1111">
        <f>SUMIFS(NewEmisData!E:E, NewEmisData!$A:$A, $G280, NewEmisData!$B:$B, $A280, NewEmisData!$C:$C, $H280, NewEmisData!$D:$D, EA$6)</f>
        <v>0.34764874845075999</v>
      </c>
      <c r="EB280" s="1111">
        <f>SUMIFS(NewEmisData!F:F, NewEmisData!$A:$A, $G280, NewEmisData!$B:$B, $A280, NewEmisData!$C:$C, $H280, NewEmisData!$D:$D, EB$6)</f>
        <v>0.14142715332318501</v>
      </c>
      <c r="EC280" s="1111">
        <f>SUMIFS(NewEmisData!G:G, NewEmisData!$A:$A, $G280, NewEmisData!$B:$B, $A280, NewEmisData!$C:$C, $H280, NewEmisData!$D:$D, EC$6)</f>
        <v>2.8640359201048099E-2</v>
      </c>
      <c r="ED280" s="1111">
        <f>SUMIFS(NewEmisData!H:H, NewEmisData!$A:$A, $G280, NewEmisData!$B:$B, $A280, NewEmisData!$C:$C, $H280, NewEmisData!$D:$D, ED$6)</f>
        <v>2.3851757275478599E-2</v>
      </c>
      <c r="EE280" s="1111">
        <f>SUMIFS(NewEmisData!I:I, NewEmisData!$A:$A, $G280, NewEmisData!$B:$B, $A280, NewEmisData!$C:$C, $H280, NewEmisData!$D:$D, EE$6)</f>
        <v>2.44690782189021E-2</v>
      </c>
      <c r="EF280" s="1111">
        <f>SUMIFS(NewEmisData!J:J, NewEmisData!$A:$A, $G280, NewEmisData!$B:$B, $A280, NewEmisData!$C:$C, $H280, NewEmisData!$D:$D, EF$6)</f>
        <v>2.5450390210075498E-2</v>
      </c>
      <c r="EG280" s="1111">
        <f>SUMIFS(NewEmisData!K:K, NewEmisData!$A:$A, $G280, NewEmisData!$B:$B, $A280, NewEmisData!$C:$C, $H280, NewEmisData!$D:$D, EG$6)</f>
        <v>2.5745715046546401E-2</v>
      </c>
      <c r="EH280" s="1111">
        <f>SUMIFS(NewEmisData!L:L, NewEmisData!$A:$A, $G280, NewEmisData!$B:$B, $A280, NewEmisData!$C:$C, $H280, NewEmisData!$D:$D, EH$6)</f>
        <v>2.6059342938699701E-2</v>
      </c>
      <c r="EI280" s="1111">
        <f>SUMIFS(NewEmisData!M:M, NewEmisData!$A:$A, $G280, NewEmisData!$B:$B, $A280, NewEmisData!$C:$C, $H280, NewEmisData!$D:$D, EI$6)</f>
        <v>2.6160400057414299E-2</v>
      </c>
      <c r="EJ280" s="1111">
        <f t="shared" si="445"/>
        <v>2.6160400057414299E-2</v>
      </c>
      <c r="EK280" s="1111">
        <f t="shared" si="446"/>
        <v>1241.38928176117</v>
      </c>
      <c r="EL280" s="1111">
        <f t="shared" si="343"/>
        <v>1241.38928176117</v>
      </c>
      <c r="EM280" s="1111">
        <f t="shared" si="344"/>
        <v>1226.10777955711</v>
      </c>
      <c r="EN280" s="1111">
        <f t="shared" si="345"/>
        <v>1383.33894651986</v>
      </c>
      <c r="EO280" s="1111">
        <f t="shared" si="346"/>
        <v>1356.5010921445701</v>
      </c>
      <c r="EP280" s="1111">
        <f t="shared" si="347"/>
        <v>1306.9931195674901</v>
      </c>
      <c r="EQ280" s="1111">
        <f t="shared" si="348"/>
        <v>1294.5393575191799</v>
      </c>
      <c r="ER280" s="1111">
        <f t="shared" si="349"/>
        <v>1291.60029261402</v>
      </c>
      <c r="ES280" s="1111">
        <f t="shared" si="350"/>
        <v>1291.22786948009</v>
      </c>
      <c r="ET280" s="1111">
        <f t="shared" si="351"/>
        <v>1291.2762589420699</v>
      </c>
      <c r="EU280" s="1111">
        <f t="shared" si="352"/>
        <v>1291.2762589420699</v>
      </c>
      <c r="EV280" s="1111">
        <f t="shared" si="447"/>
        <v>6.2719490238573599</v>
      </c>
      <c r="EW280" s="1111">
        <f t="shared" si="333"/>
        <v>6.2719490238573599</v>
      </c>
      <c r="EX280" s="1111">
        <f t="shared" si="334"/>
        <v>3.54586562371545</v>
      </c>
      <c r="EY280" s="1111">
        <f t="shared" si="335"/>
        <v>1.5390863619428401</v>
      </c>
      <c r="EZ280" s="1111">
        <f t="shared" si="336"/>
        <v>1.17307553707704</v>
      </c>
      <c r="FA280" s="1111">
        <f t="shared" si="337"/>
        <v>1.0487695492759499</v>
      </c>
      <c r="FB280" s="1111">
        <f t="shared" si="338"/>
        <v>1.0243777697646099</v>
      </c>
      <c r="FC280" s="1111">
        <f t="shared" si="339"/>
        <v>1.01315476025102</v>
      </c>
      <c r="FD280" s="1111">
        <f t="shared" si="340"/>
        <v>1.01368282027686</v>
      </c>
      <c r="FE280" s="1111">
        <f t="shared" si="341"/>
        <v>1.0139821488193099</v>
      </c>
      <c r="FF280" s="1111">
        <f t="shared" si="342"/>
        <v>1.0139821488193099</v>
      </c>
      <c r="FG280" s="1111">
        <f t="shared" si="389"/>
        <v>2.1480399186289099E-2</v>
      </c>
      <c r="FH280" s="1111">
        <f t="shared" si="390"/>
        <v>2.1480399186289099E-2</v>
      </c>
      <c r="FI280" s="1111">
        <f t="shared" si="391"/>
        <v>2.12159707578937E-2</v>
      </c>
      <c r="FJ280" s="1111">
        <f t="shared" si="392"/>
        <v>1.98447183890453E-2</v>
      </c>
      <c r="FK280" s="1111">
        <f t="shared" si="393"/>
        <v>1.9459715058680899E-2</v>
      </c>
      <c r="FL280" s="1111">
        <f t="shared" si="394"/>
        <v>1.8749491555680699E-2</v>
      </c>
      <c r="FM280" s="1111">
        <f t="shared" si="395"/>
        <v>1.8570836872203001E-2</v>
      </c>
      <c r="FN280" s="1111">
        <f t="shared" si="396"/>
        <v>1.8528673088893999E-2</v>
      </c>
      <c r="FO280" s="1111">
        <f t="shared" si="397"/>
        <v>1.8523329942848499E-2</v>
      </c>
      <c r="FP280" s="1111">
        <f t="shared" si="398"/>
        <v>1.85240308404678E-2</v>
      </c>
      <c r="FQ280" s="1111">
        <f t="shared" si="399"/>
        <v>1.85240308404678E-2</v>
      </c>
      <c r="FR280" s="1111">
        <f t="shared" si="322"/>
        <v>0.431302480142082</v>
      </c>
      <c r="FS280" s="1111">
        <f t="shared" si="323"/>
        <v>0.431302480142082</v>
      </c>
      <c r="FT280" s="1111">
        <f t="shared" si="324"/>
        <v>0.30380256982536802</v>
      </c>
      <c r="FU280" s="1111">
        <f t="shared" si="325"/>
        <v>0.33709491699606497</v>
      </c>
      <c r="FV280" s="1111">
        <f t="shared" si="326"/>
        <v>0.33516632877566999</v>
      </c>
      <c r="FW280" s="1111">
        <f t="shared" si="327"/>
        <v>0.32912031916096701</v>
      </c>
      <c r="FX280" s="1111">
        <f t="shared" si="328"/>
        <v>0.32758501468683399</v>
      </c>
      <c r="FY280" s="1111">
        <f t="shared" si="329"/>
        <v>0.32722883547270099</v>
      </c>
      <c r="FZ280" s="1111">
        <f t="shared" si="330"/>
        <v>0.32719882154575503</v>
      </c>
      <c r="GA280" s="1111">
        <f t="shared" si="331"/>
        <v>0.327223389729702</v>
      </c>
      <c r="GB280" s="1111">
        <f t="shared" si="332"/>
        <v>0.327223389729702</v>
      </c>
      <c r="GC280" s="1111">
        <f t="shared" si="353"/>
        <v>0.17747003545562401</v>
      </c>
      <c r="GD280" s="1111">
        <f t="shared" si="354"/>
        <v>0.17747003545562401</v>
      </c>
      <c r="GE280" s="1111">
        <f t="shared" si="355"/>
        <v>6.4774980240540195E-2</v>
      </c>
      <c r="GF280" s="1111">
        <f t="shared" si="356"/>
        <v>5.2197571243419401E-2</v>
      </c>
      <c r="GG280" s="1111">
        <f t="shared" si="357"/>
        <v>5.1709470142354899E-2</v>
      </c>
      <c r="GH280" s="1111">
        <f t="shared" si="358"/>
        <v>5.0080554256354597E-2</v>
      </c>
      <c r="GI280" s="1111">
        <f t="shared" si="359"/>
        <v>4.9730195246478197E-2</v>
      </c>
      <c r="GJ280" s="1111">
        <f t="shared" si="360"/>
        <v>4.9636064827908E-2</v>
      </c>
      <c r="GK280" s="1111">
        <f t="shared" si="361"/>
        <v>4.96653353802936E-2</v>
      </c>
      <c r="GL280" s="1111">
        <f t="shared" si="362"/>
        <v>4.9688283166283001E-2</v>
      </c>
      <c r="GM280" s="1111">
        <f t="shared" si="363"/>
        <v>4.9688283166283001E-2</v>
      </c>
    </row>
    <row r="281" spans="1:195" x14ac:dyDescent="0.2">
      <c r="A281" s="1071" t="s">
        <v>182</v>
      </c>
      <c r="B281" s="1071" t="str">
        <f>Technologies!C164</f>
        <v>THSCNGIM</v>
      </c>
      <c r="C281" s="1071" t="str">
        <f>Technologies!D164</f>
        <v>Heavy Truck, Short Haul, Improved CNG</v>
      </c>
      <c r="D281" s="1071" t="str">
        <f>NewTech!D110</f>
        <v>bn-vmt, bn-vmt/a</v>
      </c>
      <c r="E281" s="1071" t="str">
        <f>Commodities!C$58</f>
        <v>THCNG</v>
      </c>
      <c r="F281" s="1071" t="s">
        <v>98</v>
      </c>
      <c r="G281" s="1110" t="s">
        <v>505</v>
      </c>
      <c r="H281" s="1110" t="s">
        <v>500</v>
      </c>
      <c r="I281" s="1112">
        <v>1</v>
      </c>
      <c r="J281" s="1111" t="str">
        <f t="shared" si="302"/>
        <v>Heavy duty short haul truck-GSL</v>
      </c>
      <c r="K281" s="1111">
        <f>SUMIFS(NewEmisData!E:E, NewEmisData!$A:$A, $G281, NewEmisData!$B:$B, $A281, NewEmisData!$C:$C, $H281, NewEmisData!$D:$D, K$6)</f>
        <v>1261.7193045716699</v>
      </c>
      <c r="L281" s="1111">
        <f>SUMIFS(NewEmisData!F:F, NewEmisData!$A:$A, $G281, NewEmisData!$B:$B, $A281, NewEmisData!$C:$C, $H281, NewEmisData!$D:$D, L$6)</f>
        <v>1249.12075772399</v>
      </c>
      <c r="M281" s="1111">
        <f>SUMIFS(NewEmisData!G:G, NewEmisData!$A:$A, $G281, NewEmisData!$B:$B, $A281, NewEmisData!$C:$C, $H281, NewEmisData!$D:$D, M$6)</f>
        <v>1645.5452306145801</v>
      </c>
      <c r="N281" s="1111">
        <f>SUMIFS(NewEmisData!H:H, NewEmisData!$A:$A, $G281, NewEmisData!$B:$B, $A281, NewEmisData!$C:$C, $H281, NewEmisData!$D:$D, N$6)</f>
        <v>1615.5067230397001</v>
      </c>
      <c r="O281" s="1111">
        <f>SUMIFS(NewEmisData!I:I, NewEmisData!$A:$A, $G281, NewEmisData!$B:$B, $A281, NewEmisData!$C:$C, $H281, NewEmisData!$D:$D, O$6)</f>
        <v>1561.96512576184</v>
      </c>
      <c r="P281" s="1111">
        <f>SUMIFS(NewEmisData!J:J, NewEmisData!$A:$A, $G281, NewEmisData!$B:$B, $A281, NewEmisData!$C:$C, $H281, NewEmisData!$D:$D, P$6)</f>
        <v>1548.35062809069</v>
      </c>
      <c r="Q281" s="1111">
        <f>SUMIFS(NewEmisData!K:K, NewEmisData!$A:$A, $G281, NewEmisData!$B:$B, $A281, NewEmisData!$C:$C, $H281, NewEmisData!$D:$D, Q$6)</f>
        <v>1545.11245308096</v>
      </c>
      <c r="R281" s="1111">
        <f>SUMIFS(NewEmisData!L:L, NewEmisData!$A:$A, $G281, NewEmisData!$B:$B, $A281, NewEmisData!$C:$C, $H281, NewEmisData!$D:$D, R$6)</f>
        <v>1544.5579062120401</v>
      </c>
      <c r="S281" s="1111">
        <f>SUMIFS(NewEmisData!M:M, NewEmisData!$A:$A, $G281, NewEmisData!$B:$B, $A281, NewEmisData!$C:$C, $H281, NewEmisData!$D:$D, S$6)</f>
        <v>1544.55231111378</v>
      </c>
      <c r="T281" s="1111">
        <f t="shared" si="364"/>
        <v>1544.55231111378</v>
      </c>
      <c r="U281" s="1111">
        <f>SUMIFS(NewEmisData!E:E, NewEmisData!$A:$A, $G281, NewEmisData!$B:$B, $A281, NewEmisData!$C:$C, $H281, NewEmisData!$D:$D, U$6)</f>
        <v>5.0421157380649202</v>
      </c>
      <c r="V281" s="1111">
        <f>SUMIFS(NewEmisData!F:F, NewEmisData!$A:$A, $G281, NewEmisData!$B:$B, $A281, NewEmisData!$C:$C, $H281, NewEmisData!$D:$D, V$6)</f>
        <v>2.6891275593082402</v>
      </c>
      <c r="W281" s="1111">
        <f>SUMIFS(NewEmisData!G:G, NewEmisData!$A:$A, $G281, NewEmisData!$B:$B, $A281, NewEmisData!$C:$C, $H281, NewEmisData!$D:$D, W$6)</f>
        <v>1.59672970269866</v>
      </c>
      <c r="X281" s="1111">
        <f>SUMIFS(NewEmisData!H:H, NewEmisData!$A:$A, $G281, NewEmisData!$B:$B, $A281, NewEmisData!$C:$C, $H281, NewEmisData!$D:$D, X$6)</f>
        <v>1.2533988169049</v>
      </c>
      <c r="Y281" s="1111">
        <f>SUMIFS(NewEmisData!I:I, NewEmisData!$A:$A, $G281, NewEmisData!$B:$B, $A281, NewEmisData!$C:$C, $H281, NewEmisData!$D:$D, Y$6)</f>
        <v>1.1377603861924299</v>
      </c>
      <c r="Z281" s="1111">
        <f>SUMIFS(NewEmisData!J:J, NewEmisData!$A:$A, $G281, NewEmisData!$B:$B, $A281, NewEmisData!$C:$C, $H281, NewEmisData!$D:$D, Z$6)</f>
        <v>1.11657517091755</v>
      </c>
      <c r="AA281" s="1111">
        <f>SUMIFS(NewEmisData!K:K, NewEmisData!$A:$A, $G281, NewEmisData!$B:$B, $A281, NewEmisData!$C:$C, $H281, NewEmisData!$D:$D, AA$6)</f>
        <v>1.10785037464988</v>
      </c>
      <c r="AB281" s="1111">
        <f>SUMIFS(NewEmisData!L:L, NewEmisData!$A:$A, $G281, NewEmisData!$B:$B, $A281, NewEmisData!$C:$C, $H281, NewEmisData!$D:$D, AB$6)</f>
        <v>1.10808970467776</v>
      </c>
      <c r="AC281" s="1111">
        <f>SUMIFS(NewEmisData!M:M, NewEmisData!$A:$A, $G281, NewEmisData!$B:$B, $A281, NewEmisData!$C:$C, $H281, NewEmisData!$D:$D, AC$6)</f>
        <v>1.10829058082377</v>
      </c>
      <c r="AD281" s="1111">
        <f t="shared" si="321"/>
        <v>1.10829058082377</v>
      </c>
      <c r="AE281" s="1111">
        <f t="shared" si="430"/>
        <v>2.18321680952577E-2</v>
      </c>
      <c r="AF281" s="1111">
        <f>SUMIFS(NewEmisData!E:E, NewEmisData!$A:$A, $G281, NewEmisData!$B:$B, $A281, NewEmisData!$C:$C, $H281, NewEmisData!$D:$D, AF$6)</f>
        <v>2.18321680952577E-2</v>
      </c>
      <c r="AG281" s="1111">
        <f>SUMIFS(NewEmisData!F:F, NewEmisData!$A:$A, $G281, NewEmisData!$B:$B, $A281, NewEmisData!$C:$C, $H281, NewEmisData!$D:$D, AG$6)</f>
        <v>2.1614175028351099E-2</v>
      </c>
      <c r="AH281" s="1111">
        <f>SUMIFS(NewEmisData!G:G, NewEmisData!$A:$A, $G281, NewEmisData!$B:$B, $A281, NewEmisData!$C:$C, $H281, NewEmisData!$D:$D, AH$6)</f>
        <v>2.3606201662977298E-2</v>
      </c>
      <c r="AI281" s="1111">
        <f>SUMIFS(NewEmisData!H:H, NewEmisData!$A:$A, $G281, NewEmisData!$B:$B, $A281, NewEmisData!$C:$C, $H281, NewEmisData!$D:$D, AI$6)</f>
        <v>2.3175292056127901E-2</v>
      </c>
      <c r="AJ281" s="1111">
        <f>SUMIFS(NewEmisData!I:I, NewEmisData!$A:$A, $G281, NewEmisData!$B:$B, $A281, NewEmisData!$C:$C, $H281, NewEmisData!$D:$D, AJ$6)</f>
        <v>2.2407191257778802E-2</v>
      </c>
      <c r="AK281" s="1111">
        <f>SUMIFS(NewEmisData!J:J, NewEmisData!$A:$A, $G281, NewEmisData!$B:$B, $A281, NewEmisData!$C:$C, $H281, NewEmisData!$D:$D, AK$6)</f>
        <v>2.2211896644643399E-2</v>
      </c>
      <c r="AL281" s="1111">
        <f>SUMIFS(NewEmisData!K:K, NewEmisData!$A:$A, $G281, NewEmisData!$B:$B, $A281, NewEmisData!$C:$C, $H281, NewEmisData!$D:$D, AL$6)</f>
        <v>2.21654317430676E-2</v>
      </c>
      <c r="AM281" s="1111">
        <f>SUMIFS(NewEmisData!L:L, NewEmisData!$A:$A, $G281, NewEmisData!$B:$B, $A281, NewEmisData!$C:$C, $H281, NewEmisData!$D:$D, AM$6)</f>
        <v>2.21574783013113E-2</v>
      </c>
      <c r="AN281" s="1111">
        <f>SUMIFS(NewEmisData!M:M, NewEmisData!$A:$A, $G281, NewEmisData!$B:$B, $A281, NewEmisData!$C:$C, $H281, NewEmisData!$D:$D, AN$6)</f>
        <v>2.21574091915673E-2</v>
      </c>
      <c r="AO281" s="1111">
        <f t="shared" si="431"/>
        <v>2.21574091915673E-2</v>
      </c>
      <c r="AP281" s="1111">
        <f t="shared" si="432"/>
        <v>0.37498220674272298</v>
      </c>
      <c r="AQ281" s="1111">
        <f>SUMIFS(NewEmisData!E:E, NewEmisData!$A:$A, $G281, NewEmisData!$B:$B, $A281, NewEmisData!$C:$C, $H281, NewEmisData!$D:$D, AQ$6)</f>
        <v>0.37498220674272298</v>
      </c>
      <c r="AR281" s="1111">
        <f>SUMIFS(NewEmisData!F:F, NewEmisData!$A:$A, $G281, NewEmisData!$B:$B, $A281, NewEmisData!$C:$C, $H281, NewEmisData!$D:$D, AR$6)</f>
        <v>0.30800096091118401</v>
      </c>
      <c r="AS281" s="1111">
        <f>SUMIFS(NewEmisData!G:G, NewEmisData!$A:$A, $G281, NewEmisData!$B:$B, $A281, NewEmisData!$C:$C, $H281, NewEmisData!$D:$D, AS$6)</f>
        <v>0.47876990917977102</v>
      </c>
      <c r="AT281" s="1111">
        <f>SUMIFS(NewEmisData!H:H, NewEmisData!$A:$A, $G281, NewEmisData!$B:$B, $A281, NewEmisData!$C:$C, $H281, NewEmisData!$D:$D, AT$6)</f>
        <v>0.47474601446343401</v>
      </c>
      <c r="AU281" s="1111">
        <f>SUMIFS(NewEmisData!I:I, NewEmisData!$A:$A, $G281, NewEmisData!$B:$B, $A281, NewEmisData!$C:$C, $H281, NewEmisData!$D:$D, AU$6)</f>
        <v>0.462592935753106</v>
      </c>
      <c r="AV281" s="1111">
        <f>SUMIFS(NewEmisData!J:J, NewEmisData!$A:$A, $G281, NewEmisData!$B:$B, $A281, NewEmisData!$C:$C, $H281, NewEmisData!$D:$D, AV$6)</f>
        <v>0.45943594701357998</v>
      </c>
      <c r="AW281" s="1111">
        <f>SUMIFS(NewEmisData!K:K, NewEmisData!$A:$A, $G281, NewEmisData!$B:$B, $A281, NewEmisData!$C:$C, $H281, NewEmisData!$D:$D, AW$6)</f>
        <v>0.45873466896290599</v>
      </c>
      <c r="AX281" s="1111">
        <f>SUMIFS(NewEmisData!L:L, NewEmisData!$A:$A, $G281, NewEmisData!$B:$B, $A281, NewEmisData!$C:$C, $H281, NewEmisData!$D:$D, AX$6)</f>
        <v>0.45859669819349802</v>
      </c>
      <c r="AY281" s="1111">
        <f>SUMIFS(NewEmisData!M:M, NewEmisData!$A:$A, $G281, NewEmisData!$B:$B, $A281, NewEmisData!$C:$C, $H281, NewEmisData!$D:$D, AY$6)</f>
        <v>0.458612118231494</v>
      </c>
      <c r="AZ281" s="1111">
        <f t="shared" si="433"/>
        <v>0.458612118231494</v>
      </c>
      <c r="BA281" s="1111">
        <f t="shared" si="434"/>
        <v>0.110253629274602</v>
      </c>
      <c r="BB281" s="1111">
        <f>SUMIFS(NewEmisData!E:E, NewEmisData!$A:$A, $G281, NewEmisData!$B:$B, $A281, NewEmisData!$C:$C, $H281, NewEmisData!$D:$D, BB$6)</f>
        <v>0.110253629274602</v>
      </c>
      <c r="BC281" s="1111">
        <f>SUMIFS(NewEmisData!F:F, NewEmisData!$A:$A, $G281, NewEmisData!$B:$B, $A281, NewEmisData!$C:$C, $H281, NewEmisData!$D:$D, BC$6)</f>
        <v>5.10415619775157E-2</v>
      </c>
      <c r="BD281" s="1111">
        <f>SUMIFS(NewEmisData!G:G, NewEmisData!$A:$A, $G281, NewEmisData!$B:$B, $A281, NewEmisData!$C:$C, $H281, NewEmisData!$D:$D, BD$6)</f>
        <v>6.9684988099320805E-2</v>
      </c>
      <c r="BE281" s="1111">
        <f>SUMIFS(NewEmisData!H:H, NewEmisData!$A:$A, $G281, NewEmisData!$B:$B, $A281, NewEmisData!$C:$C, $H281, NewEmisData!$D:$D, BE$6)</f>
        <v>6.9040658676098196E-2</v>
      </c>
      <c r="BF281" s="1111">
        <f>SUMIFS(NewEmisData!I:I, NewEmisData!$A:$A, $G281, NewEmisData!$B:$B, $A281, NewEmisData!$C:$C, $H281, NewEmisData!$D:$D, BF$6)</f>
        <v>6.6765177638673803E-2</v>
      </c>
      <c r="BG281" s="1111">
        <f>SUMIFS(NewEmisData!J:J, NewEmisData!$A:$A, $G281, NewEmisData!$B:$B, $A281, NewEmisData!$C:$C, $H281, NewEmisData!$D:$D, BG$6)</f>
        <v>6.6229434848786198E-2</v>
      </c>
      <c r="BH281" s="1111">
        <f>SUMIFS(NewEmisData!K:K, NewEmisData!$A:$A, $G281, NewEmisData!$B:$B, $A281, NewEmisData!$C:$C, $H281, NewEmisData!$D:$D, BH$6)</f>
        <v>6.6102443905475594E-2</v>
      </c>
      <c r="BI281" s="1111">
        <f>SUMIFS(NewEmisData!L:L, NewEmisData!$A:$A, $G281, NewEmisData!$B:$B, $A281, NewEmisData!$C:$C, $H281, NewEmisData!$D:$D, BI$6)</f>
        <v>6.6105381584131498E-2</v>
      </c>
      <c r="BJ281" s="1111">
        <f>SUMIFS(NewEmisData!M:M, NewEmisData!$A:$A, $G281, NewEmisData!$B:$B, $A281, NewEmisData!$C:$C, $H281, NewEmisData!$D:$D, BJ$6)</f>
        <v>6.6121307340381005E-2</v>
      </c>
      <c r="BK281" s="1111">
        <f t="shared" si="435"/>
        <v>6.6121307340381005E-2</v>
      </c>
      <c r="BL281" s="1111">
        <f t="shared" si="436"/>
        <v>58.234105162975901</v>
      </c>
      <c r="BM281" s="1111">
        <f>SUMIFS(NewEmisData!E:E, NewEmisData!$A:$A, $G281, NewEmisData!$B:$B, $A281, NewEmisData!$C:$C, $H281, NewEmisData!$D:$D, BM$6)</f>
        <v>58.234105162975901</v>
      </c>
      <c r="BN281" s="1111">
        <f>SUMIFS(NewEmisData!F:F, NewEmisData!$A:$A, $G281, NewEmisData!$B:$B, $A281, NewEmisData!$C:$C, $H281, NewEmisData!$D:$D, BN$6)</f>
        <v>33.622567193752097</v>
      </c>
      <c r="BO281" s="1111">
        <f>SUMIFS(NewEmisData!G:G, NewEmisData!$A:$A, $G281, NewEmisData!$B:$B, $A281, NewEmisData!$C:$C, $H281, NewEmisData!$D:$D, BO$6)</f>
        <v>22.365559009141499</v>
      </c>
      <c r="BP281" s="1111">
        <f>SUMIFS(NewEmisData!H:H, NewEmisData!$A:$A, $G281, NewEmisData!$B:$B, $A281, NewEmisData!$C:$C, $H281, NewEmisData!$D:$D, BP$6)</f>
        <v>20.003128322257201</v>
      </c>
      <c r="BQ281" s="1111">
        <f>SUMIFS(NewEmisData!I:I, NewEmisData!$A:$A, $G281, NewEmisData!$B:$B, $A281, NewEmisData!$C:$C, $H281, NewEmisData!$D:$D, BQ$6)</f>
        <v>20.195447260462402</v>
      </c>
      <c r="BR281" s="1111">
        <f>SUMIFS(NewEmisData!J:J, NewEmisData!$A:$A, $G281, NewEmisData!$B:$B, $A281, NewEmisData!$C:$C, $H281, NewEmisData!$D:$D, BR$6)</f>
        <v>20.8243673392587</v>
      </c>
      <c r="BS281" s="1111">
        <f>SUMIFS(NewEmisData!K:K, NewEmisData!$A:$A, $G281, NewEmisData!$B:$B, $A281, NewEmisData!$C:$C, $H281, NewEmisData!$D:$D, BS$6)</f>
        <v>20.9804766424047</v>
      </c>
      <c r="BT281" s="1111">
        <f>SUMIFS(NewEmisData!L:L, NewEmisData!$A:$A, $G281, NewEmisData!$B:$B, $A281, NewEmisData!$C:$C, $H281, NewEmisData!$D:$D, BT$6)</f>
        <v>21.2133429593407</v>
      </c>
      <c r="BU281" s="1111">
        <f>SUMIFS(NewEmisData!M:M, NewEmisData!$A:$A, $G281, NewEmisData!$B:$B, $A281, NewEmisData!$C:$C, $H281, NewEmisData!$D:$D, BU$6)</f>
        <v>21.2954024378494</v>
      </c>
      <c r="BV281" s="1111">
        <f t="shared" si="437"/>
        <v>21.2954024378494</v>
      </c>
      <c r="BW281" s="1111">
        <f t="shared" si="438"/>
        <v>3.64761393243701</v>
      </c>
      <c r="BX281" s="1111">
        <f>SUMIFS(NewEmisData!E:E, NewEmisData!$A:$A, $G281, NewEmisData!$B:$B, $A281, NewEmisData!$C:$C, $H281, NewEmisData!$D:$D, BX$6)</f>
        <v>3.64761393243701</v>
      </c>
      <c r="BY281" s="1111">
        <f>SUMIFS(NewEmisData!F:F, NewEmisData!$A:$A, $G281, NewEmisData!$B:$B, $A281, NewEmisData!$C:$C, $H281, NewEmisData!$D:$D, BY$6)</f>
        <v>1.49818839927699</v>
      </c>
      <c r="BZ281" s="1111">
        <f>SUMIFS(NewEmisData!G:G, NewEmisData!$A:$A, $G281, NewEmisData!$B:$B, $A281, NewEmisData!$C:$C, $H281, NewEmisData!$D:$D, BZ$6)</f>
        <v>0.86599323443475895</v>
      </c>
      <c r="CA281" s="1111">
        <f>SUMIFS(NewEmisData!H:H, NewEmisData!$A:$A, $G281, NewEmisData!$B:$B, $A281, NewEmisData!$C:$C, $H281, NewEmisData!$D:$D, CA$6)</f>
        <v>0.66124009173105702</v>
      </c>
      <c r="CB281" s="1111">
        <f>SUMIFS(NewEmisData!I:I, NewEmisData!$A:$A, $G281, NewEmisData!$B:$B, $A281, NewEmisData!$C:$C, $H281, NewEmisData!$D:$D, CB$6)</f>
        <v>0.59061098160806302</v>
      </c>
      <c r="CC281" s="1111">
        <f>SUMIFS(NewEmisData!J:J, NewEmisData!$A:$A, $G281, NewEmisData!$B:$B, $A281, NewEmisData!$C:$C, $H281, NewEmisData!$D:$D, CC$6)</f>
        <v>0.58137460363365601</v>
      </c>
      <c r="CD281" s="1111">
        <f>SUMIFS(NewEmisData!K:K, NewEmisData!$A:$A, $G281, NewEmisData!$B:$B, $A281, NewEmisData!$C:$C, $H281, NewEmisData!$D:$D, CD$6)</f>
        <v>0.57503033366723</v>
      </c>
      <c r="CE281" s="1111">
        <f>SUMIFS(NewEmisData!L:L, NewEmisData!$A:$A, $G281, NewEmisData!$B:$B, $A281, NewEmisData!$C:$C, $H281, NewEmisData!$D:$D, CE$6)</f>
        <v>0.578080207454851</v>
      </c>
      <c r="CF281" s="1111">
        <f>SUMIFS(NewEmisData!M:M, NewEmisData!$A:$A, $G281, NewEmisData!$B:$B, $A281, NewEmisData!$C:$C, $H281, NewEmisData!$D:$D, CF$6)</f>
        <v>0.57875611374779701</v>
      </c>
      <c r="CG281" s="1111">
        <f t="shared" si="439"/>
        <v>0.57875611374779701</v>
      </c>
      <c r="CH281" s="1111">
        <f t="shared" si="440"/>
        <v>4.5387333445833802E-2</v>
      </c>
      <c r="CI281" s="1111">
        <f>SUMIFS(NewEmisData!E:E, NewEmisData!$A:$A, $G281, NewEmisData!$B:$B, $A281, NewEmisData!$C:$C, $H281, NewEmisData!$D:$D, CI$6)</f>
        <v>4.5387333445833802E-2</v>
      </c>
      <c r="CJ281" s="1111">
        <f>SUMIFS(NewEmisData!F:F, NewEmisData!$A:$A, $G281, NewEmisData!$B:$B, $A281, NewEmisData!$C:$C, $H281, NewEmisData!$D:$D, CJ$6)</f>
        <v>4.5385137405685602E-2</v>
      </c>
      <c r="CK281" s="1111">
        <f>SUMIFS(NewEmisData!G:G, NewEmisData!$A:$A, $G281, NewEmisData!$B:$B, $A281, NewEmisData!$C:$C, $H281, NewEmisData!$D:$D, CK$6)</f>
        <v>6.2585802863492496E-2</v>
      </c>
      <c r="CL281" s="1111">
        <f>SUMIFS(NewEmisData!H:H, NewEmisData!$A:$A, $G281, NewEmisData!$B:$B, $A281, NewEmisData!$C:$C, $H281, NewEmisData!$D:$D, CL$6)</f>
        <v>6.2570457425533493E-2</v>
      </c>
      <c r="CM281" s="1111">
        <f>SUMIFS(NewEmisData!I:I, NewEmisData!$A:$A, $G281, NewEmisData!$B:$B, $A281, NewEmisData!$C:$C, $H281, NewEmisData!$D:$D, CM$6)</f>
        <v>6.2526825017837198E-2</v>
      </c>
      <c r="CN281" s="1111">
        <f>SUMIFS(NewEmisData!J:J, NewEmisData!$A:$A, $G281, NewEmisData!$B:$B, $A281, NewEmisData!$C:$C, $H281, NewEmisData!$D:$D, CN$6)</f>
        <v>6.2515199827795506E-2</v>
      </c>
      <c r="CO281" s="1111">
        <f>SUMIFS(NewEmisData!K:K, NewEmisData!$A:$A, $G281, NewEmisData!$B:$B, $A281, NewEmisData!$C:$C, $H281, NewEmisData!$D:$D, CO$6)</f>
        <v>6.2512659799535894E-2</v>
      </c>
      <c r="CP281" s="1111">
        <f>SUMIFS(NewEmisData!L:L, NewEmisData!$A:$A, $G281, NewEmisData!$B:$B, $A281, NewEmisData!$C:$C, $H281, NewEmisData!$D:$D, CP$6)</f>
        <v>6.2511995706699006E-2</v>
      </c>
      <c r="CQ281" s="1111">
        <f>SUMIFS(NewEmisData!M:M, NewEmisData!$A:$A, $G281, NewEmisData!$B:$B, $A281, NewEmisData!$C:$C, $H281, NewEmisData!$D:$D, CQ$6)</f>
        <v>6.2512032461297801E-2</v>
      </c>
      <c r="CR281" s="1111">
        <f t="shared" si="441"/>
        <v>6.2512032461297801E-2</v>
      </c>
      <c r="CS281" s="1111">
        <f t="shared" si="442"/>
        <v>7.45806670433007E-2</v>
      </c>
      <c r="CT281" s="1111">
        <f>SUMIFS(NewEmisData!E:E, NewEmisData!$A:$A, $G281, NewEmisData!$B:$B, $A281, NewEmisData!$C:$C, $H281, NewEmisData!$D:$D, CT$6)</f>
        <v>7.45806670433007E-2</v>
      </c>
      <c r="CU281" s="1111">
        <f>SUMIFS(NewEmisData!F:F, NewEmisData!$A:$A, $G281, NewEmisData!$B:$B, $A281, NewEmisData!$C:$C, $H281, NewEmisData!$D:$D, CU$6)</f>
        <v>4.11694236212614E-2</v>
      </c>
      <c r="CV281" s="1111">
        <f>SUMIFS(NewEmisData!G:G, NewEmisData!$A:$A, $G281, NewEmisData!$B:$B, $A281, NewEmisData!$C:$C, $H281, NewEmisData!$D:$D, CV$6)</f>
        <v>2.8985978458602801E-2</v>
      </c>
      <c r="CW281" s="1111">
        <f>SUMIFS(NewEmisData!H:H, NewEmisData!$A:$A, $G281, NewEmisData!$B:$B, $A281, NewEmisData!$C:$C, $H281, NewEmisData!$D:$D, CW$6)</f>
        <v>2.0012914871466302E-2</v>
      </c>
      <c r="CX281" s="1111">
        <f>SUMIFS(NewEmisData!I:I, NewEmisData!$A:$A, $G281, NewEmisData!$B:$B, $A281, NewEmisData!$C:$C, $H281, NewEmisData!$D:$D, CX$6)</f>
        <v>1.70994949062814E-2</v>
      </c>
      <c r="CY281" s="1111">
        <f>SUMIFS(NewEmisData!J:J, NewEmisData!$A:$A, $G281, NewEmisData!$B:$B, $A281, NewEmisData!$C:$C, $H281, NewEmisData!$D:$D, CY$6)</f>
        <v>1.6621401634368399E-2</v>
      </c>
      <c r="CZ281" s="1111">
        <f>SUMIFS(NewEmisData!K:K, NewEmisData!$A:$A, $G281, NewEmisData!$B:$B, $A281, NewEmisData!$C:$C, $H281, NewEmisData!$D:$D, CZ$6)</f>
        <v>1.62276934153717E-2</v>
      </c>
      <c r="DA281" s="1111">
        <f>SUMIFS(NewEmisData!L:L, NewEmisData!$A:$A, $G281, NewEmisData!$B:$B, $A281, NewEmisData!$C:$C, $H281, NewEmisData!$D:$D, DA$6)</f>
        <v>1.6300252431035001E-2</v>
      </c>
      <c r="DB281" s="1111">
        <f>SUMIFS(NewEmisData!M:M, NewEmisData!$A:$A, $G281, NewEmisData!$B:$B, $A281, NewEmisData!$C:$C, $H281, NewEmisData!$D:$D, DB$6)</f>
        <v>1.6326186183154599E-2</v>
      </c>
      <c r="DC281" s="1111">
        <f t="shared" si="443"/>
        <v>1.6326186183154599E-2</v>
      </c>
      <c r="DD281" s="1111">
        <v>8.4618435807310901E-3</v>
      </c>
      <c r="DE281" s="1111">
        <v>5.582477734601141E-3</v>
      </c>
      <c r="DF281" s="1111">
        <v>3.3037857638444934E-3</v>
      </c>
      <c r="DG281" s="1111">
        <v>2.7435421434771584E-3</v>
      </c>
      <c r="DH281" s="1111">
        <v>2.6596327326652057E-3</v>
      </c>
      <c r="DI281" s="1111">
        <v>2.6810534446588602E-3</v>
      </c>
      <c r="DJ281" s="1111">
        <v>2.68992317602929E-3</v>
      </c>
      <c r="DK281" s="1111">
        <v>2.6843011275704282E-3</v>
      </c>
      <c r="DL281" s="1111">
        <v>2.693521842385466E-3</v>
      </c>
      <c r="DM281" s="1111">
        <v>2.7034957820921053E-3</v>
      </c>
      <c r="DN281" s="1111">
        <v>2.7034957820921053E-3</v>
      </c>
      <c r="DO281" s="1111">
        <v>2.733686553814714E-2</v>
      </c>
      <c r="DP281" s="1111">
        <v>1.8332271788011459E-2</v>
      </c>
      <c r="DQ281" s="1111">
        <v>1.0522373499872563E-2</v>
      </c>
      <c r="DR281" s="1111">
        <v>8.2106858583474232E-3</v>
      </c>
      <c r="DS281" s="1111">
        <v>8.1464823839333782E-3</v>
      </c>
      <c r="DT281" s="1111">
        <v>8.1548441301475764E-3</v>
      </c>
      <c r="DU281" s="1111">
        <v>8.1625855885729438E-3</v>
      </c>
      <c r="DV281" s="1111">
        <v>8.1414389894490409E-3</v>
      </c>
      <c r="DW281" s="1111">
        <v>8.1579958309337917E-3</v>
      </c>
      <c r="DX281" s="1111">
        <v>8.1758856290748885E-3</v>
      </c>
      <c r="DY281" s="1111">
        <v>8.1758856290748885E-3</v>
      </c>
      <c r="DZ281" s="1111">
        <f t="shared" si="444"/>
        <v>0.17782774655845099</v>
      </c>
      <c r="EA281" s="1111">
        <f>SUMIFS(NewEmisData!E:E, NewEmisData!$A:$A, $G281, NewEmisData!$B:$B, $A281, NewEmisData!$C:$C, $H281, NewEmisData!$D:$D, EA$6)</f>
        <v>0.17782774655845099</v>
      </c>
      <c r="EB281" s="1111">
        <f>SUMIFS(NewEmisData!F:F, NewEmisData!$A:$A, $G281, NewEmisData!$B:$B, $A281, NewEmisData!$C:$C, $H281, NewEmisData!$D:$D, EB$6)</f>
        <v>4.9445543705968001E-2</v>
      </c>
      <c r="EC281" s="1111">
        <f>SUMIFS(NewEmisData!G:G, NewEmisData!$A:$A, $G281, NewEmisData!$B:$B, $A281, NewEmisData!$C:$C, $H281, NewEmisData!$D:$D, EC$6)</f>
        <v>2.14914790323418E-2</v>
      </c>
      <c r="ED281" s="1111">
        <f>SUMIFS(NewEmisData!H:H, NewEmisData!$A:$A, $G281, NewEmisData!$B:$B, $A281, NewEmisData!$C:$C, $H281, NewEmisData!$D:$D, ED$6)</f>
        <v>1.74631086819735E-2</v>
      </c>
      <c r="EE281" s="1111">
        <f>SUMIFS(NewEmisData!I:I, NewEmisData!$A:$A, $G281, NewEmisData!$B:$B, $A281, NewEmisData!$C:$C, $H281, NewEmisData!$D:$D, EE$6)</f>
        <v>1.7306502140019699E-2</v>
      </c>
      <c r="EF281" s="1111">
        <f>SUMIFS(NewEmisData!J:J, NewEmisData!$A:$A, $G281, NewEmisData!$B:$B, $A281, NewEmisData!$C:$C, $H281, NewEmisData!$D:$D, EF$6)</f>
        <v>1.77413796860907E-2</v>
      </c>
      <c r="EG281" s="1111">
        <f>SUMIFS(NewEmisData!K:K, NewEmisData!$A:$A, $G281, NewEmisData!$B:$B, $A281, NewEmisData!$C:$C, $H281, NewEmisData!$D:$D, EG$6)</f>
        <v>1.7873917726394802E-2</v>
      </c>
      <c r="EH281" s="1111">
        <f>SUMIFS(NewEmisData!L:L, NewEmisData!$A:$A, $G281, NewEmisData!$B:$B, $A281, NewEmisData!$C:$C, $H281, NewEmisData!$D:$D, EH$6)</f>
        <v>1.8044608652160399E-2</v>
      </c>
      <c r="EI281" s="1111">
        <f>SUMIFS(NewEmisData!M:M, NewEmisData!$A:$A, $G281, NewEmisData!$B:$B, $A281, NewEmisData!$C:$C, $H281, NewEmisData!$D:$D, EI$6)</f>
        <v>1.8102357634055401E-2</v>
      </c>
      <c r="EJ281" s="1111">
        <f t="shared" si="445"/>
        <v>1.8102357634055401E-2</v>
      </c>
      <c r="EK281" s="1111">
        <f t="shared" si="446"/>
        <v>1261.7193045716699</v>
      </c>
      <c r="EL281" s="1111">
        <f t="shared" si="343"/>
        <v>1261.7193045716699</v>
      </c>
      <c r="EM281" s="1111">
        <f t="shared" si="344"/>
        <v>1249.12075772399</v>
      </c>
      <c r="EN281" s="1111">
        <f t="shared" si="345"/>
        <v>1645.5452306145801</v>
      </c>
      <c r="EO281" s="1111">
        <f t="shared" si="346"/>
        <v>1615.5067230397001</v>
      </c>
      <c r="EP281" s="1111">
        <f t="shared" si="347"/>
        <v>1561.96512576184</v>
      </c>
      <c r="EQ281" s="1111">
        <f t="shared" si="348"/>
        <v>1548.35062809069</v>
      </c>
      <c r="ER281" s="1111">
        <f t="shared" si="349"/>
        <v>1545.11245308096</v>
      </c>
      <c r="ES281" s="1111">
        <f t="shared" si="350"/>
        <v>1544.5579062120401</v>
      </c>
      <c r="ET281" s="1111">
        <f t="shared" si="351"/>
        <v>1544.55231111378</v>
      </c>
      <c r="EU281" s="1111">
        <f t="shared" si="352"/>
        <v>1544.55231111378</v>
      </c>
      <c r="EV281" s="1111">
        <f t="shared" si="447"/>
        <v>5.0421157380649202</v>
      </c>
      <c r="EW281" s="1111">
        <f t="shared" si="333"/>
        <v>5.0421157380649202</v>
      </c>
      <c r="EX281" s="1111">
        <f t="shared" si="334"/>
        <v>2.6891275593082402</v>
      </c>
      <c r="EY281" s="1111">
        <f t="shared" si="335"/>
        <v>1.59672970269866</v>
      </c>
      <c r="EZ281" s="1111">
        <f t="shared" si="336"/>
        <v>1.2533988169049</v>
      </c>
      <c r="FA281" s="1111">
        <f t="shared" si="337"/>
        <v>1.1377603861924299</v>
      </c>
      <c r="FB281" s="1111">
        <f t="shared" si="338"/>
        <v>1.11657517091755</v>
      </c>
      <c r="FC281" s="1111">
        <f t="shared" si="339"/>
        <v>1.10785037464988</v>
      </c>
      <c r="FD281" s="1111">
        <f t="shared" si="340"/>
        <v>1.10808970467776</v>
      </c>
      <c r="FE281" s="1111">
        <f t="shared" si="341"/>
        <v>1.10829058082377</v>
      </c>
      <c r="FF281" s="1111">
        <f t="shared" si="342"/>
        <v>1.10829058082377</v>
      </c>
      <c r="FG281" s="1111">
        <f t="shared" si="389"/>
        <v>2.18321680952577E-2</v>
      </c>
      <c r="FH281" s="1111">
        <f t="shared" si="390"/>
        <v>2.18321680952577E-2</v>
      </c>
      <c r="FI281" s="1111">
        <f t="shared" si="391"/>
        <v>2.1614175028351099E-2</v>
      </c>
      <c r="FJ281" s="1111">
        <f t="shared" si="392"/>
        <v>2.3606201662977298E-2</v>
      </c>
      <c r="FK281" s="1111">
        <f t="shared" si="393"/>
        <v>2.3175292056127901E-2</v>
      </c>
      <c r="FL281" s="1111">
        <f t="shared" si="394"/>
        <v>2.2407191257778802E-2</v>
      </c>
      <c r="FM281" s="1111">
        <f t="shared" si="395"/>
        <v>2.2211896644643399E-2</v>
      </c>
      <c r="FN281" s="1111">
        <f t="shared" si="396"/>
        <v>2.21654317430676E-2</v>
      </c>
      <c r="FO281" s="1111">
        <f t="shared" si="397"/>
        <v>2.21574783013113E-2</v>
      </c>
      <c r="FP281" s="1111">
        <f t="shared" si="398"/>
        <v>2.21574091915673E-2</v>
      </c>
      <c r="FQ281" s="1111">
        <f t="shared" si="399"/>
        <v>2.21574091915673E-2</v>
      </c>
      <c r="FR281" s="1111">
        <f t="shared" si="322"/>
        <v>0.37498220674272298</v>
      </c>
      <c r="FS281" s="1111">
        <f t="shared" si="323"/>
        <v>0.37498220674272298</v>
      </c>
      <c r="FT281" s="1111">
        <f t="shared" si="324"/>
        <v>0.30800096091118401</v>
      </c>
      <c r="FU281" s="1111">
        <f t="shared" si="325"/>
        <v>0.47876990917977102</v>
      </c>
      <c r="FV281" s="1111">
        <f t="shared" si="326"/>
        <v>0.47474601446343401</v>
      </c>
      <c r="FW281" s="1111">
        <f t="shared" si="327"/>
        <v>0.462592935753106</v>
      </c>
      <c r="FX281" s="1111">
        <f t="shared" si="328"/>
        <v>0.45943594701357998</v>
      </c>
      <c r="FY281" s="1111">
        <f t="shared" si="329"/>
        <v>0.45873466896290599</v>
      </c>
      <c r="FZ281" s="1111">
        <f t="shared" si="330"/>
        <v>0.45859669819349802</v>
      </c>
      <c r="GA281" s="1111">
        <f t="shared" si="331"/>
        <v>0.458612118231494</v>
      </c>
      <c r="GB281" s="1111">
        <f t="shared" si="332"/>
        <v>0.458612118231494</v>
      </c>
      <c r="GC281" s="1111">
        <f t="shared" si="353"/>
        <v>0.110253629274602</v>
      </c>
      <c r="GD281" s="1111">
        <f t="shared" si="354"/>
        <v>0.110253629274602</v>
      </c>
      <c r="GE281" s="1111">
        <f t="shared" si="355"/>
        <v>5.10415619775157E-2</v>
      </c>
      <c r="GF281" s="1111">
        <f t="shared" si="356"/>
        <v>6.9684988099320805E-2</v>
      </c>
      <c r="GG281" s="1111">
        <f t="shared" si="357"/>
        <v>6.9040658676098196E-2</v>
      </c>
      <c r="GH281" s="1111">
        <f t="shared" si="358"/>
        <v>6.6765177638673803E-2</v>
      </c>
      <c r="GI281" s="1111">
        <f t="shared" si="359"/>
        <v>6.6229434848786198E-2</v>
      </c>
      <c r="GJ281" s="1111">
        <f t="shared" si="360"/>
        <v>6.6102443905475594E-2</v>
      </c>
      <c r="GK281" s="1111">
        <f t="shared" si="361"/>
        <v>6.6105381584131498E-2</v>
      </c>
      <c r="GL281" s="1111">
        <f t="shared" si="362"/>
        <v>6.6121307340381005E-2</v>
      </c>
      <c r="GM281" s="1111">
        <f t="shared" si="363"/>
        <v>6.6121307340381005E-2</v>
      </c>
    </row>
    <row r="282" spans="1:195" x14ac:dyDescent="0.2">
      <c r="A282" s="1071" t="s">
        <v>184</v>
      </c>
      <c r="B282" s="1071" t="str">
        <f>Technologies!C164</f>
        <v>THSCNGIM</v>
      </c>
      <c r="C282" s="1071" t="str">
        <f>Technologies!D164</f>
        <v>Heavy Truck, Short Haul, Improved CNG</v>
      </c>
      <c r="D282" s="1071" t="str">
        <f>NewTech!D110</f>
        <v>bn-vmt, bn-vmt/a</v>
      </c>
      <c r="E282" s="1071" t="str">
        <f>Commodities!C$58</f>
        <v>THCNG</v>
      </c>
      <c r="F282" s="1071" t="s">
        <v>98</v>
      </c>
      <c r="G282" s="1110" t="s">
        <v>505</v>
      </c>
      <c r="H282" s="1110" t="s">
        <v>500</v>
      </c>
      <c r="I282" s="1112">
        <v>1</v>
      </c>
      <c r="J282" s="1111" t="str">
        <f t="shared" si="302"/>
        <v>Heavy duty short haul truck-GSL</v>
      </c>
      <c r="K282" s="1111">
        <f>SUMIFS(NewEmisData!E:E, NewEmisData!$A:$A, $G282, NewEmisData!$B:$B, $A282, NewEmisData!$C:$C, $H282, NewEmisData!$D:$D, K$6)</f>
        <v>1130.1167624525301</v>
      </c>
      <c r="L282" s="1111">
        <f>SUMIFS(NewEmisData!F:F, NewEmisData!$A:$A, $G282, NewEmisData!$B:$B, $A282, NewEmisData!$C:$C, $H282, NewEmisData!$D:$D, L$6)</f>
        <v>1130.8984145920599</v>
      </c>
      <c r="M282" s="1111">
        <f>SUMIFS(NewEmisData!G:G, NewEmisData!$A:$A, $G282, NewEmisData!$B:$B, $A282, NewEmisData!$C:$C, $H282, NewEmisData!$D:$D, M$6)</f>
        <v>1405.3513402599599</v>
      </c>
      <c r="N282" s="1111">
        <f>SUMIFS(NewEmisData!H:H, NewEmisData!$A:$A, $G282, NewEmisData!$B:$B, $A282, NewEmisData!$C:$C, $H282, NewEmisData!$D:$D, N$6)</f>
        <v>1379.6052405171799</v>
      </c>
      <c r="O282" s="1111">
        <f>SUMIFS(NewEmisData!I:I, NewEmisData!$A:$A, $G282, NewEmisData!$B:$B, $A282, NewEmisData!$C:$C, $H282, NewEmisData!$D:$D, O$6)</f>
        <v>1334.4147184286501</v>
      </c>
      <c r="P282" s="1111">
        <f>SUMIFS(NewEmisData!J:J, NewEmisData!$A:$A, $G282, NewEmisData!$B:$B, $A282, NewEmisData!$C:$C, $H282, NewEmisData!$D:$D, P$6)</f>
        <v>1322.9454628220101</v>
      </c>
      <c r="Q282" s="1111">
        <f>SUMIFS(NewEmisData!K:K, NewEmisData!$A:$A, $G282, NewEmisData!$B:$B, $A282, NewEmisData!$C:$C, $H282, NewEmisData!$D:$D, Q$6)</f>
        <v>1320.2157375614299</v>
      </c>
      <c r="R282" s="1111">
        <f>SUMIFS(NewEmisData!L:L, NewEmisData!$A:$A, $G282, NewEmisData!$B:$B, $A282, NewEmisData!$C:$C, $H282, NewEmisData!$D:$D, R$6)</f>
        <v>1319.7277214958499</v>
      </c>
      <c r="S282" s="1111">
        <f>SUMIFS(NewEmisData!M:M, NewEmisData!$A:$A, $G282, NewEmisData!$B:$B, $A282, NewEmisData!$C:$C, $H282, NewEmisData!$D:$D, S$6)</f>
        <v>1319.71246990391</v>
      </c>
      <c r="T282" s="1111">
        <f t="shared" si="364"/>
        <v>1319.71246990391</v>
      </c>
      <c r="U282" s="1111">
        <f>SUMIFS(NewEmisData!E:E, NewEmisData!$A:$A, $G282, NewEmisData!$B:$B, $A282, NewEmisData!$C:$C, $H282, NewEmisData!$D:$D, U$6)</f>
        <v>4.0566113456988298</v>
      </c>
      <c r="V282" s="1111">
        <f>SUMIFS(NewEmisData!F:F, NewEmisData!$A:$A, $G282, NewEmisData!$B:$B, $A282, NewEmisData!$C:$C, $H282, NewEmisData!$D:$D, V$6)</f>
        <v>2.5724270871349901</v>
      </c>
      <c r="W282" s="1111">
        <f>SUMIFS(NewEmisData!G:G, NewEmisData!$A:$A, $G282, NewEmisData!$B:$B, $A282, NewEmisData!$C:$C, $H282, NewEmisData!$D:$D, W$6)</f>
        <v>1.4424895677524801</v>
      </c>
      <c r="X282" s="1111">
        <f>SUMIFS(NewEmisData!H:H, NewEmisData!$A:$A, $G282, NewEmisData!$B:$B, $A282, NewEmisData!$C:$C, $H282, NewEmisData!$D:$D, X$6)</f>
        <v>1.13924742539507</v>
      </c>
      <c r="Y282" s="1111">
        <f>SUMIFS(NewEmisData!I:I, NewEmisData!$A:$A, $G282, NewEmisData!$B:$B, $A282, NewEmisData!$C:$C, $H282, NewEmisData!$D:$D, Y$6)</f>
        <v>1.03965564636638</v>
      </c>
      <c r="Z282" s="1111">
        <f>SUMIFS(NewEmisData!J:J, NewEmisData!$A:$A, $G282, NewEmisData!$B:$B, $A282, NewEmisData!$C:$C, $H282, NewEmisData!$D:$D, Z$6)</f>
        <v>1.02198349229239</v>
      </c>
      <c r="AA282" s="1111">
        <f>SUMIFS(NewEmisData!K:K, NewEmisData!$A:$A, $G282, NewEmisData!$B:$B, $A282, NewEmisData!$C:$C, $H282, NewEmisData!$D:$D, AA$6)</f>
        <v>1.0148563657413801</v>
      </c>
      <c r="AB282" s="1111">
        <f>SUMIFS(NewEmisData!L:L, NewEmisData!$A:$A, $G282, NewEmisData!$B:$B, $A282, NewEmisData!$C:$C, $H282, NewEmisData!$D:$D, AB$6)</f>
        <v>1.01503532465236</v>
      </c>
      <c r="AC282" s="1111">
        <f>SUMIFS(NewEmisData!M:M, NewEmisData!$A:$A, $G282, NewEmisData!$B:$B, $A282, NewEmisData!$C:$C, $H282, NewEmisData!$D:$D, AC$6)</f>
        <v>1.0151899457145299</v>
      </c>
      <c r="AD282" s="1111">
        <f t="shared" si="321"/>
        <v>1.0151899457145299</v>
      </c>
      <c r="AE282" s="1111">
        <f t="shared" si="430"/>
        <v>1.9554990283156898E-2</v>
      </c>
      <c r="AF282" s="1111">
        <f>SUMIFS(NewEmisData!E:E, NewEmisData!$A:$A, $G282, NewEmisData!$B:$B, $A282, NewEmisData!$C:$C, $H282, NewEmisData!$D:$D, AF$6)</f>
        <v>1.9554990283156898E-2</v>
      </c>
      <c r="AG282" s="1111">
        <f>SUMIFS(NewEmisData!F:F, NewEmisData!$A:$A, $G282, NewEmisData!$B:$B, $A282, NewEmisData!$C:$C, $H282, NewEmisData!$D:$D, AG$6)</f>
        <v>1.95685182638505E-2</v>
      </c>
      <c r="AH282" s="1111">
        <f>SUMIFS(NewEmisData!G:G, NewEmisData!$A:$A, $G282, NewEmisData!$B:$B, $A282, NewEmisData!$C:$C, $H282, NewEmisData!$D:$D, AH$6)</f>
        <v>2.01604922584692E-2</v>
      </c>
      <c r="AI282" s="1111">
        <f>SUMIFS(NewEmisData!H:H, NewEmisData!$A:$A, $G282, NewEmisData!$B:$B, $A282, NewEmisData!$C:$C, $H282, NewEmisData!$D:$D, AI$6)</f>
        <v>1.97911521572584E-2</v>
      </c>
      <c r="AJ282" s="1111">
        <f>SUMIFS(NewEmisData!I:I, NewEmisData!$A:$A, $G282, NewEmisData!$B:$B, $A282, NewEmisData!$C:$C, $H282, NewEmisData!$D:$D, AJ$6)</f>
        <v>1.9142873562620798E-2</v>
      </c>
      <c r="AK282" s="1111">
        <f>SUMIFS(NewEmisData!J:J, NewEmisData!$A:$A, $G282, NewEmisData!$B:$B, $A282, NewEmisData!$C:$C, $H282, NewEmisData!$D:$D, AK$6)</f>
        <v>1.89783356086532E-2</v>
      </c>
      <c r="AL282" s="1111">
        <f>SUMIFS(NewEmisData!K:K, NewEmisData!$A:$A, $G282, NewEmisData!$B:$B, $A282, NewEmisData!$C:$C, $H282, NewEmisData!$D:$D, AL$6)</f>
        <v>1.8939180344523601E-2</v>
      </c>
      <c r="AM282" s="1111">
        <f>SUMIFS(NewEmisData!L:L, NewEmisData!$A:$A, $G282, NewEmisData!$B:$B, $A282, NewEmisData!$C:$C, $H282, NewEmisData!$D:$D, AM$6)</f>
        <v>1.8932175415884701E-2</v>
      </c>
      <c r="AN282" s="1111">
        <f>SUMIFS(NewEmisData!M:M, NewEmisData!$A:$A, $G282, NewEmisData!$B:$B, $A282, NewEmisData!$C:$C, $H282, NewEmisData!$D:$D, AN$6)</f>
        <v>1.89319567223225E-2</v>
      </c>
      <c r="AO282" s="1111">
        <f t="shared" si="431"/>
        <v>1.89319567223225E-2</v>
      </c>
      <c r="AP282" s="1111">
        <f t="shared" si="432"/>
        <v>0.25577646184958402</v>
      </c>
      <c r="AQ282" s="1111">
        <f>SUMIFS(NewEmisData!E:E, NewEmisData!$A:$A, $G282, NewEmisData!$B:$B, $A282, NewEmisData!$C:$C, $H282, NewEmisData!$D:$D, AQ$6)</f>
        <v>0.25577646184958402</v>
      </c>
      <c r="AR282" s="1111">
        <f>SUMIFS(NewEmisData!F:F, NewEmisData!$A:$A, $G282, NewEmisData!$B:$B, $A282, NewEmisData!$C:$C, $H282, NewEmisData!$D:$D, AR$6)</f>
        <v>0.23859206785442999</v>
      </c>
      <c r="AS282" s="1111">
        <f>SUMIFS(NewEmisData!G:G, NewEmisData!$A:$A, $G282, NewEmisData!$B:$B, $A282, NewEmisData!$C:$C, $H282, NewEmisData!$D:$D, AS$6)</f>
        <v>0.351764857744302</v>
      </c>
      <c r="AT282" s="1111">
        <f>SUMIFS(NewEmisData!H:H, NewEmisData!$A:$A, $G282, NewEmisData!$B:$B, $A282, NewEmisData!$C:$C, $H282, NewEmisData!$D:$D, AT$6)</f>
        <v>0.34931824303782499</v>
      </c>
      <c r="AU282" s="1111">
        <f>SUMIFS(NewEmisData!I:I, NewEmisData!$A:$A, $G282, NewEmisData!$B:$B, $A282, NewEmisData!$C:$C, $H282, NewEmisData!$D:$D, AU$6)</f>
        <v>0.34154946312290901</v>
      </c>
      <c r="AV282" s="1111">
        <f>SUMIFS(NewEmisData!J:J, NewEmisData!$A:$A, $G282, NewEmisData!$B:$B, $A282, NewEmisData!$C:$C, $H282, NewEmisData!$D:$D, AV$6)</f>
        <v>0.33956199269290699</v>
      </c>
      <c r="AW282" s="1111">
        <f>SUMIFS(NewEmisData!K:K, NewEmisData!$A:$A, $G282, NewEmisData!$B:$B, $A282, NewEmisData!$C:$C, $H282, NewEmisData!$D:$D, AW$6)</f>
        <v>0.33912280958847202</v>
      </c>
      <c r="AX282" s="1111">
        <f>SUMIFS(NewEmisData!L:L, NewEmisData!$A:$A, $G282, NewEmisData!$B:$B, $A282, NewEmisData!$C:$C, $H282, NewEmisData!$D:$D, AX$6)</f>
        <v>0.33904138785011401</v>
      </c>
      <c r="AY282" s="1111">
        <f>SUMIFS(NewEmisData!M:M, NewEmisData!$A:$A, $G282, NewEmisData!$B:$B, $A282, NewEmisData!$C:$C, $H282, NewEmisData!$D:$D, AY$6)</f>
        <v>0.33905343527213999</v>
      </c>
      <c r="AZ282" s="1111">
        <f t="shared" si="433"/>
        <v>0.33905343527213999</v>
      </c>
      <c r="BA282" s="1111">
        <f t="shared" si="434"/>
        <v>5.4814467904693999E-2</v>
      </c>
      <c r="BB282" s="1111">
        <f>SUMIFS(NewEmisData!E:E, NewEmisData!$A:$A, $G282, NewEmisData!$B:$B, $A282, NewEmisData!$C:$C, $H282, NewEmisData!$D:$D, BB$6)</f>
        <v>5.4814467904693999E-2</v>
      </c>
      <c r="BC282" s="1111">
        <f>SUMIFS(NewEmisData!F:F, NewEmisData!$A:$A, $G282, NewEmisData!$B:$B, $A282, NewEmisData!$C:$C, $H282, NewEmisData!$D:$D, BC$6)</f>
        <v>3.9660843522864801E-2</v>
      </c>
      <c r="BD282" s="1111">
        <f>SUMIFS(NewEmisData!G:G, NewEmisData!$A:$A, $G282, NewEmisData!$B:$B, $A282, NewEmisData!$C:$C, $H282, NewEmisData!$D:$D, BD$6)</f>
        <v>5.2889801360665199E-2</v>
      </c>
      <c r="BE282" s="1111">
        <f>SUMIFS(NewEmisData!H:H, NewEmisData!$A:$A, $G282, NewEmisData!$B:$B, $A282, NewEmisData!$C:$C, $H282, NewEmisData!$D:$D, BE$6)</f>
        <v>5.2551386947303103E-2</v>
      </c>
      <c r="BF282" s="1111">
        <f>SUMIFS(NewEmisData!I:I, NewEmisData!$A:$A, $G282, NewEmisData!$B:$B, $A282, NewEmisData!$C:$C, $H282, NewEmisData!$D:$D, BF$6)</f>
        <v>5.0945334073008497E-2</v>
      </c>
      <c r="BG282" s="1111">
        <f>SUMIFS(NewEmisData!J:J, NewEmisData!$A:$A, $G282, NewEmisData!$B:$B, $A282, NewEmisData!$C:$C, $H282, NewEmisData!$D:$D, BG$6)</f>
        <v>5.0580577350149397E-2</v>
      </c>
      <c r="BH282" s="1111">
        <f>SUMIFS(NewEmisData!K:K, NewEmisData!$A:$A, $G282, NewEmisData!$B:$B, $A282, NewEmisData!$C:$C, $H282, NewEmisData!$D:$D, BH$6)</f>
        <v>5.0495841537682197E-2</v>
      </c>
      <c r="BI282" s="1111">
        <f>SUMIFS(NewEmisData!L:L, NewEmisData!$A:$A, $G282, NewEmisData!$B:$B, $A282, NewEmisData!$C:$C, $H282, NewEmisData!$D:$D, BI$6)</f>
        <v>5.0500593811481399E-2</v>
      </c>
      <c r="BJ282" s="1111">
        <f>SUMIFS(NewEmisData!M:M, NewEmisData!$A:$A, $G282, NewEmisData!$B:$B, $A282, NewEmisData!$C:$C, $H282, NewEmisData!$D:$D, BJ$6)</f>
        <v>5.0513012114000298E-2</v>
      </c>
      <c r="BK282" s="1111">
        <f t="shared" si="435"/>
        <v>5.0513012114000298E-2</v>
      </c>
      <c r="BL282" s="1111">
        <f t="shared" si="436"/>
        <v>32.184051509772999</v>
      </c>
      <c r="BM282" s="1111">
        <f>SUMIFS(NewEmisData!E:E, NewEmisData!$A:$A, $G282, NewEmisData!$B:$B, $A282, NewEmisData!$C:$C, $H282, NewEmisData!$D:$D, BM$6)</f>
        <v>32.184051509772999</v>
      </c>
      <c r="BN282" s="1111">
        <f>SUMIFS(NewEmisData!F:F, NewEmisData!$A:$A, $G282, NewEmisData!$B:$B, $A282, NewEmisData!$C:$C, $H282, NewEmisData!$D:$D, BN$6)</f>
        <v>25.790545556992701</v>
      </c>
      <c r="BO282" s="1111">
        <f>SUMIFS(NewEmisData!G:G, NewEmisData!$A:$A, $G282, NewEmisData!$B:$B, $A282, NewEmisData!$C:$C, $H282, NewEmisData!$D:$D, BO$6)</f>
        <v>17.593987471051999</v>
      </c>
      <c r="BP282" s="1111">
        <f>SUMIFS(NewEmisData!H:H, NewEmisData!$A:$A, $G282, NewEmisData!$B:$B, $A282, NewEmisData!$C:$C, $H282, NewEmisData!$D:$D, BP$6)</f>
        <v>15.548032809457499</v>
      </c>
      <c r="BQ282" s="1111">
        <f>SUMIFS(NewEmisData!I:I, NewEmisData!$A:$A, $G282, NewEmisData!$B:$B, $A282, NewEmisData!$C:$C, $H282, NewEmisData!$D:$D, BQ$6)</f>
        <v>15.5605262464888</v>
      </c>
      <c r="BR282" s="1111">
        <f>SUMIFS(NewEmisData!J:J, NewEmisData!$A:$A, $G282, NewEmisData!$B:$B, $A282, NewEmisData!$C:$C, $H282, NewEmisData!$D:$D, BR$6)</f>
        <v>15.9871963814061</v>
      </c>
      <c r="BS282" s="1111">
        <f>SUMIFS(NewEmisData!K:K, NewEmisData!$A:$A, $G282, NewEmisData!$B:$B, $A282, NewEmisData!$C:$C, $H282, NewEmisData!$D:$D, BS$6)</f>
        <v>16.091605975104901</v>
      </c>
      <c r="BT282" s="1111">
        <f>SUMIFS(NewEmisData!L:L, NewEmisData!$A:$A, $G282, NewEmisData!$B:$B, $A282, NewEmisData!$C:$C, $H282, NewEmisData!$D:$D, BT$6)</f>
        <v>16.2582160020517</v>
      </c>
      <c r="BU282" s="1111">
        <f>SUMIFS(NewEmisData!M:M, NewEmisData!$A:$A, $G282, NewEmisData!$B:$B, $A282, NewEmisData!$C:$C, $H282, NewEmisData!$D:$D, BU$6)</f>
        <v>16.317714638715799</v>
      </c>
      <c r="BV282" s="1111">
        <f t="shared" si="437"/>
        <v>16.317714638715799</v>
      </c>
      <c r="BW282" s="1111">
        <f t="shared" si="438"/>
        <v>1.6076832062105699</v>
      </c>
      <c r="BX282" s="1111">
        <f>SUMIFS(NewEmisData!E:E, NewEmisData!$A:$A, $G282, NewEmisData!$B:$B, $A282, NewEmisData!$C:$C, $H282, NewEmisData!$D:$D, BX$6)</f>
        <v>1.6076832062105699</v>
      </c>
      <c r="BY282" s="1111">
        <f>SUMIFS(NewEmisData!F:F, NewEmisData!$A:$A, $G282, NewEmisData!$B:$B, $A282, NewEmisData!$C:$C, $H282, NewEmisData!$D:$D, BY$6)</f>
        <v>1.07737691728375</v>
      </c>
      <c r="BZ282" s="1111">
        <f>SUMIFS(NewEmisData!G:G, NewEmisData!$A:$A, $G282, NewEmisData!$B:$B, $A282, NewEmisData!$C:$C, $H282, NewEmisData!$D:$D, BZ$6)</f>
        <v>0.66089486679656995</v>
      </c>
      <c r="CA282" s="1111">
        <f>SUMIFS(NewEmisData!H:H, NewEmisData!$A:$A, $G282, NewEmisData!$B:$B, $A282, NewEmisData!$C:$C, $H282, NewEmisData!$D:$D, CA$6)</f>
        <v>0.50665329469086795</v>
      </c>
      <c r="CB282" s="1111">
        <f>SUMIFS(NewEmisData!I:I, NewEmisData!$A:$A, $G282, NewEmisData!$B:$B, $A282, NewEmisData!$C:$C, $H282, NewEmisData!$D:$D, CB$6)</f>
        <v>0.45395027729947901</v>
      </c>
      <c r="CC282" s="1111">
        <f>SUMIFS(NewEmisData!J:J, NewEmisData!$A:$A, $G282, NewEmisData!$B:$B, $A282, NewEmisData!$C:$C, $H282, NewEmisData!$D:$D, CC$6)</f>
        <v>0.44710959546622903</v>
      </c>
      <c r="CD282" s="1111">
        <f>SUMIFS(NewEmisData!K:K, NewEmisData!$A:$A, $G282, NewEmisData!$B:$B, $A282, NewEmisData!$C:$C, $H282, NewEmisData!$D:$D, CD$6)</f>
        <v>0.44246515211993698</v>
      </c>
      <c r="CE282" s="1111">
        <f>SUMIFS(NewEmisData!L:L, NewEmisData!$A:$A, $G282, NewEmisData!$B:$B, $A282, NewEmisData!$C:$C, $H282, NewEmisData!$D:$D, CE$6)</f>
        <v>0.44466448973498501</v>
      </c>
      <c r="CF282" s="1111">
        <f>SUMIFS(NewEmisData!M:M, NewEmisData!$A:$A, $G282, NewEmisData!$B:$B, $A282, NewEmisData!$C:$C, $H282, NewEmisData!$D:$D, CF$6)</f>
        <v>0.44515250539012002</v>
      </c>
      <c r="CG282" s="1111">
        <f t="shared" si="439"/>
        <v>0.44515250539012002</v>
      </c>
      <c r="CH282" s="1111">
        <f t="shared" si="440"/>
        <v>4.3399422117819303E-2</v>
      </c>
      <c r="CI282" s="1111">
        <f>SUMIFS(NewEmisData!E:E, NewEmisData!$A:$A, $G282, NewEmisData!$B:$B, $A282, NewEmisData!$C:$C, $H282, NewEmisData!$D:$D, CI$6)</f>
        <v>4.3399422117819303E-2</v>
      </c>
      <c r="CJ282" s="1111">
        <f>SUMIFS(NewEmisData!F:F, NewEmisData!$A:$A, $G282, NewEmisData!$B:$B, $A282, NewEmisData!$C:$C, $H282, NewEmisData!$D:$D, CJ$6)</f>
        <v>4.3400015102987403E-2</v>
      </c>
      <c r="CK282" s="1111">
        <f>SUMIFS(NewEmisData!G:G, NewEmisData!$A:$A, $G282, NewEmisData!$B:$B, $A282, NewEmisData!$C:$C, $H282, NewEmisData!$D:$D, CK$6)</f>
        <v>5.51180775849354E-2</v>
      </c>
      <c r="CL282" s="1111">
        <f>SUMIFS(NewEmisData!H:H, NewEmisData!$A:$A, $G282, NewEmisData!$B:$B, $A282, NewEmisData!$C:$C, $H282, NewEmisData!$D:$D, CL$6)</f>
        <v>5.5092760124654402E-2</v>
      </c>
      <c r="CM282" s="1111">
        <f>SUMIFS(NewEmisData!I:I, NewEmisData!$A:$A, $G282, NewEmisData!$B:$B, $A282, NewEmisData!$C:$C, $H282, NewEmisData!$D:$D, CM$6)</f>
        <v>5.5018575060889002E-2</v>
      </c>
      <c r="CN282" s="1111">
        <f>SUMIFS(NewEmisData!J:J, NewEmisData!$A:$A, $G282, NewEmisData!$B:$B, $A282, NewEmisData!$C:$C, $H282, NewEmisData!$D:$D, CN$6)</f>
        <v>5.4999024433032603E-2</v>
      </c>
      <c r="CO282" s="1111">
        <f>SUMIFS(NewEmisData!K:K, NewEmisData!$A:$A, $G282, NewEmisData!$B:$B, $A282, NewEmisData!$C:$C, $H282, NewEmisData!$D:$D, CO$6)</f>
        <v>5.49947267932255E-2</v>
      </c>
      <c r="CP282" s="1111">
        <f>SUMIFS(NewEmisData!L:L, NewEmisData!$A:$A, $G282, NewEmisData!$B:$B, $A282, NewEmisData!$C:$C, $H282, NewEmisData!$D:$D, CP$6)</f>
        <v>5.4993686114600697E-2</v>
      </c>
      <c r="CQ282" s="1111">
        <f>SUMIFS(NewEmisData!M:M, NewEmisData!$A:$A, $G282, NewEmisData!$B:$B, $A282, NewEmisData!$C:$C, $H282, NewEmisData!$D:$D, CQ$6)</f>
        <v>5.4993670901738401E-2</v>
      </c>
      <c r="CR282" s="1111">
        <f t="shared" si="441"/>
        <v>5.4993670901738401E-2</v>
      </c>
      <c r="CS282" s="1111">
        <f t="shared" si="442"/>
        <v>4.2091134803139398E-2</v>
      </c>
      <c r="CT282" s="1111">
        <f>SUMIFS(NewEmisData!E:E, NewEmisData!$A:$A, $G282, NewEmisData!$B:$B, $A282, NewEmisData!$C:$C, $H282, NewEmisData!$D:$D, CT$6)</f>
        <v>4.2091134803139398E-2</v>
      </c>
      <c r="CU282" s="1111">
        <f>SUMIFS(NewEmisData!F:F, NewEmisData!$A:$A, $G282, NewEmisData!$B:$B, $A282, NewEmisData!$C:$C, $H282, NewEmisData!$D:$D, CU$6)</f>
        <v>2.9413368678447099E-2</v>
      </c>
      <c r="CV282" s="1111">
        <f>SUMIFS(NewEmisData!G:G, NewEmisData!$A:$A, $G282, NewEmisData!$B:$B, $A282, NewEmisData!$C:$C, $H282, NewEmisData!$D:$D, CV$6)</f>
        <v>2.1908117014146501E-2</v>
      </c>
      <c r="CW282" s="1111">
        <f>SUMIFS(NewEmisData!H:H, NewEmisData!$A:$A, $G282, NewEmisData!$B:$B, $A282, NewEmisData!$C:$C, $H282, NewEmisData!$D:$D, CW$6)</f>
        <v>1.51235650548124E-2</v>
      </c>
      <c r="CX282" s="1111">
        <f>SUMIFS(NewEmisData!I:I, NewEmisData!$A:$A, $G282, NewEmisData!$B:$B, $A282, NewEmisData!$C:$C, $H282, NewEmisData!$D:$D, CX$6)</f>
        <v>1.29093526067743E-2</v>
      </c>
      <c r="CY282" s="1111">
        <f>SUMIFS(NewEmisData!J:J, NewEmisData!$A:$A, $G282, NewEmisData!$B:$B, $A282, NewEmisData!$C:$C, $H282, NewEmisData!$D:$D, CY$6)</f>
        <v>1.25399672188876E-2</v>
      </c>
      <c r="CZ282" s="1111">
        <f>SUMIFS(NewEmisData!K:K, NewEmisData!$A:$A, $G282, NewEmisData!$B:$B, $A282, NewEmisData!$C:$C, $H282, NewEmisData!$D:$D, CZ$6)</f>
        <v>1.2248391252448299E-2</v>
      </c>
      <c r="DA282" s="1111">
        <f>SUMIFS(NewEmisData!L:L, NewEmisData!$A:$A, $G282, NewEmisData!$B:$B, $A282, NewEmisData!$C:$C, $H282, NewEmisData!$D:$D, DA$6)</f>
        <v>1.22999318738547E-2</v>
      </c>
      <c r="DB282" s="1111">
        <f>SUMIFS(NewEmisData!M:M, NewEmisData!$A:$A, $G282, NewEmisData!$B:$B, $A282, NewEmisData!$C:$C, $H282, NewEmisData!$D:$D, DB$6)</f>
        <v>1.23186618660251E-2</v>
      </c>
      <c r="DC282" s="1111">
        <f t="shared" si="443"/>
        <v>1.23186618660251E-2</v>
      </c>
      <c r="DD282" s="1111"/>
      <c r="DE282" s="1111"/>
      <c r="DF282" s="1111"/>
      <c r="DG282" s="1111"/>
      <c r="DH282" s="1111"/>
      <c r="DI282" s="1111"/>
      <c r="DJ282" s="1111"/>
      <c r="DK282" s="1111"/>
      <c r="DL282" s="1111"/>
      <c r="DM282" s="1111"/>
      <c r="DN282" s="1111"/>
      <c r="DO282" s="1111"/>
      <c r="DP282" s="1111"/>
      <c r="DQ282" s="1111"/>
      <c r="DR282" s="1111"/>
      <c r="DS282" s="1111"/>
      <c r="DT282" s="1111"/>
      <c r="DU282" s="1111"/>
      <c r="DV282" s="1111"/>
      <c r="DW282" s="1111"/>
      <c r="DX282" s="1111"/>
      <c r="DY282" s="1111"/>
      <c r="DZ282" s="1111">
        <f t="shared" si="444"/>
        <v>5.7853229299281397E-2</v>
      </c>
      <c r="EA282" s="1111">
        <f>SUMIFS(NewEmisData!E:E, NewEmisData!$A:$A, $G282, NewEmisData!$B:$B, $A282, NewEmisData!$C:$C, $H282, NewEmisData!$D:$D, EA$6)</f>
        <v>5.7853229299281397E-2</v>
      </c>
      <c r="EB282" s="1111">
        <f>SUMIFS(NewEmisData!F:F, NewEmisData!$A:$A, $G282, NewEmisData!$B:$B, $A282, NewEmisData!$C:$C, $H282, NewEmisData!$D:$D, EB$6)</f>
        <v>2.9073352809047302E-2</v>
      </c>
      <c r="EC282" s="1111">
        <f>SUMIFS(NewEmisData!G:G, NewEmisData!$A:$A, $G282, NewEmisData!$B:$B, $A282, NewEmisData!$C:$C, $H282, NewEmisData!$D:$D, EC$6)</f>
        <v>1.58088583493518E-2</v>
      </c>
      <c r="ED282" s="1111">
        <f>SUMIFS(NewEmisData!H:H, NewEmisData!$A:$A, $G282, NewEmisData!$B:$B, $A282, NewEmisData!$C:$C, $H282, NewEmisData!$D:$D, ED$6)</f>
        <v>1.27598175965856E-2</v>
      </c>
      <c r="EE282" s="1111">
        <f>SUMIFS(NewEmisData!I:I, NewEmisData!$A:$A, $G282, NewEmisData!$B:$B, $A282, NewEmisData!$C:$C, $H282, NewEmisData!$D:$D, EE$6)</f>
        <v>1.25765761718582E-2</v>
      </c>
      <c r="EF282" s="1111">
        <f>SUMIFS(NewEmisData!J:J, NewEmisData!$A:$A, $G282, NewEmisData!$B:$B, $A282, NewEmisData!$C:$C, $H282, NewEmisData!$D:$D, EF$6)</f>
        <v>1.28662791289052E-2</v>
      </c>
      <c r="EG282" s="1111">
        <f>SUMIFS(NewEmisData!K:K, NewEmisData!$A:$A, $G282, NewEmisData!$B:$B, $A282, NewEmisData!$C:$C, $H282, NewEmisData!$D:$D, EG$6)</f>
        <v>1.2955321110398099E-2</v>
      </c>
      <c r="EH282" s="1111">
        <f>SUMIFS(NewEmisData!L:L, NewEmisData!$A:$A, $G282, NewEmisData!$B:$B, $A282, NewEmisData!$C:$C, $H282, NewEmisData!$D:$D, EH$6)</f>
        <v>1.30753171444039E-2</v>
      </c>
      <c r="EI282" s="1111">
        <f>SUMIFS(NewEmisData!M:M, NewEmisData!$A:$A, $G282, NewEmisData!$B:$B, $A282, NewEmisData!$C:$C, $H282, NewEmisData!$D:$D, EI$6)</f>
        <v>1.31164603255322E-2</v>
      </c>
      <c r="EJ282" s="1111">
        <f t="shared" si="445"/>
        <v>1.31164603255322E-2</v>
      </c>
      <c r="EK282" s="1111">
        <f t="shared" si="446"/>
        <v>1130.1167624525301</v>
      </c>
      <c r="EL282" s="1111">
        <f t="shared" si="343"/>
        <v>1130.1167624525301</v>
      </c>
      <c r="EM282" s="1111">
        <f t="shared" si="344"/>
        <v>1130.8984145920599</v>
      </c>
      <c r="EN282" s="1111">
        <f t="shared" si="345"/>
        <v>1405.3513402599599</v>
      </c>
      <c r="EO282" s="1111">
        <f t="shared" si="346"/>
        <v>1379.6052405171799</v>
      </c>
      <c r="EP282" s="1111">
        <f t="shared" si="347"/>
        <v>1334.4147184286501</v>
      </c>
      <c r="EQ282" s="1111">
        <f t="shared" si="348"/>
        <v>1322.9454628220101</v>
      </c>
      <c r="ER282" s="1111">
        <f t="shared" si="349"/>
        <v>1320.2157375614299</v>
      </c>
      <c r="ES282" s="1111">
        <f t="shared" si="350"/>
        <v>1319.7277214958499</v>
      </c>
      <c r="ET282" s="1111">
        <f t="shared" si="351"/>
        <v>1319.71246990391</v>
      </c>
      <c r="EU282" s="1111">
        <f t="shared" si="352"/>
        <v>1319.71246990391</v>
      </c>
      <c r="EV282" s="1111">
        <f t="shared" si="447"/>
        <v>4.0566113456988298</v>
      </c>
      <c r="EW282" s="1111">
        <f t="shared" si="333"/>
        <v>4.0566113456988298</v>
      </c>
      <c r="EX282" s="1111">
        <f t="shared" si="334"/>
        <v>2.5724270871349901</v>
      </c>
      <c r="EY282" s="1111">
        <f t="shared" si="335"/>
        <v>1.4424895677524801</v>
      </c>
      <c r="EZ282" s="1111">
        <f t="shared" si="336"/>
        <v>1.13924742539507</v>
      </c>
      <c r="FA282" s="1111">
        <f t="shared" si="337"/>
        <v>1.03965564636638</v>
      </c>
      <c r="FB282" s="1111">
        <f t="shared" si="338"/>
        <v>1.02198349229239</v>
      </c>
      <c r="FC282" s="1111">
        <f t="shared" si="339"/>
        <v>1.0148563657413801</v>
      </c>
      <c r="FD282" s="1111">
        <f t="shared" si="340"/>
        <v>1.01503532465236</v>
      </c>
      <c r="FE282" s="1111">
        <f t="shared" si="341"/>
        <v>1.0151899457145299</v>
      </c>
      <c r="FF282" s="1111">
        <f t="shared" si="342"/>
        <v>1.0151899457145299</v>
      </c>
      <c r="FG282" s="1111">
        <f t="shared" si="389"/>
        <v>1.9554990283156898E-2</v>
      </c>
      <c r="FH282" s="1111">
        <f t="shared" si="390"/>
        <v>1.9554990283156898E-2</v>
      </c>
      <c r="FI282" s="1111">
        <f t="shared" si="391"/>
        <v>1.95685182638505E-2</v>
      </c>
      <c r="FJ282" s="1111">
        <f t="shared" si="392"/>
        <v>2.01604922584692E-2</v>
      </c>
      <c r="FK282" s="1111">
        <f t="shared" si="393"/>
        <v>1.97911521572584E-2</v>
      </c>
      <c r="FL282" s="1111">
        <f t="shared" si="394"/>
        <v>1.9142873562620798E-2</v>
      </c>
      <c r="FM282" s="1111">
        <f t="shared" si="395"/>
        <v>1.89783356086532E-2</v>
      </c>
      <c r="FN282" s="1111">
        <f t="shared" si="396"/>
        <v>1.8939180344523601E-2</v>
      </c>
      <c r="FO282" s="1111">
        <f t="shared" si="397"/>
        <v>1.8932175415884701E-2</v>
      </c>
      <c r="FP282" s="1111">
        <f t="shared" si="398"/>
        <v>1.89319567223225E-2</v>
      </c>
      <c r="FQ282" s="1111">
        <f t="shared" si="399"/>
        <v>1.89319567223225E-2</v>
      </c>
      <c r="FR282" s="1111">
        <f t="shared" si="322"/>
        <v>0.25577646184958402</v>
      </c>
      <c r="FS282" s="1111">
        <f t="shared" si="323"/>
        <v>0.25577646184958402</v>
      </c>
      <c r="FT282" s="1111">
        <f t="shared" si="324"/>
        <v>0.23859206785442999</v>
      </c>
      <c r="FU282" s="1111">
        <f t="shared" si="325"/>
        <v>0.351764857744302</v>
      </c>
      <c r="FV282" s="1111">
        <f t="shared" si="326"/>
        <v>0.34931824303782499</v>
      </c>
      <c r="FW282" s="1111">
        <f t="shared" si="327"/>
        <v>0.34154946312290901</v>
      </c>
      <c r="FX282" s="1111">
        <f t="shared" si="328"/>
        <v>0.33956199269290699</v>
      </c>
      <c r="FY282" s="1111">
        <f t="shared" si="329"/>
        <v>0.33912280958847202</v>
      </c>
      <c r="FZ282" s="1111">
        <f t="shared" si="330"/>
        <v>0.33904138785011401</v>
      </c>
      <c r="GA282" s="1111">
        <f t="shared" si="331"/>
        <v>0.33905343527213999</v>
      </c>
      <c r="GB282" s="1111">
        <f t="shared" si="332"/>
        <v>0.33905343527213999</v>
      </c>
      <c r="GC282" s="1111">
        <f t="shared" si="353"/>
        <v>5.4814467904693999E-2</v>
      </c>
      <c r="GD282" s="1111">
        <f t="shared" si="354"/>
        <v>5.4814467904693999E-2</v>
      </c>
      <c r="GE282" s="1111">
        <f t="shared" si="355"/>
        <v>3.9660843522864801E-2</v>
      </c>
      <c r="GF282" s="1111">
        <f t="shared" si="356"/>
        <v>5.2889801360665199E-2</v>
      </c>
      <c r="GG282" s="1111">
        <f t="shared" si="357"/>
        <v>5.2551386947303103E-2</v>
      </c>
      <c r="GH282" s="1111">
        <f t="shared" si="358"/>
        <v>5.0945334073008497E-2</v>
      </c>
      <c r="GI282" s="1111">
        <f t="shared" si="359"/>
        <v>5.0580577350149397E-2</v>
      </c>
      <c r="GJ282" s="1111">
        <f t="shared" si="360"/>
        <v>5.0495841537682197E-2</v>
      </c>
      <c r="GK282" s="1111">
        <f t="shared" si="361"/>
        <v>5.0500593811481399E-2</v>
      </c>
      <c r="GL282" s="1111">
        <f t="shared" si="362"/>
        <v>5.0513012114000298E-2</v>
      </c>
      <c r="GM282" s="1111">
        <f t="shared" si="363"/>
        <v>5.0513012114000298E-2</v>
      </c>
    </row>
    <row r="283" spans="1:195" x14ac:dyDescent="0.2">
      <c r="A283" s="1071" t="s">
        <v>186</v>
      </c>
      <c r="B283" s="1071" t="str">
        <f>Technologies!C164</f>
        <v>THSCNGIM</v>
      </c>
      <c r="C283" s="1071" t="str">
        <f>Technologies!D164</f>
        <v>Heavy Truck, Short Haul, Improved CNG</v>
      </c>
      <c r="D283" s="1071" t="str">
        <f>NewTech!D110</f>
        <v>bn-vmt, bn-vmt/a</v>
      </c>
      <c r="E283" s="1071" t="str">
        <f>Commodities!C$58</f>
        <v>THCNG</v>
      </c>
      <c r="F283" s="1071" t="s">
        <v>98</v>
      </c>
      <c r="G283" s="1110" t="s">
        <v>505</v>
      </c>
      <c r="H283" s="1110" t="s">
        <v>500</v>
      </c>
      <c r="I283" s="1112">
        <v>1</v>
      </c>
      <c r="J283" s="1111" t="str">
        <f t="shared" si="302"/>
        <v>Heavy duty short haul truck-GSL</v>
      </c>
      <c r="K283" s="1111">
        <f>SUMIFS(NewEmisData!E:E, NewEmisData!$A:$A, $G283, NewEmisData!$B:$B, $A283, NewEmisData!$C:$C, $H283, NewEmisData!$D:$D, K$6)</f>
        <v>1638.3455086040899</v>
      </c>
      <c r="L283" s="1111">
        <f>SUMIFS(NewEmisData!F:F, NewEmisData!$A:$A, $G283, NewEmisData!$B:$B, $A283, NewEmisData!$C:$C, $H283, NewEmisData!$D:$D, L$6)</f>
        <v>1597.91146698485</v>
      </c>
      <c r="M283" s="1111">
        <f>SUMIFS(NewEmisData!G:G, NewEmisData!$A:$A, $G283, NewEmisData!$B:$B, $A283, NewEmisData!$C:$C, $H283, NewEmisData!$D:$D, M$6)</f>
        <v>1675.8815285015601</v>
      </c>
      <c r="N283" s="1111">
        <f>SUMIFS(NewEmisData!H:H, NewEmisData!$A:$A, $G283, NewEmisData!$B:$B, $A283, NewEmisData!$C:$C, $H283, NewEmisData!$D:$D, N$6)</f>
        <v>1650.32431693742</v>
      </c>
      <c r="O283" s="1111">
        <f>SUMIFS(NewEmisData!I:I, NewEmisData!$A:$A, $G283, NewEmisData!$B:$B, $A283, NewEmisData!$C:$C, $H283, NewEmisData!$D:$D, O$6)</f>
        <v>1614.69992415768</v>
      </c>
      <c r="P283" s="1111">
        <f>SUMIFS(NewEmisData!J:J, NewEmisData!$A:$A, $G283, NewEmisData!$B:$B, $A283, NewEmisData!$C:$C, $H283, NewEmisData!$D:$D, P$6)</f>
        <v>1606.15558948889</v>
      </c>
      <c r="Q283" s="1111">
        <f>SUMIFS(NewEmisData!K:K, NewEmisData!$A:$A, $G283, NewEmisData!$B:$B, $A283, NewEmisData!$C:$C, $H283, NewEmisData!$D:$D, Q$6)</f>
        <v>1604.0186206973899</v>
      </c>
      <c r="R283" s="1111">
        <f>SUMIFS(NewEmisData!L:L, NewEmisData!$A:$A, $G283, NewEmisData!$B:$B, $A283, NewEmisData!$C:$C, $H283, NewEmisData!$D:$D, R$6)</f>
        <v>1603.71196653328</v>
      </c>
      <c r="S283" s="1111">
        <f>SUMIFS(NewEmisData!M:M, NewEmisData!$A:$A, $G283, NewEmisData!$B:$B, $A283, NewEmisData!$C:$C, $H283, NewEmisData!$D:$D, S$6)</f>
        <v>1603.6927150798599</v>
      </c>
      <c r="T283" s="1111">
        <f t="shared" si="364"/>
        <v>1603.6927150798599</v>
      </c>
      <c r="U283" s="1111">
        <f>SUMIFS(NewEmisData!E:E, NewEmisData!$A:$A, $G283, NewEmisData!$B:$B, $A283, NewEmisData!$C:$C, $H283, NewEmisData!$D:$D, U$6)</f>
        <v>9.1319765062058504</v>
      </c>
      <c r="V283" s="1111">
        <f>SUMIFS(NewEmisData!F:F, NewEmisData!$A:$A, $G283, NewEmisData!$B:$B, $A283, NewEmisData!$C:$C, $H283, NewEmisData!$D:$D, V$6)</f>
        <v>5.5211126740351997</v>
      </c>
      <c r="W283" s="1111">
        <f>SUMIFS(NewEmisData!G:G, NewEmisData!$A:$A, $G283, NewEmisData!$B:$B, $A283, NewEmisData!$C:$C, $H283, NewEmisData!$D:$D, W$6)</f>
        <v>1.6178749329459601</v>
      </c>
      <c r="X283" s="1111">
        <f>SUMIFS(NewEmisData!H:H, NewEmisData!$A:$A, $G283, NewEmisData!$B:$B, $A283, NewEmisData!$C:$C, $H283, NewEmisData!$D:$D, X$6)</f>
        <v>1.2717662893164099</v>
      </c>
      <c r="Y283" s="1111">
        <f>SUMIFS(NewEmisData!I:I, NewEmisData!$A:$A, $G283, NewEmisData!$B:$B, $A283, NewEmisData!$C:$C, $H283, NewEmisData!$D:$D, Y$6)</f>
        <v>1.1726866302876999</v>
      </c>
      <c r="Z283" s="1111">
        <f>SUMIFS(NewEmisData!J:J, NewEmisData!$A:$A, $G283, NewEmisData!$B:$B, $A283, NewEmisData!$C:$C, $H283, NewEmisData!$D:$D, Z$6)</f>
        <v>1.1568218913658399</v>
      </c>
      <c r="AA283" s="1111">
        <f>SUMIFS(NewEmisData!K:K, NewEmisData!$A:$A, $G283, NewEmisData!$B:$B, $A283, NewEmisData!$C:$C, $H283, NewEmisData!$D:$D, AA$6)</f>
        <v>1.1498419858081399</v>
      </c>
      <c r="AB283" s="1111">
        <f>SUMIFS(NewEmisData!L:L, NewEmisData!$A:$A, $G283, NewEmisData!$B:$B, $A283, NewEmisData!$C:$C, $H283, NewEmisData!$D:$D, AB$6)</f>
        <v>1.1502565377520699</v>
      </c>
      <c r="AC283" s="1111">
        <f>SUMIFS(NewEmisData!M:M, NewEmisData!$A:$A, $G283, NewEmisData!$B:$B, $A283, NewEmisData!$C:$C, $H283, NewEmisData!$D:$D, AC$6)</f>
        <v>1.15043111371947</v>
      </c>
      <c r="AD283" s="1111">
        <f t="shared" ref="AD283:AD311" si="448">AC283</f>
        <v>1.15043111371947</v>
      </c>
      <c r="AE283" s="1111">
        <f t="shared" si="430"/>
        <v>2.8349118417612802E-2</v>
      </c>
      <c r="AF283" s="1111">
        <f>SUMIFS(NewEmisData!E:E, NewEmisData!$A:$A, $G283, NewEmisData!$B:$B, $A283, NewEmisData!$C:$C, $H283, NewEmisData!$D:$D, AF$6)</f>
        <v>2.8349118417612802E-2</v>
      </c>
      <c r="AG283" s="1111">
        <f>SUMIFS(NewEmisData!F:F, NewEmisData!$A:$A, $G283, NewEmisData!$B:$B, $A283, NewEmisData!$C:$C, $H283, NewEmisData!$D:$D, AG$6)</f>
        <v>2.7649475988106201E-2</v>
      </c>
      <c r="AH283" s="1111">
        <f>SUMIFS(NewEmisData!G:G, NewEmisData!$A:$A, $G283, NewEmisData!$B:$B, $A283, NewEmisData!$C:$C, $H283, NewEmisData!$D:$D, AH$6)</f>
        <v>2.4041393237435399E-2</v>
      </c>
      <c r="AI283" s="1111">
        <f>SUMIFS(NewEmisData!H:H, NewEmisData!$A:$A, $G283, NewEmisData!$B:$B, $A283, NewEmisData!$C:$C, $H283, NewEmisData!$D:$D, AI$6)</f>
        <v>2.3674756516432201E-2</v>
      </c>
      <c r="AJ283" s="1111">
        <f>SUMIFS(NewEmisData!I:I, NewEmisData!$A:$A, $G283, NewEmisData!$B:$B, $A283, NewEmisData!$C:$C, $H283, NewEmisData!$D:$D, AJ$6)</f>
        <v>2.3163709294895699E-2</v>
      </c>
      <c r="AK283" s="1111">
        <f>SUMIFS(NewEmisData!J:J, NewEmisData!$A:$A, $G283, NewEmisData!$B:$B, $A283, NewEmisData!$C:$C, $H283, NewEmisData!$D:$D, AK$6)</f>
        <v>2.30411322742359E-2</v>
      </c>
      <c r="AL283" s="1111">
        <f>SUMIFS(NewEmisData!K:K, NewEmisData!$A:$A, $G283, NewEmisData!$B:$B, $A283, NewEmisData!$C:$C, $H283, NewEmisData!$D:$D, AL$6)</f>
        <v>2.30104772532812E-2</v>
      </c>
      <c r="AM283" s="1111">
        <f>SUMIFS(NewEmisData!L:L, NewEmisData!$A:$A, $G283, NewEmisData!$B:$B, $A283, NewEmisData!$C:$C, $H283, NewEmisData!$D:$D, AM$6)</f>
        <v>2.3006075572322301E-2</v>
      </c>
      <c r="AN283" s="1111">
        <f>SUMIFS(NewEmisData!M:M, NewEmisData!$A:$A, $G283, NewEmisData!$B:$B, $A283, NewEmisData!$C:$C, $H283, NewEmisData!$D:$D, AN$6)</f>
        <v>2.30058103409179E-2</v>
      </c>
      <c r="AO283" s="1111">
        <f t="shared" si="431"/>
        <v>2.30058103409179E-2</v>
      </c>
      <c r="AP283" s="1111">
        <f t="shared" si="432"/>
        <v>0.73529708323819798</v>
      </c>
      <c r="AQ283" s="1111">
        <f>SUMIFS(NewEmisData!E:E, NewEmisData!$A:$A, $G283, NewEmisData!$B:$B, $A283, NewEmisData!$C:$C, $H283, NewEmisData!$D:$D, AQ$6)</f>
        <v>0.73529708323819798</v>
      </c>
      <c r="AR283" s="1111">
        <f>SUMIFS(NewEmisData!F:F, NewEmisData!$A:$A, $G283, NewEmisData!$B:$B, $A283, NewEmisData!$C:$C, $H283, NewEmisData!$D:$D, AR$6)</f>
        <v>0.50377232353792301</v>
      </c>
      <c r="AS283" s="1111">
        <f>SUMIFS(NewEmisData!G:G, NewEmisData!$A:$A, $G283, NewEmisData!$B:$B, $A283, NewEmisData!$C:$C, $H283, NewEmisData!$D:$D, AS$6)</f>
        <v>0.46277242259546703</v>
      </c>
      <c r="AT283" s="1111">
        <f>SUMIFS(NewEmisData!H:H, NewEmisData!$A:$A, $G283, NewEmisData!$B:$B, $A283, NewEmisData!$C:$C, $H283, NewEmisData!$D:$D, AT$6)</f>
        <v>0.460021400855742</v>
      </c>
      <c r="AU283" s="1111">
        <f>SUMIFS(NewEmisData!I:I, NewEmisData!$A:$A, $G283, NewEmisData!$B:$B, $A283, NewEmisData!$C:$C, $H283, NewEmisData!$D:$D, AU$6)</f>
        <v>0.452859239004402</v>
      </c>
      <c r="AV283" s="1111">
        <f>SUMIFS(NewEmisData!J:J, NewEmisData!$A:$A, $G283, NewEmisData!$B:$B, $A283, NewEmisData!$C:$C, $H283, NewEmisData!$D:$D, AV$6)</f>
        <v>0.451173530693247</v>
      </c>
      <c r="AW283" s="1111">
        <f>SUMIFS(NewEmisData!K:K, NewEmisData!$A:$A, $G283, NewEmisData!$B:$B, $A283, NewEmisData!$C:$C, $H283, NewEmisData!$D:$D, AW$6)</f>
        <v>0.450827249569491</v>
      </c>
      <c r="AX283" s="1111">
        <f>SUMIFS(NewEmisData!L:L, NewEmisData!$A:$A, $G283, NewEmisData!$B:$B, $A283, NewEmisData!$C:$C, $H283, NewEmisData!$D:$D, AX$6)</f>
        <v>0.45077517726501898</v>
      </c>
      <c r="AY283" s="1111">
        <f>SUMIFS(NewEmisData!M:M, NewEmisData!$A:$A, $G283, NewEmisData!$B:$B, $A283, NewEmisData!$C:$C, $H283, NewEmisData!$D:$D, AY$6)</f>
        <v>0.45078915116546198</v>
      </c>
      <c r="AZ283" s="1111">
        <f t="shared" si="433"/>
        <v>0.45078915116546198</v>
      </c>
      <c r="BA283" s="1111">
        <f t="shared" si="434"/>
        <v>0.32686256972546901</v>
      </c>
      <c r="BB283" s="1111">
        <f>SUMIFS(NewEmisData!E:E, NewEmisData!$A:$A, $G283, NewEmisData!$B:$B, $A283, NewEmisData!$C:$C, $H283, NewEmisData!$D:$D, BB$6)</f>
        <v>0.32686256972546901</v>
      </c>
      <c r="BC283" s="1111">
        <f>SUMIFS(NewEmisData!F:F, NewEmisData!$A:$A, $G283, NewEmisData!$B:$B, $A283, NewEmisData!$C:$C, $H283, NewEmisData!$D:$D, BC$6)</f>
        <v>0.12210843934221401</v>
      </c>
      <c r="BD283" s="1111">
        <f>SUMIFS(NewEmisData!G:G, NewEmisData!$A:$A, $G283, NewEmisData!$B:$B, $A283, NewEmisData!$C:$C, $H283, NewEmisData!$D:$D, BD$6)</f>
        <v>6.7146210191433603E-2</v>
      </c>
      <c r="BE283" s="1111">
        <f>SUMIFS(NewEmisData!H:H, NewEmisData!$A:$A, $G283, NewEmisData!$B:$B, $A283, NewEmisData!$C:$C, $H283, NewEmisData!$D:$D, BE$6)</f>
        <v>6.6587970120787598E-2</v>
      </c>
      <c r="BF283" s="1111">
        <f>SUMIFS(NewEmisData!I:I, NewEmisData!$A:$A, $G283, NewEmisData!$B:$B, $A283, NewEmisData!$C:$C, $H283, NewEmisData!$D:$D, BF$6)</f>
        <v>6.5405051516030002E-2</v>
      </c>
      <c r="BG283" s="1111">
        <f>SUMIFS(NewEmisData!J:J, NewEmisData!$A:$A, $G283, NewEmisData!$B:$B, $A283, NewEmisData!$C:$C, $H283, NewEmisData!$D:$D, BG$6)</f>
        <v>6.5233637829240507E-2</v>
      </c>
      <c r="BH283" s="1111">
        <f>SUMIFS(NewEmisData!K:K, NewEmisData!$A:$A, $G283, NewEmisData!$B:$B, $A283, NewEmisData!$C:$C, $H283, NewEmisData!$D:$D, BH$6)</f>
        <v>6.5212571890131396E-2</v>
      </c>
      <c r="BI283" s="1111">
        <f>SUMIFS(NewEmisData!L:L, NewEmisData!$A:$A, $G283, NewEmisData!$B:$B, $A283, NewEmisData!$C:$C, $H283, NewEmisData!$D:$D, BI$6)</f>
        <v>6.5238116883072003E-2</v>
      </c>
      <c r="BJ283" s="1111">
        <f>SUMIFS(NewEmisData!M:M, NewEmisData!$A:$A, $G283, NewEmisData!$B:$B, $A283, NewEmisData!$C:$C, $H283, NewEmisData!$D:$D, BJ$6)</f>
        <v>6.5252352689838797E-2</v>
      </c>
      <c r="BK283" s="1111">
        <f t="shared" si="435"/>
        <v>6.5252352689838797E-2</v>
      </c>
      <c r="BL283" s="1111">
        <f t="shared" si="436"/>
        <v>130.83848080286899</v>
      </c>
      <c r="BM283" s="1111">
        <f>SUMIFS(NewEmisData!E:E, NewEmisData!$A:$A, $G283, NewEmisData!$B:$B, $A283, NewEmisData!$C:$C, $H283, NewEmisData!$D:$D, BM$6)</f>
        <v>130.83848080286899</v>
      </c>
      <c r="BN283" s="1111">
        <f>SUMIFS(NewEmisData!F:F, NewEmisData!$A:$A, $G283, NewEmisData!$B:$B, $A283, NewEmisData!$C:$C, $H283, NewEmisData!$D:$D, BN$6)</f>
        <v>69.1513563753808</v>
      </c>
      <c r="BO283" s="1111">
        <f>SUMIFS(NewEmisData!G:G, NewEmisData!$A:$A, $G283, NewEmisData!$B:$B, $A283, NewEmisData!$C:$C, $H283, NewEmisData!$D:$D, BO$6)</f>
        <v>19.817984760190502</v>
      </c>
      <c r="BP283" s="1111">
        <f>SUMIFS(NewEmisData!H:H, NewEmisData!$A:$A, $G283, NewEmisData!$B:$B, $A283, NewEmisData!$C:$C, $H283, NewEmisData!$D:$D, BP$6)</f>
        <v>17.220719333709599</v>
      </c>
      <c r="BQ283" s="1111">
        <f>SUMIFS(NewEmisData!I:I, NewEmisData!$A:$A, $G283, NewEmisData!$B:$B, $A283, NewEmisData!$C:$C, $H283, NewEmisData!$D:$D, BQ$6)</f>
        <v>17.138637099239801</v>
      </c>
      <c r="BR283" s="1111">
        <f>SUMIFS(NewEmisData!J:J, NewEmisData!$A:$A, $G283, NewEmisData!$B:$B, $A283, NewEmisData!$C:$C, $H283, NewEmisData!$D:$D, BR$6)</f>
        <v>17.632152503072199</v>
      </c>
      <c r="BS283" s="1111">
        <f>SUMIFS(NewEmisData!K:K, NewEmisData!$A:$A, $G283, NewEmisData!$B:$B, $A283, NewEmisData!$C:$C, $H283, NewEmisData!$D:$D, BS$6)</f>
        <v>17.755687797126999</v>
      </c>
      <c r="BT283" s="1111">
        <f>SUMIFS(NewEmisData!L:L, NewEmisData!$A:$A, $G283, NewEmisData!$B:$B, $A283, NewEmisData!$C:$C, $H283, NewEmisData!$D:$D, BT$6)</f>
        <v>17.941584451804498</v>
      </c>
      <c r="BU283" s="1111">
        <f>SUMIFS(NewEmisData!M:M, NewEmisData!$A:$A, $G283, NewEmisData!$B:$B, $A283, NewEmisData!$C:$C, $H283, NewEmisData!$D:$D, BU$6)</f>
        <v>18.0048069260293</v>
      </c>
      <c r="BV283" s="1111">
        <f t="shared" si="437"/>
        <v>18.0048069260293</v>
      </c>
      <c r="BW283" s="1111">
        <f t="shared" si="438"/>
        <v>10.6632197589814</v>
      </c>
      <c r="BX283" s="1111">
        <f>SUMIFS(NewEmisData!E:E, NewEmisData!$A:$A, $G283, NewEmisData!$B:$B, $A283, NewEmisData!$C:$C, $H283, NewEmisData!$D:$D, BX$6)</f>
        <v>10.6632197589814</v>
      </c>
      <c r="BY283" s="1111">
        <f>SUMIFS(NewEmisData!F:F, NewEmisData!$A:$A, $G283, NewEmisData!$B:$B, $A283, NewEmisData!$C:$C, $H283, NewEmisData!$D:$D, BY$6)</f>
        <v>4.8239495150941396</v>
      </c>
      <c r="BZ283" s="1111">
        <f>SUMIFS(NewEmisData!G:G, NewEmisData!$A:$A, $G283, NewEmisData!$B:$B, $A283, NewEmisData!$C:$C, $H283, NewEmisData!$D:$D, BZ$6)</f>
        <v>0.81908851058061705</v>
      </c>
      <c r="CA283" s="1111">
        <f>SUMIFS(NewEmisData!H:H, NewEmisData!$A:$A, $G283, NewEmisData!$B:$B, $A283, NewEmisData!$C:$C, $H283, NewEmisData!$D:$D, CA$6)</f>
        <v>0.62586158145999404</v>
      </c>
      <c r="CB283" s="1111">
        <f>SUMIFS(NewEmisData!I:I, NewEmisData!$A:$A, $G283, NewEmisData!$B:$B, $A283, NewEmisData!$C:$C, $H283, NewEmisData!$D:$D, CB$6)</f>
        <v>0.57122462058997703</v>
      </c>
      <c r="CC283" s="1111">
        <f>SUMIFS(NewEmisData!J:J, NewEmisData!$A:$A, $G283, NewEmisData!$B:$B, $A283, NewEmisData!$C:$C, $H283, NewEmisData!$D:$D, CC$6)</f>
        <v>0.56704170620868999</v>
      </c>
      <c r="CD283" s="1111">
        <f>SUMIFS(NewEmisData!K:K, NewEmisData!$A:$A, $G283, NewEmisData!$B:$B, $A283, NewEmisData!$C:$C, $H283, NewEmisData!$D:$D, CD$6)</f>
        <v>0.56343324146208396</v>
      </c>
      <c r="CE283" s="1111">
        <f>SUMIFS(NewEmisData!L:L, NewEmisData!$A:$A, $G283, NewEmisData!$B:$B, $A283, NewEmisData!$C:$C, $H283, NewEmisData!$D:$D, CE$6)</f>
        <v>0.56643140863739405</v>
      </c>
      <c r="CF283" s="1111">
        <f>SUMIFS(NewEmisData!M:M, NewEmisData!$A:$A, $G283, NewEmisData!$B:$B, $A283, NewEmisData!$C:$C, $H283, NewEmisData!$D:$D, CF$6)</f>
        <v>0.56703635625762505</v>
      </c>
      <c r="CG283" s="1111">
        <f t="shared" si="439"/>
        <v>0.56703635625762505</v>
      </c>
      <c r="CH283" s="1111">
        <f t="shared" si="440"/>
        <v>5.78767923405668E-2</v>
      </c>
      <c r="CI283" s="1111">
        <f>SUMIFS(NewEmisData!E:E, NewEmisData!$A:$A, $G283, NewEmisData!$B:$B, $A283, NewEmisData!$C:$C, $H283, NewEmisData!$D:$D, CI$6)</f>
        <v>5.78767923405668E-2</v>
      </c>
      <c r="CJ283" s="1111">
        <f>SUMIFS(NewEmisData!F:F, NewEmisData!$A:$A, $G283, NewEmisData!$B:$B, $A283, NewEmisData!$C:$C, $H283, NewEmisData!$D:$D, CJ$6)</f>
        <v>5.7878614167795599E-2</v>
      </c>
      <c r="CK283" s="1111">
        <f>SUMIFS(NewEmisData!G:G, NewEmisData!$A:$A, $G283, NewEmisData!$B:$B, $A283, NewEmisData!$C:$C, $H283, NewEmisData!$D:$D, CK$6)</f>
        <v>6.6011734406023898E-2</v>
      </c>
      <c r="CL283" s="1111">
        <f>SUMIFS(NewEmisData!H:H, NewEmisData!$A:$A, $G283, NewEmisData!$B:$B, $A283, NewEmisData!$C:$C, $H283, NewEmisData!$D:$D, CL$6)</f>
        <v>6.6011880543447907E-2</v>
      </c>
      <c r="CM283" s="1111">
        <f>SUMIFS(NewEmisData!I:I, NewEmisData!$A:$A, $G283, NewEmisData!$B:$B, $A283, NewEmisData!$C:$C, $H283, NewEmisData!$D:$D, CM$6)</f>
        <v>6.60108416242811E-2</v>
      </c>
      <c r="CN283" s="1111">
        <f>SUMIFS(NewEmisData!J:J, NewEmisData!$A:$A, $G283, NewEmisData!$B:$B, $A283, NewEmisData!$C:$C, $H283, NewEmisData!$D:$D, CN$6)</f>
        <v>6.6010592604017995E-2</v>
      </c>
      <c r="CO283" s="1111">
        <f>SUMIFS(NewEmisData!K:K, NewEmisData!$A:$A, $G283, NewEmisData!$B:$B, $A283, NewEmisData!$C:$C, $H283, NewEmisData!$D:$D, CO$6)</f>
        <v>6.6010460965888904E-2</v>
      </c>
      <c r="CP283" s="1111">
        <f>SUMIFS(NewEmisData!L:L, NewEmisData!$A:$A, $G283, NewEmisData!$B:$B, $A283, NewEmisData!$C:$C, $H283, NewEmisData!$D:$D, CP$6)</f>
        <v>6.6010507177606106E-2</v>
      </c>
      <c r="CQ283" s="1111">
        <f>SUMIFS(NewEmisData!M:M, NewEmisData!$A:$A, $G283, NewEmisData!$B:$B, $A283, NewEmisData!$C:$C, $H283, NewEmisData!$D:$D, CQ$6)</f>
        <v>6.6010478652079901E-2</v>
      </c>
      <c r="CR283" s="1111">
        <f t="shared" si="441"/>
        <v>6.6010478652079901E-2</v>
      </c>
      <c r="CS283" s="1111">
        <f t="shared" si="442"/>
        <v>0.136220551325273</v>
      </c>
      <c r="CT283" s="1111">
        <f>SUMIFS(NewEmisData!E:E, NewEmisData!$A:$A, $G283, NewEmisData!$B:$B, $A283, NewEmisData!$C:$C, $H283, NewEmisData!$D:$D, CT$6)</f>
        <v>0.136220551325273</v>
      </c>
      <c r="CU283" s="1111">
        <f>SUMIFS(NewEmisData!F:F, NewEmisData!$A:$A, $G283, NewEmisData!$B:$B, $A283, NewEmisData!$C:$C, $H283, NewEmisData!$D:$D, CU$6)</f>
        <v>7.8581411328771694E-2</v>
      </c>
      <c r="CV283" s="1111">
        <f>SUMIFS(NewEmisData!G:G, NewEmisData!$A:$A, $G283, NewEmisData!$B:$B, $A283, NewEmisData!$C:$C, $H283, NewEmisData!$D:$D, CV$6)</f>
        <v>2.7901639783808298E-2</v>
      </c>
      <c r="CW283" s="1111">
        <f>SUMIFS(NewEmisData!H:H, NewEmisData!$A:$A, $G283, NewEmisData!$B:$B, $A283, NewEmisData!$C:$C, $H283, NewEmisData!$D:$D, CW$6)</f>
        <v>1.918958657892E-2</v>
      </c>
      <c r="CX283" s="1111">
        <f>SUMIFS(NewEmisData!I:I, NewEmisData!$A:$A, $G283, NewEmisData!$B:$B, $A283, NewEmisData!$C:$C, $H283, NewEmisData!$D:$D, CX$6)</f>
        <v>1.63653759329912E-2</v>
      </c>
      <c r="CY283" s="1111">
        <f>SUMIFS(NewEmisData!J:J, NewEmisData!$A:$A, $G283, NewEmisData!$B:$B, $A283, NewEmisData!$C:$C, $H283, NewEmisData!$D:$D, CY$6)</f>
        <v>1.5904522358171299E-2</v>
      </c>
      <c r="CZ283" s="1111">
        <f>SUMIFS(NewEmisData!K:K, NewEmisData!$A:$A, $G283, NewEmisData!$B:$B, $A283, NewEmisData!$C:$C, $H283, NewEmisData!$D:$D, CZ$6)</f>
        <v>1.55783654289861E-2</v>
      </c>
      <c r="DA283" s="1111">
        <f>SUMIFS(NewEmisData!L:L, NewEmisData!$A:$A, $G283, NewEmisData!$B:$B, $A283, NewEmisData!$C:$C, $H283, NewEmisData!$D:$D, DA$6)</f>
        <v>1.5635092695124999E-2</v>
      </c>
      <c r="DB283" s="1111">
        <f>SUMIFS(NewEmisData!M:M, NewEmisData!$A:$A, $G283, NewEmisData!$B:$B, $A283, NewEmisData!$C:$C, $H283, NewEmisData!$D:$D, DB$6)</f>
        <v>1.5654923502366299E-2</v>
      </c>
      <c r="DC283" s="1111">
        <f t="shared" si="443"/>
        <v>1.5654923502366299E-2</v>
      </c>
      <c r="DD283" s="1111"/>
      <c r="DE283" s="1111"/>
      <c r="DF283" s="1111"/>
      <c r="DG283" s="1111"/>
      <c r="DH283" s="1111"/>
      <c r="DI283" s="1111"/>
      <c r="DJ283" s="1111"/>
      <c r="DK283" s="1111"/>
      <c r="DL283" s="1111"/>
      <c r="DM283" s="1111"/>
      <c r="DN283" s="1111"/>
      <c r="DO283" s="1111"/>
      <c r="DP283" s="1111"/>
      <c r="DQ283" s="1111"/>
      <c r="DR283" s="1111"/>
      <c r="DS283" s="1111"/>
      <c r="DT283" s="1111"/>
      <c r="DU283" s="1111"/>
      <c r="DV283" s="1111"/>
      <c r="DW283" s="1111"/>
      <c r="DX283" s="1111"/>
      <c r="DY283" s="1111"/>
      <c r="DZ283" s="1111">
        <f t="shared" si="444"/>
        <v>0.62504346102021602</v>
      </c>
      <c r="EA283" s="1111">
        <f>SUMIFS(NewEmisData!E:E, NewEmisData!$A:$A, $G283, NewEmisData!$B:$B, $A283, NewEmisData!$C:$C, $H283, NewEmisData!$D:$D, EA$6)</f>
        <v>0.62504346102021602</v>
      </c>
      <c r="EB283" s="1111">
        <f>SUMIFS(NewEmisData!F:F, NewEmisData!$A:$A, $G283, NewEmisData!$B:$B, $A283, NewEmisData!$C:$C, $H283, NewEmisData!$D:$D, EB$6)</f>
        <v>0.23204922511968301</v>
      </c>
      <c r="EC283" s="1111">
        <f>SUMIFS(NewEmisData!G:G, NewEmisData!$A:$A, $G283, NewEmisData!$B:$B, $A283, NewEmisData!$C:$C, $H283, NewEmisData!$D:$D, EC$6)</f>
        <v>1.8847290687364501E-2</v>
      </c>
      <c r="ED283" s="1111">
        <f>SUMIFS(NewEmisData!H:H, NewEmisData!$A:$A, $G283, NewEmisData!$B:$B, $A283, NewEmisData!$C:$C, $H283, NewEmisData!$D:$D, ED$6)</f>
        <v>1.50181456752262E-2</v>
      </c>
      <c r="EE283" s="1111">
        <f>SUMIFS(NewEmisData!I:I, NewEmisData!$A:$A, $G283, NewEmisData!$B:$B, $A283, NewEmisData!$C:$C, $H283, NewEmisData!$D:$D, EE$6)</f>
        <v>1.46208045841804E-2</v>
      </c>
      <c r="EF283" s="1111">
        <f>SUMIFS(NewEmisData!J:J, NewEmisData!$A:$A, $G283, NewEmisData!$B:$B, $A283, NewEmisData!$C:$C, $H283, NewEmisData!$D:$D, EF$6)</f>
        <v>1.49239047594049E-2</v>
      </c>
      <c r="EG283" s="1111">
        <f>SUMIFS(NewEmisData!K:K, NewEmisData!$A:$A, $G283, NewEmisData!$B:$B, $A283, NewEmisData!$C:$C, $H283, NewEmisData!$D:$D, EG$6)</f>
        <v>1.5019413019286301E-2</v>
      </c>
      <c r="EH283" s="1111">
        <f>SUMIFS(NewEmisData!L:L, NewEmisData!$A:$A, $G283, NewEmisData!$B:$B, $A283, NewEmisData!$C:$C, $H283, NewEmisData!$D:$D, EH$6)</f>
        <v>1.5153092065068799E-2</v>
      </c>
      <c r="EI283" s="1111">
        <f>SUMIFS(NewEmisData!M:M, NewEmisData!$A:$A, $G283, NewEmisData!$B:$B, $A283, NewEmisData!$C:$C, $H283, NewEmisData!$D:$D, EI$6)</f>
        <v>1.5197280715758399E-2</v>
      </c>
      <c r="EJ283" s="1111">
        <f t="shared" si="445"/>
        <v>1.5197280715758399E-2</v>
      </c>
      <c r="EK283" s="1111">
        <f t="shared" si="446"/>
        <v>1638.3455086040899</v>
      </c>
      <c r="EL283" s="1111">
        <f t="shared" si="343"/>
        <v>1638.3455086040899</v>
      </c>
      <c r="EM283" s="1111">
        <f t="shared" si="344"/>
        <v>1597.91146698485</v>
      </c>
      <c r="EN283" s="1111">
        <f t="shared" si="345"/>
        <v>1675.8815285015601</v>
      </c>
      <c r="EO283" s="1111">
        <f t="shared" si="346"/>
        <v>1650.32431693742</v>
      </c>
      <c r="EP283" s="1111">
        <f t="shared" si="347"/>
        <v>1614.69992415768</v>
      </c>
      <c r="EQ283" s="1111">
        <f t="shared" si="348"/>
        <v>1606.15558948889</v>
      </c>
      <c r="ER283" s="1111">
        <f t="shared" si="349"/>
        <v>1604.0186206973899</v>
      </c>
      <c r="ES283" s="1111">
        <f t="shared" si="350"/>
        <v>1603.71196653328</v>
      </c>
      <c r="ET283" s="1111">
        <f t="shared" si="351"/>
        <v>1603.6927150798599</v>
      </c>
      <c r="EU283" s="1111">
        <f t="shared" si="352"/>
        <v>1603.6927150798599</v>
      </c>
      <c r="EV283" s="1111">
        <f t="shared" si="447"/>
        <v>9.1319765062058504</v>
      </c>
      <c r="EW283" s="1111">
        <f t="shared" si="333"/>
        <v>9.1319765062058504</v>
      </c>
      <c r="EX283" s="1111">
        <f t="shared" si="334"/>
        <v>5.5211126740351997</v>
      </c>
      <c r="EY283" s="1111">
        <f t="shared" si="335"/>
        <v>1.6178749329459601</v>
      </c>
      <c r="EZ283" s="1111">
        <f t="shared" si="336"/>
        <v>1.2717662893164099</v>
      </c>
      <c r="FA283" s="1111">
        <f t="shared" si="337"/>
        <v>1.1726866302876999</v>
      </c>
      <c r="FB283" s="1111">
        <f t="shared" si="338"/>
        <v>1.1568218913658399</v>
      </c>
      <c r="FC283" s="1111">
        <f t="shared" si="339"/>
        <v>1.1498419858081399</v>
      </c>
      <c r="FD283" s="1111">
        <f t="shared" si="340"/>
        <v>1.1502565377520699</v>
      </c>
      <c r="FE283" s="1111">
        <f t="shared" si="341"/>
        <v>1.15043111371947</v>
      </c>
      <c r="FF283" s="1111">
        <f t="shared" si="342"/>
        <v>1.15043111371947</v>
      </c>
      <c r="FG283" s="1111">
        <f t="shared" si="389"/>
        <v>2.8349118417612802E-2</v>
      </c>
      <c r="FH283" s="1111">
        <f t="shared" si="390"/>
        <v>2.8349118417612802E-2</v>
      </c>
      <c r="FI283" s="1111">
        <f t="shared" si="391"/>
        <v>2.7649475988106201E-2</v>
      </c>
      <c r="FJ283" s="1111">
        <f t="shared" si="392"/>
        <v>2.4041393237435399E-2</v>
      </c>
      <c r="FK283" s="1111">
        <f t="shared" si="393"/>
        <v>2.3674756516432201E-2</v>
      </c>
      <c r="FL283" s="1111">
        <f t="shared" si="394"/>
        <v>2.3163709294895699E-2</v>
      </c>
      <c r="FM283" s="1111">
        <f t="shared" si="395"/>
        <v>2.30411322742359E-2</v>
      </c>
      <c r="FN283" s="1111">
        <f t="shared" si="396"/>
        <v>2.30104772532812E-2</v>
      </c>
      <c r="FO283" s="1111">
        <f t="shared" si="397"/>
        <v>2.3006075572322301E-2</v>
      </c>
      <c r="FP283" s="1111">
        <f t="shared" si="398"/>
        <v>2.30058103409179E-2</v>
      </c>
      <c r="FQ283" s="1111">
        <f t="shared" si="399"/>
        <v>2.30058103409179E-2</v>
      </c>
      <c r="FR283" s="1111">
        <f t="shared" ref="FR283:FR311" si="449">AP283</f>
        <v>0.73529708323819798</v>
      </c>
      <c r="FS283" s="1111">
        <f t="shared" ref="FS283:FS311" si="450">AQ283</f>
        <v>0.73529708323819798</v>
      </c>
      <c r="FT283" s="1111">
        <f t="shared" ref="FT283:FT311" si="451">AR283</f>
        <v>0.50377232353792301</v>
      </c>
      <c r="FU283" s="1111">
        <f t="shared" ref="FU283:FU311" si="452">AS283</f>
        <v>0.46277242259546703</v>
      </c>
      <c r="FV283" s="1111">
        <f t="shared" ref="FV283:FV311" si="453">AT283</f>
        <v>0.460021400855742</v>
      </c>
      <c r="FW283" s="1111">
        <f t="shared" ref="FW283:FW311" si="454">AU283</f>
        <v>0.452859239004402</v>
      </c>
      <c r="FX283" s="1111">
        <f t="shared" ref="FX283:FX311" si="455">AV283</f>
        <v>0.451173530693247</v>
      </c>
      <c r="FY283" s="1111">
        <f t="shared" ref="FY283:FY311" si="456">AW283</f>
        <v>0.450827249569491</v>
      </c>
      <c r="FZ283" s="1111">
        <f t="shared" ref="FZ283:FZ311" si="457">AX283</f>
        <v>0.45077517726501898</v>
      </c>
      <c r="GA283" s="1111">
        <f t="shared" ref="GA283:GA311" si="458">AY283</f>
        <v>0.45078915116546198</v>
      </c>
      <c r="GB283" s="1111">
        <f t="shared" ref="GB283:GB311" si="459">AZ283</f>
        <v>0.45078915116546198</v>
      </c>
      <c r="GC283" s="1111">
        <f t="shared" si="353"/>
        <v>0.32686256972546901</v>
      </c>
      <c r="GD283" s="1111">
        <f t="shared" si="354"/>
        <v>0.32686256972546901</v>
      </c>
      <c r="GE283" s="1111">
        <f t="shared" si="355"/>
        <v>0.12210843934221401</v>
      </c>
      <c r="GF283" s="1111">
        <f t="shared" si="356"/>
        <v>6.7146210191433603E-2</v>
      </c>
      <c r="GG283" s="1111">
        <f t="shared" si="357"/>
        <v>6.6587970120787598E-2</v>
      </c>
      <c r="GH283" s="1111">
        <f t="shared" si="358"/>
        <v>6.5405051516030002E-2</v>
      </c>
      <c r="GI283" s="1111">
        <f t="shared" si="359"/>
        <v>6.5233637829240507E-2</v>
      </c>
      <c r="GJ283" s="1111">
        <f t="shared" si="360"/>
        <v>6.5212571890131396E-2</v>
      </c>
      <c r="GK283" s="1111">
        <f t="shared" si="361"/>
        <v>6.5238116883072003E-2</v>
      </c>
      <c r="GL283" s="1111">
        <f t="shared" si="362"/>
        <v>6.5252352689838797E-2</v>
      </c>
      <c r="GM283" s="1111">
        <f t="shared" si="363"/>
        <v>6.5252352689838797E-2</v>
      </c>
    </row>
    <row r="284" spans="1:195" x14ac:dyDescent="0.2">
      <c r="A284" s="1071" t="s">
        <v>188</v>
      </c>
      <c r="B284" s="1071" t="str">
        <f>Technologies!C164</f>
        <v>THSCNGIM</v>
      </c>
      <c r="C284" s="1071" t="str">
        <f>Technologies!D164</f>
        <v>Heavy Truck, Short Haul, Improved CNG</v>
      </c>
      <c r="D284" s="1071" t="str">
        <f>NewTech!D110</f>
        <v>bn-vmt, bn-vmt/a</v>
      </c>
      <c r="E284" s="1071" t="str">
        <f>Commodities!C$58</f>
        <v>THCNG</v>
      </c>
      <c r="F284" s="1071" t="s">
        <v>98</v>
      </c>
      <c r="G284" s="1110" t="s">
        <v>505</v>
      </c>
      <c r="H284" s="1110" t="s">
        <v>500</v>
      </c>
      <c r="I284" s="1112">
        <v>1</v>
      </c>
      <c r="J284" s="1111" t="str">
        <f t="shared" si="302"/>
        <v>Heavy duty short haul truck-GSL</v>
      </c>
      <c r="K284" s="1111">
        <f>SUMIFS(NewEmisData!E:E, NewEmisData!$A:$A, $G284, NewEmisData!$B:$B, $A284, NewEmisData!$C:$C, $H284, NewEmisData!$D:$D, K$6)</f>
        <v>1245.3418505198399</v>
      </c>
      <c r="L284" s="1111">
        <f>SUMIFS(NewEmisData!F:F, NewEmisData!$A:$A, $G284, NewEmisData!$B:$B, $A284, NewEmisData!$C:$C, $H284, NewEmisData!$D:$D, L$6)</f>
        <v>1233.52680028807</v>
      </c>
      <c r="M284" s="1111">
        <f>SUMIFS(NewEmisData!G:G, NewEmisData!$A:$A, $G284, NewEmisData!$B:$B, $A284, NewEmisData!$C:$C, $H284, NewEmisData!$D:$D, M$6)</f>
        <v>1155.77413052821</v>
      </c>
      <c r="N284" s="1111">
        <f>SUMIFS(NewEmisData!H:H, NewEmisData!$A:$A, $G284, NewEmisData!$B:$B, $A284, NewEmisData!$C:$C, $H284, NewEmisData!$D:$D, N$6)</f>
        <v>1137.9436610154601</v>
      </c>
      <c r="O284" s="1111">
        <f>SUMIFS(NewEmisData!I:I, NewEmisData!$A:$A, $G284, NewEmisData!$B:$B, $A284, NewEmisData!$C:$C, $H284, NewEmisData!$D:$D, O$6)</f>
        <v>1112.6987382597499</v>
      </c>
      <c r="P284" s="1111">
        <f>SUMIFS(NewEmisData!J:J, NewEmisData!$A:$A, $G284, NewEmisData!$B:$B, $A284, NewEmisData!$C:$C, $H284, NewEmisData!$D:$D, P$6)</f>
        <v>1106.54119248744</v>
      </c>
      <c r="Q284" s="1111">
        <f>SUMIFS(NewEmisData!K:K, NewEmisData!$A:$A, $G284, NewEmisData!$B:$B, $A284, NewEmisData!$C:$C, $H284, NewEmisData!$D:$D, Q$6)</f>
        <v>1105.0069411203201</v>
      </c>
      <c r="R284" s="1111">
        <f>SUMIFS(NewEmisData!L:L, NewEmisData!$A:$A, $G284, NewEmisData!$B:$B, $A284, NewEmisData!$C:$C, $H284, NewEmisData!$D:$D, R$6)</f>
        <v>1104.77778091038</v>
      </c>
      <c r="S284" s="1111">
        <f>SUMIFS(NewEmisData!M:M, NewEmisData!$A:$A, $G284, NewEmisData!$B:$B, $A284, NewEmisData!$C:$C, $H284, NewEmisData!$D:$D, S$6)</f>
        <v>1104.7649925096</v>
      </c>
      <c r="T284" s="1111">
        <f t="shared" si="364"/>
        <v>1104.7649925096</v>
      </c>
      <c r="U284" s="1111">
        <f>SUMIFS(NewEmisData!E:E, NewEmisData!$A:$A, $G284, NewEmisData!$B:$B, $A284, NewEmisData!$C:$C, $H284, NewEmisData!$D:$D, U$6)</f>
        <v>4.9618269183312798</v>
      </c>
      <c r="V284" s="1111">
        <f>SUMIFS(NewEmisData!F:F, NewEmisData!$A:$A, $G284, NewEmisData!$B:$B, $A284, NewEmisData!$C:$C, $H284, NewEmisData!$D:$D, V$6)</f>
        <v>3.5223524226374598</v>
      </c>
      <c r="W284" s="1111">
        <f>SUMIFS(NewEmisData!G:G, NewEmisData!$A:$A, $G284, NewEmisData!$B:$B, $A284, NewEmisData!$C:$C, $H284, NewEmisData!$D:$D, W$6)</f>
        <v>1.2618027970035901</v>
      </c>
      <c r="X284" s="1111">
        <f>SUMIFS(NewEmisData!H:H, NewEmisData!$A:$A, $G284, NewEmisData!$B:$B, $A284, NewEmisData!$C:$C, $H284, NewEmisData!$D:$D, X$6)</f>
        <v>0.99784143742540199</v>
      </c>
      <c r="Y284" s="1111">
        <f>SUMIFS(NewEmisData!I:I, NewEmisData!$A:$A, $G284, NewEmisData!$B:$B, $A284, NewEmisData!$C:$C, $H284, NewEmisData!$D:$D, Y$6)</f>
        <v>0.92115341275504903</v>
      </c>
      <c r="Z284" s="1111">
        <f>SUMIFS(NewEmisData!J:J, NewEmisData!$A:$A, $G284, NewEmisData!$B:$B, $A284, NewEmisData!$C:$C, $H284, NewEmisData!$D:$D, Z$6)</f>
        <v>0.90873745362837199</v>
      </c>
      <c r="AA284" s="1111">
        <f>SUMIFS(NewEmisData!K:K, NewEmisData!$A:$A, $G284, NewEmisData!$B:$B, $A284, NewEmisData!$C:$C, $H284, NewEmisData!$D:$D, AA$6)</f>
        <v>0.903404659383922</v>
      </c>
      <c r="AB284" s="1111">
        <f>SUMIFS(NewEmisData!L:L, NewEmisData!$A:$A, $G284, NewEmisData!$B:$B, $A284, NewEmisData!$C:$C, $H284, NewEmisData!$D:$D, AB$6)</f>
        <v>0.90367749375583695</v>
      </c>
      <c r="AC284" s="1111">
        <f>SUMIFS(NewEmisData!M:M, NewEmisData!$A:$A, $G284, NewEmisData!$B:$B, $A284, NewEmisData!$C:$C, $H284, NewEmisData!$D:$D, AC$6)</f>
        <v>0.90380303336619205</v>
      </c>
      <c r="AD284" s="1111">
        <f t="shared" si="448"/>
        <v>0.90380303336619205</v>
      </c>
      <c r="AE284" s="1111">
        <f t="shared" si="430"/>
        <v>2.2268353622481699E-2</v>
      </c>
      <c r="AF284" s="1111">
        <f>SUMIFS(NewEmisData!E:E, NewEmisData!$A:$A, $G284, NewEmisData!$B:$B, $A284, NewEmisData!$C:$C, $H284, NewEmisData!$D:$D, AF$6)</f>
        <v>2.2268353622481699E-2</v>
      </c>
      <c r="AG284" s="1111">
        <f>SUMIFS(NewEmisData!F:F, NewEmisData!$A:$A, $G284, NewEmisData!$B:$B, $A284, NewEmisData!$C:$C, $H284, NewEmisData!$D:$D, AG$6)</f>
        <v>2.15800397384973E-2</v>
      </c>
      <c r="AH284" s="1111">
        <f>SUMIFS(NewEmisData!G:G, NewEmisData!$A:$A, $G284, NewEmisData!$B:$B, $A284, NewEmisData!$C:$C, $H284, NewEmisData!$D:$D, AH$6)</f>
        <v>1.6580182769147099E-2</v>
      </c>
      <c r="AI284" s="1111">
        <f>SUMIFS(NewEmisData!H:H, NewEmisData!$A:$A, $G284, NewEmisData!$B:$B, $A284, NewEmisData!$C:$C, $H284, NewEmisData!$D:$D, AI$6)</f>
        <v>1.6324389370389901E-2</v>
      </c>
      <c r="AJ284" s="1111">
        <f>SUMIFS(NewEmisData!I:I, NewEmisData!$A:$A, $G284, NewEmisData!$B:$B, $A284, NewEmisData!$C:$C, $H284, NewEmisData!$D:$D, AJ$6)</f>
        <v>1.5962239345052798E-2</v>
      </c>
      <c r="AK284" s="1111">
        <f>SUMIFS(NewEmisData!J:J, NewEmisData!$A:$A, $G284, NewEmisData!$B:$B, $A284, NewEmisData!$C:$C, $H284, NewEmisData!$D:$D, AK$6)</f>
        <v>1.5873905588610002E-2</v>
      </c>
      <c r="AL284" s="1111">
        <f>SUMIFS(NewEmisData!K:K, NewEmisData!$A:$A, $G284, NewEmisData!$B:$B, $A284, NewEmisData!$C:$C, $H284, NewEmisData!$D:$D, AL$6)</f>
        <v>1.5851896144737601E-2</v>
      </c>
      <c r="AM284" s="1111">
        <f>SUMIFS(NewEmisData!L:L, NewEmisData!$A:$A, $G284, NewEmisData!$B:$B, $A284, NewEmisData!$C:$C, $H284, NewEmisData!$D:$D, AM$6)</f>
        <v>1.58486207061387E-2</v>
      </c>
      <c r="AN284" s="1111">
        <f>SUMIFS(NewEmisData!M:M, NewEmisData!$A:$A, $G284, NewEmisData!$B:$B, $A284, NewEmisData!$C:$C, $H284, NewEmisData!$D:$D, AN$6)</f>
        <v>1.5848421937017101E-2</v>
      </c>
      <c r="AO284" s="1111">
        <f t="shared" si="431"/>
        <v>1.5848421937017101E-2</v>
      </c>
      <c r="AP284" s="1111">
        <f t="shared" si="432"/>
        <v>0.316522847739098</v>
      </c>
      <c r="AQ284" s="1111">
        <f>SUMIFS(NewEmisData!E:E, NewEmisData!$A:$A, $G284, NewEmisData!$B:$B, $A284, NewEmisData!$C:$C, $H284, NewEmisData!$D:$D, AQ$6)</f>
        <v>0.316522847739098</v>
      </c>
      <c r="AR284" s="1111">
        <f>SUMIFS(NewEmisData!F:F, NewEmisData!$A:$A, $G284, NewEmisData!$B:$B, $A284, NewEmisData!$C:$C, $H284, NewEmisData!$D:$D, AR$6)</f>
        <v>0.296906260657962</v>
      </c>
      <c r="AS284" s="1111">
        <f>SUMIFS(NewEmisData!G:G, NewEmisData!$A:$A, $G284, NewEmisData!$B:$B, $A284, NewEmisData!$C:$C, $H284, NewEmisData!$D:$D, AS$6)</f>
        <v>0.23822746383424401</v>
      </c>
      <c r="AT284" s="1111">
        <f>SUMIFS(NewEmisData!H:H, NewEmisData!$A:$A, $G284, NewEmisData!$B:$B, $A284, NewEmisData!$C:$C, $H284, NewEmisData!$D:$D, AT$6)</f>
        <v>0.23861290236278199</v>
      </c>
      <c r="AU284" s="1111">
        <f>SUMIFS(NewEmisData!I:I, NewEmisData!$A:$A, $G284, NewEmisData!$B:$B, $A284, NewEmisData!$C:$C, $H284, NewEmisData!$D:$D, AU$6)</f>
        <v>0.23938243498850501</v>
      </c>
      <c r="AV284" s="1111">
        <f>SUMIFS(NewEmisData!J:J, NewEmisData!$A:$A, $G284, NewEmisData!$B:$B, $A284, NewEmisData!$C:$C, $H284, NewEmisData!$D:$D, AV$6)</f>
        <v>0.23966935323295199</v>
      </c>
      <c r="AW284" s="1111">
        <f>SUMIFS(NewEmisData!K:K, NewEmisData!$A:$A, $G284, NewEmisData!$B:$B, $A284, NewEmisData!$C:$C, $H284, NewEmisData!$D:$D, AW$6)</f>
        <v>0.239739729662128</v>
      </c>
      <c r="AX284" s="1111">
        <f>SUMIFS(NewEmisData!L:L, NewEmisData!$A:$A, $G284, NewEmisData!$B:$B, $A284, NewEmisData!$C:$C, $H284, NewEmisData!$D:$D, AX$6)</f>
        <v>0.239781897722738</v>
      </c>
      <c r="AY284" s="1111">
        <f>SUMIFS(NewEmisData!M:M, NewEmisData!$A:$A, $G284, NewEmisData!$B:$B, $A284, NewEmisData!$C:$C, $H284, NewEmisData!$D:$D, AY$6)</f>
        <v>0.23979416449461</v>
      </c>
      <c r="AZ284" s="1111">
        <f t="shared" si="433"/>
        <v>0.23979416449461</v>
      </c>
      <c r="BA284" s="1111">
        <f t="shared" si="434"/>
        <v>8.6551780570898199E-2</v>
      </c>
      <c r="BB284" s="1111">
        <f>SUMIFS(NewEmisData!E:E, NewEmisData!$A:$A, $G284, NewEmisData!$B:$B, $A284, NewEmisData!$C:$C, $H284, NewEmisData!$D:$D, BB$6)</f>
        <v>8.6551780570898199E-2</v>
      </c>
      <c r="BC284" s="1111">
        <f>SUMIFS(NewEmisData!F:F, NewEmisData!$A:$A, $G284, NewEmisData!$B:$B, $A284, NewEmisData!$C:$C, $H284, NewEmisData!$D:$D, BC$6)</f>
        <v>6.4372293434568101E-2</v>
      </c>
      <c r="BD284" s="1111">
        <f>SUMIFS(NewEmisData!G:G, NewEmisData!$A:$A, $G284, NewEmisData!$B:$B, $A284, NewEmisData!$C:$C, $H284, NewEmisData!$D:$D, BD$6)</f>
        <v>3.7426910923255501E-2</v>
      </c>
      <c r="BE284" s="1111">
        <f>SUMIFS(NewEmisData!H:H, NewEmisData!$A:$A, $G284, NewEmisData!$B:$B, $A284, NewEmisData!$C:$C, $H284, NewEmisData!$D:$D, BE$6)</f>
        <v>3.7415863467985699E-2</v>
      </c>
      <c r="BF284" s="1111">
        <f>SUMIFS(NewEmisData!I:I, NewEmisData!$A:$A, $G284, NewEmisData!$B:$B, $A284, NewEmisData!$C:$C, $H284, NewEmisData!$D:$D, BF$6)</f>
        <v>3.7155994555793902E-2</v>
      </c>
      <c r="BG284" s="1111">
        <f>SUMIFS(NewEmisData!J:J, NewEmisData!$A:$A, $G284, NewEmisData!$B:$B, $A284, NewEmisData!$C:$C, $H284, NewEmisData!$D:$D, BG$6)</f>
        <v>3.71692451762419E-2</v>
      </c>
      <c r="BH284" s="1111">
        <f>SUMIFS(NewEmisData!K:K, NewEmisData!$A:$A, $G284, NewEmisData!$B:$B, $A284, NewEmisData!$C:$C, $H284, NewEmisData!$D:$D, BH$6)</f>
        <v>3.71792258741903E-2</v>
      </c>
      <c r="BI284" s="1111">
        <f>SUMIFS(NewEmisData!L:L, NewEmisData!$A:$A, $G284, NewEmisData!$B:$B, $A284, NewEmisData!$C:$C, $H284, NewEmisData!$D:$D, BI$6)</f>
        <v>3.7203306400845099E-2</v>
      </c>
      <c r="BJ284" s="1111">
        <f>SUMIFS(NewEmisData!M:M, NewEmisData!$A:$A, $G284, NewEmisData!$B:$B, $A284, NewEmisData!$C:$C, $H284, NewEmisData!$D:$D, BJ$6)</f>
        <v>3.7213861680524402E-2</v>
      </c>
      <c r="BK284" s="1111">
        <f t="shared" si="435"/>
        <v>3.7213861680524402E-2</v>
      </c>
      <c r="BL284" s="1111">
        <f t="shared" si="436"/>
        <v>44.405857011560997</v>
      </c>
      <c r="BM284" s="1111">
        <f>SUMIFS(NewEmisData!E:E, NewEmisData!$A:$A, $G284, NewEmisData!$B:$B, $A284, NewEmisData!$C:$C, $H284, NewEmisData!$D:$D, BM$6)</f>
        <v>44.405857011560997</v>
      </c>
      <c r="BN284" s="1111">
        <f>SUMIFS(NewEmisData!F:F, NewEmisData!$A:$A, $G284, NewEmisData!$B:$B, $A284, NewEmisData!$C:$C, $H284, NewEmisData!$D:$D, BN$6)</f>
        <v>36.848029493126198</v>
      </c>
      <c r="BO284" s="1111">
        <f>SUMIFS(NewEmisData!G:G, NewEmisData!$A:$A, $G284, NewEmisData!$B:$B, $A284, NewEmisData!$C:$C, $H284, NewEmisData!$D:$D, BO$6)</f>
        <v>14.0750386718197</v>
      </c>
      <c r="BP284" s="1111">
        <f>SUMIFS(NewEmisData!H:H, NewEmisData!$A:$A, $G284, NewEmisData!$B:$B, $A284, NewEmisData!$C:$C, $H284, NewEmisData!$D:$D, BP$6)</f>
        <v>12.254998131296899</v>
      </c>
      <c r="BQ284" s="1111">
        <f>SUMIFS(NewEmisData!I:I, NewEmisData!$A:$A, $G284, NewEmisData!$B:$B, $A284, NewEmisData!$C:$C, $H284, NewEmisData!$D:$D, BQ$6)</f>
        <v>12.2179762392729</v>
      </c>
      <c r="BR284" s="1111">
        <f>SUMIFS(NewEmisData!J:J, NewEmisData!$A:$A, $G284, NewEmisData!$B:$B, $A284, NewEmisData!$C:$C, $H284, NewEmisData!$D:$D, BR$6)</f>
        <v>12.5483128548097</v>
      </c>
      <c r="BS284" s="1111">
        <f>SUMIFS(NewEmisData!K:K, NewEmisData!$A:$A, $G284, NewEmisData!$B:$B, $A284, NewEmisData!$C:$C, $H284, NewEmisData!$D:$D, BS$6)</f>
        <v>12.6290552691631</v>
      </c>
      <c r="BT284" s="1111">
        <f>SUMIFS(NewEmisData!L:L, NewEmisData!$A:$A, $G284, NewEmisData!$B:$B, $A284, NewEmisData!$C:$C, $H284, NewEmisData!$D:$D, BT$6)</f>
        <v>12.756109867155899</v>
      </c>
      <c r="BU284" s="1111">
        <f>SUMIFS(NewEmisData!M:M, NewEmisData!$A:$A, $G284, NewEmisData!$B:$B, $A284, NewEmisData!$C:$C, $H284, NewEmisData!$D:$D, BU$6)</f>
        <v>12.800533369187299</v>
      </c>
      <c r="BV284" s="1111">
        <f t="shared" si="437"/>
        <v>12.800533369187299</v>
      </c>
      <c r="BW284" s="1111">
        <f t="shared" si="438"/>
        <v>2.14680819384954</v>
      </c>
      <c r="BX284" s="1111">
        <f>SUMIFS(NewEmisData!E:E, NewEmisData!$A:$A, $G284, NewEmisData!$B:$B, $A284, NewEmisData!$C:$C, $H284, NewEmisData!$D:$D, BX$6)</f>
        <v>2.14680819384954</v>
      </c>
      <c r="BY284" s="1111">
        <f>SUMIFS(NewEmisData!F:F, NewEmisData!$A:$A, $G284, NewEmisData!$B:$B, $A284, NewEmisData!$C:$C, $H284, NewEmisData!$D:$D, BY$6)</f>
        <v>1.6414932721656601</v>
      </c>
      <c r="BZ284" s="1111">
        <f>SUMIFS(NewEmisData!G:G, NewEmisData!$A:$A, $G284, NewEmisData!$B:$B, $A284, NewEmisData!$C:$C, $H284, NewEmisData!$D:$D, BZ$6)</f>
        <v>0.47923130880280401</v>
      </c>
      <c r="CA284" s="1111">
        <f>SUMIFS(NewEmisData!H:H, NewEmisData!$A:$A, $G284, NewEmisData!$B:$B, $A284, NewEmisData!$C:$C, $H284, NewEmisData!$D:$D, CA$6)</f>
        <v>0.36532781197988201</v>
      </c>
      <c r="CB284" s="1111">
        <f>SUMIFS(NewEmisData!I:I, NewEmisData!$A:$A, $G284, NewEmisData!$B:$B, $A284, NewEmisData!$C:$C, $H284, NewEmisData!$D:$D, CB$6)</f>
        <v>0.334636907672411</v>
      </c>
      <c r="CC284" s="1111">
        <f>SUMIFS(NewEmisData!J:J, NewEmisData!$A:$A, $G284, NewEmisData!$B:$B, $A284, NewEmisData!$C:$C, $H284, NewEmisData!$D:$D, CC$6)</f>
        <v>0.33199768040625</v>
      </c>
      <c r="CD284" s="1111">
        <f>SUMIFS(NewEmisData!K:K, NewEmisData!$A:$A, $G284, NewEmisData!$B:$B, $A284, NewEmisData!$C:$C, $H284, NewEmisData!$D:$D, CD$6)</f>
        <v>0.32940217473438299</v>
      </c>
      <c r="CE284" s="1111">
        <f>SUMIFS(NewEmisData!L:L, NewEmisData!$A:$A, $G284, NewEmisData!$B:$B, $A284, NewEmisData!$C:$C, $H284, NewEmisData!$D:$D, CE$6)</f>
        <v>0.33126268454531199</v>
      </c>
      <c r="CF284" s="1111">
        <f>SUMIFS(NewEmisData!M:M, NewEmisData!$A:$A, $G284, NewEmisData!$B:$B, $A284, NewEmisData!$C:$C, $H284, NewEmisData!$D:$D, CF$6)</f>
        <v>0.331634896570775</v>
      </c>
      <c r="CG284" s="1111">
        <f t="shared" si="439"/>
        <v>0.331634896570775</v>
      </c>
      <c r="CH284" s="1111">
        <f t="shared" si="440"/>
        <v>4.49194482849559E-2</v>
      </c>
      <c r="CI284" s="1111">
        <f>SUMIFS(NewEmisData!E:E, NewEmisData!$A:$A, $G284, NewEmisData!$B:$B, $A284, NewEmisData!$C:$C, $H284, NewEmisData!$D:$D, CI$6)</f>
        <v>4.49194482849559E-2</v>
      </c>
      <c r="CJ284" s="1111">
        <f>SUMIFS(NewEmisData!F:F, NewEmisData!$A:$A, $G284, NewEmisData!$B:$B, $A284, NewEmisData!$C:$C, $H284, NewEmisData!$D:$D, CJ$6)</f>
        <v>4.5044780297083503E-2</v>
      </c>
      <c r="CK284" s="1111">
        <f>SUMIFS(NewEmisData!G:G, NewEmisData!$A:$A, $G284, NewEmisData!$B:$B, $A284, NewEmisData!$C:$C, $H284, NewEmisData!$D:$D, CK$6)</f>
        <v>4.5736190408202697E-2</v>
      </c>
      <c r="CL284" s="1111">
        <f>SUMIFS(NewEmisData!H:H, NewEmisData!$A:$A, $G284, NewEmisData!$B:$B, $A284, NewEmisData!$C:$C, $H284, NewEmisData!$D:$D, CL$6)</f>
        <v>4.5759494534362899E-2</v>
      </c>
      <c r="CM284" s="1111">
        <f>SUMIFS(NewEmisData!I:I, NewEmisData!$A:$A, $G284, NewEmisData!$B:$B, $A284, NewEmisData!$C:$C, $H284, NewEmisData!$D:$D, CM$6)</f>
        <v>4.5817996189111899E-2</v>
      </c>
      <c r="CN284" s="1111">
        <f>SUMIFS(NewEmisData!J:J, NewEmisData!$A:$A, $G284, NewEmisData!$B:$B, $A284, NewEmisData!$C:$C, $H284, NewEmisData!$D:$D, CN$6)</f>
        <v>4.5833049406016901E-2</v>
      </c>
      <c r="CO284" s="1111">
        <f>SUMIFS(NewEmisData!K:K, NewEmisData!$A:$A, $G284, NewEmisData!$B:$B, $A284, NewEmisData!$C:$C, $H284, NewEmisData!$D:$D, CO$6)</f>
        <v>4.5836329184160897E-2</v>
      </c>
      <c r="CP284" s="1111">
        <f>SUMIFS(NewEmisData!L:L, NewEmisData!$A:$A, $G284, NewEmisData!$B:$B, $A284, NewEmisData!$C:$C, $H284, NewEmisData!$D:$D, CP$6)</f>
        <v>4.58372025008323E-2</v>
      </c>
      <c r="CQ284" s="1111">
        <f>SUMIFS(NewEmisData!M:M, NewEmisData!$A:$A, $G284, NewEmisData!$B:$B, $A284, NewEmisData!$C:$C, $H284, NewEmisData!$D:$D, CQ$6)</f>
        <v>4.5837179172897799E-2</v>
      </c>
      <c r="CR284" s="1111">
        <f t="shared" si="441"/>
        <v>4.5837179172897799E-2</v>
      </c>
      <c r="CS284" s="1111">
        <f t="shared" si="442"/>
        <v>4.23785786247831E-2</v>
      </c>
      <c r="CT284" s="1111">
        <f>SUMIFS(NewEmisData!E:E, NewEmisData!$A:$A, $G284, NewEmisData!$B:$B, $A284, NewEmisData!$C:$C, $H284, NewEmisData!$D:$D, CT$6)</f>
        <v>4.23785786247831E-2</v>
      </c>
      <c r="CU284" s="1111">
        <f>SUMIFS(NewEmisData!F:F, NewEmisData!$A:$A, $G284, NewEmisData!$B:$B, $A284, NewEmisData!$C:$C, $H284, NewEmisData!$D:$D, CU$6)</f>
        <v>3.6476147142376902E-2</v>
      </c>
      <c r="CV284" s="1111">
        <f>SUMIFS(NewEmisData!G:G, NewEmisData!$A:$A, $G284, NewEmisData!$B:$B, $A284, NewEmisData!$C:$C, $H284, NewEmisData!$D:$D, CV$6)</f>
        <v>1.5910071003880501E-2</v>
      </c>
      <c r="CW284" s="1111">
        <f>SUMIFS(NewEmisData!H:H, NewEmisData!$A:$A, $G284, NewEmisData!$B:$B, $A284, NewEmisData!$C:$C, $H284, NewEmisData!$D:$D, CW$6)</f>
        <v>1.0887161334639401E-2</v>
      </c>
      <c r="CX284" s="1111">
        <f>SUMIFS(NewEmisData!I:I, NewEmisData!$A:$A, $G284, NewEmisData!$B:$B, $A284, NewEmisData!$C:$C, $H284, NewEmisData!$D:$D, CX$6)</f>
        <v>9.2481178897355007E-3</v>
      </c>
      <c r="CY284" s="1111">
        <f>SUMIFS(NewEmisData!J:J, NewEmisData!$A:$A, $G284, NewEmisData!$B:$B, $A284, NewEmisData!$C:$C, $H284, NewEmisData!$D:$D, CY$6)</f>
        <v>8.9851479443452901E-3</v>
      </c>
      <c r="CZ284" s="1111">
        <f>SUMIFS(NewEmisData!K:K, NewEmisData!$A:$A, $G284, NewEmisData!$B:$B, $A284, NewEmisData!$C:$C, $H284, NewEmisData!$D:$D, CZ$6)</f>
        <v>8.7728322711615007E-3</v>
      </c>
      <c r="DA284" s="1111">
        <f>SUMIFS(NewEmisData!L:L, NewEmisData!$A:$A, $G284, NewEmisData!$B:$B, $A284, NewEmisData!$C:$C, $H284, NewEmisData!$D:$D, DA$6)</f>
        <v>8.8121160479205408E-3</v>
      </c>
      <c r="DB284" s="1111">
        <f>SUMIFS(NewEmisData!M:M, NewEmisData!$A:$A, $G284, NewEmisData!$B:$B, $A284, NewEmisData!$C:$C, $H284, NewEmisData!$D:$D, DB$6)</f>
        <v>8.8260551340968493E-3</v>
      </c>
      <c r="DC284" s="1111">
        <f t="shared" si="443"/>
        <v>8.8260551340968493E-3</v>
      </c>
      <c r="DD284" s="1111"/>
      <c r="DE284" s="1111"/>
      <c r="DF284" s="1111"/>
      <c r="DG284" s="1111"/>
      <c r="DH284" s="1111"/>
      <c r="DI284" s="1111"/>
      <c r="DJ284" s="1111"/>
      <c r="DK284" s="1111"/>
      <c r="DL284" s="1111"/>
      <c r="DM284" s="1111"/>
      <c r="DN284" s="1111"/>
      <c r="DO284" s="1111"/>
      <c r="DP284" s="1111"/>
      <c r="DQ284" s="1111"/>
      <c r="DR284" s="1111"/>
      <c r="DS284" s="1111"/>
      <c r="DT284" s="1111"/>
      <c r="DU284" s="1111"/>
      <c r="DV284" s="1111"/>
      <c r="DW284" s="1111"/>
      <c r="DX284" s="1111"/>
      <c r="DY284" s="1111"/>
      <c r="DZ284" s="1111">
        <f t="shared" si="444"/>
        <v>7.9223624422698202E-2</v>
      </c>
      <c r="EA284" s="1111">
        <f>SUMIFS(NewEmisData!E:E, NewEmisData!$A:$A, $G284, NewEmisData!$B:$B, $A284, NewEmisData!$C:$C, $H284, NewEmisData!$D:$D, EA$6)</f>
        <v>7.9223624422698202E-2</v>
      </c>
      <c r="EB284" s="1111">
        <f>SUMIFS(NewEmisData!F:F, NewEmisData!$A:$A, $G284, NewEmisData!$B:$B, $A284, NewEmisData!$C:$C, $H284, NewEmisData!$D:$D, EB$6)</f>
        <v>4.9616772406464199E-2</v>
      </c>
      <c r="EC284" s="1111">
        <f>SUMIFS(NewEmisData!G:G, NewEmisData!$A:$A, $G284, NewEmisData!$B:$B, $A284, NewEmisData!$C:$C, $H284, NewEmisData!$D:$D, EC$6)</f>
        <v>1.1730401934771701E-2</v>
      </c>
      <c r="ED284" s="1111">
        <f>SUMIFS(NewEmisData!H:H, NewEmisData!$A:$A, $G284, NewEmisData!$B:$B, $A284, NewEmisData!$C:$C, $H284, NewEmisData!$D:$D, ED$6)</f>
        <v>9.4240573443951908E-3</v>
      </c>
      <c r="EE284" s="1111">
        <f>SUMIFS(NewEmisData!I:I, NewEmisData!$A:$A, $G284, NewEmisData!$B:$B, $A284, NewEmisData!$C:$C, $H284, NewEmisData!$D:$D, EE$6)</f>
        <v>9.2771376980736696E-3</v>
      </c>
      <c r="EF284" s="1111">
        <f>SUMIFS(NewEmisData!J:J, NewEmisData!$A:$A, $G284, NewEmisData!$B:$B, $A284, NewEmisData!$C:$C, $H284, NewEmisData!$D:$D, EF$6)</f>
        <v>9.4970065030402697E-3</v>
      </c>
      <c r="EG284" s="1111">
        <f>SUMIFS(NewEmisData!K:K, NewEmisData!$A:$A, $G284, NewEmisData!$B:$B, $A284, NewEmisData!$C:$C, $H284, NewEmisData!$D:$D, EG$6)</f>
        <v>9.5652604789833208E-3</v>
      </c>
      <c r="EH284" s="1111">
        <f>SUMIFS(NewEmisData!L:L, NewEmisData!$A:$A, $G284, NewEmisData!$B:$B, $A284, NewEmisData!$C:$C, $H284, NewEmisData!$D:$D, EH$6)</f>
        <v>9.6560772920169392E-3</v>
      </c>
      <c r="EI284" s="1111">
        <f>SUMIFS(NewEmisData!M:M, NewEmisData!$A:$A, $G284, NewEmisData!$B:$B, $A284, NewEmisData!$C:$C, $H284, NewEmisData!$D:$D, EI$6)</f>
        <v>9.6867337196690894E-3</v>
      </c>
      <c r="EJ284" s="1111">
        <f t="shared" si="445"/>
        <v>9.6867337196690894E-3</v>
      </c>
      <c r="EK284" s="1111">
        <f t="shared" si="446"/>
        <v>1245.3418505198399</v>
      </c>
      <c r="EL284" s="1111">
        <f t="shared" si="343"/>
        <v>1245.3418505198399</v>
      </c>
      <c r="EM284" s="1111">
        <f t="shared" si="344"/>
        <v>1233.52680028807</v>
      </c>
      <c r="EN284" s="1111">
        <f t="shared" si="345"/>
        <v>1155.77413052821</v>
      </c>
      <c r="EO284" s="1111">
        <f t="shared" si="346"/>
        <v>1137.9436610154601</v>
      </c>
      <c r="EP284" s="1111">
        <f t="shared" si="347"/>
        <v>1112.6987382597499</v>
      </c>
      <c r="EQ284" s="1111">
        <f t="shared" si="348"/>
        <v>1106.54119248744</v>
      </c>
      <c r="ER284" s="1111">
        <f t="shared" si="349"/>
        <v>1105.0069411203201</v>
      </c>
      <c r="ES284" s="1111">
        <f t="shared" si="350"/>
        <v>1104.77778091038</v>
      </c>
      <c r="ET284" s="1111">
        <f t="shared" si="351"/>
        <v>1104.7649925096</v>
      </c>
      <c r="EU284" s="1111">
        <f t="shared" si="352"/>
        <v>1104.7649925096</v>
      </c>
      <c r="EV284" s="1111">
        <f t="shared" si="447"/>
        <v>4.9618269183312798</v>
      </c>
      <c r="EW284" s="1111">
        <f t="shared" si="333"/>
        <v>4.9618269183312798</v>
      </c>
      <c r="EX284" s="1111">
        <f t="shared" si="334"/>
        <v>3.5223524226374598</v>
      </c>
      <c r="EY284" s="1111">
        <f t="shared" si="335"/>
        <v>1.2618027970035901</v>
      </c>
      <c r="EZ284" s="1111">
        <f t="shared" si="336"/>
        <v>0.99784143742540199</v>
      </c>
      <c r="FA284" s="1111">
        <f t="shared" si="337"/>
        <v>0.92115341275504903</v>
      </c>
      <c r="FB284" s="1111">
        <f t="shared" si="338"/>
        <v>0.90873745362837199</v>
      </c>
      <c r="FC284" s="1111">
        <f t="shared" si="339"/>
        <v>0.903404659383922</v>
      </c>
      <c r="FD284" s="1111">
        <f t="shared" si="340"/>
        <v>0.90367749375583695</v>
      </c>
      <c r="FE284" s="1111">
        <f t="shared" si="341"/>
        <v>0.90380303336619205</v>
      </c>
      <c r="FF284" s="1111">
        <f t="shared" si="342"/>
        <v>0.90380303336619205</v>
      </c>
      <c r="FG284" s="1111">
        <f t="shared" si="389"/>
        <v>2.2268353622481699E-2</v>
      </c>
      <c r="FH284" s="1111">
        <f t="shared" si="390"/>
        <v>2.2268353622481699E-2</v>
      </c>
      <c r="FI284" s="1111">
        <f t="shared" si="391"/>
        <v>2.15800397384973E-2</v>
      </c>
      <c r="FJ284" s="1111">
        <f t="shared" si="392"/>
        <v>1.6580182769147099E-2</v>
      </c>
      <c r="FK284" s="1111">
        <f t="shared" si="393"/>
        <v>1.6324389370389901E-2</v>
      </c>
      <c r="FL284" s="1111">
        <f t="shared" si="394"/>
        <v>1.5962239345052798E-2</v>
      </c>
      <c r="FM284" s="1111">
        <f t="shared" si="395"/>
        <v>1.5873905588610002E-2</v>
      </c>
      <c r="FN284" s="1111">
        <f t="shared" si="396"/>
        <v>1.5851896144737601E-2</v>
      </c>
      <c r="FO284" s="1111">
        <f t="shared" si="397"/>
        <v>1.58486207061387E-2</v>
      </c>
      <c r="FP284" s="1111">
        <f t="shared" si="398"/>
        <v>1.5848421937017101E-2</v>
      </c>
      <c r="FQ284" s="1111">
        <f t="shared" si="399"/>
        <v>1.5848421937017101E-2</v>
      </c>
      <c r="FR284" s="1111">
        <f t="shared" si="449"/>
        <v>0.316522847739098</v>
      </c>
      <c r="FS284" s="1111">
        <f t="shared" si="450"/>
        <v>0.316522847739098</v>
      </c>
      <c r="FT284" s="1111">
        <f t="shared" si="451"/>
        <v>0.296906260657962</v>
      </c>
      <c r="FU284" s="1111">
        <f t="shared" si="452"/>
        <v>0.23822746383424401</v>
      </c>
      <c r="FV284" s="1111">
        <f t="shared" si="453"/>
        <v>0.23861290236278199</v>
      </c>
      <c r="FW284" s="1111">
        <f t="shared" si="454"/>
        <v>0.23938243498850501</v>
      </c>
      <c r="FX284" s="1111">
        <f t="shared" si="455"/>
        <v>0.23966935323295199</v>
      </c>
      <c r="FY284" s="1111">
        <f t="shared" si="456"/>
        <v>0.239739729662128</v>
      </c>
      <c r="FZ284" s="1111">
        <f t="shared" si="457"/>
        <v>0.239781897722738</v>
      </c>
      <c r="GA284" s="1111">
        <f t="shared" si="458"/>
        <v>0.23979416449461</v>
      </c>
      <c r="GB284" s="1111">
        <f t="shared" si="459"/>
        <v>0.23979416449461</v>
      </c>
      <c r="GC284" s="1111">
        <f t="shared" si="353"/>
        <v>8.6551780570898199E-2</v>
      </c>
      <c r="GD284" s="1111">
        <f t="shared" si="354"/>
        <v>8.6551780570898199E-2</v>
      </c>
      <c r="GE284" s="1111">
        <f t="shared" si="355"/>
        <v>6.4372293434568101E-2</v>
      </c>
      <c r="GF284" s="1111">
        <f t="shared" si="356"/>
        <v>3.7426910923255501E-2</v>
      </c>
      <c r="GG284" s="1111">
        <f t="shared" si="357"/>
        <v>3.7415863467985699E-2</v>
      </c>
      <c r="GH284" s="1111">
        <f t="shared" si="358"/>
        <v>3.7155994555793902E-2</v>
      </c>
      <c r="GI284" s="1111">
        <f t="shared" si="359"/>
        <v>3.71692451762419E-2</v>
      </c>
      <c r="GJ284" s="1111">
        <f t="shared" si="360"/>
        <v>3.71792258741903E-2</v>
      </c>
      <c r="GK284" s="1111">
        <f t="shared" si="361"/>
        <v>3.7203306400845099E-2</v>
      </c>
      <c r="GL284" s="1111">
        <f t="shared" si="362"/>
        <v>3.7213861680524402E-2</v>
      </c>
      <c r="GM284" s="1111">
        <f t="shared" si="363"/>
        <v>3.7213861680524402E-2</v>
      </c>
    </row>
    <row r="285" spans="1:195" x14ac:dyDescent="0.2">
      <c r="A285" s="1071" t="s">
        <v>190</v>
      </c>
      <c r="B285" s="1071" t="str">
        <f>Technologies!C164</f>
        <v>THSCNGIM</v>
      </c>
      <c r="C285" s="1071" t="str">
        <f>Technologies!D164</f>
        <v>Heavy Truck, Short Haul, Improved CNG</v>
      </c>
      <c r="D285" s="1071" t="str">
        <f>NewTech!D110</f>
        <v>bn-vmt, bn-vmt/a</v>
      </c>
      <c r="E285" s="1071" t="str">
        <f>Commodities!C$58</f>
        <v>THCNG</v>
      </c>
      <c r="F285" s="1071" t="s">
        <v>98</v>
      </c>
      <c r="G285" s="1110" t="s">
        <v>505</v>
      </c>
      <c r="H285" s="1110" t="s">
        <v>500</v>
      </c>
      <c r="I285" s="1112">
        <v>1</v>
      </c>
      <c r="J285" s="1111" t="str">
        <f t="shared" si="302"/>
        <v>Heavy duty short haul truck-GSL</v>
      </c>
      <c r="K285" s="1111">
        <f>SUMIFS(NewEmisData!E:E, NewEmisData!$A:$A, $G285, NewEmisData!$B:$B, $A285, NewEmisData!$C:$C, $H285, NewEmisData!$D:$D, K$6)</f>
        <v>1241.38928176117</v>
      </c>
      <c r="L285" s="1111">
        <f>SUMIFS(NewEmisData!F:F, NewEmisData!$A:$A, $G285, NewEmisData!$B:$B, $A285, NewEmisData!$C:$C, $H285, NewEmisData!$D:$D, L$6)</f>
        <v>1226.10777955711</v>
      </c>
      <c r="M285" s="1111">
        <f>SUMIFS(NewEmisData!G:G, NewEmisData!$A:$A, $G285, NewEmisData!$B:$B, $A285, NewEmisData!$C:$C, $H285, NewEmisData!$D:$D, M$6)</f>
        <v>1383.33894651986</v>
      </c>
      <c r="N285" s="1111">
        <f>SUMIFS(NewEmisData!H:H, NewEmisData!$A:$A, $G285, NewEmisData!$B:$B, $A285, NewEmisData!$C:$C, $H285, NewEmisData!$D:$D, N$6)</f>
        <v>1356.5010921445701</v>
      </c>
      <c r="O285" s="1111">
        <f>SUMIFS(NewEmisData!I:I, NewEmisData!$A:$A, $G285, NewEmisData!$B:$B, $A285, NewEmisData!$C:$C, $H285, NewEmisData!$D:$D, O$6)</f>
        <v>1306.9931195674901</v>
      </c>
      <c r="P285" s="1111">
        <f>SUMIFS(NewEmisData!J:J, NewEmisData!$A:$A, $G285, NewEmisData!$B:$B, $A285, NewEmisData!$C:$C, $H285, NewEmisData!$D:$D, P$6)</f>
        <v>1294.5393575191799</v>
      </c>
      <c r="Q285" s="1111">
        <f>SUMIFS(NewEmisData!K:K, NewEmisData!$A:$A, $G285, NewEmisData!$B:$B, $A285, NewEmisData!$C:$C, $H285, NewEmisData!$D:$D, Q$6)</f>
        <v>1291.60029261402</v>
      </c>
      <c r="R285" s="1111">
        <f>SUMIFS(NewEmisData!L:L, NewEmisData!$A:$A, $G285, NewEmisData!$B:$B, $A285, NewEmisData!$C:$C, $H285, NewEmisData!$D:$D, R$6)</f>
        <v>1291.22786948009</v>
      </c>
      <c r="S285" s="1111">
        <f>SUMIFS(NewEmisData!M:M, NewEmisData!$A:$A, $G285, NewEmisData!$B:$B, $A285, NewEmisData!$C:$C, $H285, NewEmisData!$D:$D, S$6)</f>
        <v>1291.2762589420699</v>
      </c>
      <c r="T285" s="1111">
        <f t="shared" si="364"/>
        <v>1291.2762589420699</v>
      </c>
      <c r="U285" s="1111">
        <f>SUMIFS(NewEmisData!E:E, NewEmisData!$A:$A, $G285, NewEmisData!$B:$B, $A285, NewEmisData!$C:$C, $H285, NewEmisData!$D:$D, U$6)</f>
        <v>6.2719490238573599</v>
      </c>
      <c r="V285" s="1111">
        <f>SUMIFS(NewEmisData!F:F, NewEmisData!$A:$A, $G285, NewEmisData!$B:$B, $A285, NewEmisData!$C:$C, $H285, NewEmisData!$D:$D, V$6)</f>
        <v>3.54586562371545</v>
      </c>
      <c r="W285" s="1111">
        <f>SUMIFS(NewEmisData!G:G, NewEmisData!$A:$A, $G285, NewEmisData!$B:$B, $A285, NewEmisData!$C:$C, $H285, NewEmisData!$D:$D, W$6)</f>
        <v>1.5390863619428401</v>
      </c>
      <c r="X285" s="1111">
        <f>SUMIFS(NewEmisData!H:H, NewEmisData!$A:$A, $G285, NewEmisData!$B:$B, $A285, NewEmisData!$C:$C, $H285, NewEmisData!$D:$D, X$6)</f>
        <v>1.17307553707704</v>
      </c>
      <c r="Y285" s="1111">
        <f>SUMIFS(NewEmisData!I:I, NewEmisData!$A:$A, $G285, NewEmisData!$B:$B, $A285, NewEmisData!$C:$C, $H285, NewEmisData!$D:$D, Y$6)</f>
        <v>1.0487695492759499</v>
      </c>
      <c r="Z285" s="1111">
        <f>SUMIFS(NewEmisData!J:J, NewEmisData!$A:$A, $G285, NewEmisData!$B:$B, $A285, NewEmisData!$C:$C, $H285, NewEmisData!$D:$D, Z$6)</f>
        <v>1.0243777697646099</v>
      </c>
      <c r="AA285" s="1111">
        <f>SUMIFS(NewEmisData!K:K, NewEmisData!$A:$A, $G285, NewEmisData!$B:$B, $A285, NewEmisData!$C:$C, $H285, NewEmisData!$D:$D, AA$6)</f>
        <v>1.01315476025102</v>
      </c>
      <c r="AB285" s="1111">
        <f>SUMIFS(NewEmisData!L:L, NewEmisData!$A:$A, $G285, NewEmisData!$B:$B, $A285, NewEmisData!$C:$C, $H285, NewEmisData!$D:$D, AB$6)</f>
        <v>1.01368282027686</v>
      </c>
      <c r="AC285" s="1111">
        <f>SUMIFS(NewEmisData!M:M, NewEmisData!$A:$A, $G285, NewEmisData!$B:$B, $A285, NewEmisData!$C:$C, $H285, NewEmisData!$D:$D, AC$6)</f>
        <v>1.0139821488193099</v>
      </c>
      <c r="AD285" s="1111">
        <f t="shared" si="448"/>
        <v>1.0139821488193099</v>
      </c>
      <c r="AE285" s="1111">
        <f t="shared" si="430"/>
        <v>2.1480399186289099E-2</v>
      </c>
      <c r="AF285" s="1111">
        <f>SUMIFS(NewEmisData!E:E, NewEmisData!$A:$A, $G285, NewEmisData!$B:$B, $A285, NewEmisData!$C:$C, $H285, NewEmisData!$D:$D, AF$6)</f>
        <v>2.1480399186289099E-2</v>
      </c>
      <c r="AG285" s="1111">
        <f>SUMIFS(NewEmisData!F:F, NewEmisData!$A:$A, $G285, NewEmisData!$B:$B, $A285, NewEmisData!$C:$C, $H285, NewEmisData!$D:$D, AG$6)</f>
        <v>2.12159707578937E-2</v>
      </c>
      <c r="AH285" s="1111">
        <f>SUMIFS(NewEmisData!G:G, NewEmisData!$A:$A, $G285, NewEmisData!$B:$B, $A285, NewEmisData!$C:$C, $H285, NewEmisData!$D:$D, AH$6)</f>
        <v>1.98447183890453E-2</v>
      </c>
      <c r="AI285" s="1111">
        <f>SUMIFS(NewEmisData!H:H, NewEmisData!$A:$A, $G285, NewEmisData!$B:$B, $A285, NewEmisData!$C:$C, $H285, NewEmisData!$D:$D, AI$6)</f>
        <v>1.9459715058680899E-2</v>
      </c>
      <c r="AJ285" s="1111">
        <f>SUMIFS(NewEmisData!I:I, NewEmisData!$A:$A, $G285, NewEmisData!$B:$B, $A285, NewEmisData!$C:$C, $H285, NewEmisData!$D:$D, AJ$6)</f>
        <v>1.8749491555680699E-2</v>
      </c>
      <c r="AK285" s="1111">
        <f>SUMIFS(NewEmisData!J:J, NewEmisData!$A:$A, $G285, NewEmisData!$B:$B, $A285, NewEmisData!$C:$C, $H285, NewEmisData!$D:$D, AK$6)</f>
        <v>1.8570836872203001E-2</v>
      </c>
      <c r="AL285" s="1111">
        <f>SUMIFS(NewEmisData!K:K, NewEmisData!$A:$A, $G285, NewEmisData!$B:$B, $A285, NewEmisData!$C:$C, $H285, NewEmisData!$D:$D, AL$6)</f>
        <v>1.8528673088893999E-2</v>
      </c>
      <c r="AM285" s="1111">
        <f>SUMIFS(NewEmisData!L:L, NewEmisData!$A:$A, $G285, NewEmisData!$B:$B, $A285, NewEmisData!$C:$C, $H285, NewEmisData!$D:$D, AM$6)</f>
        <v>1.8523329942848499E-2</v>
      </c>
      <c r="AN285" s="1111">
        <f>SUMIFS(NewEmisData!M:M, NewEmisData!$A:$A, $G285, NewEmisData!$B:$B, $A285, NewEmisData!$C:$C, $H285, NewEmisData!$D:$D, AN$6)</f>
        <v>1.85240308404678E-2</v>
      </c>
      <c r="AO285" s="1111">
        <f t="shared" si="431"/>
        <v>1.85240308404678E-2</v>
      </c>
      <c r="AP285" s="1111">
        <f t="shared" si="432"/>
        <v>0.431302480142082</v>
      </c>
      <c r="AQ285" s="1111">
        <f>SUMIFS(NewEmisData!E:E, NewEmisData!$A:$A, $G285, NewEmisData!$B:$B, $A285, NewEmisData!$C:$C, $H285, NewEmisData!$D:$D, AQ$6)</f>
        <v>0.431302480142082</v>
      </c>
      <c r="AR285" s="1111">
        <f>SUMIFS(NewEmisData!F:F, NewEmisData!$A:$A, $G285, NewEmisData!$B:$B, $A285, NewEmisData!$C:$C, $H285, NewEmisData!$D:$D, AR$6)</f>
        <v>0.30380256982536802</v>
      </c>
      <c r="AS285" s="1111">
        <f>SUMIFS(NewEmisData!G:G, NewEmisData!$A:$A, $G285, NewEmisData!$B:$B, $A285, NewEmisData!$C:$C, $H285, NewEmisData!$D:$D, AS$6)</f>
        <v>0.33709491699606497</v>
      </c>
      <c r="AT285" s="1111">
        <f>SUMIFS(NewEmisData!H:H, NewEmisData!$A:$A, $G285, NewEmisData!$B:$B, $A285, NewEmisData!$C:$C, $H285, NewEmisData!$D:$D, AT$6)</f>
        <v>0.33516632877566999</v>
      </c>
      <c r="AU285" s="1111">
        <f>SUMIFS(NewEmisData!I:I, NewEmisData!$A:$A, $G285, NewEmisData!$B:$B, $A285, NewEmisData!$C:$C, $H285, NewEmisData!$D:$D, AU$6)</f>
        <v>0.32912031916096701</v>
      </c>
      <c r="AV285" s="1111">
        <f>SUMIFS(NewEmisData!J:J, NewEmisData!$A:$A, $G285, NewEmisData!$B:$B, $A285, NewEmisData!$C:$C, $H285, NewEmisData!$D:$D, AV$6)</f>
        <v>0.32758501468683399</v>
      </c>
      <c r="AW285" s="1111">
        <f>SUMIFS(NewEmisData!K:K, NewEmisData!$A:$A, $G285, NewEmisData!$B:$B, $A285, NewEmisData!$C:$C, $H285, NewEmisData!$D:$D, AW$6)</f>
        <v>0.32722883547270099</v>
      </c>
      <c r="AX285" s="1111">
        <f>SUMIFS(NewEmisData!L:L, NewEmisData!$A:$A, $G285, NewEmisData!$B:$B, $A285, NewEmisData!$C:$C, $H285, NewEmisData!$D:$D, AX$6)</f>
        <v>0.32719882154575503</v>
      </c>
      <c r="AY285" s="1111">
        <f>SUMIFS(NewEmisData!M:M, NewEmisData!$A:$A, $G285, NewEmisData!$B:$B, $A285, NewEmisData!$C:$C, $H285, NewEmisData!$D:$D, AY$6)</f>
        <v>0.327223389729702</v>
      </c>
      <c r="AZ285" s="1111">
        <f t="shared" si="433"/>
        <v>0.327223389729702</v>
      </c>
      <c r="BA285" s="1111">
        <f t="shared" si="434"/>
        <v>0.17747003545562401</v>
      </c>
      <c r="BB285" s="1111">
        <f>SUMIFS(NewEmisData!E:E, NewEmisData!$A:$A, $G285, NewEmisData!$B:$B, $A285, NewEmisData!$C:$C, $H285, NewEmisData!$D:$D, BB$6)</f>
        <v>0.17747003545562401</v>
      </c>
      <c r="BC285" s="1111">
        <f>SUMIFS(NewEmisData!F:F, NewEmisData!$A:$A, $G285, NewEmisData!$B:$B, $A285, NewEmisData!$C:$C, $H285, NewEmisData!$D:$D, BC$6)</f>
        <v>6.4774980240540195E-2</v>
      </c>
      <c r="BD285" s="1111">
        <f>SUMIFS(NewEmisData!G:G, NewEmisData!$A:$A, $G285, NewEmisData!$B:$B, $A285, NewEmisData!$C:$C, $H285, NewEmisData!$D:$D, BD$6)</f>
        <v>5.2197571243419401E-2</v>
      </c>
      <c r="BE285" s="1111">
        <f>SUMIFS(NewEmisData!H:H, NewEmisData!$A:$A, $G285, NewEmisData!$B:$B, $A285, NewEmisData!$C:$C, $H285, NewEmisData!$D:$D, BE$6)</f>
        <v>5.1709470142354899E-2</v>
      </c>
      <c r="BF285" s="1111">
        <f>SUMIFS(NewEmisData!I:I, NewEmisData!$A:$A, $G285, NewEmisData!$B:$B, $A285, NewEmisData!$C:$C, $H285, NewEmisData!$D:$D, BF$6)</f>
        <v>5.0080554256354597E-2</v>
      </c>
      <c r="BG285" s="1111">
        <f>SUMIFS(NewEmisData!J:J, NewEmisData!$A:$A, $G285, NewEmisData!$B:$B, $A285, NewEmisData!$C:$C, $H285, NewEmisData!$D:$D, BG$6)</f>
        <v>4.9730195246478197E-2</v>
      </c>
      <c r="BH285" s="1111">
        <f>SUMIFS(NewEmisData!K:K, NewEmisData!$A:$A, $G285, NewEmisData!$B:$B, $A285, NewEmisData!$C:$C, $H285, NewEmisData!$D:$D, BH$6)</f>
        <v>4.9636064827908E-2</v>
      </c>
      <c r="BI285" s="1111">
        <f>SUMIFS(NewEmisData!L:L, NewEmisData!$A:$A, $G285, NewEmisData!$B:$B, $A285, NewEmisData!$C:$C, $H285, NewEmisData!$D:$D, BI$6)</f>
        <v>4.96653353802936E-2</v>
      </c>
      <c r="BJ285" s="1111">
        <f>SUMIFS(NewEmisData!M:M, NewEmisData!$A:$A, $G285, NewEmisData!$B:$B, $A285, NewEmisData!$C:$C, $H285, NewEmisData!$D:$D, BJ$6)</f>
        <v>4.9688283166283001E-2</v>
      </c>
      <c r="BK285" s="1111">
        <f t="shared" si="435"/>
        <v>4.9688283166283001E-2</v>
      </c>
      <c r="BL285" s="1111">
        <f t="shared" si="436"/>
        <v>90.191733728878702</v>
      </c>
      <c r="BM285" s="1111">
        <f>SUMIFS(NewEmisData!E:E, NewEmisData!$A:$A, $G285, NewEmisData!$B:$B, $A285, NewEmisData!$C:$C, $H285, NewEmisData!$D:$D, BM$6)</f>
        <v>90.191733728878702</v>
      </c>
      <c r="BN285" s="1111">
        <f>SUMIFS(NewEmisData!F:F, NewEmisData!$A:$A, $G285, NewEmisData!$B:$B, $A285, NewEmisData!$C:$C, $H285, NewEmisData!$D:$D, BN$6)</f>
        <v>57.854593707734402</v>
      </c>
      <c r="BO285" s="1111">
        <f>SUMIFS(NewEmisData!G:G, NewEmisData!$A:$A, $G285, NewEmisData!$B:$B, $A285, NewEmisData!$C:$C, $H285, NewEmisData!$D:$D, BO$6)</f>
        <v>30.439196833936801</v>
      </c>
      <c r="BP285" s="1111">
        <f>SUMIFS(NewEmisData!H:H, NewEmisData!$A:$A, $G285, NewEmisData!$B:$B, $A285, NewEmisData!$C:$C, $H285, NewEmisData!$D:$D, BP$6)</f>
        <v>28.2649013216366</v>
      </c>
      <c r="BQ285" s="1111">
        <f>SUMIFS(NewEmisData!I:I, NewEmisData!$A:$A, $G285, NewEmisData!$B:$B, $A285, NewEmisData!$C:$C, $H285, NewEmisData!$D:$D, BQ$6)</f>
        <v>29.534698697919499</v>
      </c>
      <c r="BR285" s="1111">
        <f>SUMIFS(NewEmisData!J:J, NewEmisData!$A:$A, $G285, NewEmisData!$B:$B, $A285, NewEmisData!$C:$C, $H285, NewEmisData!$D:$D, BR$6)</f>
        <v>30.882451342188901</v>
      </c>
      <c r="BS285" s="1111">
        <f>SUMIFS(NewEmisData!K:K, NewEmisData!$A:$A, $G285, NewEmisData!$B:$B, $A285, NewEmisData!$C:$C, $H285, NewEmisData!$D:$D, BS$6)</f>
        <v>31.2274964250777</v>
      </c>
      <c r="BT285" s="1111">
        <f>SUMIFS(NewEmisData!L:L, NewEmisData!$A:$A, $G285, NewEmisData!$B:$B, $A285, NewEmisData!$C:$C, $H285, NewEmisData!$D:$D, BT$6)</f>
        <v>31.6561745639336</v>
      </c>
      <c r="BU285" s="1111">
        <f>SUMIFS(NewEmisData!M:M, NewEmisData!$A:$A, $G285, NewEmisData!$B:$B, $A285, NewEmisData!$C:$C, $H285, NewEmisData!$D:$D, BU$6)</f>
        <v>31.800591464728001</v>
      </c>
      <c r="BV285" s="1111">
        <f t="shared" si="437"/>
        <v>31.800591464728001</v>
      </c>
      <c r="BW285" s="1111">
        <f t="shared" si="438"/>
        <v>6.1897171455643996</v>
      </c>
      <c r="BX285" s="1111">
        <f>SUMIFS(NewEmisData!E:E, NewEmisData!$A:$A, $G285, NewEmisData!$B:$B, $A285, NewEmisData!$C:$C, $H285, NewEmisData!$D:$D, BX$6)</f>
        <v>6.1897171455643996</v>
      </c>
      <c r="BY285" s="1111">
        <f>SUMIFS(NewEmisData!F:F, NewEmisData!$A:$A, $G285, NewEmisData!$B:$B, $A285, NewEmisData!$C:$C, $H285, NewEmisData!$D:$D, BY$6)</f>
        <v>2.9467128361474</v>
      </c>
      <c r="BZ285" s="1111">
        <f>SUMIFS(NewEmisData!G:G, NewEmisData!$A:$A, $G285, NewEmisData!$B:$B, $A285, NewEmisData!$C:$C, $H285, NewEmisData!$D:$D, BZ$6)</f>
        <v>0.87646546659881797</v>
      </c>
      <c r="CA285" s="1111">
        <f>SUMIFS(NewEmisData!H:H, NewEmisData!$A:$A, $G285, NewEmisData!$B:$B, $A285, NewEmisData!$C:$C, $H285, NewEmisData!$D:$D, CA$6)</f>
        <v>0.63725747288066603</v>
      </c>
      <c r="CB285" s="1111">
        <f>SUMIFS(NewEmisData!I:I, NewEmisData!$A:$A, $G285, NewEmisData!$B:$B, $A285, NewEmisData!$C:$C, $H285, NewEmisData!$D:$D, CB$6)</f>
        <v>0.56209464698364098</v>
      </c>
      <c r="CC285" s="1111">
        <f>SUMIFS(NewEmisData!J:J, NewEmisData!$A:$A, $G285, NewEmisData!$B:$B, $A285, NewEmisData!$C:$C, $H285, NewEmisData!$D:$D, CC$6)</f>
        <v>0.55142425018993102</v>
      </c>
      <c r="CD285" s="1111">
        <f>SUMIFS(NewEmisData!K:K, NewEmisData!$A:$A, $G285, NewEmisData!$B:$B, $A285, NewEmisData!$C:$C, $H285, NewEmisData!$D:$D, CD$6)</f>
        <v>0.54197445474169104</v>
      </c>
      <c r="CE285" s="1111">
        <f>SUMIFS(NewEmisData!L:L, NewEmisData!$A:$A, $G285, NewEmisData!$B:$B, $A285, NewEmisData!$C:$C, $H285, NewEmisData!$D:$D, CE$6)</f>
        <v>0.54705176135937394</v>
      </c>
      <c r="CF285" s="1111">
        <f>SUMIFS(NewEmisData!M:M, NewEmisData!$A:$A, $G285, NewEmisData!$B:$B, $A285, NewEmisData!$C:$C, $H285, NewEmisData!$D:$D, CF$6)</f>
        <v>0.54797129774840603</v>
      </c>
      <c r="CG285" s="1111">
        <f t="shared" si="439"/>
        <v>0.54797129774840603</v>
      </c>
      <c r="CH285" s="1111">
        <f t="shared" si="440"/>
        <v>4.4374916412660802E-2</v>
      </c>
      <c r="CI285" s="1111">
        <f>SUMIFS(NewEmisData!E:E, NewEmisData!$A:$A, $G285, NewEmisData!$B:$B, $A285, NewEmisData!$C:$C, $H285, NewEmisData!$D:$D, CI$6)</f>
        <v>4.4374916412660802E-2</v>
      </c>
      <c r="CJ285" s="1111">
        <f>SUMIFS(NewEmisData!F:F, NewEmisData!$A:$A, $G285, NewEmisData!$B:$B, $A285, NewEmisData!$C:$C, $H285, NewEmisData!$D:$D, CJ$6)</f>
        <v>4.4376196385727797E-2</v>
      </c>
      <c r="CK285" s="1111">
        <f>SUMIFS(NewEmisData!G:G, NewEmisData!$A:$A, $G285, NewEmisData!$B:$B, $A285, NewEmisData!$C:$C, $H285, NewEmisData!$D:$D, CK$6)</f>
        <v>5.2118868523528802E-2</v>
      </c>
      <c r="CL285" s="1111">
        <f>SUMIFS(NewEmisData!H:H, NewEmisData!$A:$A, $G285, NewEmisData!$B:$B, $A285, NewEmisData!$C:$C, $H285, NewEmisData!$D:$D, CL$6)</f>
        <v>5.2132349413666103E-2</v>
      </c>
      <c r="CM285" s="1111">
        <f>SUMIFS(NewEmisData!I:I, NewEmisData!$A:$A, $G285, NewEmisData!$B:$B, $A285, NewEmisData!$C:$C, $H285, NewEmisData!$D:$D, CM$6)</f>
        <v>5.21711043619991E-2</v>
      </c>
      <c r="CN285" s="1111">
        <f>SUMIFS(NewEmisData!J:J, NewEmisData!$A:$A, $G285, NewEmisData!$B:$B, $A285, NewEmisData!$C:$C, $H285, NewEmisData!$D:$D, CN$6)</f>
        <v>5.2181552336128E-2</v>
      </c>
      <c r="CO285" s="1111">
        <f>SUMIFS(NewEmisData!K:K, NewEmisData!$A:$A, $G285, NewEmisData!$B:$B, $A285, NewEmisData!$C:$C, $H285, NewEmisData!$D:$D, CO$6)</f>
        <v>5.21837897669589E-2</v>
      </c>
      <c r="CP285" s="1111">
        <f>SUMIFS(NewEmisData!L:L, NewEmisData!$A:$A, $G285, NewEmisData!$B:$B, $A285, NewEmisData!$C:$C, $H285, NewEmisData!$D:$D, CP$6)</f>
        <v>5.2184377186595597E-2</v>
      </c>
      <c r="CQ285" s="1111">
        <f>SUMIFS(NewEmisData!M:M, NewEmisData!$A:$A, $G285, NewEmisData!$B:$B, $A285, NewEmisData!$C:$C, $H285, NewEmisData!$D:$D, CQ$6)</f>
        <v>5.2184437559851103E-2</v>
      </c>
      <c r="CR285" s="1111">
        <f t="shared" si="441"/>
        <v>5.2184437559851103E-2</v>
      </c>
      <c r="CS285" s="1111">
        <f t="shared" si="442"/>
        <v>0.10324282903592</v>
      </c>
      <c r="CT285" s="1111">
        <f>SUMIFS(NewEmisData!E:E, NewEmisData!$A:$A, $G285, NewEmisData!$B:$B, $A285, NewEmisData!$C:$C, $H285, NewEmisData!$D:$D, CT$6)</f>
        <v>0.10324282903592</v>
      </c>
      <c r="CU285" s="1111">
        <f>SUMIFS(NewEmisData!F:F, NewEmisData!$A:$A, $G285, NewEmisData!$B:$B, $A285, NewEmisData!$C:$C, $H285, NewEmisData!$D:$D, CU$6)</f>
        <v>6.5839025751757901E-2</v>
      </c>
      <c r="CV285" s="1111">
        <f>SUMIFS(NewEmisData!G:G, NewEmisData!$A:$A, $G285, NewEmisData!$B:$B, $A285, NewEmisData!$C:$C, $H285, NewEmisData!$D:$D, CV$6)</f>
        <v>3.3013078185438E-2</v>
      </c>
      <c r="CW285" s="1111">
        <f>SUMIFS(NewEmisData!H:H, NewEmisData!$A:$A, $G285, NewEmisData!$B:$B, $A285, NewEmisData!$C:$C, $H285, NewEmisData!$D:$D, CW$6)</f>
        <v>2.22676216275507E-2</v>
      </c>
      <c r="CX285" s="1111">
        <f>SUMIFS(NewEmisData!I:I, NewEmisData!$A:$A, $G285, NewEmisData!$B:$B, $A285, NewEmisData!$C:$C, $H285, NewEmisData!$D:$D, CX$6)</f>
        <v>1.8691589461130299E-2</v>
      </c>
      <c r="CY285" s="1111">
        <f>SUMIFS(NewEmisData!J:J, NewEmisData!$A:$A, $G285, NewEmisData!$B:$B, $A285, NewEmisData!$C:$C, $H285, NewEmisData!$D:$D, CY$6)</f>
        <v>1.8191418075059002E-2</v>
      </c>
      <c r="CZ285" s="1111">
        <f>SUMIFS(NewEmisData!K:K, NewEmisData!$A:$A, $G285, NewEmisData!$B:$B, $A285, NewEmisData!$C:$C, $H285, NewEmisData!$D:$D, CZ$6)</f>
        <v>1.75998124004558E-2</v>
      </c>
      <c r="DA285" s="1111">
        <f>SUMIFS(NewEmisData!L:L, NewEmisData!$A:$A, $G285, NewEmisData!$B:$B, $A285, NewEmisData!$C:$C, $H285, NewEmisData!$D:$D, DA$6)</f>
        <v>1.77356234724158E-2</v>
      </c>
      <c r="DB285" s="1111">
        <f>SUMIFS(NewEmisData!M:M, NewEmisData!$A:$A, $G285, NewEmisData!$B:$B, $A285, NewEmisData!$C:$C, $H285, NewEmisData!$D:$D, DB$6)</f>
        <v>1.7781712985484099E-2</v>
      </c>
      <c r="DC285" s="1111">
        <f t="shared" si="443"/>
        <v>1.7781712985484099E-2</v>
      </c>
      <c r="DD285" s="1111"/>
      <c r="DE285" s="1111"/>
      <c r="DF285" s="1111"/>
      <c r="DG285" s="1111"/>
      <c r="DH285" s="1111"/>
      <c r="DI285" s="1111"/>
      <c r="DJ285" s="1111"/>
      <c r="DK285" s="1111"/>
      <c r="DL285" s="1111"/>
      <c r="DM285" s="1111"/>
      <c r="DN285" s="1111"/>
      <c r="DO285" s="1111"/>
      <c r="DP285" s="1111"/>
      <c r="DQ285" s="1111"/>
      <c r="DR285" s="1111"/>
      <c r="DS285" s="1111"/>
      <c r="DT285" s="1111"/>
      <c r="DU285" s="1111"/>
      <c r="DV285" s="1111"/>
      <c r="DW285" s="1111"/>
      <c r="DX285" s="1111"/>
      <c r="DY285" s="1111"/>
      <c r="DZ285" s="1111">
        <f t="shared" si="444"/>
        <v>0.34764874845075999</v>
      </c>
      <c r="EA285" s="1111">
        <f>SUMIFS(NewEmisData!E:E, NewEmisData!$A:$A, $G285, NewEmisData!$B:$B, $A285, NewEmisData!$C:$C, $H285, NewEmisData!$D:$D, EA$6)</f>
        <v>0.34764874845075999</v>
      </c>
      <c r="EB285" s="1111">
        <f>SUMIFS(NewEmisData!F:F, NewEmisData!$A:$A, $G285, NewEmisData!$B:$B, $A285, NewEmisData!$C:$C, $H285, NewEmisData!$D:$D, EB$6)</f>
        <v>0.14142715332318501</v>
      </c>
      <c r="EC285" s="1111">
        <f>SUMIFS(NewEmisData!G:G, NewEmisData!$A:$A, $G285, NewEmisData!$B:$B, $A285, NewEmisData!$C:$C, $H285, NewEmisData!$D:$D, EC$6)</f>
        <v>2.8640359201048099E-2</v>
      </c>
      <c r="ED285" s="1111">
        <f>SUMIFS(NewEmisData!H:H, NewEmisData!$A:$A, $G285, NewEmisData!$B:$B, $A285, NewEmisData!$C:$C, $H285, NewEmisData!$D:$D, ED$6)</f>
        <v>2.3851757275478599E-2</v>
      </c>
      <c r="EE285" s="1111">
        <f>SUMIFS(NewEmisData!I:I, NewEmisData!$A:$A, $G285, NewEmisData!$B:$B, $A285, NewEmisData!$C:$C, $H285, NewEmisData!$D:$D, EE$6)</f>
        <v>2.44690782189021E-2</v>
      </c>
      <c r="EF285" s="1111">
        <f>SUMIFS(NewEmisData!J:J, NewEmisData!$A:$A, $G285, NewEmisData!$B:$B, $A285, NewEmisData!$C:$C, $H285, NewEmisData!$D:$D, EF$6)</f>
        <v>2.5450390210075498E-2</v>
      </c>
      <c r="EG285" s="1111">
        <f>SUMIFS(NewEmisData!K:K, NewEmisData!$A:$A, $G285, NewEmisData!$B:$B, $A285, NewEmisData!$C:$C, $H285, NewEmisData!$D:$D, EG$6)</f>
        <v>2.5745715046546401E-2</v>
      </c>
      <c r="EH285" s="1111">
        <f>SUMIFS(NewEmisData!L:L, NewEmisData!$A:$A, $G285, NewEmisData!$B:$B, $A285, NewEmisData!$C:$C, $H285, NewEmisData!$D:$D, EH$6)</f>
        <v>2.6059342938699701E-2</v>
      </c>
      <c r="EI285" s="1111">
        <f>SUMIFS(NewEmisData!M:M, NewEmisData!$A:$A, $G285, NewEmisData!$B:$B, $A285, NewEmisData!$C:$C, $H285, NewEmisData!$D:$D, EI$6)</f>
        <v>2.6160400057414299E-2</v>
      </c>
      <c r="EJ285" s="1111">
        <f t="shared" si="445"/>
        <v>2.6160400057414299E-2</v>
      </c>
      <c r="EK285" s="1111">
        <f t="shared" si="446"/>
        <v>1241.38928176117</v>
      </c>
      <c r="EL285" s="1111">
        <f t="shared" si="343"/>
        <v>1241.38928176117</v>
      </c>
      <c r="EM285" s="1111">
        <f t="shared" si="344"/>
        <v>1226.10777955711</v>
      </c>
      <c r="EN285" s="1111">
        <f t="shared" si="345"/>
        <v>1383.33894651986</v>
      </c>
      <c r="EO285" s="1111">
        <f t="shared" si="346"/>
        <v>1356.5010921445701</v>
      </c>
      <c r="EP285" s="1111">
        <f t="shared" si="347"/>
        <v>1306.9931195674901</v>
      </c>
      <c r="EQ285" s="1111">
        <f t="shared" si="348"/>
        <v>1294.5393575191799</v>
      </c>
      <c r="ER285" s="1111">
        <f t="shared" si="349"/>
        <v>1291.60029261402</v>
      </c>
      <c r="ES285" s="1111">
        <f t="shared" si="350"/>
        <v>1291.22786948009</v>
      </c>
      <c r="ET285" s="1111">
        <f t="shared" si="351"/>
        <v>1291.2762589420699</v>
      </c>
      <c r="EU285" s="1111">
        <f t="shared" si="352"/>
        <v>1291.2762589420699</v>
      </c>
      <c r="EV285" s="1111">
        <f t="shared" si="447"/>
        <v>6.2719490238573599</v>
      </c>
      <c r="EW285" s="1111">
        <f t="shared" si="333"/>
        <v>6.2719490238573599</v>
      </c>
      <c r="EX285" s="1111">
        <f t="shared" si="334"/>
        <v>3.54586562371545</v>
      </c>
      <c r="EY285" s="1111">
        <f t="shared" si="335"/>
        <v>1.5390863619428401</v>
      </c>
      <c r="EZ285" s="1111">
        <f t="shared" si="336"/>
        <v>1.17307553707704</v>
      </c>
      <c r="FA285" s="1111">
        <f t="shared" si="337"/>
        <v>1.0487695492759499</v>
      </c>
      <c r="FB285" s="1111">
        <f t="shared" si="338"/>
        <v>1.0243777697646099</v>
      </c>
      <c r="FC285" s="1111">
        <f t="shared" si="339"/>
        <v>1.01315476025102</v>
      </c>
      <c r="FD285" s="1111">
        <f t="shared" si="340"/>
        <v>1.01368282027686</v>
      </c>
      <c r="FE285" s="1111">
        <f t="shared" si="341"/>
        <v>1.0139821488193099</v>
      </c>
      <c r="FF285" s="1111">
        <f t="shared" si="342"/>
        <v>1.0139821488193099</v>
      </c>
      <c r="FG285" s="1111">
        <f t="shared" si="389"/>
        <v>2.1480399186289099E-2</v>
      </c>
      <c r="FH285" s="1111">
        <f t="shared" si="390"/>
        <v>2.1480399186289099E-2</v>
      </c>
      <c r="FI285" s="1111">
        <f t="shared" si="391"/>
        <v>2.12159707578937E-2</v>
      </c>
      <c r="FJ285" s="1111">
        <f t="shared" si="392"/>
        <v>1.98447183890453E-2</v>
      </c>
      <c r="FK285" s="1111">
        <f t="shared" si="393"/>
        <v>1.9459715058680899E-2</v>
      </c>
      <c r="FL285" s="1111">
        <f t="shared" si="394"/>
        <v>1.8749491555680699E-2</v>
      </c>
      <c r="FM285" s="1111">
        <f t="shared" si="395"/>
        <v>1.8570836872203001E-2</v>
      </c>
      <c r="FN285" s="1111">
        <f t="shared" si="396"/>
        <v>1.8528673088893999E-2</v>
      </c>
      <c r="FO285" s="1111">
        <f t="shared" si="397"/>
        <v>1.8523329942848499E-2</v>
      </c>
      <c r="FP285" s="1111">
        <f t="shared" si="398"/>
        <v>1.85240308404678E-2</v>
      </c>
      <c r="FQ285" s="1111">
        <f t="shared" si="399"/>
        <v>1.85240308404678E-2</v>
      </c>
      <c r="FR285" s="1111">
        <f t="shared" si="449"/>
        <v>0.431302480142082</v>
      </c>
      <c r="FS285" s="1111">
        <f t="shared" si="450"/>
        <v>0.431302480142082</v>
      </c>
      <c r="FT285" s="1111">
        <f t="shared" si="451"/>
        <v>0.30380256982536802</v>
      </c>
      <c r="FU285" s="1111">
        <f t="shared" si="452"/>
        <v>0.33709491699606497</v>
      </c>
      <c r="FV285" s="1111">
        <f t="shared" si="453"/>
        <v>0.33516632877566999</v>
      </c>
      <c r="FW285" s="1111">
        <f t="shared" si="454"/>
        <v>0.32912031916096701</v>
      </c>
      <c r="FX285" s="1111">
        <f t="shared" si="455"/>
        <v>0.32758501468683399</v>
      </c>
      <c r="FY285" s="1111">
        <f t="shared" si="456"/>
        <v>0.32722883547270099</v>
      </c>
      <c r="FZ285" s="1111">
        <f t="shared" si="457"/>
        <v>0.32719882154575503</v>
      </c>
      <c r="GA285" s="1111">
        <f t="shared" si="458"/>
        <v>0.327223389729702</v>
      </c>
      <c r="GB285" s="1111">
        <f t="shared" si="459"/>
        <v>0.327223389729702</v>
      </c>
      <c r="GC285" s="1111">
        <f t="shared" si="353"/>
        <v>0.17747003545562401</v>
      </c>
      <c r="GD285" s="1111">
        <f t="shared" si="354"/>
        <v>0.17747003545562401</v>
      </c>
      <c r="GE285" s="1111">
        <f t="shared" si="355"/>
        <v>6.4774980240540195E-2</v>
      </c>
      <c r="GF285" s="1111">
        <f t="shared" si="356"/>
        <v>5.2197571243419401E-2</v>
      </c>
      <c r="GG285" s="1111">
        <f t="shared" si="357"/>
        <v>5.1709470142354899E-2</v>
      </c>
      <c r="GH285" s="1111">
        <f t="shared" si="358"/>
        <v>5.0080554256354597E-2</v>
      </c>
      <c r="GI285" s="1111">
        <f t="shared" si="359"/>
        <v>4.9730195246478197E-2</v>
      </c>
      <c r="GJ285" s="1111">
        <f t="shared" si="360"/>
        <v>4.9636064827908E-2</v>
      </c>
      <c r="GK285" s="1111">
        <f t="shared" si="361"/>
        <v>4.96653353802936E-2</v>
      </c>
      <c r="GL285" s="1111">
        <f t="shared" si="362"/>
        <v>4.9688283166283001E-2</v>
      </c>
      <c r="GM285" s="1111">
        <f t="shared" si="363"/>
        <v>4.9688283166283001E-2</v>
      </c>
    </row>
    <row r="286" spans="1:195" x14ac:dyDescent="0.2">
      <c r="A286" s="1071" t="s">
        <v>182</v>
      </c>
      <c r="B286" s="1071" t="str">
        <f>Technologies!C166</f>
        <v>THSCNGADV</v>
      </c>
      <c r="C286" s="1071" t="str">
        <f>Technologies!D166</f>
        <v>Heavy Truck, Short Haul, Advanced CNG</v>
      </c>
      <c r="D286" s="1071" t="str">
        <f>NewTech!D112</f>
        <v>bn-vmt, bn-vmt/a</v>
      </c>
      <c r="E286" s="1071" t="str">
        <f>Commodities!C$58</f>
        <v>THCNG</v>
      </c>
      <c r="F286" s="1071" t="s">
        <v>98</v>
      </c>
      <c r="G286" s="1110" t="s">
        <v>505</v>
      </c>
      <c r="H286" s="1110" t="s">
        <v>500</v>
      </c>
      <c r="I286" s="1112">
        <v>1</v>
      </c>
      <c r="J286" s="1111" t="str">
        <f t="shared" si="302"/>
        <v>Heavy duty short haul truck-GSL</v>
      </c>
      <c r="K286" s="1111">
        <f>SUMIFS(NewEmisData!E:E, NewEmisData!$A:$A, $G286, NewEmisData!$B:$B, $A286, NewEmisData!$C:$C, $H286, NewEmisData!$D:$D, K$6)</f>
        <v>1261.7193045716699</v>
      </c>
      <c r="L286" s="1111">
        <f>SUMIFS(NewEmisData!F:F, NewEmisData!$A:$A, $G286, NewEmisData!$B:$B, $A286, NewEmisData!$C:$C, $H286, NewEmisData!$D:$D, L$6)</f>
        <v>1249.12075772399</v>
      </c>
      <c r="M286" s="1111">
        <f>SUMIFS(NewEmisData!G:G, NewEmisData!$A:$A, $G286, NewEmisData!$B:$B, $A286, NewEmisData!$C:$C, $H286, NewEmisData!$D:$D, M$6)</f>
        <v>1645.5452306145801</v>
      </c>
      <c r="N286" s="1111">
        <f>SUMIFS(NewEmisData!H:H, NewEmisData!$A:$A, $G286, NewEmisData!$B:$B, $A286, NewEmisData!$C:$C, $H286, NewEmisData!$D:$D, N$6)</f>
        <v>1615.5067230397001</v>
      </c>
      <c r="O286" s="1111">
        <f>SUMIFS(NewEmisData!I:I, NewEmisData!$A:$A, $G286, NewEmisData!$B:$B, $A286, NewEmisData!$C:$C, $H286, NewEmisData!$D:$D, O$6)</f>
        <v>1561.96512576184</v>
      </c>
      <c r="P286" s="1111">
        <f>SUMIFS(NewEmisData!J:J, NewEmisData!$A:$A, $G286, NewEmisData!$B:$B, $A286, NewEmisData!$C:$C, $H286, NewEmisData!$D:$D, P$6)</f>
        <v>1548.35062809069</v>
      </c>
      <c r="Q286" s="1111">
        <f>SUMIFS(NewEmisData!K:K, NewEmisData!$A:$A, $G286, NewEmisData!$B:$B, $A286, NewEmisData!$C:$C, $H286, NewEmisData!$D:$D, Q$6)</f>
        <v>1545.11245308096</v>
      </c>
      <c r="R286" s="1111">
        <f>SUMIFS(NewEmisData!L:L, NewEmisData!$A:$A, $G286, NewEmisData!$B:$B, $A286, NewEmisData!$C:$C, $H286, NewEmisData!$D:$D, R$6)</f>
        <v>1544.5579062120401</v>
      </c>
      <c r="S286" s="1111">
        <f>SUMIFS(NewEmisData!M:M, NewEmisData!$A:$A, $G286, NewEmisData!$B:$B, $A286, NewEmisData!$C:$C, $H286, NewEmisData!$D:$D, S$6)</f>
        <v>1544.55231111378</v>
      </c>
      <c r="T286" s="1111">
        <f t="shared" si="364"/>
        <v>1544.55231111378</v>
      </c>
      <c r="U286" s="1111">
        <f>SUMIFS(NewEmisData!E:E, NewEmisData!$A:$A, $G286, NewEmisData!$B:$B, $A286, NewEmisData!$C:$C, $H286, NewEmisData!$D:$D, U$6)</f>
        <v>5.0421157380649202</v>
      </c>
      <c r="V286" s="1111">
        <f>SUMIFS(NewEmisData!F:F, NewEmisData!$A:$A, $G286, NewEmisData!$B:$B, $A286, NewEmisData!$C:$C, $H286, NewEmisData!$D:$D, V$6)</f>
        <v>2.6891275593082402</v>
      </c>
      <c r="W286" s="1111">
        <f>SUMIFS(NewEmisData!G:G, NewEmisData!$A:$A, $G286, NewEmisData!$B:$B, $A286, NewEmisData!$C:$C, $H286, NewEmisData!$D:$D, W$6)</f>
        <v>1.59672970269866</v>
      </c>
      <c r="X286" s="1111">
        <f>SUMIFS(NewEmisData!H:H, NewEmisData!$A:$A, $G286, NewEmisData!$B:$B, $A286, NewEmisData!$C:$C, $H286, NewEmisData!$D:$D, X$6)</f>
        <v>1.2533988169049</v>
      </c>
      <c r="Y286" s="1111">
        <f>SUMIFS(NewEmisData!I:I, NewEmisData!$A:$A, $G286, NewEmisData!$B:$B, $A286, NewEmisData!$C:$C, $H286, NewEmisData!$D:$D, Y$6)</f>
        <v>1.1377603861924299</v>
      </c>
      <c r="Z286" s="1111">
        <f>SUMIFS(NewEmisData!J:J, NewEmisData!$A:$A, $G286, NewEmisData!$B:$B, $A286, NewEmisData!$C:$C, $H286, NewEmisData!$D:$D, Z$6)</f>
        <v>1.11657517091755</v>
      </c>
      <c r="AA286" s="1111">
        <f>SUMIFS(NewEmisData!K:K, NewEmisData!$A:$A, $G286, NewEmisData!$B:$B, $A286, NewEmisData!$C:$C, $H286, NewEmisData!$D:$D, AA$6)</f>
        <v>1.10785037464988</v>
      </c>
      <c r="AB286" s="1111">
        <f>SUMIFS(NewEmisData!L:L, NewEmisData!$A:$A, $G286, NewEmisData!$B:$B, $A286, NewEmisData!$C:$C, $H286, NewEmisData!$D:$D, AB$6)</f>
        <v>1.10808970467776</v>
      </c>
      <c r="AC286" s="1111">
        <f>SUMIFS(NewEmisData!M:M, NewEmisData!$A:$A, $G286, NewEmisData!$B:$B, $A286, NewEmisData!$C:$C, $H286, NewEmisData!$D:$D, AC$6)</f>
        <v>1.10829058082377</v>
      </c>
      <c r="AD286" s="1111">
        <f t="shared" si="448"/>
        <v>1.10829058082377</v>
      </c>
      <c r="AE286" s="1111">
        <f t="shared" si="430"/>
        <v>2.18321680952577E-2</v>
      </c>
      <c r="AF286" s="1111">
        <f>SUMIFS(NewEmisData!E:E, NewEmisData!$A:$A, $G286, NewEmisData!$B:$B, $A286, NewEmisData!$C:$C, $H286, NewEmisData!$D:$D, AF$6)</f>
        <v>2.18321680952577E-2</v>
      </c>
      <c r="AG286" s="1111">
        <f>SUMIFS(NewEmisData!F:F, NewEmisData!$A:$A, $G286, NewEmisData!$B:$B, $A286, NewEmisData!$C:$C, $H286, NewEmisData!$D:$D, AG$6)</f>
        <v>2.1614175028351099E-2</v>
      </c>
      <c r="AH286" s="1111">
        <f>SUMIFS(NewEmisData!G:G, NewEmisData!$A:$A, $G286, NewEmisData!$B:$B, $A286, NewEmisData!$C:$C, $H286, NewEmisData!$D:$D, AH$6)</f>
        <v>2.3606201662977298E-2</v>
      </c>
      <c r="AI286" s="1111">
        <f>SUMIFS(NewEmisData!H:H, NewEmisData!$A:$A, $G286, NewEmisData!$B:$B, $A286, NewEmisData!$C:$C, $H286, NewEmisData!$D:$D, AI$6)</f>
        <v>2.3175292056127901E-2</v>
      </c>
      <c r="AJ286" s="1111">
        <f>SUMIFS(NewEmisData!I:I, NewEmisData!$A:$A, $G286, NewEmisData!$B:$B, $A286, NewEmisData!$C:$C, $H286, NewEmisData!$D:$D, AJ$6)</f>
        <v>2.2407191257778802E-2</v>
      </c>
      <c r="AK286" s="1111">
        <f>SUMIFS(NewEmisData!J:J, NewEmisData!$A:$A, $G286, NewEmisData!$B:$B, $A286, NewEmisData!$C:$C, $H286, NewEmisData!$D:$D, AK$6)</f>
        <v>2.2211896644643399E-2</v>
      </c>
      <c r="AL286" s="1111">
        <f>SUMIFS(NewEmisData!K:K, NewEmisData!$A:$A, $G286, NewEmisData!$B:$B, $A286, NewEmisData!$C:$C, $H286, NewEmisData!$D:$D, AL$6)</f>
        <v>2.21654317430676E-2</v>
      </c>
      <c r="AM286" s="1111">
        <f>SUMIFS(NewEmisData!L:L, NewEmisData!$A:$A, $G286, NewEmisData!$B:$B, $A286, NewEmisData!$C:$C, $H286, NewEmisData!$D:$D, AM$6)</f>
        <v>2.21574783013113E-2</v>
      </c>
      <c r="AN286" s="1111">
        <f>SUMIFS(NewEmisData!M:M, NewEmisData!$A:$A, $G286, NewEmisData!$B:$B, $A286, NewEmisData!$C:$C, $H286, NewEmisData!$D:$D, AN$6)</f>
        <v>2.21574091915673E-2</v>
      </c>
      <c r="AO286" s="1111">
        <f t="shared" si="431"/>
        <v>2.21574091915673E-2</v>
      </c>
      <c r="AP286" s="1111">
        <f t="shared" si="432"/>
        <v>0.37498220674272298</v>
      </c>
      <c r="AQ286" s="1111">
        <f>SUMIFS(NewEmisData!E:E, NewEmisData!$A:$A, $G286, NewEmisData!$B:$B, $A286, NewEmisData!$C:$C, $H286, NewEmisData!$D:$D, AQ$6)</f>
        <v>0.37498220674272298</v>
      </c>
      <c r="AR286" s="1111">
        <f>SUMIFS(NewEmisData!F:F, NewEmisData!$A:$A, $G286, NewEmisData!$B:$B, $A286, NewEmisData!$C:$C, $H286, NewEmisData!$D:$D, AR$6)</f>
        <v>0.30800096091118401</v>
      </c>
      <c r="AS286" s="1111">
        <f>SUMIFS(NewEmisData!G:G, NewEmisData!$A:$A, $G286, NewEmisData!$B:$B, $A286, NewEmisData!$C:$C, $H286, NewEmisData!$D:$D, AS$6)</f>
        <v>0.47876990917977102</v>
      </c>
      <c r="AT286" s="1111">
        <f>SUMIFS(NewEmisData!H:H, NewEmisData!$A:$A, $G286, NewEmisData!$B:$B, $A286, NewEmisData!$C:$C, $H286, NewEmisData!$D:$D, AT$6)</f>
        <v>0.47474601446343401</v>
      </c>
      <c r="AU286" s="1111">
        <f>SUMIFS(NewEmisData!I:I, NewEmisData!$A:$A, $G286, NewEmisData!$B:$B, $A286, NewEmisData!$C:$C, $H286, NewEmisData!$D:$D, AU$6)</f>
        <v>0.462592935753106</v>
      </c>
      <c r="AV286" s="1111">
        <f>SUMIFS(NewEmisData!J:J, NewEmisData!$A:$A, $G286, NewEmisData!$B:$B, $A286, NewEmisData!$C:$C, $H286, NewEmisData!$D:$D, AV$6)</f>
        <v>0.45943594701357998</v>
      </c>
      <c r="AW286" s="1111">
        <f>SUMIFS(NewEmisData!K:K, NewEmisData!$A:$A, $G286, NewEmisData!$B:$B, $A286, NewEmisData!$C:$C, $H286, NewEmisData!$D:$D, AW$6)</f>
        <v>0.45873466896290599</v>
      </c>
      <c r="AX286" s="1111">
        <f>SUMIFS(NewEmisData!L:L, NewEmisData!$A:$A, $G286, NewEmisData!$B:$B, $A286, NewEmisData!$C:$C, $H286, NewEmisData!$D:$D, AX$6)</f>
        <v>0.45859669819349802</v>
      </c>
      <c r="AY286" s="1111">
        <f>SUMIFS(NewEmisData!M:M, NewEmisData!$A:$A, $G286, NewEmisData!$B:$B, $A286, NewEmisData!$C:$C, $H286, NewEmisData!$D:$D, AY$6)</f>
        <v>0.458612118231494</v>
      </c>
      <c r="AZ286" s="1111">
        <f t="shared" si="433"/>
        <v>0.458612118231494</v>
      </c>
      <c r="BA286" s="1111">
        <f t="shared" si="434"/>
        <v>0.110253629274602</v>
      </c>
      <c r="BB286" s="1111">
        <f>SUMIFS(NewEmisData!E:E, NewEmisData!$A:$A, $G286, NewEmisData!$B:$B, $A286, NewEmisData!$C:$C, $H286, NewEmisData!$D:$D, BB$6)</f>
        <v>0.110253629274602</v>
      </c>
      <c r="BC286" s="1111">
        <f>SUMIFS(NewEmisData!F:F, NewEmisData!$A:$A, $G286, NewEmisData!$B:$B, $A286, NewEmisData!$C:$C, $H286, NewEmisData!$D:$D, BC$6)</f>
        <v>5.10415619775157E-2</v>
      </c>
      <c r="BD286" s="1111">
        <f>SUMIFS(NewEmisData!G:G, NewEmisData!$A:$A, $G286, NewEmisData!$B:$B, $A286, NewEmisData!$C:$C, $H286, NewEmisData!$D:$D, BD$6)</f>
        <v>6.9684988099320805E-2</v>
      </c>
      <c r="BE286" s="1111">
        <f>SUMIFS(NewEmisData!H:H, NewEmisData!$A:$A, $G286, NewEmisData!$B:$B, $A286, NewEmisData!$C:$C, $H286, NewEmisData!$D:$D, BE$6)</f>
        <v>6.9040658676098196E-2</v>
      </c>
      <c r="BF286" s="1111">
        <f>SUMIFS(NewEmisData!I:I, NewEmisData!$A:$A, $G286, NewEmisData!$B:$B, $A286, NewEmisData!$C:$C, $H286, NewEmisData!$D:$D, BF$6)</f>
        <v>6.6765177638673803E-2</v>
      </c>
      <c r="BG286" s="1111">
        <f>SUMIFS(NewEmisData!J:J, NewEmisData!$A:$A, $G286, NewEmisData!$B:$B, $A286, NewEmisData!$C:$C, $H286, NewEmisData!$D:$D, BG$6)</f>
        <v>6.6229434848786198E-2</v>
      </c>
      <c r="BH286" s="1111">
        <f>SUMIFS(NewEmisData!K:K, NewEmisData!$A:$A, $G286, NewEmisData!$B:$B, $A286, NewEmisData!$C:$C, $H286, NewEmisData!$D:$D, BH$6)</f>
        <v>6.6102443905475594E-2</v>
      </c>
      <c r="BI286" s="1111">
        <f>SUMIFS(NewEmisData!L:L, NewEmisData!$A:$A, $G286, NewEmisData!$B:$B, $A286, NewEmisData!$C:$C, $H286, NewEmisData!$D:$D, BI$6)</f>
        <v>6.6105381584131498E-2</v>
      </c>
      <c r="BJ286" s="1111">
        <f>SUMIFS(NewEmisData!M:M, NewEmisData!$A:$A, $G286, NewEmisData!$B:$B, $A286, NewEmisData!$C:$C, $H286, NewEmisData!$D:$D, BJ$6)</f>
        <v>6.6121307340381005E-2</v>
      </c>
      <c r="BK286" s="1111">
        <f t="shared" si="435"/>
        <v>6.6121307340381005E-2</v>
      </c>
      <c r="BL286" s="1111">
        <f t="shared" si="436"/>
        <v>58.234105162975901</v>
      </c>
      <c r="BM286" s="1111">
        <f>SUMIFS(NewEmisData!E:E, NewEmisData!$A:$A, $G286, NewEmisData!$B:$B, $A286, NewEmisData!$C:$C, $H286, NewEmisData!$D:$D, BM$6)</f>
        <v>58.234105162975901</v>
      </c>
      <c r="BN286" s="1111">
        <f>SUMIFS(NewEmisData!F:F, NewEmisData!$A:$A, $G286, NewEmisData!$B:$B, $A286, NewEmisData!$C:$C, $H286, NewEmisData!$D:$D, BN$6)</f>
        <v>33.622567193752097</v>
      </c>
      <c r="BO286" s="1111">
        <f>SUMIFS(NewEmisData!G:G, NewEmisData!$A:$A, $G286, NewEmisData!$B:$B, $A286, NewEmisData!$C:$C, $H286, NewEmisData!$D:$D, BO$6)</f>
        <v>22.365559009141499</v>
      </c>
      <c r="BP286" s="1111">
        <f>SUMIFS(NewEmisData!H:H, NewEmisData!$A:$A, $G286, NewEmisData!$B:$B, $A286, NewEmisData!$C:$C, $H286, NewEmisData!$D:$D, BP$6)</f>
        <v>20.003128322257201</v>
      </c>
      <c r="BQ286" s="1111">
        <f>SUMIFS(NewEmisData!I:I, NewEmisData!$A:$A, $G286, NewEmisData!$B:$B, $A286, NewEmisData!$C:$C, $H286, NewEmisData!$D:$D, BQ$6)</f>
        <v>20.195447260462402</v>
      </c>
      <c r="BR286" s="1111">
        <f>SUMIFS(NewEmisData!J:J, NewEmisData!$A:$A, $G286, NewEmisData!$B:$B, $A286, NewEmisData!$C:$C, $H286, NewEmisData!$D:$D, BR$6)</f>
        <v>20.8243673392587</v>
      </c>
      <c r="BS286" s="1111">
        <f>SUMIFS(NewEmisData!K:K, NewEmisData!$A:$A, $G286, NewEmisData!$B:$B, $A286, NewEmisData!$C:$C, $H286, NewEmisData!$D:$D, BS$6)</f>
        <v>20.9804766424047</v>
      </c>
      <c r="BT286" s="1111">
        <f>SUMIFS(NewEmisData!L:L, NewEmisData!$A:$A, $G286, NewEmisData!$B:$B, $A286, NewEmisData!$C:$C, $H286, NewEmisData!$D:$D, BT$6)</f>
        <v>21.2133429593407</v>
      </c>
      <c r="BU286" s="1111">
        <f>SUMIFS(NewEmisData!M:M, NewEmisData!$A:$A, $G286, NewEmisData!$B:$B, $A286, NewEmisData!$C:$C, $H286, NewEmisData!$D:$D, BU$6)</f>
        <v>21.2954024378494</v>
      </c>
      <c r="BV286" s="1111">
        <f t="shared" si="437"/>
        <v>21.2954024378494</v>
      </c>
      <c r="BW286" s="1111">
        <f t="shared" si="438"/>
        <v>3.64761393243701</v>
      </c>
      <c r="BX286" s="1111">
        <f>SUMIFS(NewEmisData!E:E, NewEmisData!$A:$A, $G286, NewEmisData!$B:$B, $A286, NewEmisData!$C:$C, $H286, NewEmisData!$D:$D, BX$6)</f>
        <v>3.64761393243701</v>
      </c>
      <c r="BY286" s="1111">
        <f>SUMIFS(NewEmisData!F:F, NewEmisData!$A:$A, $G286, NewEmisData!$B:$B, $A286, NewEmisData!$C:$C, $H286, NewEmisData!$D:$D, BY$6)</f>
        <v>1.49818839927699</v>
      </c>
      <c r="BZ286" s="1111">
        <f>SUMIFS(NewEmisData!G:G, NewEmisData!$A:$A, $G286, NewEmisData!$B:$B, $A286, NewEmisData!$C:$C, $H286, NewEmisData!$D:$D, BZ$6)</f>
        <v>0.86599323443475895</v>
      </c>
      <c r="CA286" s="1111">
        <f>SUMIFS(NewEmisData!H:H, NewEmisData!$A:$A, $G286, NewEmisData!$B:$B, $A286, NewEmisData!$C:$C, $H286, NewEmisData!$D:$D, CA$6)</f>
        <v>0.66124009173105702</v>
      </c>
      <c r="CB286" s="1111">
        <f>SUMIFS(NewEmisData!I:I, NewEmisData!$A:$A, $G286, NewEmisData!$B:$B, $A286, NewEmisData!$C:$C, $H286, NewEmisData!$D:$D, CB$6)</f>
        <v>0.59061098160806302</v>
      </c>
      <c r="CC286" s="1111">
        <f>SUMIFS(NewEmisData!J:J, NewEmisData!$A:$A, $G286, NewEmisData!$B:$B, $A286, NewEmisData!$C:$C, $H286, NewEmisData!$D:$D, CC$6)</f>
        <v>0.58137460363365601</v>
      </c>
      <c r="CD286" s="1111">
        <f>SUMIFS(NewEmisData!K:K, NewEmisData!$A:$A, $G286, NewEmisData!$B:$B, $A286, NewEmisData!$C:$C, $H286, NewEmisData!$D:$D, CD$6)</f>
        <v>0.57503033366723</v>
      </c>
      <c r="CE286" s="1111">
        <f>SUMIFS(NewEmisData!L:L, NewEmisData!$A:$A, $G286, NewEmisData!$B:$B, $A286, NewEmisData!$C:$C, $H286, NewEmisData!$D:$D, CE$6)</f>
        <v>0.578080207454851</v>
      </c>
      <c r="CF286" s="1111">
        <f>SUMIFS(NewEmisData!M:M, NewEmisData!$A:$A, $G286, NewEmisData!$B:$B, $A286, NewEmisData!$C:$C, $H286, NewEmisData!$D:$D, CF$6)</f>
        <v>0.57875611374779701</v>
      </c>
      <c r="CG286" s="1111">
        <f t="shared" si="439"/>
        <v>0.57875611374779701</v>
      </c>
      <c r="CH286" s="1111">
        <f t="shared" si="440"/>
        <v>4.5387333445833802E-2</v>
      </c>
      <c r="CI286" s="1111">
        <f>SUMIFS(NewEmisData!E:E, NewEmisData!$A:$A, $G286, NewEmisData!$B:$B, $A286, NewEmisData!$C:$C, $H286, NewEmisData!$D:$D, CI$6)</f>
        <v>4.5387333445833802E-2</v>
      </c>
      <c r="CJ286" s="1111">
        <f>SUMIFS(NewEmisData!F:F, NewEmisData!$A:$A, $G286, NewEmisData!$B:$B, $A286, NewEmisData!$C:$C, $H286, NewEmisData!$D:$D, CJ$6)</f>
        <v>4.5385137405685602E-2</v>
      </c>
      <c r="CK286" s="1111">
        <f>SUMIFS(NewEmisData!G:G, NewEmisData!$A:$A, $G286, NewEmisData!$B:$B, $A286, NewEmisData!$C:$C, $H286, NewEmisData!$D:$D, CK$6)</f>
        <v>6.2585802863492496E-2</v>
      </c>
      <c r="CL286" s="1111">
        <f>SUMIFS(NewEmisData!H:H, NewEmisData!$A:$A, $G286, NewEmisData!$B:$B, $A286, NewEmisData!$C:$C, $H286, NewEmisData!$D:$D, CL$6)</f>
        <v>6.2570457425533493E-2</v>
      </c>
      <c r="CM286" s="1111">
        <f>SUMIFS(NewEmisData!I:I, NewEmisData!$A:$A, $G286, NewEmisData!$B:$B, $A286, NewEmisData!$C:$C, $H286, NewEmisData!$D:$D, CM$6)</f>
        <v>6.2526825017837198E-2</v>
      </c>
      <c r="CN286" s="1111">
        <f>SUMIFS(NewEmisData!J:J, NewEmisData!$A:$A, $G286, NewEmisData!$B:$B, $A286, NewEmisData!$C:$C, $H286, NewEmisData!$D:$D, CN$6)</f>
        <v>6.2515199827795506E-2</v>
      </c>
      <c r="CO286" s="1111">
        <f>SUMIFS(NewEmisData!K:K, NewEmisData!$A:$A, $G286, NewEmisData!$B:$B, $A286, NewEmisData!$C:$C, $H286, NewEmisData!$D:$D, CO$6)</f>
        <v>6.2512659799535894E-2</v>
      </c>
      <c r="CP286" s="1111">
        <f>SUMIFS(NewEmisData!L:L, NewEmisData!$A:$A, $G286, NewEmisData!$B:$B, $A286, NewEmisData!$C:$C, $H286, NewEmisData!$D:$D, CP$6)</f>
        <v>6.2511995706699006E-2</v>
      </c>
      <c r="CQ286" s="1111">
        <f>SUMIFS(NewEmisData!M:M, NewEmisData!$A:$A, $G286, NewEmisData!$B:$B, $A286, NewEmisData!$C:$C, $H286, NewEmisData!$D:$D, CQ$6)</f>
        <v>6.2512032461297801E-2</v>
      </c>
      <c r="CR286" s="1111">
        <f t="shared" si="441"/>
        <v>6.2512032461297801E-2</v>
      </c>
      <c r="CS286" s="1111">
        <f t="shared" si="442"/>
        <v>7.45806670433007E-2</v>
      </c>
      <c r="CT286" s="1111">
        <f>SUMIFS(NewEmisData!E:E, NewEmisData!$A:$A, $G286, NewEmisData!$B:$B, $A286, NewEmisData!$C:$C, $H286, NewEmisData!$D:$D, CT$6)</f>
        <v>7.45806670433007E-2</v>
      </c>
      <c r="CU286" s="1111">
        <f>SUMIFS(NewEmisData!F:F, NewEmisData!$A:$A, $G286, NewEmisData!$B:$B, $A286, NewEmisData!$C:$C, $H286, NewEmisData!$D:$D, CU$6)</f>
        <v>4.11694236212614E-2</v>
      </c>
      <c r="CV286" s="1111">
        <f>SUMIFS(NewEmisData!G:G, NewEmisData!$A:$A, $G286, NewEmisData!$B:$B, $A286, NewEmisData!$C:$C, $H286, NewEmisData!$D:$D, CV$6)</f>
        <v>2.8985978458602801E-2</v>
      </c>
      <c r="CW286" s="1111">
        <f>SUMIFS(NewEmisData!H:H, NewEmisData!$A:$A, $G286, NewEmisData!$B:$B, $A286, NewEmisData!$C:$C, $H286, NewEmisData!$D:$D, CW$6)</f>
        <v>2.0012914871466302E-2</v>
      </c>
      <c r="CX286" s="1111">
        <f>SUMIFS(NewEmisData!I:I, NewEmisData!$A:$A, $G286, NewEmisData!$B:$B, $A286, NewEmisData!$C:$C, $H286, NewEmisData!$D:$D, CX$6)</f>
        <v>1.70994949062814E-2</v>
      </c>
      <c r="CY286" s="1111">
        <f>SUMIFS(NewEmisData!J:J, NewEmisData!$A:$A, $G286, NewEmisData!$B:$B, $A286, NewEmisData!$C:$C, $H286, NewEmisData!$D:$D, CY$6)</f>
        <v>1.6621401634368399E-2</v>
      </c>
      <c r="CZ286" s="1111">
        <f>SUMIFS(NewEmisData!K:K, NewEmisData!$A:$A, $G286, NewEmisData!$B:$B, $A286, NewEmisData!$C:$C, $H286, NewEmisData!$D:$D, CZ$6)</f>
        <v>1.62276934153717E-2</v>
      </c>
      <c r="DA286" s="1111">
        <f>SUMIFS(NewEmisData!L:L, NewEmisData!$A:$A, $G286, NewEmisData!$B:$B, $A286, NewEmisData!$C:$C, $H286, NewEmisData!$D:$D, DA$6)</f>
        <v>1.6300252431035001E-2</v>
      </c>
      <c r="DB286" s="1111">
        <f>SUMIFS(NewEmisData!M:M, NewEmisData!$A:$A, $G286, NewEmisData!$B:$B, $A286, NewEmisData!$C:$C, $H286, NewEmisData!$D:$D, DB$6)</f>
        <v>1.6326186183154599E-2</v>
      </c>
      <c r="DC286" s="1111">
        <f t="shared" si="443"/>
        <v>1.6326186183154599E-2</v>
      </c>
      <c r="DD286" s="1111">
        <v>8.4618435807310901E-3</v>
      </c>
      <c r="DE286" s="1111">
        <v>5.582477734601141E-3</v>
      </c>
      <c r="DF286" s="1111">
        <v>3.3037857638444934E-3</v>
      </c>
      <c r="DG286" s="1111">
        <v>2.7435421434771584E-3</v>
      </c>
      <c r="DH286" s="1111">
        <v>2.6596327326652057E-3</v>
      </c>
      <c r="DI286" s="1111">
        <v>2.6810534446588602E-3</v>
      </c>
      <c r="DJ286" s="1111">
        <v>2.68992317602929E-3</v>
      </c>
      <c r="DK286" s="1111">
        <v>2.6843011275704282E-3</v>
      </c>
      <c r="DL286" s="1111">
        <v>2.693521842385466E-3</v>
      </c>
      <c r="DM286" s="1111">
        <v>2.7034957820921053E-3</v>
      </c>
      <c r="DN286" s="1111">
        <v>2.7034957820921053E-3</v>
      </c>
      <c r="DO286" s="1111">
        <v>2.733686553814714E-2</v>
      </c>
      <c r="DP286" s="1111">
        <v>1.8332271788011459E-2</v>
      </c>
      <c r="DQ286" s="1111">
        <v>1.0522373499872563E-2</v>
      </c>
      <c r="DR286" s="1111">
        <v>8.2106858583474232E-3</v>
      </c>
      <c r="DS286" s="1111">
        <v>8.1464823839333782E-3</v>
      </c>
      <c r="DT286" s="1111">
        <v>8.1548441301475764E-3</v>
      </c>
      <c r="DU286" s="1111">
        <v>8.1625855885729438E-3</v>
      </c>
      <c r="DV286" s="1111">
        <v>8.1414389894490409E-3</v>
      </c>
      <c r="DW286" s="1111">
        <v>8.1579958309337917E-3</v>
      </c>
      <c r="DX286" s="1111">
        <v>8.1758856290748885E-3</v>
      </c>
      <c r="DY286" s="1111">
        <v>8.1758856290748885E-3</v>
      </c>
      <c r="DZ286" s="1111">
        <f t="shared" si="444"/>
        <v>0.17782774655845099</v>
      </c>
      <c r="EA286" s="1111">
        <f>SUMIFS(NewEmisData!E:E, NewEmisData!$A:$A, $G286, NewEmisData!$B:$B, $A286, NewEmisData!$C:$C, $H286, NewEmisData!$D:$D, EA$6)</f>
        <v>0.17782774655845099</v>
      </c>
      <c r="EB286" s="1111">
        <f>SUMIFS(NewEmisData!F:F, NewEmisData!$A:$A, $G286, NewEmisData!$B:$B, $A286, NewEmisData!$C:$C, $H286, NewEmisData!$D:$D, EB$6)</f>
        <v>4.9445543705968001E-2</v>
      </c>
      <c r="EC286" s="1111">
        <f>SUMIFS(NewEmisData!G:G, NewEmisData!$A:$A, $G286, NewEmisData!$B:$B, $A286, NewEmisData!$C:$C, $H286, NewEmisData!$D:$D, EC$6)</f>
        <v>2.14914790323418E-2</v>
      </c>
      <c r="ED286" s="1111">
        <f>SUMIFS(NewEmisData!H:H, NewEmisData!$A:$A, $G286, NewEmisData!$B:$B, $A286, NewEmisData!$C:$C, $H286, NewEmisData!$D:$D, ED$6)</f>
        <v>1.74631086819735E-2</v>
      </c>
      <c r="EE286" s="1111">
        <f>SUMIFS(NewEmisData!I:I, NewEmisData!$A:$A, $G286, NewEmisData!$B:$B, $A286, NewEmisData!$C:$C, $H286, NewEmisData!$D:$D, EE$6)</f>
        <v>1.7306502140019699E-2</v>
      </c>
      <c r="EF286" s="1111">
        <f>SUMIFS(NewEmisData!J:J, NewEmisData!$A:$A, $G286, NewEmisData!$B:$B, $A286, NewEmisData!$C:$C, $H286, NewEmisData!$D:$D, EF$6)</f>
        <v>1.77413796860907E-2</v>
      </c>
      <c r="EG286" s="1111">
        <f>SUMIFS(NewEmisData!K:K, NewEmisData!$A:$A, $G286, NewEmisData!$B:$B, $A286, NewEmisData!$C:$C, $H286, NewEmisData!$D:$D, EG$6)</f>
        <v>1.7873917726394802E-2</v>
      </c>
      <c r="EH286" s="1111">
        <f>SUMIFS(NewEmisData!L:L, NewEmisData!$A:$A, $G286, NewEmisData!$B:$B, $A286, NewEmisData!$C:$C, $H286, NewEmisData!$D:$D, EH$6)</f>
        <v>1.8044608652160399E-2</v>
      </c>
      <c r="EI286" s="1111">
        <f>SUMIFS(NewEmisData!M:M, NewEmisData!$A:$A, $G286, NewEmisData!$B:$B, $A286, NewEmisData!$C:$C, $H286, NewEmisData!$D:$D, EI$6)</f>
        <v>1.8102357634055401E-2</v>
      </c>
      <c r="EJ286" s="1111">
        <f t="shared" si="445"/>
        <v>1.8102357634055401E-2</v>
      </c>
      <c r="EK286" s="1111">
        <f t="shared" si="446"/>
        <v>1261.7193045716699</v>
      </c>
      <c r="EL286" s="1111">
        <f t="shared" si="343"/>
        <v>1261.7193045716699</v>
      </c>
      <c r="EM286" s="1111">
        <f t="shared" si="344"/>
        <v>1249.12075772399</v>
      </c>
      <c r="EN286" s="1111">
        <f t="shared" si="345"/>
        <v>1645.5452306145801</v>
      </c>
      <c r="EO286" s="1111">
        <f t="shared" si="346"/>
        <v>1615.5067230397001</v>
      </c>
      <c r="EP286" s="1111">
        <f t="shared" si="347"/>
        <v>1561.96512576184</v>
      </c>
      <c r="EQ286" s="1111">
        <f t="shared" si="348"/>
        <v>1548.35062809069</v>
      </c>
      <c r="ER286" s="1111">
        <f t="shared" si="349"/>
        <v>1545.11245308096</v>
      </c>
      <c r="ES286" s="1111">
        <f t="shared" si="350"/>
        <v>1544.5579062120401</v>
      </c>
      <c r="ET286" s="1111">
        <f t="shared" si="351"/>
        <v>1544.55231111378</v>
      </c>
      <c r="EU286" s="1111">
        <f t="shared" si="352"/>
        <v>1544.55231111378</v>
      </c>
      <c r="EV286" s="1111">
        <f t="shared" si="447"/>
        <v>5.0421157380649202</v>
      </c>
      <c r="EW286" s="1111">
        <f t="shared" si="333"/>
        <v>5.0421157380649202</v>
      </c>
      <c r="EX286" s="1111">
        <f t="shared" si="334"/>
        <v>2.6891275593082402</v>
      </c>
      <c r="EY286" s="1111">
        <f t="shared" si="335"/>
        <v>1.59672970269866</v>
      </c>
      <c r="EZ286" s="1111">
        <f t="shared" si="336"/>
        <v>1.2533988169049</v>
      </c>
      <c r="FA286" s="1111">
        <f t="shared" si="337"/>
        <v>1.1377603861924299</v>
      </c>
      <c r="FB286" s="1111">
        <f t="shared" si="338"/>
        <v>1.11657517091755</v>
      </c>
      <c r="FC286" s="1111">
        <f t="shared" si="339"/>
        <v>1.10785037464988</v>
      </c>
      <c r="FD286" s="1111">
        <f t="shared" si="340"/>
        <v>1.10808970467776</v>
      </c>
      <c r="FE286" s="1111">
        <f t="shared" si="341"/>
        <v>1.10829058082377</v>
      </c>
      <c r="FF286" s="1111">
        <f t="shared" si="342"/>
        <v>1.10829058082377</v>
      </c>
      <c r="FG286" s="1111">
        <f t="shared" si="389"/>
        <v>2.18321680952577E-2</v>
      </c>
      <c r="FH286" s="1111">
        <f t="shared" si="390"/>
        <v>2.18321680952577E-2</v>
      </c>
      <c r="FI286" s="1111">
        <f t="shared" si="391"/>
        <v>2.1614175028351099E-2</v>
      </c>
      <c r="FJ286" s="1111">
        <f t="shared" si="392"/>
        <v>2.3606201662977298E-2</v>
      </c>
      <c r="FK286" s="1111">
        <f t="shared" si="393"/>
        <v>2.3175292056127901E-2</v>
      </c>
      <c r="FL286" s="1111">
        <f t="shared" si="394"/>
        <v>2.2407191257778802E-2</v>
      </c>
      <c r="FM286" s="1111">
        <f t="shared" si="395"/>
        <v>2.2211896644643399E-2</v>
      </c>
      <c r="FN286" s="1111">
        <f t="shared" si="396"/>
        <v>2.21654317430676E-2</v>
      </c>
      <c r="FO286" s="1111">
        <f t="shared" si="397"/>
        <v>2.21574783013113E-2</v>
      </c>
      <c r="FP286" s="1111">
        <f t="shared" si="398"/>
        <v>2.21574091915673E-2</v>
      </c>
      <c r="FQ286" s="1111">
        <f t="shared" si="399"/>
        <v>2.21574091915673E-2</v>
      </c>
      <c r="FR286" s="1111">
        <f t="shared" si="449"/>
        <v>0.37498220674272298</v>
      </c>
      <c r="FS286" s="1111">
        <f t="shared" si="450"/>
        <v>0.37498220674272298</v>
      </c>
      <c r="FT286" s="1111">
        <f t="shared" si="451"/>
        <v>0.30800096091118401</v>
      </c>
      <c r="FU286" s="1111">
        <f t="shared" si="452"/>
        <v>0.47876990917977102</v>
      </c>
      <c r="FV286" s="1111">
        <f t="shared" si="453"/>
        <v>0.47474601446343401</v>
      </c>
      <c r="FW286" s="1111">
        <f t="shared" si="454"/>
        <v>0.462592935753106</v>
      </c>
      <c r="FX286" s="1111">
        <f t="shared" si="455"/>
        <v>0.45943594701357998</v>
      </c>
      <c r="FY286" s="1111">
        <f t="shared" si="456"/>
        <v>0.45873466896290599</v>
      </c>
      <c r="FZ286" s="1111">
        <f t="shared" si="457"/>
        <v>0.45859669819349802</v>
      </c>
      <c r="GA286" s="1111">
        <f t="shared" si="458"/>
        <v>0.458612118231494</v>
      </c>
      <c r="GB286" s="1111">
        <f t="shared" si="459"/>
        <v>0.458612118231494</v>
      </c>
      <c r="GC286" s="1111">
        <f t="shared" si="353"/>
        <v>0.110253629274602</v>
      </c>
      <c r="GD286" s="1111">
        <f t="shared" si="354"/>
        <v>0.110253629274602</v>
      </c>
      <c r="GE286" s="1111">
        <f t="shared" si="355"/>
        <v>5.10415619775157E-2</v>
      </c>
      <c r="GF286" s="1111">
        <f t="shared" si="356"/>
        <v>6.9684988099320805E-2</v>
      </c>
      <c r="GG286" s="1111">
        <f t="shared" si="357"/>
        <v>6.9040658676098196E-2</v>
      </c>
      <c r="GH286" s="1111">
        <f t="shared" si="358"/>
        <v>6.6765177638673803E-2</v>
      </c>
      <c r="GI286" s="1111">
        <f t="shared" si="359"/>
        <v>6.6229434848786198E-2</v>
      </c>
      <c r="GJ286" s="1111">
        <f t="shared" si="360"/>
        <v>6.6102443905475594E-2</v>
      </c>
      <c r="GK286" s="1111">
        <f t="shared" si="361"/>
        <v>6.6105381584131498E-2</v>
      </c>
      <c r="GL286" s="1111">
        <f t="shared" si="362"/>
        <v>6.6121307340381005E-2</v>
      </c>
      <c r="GM286" s="1111">
        <f t="shared" si="363"/>
        <v>6.6121307340381005E-2</v>
      </c>
    </row>
    <row r="287" spans="1:195" x14ac:dyDescent="0.2">
      <c r="A287" s="1071" t="s">
        <v>184</v>
      </c>
      <c r="B287" s="1071" t="str">
        <f>Technologies!C166</f>
        <v>THSCNGADV</v>
      </c>
      <c r="C287" s="1071" t="str">
        <f>Technologies!D166</f>
        <v>Heavy Truck, Short Haul, Advanced CNG</v>
      </c>
      <c r="D287" s="1071" t="str">
        <f>NewTech!D112</f>
        <v>bn-vmt, bn-vmt/a</v>
      </c>
      <c r="E287" s="1071" t="str">
        <f>Commodities!C$58</f>
        <v>THCNG</v>
      </c>
      <c r="F287" s="1071" t="s">
        <v>98</v>
      </c>
      <c r="G287" s="1110" t="s">
        <v>505</v>
      </c>
      <c r="H287" s="1110" t="s">
        <v>500</v>
      </c>
      <c r="I287" s="1112">
        <v>1</v>
      </c>
      <c r="J287" s="1111" t="str">
        <f t="shared" si="302"/>
        <v>Heavy duty short haul truck-GSL</v>
      </c>
      <c r="K287" s="1111">
        <f>SUMIFS(NewEmisData!E:E, NewEmisData!$A:$A, $G287, NewEmisData!$B:$B, $A287, NewEmisData!$C:$C, $H287, NewEmisData!$D:$D, K$6)</f>
        <v>1130.1167624525301</v>
      </c>
      <c r="L287" s="1111">
        <f>SUMIFS(NewEmisData!F:F, NewEmisData!$A:$A, $G287, NewEmisData!$B:$B, $A287, NewEmisData!$C:$C, $H287, NewEmisData!$D:$D, L$6)</f>
        <v>1130.8984145920599</v>
      </c>
      <c r="M287" s="1111">
        <f>SUMIFS(NewEmisData!G:G, NewEmisData!$A:$A, $G287, NewEmisData!$B:$B, $A287, NewEmisData!$C:$C, $H287, NewEmisData!$D:$D, M$6)</f>
        <v>1405.3513402599599</v>
      </c>
      <c r="N287" s="1111">
        <f>SUMIFS(NewEmisData!H:H, NewEmisData!$A:$A, $G287, NewEmisData!$B:$B, $A287, NewEmisData!$C:$C, $H287, NewEmisData!$D:$D, N$6)</f>
        <v>1379.6052405171799</v>
      </c>
      <c r="O287" s="1111">
        <f>SUMIFS(NewEmisData!I:I, NewEmisData!$A:$A, $G287, NewEmisData!$B:$B, $A287, NewEmisData!$C:$C, $H287, NewEmisData!$D:$D, O$6)</f>
        <v>1334.4147184286501</v>
      </c>
      <c r="P287" s="1111">
        <f>SUMIFS(NewEmisData!J:J, NewEmisData!$A:$A, $G287, NewEmisData!$B:$B, $A287, NewEmisData!$C:$C, $H287, NewEmisData!$D:$D, P$6)</f>
        <v>1322.9454628220101</v>
      </c>
      <c r="Q287" s="1111">
        <f>SUMIFS(NewEmisData!K:K, NewEmisData!$A:$A, $G287, NewEmisData!$B:$B, $A287, NewEmisData!$C:$C, $H287, NewEmisData!$D:$D, Q$6)</f>
        <v>1320.2157375614299</v>
      </c>
      <c r="R287" s="1111">
        <f>SUMIFS(NewEmisData!L:L, NewEmisData!$A:$A, $G287, NewEmisData!$B:$B, $A287, NewEmisData!$C:$C, $H287, NewEmisData!$D:$D, R$6)</f>
        <v>1319.7277214958499</v>
      </c>
      <c r="S287" s="1111">
        <f>SUMIFS(NewEmisData!M:M, NewEmisData!$A:$A, $G287, NewEmisData!$B:$B, $A287, NewEmisData!$C:$C, $H287, NewEmisData!$D:$D, S$6)</f>
        <v>1319.71246990391</v>
      </c>
      <c r="T287" s="1111">
        <f t="shared" si="364"/>
        <v>1319.71246990391</v>
      </c>
      <c r="U287" s="1111">
        <f>SUMIFS(NewEmisData!E:E, NewEmisData!$A:$A, $G287, NewEmisData!$B:$B, $A287, NewEmisData!$C:$C, $H287, NewEmisData!$D:$D, U$6)</f>
        <v>4.0566113456988298</v>
      </c>
      <c r="V287" s="1111">
        <f>SUMIFS(NewEmisData!F:F, NewEmisData!$A:$A, $G287, NewEmisData!$B:$B, $A287, NewEmisData!$C:$C, $H287, NewEmisData!$D:$D, V$6)</f>
        <v>2.5724270871349901</v>
      </c>
      <c r="W287" s="1111">
        <f>SUMIFS(NewEmisData!G:G, NewEmisData!$A:$A, $G287, NewEmisData!$B:$B, $A287, NewEmisData!$C:$C, $H287, NewEmisData!$D:$D, W$6)</f>
        <v>1.4424895677524801</v>
      </c>
      <c r="X287" s="1111">
        <f>SUMIFS(NewEmisData!H:H, NewEmisData!$A:$A, $G287, NewEmisData!$B:$B, $A287, NewEmisData!$C:$C, $H287, NewEmisData!$D:$D, X$6)</f>
        <v>1.13924742539507</v>
      </c>
      <c r="Y287" s="1111">
        <f>SUMIFS(NewEmisData!I:I, NewEmisData!$A:$A, $G287, NewEmisData!$B:$B, $A287, NewEmisData!$C:$C, $H287, NewEmisData!$D:$D, Y$6)</f>
        <v>1.03965564636638</v>
      </c>
      <c r="Z287" s="1111">
        <f>SUMIFS(NewEmisData!J:J, NewEmisData!$A:$A, $G287, NewEmisData!$B:$B, $A287, NewEmisData!$C:$C, $H287, NewEmisData!$D:$D, Z$6)</f>
        <v>1.02198349229239</v>
      </c>
      <c r="AA287" s="1111">
        <f>SUMIFS(NewEmisData!K:K, NewEmisData!$A:$A, $G287, NewEmisData!$B:$B, $A287, NewEmisData!$C:$C, $H287, NewEmisData!$D:$D, AA$6)</f>
        <v>1.0148563657413801</v>
      </c>
      <c r="AB287" s="1111">
        <f>SUMIFS(NewEmisData!L:L, NewEmisData!$A:$A, $G287, NewEmisData!$B:$B, $A287, NewEmisData!$C:$C, $H287, NewEmisData!$D:$D, AB$6)</f>
        <v>1.01503532465236</v>
      </c>
      <c r="AC287" s="1111">
        <f>SUMIFS(NewEmisData!M:M, NewEmisData!$A:$A, $G287, NewEmisData!$B:$B, $A287, NewEmisData!$C:$C, $H287, NewEmisData!$D:$D, AC$6)</f>
        <v>1.0151899457145299</v>
      </c>
      <c r="AD287" s="1111">
        <f t="shared" si="448"/>
        <v>1.0151899457145299</v>
      </c>
      <c r="AE287" s="1111">
        <f t="shared" si="430"/>
        <v>1.9554990283156898E-2</v>
      </c>
      <c r="AF287" s="1111">
        <f>SUMIFS(NewEmisData!E:E, NewEmisData!$A:$A, $G287, NewEmisData!$B:$B, $A287, NewEmisData!$C:$C, $H287, NewEmisData!$D:$D, AF$6)</f>
        <v>1.9554990283156898E-2</v>
      </c>
      <c r="AG287" s="1111">
        <f>SUMIFS(NewEmisData!F:F, NewEmisData!$A:$A, $G287, NewEmisData!$B:$B, $A287, NewEmisData!$C:$C, $H287, NewEmisData!$D:$D, AG$6)</f>
        <v>1.95685182638505E-2</v>
      </c>
      <c r="AH287" s="1111">
        <f>SUMIFS(NewEmisData!G:G, NewEmisData!$A:$A, $G287, NewEmisData!$B:$B, $A287, NewEmisData!$C:$C, $H287, NewEmisData!$D:$D, AH$6)</f>
        <v>2.01604922584692E-2</v>
      </c>
      <c r="AI287" s="1111">
        <f>SUMIFS(NewEmisData!H:H, NewEmisData!$A:$A, $G287, NewEmisData!$B:$B, $A287, NewEmisData!$C:$C, $H287, NewEmisData!$D:$D, AI$6)</f>
        <v>1.97911521572584E-2</v>
      </c>
      <c r="AJ287" s="1111">
        <f>SUMIFS(NewEmisData!I:I, NewEmisData!$A:$A, $G287, NewEmisData!$B:$B, $A287, NewEmisData!$C:$C, $H287, NewEmisData!$D:$D, AJ$6)</f>
        <v>1.9142873562620798E-2</v>
      </c>
      <c r="AK287" s="1111">
        <f>SUMIFS(NewEmisData!J:J, NewEmisData!$A:$A, $G287, NewEmisData!$B:$B, $A287, NewEmisData!$C:$C, $H287, NewEmisData!$D:$D, AK$6)</f>
        <v>1.89783356086532E-2</v>
      </c>
      <c r="AL287" s="1111">
        <f>SUMIFS(NewEmisData!K:K, NewEmisData!$A:$A, $G287, NewEmisData!$B:$B, $A287, NewEmisData!$C:$C, $H287, NewEmisData!$D:$D, AL$6)</f>
        <v>1.8939180344523601E-2</v>
      </c>
      <c r="AM287" s="1111">
        <f>SUMIFS(NewEmisData!L:L, NewEmisData!$A:$A, $G287, NewEmisData!$B:$B, $A287, NewEmisData!$C:$C, $H287, NewEmisData!$D:$D, AM$6)</f>
        <v>1.8932175415884701E-2</v>
      </c>
      <c r="AN287" s="1111">
        <f>SUMIFS(NewEmisData!M:M, NewEmisData!$A:$A, $G287, NewEmisData!$B:$B, $A287, NewEmisData!$C:$C, $H287, NewEmisData!$D:$D, AN$6)</f>
        <v>1.89319567223225E-2</v>
      </c>
      <c r="AO287" s="1111">
        <f t="shared" si="431"/>
        <v>1.89319567223225E-2</v>
      </c>
      <c r="AP287" s="1111">
        <f t="shared" si="432"/>
        <v>0.25577646184958402</v>
      </c>
      <c r="AQ287" s="1111">
        <f>SUMIFS(NewEmisData!E:E, NewEmisData!$A:$A, $G287, NewEmisData!$B:$B, $A287, NewEmisData!$C:$C, $H287, NewEmisData!$D:$D, AQ$6)</f>
        <v>0.25577646184958402</v>
      </c>
      <c r="AR287" s="1111">
        <f>SUMIFS(NewEmisData!F:F, NewEmisData!$A:$A, $G287, NewEmisData!$B:$B, $A287, NewEmisData!$C:$C, $H287, NewEmisData!$D:$D, AR$6)</f>
        <v>0.23859206785442999</v>
      </c>
      <c r="AS287" s="1111">
        <f>SUMIFS(NewEmisData!G:G, NewEmisData!$A:$A, $G287, NewEmisData!$B:$B, $A287, NewEmisData!$C:$C, $H287, NewEmisData!$D:$D, AS$6)</f>
        <v>0.351764857744302</v>
      </c>
      <c r="AT287" s="1111">
        <f>SUMIFS(NewEmisData!H:H, NewEmisData!$A:$A, $G287, NewEmisData!$B:$B, $A287, NewEmisData!$C:$C, $H287, NewEmisData!$D:$D, AT$6)</f>
        <v>0.34931824303782499</v>
      </c>
      <c r="AU287" s="1111">
        <f>SUMIFS(NewEmisData!I:I, NewEmisData!$A:$A, $G287, NewEmisData!$B:$B, $A287, NewEmisData!$C:$C, $H287, NewEmisData!$D:$D, AU$6)</f>
        <v>0.34154946312290901</v>
      </c>
      <c r="AV287" s="1111">
        <f>SUMIFS(NewEmisData!J:J, NewEmisData!$A:$A, $G287, NewEmisData!$B:$B, $A287, NewEmisData!$C:$C, $H287, NewEmisData!$D:$D, AV$6)</f>
        <v>0.33956199269290699</v>
      </c>
      <c r="AW287" s="1111">
        <f>SUMIFS(NewEmisData!K:K, NewEmisData!$A:$A, $G287, NewEmisData!$B:$B, $A287, NewEmisData!$C:$C, $H287, NewEmisData!$D:$D, AW$6)</f>
        <v>0.33912280958847202</v>
      </c>
      <c r="AX287" s="1111">
        <f>SUMIFS(NewEmisData!L:L, NewEmisData!$A:$A, $G287, NewEmisData!$B:$B, $A287, NewEmisData!$C:$C, $H287, NewEmisData!$D:$D, AX$6)</f>
        <v>0.33904138785011401</v>
      </c>
      <c r="AY287" s="1111">
        <f>SUMIFS(NewEmisData!M:M, NewEmisData!$A:$A, $G287, NewEmisData!$B:$B, $A287, NewEmisData!$C:$C, $H287, NewEmisData!$D:$D, AY$6)</f>
        <v>0.33905343527213999</v>
      </c>
      <c r="AZ287" s="1111">
        <f t="shared" si="433"/>
        <v>0.33905343527213999</v>
      </c>
      <c r="BA287" s="1111">
        <f t="shared" si="434"/>
        <v>5.4814467904693999E-2</v>
      </c>
      <c r="BB287" s="1111">
        <f>SUMIFS(NewEmisData!E:E, NewEmisData!$A:$A, $G287, NewEmisData!$B:$B, $A287, NewEmisData!$C:$C, $H287, NewEmisData!$D:$D, BB$6)</f>
        <v>5.4814467904693999E-2</v>
      </c>
      <c r="BC287" s="1111">
        <f>SUMIFS(NewEmisData!F:F, NewEmisData!$A:$A, $G287, NewEmisData!$B:$B, $A287, NewEmisData!$C:$C, $H287, NewEmisData!$D:$D, BC$6)</f>
        <v>3.9660843522864801E-2</v>
      </c>
      <c r="BD287" s="1111">
        <f>SUMIFS(NewEmisData!G:G, NewEmisData!$A:$A, $G287, NewEmisData!$B:$B, $A287, NewEmisData!$C:$C, $H287, NewEmisData!$D:$D, BD$6)</f>
        <v>5.2889801360665199E-2</v>
      </c>
      <c r="BE287" s="1111">
        <f>SUMIFS(NewEmisData!H:H, NewEmisData!$A:$A, $G287, NewEmisData!$B:$B, $A287, NewEmisData!$C:$C, $H287, NewEmisData!$D:$D, BE$6)</f>
        <v>5.2551386947303103E-2</v>
      </c>
      <c r="BF287" s="1111">
        <f>SUMIFS(NewEmisData!I:I, NewEmisData!$A:$A, $G287, NewEmisData!$B:$B, $A287, NewEmisData!$C:$C, $H287, NewEmisData!$D:$D, BF$6)</f>
        <v>5.0945334073008497E-2</v>
      </c>
      <c r="BG287" s="1111">
        <f>SUMIFS(NewEmisData!J:J, NewEmisData!$A:$A, $G287, NewEmisData!$B:$B, $A287, NewEmisData!$C:$C, $H287, NewEmisData!$D:$D, BG$6)</f>
        <v>5.0580577350149397E-2</v>
      </c>
      <c r="BH287" s="1111">
        <f>SUMIFS(NewEmisData!K:K, NewEmisData!$A:$A, $G287, NewEmisData!$B:$B, $A287, NewEmisData!$C:$C, $H287, NewEmisData!$D:$D, BH$6)</f>
        <v>5.0495841537682197E-2</v>
      </c>
      <c r="BI287" s="1111">
        <f>SUMIFS(NewEmisData!L:L, NewEmisData!$A:$A, $G287, NewEmisData!$B:$B, $A287, NewEmisData!$C:$C, $H287, NewEmisData!$D:$D, BI$6)</f>
        <v>5.0500593811481399E-2</v>
      </c>
      <c r="BJ287" s="1111">
        <f>SUMIFS(NewEmisData!M:M, NewEmisData!$A:$A, $G287, NewEmisData!$B:$B, $A287, NewEmisData!$C:$C, $H287, NewEmisData!$D:$D, BJ$6)</f>
        <v>5.0513012114000298E-2</v>
      </c>
      <c r="BK287" s="1111">
        <f t="shared" si="435"/>
        <v>5.0513012114000298E-2</v>
      </c>
      <c r="BL287" s="1111">
        <f t="shared" si="436"/>
        <v>32.184051509772999</v>
      </c>
      <c r="BM287" s="1111">
        <f>SUMIFS(NewEmisData!E:E, NewEmisData!$A:$A, $G287, NewEmisData!$B:$B, $A287, NewEmisData!$C:$C, $H287, NewEmisData!$D:$D, BM$6)</f>
        <v>32.184051509772999</v>
      </c>
      <c r="BN287" s="1111">
        <f>SUMIFS(NewEmisData!F:F, NewEmisData!$A:$A, $G287, NewEmisData!$B:$B, $A287, NewEmisData!$C:$C, $H287, NewEmisData!$D:$D, BN$6)</f>
        <v>25.790545556992701</v>
      </c>
      <c r="BO287" s="1111">
        <f>SUMIFS(NewEmisData!G:G, NewEmisData!$A:$A, $G287, NewEmisData!$B:$B, $A287, NewEmisData!$C:$C, $H287, NewEmisData!$D:$D, BO$6)</f>
        <v>17.593987471051999</v>
      </c>
      <c r="BP287" s="1111">
        <f>SUMIFS(NewEmisData!H:H, NewEmisData!$A:$A, $G287, NewEmisData!$B:$B, $A287, NewEmisData!$C:$C, $H287, NewEmisData!$D:$D, BP$6)</f>
        <v>15.548032809457499</v>
      </c>
      <c r="BQ287" s="1111">
        <f>SUMIFS(NewEmisData!I:I, NewEmisData!$A:$A, $G287, NewEmisData!$B:$B, $A287, NewEmisData!$C:$C, $H287, NewEmisData!$D:$D, BQ$6)</f>
        <v>15.5605262464888</v>
      </c>
      <c r="BR287" s="1111">
        <f>SUMIFS(NewEmisData!J:J, NewEmisData!$A:$A, $G287, NewEmisData!$B:$B, $A287, NewEmisData!$C:$C, $H287, NewEmisData!$D:$D, BR$6)</f>
        <v>15.9871963814061</v>
      </c>
      <c r="BS287" s="1111">
        <f>SUMIFS(NewEmisData!K:K, NewEmisData!$A:$A, $G287, NewEmisData!$B:$B, $A287, NewEmisData!$C:$C, $H287, NewEmisData!$D:$D, BS$6)</f>
        <v>16.091605975104901</v>
      </c>
      <c r="BT287" s="1111">
        <f>SUMIFS(NewEmisData!L:L, NewEmisData!$A:$A, $G287, NewEmisData!$B:$B, $A287, NewEmisData!$C:$C, $H287, NewEmisData!$D:$D, BT$6)</f>
        <v>16.2582160020517</v>
      </c>
      <c r="BU287" s="1111">
        <f>SUMIFS(NewEmisData!M:M, NewEmisData!$A:$A, $G287, NewEmisData!$B:$B, $A287, NewEmisData!$C:$C, $H287, NewEmisData!$D:$D, BU$6)</f>
        <v>16.317714638715799</v>
      </c>
      <c r="BV287" s="1111">
        <f t="shared" si="437"/>
        <v>16.317714638715799</v>
      </c>
      <c r="BW287" s="1111">
        <f t="shared" si="438"/>
        <v>1.6076832062105699</v>
      </c>
      <c r="BX287" s="1111">
        <f>SUMIFS(NewEmisData!E:E, NewEmisData!$A:$A, $G287, NewEmisData!$B:$B, $A287, NewEmisData!$C:$C, $H287, NewEmisData!$D:$D, BX$6)</f>
        <v>1.6076832062105699</v>
      </c>
      <c r="BY287" s="1111">
        <f>SUMIFS(NewEmisData!F:F, NewEmisData!$A:$A, $G287, NewEmisData!$B:$B, $A287, NewEmisData!$C:$C, $H287, NewEmisData!$D:$D, BY$6)</f>
        <v>1.07737691728375</v>
      </c>
      <c r="BZ287" s="1111">
        <f>SUMIFS(NewEmisData!G:G, NewEmisData!$A:$A, $G287, NewEmisData!$B:$B, $A287, NewEmisData!$C:$C, $H287, NewEmisData!$D:$D, BZ$6)</f>
        <v>0.66089486679656995</v>
      </c>
      <c r="CA287" s="1111">
        <f>SUMIFS(NewEmisData!H:H, NewEmisData!$A:$A, $G287, NewEmisData!$B:$B, $A287, NewEmisData!$C:$C, $H287, NewEmisData!$D:$D, CA$6)</f>
        <v>0.50665329469086795</v>
      </c>
      <c r="CB287" s="1111">
        <f>SUMIFS(NewEmisData!I:I, NewEmisData!$A:$A, $G287, NewEmisData!$B:$B, $A287, NewEmisData!$C:$C, $H287, NewEmisData!$D:$D, CB$6)</f>
        <v>0.45395027729947901</v>
      </c>
      <c r="CC287" s="1111">
        <f>SUMIFS(NewEmisData!J:J, NewEmisData!$A:$A, $G287, NewEmisData!$B:$B, $A287, NewEmisData!$C:$C, $H287, NewEmisData!$D:$D, CC$6)</f>
        <v>0.44710959546622903</v>
      </c>
      <c r="CD287" s="1111">
        <f>SUMIFS(NewEmisData!K:K, NewEmisData!$A:$A, $G287, NewEmisData!$B:$B, $A287, NewEmisData!$C:$C, $H287, NewEmisData!$D:$D, CD$6)</f>
        <v>0.44246515211993698</v>
      </c>
      <c r="CE287" s="1111">
        <f>SUMIFS(NewEmisData!L:L, NewEmisData!$A:$A, $G287, NewEmisData!$B:$B, $A287, NewEmisData!$C:$C, $H287, NewEmisData!$D:$D, CE$6)</f>
        <v>0.44466448973498501</v>
      </c>
      <c r="CF287" s="1111">
        <f>SUMIFS(NewEmisData!M:M, NewEmisData!$A:$A, $G287, NewEmisData!$B:$B, $A287, NewEmisData!$C:$C, $H287, NewEmisData!$D:$D, CF$6)</f>
        <v>0.44515250539012002</v>
      </c>
      <c r="CG287" s="1111">
        <f t="shared" si="439"/>
        <v>0.44515250539012002</v>
      </c>
      <c r="CH287" s="1111">
        <f t="shared" si="440"/>
        <v>4.3399422117819303E-2</v>
      </c>
      <c r="CI287" s="1111">
        <f>SUMIFS(NewEmisData!E:E, NewEmisData!$A:$A, $G287, NewEmisData!$B:$B, $A287, NewEmisData!$C:$C, $H287, NewEmisData!$D:$D, CI$6)</f>
        <v>4.3399422117819303E-2</v>
      </c>
      <c r="CJ287" s="1111">
        <f>SUMIFS(NewEmisData!F:F, NewEmisData!$A:$A, $G287, NewEmisData!$B:$B, $A287, NewEmisData!$C:$C, $H287, NewEmisData!$D:$D, CJ$6)</f>
        <v>4.3400015102987403E-2</v>
      </c>
      <c r="CK287" s="1111">
        <f>SUMIFS(NewEmisData!G:G, NewEmisData!$A:$A, $G287, NewEmisData!$B:$B, $A287, NewEmisData!$C:$C, $H287, NewEmisData!$D:$D, CK$6)</f>
        <v>5.51180775849354E-2</v>
      </c>
      <c r="CL287" s="1111">
        <f>SUMIFS(NewEmisData!H:H, NewEmisData!$A:$A, $G287, NewEmisData!$B:$B, $A287, NewEmisData!$C:$C, $H287, NewEmisData!$D:$D, CL$6)</f>
        <v>5.5092760124654402E-2</v>
      </c>
      <c r="CM287" s="1111">
        <f>SUMIFS(NewEmisData!I:I, NewEmisData!$A:$A, $G287, NewEmisData!$B:$B, $A287, NewEmisData!$C:$C, $H287, NewEmisData!$D:$D, CM$6)</f>
        <v>5.5018575060889002E-2</v>
      </c>
      <c r="CN287" s="1111">
        <f>SUMIFS(NewEmisData!J:J, NewEmisData!$A:$A, $G287, NewEmisData!$B:$B, $A287, NewEmisData!$C:$C, $H287, NewEmisData!$D:$D, CN$6)</f>
        <v>5.4999024433032603E-2</v>
      </c>
      <c r="CO287" s="1111">
        <f>SUMIFS(NewEmisData!K:K, NewEmisData!$A:$A, $G287, NewEmisData!$B:$B, $A287, NewEmisData!$C:$C, $H287, NewEmisData!$D:$D, CO$6)</f>
        <v>5.49947267932255E-2</v>
      </c>
      <c r="CP287" s="1111">
        <f>SUMIFS(NewEmisData!L:L, NewEmisData!$A:$A, $G287, NewEmisData!$B:$B, $A287, NewEmisData!$C:$C, $H287, NewEmisData!$D:$D, CP$6)</f>
        <v>5.4993686114600697E-2</v>
      </c>
      <c r="CQ287" s="1111">
        <f>SUMIFS(NewEmisData!M:M, NewEmisData!$A:$A, $G287, NewEmisData!$B:$B, $A287, NewEmisData!$C:$C, $H287, NewEmisData!$D:$D, CQ$6)</f>
        <v>5.4993670901738401E-2</v>
      </c>
      <c r="CR287" s="1111">
        <f t="shared" si="441"/>
        <v>5.4993670901738401E-2</v>
      </c>
      <c r="CS287" s="1111">
        <f t="shared" si="442"/>
        <v>4.2091134803139398E-2</v>
      </c>
      <c r="CT287" s="1111">
        <f>SUMIFS(NewEmisData!E:E, NewEmisData!$A:$A, $G287, NewEmisData!$B:$B, $A287, NewEmisData!$C:$C, $H287, NewEmisData!$D:$D, CT$6)</f>
        <v>4.2091134803139398E-2</v>
      </c>
      <c r="CU287" s="1111">
        <f>SUMIFS(NewEmisData!F:F, NewEmisData!$A:$A, $G287, NewEmisData!$B:$B, $A287, NewEmisData!$C:$C, $H287, NewEmisData!$D:$D, CU$6)</f>
        <v>2.9413368678447099E-2</v>
      </c>
      <c r="CV287" s="1111">
        <f>SUMIFS(NewEmisData!G:G, NewEmisData!$A:$A, $G287, NewEmisData!$B:$B, $A287, NewEmisData!$C:$C, $H287, NewEmisData!$D:$D, CV$6)</f>
        <v>2.1908117014146501E-2</v>
      </c>
      <c r="CW287" s="1111">
        <f>SUMIFS(NewEmisData!H:H, NewEmisData!$A:$A, $G287, NewEmisData!$B:$B, $A287, NewEmisData!$C:$C, $H287, NewEmisData!$D:$D, CW$6)</f>
        <v>1.51235650548124E-2</v>
      </c>
      <c r="CX287" s="1111">
        <f>SUMIFS(NewEmisData!I:I, NewEmisData!$A:$A, $G287, NewEmisData!$B:$B, $A287, NewEmisData!$C:$C, $H287, NewEmisData!$D:$D, CX$6)</f>
        <v>1.29093526067743E-2</v>
      </c>
      <c r="CY287" s="1111">
        <f>SUMIFS(NewEmisData!J:J, NewEmisData!$A:$A, $G287, NewEmisData!$B:$B, $A287, NewEmisData!$C:$C, $H287, NewEmisData!$D:$D, CY$6)</f>
        <v>1.25399672188876E-2</v>
      </c>
      <c r="CZ287" s="1111">
        <f>SUMIFS(NewEmisData!K:K, NewEmisData!$A:$A, $G287, NewEmisData!$B:$B, $A287, NewEmisData!$C:$C, $H287, NewEmisData!$D:$D, CZ$6)</f>
        <v>1.2248391252448299E-2</v>
      </c>
      <c r="DA287" s="1111">
        <f>SUMIFS(NewEmisData!L:L, NewEmisData!$A:$A, $G287, NewEmisData!$B:$B, $A287, NewEmisData!$C:$C, $H287, NewEmisData!$D:$D, DA$6)</f>
        <v>1.22999318738547E-2</v>
      </c>
      <c r="DB287" s="1111">
        <f>SUMIFS(NewEmisData!M:M, NewEmisData!$A:$A, $G287, NewEmisData!$B:$B, $A287, NewEmisData!$C:$C, $H287, NewEmisData!$D:$D, DB$6)</f>
        <v>1.23186618660251E-2</v>
      </c>
      <c r="DC287" s="1111">
        <f t="shared" si="443"/>
        <v>1.23186618660251E-2</v>
      </c>
      <c r="DD287" s="1111"/>
      <c r="DE287" s="1111"/>
      <c r="DF287" s="1111"/>
      <c r="DG287" s="1111"/>
      <c r="DH287" s="1111"/>
      <c r="DI287" s="1111"/>
      <c r="DJ287" s="1111"/>
      <c r="DK287" s="1111"/>
      <c r="DL287" s="1111"/>
      <c r="DM287" s="1111"/>
      <c r="DN287" s="1111"/>
      <c r="DO287" s="1111"/>
      <c r="DP287" s="1111"/>
      <c r="DQ287" s="1111"/>
      <c r="DR287" s="1111"/>
      <c r="DS287" s="1111"/>
      <c r="DT287" s="1111"/>
      <c r="DU287" s="1111"/>
      <c r="DV287" s="1111"/>
      <c r="DW287" s="1111"/>
      <c r="DX287" s="1111"/>
      <c r="DY287" s="1111"/>
      <c r="DZ287" s="1111">
        <f t="shared" si="444"/>
        <v>5.7853229299281397E-2</v>
      </c>
      <c r="EA287" s="1111">
        <f>SUMIFS(NewEmisData!E:E, NewEmisData!$A:$A, $G287, NewEmisData!$B:$B, $A287, NewEmisData!$C:$C, $H287, NewEmisData!$D:$D, EA$6)</f>
        <v>5.7853229299281397E-2</v>
      </c>
      <c r="EB287" s="1111">
        <f>SUMIFS(NewEmisData!F:F, NewEmisData!$A:$A, $G287, NewEmisData!$B:$B, $A287, NewEmisData!$C:$C, $H287, NewEmisData!$D:$D, EB$6)</f>
        <v>2.9073352809047302E-2</v>
      </c>
      <c r="EC287" s="1111">
        <f>SUMIFS(NewEmisData!G:G, NewEmisData!$A:$A, $G287, NewEmisData!$B:$B, $A287, NewEmisData!$C:$C, $H287, NewEmisData!$D:$D, EC$6)</f>
        <v>1.58088583493518E-2</v>
      </c>
      <c r="ED287" s="1111">
        <f>SUMIFS(NewEmisData!H:H, NewEmisData!$A:$A, $G287, NewEmisData!$B:$B, $A287, NewEmisData!$C:$C, $H287, NewEmisData!$D:$D, ED$6)</f>
        <v>1.27598175965856E-2</v>
      </c>
      <c r="EE287" s="1111">
        <f>SUMIFS(NewEmisData!I:I, NewEmisData!$A:$A, $G287, NewEmisData!$B:$B, $A287, NewEmisData!$C:$C, $H287, NewEmisData!$D:$D, EE$6)</f>
        <v>1.25765761718582E-2</v>
      </c>
      <c r="EF287" s="1111">
        <f>SUMIFS(NewEmisData!J:J, NewEmisData!$A:$A, $G287, NewEmisData!$B:$B, $A287, NewEmisData!$C:$C, $H287, NewEmisData!$D:$D, EF$6)</f>
        <v>1.28662791289052E-2</v>
      </c>
      <c r="EG287" s="1111">
        <f>SUMIFS(NewEmisData!K:K, NewEmisData!$A:$A, $G287, NewEmisData!$B:$B, $A287, NewEmisData!$C:$C, $H287, NewEmisData!$D:$D, EG$6)</f>
        <v>1.2955321110398099E-2</v>
      </c>
      <c r="EH287" s="1111">
        <f>SUMIFS(NewEmisData!L:L, NewEmisData!$A:$A, $G287, NewEmisData!$B:$B, $A287, NewEmisData!$C:$C, $H287, NewEmisData!$D:$D, EH$6)</f>
        <v>1.30753171444039E-2</v>
      </c>
      <c r="EI287" s="1111">
        <f>SUMIFS(NewEmisData!M:M, NewEmisData!$A:$A, $G287, NewEmisData!$B:$B, $A287, NewEmisData!$C:$C, $H287, NewEmisData!$D:$D, EI$6)</f>
        <v>1.31164603255322E-2</v>
      </c>
      <c r="EJ287" s="1111">
        <f t="shared" si="445"/>
        <v>1.31164603255322E-2</v>
      </c>
      <c r="EK287" s="1111">
        <f t="shared" si="446"/>
        <v>1130.1167624525301</v>
      </c>
      <c r="EL287" s="1111">
        <f t="shared" si="343"/>
        <v>1130.1167624525301</v>
      </c>
      <c r="EM287" s="1111">
        <f t="shared" si="344"/>
        <v>1130.8984145920599</v>
      </c>
      <c r="EN287" s="1111">
        <f t="shared" si="345"/>
        <v>1405.3513402599599</v>
      </c>
      <c r="EO287" s="1111">
        <f t="shared" si="346"/>
        <v>1379.6052405171799</v>
      </c>
      <c r="EP287" s="1111">
        <f t="shared" si="347"/>
        <v>1334.4147184286501</v>
      </c>
      <c r="EQ287" s="1111">
        <f t="shared" si="348"/>
        <v>1322.9454628220101</v>
      </c>
      <c r="ER287" s="1111">
        <f t="shared" si="349"/>
        <v>1320.2157375614299</v>
      </c>
      <c r="ES287" s="1111">
        <f t="shared" si="350"/>
        <v>1319.7277214958499</v>
      </c>
      <c r="ET287" s="1111">
        <f t="shared" si="351"/>
        <v>1319.71246990391</v>
      </c>
      <c r="EU287" s="1111">
        <f t="shared" si="352"/>
        <v>1319.71246990391</v>
      </c>
      <c r="EV287" s="1111">
        <f t="shared" si="447"/>
        <v>4.0566113456988298</v>
      </c>
      <c r="EW287" s="1111">
        <f t="shared" ref="EW287:EW311" si="460">U287</f>
        <v>4.0566113456988298</v>
      </c>
      <c r="EX287" s="1111">
        <f t="shared" ref="EX287:EX311" si="461">V287</f>
        <v>2.5724270871349901</v>
      </c>
      <c r="EY287" s="1111">
        <f t="shared" ref="EY287:EY311" si="462">W287</f>
        <v>1.4424895677524801</v>
      </c>
      <c r="EZ287" s="1111">
        <f t="shared" ref="EZ287:EZ311" si="463">X287</f>
        <v>1.13924742539507</v>
      </c>
      <c r="FA287" s="1111">
        <f t="shared" ref="FA287:FA311" si="464">Y287</f>
        <v>1.03965564636638</v>
      </c>
      <c r="FB287" s="1111">
        <f t="shared" ref="FB287:FB311" si="465">Z287</f>
        <v>1.02198349229239</v>
      </c>
      <c r="FC287" s="1111">
        <f t="shared" ref="FC287:FC311" si="466">AA287</f>
        <v>1.0148563657413801</v>
      </c>
      <c r="FD287" s="1111">
        <f t="shared" ref="FD287:FD311" si="467">AB287</f>
        <v>1.01503532465236</v>
      </c>
      <c r="FE287" s="1111">
        <f t="shared" ref="FE287:FE311" si="468">AC287</f>
        <v>1.0151899457145299</v>
      </c>
      <c r="FF287" s="1111">
        <f t="shared" ref="FF287:FF311" si="469">AD287</f>
        <v>1.0151899457145299</v>
      </c>
      <c r="FG287" s="1111">
        <f t="shared" si="389"/>
        <v>1.9554990283156898E-2</v>
      </c>
      <c r="FH287" s="1111">
        <f t="shared" si="390"/>
        <v>1.9554990283156898E-2</v>
      </c>
      <c r="FI287" s="1111">
        <f t="shared" si="391"/>
        <v>1.95685182638505E-2</v>
      </c>
      <c r="FJ287" s="1111">
        <f t="shared" si="392"/>
        <v>2.01604922584692E-2</v>
      </c>
      <c r="FK287" s="1111">
        <f t="shared" si="393"/>
        <v>1.97911521572584E-2</v>
      </c>
      <c r="FL287" s="1111">
        <f t="shared" si="394"/>
        <v>1.9142873562620798E-2</v>
      </c>
      <c r="FM287" s="1111">
        <f t="shared" si="395"/>
        <v>1.89783356086532E-2</v>
      </c>
      <c r="FN287" s="1111">
        <f t="shared" si="396"/>
        <v>1.8939180344523601E-2</v>
      </c>
      <c r="FO287" s="1111">
        <f t="shared" si="397"/>
        <v>1.8932175415884701E-2</v>
      </c>
      <c r="FP287" s="1111">
        <f t="shared" si="398"/>
        <v>1.89319567223225E-2</v>
      </c>
      <c r="FQ287" s="1111">
        <f t="shared" si="399"/>
        <v>1.89319567223225E-2</v>
      </c>
      <c r="FR287" s="1111">
        <f t="shared" si="449"/>
        <v>0.25577646184958402</v>
      </c>
      <c r="FS287" s="1111">
        <f t="shared" si="450"/>
        <v>0.25577646184958402</v>
      </c>
      <c r="FT287" s="1111">
        <f t="shared" si="451"/>
        <v>0.23859206785442999</v>
      </c>
      <c r="FU287" s="1111">
        <f t="shared" si="452"/>
        <v>0.351764857744302</v>
      </c>
      <c r="FV287" s="1111">
        <f t="shared" si="453"/>
        <v>0.34931824303782499</v>
      </c>
      <c r="FW287" s="1111">
        <f t="shared" si="454"/>
        <v>0.34154946312290901</v>
      </c>
      <c r="FX287" s="1111">
        <f t="shared" si="455"/>
        <v>0.33956199269290699</v>
      </c>
      <c r="FY287" s="1111">
        <f t="shared" si="456"/>
        <v>0.33912280958847202</v>
      </c>
      <c r="FZ287" s="1111">
        <f t="shared" si="457"/>
        <v>0.33904138785011401</v>
      </c>
      <c r="GA287" s="1111">
        <f t="shared" si="458"/>
        <v>0.33905343527213999</v>
      </c>
      <c r="GB287" s="1111">
        <f t="shared" si="459"/>
        <v>0.33905343527213999</v>
      </c>
      <c r="GC287" s="1111">
        <f t="shared" si="353"/>
        <v>5.4814467904693999E-2</v>
      </c>
      <c r="GD287" s="1111">
        <f t="shared" si="354"/>
        <v>5.4814467904693999E-2</v>
      </c>
      <c r="GE287" s="1111">
        <f t="shared" si="355"/>
        <v>3.9660843522864801E-2</v>
      </c>
      <c r="GF287" s="1111">
        <f t="shared" si="356"/>
        <v>5.2889801360665199E-2</v>
      </c>
      <c r="GG287" s="1111">
        <f t="shared" si="357"/>
        <v>5.2551386947303103E-2</v>
      </c>
      <c r="GH287" s="1111">
        <f t="shared" si="358"/>
        <v>5.0945334073008497E-2</v>
      </c>
      <c r="GI287" s="1111">
        <f t="shared" si="359"/>
        <v>5.0580577350149397E-2</v>
      </c>
      <c r="GJ287" s="1111">
        <f t="shared" si="360"/>
        <v>5.0495841537682197E-2</v>
      </c>
      <c r="GK287" s="1111">
        <f t="shared" si="361"/>
        <v>5.0500593811481399E-2</v>
      </c>
      <c r="GL287" s="1111">
        <f t="shared" si="362"/>
        <v>5.0513012114000298E-2</v>
      </c>
      <c r="GM287" s="1111">
        <f t="shared" si="363"/>
        <v>5.0513012114000298E-2</v>
      </c>
    </row>
    <row r="288" spans="1:195" x14ac:dyDescent="0.2">
      <c r="A288" s="1071" t="s">
        <v>186</v>
      </c>
      <c r="B288" s="1071" t="str">
        <f>Technologies!C166</f>
        <v>THSCNGADV</v>
      </c>
      <c r="C288" s="1071" t="str">
        <f>Technologies!D166</f>
        <v>Heavy Truck, Short Haul, Advanced CNG</v>
      </c>
      <c r="D288" s="1071" t="str">
        <f>NewTech!D112</f>
        <v>bn-vmt, bn-vmt/a</v>
      </c>
      <c r="E288" s="1071" t="str">
        <f>Commodities!C$58</f>
        <v>THCNG</v>
      </c>
      <c r="F288" s="1071" t="s">
        <v>98</v>
      </c>
      <c r="G288" s="1110" t="s">
        <v>505</v>
      </c>
      <c r="H288" s="1110" t="s">
        <v>500</v>
      </c>
      <c r="I288" s="1112">
        <v>1</v>
      </c>
      <c r="J288" s="1111" t="str">
        <f t="shared" si="302"/>
        <v>Heavy duty short haul truck-GSL</v>
      </c>
      <c r="K288" s="1111">
        <f>SUMIFS(NewEmisData!E:E, NewEmisData!$A:$A, $G288, NewEmisData!$B:$B, $A288, NewEmisData!$C:$C, $H288, NewEmisData!$D:$D, K$6)</f>
        <v>1638.3455086040899</v>
      </c>
      <c r="L288" s="1111">
        <f>SUMIFS(NewEmisData!F:F, NewEmisData!$A:$A, $G288, NewEmisData!$B:$B, $A288, NewEmisData!$C:$C, $H288, NewEmisData!$D:$D, L$6)</f>
        <v>1597.91146698485</v>
      </c>
      <c r="M288" s="1111">
        <f>SUMIFS(NewEmisData!G:G, NewEmisData!$A:$A, $G288, NewEmisData!$B:$B, $A288, NewEmisData!$C:$C, $H288, NewEmisData!$D:$D, M$6)</f>
        <v>1675.8815285015601</v>
      </c>
      <c r="N288" s="1111">
        <f>SUMIFS(NewEmisData!H:H, NewEmisData!$A:$A, $G288, NewEmisData!$B:$B, $A288, NewEmisData!$C:$C, $H288, NewEmisData!$D:$D, N$6)</f>
        <v>1650.32431693742</v>
      </c>
      <c r="O288" s="1111">
        <f>SUMIFS(NewEmisData!I:I, NewEmisData!$A:$A, $G288, NewEmisData!$B:$B, $A288, NewEmisData!$C:$C, $H288, NewEmisData!$D:$D, O$6)</f>
        <v>1614.69992415768</v>
      </c>
      <c r="P288" s="1111">
        <f>SUMIFS(NewEmisData!J:J, NewEmisData!$A:$A, $G288, NewEmisData!$B:$B, $A288, NewEmisData!$C:$C, $H288, NewEmisData!$D:$D, P$6)</f>
        <v>1606.15558948889</v>
      </c>
      <c r="Q288" s="1111">
        <f>SUMIFS(NewEmisData!K:K, NewEmisData!$A:$A, $G288, NewEmisData!$B:$B, $A288, NewEmisData!$C:$C, $H288, NewEmisData!$D:$D, Q$6)</f>
        <v>1604.0186206973899</v>
      </c>
      <c r="R288" s="1111">
        <f>SUMIFS(NewEmisData!L:L, NewEmisData!$A:$A, $G288, NewEmisData!$B:$B, $A288, NewEmisData!$C:$C, $H288, NewEmisData!$D:$D, R$6)</f>
        <v>1603.71196653328</v>
      </c>
      <c r="S288" s="1111">
        <f>SUMIFS(NewEmisData!M:M, NewEmisData!$A:$A, $G288, NewEmisData!$B:$B, $A288, NewEmisData!$C:$C, $H288, NewEmisData!$D:$D, S$6)</f>
        <v>1603.6927150798599</v>
      </c>
      <c r="T288" s="1111">
        <f t="shared" si="364"/>
        <v>1603.6927150798599</v>
      </c>
      <c r="U288" s="1111">
        <f>SUMIFS(NewEmisData!E:E, NewEmisData!$A:$A, $G288, NewEmisData!$B:$B, $A288, NewEmisData!$C:$C, $H288, NewEmisData!$D:$D, U$6)</f>
        <v>9.1319765062058504</v>
      </c>
      <c r="V288" s="1111">
        <f>SUMIFS(NewEmisData!F:F, NewEmisData!$A:$A, $G288, NewEmisData!$B:$B, $A288, NewEmisData!$C:$C, $H288, NewEmisData!$D:$D, V$6)</f>
        <v>5.5211126740351997</v>
      </c>
      <c r="W288" s="1111">
        <f>SUMIFS(NewEmisData!G:G, NewEmisData!$A:$A, $G288, NewEmisData!$B:$B, $A288, NewEmisData!$C:$C, $H288, NewEmisData!$D:$D, W$6)</f>
        <v>1.6178749329459601</v>
      </c>
      <c r="X288" s="1111">
        <f>SUMIFS(NewEmisData!H:H, NewEmisData!$A:$A, $G288, NewEmisData!$B:$B, $A288, NewEmisData!$C:$C, $H288, NewEmisData!$D:$D, X$6)</f>
        <v>1.2717662893164099</v>
      </c>
      <c r="Y288" s="1111">
        <f>SUMIFS(NewEmisData!I:I, NewEmisData!$A:$A, $G288, NewEmisData!$B:$B, $A288, NewEmisData!$C:$C, $H288, NewEmisData!$D:$D, Y$6)</f>
        <v>1.1726866302876999</v>
      </c>
      <c r="Z288" s="1111">
        <f>SUMIFS(NewEmisData!J:J, NewEmisData!$A:$A, $G288, NewEmisData!$B:$B, $A288, NewEmisData!$C:$C, $H288, NewEmisData!$D:$D, Z$6)</f>
        <v>1.1568218913658399</v>
      </c>
      <c r="AA288" s="1111">
        <f>SUMIFS(NewEmisData!K:K, NewEmisData!$A:$A, $G288, NewEmisData!$B:$B, $A288, NewEmisData!$C:$C, $H288, NewEmisData!$D:$D, AA$6)</f>
        <v>1.1498419858081399</v>
      </c>
      <c r="AB288" s="1111">
        <f>SUMIFS(NewEmisData!L:L, NewEmisData!$A:$A, $G288, NewEmisData!$B:$B, $A288, NewEmisData!$C:$C, $H288, NewEmisData!$D:$D, AB$6)</f>
        <v>1.1502565377520699</v>
      </c>
      <c r="AC288" s="1111">
        <f>SUMIFS(NewEmisData!M:M, NewEmisData!$A:$A, $G288, NewEmisData!$B:$B, $A288, NewEmisData!$C:$C, $H288, NewEmisData!$D:$D, AC$6)</f>
        <v>1.15043111371947</v>
      </c>
      <c r="AD288" s="1111">
        <f t="shared" si="448"/>
        <v>1.15043111371947</v>
      </c>
      <c r="AE288" s="1111">
        <f t="shared" si="430"/>
        <v>2.8349118417612802E-2</v>
      </c>
      <c r="AF288" s="1111">
        <f>SUMIFS(NewEmisData!E:E, NewEmisData!$A:$A, $G288, NewEmisData!$B:$B, $A288, NewEmisData!$C:$C, $H288, NewEmisData!$D:$D, AF$6)</f>
        <v>2.8349118417612802E-2</v>
      </c>
      <c r="AG288" s="1111">
        <f>SUMIFS(NewEmisData!F:F, NewEmisData!$A:$A, $G288, NewEmisData!$B:$B, $A288, NewEmisData!$C:$C, $H288, NewEmisData!$D:$D, AG$6)</f>
        <v>2.7649475988106201E-2</v>
      </c>
      <c r="AH288" s="1111">
        <f>SUMIFS(NewEmisData!G:G, NewEmisData!$A:$A, $G288, NewEmisData!$B:$B, $A288, NewEmisData!$C:$C, $H288, NewEmisData!$D:$D, AH$6)</f>
        <v>2.4041393237435399E-2</v>
      </c>
      <c r="AI288" s="1111">
        <f>SUMIFS(NewEmisData!H:H, NewEmisData!$A:$A, $G288, NewEmisData!$B:$B, $A288, NewEmisData!$C:$C, $H288, NewEmisData!$D:$D, AI$6)</f>
        <v>2.3674756516432201E-2</v>
      </c>
      <c r="AJ288" s="1111">
        <f>SUMIFS(NewEmisData!I:I, NewEmisData!$A:$A, $G288, NewEmisData!$B:$B, $A288, NewEmisData!$C:$C, $H288, NewEmisData!$D:$D, AJ$6)</f>
        <v>2.3163709294895699E-2</v>
      </c>
      <c r="AK288" s="1111">
        <f>SUMIFS(NewEmisData!J:J, NewEmisData!$A:$A, $G288, NewEmisData!$B:$B, $A288, NewEmisData!$C:$C, $H288, NewEmisData!$D:$D, AK$6)</f>
        <v>2.30411322742359E-2</v>
      </c>
      <c r="AL288" s="1111">
        <f>SUMIFS(NewEmisData!K:K, NewEmisData!$A:$A, $G288, NewEmisData!$B:$B, $A288, NewEmisData!$C:$C, $H288, NewEmisData!$D:$D, AL$6)</f>
        <v>2.30104772532812E-2</v>
      </c>
      <c r="AM288" s="1111">
        <f>SUMIFS(NewEmisData!L:L, NewEmisData!$A:$A, $G288, NewEmisData!$B:$B, $A288, NewEmisData!$C:$C, $H288, NewEmisData!$D:$D, AM$6)</f>
        <v>2.3006075572322301E-2</v>
      </c>
      <c r="AN288" s="1111">
        <f>SUMIFS(NewEmisData!M:M, NewEmisData!$A:$A, $G288, NewEmisData!$B:$B, $A288, NewEmisData!$C:$C, $H288, NewEmisData!$D:$D, AN$6)</f>
        <v>2.30058103409179E-2</v>
      </c>
      <c r="AO288" s="1111">
        <f t="shared" si="431"/>
        <v>2.30058103409179E-2</v>
      </c>
      <c r="AP288" s="1111">
        <f t="shared" si="432"/>
        <v>0.73529708323819798</v>
      </c>
      <c r="AQ288" s="1111">
        <f>SUMIFS(NewEmisData!E:E, NewEmisData!$A:$A, $G288, NewEmisData!$B:$B, $A288, NewEmisData!$C:$C, $H288, NewEmisData!$D:$D, AQ$6)</f>
        <v>0.73529708323819798</v>
      </c>
      <c r="AR288" s="1111">
        <f>SUMIFS(NewEmisData!F:F, NewEmisData!$A:$A, $G288, NewEmisData!$B:$B, $A288, NewEmisData!$C:$C, $H288, NewEmisData!$D:$D, AR$6)</f>
        <v>0.50377232353792301</v>
      </c>
      <c r="AS288" s="1111">
        <f>SUMIFS(NewEmisData!G:G, NewEmisData!$A:$A, $G288, NewEmisData!$B:$B, $A288, NewEmisData!$C:$C, $H288, NewEmisData!$D:$D, AS$6)</f>
        <v>0.46277242259546703</v>
      </c>
      <c r="AT288" s="1111">
        <f>SUMIFS(NewEmisData!H:H, NewEmisData!$A:$A, $G288, NewEmisData!$B:$B, $A288, NewEmisData!$C:$C, $H288, NewEmisData!$D:$D, AT$6)</f>
        <v>0.460021400855742</v>
      </c>
      <c r="AU288" s="1111">
        <f>SUMIFS(NewEmisData!I:I, NewEmisData!$A:$A, $G288, NewEmisData!$B:$B, $A288, NewEmisData!$C:$C, $H288, NewEmisData!$D:$D, AU$6)</f>
        <v>0.452859239004402</v>
      </c>
      <c r="AV288" s="1111">
        <f>SUMIFS(NewEmisData!J:J, NewEmisData!$A:$A, $G288, NewEmisData!$B:$B, $A288, NewEmisData!$C:$C, $H288, NewEmisData!$D:$D, AV$6)</f>
        <v>0.451173530693247</v>
      </c>
      <c r="AW288" s="1111">
        <f>SUMIFS(NewEmisData!K:K, NewEmisData!$A:$A, $G288, NewEmisData!$B:$B, $A288, NewEmisData!$C:$C, $H288, NewEmisData!$D:$D, AW$6)</f>
        <v>0.450827249569491</v>
      </c>
      <c r="AX288" s="1111">
        <f>SUMIFS(NewEmisData!L:L, NewEmisData!$A:$A, $G288, NewEmisData!$B:$B, $A288, NewEmisData!$C:$C, $H288, NewEmisData!$D:$D, AX$6)</f>
        <v>0.45077517726501898</v>
      </c>
      <c r="AY288" s="1111">
        <f>SUMIFS(NewEmisData!M:M, NewEmisData!$A:$A, $G288, NewEmisData!$B:$B, $A288, NewEmisData!$C:$C, $H288, NewEmisData!$D:$D, AY$6)</f>
        <v>0.45078915116546198</v>
      </c>
      <c r="AZ288" s="1111">
        <f t="shared" si="433"/>
        <v>0.45078915116546198</v>
      </c>
      <c r="BA288" s="1111">
        <f t="shared" si="434"/>
        <v>0.32686256972546901</v>
      </c>
      <c r="BB288" s="1111">
        <f>SUMIFS(NewEmisData!E:E, NewEmisData!$A:$A, $G288, NewEmisData!$B:$B, $A288, NewEmisData!$C:$C, $H288, NewEmisData!$D:$D, BB$6)</f>
        <v>0.32686256972546901</v>
      </c>
      <c r="BC288" s="1111">
        <f>SUMIFS(NewEmisData!F:F, NewEmisData!$A:$A, $G288, NewEmisData!$B:$B, $A288, NewEmisData!$C:$C, $H288, NewEmisData!$D:$D, BC$6)</f>
        <v>0.12210843934221401</v>
      </c>
      <c r="BD288" s="1111">
        <f>SUMIFS(NewEmisData!G:G, NewEmisData!$A:$A, $G288, NewEmisData!$B:$B, $A288, NewEmisData!$C:$C, $H288, NewEmisData!$D:$D, BD$6)</f>
        <v>6.7146210191433603E-2</v>
      </c>
      <c r="BE288" s="1111">
        <f>SUMIFS(NewEmisData!H:H, NewEmisData!$A:$A, $G288, NewEmisData!$B:$B, $A288, NewEmisData!$C:$C, $H288, NewEmisData!$D:$D, BE$6)</f>
        <v>6.6587970120787598E-2</v>
      </c>
      <c r="BF288" s="1111">
        <f>SUMIFS(NewEmisData!I:I, NewEmisData!$A:$A, $G288, NewEmisData!$B:$B, $A288, NewEmisData!$C:$C, $H288, NewEmisData!$D:$D, BF$6)</f>
        <v>6.5405051516030002E-2</v>
      </c>
      <c r="BG288" s="1111">
        <f>SUMIFS(NewEmisData!J:J, NewEmisData!$A:$A, $G288, NewEmisData!$B:$B, $A288, NewEmisData!$C:$C, $H288, NewEmisData!$D:$D, BG$6)</f>
        <v>6.5233637829240507E-2</v>
      </c>
      <c r="BH288" s="1111">
        <f>SUMIFS(NewEmisData!K:K, NewEmisData!$A:$A, $G288, NewEmisData!$B:$B, $A288, NewEmisData!$C:$C, $H288, NewEmisData!$D:$D, BH$6)</f>
        <v>6.5212571890131396E-2</v>
      </c>
      <c r="BI288" s="1111">
        <f>SUMIFS(NewEmisData!L:L, NewEmisData!$A:$A, $G288, NewEmisData!$B:$B, $A288, NewEmisData!$C:$C, $H288, NewEmisData!$D:$D, BI$6)</f>
        <v>6.5238116883072003E-2</v>
      </c>
      <c r="BJ288" s="1111">
        <f>SUMIFS(NewEmisData!M:M, NewEmisData!$A:$A, $G288, NewEmisData!$B:$B, $A288, NewEmisData!$C:$C, $H288, NewEmisData!$D:$D, BJ$6)</f>
        <v>6.5252352689838797E-2</v>
      </c>
      <c r="BK288" s="1111">
        <f t="shared" si="435"/>
        <v>6.5252352689838797E-2</v>
      </c>
      <c r="BL288" s="1111">
        <f t="shared" si="436"/>
        <v>130.83848080286899</v>
      </c>
      <c r="BM288" s="1111">
        <f>SUMIFS(NewEmisData!E:E, NewEmisData!$A:$A, $G288, NewEmisData!$B:$B, $A288, NewEmisData!$C:$C, $H288, NewEmisData!$D:$D, BM$6)</f>
        <v>130.83848080286899</v>
      </c>
      <c r="BN288" s="1111">
        <f>SUMIFS(NewEmisData!F:F, NewEmisData!$A:$A, $G288, NewEmisData!$B:$B, $A288, NewEmisData!$C:$C, $H288, NewEmisData!$D:$D, BN$6)</f>
        <v>69.1513563753808</v>
      </c>
      <c r="BO288" s="1111">
        <f>SUMIFS(NewEmisData!G:G, NewEmisData!$A:$A, $G288, NewEmisData!$B:$B, $A288, NewEmisData!$C:$C, $H288, NewEmisData!$D:$D, BO$6)</f>
        <v>19.817984760190502</v>
      </c>
      <c r="BP288" s="1111">
        <f>SUMIFS(NewEmisData!H:H, NewEmisData!$A:$A, $G288, NewEmisData!$B:$B, $A288, NewEmisData!$C:$C, $H288, NewEmisData!$D:$D, BP$6)</f>
        <v>17.220719333709599</v>
      </c>
      <c r="BQ288" s="1111">
        <f>SUMIFS(NewEmisData!I:I, NewEmisData!$A:$A, $G288, NewEmisData!$B:$B, $A288, NewEmisData!$C:$C, $H288, NewEmisData!$D:$D, BQ$6)</f>
        <v>17.138637099239801</v>
      </c>
      <c r="BR288" s="1111">
        <f>SUMIFS(NewEmisData!J:J, NewEmisData!$A:$A, $G288, NewEmisData!$B:$B, $A288, NewEmisData!$C:$C, $H288, NewEmisData!$D:$D, BR$6)</f>
        <v>17.632152503072199</v>
      </c>
      <c r="BS288" s="1111">
        <f>SUMIFS(NewEmisData!K:K, NewEmisData!$A:$A, $G288, NewEmisData!$B:$B, $A288, NewEmisData!$C:$C, $H288, NewEmisData!$D:$D, BS$6)</f>
        <v>17.755687797126999</v>
      </c>
      <c r="BT288" s="1111">
        <f>SUMIFS(NewEmisData!L:L, NewEmisData!$A:$A, $G288, NewEmisData!$B:$B, $A288, NewEmisData!$C:$C, $H288, NewEmisData!$D:$D, BT$6)</f>
        <v>17.941584451804498</v>
      </c>
      <c r="BU288" s="1111">
        <f>SUMIFS(NewEmisData!M:M, NewEmisData!$A:$A, $G288, NewEmisData!$B:$B, $A288, NewEmisData!$C:$C, $H288, NewEmisData!$D:$D, BU$6)</f>
        <v>18.0048069260293</v>
      </c>
      <c r="BV288" s="1111">
        <f t="shared" si="437"/>
        <v>18.0048069260293</v>
      </c>
      <c r="BW288" s="1111">
        <f t="shared" si="438"/>
        <v>10.6632197589814</v>
      </c>
      <c r="BX288" s="1111">
        <f>SUMIFS(NewEmisData!E:E, NewEmisData!$A:$A, $G288, NewEmisData!$B:$B, $A288, NewEmisData!$C:$C, $H288, NewEmisData!$D:$D, BX$6)</f>
        <v>10.6632197589814</v>
      </c>
      <c r="BY288" s="1111">
        <f>SUMIFS(NewEmisData!F:F, NewEmisData!$A:$A, $G288, NewEmisData!$B:$B, $A288, NewEmisData!$C:$C, $H288, NewEmisData!$D:$D, BY$6)</f>
        <v>4.8239495150941396</v>
      </c>
      <c r="BZ288" s="1111">
        <f>SUMIFS(NewEmisData!G:G, NewEmisData!$A:$A, $G288, NewEmisData!$B:$B, $A288, NewEmisData!$C:$C, $H288, NewEmisData!$D:$D, BZ$6)</f>
        <v>0.81908851058061705</v>
      </c>
      <c r="CA288" s="1111">
        <f>SUMIFS(NewEmisData!H:H, NewEmisData!$A:$A, $G288, NewEmisData!$B:$B, $A288, NewEmisData!$C:$C, $H288, NewEmisData!$D:$D, CA$6)</f>
        <v>0.62586158145999404</v>
      </c>
      <c r="CB288" s="1111">
        <f>SUMIFS(NewEmisData!I:I, NewEmisData!$A:$A, $G288, NewEmisData!$B:$B, $A288, NewEmisData!$C:$C, $H288, NewEmisData!$D:$D, CB$6)</f>
        <v>0.57122462058997703</v>
      </c>
      <c r="CC288" s="1111">
        <f>SUMIFS(NewEmisData!J:J, NewEmisData!$A:$A, $G288, NewEmisData!$B:$B, $A288, NewEmisData!$C:$C, $H288, NewEmisData!$D:$D, CC$6)</f>
        <v>0.56704170620868999</v>
      </c>
      <c r="CD288" s="1111">
        <f>SUMIFS(NewEmisData!K:K, NewEmisData!$A:$A, $G288, NewEmisData!$B:$B, $A288, NewEmisData!$C:$C, $H288, NewEmisData!$D:$D, CD$6)</f>
        <v>0.56343324146208396</v>
      </c>
      <c r="CE288" s="1111">
        <f>SUMIFS(NewEmisData!L:L, NewEmisData!$A:$A, $G288, NewEmisData!$B:$B, $A288, NewEmisData!$C:$C, $H288, NewEmisData!$D:$D, CE$6)</f>
        <v>0.56643140863739405</v>
      </c>
      <c r="CF288" s="1111">
        <f>SUMIFS(NewEmisData!M:M, NewEmisData!$A:$A, $G288, NewEmisData!$B:$B, $A288, NewEmisData!$C:$C, $H288, NewEmisData!$D:$D, CF$6)</f>
        <v>0.56703635625762505</v>
      </c>
      <c r="CG288" s="1111">
        <f t="shared" si="439"/>
        <v>0.56703635625762505</v>
      </c>
      <c r="CH288" s="1111">
        <f t="shared" si="440"/>
        <v>5.78767923405668E-2</v>
      </c>
      <c r="CI288" s="1111">
        <f>SUMIFS(NewEmisData!E:E, NewEmisData!$A:$A, $G288, NewEmisData!$B:$B, $A288, NewEmisData!$C:$C, $H288, NewEmisData!$D:$D, CI$6)</f>
        <v>5.78767923405668E-2</v>
      </c>
      <c r="CJ288" s="1111">
        <f>SUMIFS(NewEmisData!F:F, NewEmisData!$A:$A, $G288, NewEmisData!$B:$B, $A288, NewEmisData!$C:$C, $H288, NewEmisData!$D:$D, CJ$6)</f>
        <v>5.7878614167795599E-2</v>
      </c>
      <c r="CK288" s="1111">
        <f>SUMIFS(NewEmisData!G:G, NewEmisData!$A:$A, $G288, NewEmisData!$B:$B, $A288, NewEmisData!$C:$C, $H288, NewEmisData!$D:$D, CK$6)</f>
        <v>6.6011734406023898E-2</v>
      </c>
      <c r="CL288" s="1111">
        <f>SUMIFS(NewEmisData!H:H, NewEmisData!$A:$A, $G288, NewEmisData!$B:$B, $A288, NewEmisData!$C:$C, $H288, NewEmisData!$D:$D, CL$6)</f>
        <v>6.6011880543447907E-2</v>
      </c>
      <c r="CM288" s="1111">
        <f>SUMIFS(NewEmisData!I:I, NewEmisData!$A:$A, $G288, NewEmisData!$B:$B, $A288, NewEmisData!$C:$C, $H288, NewEmisData!$D:$D, CM$6)</f>
        <v>6.60108416242811E-2</v>
      </c>
      <c r="CN288" s="1111">
        <f>SUMIFS(NewEmisData!J:J, NewEmisData!$A:$A, $G288, NewEmisData!$B:$B, $A288, NewEmisData!$C:$C, $H288, NewEmisData!$D:$D, CN$6)</f>
        <v>6.6010592604017995E-2</v>
      </c>
      <c r="CO288" s="1111">
        <f>SUMIFS(NewEmisData!K:K, NewEmisData!$A:$A, $G288, NewEmisData!$B:$B, $A288, NewEmisData!$C:$C, $H288, NewEmisData!$D:$D, CO$6)</f>
        <v>6.6010460965888904E-2</v>
      </c>
      <c r="CP288" s="1111">
        <f>SUMIFS(NewEmisData!L:L, NewEmisData!$A:$A, $G288, NewEmisData!$B:$B, $A288, NewEmisData!$C:$C, $H288, NewEmisData!$D:$D, CP$6)</f>
        <v>6.6010507177606106E-2</v>
      </c>
      <c r="CQ288" s="1111">
        <f>SUMIFS(NewEmisData!M:M, NewEmisData!$A:$A, $G288, NewEmisData!$B:$B, $A288, NewEmisData!$C:$C, $H288, NewEmisData!$D:$D, CQ$6)</f>
        <v>6.6010478652079901E-2</v>
      </c>
      <c r="CR288" s="1111">
        <f t="shared" si="441"/>
        <v>6.6010478652079901E-2</v>
      </c>
      <c r="CS288" s="1111">
        <f t="shared" si="442"/>
        <v>0.136220551325273</v>
      </c>
      <c r="CT288" s="1111">
        <f>SUMIFS(NewEmisData!E:E, NewEmisData!$A:$A, $G288, NewEmisData!$B:$B, $A288, NewEmisData!$C:$C, $H288, NewEmisData!$D:$D, CT$6)</f>
        <v>0.136220551325273</v>
      </c>
      <c r="CU288" s="1111">
        <f>SUMIFS(NewEmisData!F:F, NewEmisData!$A:$A, $G288, NewEmisData!$B:$B, $A288, NewEmisData!$C:$C, $H288, NewEmisData!$D:$D, CU$6)</f>
        <v>7.8581411328771694E-2</v>
      </c>
      <c r="CV288" s="1111">
        <f>SUMIFS(NewEmisData!G:G, NewEmisData!$A:$A, $G288, NewEmisData!$B:$B, $A288, NewEmisData!$C:$C, $H288, NewEmisData!$D:$D, CV$6)</f>
        <v>2.7901639783808298E-2</v>
      </c>
      <c r="CW288" s="1111">
        <f>SUMIFS(NewEmisData!H:H, NewEmisData!$A:$A, $G288, NewEmisData!$B:$B, $A288, NewEmisData!$C:$C, $H288, NewEmisData!$D:$D, CW$6)</f>
        <v>1.918958657892E-2</v>
      </c>
      <c r="CX288" s="1111">
        <f>SUMIFS(NewEmisData!I:I, NewEmisData!$A:$A, $G288, NewEmisData!$B:$B, $A288, NewEmisData!$C:$C, $H288, NewEmisData!$D:$D, CX$6)</f>
        <v>1.63653759329912E-2</v>
      </c>
      <c r="CY288" s="1111">
        <f>SUMIFS(NewEmisData!J:J, NewEmisData!$A:$A, $G288, NewEmisData!$B:$B, $A288, NewEmisData!$C:$C, $H288, NewEmisData!$D:$D, CY$6)</f>
        <v>1.5904522358171299E-2</v>
      </c>
      <c r="CZ288" s="1111">
        <f>SUMIFS(NewEmisData!K:K, NewEmisData!$A:$A, $G288, NewEmisData!$B:$B, $A288, NewEmisData!$C:$C, $H288, NewEmisData!$D:$D, CZ$6)</f>
        <v>1.55783654289861E-2</v>
      </c>
      <c r="DA288" s="1111">
        <f>SUMIFS(NewEmisData!L:L, NewEmisData!$A:$A, $G288, NewEmisData!$B:$B, $A288, NewEmisData!$C:$C, $H288, NewEmisData!$D:$D, DA$6)</f>
        <v>1.5635092695124999E-2</v>
      </c>
      <c r="DB288" s="1111">
        <f>SUMIFS(NewEmisData!M:M, NewEmisData!$A:$A, $G288, NewEmisData!$B:$B, $A288, NewEmisData!$C:$C, $H288, NewEmisData!$D:$D, DB$6)</f>
        <v>1.5654923502366299E-2</v>
      </c>
      <c r="DC288" s="1111">
        <f t="shared" si="443"/>
        <v>1.5654923502366299E-2</v>
      </c>
      <c r="DD288" s="1111"/>
      <c r="DE288" s="1111"/>
      <c r="DF288" s="1111"/>
      <c r="DG288" s="1111"/>
      <c r="DH288" s="1111"/>
      <c r="DI288" s="1111"/>
      <c r="DJ288" s="1111"/>
      <c r="DK288" s="1111"/>
      <c r="DL288" s="1111"/>
      <c r="DM288" s="1111"/>
      <c r="DN288" s="1111"/>
      <c r="DO288" s="1111"/>
      <c r="DP288" s="1111"/>
      <c r="DQ288" s="1111"/>
      <c r="DR288" s="1111"/>
      <c r="DS288" s="1111"/>
      <c r="DT288" s="1111"/>
      <c r="DU288" s="1111"/>
      <c r="DV288" s="1111"/>
      <c r="DW288" s="1111"/>
      <c r="DX288" s="1111"/>
      <c r="DY288" s="1111"/>
      <c r="DZ288" s="1111">
        <f t="shared" si="444"/>
        <v>0.62504346102021602</v>
      </c>
      <c r="EA288" s="1111">
        <f>SUMIFS(NewEmisData!E:E, NewEmisData!$A:$A, $G288, NewEmisData!$B:$B, $A288, NewEmisData!$C:$C, $H288, NewEmisData!$D:$D, EA$6)</f>
        <v>0.62504346102021602</v>
      </c>
      <c r="EB288" s="1111">
        <f>SUMIFS(NewEmisData!F:F, NewEmisData!$A:$A, $G288, NewEmisData!$B:$B, $A288, NewEmisData!$C:$C, $H288, NewEmisData!$D:$D, EB$6)</f>
        <v>0.23204922511968301</v>
      </c>
      <c r="EC288" s="1111">
        <f>SUMIFS(NewEmisData!G:G, NewEmisData!$A:$A, $G288, NewEmisData!$B:$B, $A288, NewEmisData!$C:$C, $H288, NewEmisData!$D:$D, EC$6)</f>
        <v>1.8847290687364501E-2</v>
      </c>
      <c r="ED288" s="1111">
        <f>SUMIFS(NewEmisData!H:H, NewEmisData!$A:$A, $G288, NewEmisData!$B:$B, $A288, NewEmisData!$C:$C, $H288, NewEmisData!$D:$D, ED$6)</f>
        <v>1.50181456752262E-2</v>
      </c>
      <c r="EE288" s="1111">
        <f>SUMIFS(NewEmisData!I:I, NewEmisData!$A:$A, $G288, NewEmisData!$B:$B, $A288, NewEmisData!$C:$C, $H288, NewEmisData!$D:$D, EE$6)</f>
        <v>1.46208045841804E-2</v>
      </c>
      <c r="EF288" s="1111">
        <f>SUMIFS(NewEmisData!J:J, NewEmisData!$A:$A, $G288, NewEmisData!$B:$B, $A288, NewEmisData!$C:$C, $H288, NewEmisData!$D:$D, EF$6)</f>
        <v>1.49239047594049E-2</v>
      </c>
      <c r="EG288" s="1111">
        <f>SUMIFS(NewEmisData!K:K, NewEmisData!$A:$A, $G288, NewEmisData!$B:$B, $A288, NewEmisData!$C:$C, $H288, NewEmisData!$D:$D, EG$6)</f>
        <v>1.5019413019286301E-2</v>
      </c>
      <c r="EH288" s="1111">
        <f>SUMIFS(NewEmisData!L:L, NewEmisData!$A:$A, $G288, NewEmisData!$B:$B, $A288, NewEmisData!$C:$C, $H288, NewEmisData!$D:$D, EH$6)</f>
        <v>1.5153092065068799E-2</v>
      </c>
      <c r="EI288" s="1111">
        <f>SUMIFS(NewEmisData!M:M, NewEmisData!$A:$A, $G288, NewEmisData!$B:$B, $A288, NewEmisData!$C:$C, $H288, NewEmisData!$D:$D, EI$6)</f>
        <v>1.5197280715758399E-2</v>
      </c>
      <c r="EJ288" s="1111">
        <f t="shared" si="445"/>
        <v>1.5197280715758399E-2</v>
      </c>
      <c r="EK288" s="1111">
        <f t="shared" si="446"/>
        <v>1638.3455086040899</v>
      </c>
      <c r="EL288" s="1111">
        <f t="shared" ref="EL288:EL311" si="470">K288</f>
        <v>1638.3455086040899</v>
      </c>
      <c r="EM288" s="1111">
        <f t="shared" ref="EM288:EM311" si="471">L288</f>
        <v>1597.91146698485</v>
      </c>
      <c r="EN288" s="1111">
        <f t="shared" ref="EN288:EN311" si="472">M288</f>
        <v>1675.8815285015601</v>
      </c>
      <c r="EO288" s="1111">
        <f t="shared" ref="EO288:EO311" si="473">N288</f>
        <v>1650.32431693742</v>
      </c>
      <c r="EP288" s="1111">
        <f t="shared" ref="EP288:EP311" si="474">O288</f>
        <v>1614.69992415768</v>
      </c>
      <c r="EQ288" s="1111">
        <f t="shared" ref="EQ288:EQ311" si="475">P288</f>
        <v>1606.15558948889</v>
      </c>
      <c r="ER288" s="1111">
        <f t="shared" ref="ER288:ER311" si="476">Q288</f>
        <v>1604.0186206973899</v>
      </c>
      <c r="ES288" s="1111">
        <f t="shared" ref="ES288:ES311" si="477">R288</f>
        <v>1603.71196653328</v>
      </c>
      <c r="ET288" s="1111">
        <f t="shared" ref="ET288:ET311" si="478">S288</f>
        <v>1603.6927150798599</v>
      </c>
      <c r="EU288" s="1111">
        <f t="shared" ref="EU288:EU311" si="479">T288</f>
        <v>1603.6927150798599</v>
      </c>
      <c r="EV288" s="1111">
        <f t="shared" si="447"/>
        <v>9.1319765062058504</v>
      </c>
      <c r="EW288" s="1111">
        <f t="shared" si="460"/>
        <v>9.1319765062058504</v>
      </c>
      <c r="EX288" s="1111">
        <f t="shared" si="461"/>
        <v>5.5211126740351997</v>
      </c>
      <c r="EY288" s="1111">
        <f t="shared" si="462"/>
        <v>1.6178749329459601</v>
      </c>
      <c r="EZ288" s="1111">
        <f t="shared" si="463"/>
        <v>1.2717662893164099</v>
      </c>
      <c r="FA288" s="1111">
        <f t="shared" si="464"/>
        <v>1.1726866302876999</v>
      </c>
      <c r="FB288" s="1111">
        <f t="shared" si="465"/>
        <v>1.1568218913658399</v>
      </c>
      <c r="FC288" s="1111">
        <f t="shared" si="466"/>
        <v>1.1498419858081399</v>
      </c>
      <c r="FD288" s="1111">
        <f t="shared" si="467"/>
        <v>1.1502565377520699</v>
      </c>
      <c r="FE288" s="1111">
        <f t="shared" si="468"/>
        <v>1.15043111371947</v>
      </c>
      <c r="FF288" s="1111">
        <f t="shared" si="469"/>
        <v>1.15043111371947</v>
      </c>
      <c r="FG288" s="1111">
        <f t="shared" si="389"/>
        <v>2.8349118417612802E-2</v>
      </c>
      <c r="FH288" s="1111">
        <f t="shared" si="390"/>
        <v>2.8349118417612802E-2</v>
      </c>
      <c r="FI288" s="1111">
        <f t="shared" si="391"/>
        <v>2.7649475988106201E-2</v>
      </c>
      <c r="FJ288" s="1111">
        <f t="shared" si="392"/>
        <v>2.4041393237435399E-2</v>
      </c>
      <c r="FK288" s="1111">
        <f t="shared" si="393"/>
        <v>2.3674756516432201E-2</v>
      </c>
      <c r="FL288" s="1111">
        <f t="shared" si="394"/>
        <v>2.3163709294895699E-2</v>
      </c>
      <c r="FM288" s="1111">
        <f t="shared" si="395"/>
        <v>2.30411322742359E-2</v>
      </c>
      <c r="FN288" s="1111">
        <f t="shared" si="396"/>
        <v>2.30104772532812E-2</v>
      </c>
      <c r="FO288" s="1111">
        <f t="shared" si="397"/>
        <v>2.3006075572322301E-2</v>
      </c>
      <c r="FP288" s="1111">
        <f t="shared" si="398"/>
        <v>2.30058103409179E-2</v>
      </c>
      <c r="FQ288" s="1111">
        <f t="shared" si="399"/>
        <v>2.30058103409179E-2</v>
      </c>
      <c r="FR288" s="1111">
        <f t="shared" si="449"/>
        <v>0.73529708323819798</v>
      </c>
      <c r="FS288" s="1111">
        <f t="shared" si="450"/>
        <v>0.73529708323819798</v>
      </c>
      <c r="FT288" s="1111">
        <f t="shared" si="451"/>
        <v>0.50377232353792301</v>
      </c>
      <c r="FU288" s="1111">
        <f t="shared" si="452"/>
        <v>0.46277242259546703</v>
      </c>
      <c r="FV288" s="1111">
        <f t="shared" si="453"/>
        <v>0.460021400855742</v>
      </c>
      <c r="FW288" s="1111">
        <f t="shared" si="454"/>
        <v>0.452859239004402</v>
      </c>
      <c r="FX288" s="1111">
        <f t="shared" si="455"/>
        <v>0.451173530693247</v>
      </c>
      <c r="FY288" s="1111">
        <f t="shared" si="456"/>
        <v>0.450827249569491</v>
      </c>
      <c r="FZ288" s="1111">
        <f t="shared" si="457"/>
        <v>0.45077517726501898</v>
      </c>
      <c r="GA288" s="1111">
        <f t="shared" si="458"/>
        <v>0.45078915116546198</v>
      </c>
      <c r="GB288" s="1111">
        <f t="shared" si="459"/>
        <v>0.45078915116546198</v>
      </c>
      <c r="GC288" s="1111">
        <f t="shared" ref="GC288:GC311" si="480">BA288</f>
        <v>0.32686256972546901</v>
      </c>
      <c r="GD288" s="1111">
        <f t="shared" ref="GD288:GD311" si="481">BB288</f>
        <v>0.32686256972546901</v>
      </c>
      <c r="GE288" s="1111">
        <f t="shared" ref="GE288:GE311" si="482">BC288</f>
        <v>0.12210843934221401</v>
      </c>
      <c r="GF288" s="1111">
        <f t="shared" ref="GF288:GF311" si="483">BD288</f>
        <v>6.7146210191433603E-2</v>
      </c>
      <c r="GG288" s="1111">
        <f t="shared" ref="GG288:GG311" si="484">BE288</f>
        <v>6.6587970120787598E-2</v>
      </c>
      <c r="GH288" s="1111">
        <f t="shared" ref="GH288:GH311" si="485">BF288</f>
        <v>6.5405051516030002E-2</v>
      </c>
      <c r="GI288" s="1111">
        <f t="shared" ref="GI288:GI311" si="486">BG288</f>
        <v>6.5233637829240507E-2</v>
      </c>
      <c r="GJ288" s="1111">
        <f t="shared" ref="GJ288:GJ311" si="487">BH288</f>
        <v>6.5212571890131396E-2</v>
      </c>
      <c r="GK288" s="1111">
        <f t="shared" ref="GK288:GK311" si="488">BI288</f>
        <v>6.5238116883072003E-2</v>
      </c>
      <c r="GL288" s="1111">
        <f t="shared" ref="GL288:GL311" si="489">BJ288</f>
        <v>6.5252352689838797E-2</v>
      </c>
      <c r="GM288" s="1111">
        <f t="shared" ref="GM288:GM311" si="490">BK288</f>
        <v>6.5252352689838797E-2</v>
      </c>
    </row>
    <row r="289" spans="1:195" x14ac:dyDescent="0.2">
      <c r="A289" s="1071" t="s">
        <v>188</v>
      </c>
      <c r="B289" s="1071" t="str">
        <f>Technologies!C166</f>
        <v>THSCNGADV</v>
      </c>
      <c r="C289" s="1071" t="str">
        <f>Technologies!D166</f>
        <v>Heavy Truck, Short Haul, Advanced CNG</v>
      </c>
      <c r="D289" s="1071" t="str">
        <f>NewTech!D112</f>
        <v>bn-vmt, bn-vmt/a</v>
      </c>
      <c r="E289" s="1071" t="str">
        <f>Commodities!C$58</f>
        <v>THCNG</v>
      </c>
      <c r="F289" s="1071" t="s">
        <v>98</v>
      </c>
      <c r="G289" s="1110" t="s">
        <v>505</v>
      </c>
      <c r="H289" s="1110" t="s">
        <v>500</v>
      </c>
      <c r="I289" s="1112">
        <v>1</v>
      </c>
      <c r="J289" s="1111" t="str">
        <f t="shared" si="302"/>
        <v>Heavy duty short haul truck-GSL</v>
      </c>
      <c r="K289" s="1111">
        <f>SUMIFS(NewEmisData!E:E, NewEmisData!$A:$A, $G289, NewEmisData!$B:$B, $A289, NewEmisData!$C:$C, $H289, NewEmisData!$D:$D, K$6)</f>
        <v>1245.3418505198399</v>
      </c>
      <c r="L289" s="1111">
        <f>SUMIFS(NewEmisData!F:F, NewEmisData!$A:$A, $G289, NewEmisData!$B:$B, $A289, NewEmisData!$C:$C, $H289, NewEmisData!$D:$D, L$6)</f>
        <v>1233.52680028807</v>
      </c>
      <c r="M289" s="1111">
        <f>SUMIFS(NewEmisData!G:G, NewEmisData!$A:$A, $G289, NewEmisData!$B:$B, $A289, NewEmisData!$C:$C, $H289, NewEmisData!$D:$D, M$6)</f>
        <v>1155.77413052821</v>
      </c>
      <c r="N289" s="1111">
        <f>SUMIFS(NewEmisData!H:H, NewEmisData!$A:$A, $G289, NewEmisData!$B:$B, $A289, NewEmisData!$C:$C, $H289, NewEmisData!$D:$D, N$6)</f>
        <v>1137.9436610154601</v>
      </c>
      <c r="O289" s="1111">
        <f>SUMIFS(NewEmisData!I:I, NewEmisData!$A:$A, $G289, NewEmisData!$B:$B, $A289, NewEmisData!$C:$C, $H289, NewEmisData!$D:$D, O$6)</f>
        <v>1112.6987382597499</v>
      </c>
      <c r="P289" s="1111">
        <f>SUMIFS(NewEmisData!J:J, NewEmisData!$A:$A, $G289, NewEmisData!$B:$B, $A289, NewEmisData!$C:$C, $H289, NewEmisData!$D:$D, P$6)</f>
        <v>1106.54119248744</v>
      </c>
      <c r="Q289" s="1111">
        <f>SUMIFS(NewEmisData!K:K, NewEmisData!$A:$A, $G289, NewEmisData!$B:$B, $A289, NewEmisData!$C:$C, $H289, NewEmisData!$D:$D, Q$6)</f>
        <v>1105.0069411203201</v>
      </c>
      <c r="R289" s="1111">
        <f>SUMIFS(NewEmisData!L:L, NewEmisData!$A:$A, $G289, NewEmisData!$B:$B, $A289, NewEmisData!$C:$C, $H289, NewEmisData!$D:$D, R$6)</f>
        <v>1104.77778091038</v>
      </c>
      <c r="S289" s="1111">
        <f>SUMIFS(NewEmisData!M:M, NewEmisData!$A:$A, $G289, NewEmisData!$B:$B, $A289, NewEmisData!$C:$C, $H289, NewEmisData!$D:$D, S$6)</f>
        <v>1104.7649925096</v>
      </c>
      <c r="T289" s="1111">
        <f t="shared" si="364"/>
        <v>1104.7649925096</v>
      </c>
      <c r="U289" s="1111">
        <f>SUMIFS(NewEmisData!E:E, NewEmisData!$A:$A, $G289, NewEmisData!$B:$B, $A289, NewEmisData!$C:$C, $H289, NewEmisData!$D:$D, U$6)</f>
        <v>4.9618269183312798</v>
      </c>
      <c r="V289" s="1111">
        <f>SUMIFS(NewEmisData!F:F, NewEmisData!$A:$A, $G289, NewEmisData!$B:$B, $A289, NewEmisData!$C:$C, $H289, NewEmisData!$D:$D, V$6)</f>
        <v>3.5223524226374598</v>
      </c>
      <c r="W289" s="1111">
        <f>SUMIFS(NewEmisData!G:G, NewEmisData!$A:$A, $G289, NewEmisData!$B:$B, $A289, NewEmisData!$C:$C, $H289, NewEmisData!$D:$D, W$6)</f>
        <v>1.2618027970035901</v>
      </c>
      <c r="X289" s="1111">
        <f>SUMIFS(NewEmisData!H:H, NewEmisData!$A:$A, $G289, NewEmisData!$B:$B, $A289, NewEmisData!$C:$C, $H289, NewEmisData!$D:$D, X$6)</f>
        <v>0.99784143742540199</v>
      </c>
      <c r="Y289" s="1111">
        <f>SUMIFS(NewEmisData!I:I, NewEmisData!$A:$A, $G289, NewEmisData!$B:$B, $A289, NewEmisData!$C:$C, $H289, NewEmisData!$D:$D, Y$6)</f>
        <v>0.92115341275504903</v>
      </c>
      <c r="Z289" s="1111">
        <f>SUMIFS(NewEmisData!J:J, NewEmisData!$A:$A, $G289, NewEmisData!$B:$B, $A289, NewEmisData!$C:$C, $H289, NewEmisData!$D:$D, Z$6)</f>
        <v>0.90873745362837199</v>
      </c>
      <c r="AA289" s="1111">
        <f>SUMIFS(NewEmisData!K:K, NewEmisData!$A:$A, $G289, NewEmisData!$B:$B, $A289, NewEmisData!$C:$C, $H289, NewEmisData!$D:$D, AA$6)</f>
        <v>0.903404659383922</v>
      </c>
      <c r="AB289" s="1111">
        <f>SUMIFS(NewEmisData!L:L, NewEmisData!$A:$A, $G289, NewEmisData!$B:$B, $A289, NewEmisData!$C:$C, $H289, NewEmisData!$D:$D, AB$6)</f>
        <v>0.90367749375583695</v>
      </c>
      <c r="AC289" s="1111">
        <f>SUMIFS(NewEmisData!M:M, NewEmisData!$A:$A, $G289, NewEmisData!$B:$B, $A289, NewEmisData!$C:$C, $H289, NewEmisData!$D:$D, AC$6)</f>
        <v>0.90380303336619205</v>
      </c>
      <c r="AD289" s="1111">
        <f t="shared" si="448"/>
        <v>0.90380303336619205</v>
      </c>
      <c r="AE289" s="1111">
        <f t="shared" si="430"/>
        <v>2.2268353622481699E-2</v>
      </c>
      <c r="AF289" s="1111">
        <f>SUMIFS(NewEmisData!E:E, NewEmisData!$A:$A, $G289, NewEmisData!$B:$B, $A289, NewEmisData!$C:$C, $H289, NewEmisData!$D:$D, AF$6)</f>
        <v>2.2268353622481699E-2</v>
      </c>
      <c r="AG289" s="1111">
        <f>SUMIFS(NewEmisData!F:F, NewEmisData!$A:$A, $G289, NewEmisData!$B:$B, $A289, NewEmisData!$C:$C, $H289, NewEmisData!$D:$D, AG$6)</f>
        <v>2.15800397384973E-2</v>
      </c>
      <c r="AH289" s="1111">
        <f>SUMIFS(NewEmisData!G:G, NewEmisData!$A:$A, $G289, NewEmisData!$B:$B, $A289, NewEmisData!$C:$C, $H289, NewEmisData!$D:$D, AH$6)</f>
        <v>1.6580182769147099E-2</v>
      </c>
      <c r="AI289" s="1111">
        <f>SUMIFS(NewEmisData!H:H, NewEmisData!$A:$A, $G289, NewEmisData!$B:$B, $A289, NewEmisData!$C:$C, $H289, NewEmisData!$D:$D, AI$6)</f>
        <v>1.6324389370389901E-2</v>
      </c>
      <c r="AJ289" s="1111">
        <f>SUMIFS(NewEmisData!I:I, NewEmisData!$A:$A, $G289, NewEmisData!$B:$B, $A289, NewEmisData!$C:$C, $H289, NewEmisData!$D:$D, AJ$6)</f>
        <v>1.5962239345052798E-2</v>
      </c>
      <c r="AK289" s="1111">
        <f>SUMIFS(NewEmisData!J:J, NewEmisData!$A:$A, $G289, NewEmisData!$B:$B, $A289, NewEmisData!$C:$C, $H289, NewEmisData!$D:$D, AK$6)</f>
        <v>1.5873905588610002E-2</v>
      </c>
      <c r="AL289" s="1111">
        <f>SUMIFS(NewEmisData!K:K, NewEmisData!$A:$A, $G289, NewEmisData!$B:$B, $A289, NewEmisData!$C:$C, $H289, NewEmisData!$D:$D, AL$6)</f>
        <v>1.5851896144737601E-2</v>
      </c>
      <c r="AM289" s="1111">
        <f>SUMIFS(NewEmisData!L:L, NewEmisData!$A:$A, $G289, NewEmisData!$B:$B, $A289, NewEmisData!$C:$C, $H289, NewEmisData!$D:$D, AM$6)</f>
        <v>1.58486207061387E-2</v>
      </c>
      <c r="AN289" s="1111">
        <f>SUMIFS(NewEmisData!M:M, NewEmisData!$A:$A, $G289, NewEmisData!$B:$B, $A289, NewEmisData!$C:$C, $H289, NewEmisData!$D:$D, AN$6)</f>
        <v>1.5848421937017101E-2</v>
      </c>
      <c r="AO289" s="1111">
        <f t="shared" si="431"/>
        <v>1.5848421937017101E-2</v>
      </c>
      <c r="AP289" s="1111">
        <f t="shared" si="432"/>
        <v>0.316522847739098</v>
      </c>
      <c r="AQ289" s="1111">
        <f>SUMIFS(NewEmisData!E:E, NewEmisData!$A:$A, $G289, NewEmisData!$B:$B, $A289, NewEmisData!$C:$C, $H289, NewEmisData!$D:$D, AQ$6)</f>
        <v>0.316522847739098</v>
      </c>
      <c r="AR289" s="1111">
        <f>SUMIFS(NewEmisData!F:F, NewEmisData!$A:$A, $G289, NewEmisData!$B:$B, $A289, NewEmisData!$C:$C, $H289, NewEmisData!$D:$D, AR$6)</f>
        <v>0.296906260657962</v>
      </c>
      <c r="AS289" s="1111">
        <f>SUMIFS(NewEmisData!G:G, NewEmisData!$A:$A, $G289, NewEmisData!$B:$B, $A289, NewEmisData!$C:$C, $H289, NewEmisData!$D:$D, AS$6)</f>
        <v>0.23822746383424401</v>
      </c>
      <c r="AT289" s="1111">
        <f>SUMIFS(NewEmisData!H:H, NewEmisData!$A:$A, $G289, NewEmisData!$B:$B, $A289, NewEmisData!$C:$C, $H289, NewEmisData!$D:$D, AT$6)</f>
        <v>0.23861290236278199</v>
      </c>
      <c r="AU289" s="1111">
        <f>SUMIFS(NewEmisData!I:I, NewEmisData!$A:$A, $G289, NewEmisData!$B:$B, $A289, NewEmisData!$C:$C, $H289, NewEmisData!$D:$D, AU$6)</f>
        <v>0.23938243498850501</v>
      </c>
      <c r="AV289" s="1111">
        <f>SUMIFS(NewEmisData!J:J, NewEmisData!$A:$A, $G289, NewEmisData!$B:$B, $A289, NewEmisData!$C:$C, $H289, NewEmisData!$D:$D, AV$6)</f>
        <v>0.23966935323295199</v>
      </c>
      <c r="AW289" s="1111">
        <f>SUMIFS(NewEmisData!K:K, NewEmisData!$A:$A, $G289, NewEmisData!$B:$B, $A289, NewEmisData!$C:$C, $H289, NewEmisData!$D:$D, AW$6)</f>
        <v>0.239739729662128</v>
      </c>
      <c r="AX289" s="1111">
        <f>SUMIFS(NewEmisData!L:L, NewEmisData!$A:$A, $G289, NewEmisData!$B:$B, $A289, NewEmisData!$C:$C, $H289, NewEmisData!$D:$D, AX$6)</f>
        <v>0.239781897722738</v>
      </c>
      <c r="AY289" s="1111">
        <f>SUMIFS(NewEmisData!M:M, NewEmisData!$A:$A, $G289, NewEmisData!$B:$B, $A289, NewEmisData!$C:$C, $H289, NewEmisData!$D:$D, AY$6)</f>
        <v>0.23979416449461</v>
      </c>
      <c r="AZ289" s="1111">
        <f t="shared" si="433"/>
        <v>0.23979416449461</v>
      </c>
      <c r="BA289" s="1111">
        <f t="shared" si="434"/>
        <v>8.6551780570898199E-2</v>
      </c>
      <c r="BB289" s="1111">
        <f>SUMIFS(NewEmisData!E:E, NewEmisData!$A:$A, $G289, NewEmisData!$B:$B, $A289, NewEmisData!$C:$C, $H289, NewEmisData!$D:$D, BB$6)</f>
        <v>8.6551780570898199E-2</v>
      </c>
      <c r="BC289" s="1111">
        <f>SUMIFS(NewEmisData!F:F, NewEmisData!$A:$A, $G289, NewEmisData!$B:$B, $A289, NewEmisData!$C:$C, $H289, NewEmisData!$D:$D, BC$6)</f>
        <v>6.4372293434568101E-2</v>
      </c>
      <c r="BD289" s="1111">
        <f>SUMIFS(NewEmisData!G:G, NewEmisData!$A:$A, $G289, NewEmisData!$B:$B, $A289, NewEmisData!$C:$C, $H289, NewEmisData!$D:$D, BD$6)</f>
        <v>3.7426910923255501E-2</v>
      </c>
      <c r="BE289" s="1111">
        <f>SUMIFS(NewEmisData!H:H, NewEmisData!$A:$A, $G289, NewEmisData!$B:$B, $A289, NewEmisData!$C:$C, $H289, NewEmisData!$D:$D, BE$6)</f>
        <v>3.7415863467985699E-2</v>
      </c>
      <c r="BF289" s="1111">
        <f>SUMIFS(NewEmisData!I:I, NewEmisData!$A:$A, $G289, NewEmisData!$B:$B, $A289, NewEmisData!$C:$C, $H289, NewEmisData!$D:$D, BF$6)</f>
        <v>3.7155994555793902E-2</v>
      </c>
      <c r="BG289" s="1111">
        <f>SUMIFS(NewEmisData!J:J, NewEmisData!$A:$A, $G289, NewEmisData!$B:$B, $A289, NewEmisData!$C:$C, $H289, NewEmisData!$D:$D, BG$6)</f>
        <v>3.71692451762419E-2</v>
      </c>
      <c r="BH289" s="1111">
        <f>SUMIFS(NewEmisData!K:K, NewEmisData!$A:$A, $G289, NewEmisData!$B:$B, $A289, NewEmisData!$C:$C, $H289, NewEmisData!$D:$D, BH$6)</f>
        <v>3.71792258741903E-2</v>
      </c>
      <c r="BI289" s="1111">
        <f>SUMIFS(NewEmisData!L:L, NewEmisData!$A:$A, $G289, NewEmisData!$B:$B, $A289, NewEmisData!$C:$C, $H289, NewEmisData!$D:$D, BI$6)</f>
        <v>3.7203306400845099E-2</v>
      </c>
      <c r="BJ289" s="1111">
        <f>SUMIFS(NewEmisData!M:M, NewEmisData!$A:$A, $G289, NewEmisData!$B:$B, $A289, NewEmisData!$C:$C, $H289, NewEmisData!$D:$D, BJ$6)</f>
        <v>3.7213861680524402E-2</v>
      </c>
      <c r="BK289" s="1111">
        <f t="shared" si="435"/>
        <v>3.7213861680524402E-2</v>
      </c>
      <c r="BL289" s="1111">
        <f t="shared" si="436"/>
        <v>44.405857011560997</v>
      </c>
      <c r="BM289" s="1111">
        <f>SUMIFS(NewEmisData!E:E, NewEmisData!$A:$A, $G289, NewEmisData!$B:$B, $A289, NewEmisData!$C:$C, $H289, NewEmisData!$D:$D, BM$6)</f>
        <v>44.405857011560997</v>
      </c>
      <c r="BN289" s="1111">
        <f>SUMIFS(NewEmisData!F:F, NewEmisData!$A:$A, $G289, NewEmisData!$B:$B, $A289, NewEmisData!$C:$C, $H289, NewEmisData!$D:$D, BN$6)</f>
        <v>36.848029493126198</v>
      </c>
      <c r="BO289" s="1111">
        <f>SUMIFS(NewEmisData!G:G, NewEmisData!$A:$A, $G289, NewEmisData!$B:$B, $A289, NewEmisData!$C:$C, $H289, NewEmisData!$D:$D, BO$6)</f>
        <v>14.0750386718197</v>
      </c>
      <c r="BP289" s="1111">
        <f>SUMIFS(NewEmisData!H:H, NewEmisData!$A:$A, $G289, NewEmisData!$B:$B, $A289, NewEmisData!$C:$C, $H289, NewEmisData!$D:$D, BP$6)</f>
        <v>12.254998131296899</v>
      </c>
      <c r="BQ289" s="1111">
        <f>SUMIFS(NewEmisData!I:I, NewEmisData!$A:$A, $G289, NewEmisData!$B:$B, $A289, NewEmisData!$C:$C, $H289, NewEmisData!$D:$D, BQ$6)</f>
        <v>12.2179762392729</v>
      </c>
      <c r="BR289" s="1111">
        <f>SUMIFS(NewEmisData!J:J, NewEmisData!$A:$A, $G289, NewEmisData!$B:$B, $A289, NewEmisData!$C:$C, $H289, NewEmisData!$D:$D, BR$6)</f>
        <v>12.5483128548097</v>
      </c>
      <c r="BS289" s="1111">
        <f>SUMIFS(NewEmisData!K:K, NewEmisData!$A:$A, $G289, NewEmisData!$B:$B, $A289, NewEmisData!$C:$C, $H289, NewEmisData!$D:$D, BS$6)</f>
        <v>12.6290552691631</v>
      </c>
      <c r="BT289" s="1111">
        <f>SUMIFS(NewEmisData!L:L, NewEmisData!$A:$A, $G289, NewEmisData!$B:$B, $A289, NewEmisData!$C:$C, $H289, NewEmisData!$D:$D, BT$6)</f>
        <v>12.756109867155899</v>
      </c>
      <c r="BU289" s="1111">
        <f>SUMIFS(NewEmisData!M:M, NewEmisData!$A:$A, $G289, NewEmisData!$B:$B, $A289, NewEmisData!$C:$C, $H289, NewEmisData!$D:$D, BU$6)</f>
        <v>12.800533369187299</v>
      </c>
      <c r="BV289" s="1111">
        <f t="shared" si="437"/>
        <v>12.800533369187299</v>
      </c>
      <c r="BW289" s="1111">
        <f t="shared" si="438"/>
        <v>2.14680819384954</v>
      </c>
      <c r="BX289" s="1111">
        <f>SUMIFS(NewEmisData!E:E, NewEmisData!$A:$A, $G289, NewEmisData!$B:$B, $A289, NewEmisData!$C:$C, $H289, NewEmisData!$D:$D, BX$6)</f>
        <v>2.14680819384954</v>
      </c>
      <c r="BY289" s="1111">
        <f>SUMIFS(NewEmisData!F:F, NewEmisData!$A:$A, $G289, NewEmisData!$B:$B, $A289, NewEmisData!$C:$C, $H289, NewEmisData!$D:$D, BY$6)</f>
        <v>1.6414932721656601</v>
      </c>
      <c r="BZ289" s="1111">
        <f>SUMIFS(NewEmisData!G:G, NewEmisData!$A:$A, $G289, NewEmisData!$B:$B, $A289, NewEmisData!$C:$C, $H289, NewEmisData!$D:$D, BZ$6)</f>
        <v>0.47923130880280401</v>
      </c>
      <c r="CA289" s="1111">
        <f>SUMIFS(NewEmisData!H:H, NewEmisData!$A:$A, $G289, NewEmisData!$B:$B, $A289, NewEmisData!$C:$C, $H289, NewEmisData!$D:$D, CA$6)</f>
        <v>0.36532781197988201</v>
      </c>
      <c r="CB289" s="1111">
        <f>SUMIFS(NewEmisData!I:I, NewEmisData!$A:$A, $G289, NewEmisData!$B:$B, $A289, NewEmisData!$C:$C, $H289, NewEmisData!$D:$D, CB$6)</f>
        <v>0.334636907672411</v>
      </c>
      <c r="CC289" s="1111">
        <f>SUMIFS(NewEmisData!J:J, NewEmisData!$A:$A, $G289, NewEmisData!$B:$B, $A289, NewEmisData!$C:$C, $H289, NewEmisData!$D:$D, CC$6)</f>
        <v>0.33199768040625</v>
      </c>
      <c r="CD289" s="1111">
        <f>SUMIFS(NewEmisData!K:K, NewEmisData!$A:$A, $G289, NewEmisData!$B:$B, $A289, NewEmisData!$C:$C, $H289, NewEmisData!$D:$D, CD$6)</f>
        <v>0.32940217473438299</v>
      </c>
      <c r="CE289" s="1111">
        <f>SUMIFS(NewEmisData!L:L, NewEmisData!$A:$A, $G289, NewEmisData!$B:$B, $A289, NewEmisData!$C:$C, $H289, NewEmisData!$D:$D, CE$6)</f>
        <v>0.33126268454531199</v>
      </c>
      <c r="CF289" s="1111">
        <f>SUMIFS(NewEmisData!M:M, NewEmisData!$A:$A, $G289, NewEmisData!$B:$B, $A289, NewEmisData!$C:$C, $H289, NewEmisData!$D:$D, CF$6)</f>
        <v>0.331634896570775</v>
      </c>
      <c r="CG289" s="1111">
        <f t="shared" si="439"/>
        <v>0.331634896570775</v>
      </c>
      <c r="CH289" s="1111">
        <f t="shared" si="440"/>
        <v>4.49194482849559E-2</v>
      </c>
      <c r="CI289" s="1111">
        <f>SUMIFS(NewEmisData!E:E, NewEmisData!$A:$A, $G289, NewEmisData!$B:$B, $A289, NewEmisData!$C:$C, $H289, NewEmisData!$D:$D, CI$6)</f>
        <v>4.49194482849559E-2</v>
      </c>
      <c r="CJ289" s="1111">
        <f>SUMIFS(NewEmisData!F:F, NewEmisData!$A:$A, $G289, NewEmisData!$B:$B, $A289, NewEmisData!$C:$C, $H289, NewEmisData!$D:$D, CJ$6)</f>
        <v>4.5044780297083503E-2</v>
      </c>
      <c r="CK289" s="1111">
        <f>SUMIFS(NewEmisData!G:G, NewEmisData!$A:$A, $G289, NewEmisData!$B:$B, $A289, NewEmisData!$C:$C, $H289, NewEmisData!$D:$D, CK$6)</f>
        <v>4.5736190408202697E-2</v>
      </c>
      <c r="CL289" s="1111">
        <f>SUMIFS(NewEmisData!H:H, NewEmisData!$A:$A, $G289, NewEmisData!$B:$B, $A289, NewEmisData!$C:$C, $H289, NewEmisData!$D:$D, CL$6)</f>
        <v>4.5759494534362899E-2</v>
      </c>
      <c r="CM289" s="1111">
        <f>SUMIFS(NewEmisData!I:I, NewEmisData!$A:$A, $G289, NewEmisData!$B:$B, $A289, NewEmisData!$C:$C, $H289, NewEmisData!$D:$D, CM$6)</f>
        <v>4.5817996189111899E-2</v>
      </c>
      <c r="CN289" s="1111">
        <f>SUMIFS(NewEmisData!J:J, NewEmisData!$A:$A, $G289, NewEmisData!$B:$B, $A289, NewEmisData!$C:$C, $H289, NewEmisData!$D:$D, CN$6)</f>
        <v>4.5833049406016901E-2</v>
      </c>
      <c r="CO289" s="1111">
        <f>SUMIFS(NewEmisData!K:K, NewEmisData!$A:$A, $G289, NewEmisData!$B:$B, $A289, NewEmisData!$C:$C, $H289, NewEmisData!$D:$D, CO$6)</f>
        <v>4.5836329184160897E-2</v>
      </c>
      <c r="CP289" s="1111">
        <f>SUMIFS(NewEmisData!L:L, NewEmisData!$A:$A, $G289, NewEmisData!$B:$B, $A289, NewEmisData!$C:$C, $H289, NewEmisData!$D:$D, CP$6)</f>
        <v>4.58372025008323E-2</v>
      </c>
      <c r="CQ289" s="1111">
        <f>SUMIFS(NewEmisData!M:M, NewEmisData!$A:$A, $G289, NewEmisData!$B:$B, $A289, NewEmisData!$C:$C, $H289, NewEmisData!$D:$D, CQ$6)</f>
        <v>4.5837179172897799E-2</v>
      </c>
      <c r="CR289" s="1111">
        <f t="shared" si="441"/>
        <v>4.5837179172897799E-2</v>
      </c>
      <c r="CS289" s="1111">
        <f t="shared" si="442"/>
        <v>4.23785786247831E-2</v>
      </c>
      <c r="CT289" s="1111">
        <f>SUMIFS(NewEmisData!E:E, NewEmisData!$A:$A, $G289, NewEmisData!$B:$B, $A289, NewEmisData!$C:$C, $H289, NewEmisData!$D:$D, CT$6)</f>
        <v>4.23785786247831E-2</v>
      </c>
      <c r="CU289" s="1111">
        <f>SUMIFS(NewEmisData!F:F, NewEmisData!$A:$A, $G289, NewEmisData!$B:$B, $A289, NewEmisData!$C:$C, $H289, NewEmisData!$D:$D, CU$6)</f>
        <v>3.6476147142376902E-2</v>
      </c>
      <c r="CV289" s="1111">
        <f>SUMIFS(NewEmisData!G:G, NewEmisData!$A:$A, $G289, NewEmisData!$B:$B, $A289, NewEmisData!$C:$C, $H289, NewEmisData!$D:$D, CV$6)</f>
        <v>1.5910071003880501E-2</v>
      </c>
      <c r="CW289" s="1111">
        <f>SUMIFS(NewEmisData!H:H, NewEmisData!$A:$A, $G289, NewEmisData!$B:$B, $A289, NewEmisData!$C:$C, $H289, NewEmisData!$D:$D, CW$6)</f>
        <v>1.0887161334639401E-2</v>
      </c>
      <c r="CX289" s="1111">
        <f>SUMIFS(NewEmisData!I:I, NewEmisData!$A:$A, $G289, NewEmisData!$B:$B, $A289, NewEmisData!$C:$C, $H289, NewEmisData!$D:$D, CX$6)</f>
        <v>9.2481178897355007E-3</v>
      </c>
      <c r="CY289" s="1111">
        <f>SUMIFS(NewEmisData!J:J, NewEmisData!$A:$A, $G289, NewEmisData!$B:$B, $A289, NewEmisData!$C:$C, $H289, NewEmisData!$D:$D, CY$6)</f>
        <v>8.9851479443452901E-3</v>
      </c>
      <c r="CZ289" s="1111">
        <f>SUMIFS(NewEmisData!K:K, NewEmisData!$A:$A, $G289, NewEmisData!$B:$B, $A289, NewEmisData!$C:$C, $H289, NewEmisData!$D:$D, CZ$6)</f>
        <v>8.7728322711615007E-3</v>
      </c>
      <c r="DA289" s="1111">
        <f>SUMIFS(NewEmisData!L:L, NewEmisData!$A:$A, $G289, NewEmisData!$B:$B, $A289, NewEmisData!$C:$C, $H289, NewEmisData!$D:$D, DA$6)</f>
        <v>8.8121160479205408E-3</v>
      </c>
      <c r="DB289" s="1111">
        <f>SUMIFS(NewEmisData!M:M, NewEmisData!$A:$A, $G289, NewEmisData!$B:$B, $A289, NewEmisData!$C:$C, $H289, NewEmisData!$D:$D, DB$6)</f>
        <v>8.8260551340968493E-3</v>
      </c>
      <c r="DC289" s="1111">
        <f t="shared" si="443"/>
        <v>8.8260551340968493E-3</v>
      </c>
      <c r="DD289" s="1111"/>
      <c r="DE289" s="1111"/>
      <c r="DF289" s="1111"/>
      <c r="DG289" s="1111"/>
      <c r="DH289" s="1111"/>
      <c r="DI289" s="1111"/>
      <c r="DJ289" s="1111"/>
      <c r="DK289" s="1111"/>
      <c r="DL289" s="1111"/>
      <c r="DM289" s="1111"/>
      <c r="DN289" s="1111"/>
      <c r="DO289" s="1111"/>
      <c r="DP289" s="1111"/>
      <c r="DQ289" s="1111"/>
      <c r="DR289" s="1111"/>
      <c r="DS289" s="1111"/>
      <c r="DT289" s="1111"/>
      <c r="DU289" s="1111"/>
      <c r="DV289" s="1111"/>
      <c r="DW289" s="1111"/>
      <c r="DX289" s="1111"/>
      <c r="DY289" s="1111"/>
      <c r="DZ289" s="1111">
        <f t="shared" si="444"/>
        <v>7.9223624422698202E-2</v>
      </c>
      <c r="EA289" s="1111">
        <f>SUMIFS(NewEmisData!E:E, NewEmisData!$A:$A, $G289, NewEmisData!$B:$B, $A289, NewEmisData!$C:$C, $H289, NewEmisData!$D:$D, EA$6)</f>
        <v>7.9223624422698202E-2</v>
      </c>
      <c r="EB289" s="1111">
        <f>SUMIFS(NewEmisData!F:F, NewEmisData!$A:$A, $G289, NewEmisData!$B:$B, $A289, NewEmisData!$C:$C, $H289, NewEmisData!$D:$D, EB$6)</f>
        <v>4.9616772406464199E-2</v>
      </c>
      <c r="EC289" s="1111">
        <f>SUMIFS(NewEmisData!G:G, NewEmisData!$A:$A, $G289, NewEmisData!$B:$B, $A289, NewEmisData!$C:$C, $H289, NewEmisData!$D:$D, EC$6)</f>
        <v>1.1730401934771701E-2</v>
      </c>
      <c r="ED289" s="1111">
        <f>SUMIFS(NewEmisData!H:H, NewEmisData!$A:$A, $G289, NewEmisData!$B:$B, $A289, NewEmisData!$C:$C, $H289, NewEmisData!$D:$D, ED$6)</f>
        <v>9.4240573443951908E-3</v>
      </c>
      <c r="EE289" s="1111">
        <f>SUMIFS(NewEmisData!I:I, NewEmisData!$A:$A, $G289, NewEmisData!$B:$B, $A289, NewEmisData!$C:$C, $H289, NewEmisData!$D:$D, EE$6)</f>
        <v>9.2771376980736696E-3</v>
      </c>
      <c r="EF289" s="1111">
        <f>SUMIFS(NewEmisData!J:J, NewEmisData!$A:$A, $G289, NewEmisData!$B:$B, $A289, NewEmisData!$C:$C, $H289, NewEmisData!$D:$D, EF$6)</f>
        <v>9.4970065030402697E-3</v>
      </c>
      <c r="EG289" s="1111">
        <f>SUMIFS(NewEmisData!K:K, NewEmisData!$A:$A, $G289, NewEmisData!$B:$B, $A289, NewEmisData!$C:$C, $H289, NewEmisData!$D:$D, EG$6)</f>
        <v>9.5652604789833208E-3</v>
      </c>
      <c r="EH289" s="1111">
        <f>SUMIFS(NewEmisData!L:L, NewEmisData!$A:$A, $G289, NewEmisData!$B:$B, $A289, NewEmisData!$C:$C, $H289, NewEmisData!$D:$D, EH$6)</f>
        <v>9.6560772920169392E-3</v>
      </c>
      <c r="EI289" s="1111">
        <f>SUMIFS(NewEmisData!M:M, NewEmisData!$A:$A, $G289, NewEmisData!$B:$B, $A289, NewEmisData!$C:$C, $H289, NewEmisData!$D:$D, EI$6)</f>
        <v>9.6867337196690894E-3</v>
      </c>
      <c r="EJ289" s="1111">
        <f t="shared" si="445"/>
        <v>9.6867337196690894E-3</v>
      </c>
      <c r="EK289" s="1111">
        <f t="shared" si="446"/>
        <v>1245.3418505198399</v>
      </c>
      <c r="EL289" s="1111">
        <f t="shared" si="470"/>
        <v>1245.3418505198399</v>
      </c>
      <c r="EM289" s="1111">
        <f t="shared" si="471"/>
        <v>1233.52680028807</v>
      </c>
      <c r="EN289" s="1111">
        <f t="shared" si="472"/>
        <v>1155.77413052821</v>
      </c>
      <c r="EO289" s="1111">
        <f t="shared" si="473"/>
        <v>1137.9436610154601</v>
      </c>
      <c r="EP289" s="1111">
        <f t="shared" si="474"/>
        <v>1112.6987382597499</v>
      </c>
      <c r="EQ289" s="1111">
        <f t="shared" si="475"/>
        <v>1106.54119248744</v>
      </c>
      <c r="ER289" s="1111">
        <f t="shared" si="476"/>
        <v>1105.0069411203201</v>
      </c>
      <c r="ES289" s="1111">
        <f t="shared" si="477"/>
        <v>1104.77778091038</v>
      </c>
      <c r="ET289" s="1111">
        <f t="shared" si="478"/>
        <v>1104.7649925096</v>
      </c>
      <c r="EU289" s="1111">
        <f t="shared" si="479"/>
        <v>1104.7649925096</v>
      </c>
      <c r="EV289" s="1111">
        <f t="shared" si="447"/>
        <v>4.9618269183312798</v>
      </c>
      <c r="EW289" s="1111">
        <f t="shared" si="460"/>
        <v>4.9618269183312798</v>
      </c>
      <c r="EX289" s="1111">
        <f t="shared" si="461"/>
        <v>3.5223524226374598</v>
      </c>
      <c r="EY289" s="1111">
        <f t="shared" si="462"/>
        <v>1.2618027970035901</v>
      </c>
      <c r="EZ289" s="1111">
        <f t="shared" si="463"/>
        <v>0.99784143742540199</v>
      </c>
      <c r="FA289" s="1111">
        <f t="shared" si="464"/>
        <v>0.92115341275504903</v>
      </c>
      <c r="FB289" s="1111">
        <f t="shared" si="465"/>
        <v>0.90873745362837199</v>
      </c>
      <c r="FC289" s="1111">
        <f t="shared" si="466"/>
        <v>0.903404659383922</v>
      </c>
      <c r="FD289" s="1111">
        <f t="shared" si="467"/>
        <v>0.90367749375583695</v>
      </c>
      <c r="FE289" s="1111">
        <f t="shared" si="468"/>
        <v>0.90380303336619205</v>
      </c>
      <c r="FF289" s="1111">
        <f t="shared" si="469"/>
        <v>0.90380303336619205</v>
      </c>
      <c r="FG289" s="1111">
        <f t="shared" si="389"/>
        <v>2.2268353622481699E-2</v>
      </c>
      <c r="FH289" s="1111">
        <f t="shared" si="390"/>
        <v>2.2268353622481699E-2</v>
      </c>
      <c r="FI289" s="1111">
        <f t="shared" si="391"/>
        <v>2.15800397384973E-2</v>
      </c>
      <c r="FJ289" s="1111">
        <f t="shared" si="392"/>
        <v>1.6580182769147099E-2</v>
      </c>
      <c r="FK289" s="1111">
        <f t="shared" si="393"/>
        <v>1.6324389370389901E-2</v>
      </c>
      <c r="FL289" s="1111">
        <f t="shared" si="394"/>
        <v>1.5962239345052798E-2</v>
      </c>
      <c r="FM289" s="1111">
        <f t="shared" si="395"/>
        <v>1.5873905588610002E-2</v>
      </c>
      <c r="FN289" s="1111">
        <f t="shared" si="396"/>
        <v>1.5851896144737601E-2</v>
      </c>
      <c r="FO289" s="1111">
        <f t="shared" si="397"/>
        <v>1.58486207061387E-2</v>
      </c>
      <c r="FP289" s="1111">
        <f t="shared" si="398"/>
        <v>1.5848421937017101E-2</v>
      </c>
      <c r="FQ289" s="1111">
        <f t="shared" si="399"/>
        <v>1.5848421937017101E-2</v>
      </c>
      <c r="FR289" s="1111">
        <f t="shared" si="449"/>
        <v>0.316522847739098</v>
      </c>
      <c r="FS289" s="1111">
        <f t="shared" si="450"/>
        <v>0.316522847739098</v>
      </c>
      <c r="FT289" s="1111">
        <f t="shared" si="451"/>
        <v>0.296906260657962</v>
      </c>
      <c r="FU289" s="1111">
        <f t="shared" si="452"/>
        <v>0.23822746383424401</v>
      </c>
      <c r="FV289" s="1111">
        <f t="shared" si="453"/>
        <v>0.23861290236278199</v>
      </c>
      <c r="FW289" s="1111">
        <f t="shared" si="454"/>
        <v>0.23938243498850501</v>
      </c>
      <c r="FX289" s="1111">
        <f t="shared" si="455"/>
        <v>0.23966935323295199</v>
      </c>
      <c r="FY289" s="1111">
        <f t="shared" si="456"/>
        <v>0.239739729662128</v>
      </c>
      <c r="FZ289" s="1111">
        <f t="shared" si="457"/>
        <v>0.239781897722738</v>
      </c>
      <c r="GA289" s="1111">
        <f t="shared" si="458"/>
        <v>0.23979416449461</v>
      </c>
      <c r="GB289" s="1111">
        <f t="shared" si="459"/>
        <v>0.23979416449461</v>
      </c>
      <c r="GC289" s="1111">
        <f t="shared" si="480"/>
        <v>8.6551780570898199E-2</v>
      </c>
      <c r="GD289" s="1111">
        <f t="shared" si="481"/>
        <v>8.6551780570898199E-2</v>
      </c>
      <c r="GE289" s="1111">
        <f t="shared" si="482"/>
        <v>6.4372293434568101E-2</v>
      </c>
      <c r="GF289" s="1111">
        <f t="shared" si="483"/>
        <v>3.7426910923255501E-2</v>
      </c>
      <c r="GG289" s="1111">
        <f t="shared" si="484"/>
        <v>3.7415863467985699E-2</v>
      </c>
      <c r="GH289" s="1111">
        <f t="shared" si="485"/>
        <v>3.7155994555793902E-2</v>
      </c>
      <c r="GI289" s="1111">
        <f t="shared" si="486"/>
        <v>3.71692451762419E-2</v>
      </c>
      <c r="GJ289" s="1111">
        <f t="shared" si="487"/>
        <v>3.71792258741903E-2</v>
      </c>
      <c r="GK289" s="1111">
        <f t="shared" si="488"/>
        <v>3.7203306400845099E-2</v>
      </c>
      <c r="GL289" s="1111">
        <f t="shared" si="489"/>
        <v>3.7213861680524402E-2</v>
      </c>
      <c r="GM289" s="1111">
        <f t="shared" si="490"/>
        <v>3.7213861680524402E-2</v>
      </c>
    </row>
    <row r="290" spans="1:195" x14ac:dyDescent="0.2">
      <c r="A290" s="1071" t="s">
        <v>190</v>
      </c>
      <c r="B290" s="1071" t="str">
        <f>Technologies!C166</f>
        <v>THSCNGADV</v>
      </c>
      <c r="C290" s="1071" t="str">
        <f>Technologies!D166</f>
        <v>Heavy Truck, Short Haul, Advanced CNG</v>
      </c>
      <c r="D290" s="1071" t="str">
        <f>NewTech!D112</f>
        <v>bn-vmt, bn-vmt/a</v>
      </c>
      <c r="E290" s="1071" t="str">
        <f>Commodities!C$58</f>
        <v>THCNG</v>
      </c>
      <c r="F290" s="1071" t="s">
        <v>98</v>
      </c>
      <c r="G290" s="1110" t="s">
        <v>505</v>
      </c>
      <c r="H290" s="1110" t="s">
        <v>500</v>
      </c>
      <c r="I290" s="1112">
        <v>1</v>
      </c>
      <c r="J290" s="1111" t="str">
        <f t="shared" si="302"/>
        <v>Heavy duty short haul truck-GSL</v>
      </c>
      <c r="K290" s="1111">
        <f>SUMIFS(NewEmisData!E:E, NewEmisData!$A:$A, $G290, NewEmisData!$B:$B, $A290, NewEmisData!$C:$C, $H290, NewEmisData!$D:$D, K$6)</f>
        <v>1241.38928176117</v>
      </c>
      <c r="L290" s="1111">
        <f>SUMIFS(NewEmisData!F:F, NewEmisData!$A:$A, $G290, NewEmisData!$B:$B, $A290, NewEmisData!$C:$C, $H290, NewEmisData!$D:$D, L$6)</f>
        <v>1226.10777955711</v>
      </c>
      <c r="M290" s="1111">
        <f>SUMIFS(NewEmisData!G:G, NewEmisData!$A:$A, $G290, NewEmisData!$B:$B, $A290, NewEmisData!$C:$C, $H290, NewEmisData!$D:$D, M$6)</f>
        <v>1383.33894651986</v>
      </c>
      <c r="N290" s="1111">
        <f>SUMIFS(NewEmisData!H:H, NewEmisData!$A:$A, $G290, NewEmisData!$B:$B, $A290, NewEmisData!$C:$C, $H290, NewEmisData!$D:$D, N$6)</f>
        <v>1356.5010921445701</v>
      </c>
      <c r="O290" s="1111">
        <f>SUMIFS(NewEmisData!I:I, NewEmisData!$A:$A, $G290, NewEmisData!$B:$B, $A290, NewEmisData!$C:$C, $H290, NewEmisData!$D:$D, O$6)</f>
        <v>1306.9931195674901</v>
      </c>
      <c r="P290" s="1111">
        <f>SUMIFS(NewEmisData!J:J, NewEmisData!$A:$A, $G290, NewEmisData!$B:$B, $A290, NewEmisData!$C:$C, $H290, NewEmisData!$D:$D, P$6)</f>
        <v>1294.5393575191799</v>
      </c>
      <c r="Q290" s="1111">
        <f>SUMIFS(NewEmisData!K:K, NewEmisData!$A:$A, $G290, NewEmisData!$B:$B, $A290, NewEmisData!$C:$C, $H290, NewEmisData!$D:$D, Q$6)</f>
        <v>1291.60029261402</v>
      </c>
      <c r="R290" s="1111">
        <f>SUMIFS(NewEmisData!L:L, NewEmisData!$A:$A, $G290, NewEmisData!$B:$B, $A290, NewEmisData!$C:$C, $H290, NewEmisData!$D:$D, R$6)</f>
        <v>1291.22786948009</v>
      </c>
      <c r="S290" s="1111">
        <f>SUMIFS(NewEmisData!M:M, NewEmisData!$A:$A, $G290, NewEmisData!$B:$B, $A290, NewEmisData!$C:$C, $H290, NewEmisData!$D:$D, S$6)</f>
        <v>1291.2762589420699</v>
      </c>
      <c r="T290" s="1111">
        <f t="shared" si="364"/>
        <v>1291.2762589420699</v>
      </c>
      <c r="U290" s="1111">
        <f>SUMIFS(NewEmisData!E:E, NewEmisData!$A:$A, $G290, NewEmisData!$B:$B, $A290, NewEmisData!$C:$C, $H290, NewEmisData!$D:$D, U$6)</f>
        <v>6.2719490238573599</v>
      </c>
      <c r="V290" s="1111">
        <f>SUMIFS(NewEmisData!F:F, NewEmisData!$A:$A, $G290, NewEmisData!$B:$B, $A290, NewEmisData!$C:$C, $H290, NewEmisData!$D:$D, V$6)</f>
        <v>3.54586562371545</v>
      </c>
      <c r="W290" s="1111">
        <f>SUMIFS(NewEmisData!G:G, NewEmisData!$A:$A, $G290, NewEmisData!$B:$B, $A290, NewEmisData!$C:$C, $H290, NewEmisData!$D:$D, W$6)</f>
        <v>1.5390863619428401</v>
      </c>
      <c r="X290" s="1111">
        <f>SUMIFS(NewEmisData!H:H, NewEmisData!$A:$A, $G290, NewEmisData!$B:$B, $A290, NewEmisData!$C:$C, $H290, NewEmisData!$D:$D, X$6)</f>
        <v>1.17307553707704</v>
      </c>
      <c r="Y290" s="1111">
        <f>SUMIFS(NewEmisData!I:I, NewEmisData!$A:$A, $G290, NewEmisData!$B:$B, $A290, NewEmisData!$C:$C, $H290, NewEmisData!$D:$D, Y$6)</f>
        <v>1.0487695492759499</v>
      </c>
      <c r="Z290" s="1111">
        <f>SUMIFS(NewEmisData!J:J, NewEmisData!$A:$A, $G290, NewEmisData!$B:$B, $A290, NewEmisData!$C:$C, $H290, NewEmisData!$D:$D, Z$6)</f>
        <v>1.0243777697646099</v>
      </c>
      <c r="AA290" s="1111">
        <f>SUMIFS(NewEmisData!K:K, NewEmisData!$A:$A, $G290, NewEmisData!$B:$B, $A290, NewEmisData!$C:$C, $H290, NewEmisData!$D:$D, AA$6)</f>
        <v>1.01315476025102</v>
      </c>
      <c r="AB290" s="1111">
        <f>SUMIFS(NewEmisData!L:L, NewEmisData!$A:$A, $G290, NewEmisData!$B:$B, $A290, NewEmisData!$C:$C, $H290, NewEmisData!$D:$D, AB$6)</f>
        <v>1.01368282027686</v>
      </c>
      <c r="AC290" s="1111">
        <f>SUMIFS(NewEmisData!M:M, NewEmisData!$A:$A, $G290, NewEmisData!$B:$B, $A290, NewEmisData!$C:$C, $H290, NewEmisData!$D:$D, AC$6)</f>
        <v>1.0139821488193099</v>
      </c>
      <c r="AD290" s="1111">
        <f t="shared" si="448"/>
        <v>1.0139821488193099</v>
      </c>
      <c r="AE290" s="1111">
        <f t="shared" si="430"/>
        <v>2.1480399186289099E-2</v>
      </c>
      <c r="AF290" s="1111">
        <f>SUMIFS(NewEmisData!E:E, NewEmisData!$A:$A, $G290, NewEmisData!$B:$B, $A290, NewEmisData!$C:$C, $H290, NewEmisData!$D:$D, AF$6)</f>
        <v>2.1480399186289099E-2</v>
      </c>
      <c r="AG290" s="1111">
        <f>SUMIFS(NewEmisData!F:F, NewEmisData!$A:$A, $G290, NewEmisData!$B:$B, $A290, NewEmisData!$C:$C, $H290, NewEmisData!$D:$D, AG$6)</f>
        <v>2.12159707578937E-2</v>
      </c>
      <c r="AH290" s="1111">
        <f>SUMIFS(NewEmisData!G:G, NewEmisData!$A:$A, $G290, NewEmisData!$B:$B, $A290, NewEmisData!$C:$C, $H290, NewEmisData!$D:$D, AH$6)</f>
        <v>1.98447183890453E-2</v>
      </c>
      <c r="AI290" s="1111">
        <f>SUMIFS(NewEmisData!H:H, NewEmisData!$A:$A, $G290, NewEmisData!$B:$B, $A290, NewEmisData!$C:$C, $H290, NewEmisData!$D:$D, AI$6)</f>
        <v>1.9459715058680899E-2</v>
      </c>
      <c r="AJ290" s="1111">
        <f>SUMIFS(NewEmisData!I:I, NewEmisData!$A:$A, $G290, NewEmisData!$B:$B, $A290, NewEmisData!$C:$C, $H290, NewEmisData!$D:$D, AJ$6)</f>
        <v>1.8749491555680699E-2</v>
      </c>
      <c r="AK290" s="1111">
        <f>SUMIFS(NewEmisData!J:J, NewEmisData!$A:$A, $G290, NewEmisData!$B:$B, $A290, NewEmisData!$C:$C, $H290, NewEmisData!$D:$D, AK$6)</f>
        <v>1.8570836872203001E-2</v>
      </c>
      <c r="AL290" s="1111">
        <f>SUMIFS(NewEmisData!K:K, NewEmisData!$A:$A, $G290, NewEmisData!$B:$B, $A290, NewEmisData!$C:$C, $H290, NewEmisData!$D:$D, AL$6)</f>
        <v>1.8528673088893999E-2</v>
      </c>
      <c r="AM290" s="1111">
        <f>SUMIFS(NewEmisData!L:L, NewEmisData!$A:$A, $G290, NewEmisData!$B:$B, $A290, NewEmisData!$C:$C, $H290, NewEmisData!$D:$D, AM$6)</f>
        <v>1.8523329942848499E-2</v>
      </c>
      <c r="AN290" s="1111">
        <f>SUMIFS(NewEmisData!M:M, NewEmisData!$A:$A, $G290, NewEmisData!$B:$B, $A290, NewEmisData!$C:$C, $H290, NewEmisData!$D:$D, AN$6)</f>
        <v>1.85240308404678E-2</v>
      </c>
      <c r="AO290" s="1111">
        <f t="shared" si="431"/>
        <v>1.85240308404678E-2</v>
      </c>
      <c r="AP290" s="1111">
        <f t="shared" si="432"/>
        <v>0.431302480142082</v>
      </c>
      <c r="AQ290" s="1111">
        <f>SUMIFS(NewEmisData!E:E, NewEmisData!$A:$A, $G290, NewEmisData!$B:$B, $A290, NewEmisData!$C:$C, $H290, NewEmisData!$D:$D, AQ$6)</f>
        <v>0.431302480142082</v>
      </c>
      <c r="AR290" s="1111">
        <f>SUMIFS(NewEmisData!F:F, NewEmisData!$A:$A, $G290, NewEmisData!$B:$B, $A290, NewEmisData!$C:$C, $H290, NewEmisData!$D:$D, AR$6)</f>
        <v>0.30380256982536802</v>
      </c>
      <c r="AS290" s="1111">
        <f>SUMIFS(NewEmisData!G:G, NewEmisData!$A:$A, $G290, NewEmisData!$B:$B, $A290, NewEmisData!$C:$C, $H290, NewEmisData!$D:$D, AS$6)</f>
        <v>0.33709491699606497</v>
      </c>
      <c r="AT290" s="1111">
        <f>SUMIFS(NewEmisData!H:H, NewEmisData!$A:$A, $G290, NewEmisData!$B:$B, $A290, NewEmisData!$C:$C, $H290, NewEmisData!$D:$D, AT$6)</f>
        <v>0.33516632877566999</v>
      </c>
      <c r="AU290" s="1111">
        <f>SUMIFS(NewEmisData!I:I, NewEmisData!$A:$A, $G290, NewEmisData!$B:$B, $A290, NewEmisData!$C:$C, $H290, NewEmisData!$D:$D, AU$6)</f>
        <v>0.32912031916096701</v>
      </c>
      <c r="AV290" s="1111">
        <f>SUMIFS(NewEmisData!J:J, NewEmisData!$A:$A, $G290, NewEmisData!$B:$B, $A290, NewEmisData!$C:$C, $H290, NewEmisData!$D:$D, AV$6)</f>
        <v>0.32758501468683399</v>
      </c>
      <c r="AW290" s="1111">
        <f>SUMIFS(NewEmisData!K:K, NewEmisData!$A:$A, $G290, NewEmisData!$B:$B, $A290, NewEmisData!$C:$C, $H290, NewEmisData!$D:$D, AW$6)</f>
        <v>0.32722883547270099</v>
      </c>
      <c r="AX290" s="1111">
        <f>SUMIFS(NewEmisData!L:L, NewEmisData!$A:$A, $G290, NewEmisData!$B:$B, $A290, NewEmisData!$C:$C, $H290, NewEmisData!$D:$D, AX$6)</f>
        <v>0.32719882154575503</v>
      </c>
      <c r="AY290" s="1111">
        <f>SUMIFS(NewEmisData!M:M, NewEmisData!$A:$A, $G290, NewEmisData!$B:$B, $A290, NewEmisData!$C:$C, $H290, NewEmisData!$D:$D, AY$6)</f>
        <v>0.327223389729702</v>
      </c>
      <c r="AZ290" s="1111">
        <f t="shared" si="433"/>
        <v>0.327223389729702</v>
      </c>
      <c r="BA290" s="1111">
        <f t="shared" si="434"/>
        <v>0.17747003545562401</v>
      </c>
      <c r="BB290" s="1111">
        <f>SUMIFS(NewEmisData!E:E, NewEmisData!$A:$A, $G290, NewEmisData!$B:$B, $A290, NewEmisData!$C:$C, $H290, NewEmisData!$D:$D, BB$6)</f>
        <v>0.17747003545562401</v>
      </c>
      <c r="BC290" s="1111">
        <f>SUMIFS(NewEmisData!F:F, NewEmisData!$A:$A, $G290, NewEmisData!$B:$B, $A290, NewEmisData!$C:$C, $H290, NewEmisData!$D:$D, BC$6)</f>
        <v>6.4774980240540195E-2</v>
      </c>
      <c r="BD290" s="1111">
        <f>SUMIFS(NewEmisData!G:G, NewEmisData!$A:$A, $G290, NewEmisData!$B:$B, $A290, NewEmisData!$C:$C, $H290, NewEmisData!$D:$D, BD$6)</f>
        <v>5.2197571243419401E-2</v>
      </c>
      <c r="BE290" s="1111">
        <f>SUMIFS(NewEmisData!H:H, NewEmisData!$A:$A, $G290, NewEmisData!$B:$B, $A290, NewEmisData!$C:$C, $H290, NewEmisData!$D:$D, BE$6)</f>
        <v>5.1709470142354899E-2</v>
      </c>
      <c r="BF290" s="1111">
        <f>SUMIFS(NewEmisData!I:I, NewEmisData!$A:$A, $G290, NewEmisData!$B:$B, $A290, NewEmisData!$C:$C, $H290, NewEmisData!$D:$D, BF$6)</f>
        <v>5.0080554256354597E-2</v>
      </c>
      <c r="BG290" s="1111">
        <f>SUMIFS(NewEmisData!J:J, NewEmisData!$A:$A, $G290, NewEmisData!$B:$B, $A290, NewEmisData!$C:$C, $H290, NewEmisData!$D:$D, BG$6)</f>
        <v>4.9730195246478197E-2</v>
      </c>
      <c r="BH290" s="1111">
        <f>SUMIFS(NewEmisData!K:K, NewEmisData!$A:$A, $G290, NewEmisData!$B:$B, $A290, NewEmisData!$C:$C, $H290, NewEmisData!$D:$D, BH$6)</f>
        <v>4.9636064827908E-2</v>
      </c>
      <c r="BI290" s="1111">
        <f>SUMIFS(NewEmisData!L:L, NewEmisData!$A:$A, $G290, NewEmisData!$B:$B, $A290, NewEmisData!$C:$C, $H290, NewEmisData!$D:$D, BI$6)</f>
        <v>4.96653353802936E-2</v>
      </c>
      <c r="BJ290" s="1111">
        <f>SUMIFS(NewEmisData!M:M, NewEmisData!$A:$A, $G290, NewEmisData!$B:$B, $A290, NewEmisData!$C:$C, $H290, NewEmisData!$D:$D, BJ$6)</f>
        <v>4.9688283166283001E-2</v>
      </c>
      <c r="BK290" s="1111">
        <f t="shared" si="435"/>
        <v>4.9688283166283001E-2</v>
      </c>
      <c r="BL290" s="1111">
        <f t="shared" si="436"/>
        <v>90.191733728878702</v>
      </c>
      <c r="BM290" s="1111">
        <f>SUMIFS(NewEmisData!E:E, NewEmisData!$A:$A, $G290, NewEmisData!$B:$B, $A290, NewEmisData!$C:$C, $H290, NewEmisData!$D:$D, BM$6)</f>
        <v>90.191733728878702</v>
      </c>
      <c r="BN290" s="1111">
        <f>SUMIFS(NewEmisData!F:F, NewEmisData!$A:$A, $G290, NewEmisData!$B:$B, $A290, NewEmisData!$C:$C, $H290, NewEmisData!$D:$D, BN$6)</f>
        <v>57.854593707734402</v>
      </c>
      <c r="BO290" s="1111">
        <f>SUMIFS(NewEmisData!G:G, NewEmisData!$A:$A, $G290, NewEmisData!$B:$B, $A290, NewEmisData!$C:$C, $H290, NewEmisData!$D:$D, BO$6)</f>
        <v>30.439196833936801</v>
      </c>
      <c r="BP290" s="1111">
        <f>SUMIFS(NewEmisData!H:H, NewEmisData!$A:$A, $G290, NewEmisData!$B:$B, $A290, NewEmisData!$C:$C, $H290, NewEmisData!$D:$D, BP$6)</f>
        <v>28.2649013216366</v>
      </c>
      <c r="BQ290" s="1111">
        <f>SUMIFS(NewEmisData!I:I, NewEmisData!$A:$A, $G290, NewEmisData!$B:$B, $A290, NewEmisData!$C:$C, $H290, NewEmisData!$D:$D, BQ$6)</f>
        <v>29.534698697919499</v>
      </c>
      <c r="BR290" s="1111">
        <f>SUMIFS(NewEmisData!J:J, NewEmisData!$A:$A, $G290, NewEmisData!$B:$B, $A290, NewEmisData!$C:$C, $H290, NewEmisData!$D:$D, BR$6)</f>
        <v>30.882451342188901</v>
      </c>
      <c r="BS290" s="1111">
        <f>SUMIFS(NewEmisData!K:K, NewEmisData!$A:$A, $G290, NewEmisData!$B:$B, $A290, NewEmisData!$C:$C, $H290, NewEmisData!$D:$D, BS$6)</f>
        <v>31.2274964250777</v>
      </c>
      <c r="BT290" s="1111">
        <f>SUMIFS(NewEmisData!L:L, NewEmisData!$A:$A, $G290, NewEmisData!$B:$B, $A290, NewEmisData!$C:$C, $H290, NewEmisData!$D:$D, BT$6)</f>
        <v>31.6561745639336</v>
      </c>
      <c r="BU290" s="1111">
        <f>SUMIFS(NewEmisData!M:M, NewEmisData!$A:$A, $G290, NewEmisData!$B:$B, $A290, NewEmisData!$C:$C, $H290, NewEmisData!$D:$D, BU$6)</f>
        <v>31.800591464728001</v>
      </c>
      <c r="BV290" s="1111">
        <f t="shared" si="437"/>
        <v>31.800591464728001</v>
      </c>
      <c r="BW290" s="1111">
        <f t="shared" si="438"/>
        <v>6.1897171455643996</v>
      </c>
      <c r="BX290" s="1111">
        <f>SUMIFS(NewEmisData!E:E, NewEmisData!$A:$A, $G290, NewEmisData!$B:$B, $A290, NewEmisData!$C:$C, $H290, NewEmisData!$D:$D, BX$6)</f>
        <v>6.1897171455643996</v>
      </c>
      <c r="BY290" s="1111">
        <f>SUMIFS(NewEmisData!F:F, NewEmisData!$A:$A, $G290, NewEmisData!$B:$B, $A290, NewEmisData!$C:$C, $H290, NewEmisData!$D:$D, BY$6)</f>
        <v>2.9467128361474</v>
      </c>
      <c r="BZ290" s="1111">
        <f>SUMIFS(NewEmisData!G:G, NewEmisData!$A:$A, $G290, NewEmisData!$B:$B, $A290, NewEmisData!$C:$C, $H290, NewEmisData!$D:$D, BZ$6)</f>
        <v>0.87646546659881797</v>
      </c>
      <c r="CA290" s="1111">
        <f>SUMIFS(NewEmisData!H:H, NewEmisData!$A:$A, $G290, NewEmisData!$B:$B, $A290, NewEmisData!$C:$C, $H290, NewEmisData!$D:$D, CA$6)</f>
        <v>0.63725747288066603</v>
      </c>
      <c r="CB290" s="1111">
        <f>SUMIFS(NewEmisData!I:I, NewEmisData!$A:$A, $G290, NewEmisData!$B:$B, $A290, NewEmisData!$C:$C, $H290, NewEmisData!$D:$D, CB$6)</f>
        <v>0.56209464698364098</v>
      </c>
      <c r="CC290" s="1111">
        <f>SUMIFS(NewEmisData!J:J, NewEmisData!$A:$A, $G290, NewEmisData!$B:$B, $A290, NewEmisData!$C:$C, $H290, NewEmisData!$D:$D, CC$6)</f>
        <v>0.55142425018993102</v>
      </c>
      <c r="CD290" s="1111">
        <f>SUMIFS(NewEmisData!K:K, NewEmisData!$A:$A, $G290, NewEmisData!$B:$B, $A290, NewEmisData!$C:$C, $H290, NewEmisData!$D:$D, CD$6)</f>
        <v>0.54197445474169104</v>
      </c>
      <c r="CE290" s="1111">
        <f>SUMIFS(NewEmisData!L:L, NewEmisData!$A:$A, $G290, NewEmisData!$B:$B, $A290, NewEmisData!$C:$C, $H290, NewEmisData!$D:$D, CE$6)</f>
        <v>0.54705176135937394</v>
      </c>
      <c r="CF290" s="1111">
        <f>SUMIFS(NewEmisData!M:M, NewEmisData!$A:$A, $G290, NewEmisData!$B:$B, $A290, NewEmisData!$C:$C, $H290, NewEmisData!$D:$D, CF$6)</f>
        <v>0.54797129774840603</v>
      </c>
      <c r="CG290" s="1111">
        <f t="shared" si="439"/>
        <v>0.54797129774840603</v>
      </c>
      <c r="CH290" s="1111">
        <f t="shared" si="440"/>
        <v>4.4374916412660802E-2</v>
      </c>
      <c r="CI290" s="1111">
        <f>SUMIFS(NewEmisData!E:E, NewEmisData!$A:$A, $G290, NewEmisData!$B:$B, $A290, NewEmisData!$C:$C, $H290, NewEmisData!$D:$D, CI$6)</f>
        <v>4.4374916412660802E-2</v>
      </c>
      <c r="CJ290" s="1111">
        <f>SUMIFS(NewEmisData!F:F, NewEmisData!$A:$A, $G290, NewEmisData!$B:$B, $A290, NewEmisData!$C:$C, $H290, NewEmisData!$D:$D, CJ$6)</f>
        <v>4.4376196385727797E-2</v>
      </c>
      <c r="CK290" s="1111">
        <f>SUMIFS(NewEmisData!G:G, NewEmisData!$A:$A, $G290, NewEmisData!$B:$B, $A290, NewEmisData!$C:$C, $H290, NewEmisData!$D:$D, CK$6)</f>
        <v>5.2118868523528802E-2</v>
      </c>
      <c r="CL290" s="1111">
        <f>SUMIFS(NewEmisData!H:H, NewEmisData!$A:$A, $G290, NewEmisData!$B:$B, $A290, NewEmisData!$C:$C, $H290, NewEmisData!$D:$D, CL$6)</f>
        <v>5.2132349413666103E-2</v>
      </c>
      <c r="CM290" s="1111">
        <f>SUMIFS(NewEmisData!I:I, NewEmisData!$A:$A, $G290, NewEmisData!$B:$B, $A290, NewEmisData!$C:$C, $H290, NewEmisData!$D:$D, CM$6)</f>
        <v>5.21711043619991E-2</v>
      </c>
      <c r="CN290" s="1111">
        <f>SUMIFS(NewEmisData!J:J, NewEmisData!$A:$A, $G290, NewEmisData!$B:$B, $A290, NewEmisData!$C:$C, $H290, NewEmisData!$D:$D, CN$6)</f>
        <v>5.2181552336128E-2</v>
      </c>
      <c r="CO290" s="1111">
        <f>SUMIFS(NewEmisData!K:K, NewEmisData!$A:$A, $G290, NewEmisData!$B:$B, $A290, NewEmisData!$C:$C, $H290, NewEmisData!$D:$D, CO$6)</f>
        <v>5.21837897669589E-2</v>
      </c>
      <c r="CP290" s="1111">
        <f>SUMIFS(NewEmisData!L:L, NewEmisData!$A:$A, $G290, NewEmisData!$B:$B, $A290, NewEmisData!$C:$C, $H290, NewEmisData!$D:$D, CP$6)</f>
        <v>5.2184377186595597E-2</v>
      </c>
      <c r="CQ290" s="1111">
        <f>SUMIFS(NewEmisData!M:M, NewEmisData!$A:$A, $G290, NewEmisData!$B:$B, $A290, NewEmisData!$C:$C, $H290, NewEmisData!$D:$D, CQ$6)</f>
        <v>5.2184437559851103E-2</v>
      </c>
      <c r="CR290" s="1111">
        <f t="shared" si="441"/>
        <v>5.2184437559851103E-2</v>
      </c>
      <c r="CS290" s="1111">
        <f t="shared" si="442"/>
        <v>0.10324282903592</v>
      </c>
      <c r="CT290" s="1111">
        <f>SUMIFS(NewEmisData!E:E, NewEmisData!$A:$A, $G290, NewEmisData!$B:$B, $A290, NewEmisData!$C:$C, $H290, NewEmisData!$D:$D, CT$6)</f>
        <v>0.10324282903592</v>
      </c>
      <c r="CU290" s="1111">
        <f>SUMIFS(NewEmisData!F:F, NewEmisData!$A:$A, $G290, NewEmisData!$B:$B, $A290, NewEmisData!$C:$C, $H290, NewEmisData!$D:$D, CU$6)</f>
        <v>6.5839025751757901E-2</v>
      </c>
      <c r="CV290" s="1111">
        <f>SUMIFS(NewEmisData!G:G, NewEmisData!$A:$A, $G290, NewEmisData!$B:$B, $A290, NewEmisData!$C:$C, $H290, NewEmisData!$D:$D, CV$6)</f>
        <v>3.3013078185438E-2</v>
      </c>
      <c r="CW290" s="1111">
        <f>SUMIFS(NewEmisData!H:H, NewEmisData!$A:$A, $G290, NewEmisData!$B:$B, $A290, NewEmisData!$C:$C, $H290, NewEmisData!$D:$D, CW$6)</f>
        <v>2.22676216275507E-2</v>
      </c>
      <c r="CX290" s="1111">
        <f>SUMIFS(NewEmisData!I:I, NewEmisData!$A:$A, $G290, NewEmisData!$B:$B, $A290, NewEmisData!$C:$C, $H290, NewEmisData!$D:$D, CX$6)</f>
        <v>1.8691589461130299E-2</v>
      </c>
      <c r="CY290" s="1111">
        <f>SUMIFS(NewEmisData!J:J, NewEmisData!$A:$A, $G290, NewEmisData!$B:$B, $A290, NewEmisData!$C:$C, $H290, NewEmisData!$D:$D, CY$6)</f>
        <v>1.8191418075059002E-2</v>
      </c>
      <c r="CZ290" s="1111">
        <f>SUMIFS(NewEmisData!K:K, NewEmisData!$A:$A, $G290, NewEmisData!$B:$B, $A290, NewEmisData!$C:$C, $H290, NewEmisData!$D:$D, CZ$6)</f>
        <v>1.75998124004558E-2</v>
      </c>
      <c r="DA290" s="1111">
        <f>SUMIFS(NewEmisData!L:L, NewEmisData!$A:$A, $G290, NewEmisData!$B:$B, $A290, NewEmisData!$C:$C, $H290, NewEmisData!$D:$D, DA$6)</f>
        <v>1.77356234724158E-2</v>
      </c>
      <c r="DB290" s="1111">
        <f>SUMIFS(NewEmisData!M:M, NewEmisData!$A:$A, $G290, NewEmisData!$B:$B, $A290, NewEmisData!$C:$C, $H290, NewEmisData!$D:$D, DB$6)</f>
        <v>1.7781712985484099E-2</v>
      </c>
      <c r="DC290" s="1111">
        <f t="shared" si="443"/>
        <v>1.7781712985484099E-2</v>
      </c>
      <c r="DD290" s="1111"/>
      <c r="DE290" s="1111"/>
      <c r="DF290" s="1111"/>
      <c r="DG290" s="1111"/>
      <c r="DH290" s="1111"/>
      <c r="DI290" s="1111"/>
      <c r="DJ290" s="1111"/>
      <c r="DK290" s="1111"/>
      <c r="DL290" s="1111"/>
      <c r="DM290" s="1111"/>
      <c r="DN290" s="1111"/>
      <c r="DO290" s="1111"/>
      <c r="DP290" s="1111"/>
      <c r="DQ290" s="1111"/>
      <c r="DR290" s="1111"/>
      <c r="DS290" s="1111"/>
      <c r="DT290" s="1111"/>
      <c r="DU290" s="1111"/>
      <c r="DV290" s="1111"/>
      <c r="DW290" s="1111"/>
      <c r="DX290" s="1111"/>
      <c r="DY290" s="1111"/>
      <c r="DZ290" s="1111">
        <f t="shared" si="444"/>
        <v>0.34764874845075999</v>
      </c>
      <c r="EA290" s="1111">
        <f>SUMIFS(NewEmisData!E:E, NewEmisData!$A:$A, $G290, NewEmisData!$B:$B, $A290, NewEmisData!$C:$C, $H290, NewEmisData!$D:$D, EA$6)</f>
        <v>0.34764874845075999</v>
      </c>
      <c r="EB290" s="1111">
        <f>SUMIFS(NewEmisData!F:F, NewEmisData!$A:$A, $G290, NewEmisData!$B:$B, $A290, NewEmisData!$C:$C, $H290, NewEmisData!$D:$D, EB$6)</f>
        <v>0.14142715332318501</v>
      </c>
      <c r="EC290" s="1111">
        <f>SUMIFS(NewEmisData!G:G, NewEmisData!$A:$A, $G290, NewEmisData!$B:$B, $A290, NewEmisData!$C:$C, $H290, NewEmisData!$D:$D, EC$6)</f>
        <v>2.8640359201048099E-2</v>
      </c>
      <c r="ED290" s="1111">
        <f>SUMIFS(NewEmisData!H:H, NewEmisData!$A:$A, $G290, NewEmisData!$B:$B, $A290, NewEmisData!$C:$C, $H290, NewEmisData!$D:$D, ED$6)</f>
        <v>2.3851757275478599E-2</v>
      </c>
      <c r="EE290" s="1111">
        <f>SUMIFS(NewEmisData!I:I, NewEmisData!$A:$A, $G290, NewEmisData!$B:$B, $A290, NewEmisData!$C:$C, $H290, NewEmisData!$D:$D, EE$6)</f>
        <v>2.44690782189021E-2</v>
      </c>
      <c r="EF290" s="1111">
        <f>SUMIFS(NewEmisData!J:J, NewEmisData!$A:$A, $G290, NewEmisData!$B:$B, $A290, NewEmisData!$C:$C, $H290, NewEmisData!$D:$D, EF$6)</f>
        <v>2.5450390210075498E-2</v>
      </c>
      <c r="EG290" s="1111">
        <f>SUMIFS(NewEmisData!K:K, NewEmisData!$A:$A, $G290, NewEmisData!$B:$B, $A290, NewEmisData!$C:$C, $H290, NewEmisData!$D:$D, EG$6)</f>
        <v>2.5745715046546401E-2</v>
      </c>
      <c r="EH290" s="1111">
        <f>SUMIFS(NewEmisData!L:L, NewEmisData!$A:$A, $G290, NewEmisData!$B:$B, $A290, NewEmisData!$C:$C, $H290, NewEmisData!$D:$D, EH$6)</f>
        <v>2.6059342938699701E-2</v>
      </c>
      <c r="EI290" s="1111">
        <f>SUMIFS(NewEmisData!M:M, NewEmisData!$A:$A, $G290, NewEmisData!$B:$B, $A290, NewEmisData!$C:$C, $H290, NewEmisData!$D:$D, EI$6)</f>
        <v>2.6160400057414299E-2</v>
      </c>
      <c r="EJ290" s="1111">
        <f t="shared" si="445"/>
        <v>2.6160400057414299E-2</v>
      </c>
      <c r="EK290" s="1111">
        <f t="shared" si="446"/>
        <v>1241.38928176117</v>
      </c>
      <c r="EL290" s="1111">
        <f t="shared" si="470"/>
        <v>1241.38928176117</v>
      </c>
      <c r="EM290" s="1111">
        <f t="shared" si="471"/>
        <v>1226.10777955711</v>
      </c>
      <c r="EN290" s="1111">
        <f t="shared" si="472"/>
        <v>1383.33894651986</v>
      </c>
      <c r="EO290" s="1111">
        <f t="shared" si="473"/>
        <v>1356.5010921445701</v>
      </c>
      <c r="EP290" s="1111">
        <f t="shared" si="474"/>
        <v>1306.9931195674901</v>
      </c>
      <c r="EQ290" s="1111">
        <f t="shared" si="475"/>
        <v>1294.5393575191799</v>
      </c>
      <c r="ER290" s="1111">
        <f t="shared" si="476"/>
        <v>1291.60029261402</v>
      </c>
      <c r="ES290" s="1111">
        <f t="shared" si="477"/>
        <v>1291.22786948009</v>
      </c>
      <c r="ET290" s="1111">
        <f t="shared" si="478"/>
        <v>1291.2762589420699</v>
      </c>
      <c r="EU290" s="1111">
        <f t="shared" si="479"/>
        <v>1291.2762589420699</v>
      </c>
      <c r="EV290" s="1111">
        <f t="shared" si="447"/>
        <v>6.2719490238573599</v>
      </c>
      <c r="EW290" s="1111">
        <f t="shared" si="460"/>
        <v>6.2719490238573599</v>
      </c>
      <c r="EX290" s="1111">
        <f t="shared" si="461"/>
        <v>3.54586562371545</v>
      </c>
      <c r="EY290" s="1111">
        <f t="shared" si="462"/>
        <v>1.5390863619428401</v>
      </c>
      <c r="EZ290" s="1111">
        <f t="shared" si="463"/>
        <v>1.17307553707704</v>
      </c>
      <c r="FA290" s="1111">
        <f t="shared" si="464"/>
        <v>1.0487695492759499</v>
      </c>
      <c r="FB290" s="1111">
        <f t="shared" si="465"/>
        <v>1.0243777697646099</v>
      </c>
      <c r="FC290" s="1111">
        <f t="shared" si="466"/>
        <v>1.01315476025102</v>
      </c>
      <c r="FD290" s="1111">
        <f t="shared" si="467"/>
        <v>1.01368282027686</v>
      </c>
      <c r="FE290" s="1111">
        <f t="shared" si="468"/>
        <v>1.0139821488193099</v>
      </c>
      <c r="FF290" s="1111">
        <f t="shared" si="469"/>
        <v>1.0139821488193099</v>
      </c>
      <c r="FG290" s="1111">
        <f t="shared" si="389"/>
        <v>2.1480399186289099E-2</v>
      </c>
      <c r="FH290" s="1111">
        <f t="shared" si="390"/>
        <v>2.1480399186289099E-2</v>
      </c>
      <c r="FI290" s="1111">
        <f t="shared" si="391"/>
        <v>2.12159707578937E-2</v>
      </c>
      <c r="FJ290" s="1111">
        <f t="shared" si="392"/>
        <v>1.98447183890453E-2</v>
      </c>
      <c r="FK290" s="1111">
        <f t="shared" si="393"/>
        <v>1.9459715058680899E-2</v>
      </c>
      <c r="FL290" s="1111">
        <f t="shared" si="394"/>
        <v>1.8749491555680699E-2</v>
      </c>
      <c r="FM290" s="1111">
        <f t="shared" si="395"/>
        <v>1.8570836872203001E-2</v>
      </c>
      <c r="FN290" s="1111">
        <f t="shared" si="396"/>
        <v>1.8528673088893999E-2</v>
      </c>
      <c r="FO290" s="1111">
        <f t="shared" si="397"/>
        <v>1.8523329942848499E-2</v>
      </c>
      <c r="FP290" s="1111">
        <f t="shared" si="398"/>
        <v>1.85240308404678E-2</v>
      </c>
      <c r="FQ290" s="1111">
        <f t="shared" si="399"/>
        <v>1.85240308404678E-2</v>
      </c>
      <c r="FR290" s="1111">
        <f t="shared" si="449"/>
        <v>0.431302480142082</v>
      </c>
      <c r="FS290" s="1111">
        <f t="shared" si="450"/>
        <v>0.431302480142082</v>
      </c>
      <c r="FT290" s="1111">
        <f t="shared" si="451"/>
        <v>0.30380256982536802</v>
      </c>
      <c r="FU290" s="1111">
        <f t="shared" si="452"/>
        <v>0.33709491699606497</v>
      </c>
      <c r="FV290" s="1111">
        <f t="shared" si="453"/>
        <v>0.33516632877566999</v>
      </c>
      <c r="FW290" s="1111">
        <f t="shared" si="454"/>
        <v>0.32912031916096701</v>
      </c>
      <c r="FX290" s="1111">
        <f t="shared" si="455"/>
        <v>0.32758501468683399</v>
      </c>
      <c r="FY290" s="1111">
        <f t="shared" si="456"/>
        <v>0.32722883547270099</v>
      </c>
      <c r="FZ290" s="1111">
        <f t="shared" si="457"/>
        <v>0.32719882154575503</v>
      </c>
      <c r="GA290" s="1111">
        <f t="shared" si="458"/>
        <v>0.327223389729702</v>
      </c>
      <c r="GB290" s="1111">
        <f t="shared" si="459"/>
        <v>0.327223389729702</v>
      </c>
      <c r="GC290" s="1111">
        <f t="shared" si="480"/>
        <v>0.17747003545562401</v>
      </c>
      <c r="GD290" s="1111">
        <f t="shared" si="481"/>
        <v>0.17747003545562401</v>
      </c>
      <c r="GE290" s="1111">
        <f t="shared" si="482"/>
        <v>6.4774980240540195E-2</v>
      </c>
      <c r="GF290" s="1111">
        <f t="shared" si="483"/>
        <v>5.2197571243419401E-2</v>
      </c>
      <c r="GG290" s="1111">
        <f t="shared" si="484"/>
        <v>5.1709470142354899E-2</v>
      </c>
      <c r="GH290" s="1111">
        <f t="shared" si="485"/>
        <v>5.0080554256354597E-2</v>
      </c>
      <c r="GI290" s="1111">
        <f t="shared" si="486"/>
        <v>4.9730195246478197E-2</v>
      </c>
      <c r="GJ290" s="1111">
        <f t="shared" si="487"/>
        <v>4.9636064827908E-2</v>
      </c>
      <c r="GK290" s="1111">
        <f t="shared" si="488"/>
        <v>4.96653353802936E-2</v>
      </c>
      <c r="GL290" s="1111">
        <f t="shared" si="489"/>
        <v>4.9688283166283001E-2</v>
      </c>
      <c r="GM290" s="1111">
        <f t="shared" si="490"/>
        <v>4.9688283166283001E-2</v>
      </c>
    </row>
    <row r="291" spans="1:195" x14ac:dyDescent="0.2">
      <c r="A291" s="1071" t="str">
        <f>Technologies!B168</f>
        <v>*R2,R3,R4,R5,R6</v>
      </c>
      <c r="B291" s="1071" t="str">
        <f>Technologies!C168</f>
        <v>THSCNGAH</v>
      </c>
      <c r="C291" s="1071" t="str">
        <f>Technologies!D168</f>
        <v>Heavy Truck, Short Haul, Hybrid CNG</v>
      </c>
      <c r="D291" s="1071" t="str">
        <f>NewTech!D114</f>
        <v>bn-vmt, bn-vmt/a</v>
      </c>
      <c r="E291" s="1071" t="str">
        <f>Commodities!C$58</f>
        <v>THCNG</v>
      </c>
      <c r="F291" s="1071" t="s">
        <v>98</v>
      </c>
      <c r="G291" s="1110" t="s">
        <v>505</v>
      </c>
      <c r="H291" s="1110" t="s">
        <v>501</v>
      </c>
      <c r="I291" s="1112">
        <v>1</v>
      </c>
      <c r="J291" s="1111" t="str">
        <f t="shared" si="302"/>
        <v>Heavy duty short haul truck-CNG</v>
      </c>
      <c r="K291" s="1111">
        <v>1020.3551411037557</v>
      </c>
      <c r="L291" s="1111">
        <v>1020.2234899566765</v>
      </c>
      <c r="M291" s="1111">
        <v>999.2915699461081</v>
      </c>
      <c r="N291" s="1111">
        <v>980.42445273724934</v>
      </c>
      <c r="O291" s="1111">
        <v>967.65178250398321</v>
      </c>
      <c r="P291" s="1111">
        <v>967.77429215727193</v>
      </c>
      <c r="Q291" s="1111">
        <v>967.89308155207254</v>
      </c>
      <c r="R291" s="1111">
        <v>967.92625042477914</v>
      </c>
      <c r="S291" s="1111">
        <v>967.95671487664833</v>
      </c>
      <c r="T291" s="1111">
        <f t="shared" ref="T291:T311" si="491">S291</f>
        <v>967.95671487664833</v>
      </c>
      <c r="U291" s="1111">
        <v>3.2547317698669271</v>
      </c>
      <c r="V291" s="1111">
        <v>2.1555915462064736</v>
      </c>
      <c r="W291" s="1111">
        <v>0.62337907172426621</v>
      </c>
      <c r="X291" s="1111">
        <v>0.40261084341729281</v>
      </c>
      <c r="Y291" s="1111">
        <v>0.34550843096322897</v>
      </c>
      <c r="Z291" s="1111">
        <v>0.31769757148741795</v>
      </c>
      <c r="AA291" s="1111">
        <v>0.31691415899888692</v>
      </c>
      <c r="AB291" s="1111">
        <v>0.31716321296489364</v>
      </c>
      <c r="AC291" s="1111">
        <v>0.31739375802750591</v>
      </c>
      <c r="AD291" s="1111">
        <f t="shared" si="448"/>
        <v>0.31739375802750591</v>
      </c>
      <c r="AE291" s="1111">
        <v>5.7760190530050257E-2</v>
      </c>
      <c r="AF291" s="1111">
        <v>2.461440067727675E-2</v>
      </c>
      <c r="AG291" s="1111">
        <v>1.8973742739096827E-2</v>
      </c>
      <c r="AH291" s="1111">
        <v>6.3491677957305103E-3</v>
      </c>
      <c r="AI291" s="1111">
        <v>6.229291078305505E-3</v>
      </c>
      <c r="AJ291" s="1111">
        <v>6.1481397027664305E-3</v>
      </c>
      <c r="AK291" s="1111">
        <v>6.1489183874472789E-3</v>
      </c>
      <c r="AL291" s="1111">
        <v>6.1496743628782144E-3</v>
      </c>
      <c r="AM291" s="1111">
        <v>6.1498848749613954E-3</v>
      </c>
      <c r="AN291" s="1111">
        <v>6.1500786926959802E-3</v>
      </c>
      <c r="AO291" s="1111">
        <v>6.1500786926959802E-3</v>
      </c>
      <c r="AP291" s="1111">
        <v>0.118159231495387</v>
      </c>
      <c r="AQ291" s="1111">
        <v>0.10003482425149357</v>
      </c>
      <c r="AR291" s="1111">
        <v>8.4495314338350599E-2</v>
      </c>
      <c r="AS291" s="1111">
        <v>7.9256376368036688E-2</v>
      </c>
      <c r="AT291" s="1111">
        <v>7.897978512174525E-2</v>
      </c>
      <c r="AU291" s="1111">
        <v>7.9013528615524284E-2</v>
      </c>
      <c r="AV291" s="1111">
        <v>7.9034934094174225E-2</v>
      </c>
      <c r="AW291" s="1111">
        <v>7.8994885117633362E-2</v>
      </c>
      <c r="AX291" s="1111">
        <v>7.9030930947958933E-2</v>
      </c>
      <c r="AY291" s="1111">
        <v>7.9069837803765641E-2</v>
      </c>
      <c r="AZ291" s="1111">
        <v>7.9069837803765641E-2</v>
      </c>
      <c r="BA291" s="1111">
        <v>5.7196953237054794E-2</v>
      </c>
      <c r="BB291" s="1111">
        <v>4.0623980878750715E-2</v>
      </c>
      <c r="BC291" s="1111">
        <v>2.687782547443867E-2</v>
      </c>
      <c r="BD291" s="1111">
        <v>2.2741214519788881E-2</v>
      </c>
      <c r="BE291" s="1111">
        <v>2.2566007379134265E-2</v>
      </c>
      <c r="BF291" s="1111">
        <v>2.2595863805391959E-2</v>
      </c>
      <c r="BG291" s="1111">
        <v>2.26147956863317E-2</v>
      </c>
      <c r="BH291" s="1111">
        <v>2.2579369856245323E-2</v>
      </c>
      <c r="BI291" s="1111">
        <v>2.2611256107674324E-2</v>
      </c>
      <c r="BJ291" s="1111">
        <v>2.2645673266744965E-2</v>
      </c>
      <c r="BK291" s="1111">
        <v>2.2645673266744965E-2</v>
      </c>
      <c r="BL291" s="1111">
        <v>47.972530990156521</v>
      </c>
      <c r="BM291" s="1111">
        <v>28.556116955058272</v>
      </c>
      <c r="BN291" s="1111">
        <v>20.549646559976306</v>
      </c>
      <c r="BO291" s="1111">
        <v>14.445037057593046</v>
      </c>
      <c r="BP291" s="1111">
        <v>12.622901477364751</v>
      </c>
      <c r="BQ291" s="1111">
        <v>12.500471248743505</v>
      </c>
      <c r="BR291" s="1111">
        <v>12.371610539704422</v>
      </c>
      <c r="BS291" s="1111">
        <v>12.550099392054333</v>
      </c>
      <c r="BT291" s="1111">
        <v>12.541994647226639</v>
      </c>
      <c r="BU291" s="1111">
        <v>12.523654397948686</v>
      </c>
      <c r="BV291" s="1111">
        <v>12.523654397948686</v>
      </c>
      <c r="BW291" s="1111">
        <v>1.8182606942065824</v>
      </c>
      <c r="BX291" s="1111">
        <v>1.1669593642140019</v>
      </c>
      <c r="BY291" s="1111">
        <v>0.76623264872234798</v>
      </c>
      <c r="BZ291" s="1111">
        <v>0.43593758210799172</v>
      </c>
      <c r="CA291" s="1111">
        <v>0.36195140464062603</v>
      </c>
      <c r="CB291" s="1111">
        <v>0.34158526276864187</v>
      </c>
      <c r="CC291" s="1111">
        <v>0.33112897315858508</v>
      </c>
      <c r="CD291" s="1111">
        <v>0.32864260578554466</v>
      </c>
      <c r="CE291" s="1111">
        <v>0.33024410646544156</v>
      </c>
      <c r="CF291" s="1111">
        <v>0.3320664905778884</v>
      </c>
      <c r="CG291" s="1111">
        <v>0.3320664905778884</v>
      </c>
      <c r="CH291" s="1111">
        <v>3.8628584767367767E-2</v>
      </c>
      <c r="CI291" s="1111">
        <v>3.8626750431021199E-2</v>
      </c>
      <c r="CJ291" s="1111">
        <v>3.8631460005066939E-2</v>
      </c>
      <c r="CK291" s="1111">
        <v>3.8640978297890052E-2</v>
      </c>
      <c r="CL291" s="1111">
        <v>3.8648358022866057E-2</v>
      </c>
      <c r="CM291" s="1111">
        <v>3.8650933503227097E-2</v>
      </c>
      <c r="CN291" s="1111">
        <v>3.8650938084240673E-2</v>
      </c>
      <c r="CO291" s="1111">
        <v>3.8650937224449171E-2</v>
      </c>
      <c r="CP291" s="1111">
        <v>3.8650934379318956E-2</v>
      </c>
      <c r="CQ291" s="1111">
        <v>3.865093962024406E-2</v>
      </c>
      <c r="CR291" s="1111">
        <v>3.865093962024406E-2</v>
      </c>
      <c r="CS291" s="1111">
        <v>4.453180804881864</v>
      </c>
      <c r="CT291" s="1111">
        <v>3.2547317698669271</v>
      </c>
      <c r="CU291" s="1111">
        <v>2.1555915462064736</v>
      </c>
      <c r="CV291" s="1111">
        <v>0.62337907172426621</v>
      </c>
      <c r="CW291" s="1111">
        <v>0.40261084341729281</v>
      </c>
      <c r="CX291" s="1111">
        <v>0.34550843096322897</v>
      </c>
      <c r="CY291" s="1111">
        <v>0.31769757148741795</v>
      </c>
      <c r="CZ291" s="1111">
        <v>0.31691415899888692</v>
      </c>
      <c r="DA291" s="1111">
        <v>0.31716321296489364</v>
      </c>
      <c r="DB291" s="1111">
        <v>0.31739375802750591</v>
      </c>
      <c r="DC291" s="1111">
        <v>0.31739375802750591</v>
      </c>
      <c r="DD291" s="1111">
        <v>8.4618435807310901E-3</v>
      </c>
      <c r="DE291" s="1111">
        <v>5.582477734601141E-3</v>
      </c>
      <c r="DF291" s="1111">
        <v>3.3037857638444934E-3</v>
      </c>
      <c r="DG291" s="1111">
        <v>2.7435421434771584E-3</v>
      </c>
      <c r="DH291" s="1111">
        <v>2.6596327326652057E-3</v>
      </c>
      <c r="DI291" s="1111">
        <v>2.6810534446588602E-3</v>
      </c>
      <c r="DJ291" s="1111">
        <v>2.68992317602929E-3</v>
      </c>
      <c r="DK291" s="1111">
        <v>2.6843011275704282E-3</v>
      </c>
      <c r="DL291" s="1111">
        <v>2.693521842385466E-3</v>
      </c>
      <c r="DM291" s="1111">
        <v>2.7034957820921053E-3</v>
      </c>
      <c r="DN291" s="1111">
        <v>2.7034957820921053E-3</v>
      </c>
      <c r="DO291" s="1111">
        <v>2.733686553814714E-2</v>
      </c>
      <c r="DP291" s="1111">
        <v>1.8332271788011459E-2</v>
      </c>
      <c r="DQ291" s="1111">
        <v>1.0522373499872563E-2</v>
      </c>
      <c r="DR291" s="1111">
        <v>8.2106858583474232E-3</v>
      </c>
      <c r="DS291" s="1111">
        <v>8.1464823839333782E-3</v>
      </c>
      <c r="DT291" s="1111">
        <v>8.1548441301475764E-3</v>
      </c>
      <c r="DU291" s="1111">
        <v>8.1625855885729438E-3</v>
      </c>
      <c r="DV291" s="1111">
        <v>8.1414389894490409E-3</v>
      </c>
      <c r="DW291" s="1111">
        <v>8.1579958309337917E-3</v>
      </c>
      <c r="DX291" s="1111">
        <v>8.1758856290748885E-3</v>
      </c>
      <c r="DY291" s="1111">
        <v>8.1758856290748885E-3</v>
      </c>
      <c r="DZ291" s="1111">
        <v>7.2532435416401364E-2</v>
      </c>
      <c r="EA291" s="1111">
        <v>2.3093150126090367E-2</v>
      </c>
      <c r="EB291" s="1111">
        <v>1.7349105349035911E-2</v>
      </c>
      <c r="EC291" s="1111">
        <v>1.8133988035365575E-2</v>
      </c>
      <c r="ED291" s="1111">
        <v>1.8163125354260901E-2</v>
      </c>
      <c r="EE291" s="1111">
        <v>1.8132348564567389E-2</v>
      </c>
      <c r="EF291" s="1111">
        <v>1.775226126902122E-2</v>
      </c>
      <c r="EG291" s="1111">
        <v>1.7930065334771178E-2</v>
      </c>
      <c r="EH291" s="1111">
        <v>1.7967703285096122E-2</v>
      </c>
      <c r="EI291" s="1111">
        <v>1.8000453119017615E-2</v>
      </c>
      <c r="EJ291" s="1111">
        <v>1.8000453119017615E-2</v>
      </c>
      <c r="EK291" s="1111">
        <v>1019.8394907992781</v>
      </c>
      <c r="EL291" s="1111">
        <f t="shared" si="470"/>
        <v>1020.3551411037557</v>
      </c>
      <c r="EM291" s="1111">
        <f t="shared" si="471"/>
        <v>1020.2234899566765</v>
      </c>
      <c r="EN291" s="1111">
        <f t="shared" si="472"/>
        <v>999.2915699461081</v>
      </c>
      <c r="EO291" s="1111">
        <f t="shared" si="473"/>
        <v>980.42445273724934</v>
      </c>
      <c r="EP291" s="1111">
        <f t="shared" si="474"/>
        <v>967.65178250398321</v>
      </c>
      <c r="EQ291" s="1111">
        <f t="shared" si="475"/>
        <v>967.77429215727193</v>
      </c>
      <c r="ER291" s="1111">
        <f t="shared" si="476"/>
        <v>967.89308155207254</v>
      </c>
      <c r="ES291" s="1111">
        <f t="shared" si="477"/>
        <v>967.92625042477914</v>
      </c>
      <c r="ET291" s="1111">
        <f t="shared" si="478"/>
        <v>967.95671487664833</v>
      </c>
      <c r="EU291" s="1111">
        <f t="shared" si="479"/>
        <v>967.95671487664833</v>
      </c>
      <c r="EV291" s="1111">
        <v>4.453180804881864</v>
      </c>
      <c r="EW291" s="1111">
        <f t="shared" si="460"/>
        <v>3.2547317698669271</v>
      </c>
      <c r="EX291" s="1111">
        <f t="shared" si="461"/>
        <v>2.1555915462064736</v>
      </c>
      <c r="EY291" s="1111">
        <f t="shared" si="462"/>
        <v>0.62337907172426621</v>
      </c>
      <c r="EZ291" s="1111">
        <f t="shared" si="463"/>
        <v>0.40261084341729281</v>
      </c>
      <c r="FA291" s="1111">
        <f t="shared" si="464"/>
        <v>0.34550843096322897</v>
      </c>
      <c r="FB291" s="1111">
        <f t="shared" si="465"/>
        <v>0.31769757148741795</v>
      </c>
      <c r="FC291" s="1111">
        <f t="shared" si="466"/>
        <v>0.31691415899888692</v>
      </c>
      <c r="FD291" s="1111">
        <f t="shared" si="467"/>
        <v>0.31716321296489364</v>
      </c>
      <c r="FE291" s="1111">
        <f t="shared" si="468"/>
        <v>0.31739375802750591</v>
      </c>
      <c r="FF291" s="1111">
        <f t="shared" si="469"/>
        <v>0.31739375802750591</v>
      </c>
      <c r="FG291" s="1111">
        <f t="shared" si="389"/>
        <v>5.7760190530050257E-2</v>
      </c>
      <c r="FH291" s="1111">
        <f t="shared" si="390"/>
        <v>2.461440067727675E-2</v>
      </c>
      <c r="FI291" s="1111">
        <f t="shared" si="391"/>
        <v>1.8973742739096827E-2</v>
      </c>
      <c r="FJ291" s="1111">
        <f t="shared" si="392"/>
        <v>6.3491677957305103E-3</v>
      </c>
      <c r="FK291" s="1111">
        <f t="shared" si="393"/>
        <v>6.229291078305505E-3</v>
      </c>
      <c r="FL291" s="1111">
        <f t="shared" si="394"/>
        <v>6.1481397027664305E-3</v>
      </c>
      <c r="FM291" s="1111">
        <f t="shared" si="395"/>
        <v>6.1489183874472789E-3</v>
      </c>
      <c r="FN291" s="1111">
        <f t="shared" si="396"/>
        <v>6.1496743628782144E-3</v>
      </c>
      <c r="FO291" s="1111">
        <f t="shared" si="397"/>
        <v>6.1498848749613954E-3</v>
      </c>
      <c r="FP291" s="1111">
        <f t="shared" si="398"/>
        <v>6.1500786926959802E-3</v>
      </c>
      <c r="FQ291" s="1111">
        <f t="shared" si="399"/>
        <v>6.1500786926959802E-3</v>
      </c>
      <c r="FR291" s="1111">
        <f t="shared" si="449"/>
        <v>0.118159231495387</v>
      </c>
      <c r="FS291" s="1111">
        <f t="shared" si="450"/>
        <v>0.10003482425149357</v>
      </c>
      <c r="FT291" s="1111">
        <f t="shared" si="451"/>
        <v>8.4495314338350599E-2</v>
      </c>
      <c r="FU291" s="1111">
        <f t="shared" si="452"/>
        <v>7.9256376368036688E-2</v>
      </c>
      <c r="FV291" s="1111">
        <f t="shared" si="453"/>
        <v>7.897978512174525E-2</v>
      </c>
      <c r="FW291" s="1111">
        <f t="shared" si="454"/>
        <v>7.9013528615524284E-2</v>
      </c>
      <c r="FX291" s="1111">
        <f t="shared" si="455"/>
        <v>7.9034934094174225E-2</v>
      </c>
      <c r="FY291" s="1111">
        <f t="shared" si="456"/>
        <v>7.8994885117633362E-2</v>
      </c>
      <c r="FZ291" s="1111">
        <f t="shared" si="457"/>
        <v>7.9030930947958933E-2</v>
      </c>
      <c r="GA291" s="1111">
        <f t="shared" si="458"/>
        <v>7.9069837803765641E-2</v>
      </c>
      <c r="GB291" s="1111">
        <f t="shared" si="459"/>
        <v>7.9069837803765641E-2</v>
      </c>
      <c r="GC291" s="1111">
        <f t="shared" si="480"/>
        <v>5.7196953237054794E-2</v>
      </c>
      <c r="GD291" s="1111">
        <f t="shared" si="481"/>
        <v>4.0623980878750715E-2</v>
      </c>
      <c r="GE291" s="1111">
        <f t="shared" si="482"/>
        <v>2.687782547443867E-2</v>
      </c>
      <c r="GF291" s="1111">
        <f t="shared" si="483"/>
        <v>2.2741214519788881E-2</v>
      </c>
      <c r="GG291" s="1111">
        <f t="shared" si="484"/>
        <v>2.2566007379134265E-2</v>
      </c>
      <c r="GH291" s="1111">
        <f t="shared" si="485"/>
        <v>2.2595863805391959E-2</v>
      </c>
      <c r="GI291" s="1111">
        <f t="shared" si="486"/>
        <v>2.26147956863317E-2</v>
      </c>
      <c r="GJ291" s="1111">
        <f t="shared" si="487"/>
        <v>2.2579369856245323E-2</v>
      </c>
      <c r="GK291" s="1111">
        <f t="shared" si="488"/>
        <v>2.2611256107674324E-2</v>
      </c>
      <c r="GL291" s="1111">
        <f t="shared" si="489"/>
        <v>2.2645673266744965E-2</v>
      </c>
      <c r="GM291" s="1111">
        <f t="shared" si="490"/>
        <v>2.2645673266744965E-2</v>
      </c>
    </row>
    <row r="292" spans="1:195" x14ac:dyDescent="0.2">
      <c r="A292" s="1071" t="str">
        <f>Technologies!B171</f>
        <v>*R2,R3,R4,R5,R6</v>
      </c>
      <c r="B292" s="1071" t="str">
        <f>Technologies!C171</f>
        <v>THLDSLC10</v>
      </c>
      <c r="C292" s="1071" t="str">
        <f>Technologies!D171</f>
        <v>Heavy Truck, Long Haul, Diesel Conventional 2010</v>
      </c>
      <c r="D292" s="1071" t="str">
        <f>NewTech!D119</f>
        <v>bn-vmt, bn-vmt/a</v>
      </c>
      <c r="E292" s="1071" t="str">
        <f>Commodities!C$44</f>
        <v>THDSL</v>
      </c>
      <c r="F292" s="1071" t="s">
        <v>100</v>
      </c>
      <c r="G292" s="1110" t="s">
        <v>506</v>
      </c>
      <c r="H292" s="1110" t="s">
        <v>499</v>
      </c>
      <c r="I292" s="1112">
        <v>1</v>
      </c>
      <c r="J292" s="1111" t="str">
        <f t="shared" si="302"/>
        <v>Heavy duty long haul truck-DSL</v>
      </c>
      <c r="K292" s="1111">
        <v>1990.9716725761537</v>
      </c>
      <c r="L292" s="1111">
        <v>1941.6688887006037</v>
      </c>
      <c r="M292" s="1111">
        <v>1840.5553307709185</v>
      </c>
      <c r="N292" s="1111">
        <v>1759.0683861000869</v>
      </c>
      <c r="O292" s="1111">
        <v>1727.0853816748008</v>
      </c>
      <c r="P292" s="1111">
        <v>1727.5216883099354</v>
      </c>
      <c r="Q292" s="1111">
        <v>1728.8597047057897</v>
      </c>
      <c r="R292" s="1111">
        <v>1729.5473771008642</v>
      </c>
      <c r="S292" s="1111">
        <v>1730.1829912908977</v>
      </c>
      <c r="T292" s="1111">
        <f t="shared" si="491"/>
        <v>1730.1829912908977</v>
      </c>
      <c r="U292" s="1111">
        <v>15.319827052578248</v>
      </c>
      <c r="V292" s="1111">
        <v>8.4685847701796284</v>
      </c>
      <c r="W292" s="1111">
        <v>4.9821165186132932</v>
      </c>
      <c r="X292" s="1111">
        <v>3.467231955421874</v>
      </c>
      <c r="Y292" s="1111">
        <v>3.4507915536391489</v>
      </c>
      <c r="Z292" s="1111">
        <v>3.4582966280060186</v>
      </c>
      <c r="AA292" s="1111">
        <v>3.4628481928887811</v>
      </c>
      <c r="AB292" s="1111">
        <v>3.4653857360723261</v>
      </c>
      <c r="AC292" s="1111">
        <v>3.467441909819001</v>
      </c>
      <c r="AD292" s="1111">
        <f t="shared" si="448"/>
        <v>3.467441909819001</v>
      </c>
      <c r="AE292" s="1111">
        <v>0.15052422796556716</v>
      </c>
      <c r="AF292" s="1111">
        <v>1.7147882732231192E-2</v>
      </c>
      <c r="AG292" s="1111">
        <v>1.6288981197253857E-2</v>
      </c>
      <c r="AH292" s="1111">
        <v>1.5117907818335607E-2</v>
      </c>
      <c r="AI292" s="1111">
        <v>1.4378690167572896E-2</v>
      </c>
      <c r="AJ292" s="1111">
        <v>1.4117378368647316E-2</v>
      </c>
      <c r="AK292" s="1111">
        <v>1.4120959250803086E-2</v>
      </c>
      <c r="AL292" s="1111">
        <v>1.4131899910277535E-2</v>
      </c>
      <c r="AM292" s="1111">
        <v>1.4137522428286838E-2</v>
      </c>
      <c r="AN292" s="1111">
        <v>1.4142721116139288E-2</v>
      </c>
      <c r="AO292" s="1111">
        <v>1.4142721116139288E-2</v>
      </c>
      <c r="AP292" s="1111">
        <v>1.1181516232534956</v>
      </c>
      <c r="AQ292" s="1111">
        <v>0.80052052427588127</v>
      </c>
      <c r="AR292" s="1111">
        <v>0.45802073557825485</v>
      </c>
      <c r="AS292" s="1111">
        <v>0.22515659269014368</v>
      </c>
      <c r="AT292" s="1111">
        <v>0.17540222927854948</v>
      </c>
      <c r="AU292" s="1111">
        <v>0.17510495649800506</v>
      </c>
      <c r="AV292" s="1111">
        <v>0.17528687643891486</v>
      </c>
      <c r="AW292" s="1111">
        <v>0.17538590224127698</v>
      </c>
      <c r="AX292" s="1111">
        <v>0.17544084496896875</v>
      </c>
      <c r="AY292" s="1111">
        <v>0.17548448269919162</v>
      </c>
      <c r="AZ292" s="1111">
        <v>0.17548448269919162</v>
      </c>
      <c r="BA292" s="1111">
        <v>0.92238061286946038</v>
      </c>
      <c r="BB292" s="1111">
        <v>0.62943793516757862</v>
      </c>
      <c r="BC292" s="1111">
        <v>0.31467259462042407</v>
      </c>
      <c r="BD292" s="1111">
        <v>0.10061250353824766</v>
      </c>
      <c r="BE292" s="1111">
        <v>5.4985249894676312E-2</v>
      </c>
      <c r="BF292" s="1111">
        <v>5.4618355481547878E-2</v>
      </c>
      <c r="BG292" s="1111">
        <v>5.4711318478445729E-2</v>
      </c>
      <c r="BH292" s="1111">
        <v>5.4760742474708184E-2</v>
      </c>
      <c r="BI292" s="1111">
        <v>5.4789176303886238E-2</v>
      </c>
      <c r="BJ292" s="1111">
        <v>5.4808877163252182E-2</v>
      </c>
      <c r="BK292" s="1111">
        <v>5.4808877163252182E-2</v>
      </c>
      <c r="BL292" s="1111">
        <v>5.9614311030596951</v>
      </c>
      <c r="BM292" s="1111">
        <v>4.5918650065862101</v>
      </c>
      <c r="BN292" s="1111">
        <v>2.6906389750268889</v>
      </c>
      <c r="BO292" s="1111">
        <v>1.693821954160792</v>
      </c>
      <c r="BP292" s="1111">
        <v>1.4556997811831409</v>
      </c>
      <c r="BQ292" s="1111">
        <v>1.4605385418834991</v>
      </c>
      <c r="BR292" s="1111">
        <v>1.4660985163064548</v>
      </c>
      <c r="BS292" s="1111">
        <v>1.469914274069702</v>
      </c>
      <c r="BT292" s="1111">
        <v>1.4707795599223308</v>
      </c>
      <c r="BU292" s="1111">
        <v>1.4714814360768016</v>
      </c>
      <c r="BV292" s="1111">
        <v>1.4714814360768016</v>
      </c>
      <c r="BW292" s="1111">
        <v>1.8199393363012488</v>
      </c>
      <c r="BX292" s="1111">
        <v>1.4770658511247796</v>
      </c>
      <c r="BY292" s="1111">
        <v>0.90983790782993534</v>
      </c>
      <c r="BZ292" s="1111">
        <v>0.51563811144780347</v>
      </c>
      <c r="CA292" s="1111">
        <v>0.42061936864799804</v>
      </c>
      <c r="CB292" s="1111">
        <v>0.42073824663225967</v>
      </c>
      <c r="CC292" s="1111">
        <v>0.42175786297834761</v>
      </c>
      <c r="CD292" s="1111">
        <v>0.42238921634242482</v>
      </c>
      <c r="CE292" s="1111">
        <v>0.42267473005087131</v>
      </c>
      <c r="CF292" s="1111">
        <v>0.42293390367008121</v>
      </c>
      <c r="CG292" s="1111">
        <v>0.42293390367008121</v>
      </c>
      <c r="CH292" s="1111">
        <v>3.4412371683517198E-2</v>
      </c>
      <c r="CI292" s="1111">
        <v>3.4493337806388705E-2</v>
      </c>
      <c r="CJ292" s="1111">
        <v>3.3256899548670331E-2</v>
      </c>
      <c r="CK292" s="1111">
        <v>3.2082083001586562E-2</v>
      </c>
      <c r="CL292" s="1111">
        <v>3.1312086208570782E-2</v>
      </c>
      <c r="CM292" s="1111">
        <v>3.1290316795849253E-2</v>
      </c>
      <c r="CN292" s="1111">
        <v>3.1312654731235907E-2</v>
      </c>
      <c r="CO292" s="1111">
        <v>3.1325169678549016E-2</v>
      </c>
      <c r="CP292" s="1111">
        <v>3.1331810091919626E-2</v>
      </c>
      <c r="CQ292" s="1111">
        <v>3.1337948548338782E-2</v>
      </c>
      <c r="CR292" s="1111">
        <v>3.1337948548338782E-2</v>
      </c>
      <c r="CS292" s="1111">
        <v>22.214797437739819</v>
      </c>
      <c r="CT292" s="1111">
        <v>15.319827052578248</v>
      </c>
      <c r="CU292" s="1111">
        <v>8.4685847701796284</v>
      </c>
      <c r="CV292" s="1111">
        <v>4.9821165186132932</v>
      </c>
      <c r="CW292" s="1111">
        <v>3.467231955421874</v>
      </c>
      <c r="CX292" s="1111">
        <v>3.4507915536391489</v>
      </c>
      <c r="CY292" s="1111">
        <v>3.4582966280060186</v>
      </c>
      <c r="CZ292" s="1111">
        <v>3.4628481928887811</v>
      </c>
      <c r="DA292" s="1111">
        <v>3.4653857360723261</v>
      </c>
      <c r="DB292" s="1111">
        <v>3.467441909819001</v>
      </c>
      <c r="DC292" s="1111">
        <v>3.467441909819001</v>
      </c>
      <c r="DD292" s="1111">
        <v>0.58595154450895603</v>
      </c>
      <c r="DE292" s="1111">
        <v>0.38883860207962456</v>
      </c>
      <c r="DF292" s="1111">
        <v>0.17690357039713958</v>
      </c>
      <c r="DG292" s="1111">
        <v>3.4539811541928388E-2</v>
      </c>
      <c r="DH292" s="1111">
        <v>4.6405002307018522E-3</v>
      </c>
      <c r="DI292" s="1111">
        <v>4.6107794377802554E-3</v>
      </c>
      <c r="DJ292" s="1111">
        <v>4.6215599268932053E-3</v>
      </c>
      <c r="DK292" s="1111">
        <v>4.6273615775192078E-3</v>
      </c>
      <c r="DL292" s="1111">
        <v>4.6306369526608803E-3</v>
      </c>
      <c r="DM292" s="1111">
        <v>4.6330767482665753E-3</v>
      </c>
      <c r="DN292" s="1111">
        <v>4.6330767482665753E-3</v>
      </c>
      <c r="DO292" s="1111">
        <v>0.21893334463495995</v>
      </c>
      <c r="DP292" s="1111">
        <v>0.15390472378530864</v>
      </c>
      <c r="DQ292" s="1111">
        <v>7.4564386146155931E-2</v>
      </c>
      <c r="DR292" s="1111">
        <v>1.9638770407339686E-2</v>
      </c>
      <c r="DS292" s="1111">
        <v>8.4633421868544681E-3</v>
      </c>
      <c r="DT292" s="1111">
        <v>8.4130467901607168E-3</v>
      </c>
      <c r="DU292" s="1111">
        <v>8.432889478818921E-3</v>
      </c>
      <c r="DV292" s="1111">
        <v>8.4435912902704469E-3</v>
      </c>
      <c r="DW292" s="1111">
        <v>8.4496126155583773E-3</v>
      </c>
      <c r="DX292" s="1111">
        <v>8.4541558278977604E-3</v>
      </c>
      <c r="DY292" s="1111">
        <v>8.4541558278977604E-3</v>
      </c>
      <c r="DZ292" s="1111">
        <v>5.3407949418512778E-3</v>
      </c>
      <c r="EA292" s="1111">
        <v>0.14104854201033007</v>
      </c>
      <c r="EB292" s="1111">
        <v>0.27257687202227321</v>
      </c>
      <c r="EC292" s="1111">
        <v>0.36080196176893081</v>
      </c>
      <c r="ED292" s="1111">
        <v>0.35536041277142427</v>
      </c>
      <c r="EE292" s="1111">
        <v>0.35636314324239221</v>
      </c>
      <c r="EF292" s="1111">
        <v>0.35731718163326287</v>
      </c>
      <c r="EG292" s="1111">
        <v>0.35788107716481848</v>
      </c>
      <c r="EH292" s="1111">
        <v>0.35812757843703857</v>
      </c>
      <c r="EI292" s="1111">
        <v>0.35835033752738565</v>
      </c>
      <c r="EJ292" s="1111">
        <v>0.35835033752738565</v>
      </c>
      <c r="EK292" s="1111">
        <v>1975.06905164605</v>
      </c>
      <c r="EL292" s="1111">
        <f t="shared" si="470"/>
        <v>1990.9716725761537</v>
      </c>
      <c r="EM292" s="1111">
        <f t="shared" si="471"/>
        <v>1941.6688887006037</v>
      </c>
      <c r="EN292" s="1111">
        <f t="shared" si="472"/>
        <v>1840.5553307709185</v>
      </c>
      <c r="EO292" s="1111">
        <f t="shared" si="473"/>
        <v>1759.0683861000869</v>
      </c>
      <c r="EP292" s="1111">
        <f t="shared" si="474"/>
        <v>1727.0853816748008</v>
      </c>
      <c r="EQ292" s="1111">
        <f t="shared" si="475"/>
        <v>1727.5216883099354</v>
      </c>
      <c r="ER292" s="1111">
        <f t="shared" si="476"/>
        <v>1728.8597047057897</v>
      </c>
      <c r="ES292" s="1111">
        <f t="shared" si="477"/>
        <v>1729.5473771008642</v>
      </c>
      <c r="ET292" s="1111">
        <f t="shared" si="478"/>
        <v>1730.1829912908977</v>
      </c>
      <c r="EU292" s="1111">
        <f t="shared" si="479"/>
        <v>1730.1829912908977</v>
      </c>
      <c r="EV292" s="1111">
        <v>22.214797437739819</v>
      </c>
      <c r="EW292" s="1111">
        <f t="shared" si="460"/>
        <v>15.319827052578248</v>
      </c>
      <c r="EX292" s="1111">
        <f t="shared" si="461"/>
        <v>8.4685847701796284</v>
      </c>
      <c r="EY292" s="1111">
        <f t="shared" si="462"/>
        <v>4.9821165186132932</v>
      </c>
      <c r="EZ292" s="1111">
        <f t="shared" si="463"/>
        <v>3.467231955421874</v>
      </c>
      <c r="FA292" s="1111">
        <f t="shared" si="464"/>
        <v>3.4507915536391489</v>
      </c>
      <c r="FB292" s="1111">
        <f t="shared" si="465"/>
        <v>3.4582966280060186</v>
      </c>
      <c r="FC292" s="1111">
        <f t="shared" si="466"/>
        <v>3.4628481928887811</v>
      </c>
      <c r="FD292" s="1111">
        <f t="shared" si="467"/>
        <v>3.4653857360723261</v>
      </c>
      <c r="FE292" s="1111">
        <f t="shared" si="468"/>
        <v>3.467441909819001</v>
      </c>
      <c r="FF292" s="1111">
        <f t="shared" si="469"/>
        <v>3.467441909819001</v>
      </c>
      <c r="FG292" s="1111">
        <f t="shared" si="389"/>
        <v>0.15052422796556716</v>
      </c>
      <c r="FH292" s="1111">
        <f t="shared" si="390"/>
        <v>1.7147882732231192E-2</v>
      </c>
      <c r="FI292" s="1111">
        <f t="shared" si="391"/>
        <v>1.6288981197253857E-2</v>
      </c>
      <c r="FJ292" s="1111">
        <f t="shared" si="392"/>
        <v>1.5117907818335607E-2</v>
      </c>
      <c r="FK292" s="1111">
        <f t="shared" si="393"/>
        <v>1.4378690167572896E-2</v>
      </c>
      <c r="FL292" s="1111">
        <f t="shared" si="394"/>
        <v>1.4117378368647316E-2</v>
      </c>
      <c r="FM292" s="1111">
        <f t="shared" si="395"/>
        <v>1.4120959250803086E-2</v>
      </c>
      <c r="FN292" s="1111">
        <f t="shared" si="396"/>
        <v>1.4131899910277535E-2</v>
      </c>
      <c r="FO292" s="1111">
        <f t="shared" si="397"/>
        <v>1.4137522428286838E-2</v>
      </c>
      <c r="FP292" s="1111">
        <f t="shared" si="398"/>
        <v>1.4142721116139288E-2</v>
      </c>
      <c r="FQ292" s="1111">
        <f t="shared" si="399"/>
        <v>1.4142721116139288E-2</v>
      </c>
      <c r="FR292" s="1111">
        <f t="shared" si="449"/>
        <v>1.1181516232534956</v>
      </c>
      <c r="FS292" s="1111">
        <f t="shared" si="450"/>
        <v>0.80052052427588127</v>
      </c>
      <c r="FT292" s="1111">
        <f t="shared" si="451"/>
        <v>0.45802073557825485</v>
      </c>
      <c r="FU292" s="1111">
        <f t="shared" si="452"/>
        <v>0.22515659269014368</v>
      </c>
      <c r="FV292" s="1111">
        <f t="shared" si="453"/>
        <v>0.17540222927854948</v>
      </c>
      <c r="FW292" s="1111">
        <f t="shared" si="454"/>
        <v>0.17510495649800506</v>
      </c>
      <c r="FX292" s="1111">
        <f t="shared" si="455"/>
        <v>0.17528687643891486</v>
      </c>
      <c r="FY292" s="1111">
        <f t="shared" si="456"/>
        <v>0.17538590224127698</v>
      </c>
      <c r="FZ292" s="1111">
        <f t="shared" si="457"/>
        <v>0.17544084496896875</v>
      </c>
      <c r="GA292" s="1111">
        <f t="shared" si="458"/>
        <v>0.17548448269919162</v>
      </c>
      <c r="GB292" s="1111">
        <f t="shared" si="459"/>
        <v>0.17548448269919162</v>
      </c>
      <c r="GC292" s="1111">
        <f t="shared" si="480"/>
        <v>0.92238061286946038</v>
      </c>
      <c r="GD292" s="1111">
        <f t="shared" si="481"/>
        <v>0.62943793516757862</v>
      </c>
      <c r="GE292" s="1111">
        <f t="shared" si="482"/>
        <v>0.31467259462042407</v>
      </c>
      <c r="GF292" s="1111">
        <f t="shared" si="483"/>
        <v>0.10061250353824766</v>
      </c>
      <c r="GG292" s="1111">
        <f t="shared" si="484"/>
        <v>5.4985249894676312E-2</v>
      </c>
      <c r="GH292" s="1111">
        <f t="shared" si="485"/>
        <v>5.4618355481547878E-2</v>
      </c>
      <c r="GI292" s="1111">
        <f t="shared" si="486"/>
        <v>5.4711318478445729E-2</v>
      </c>
      <c r="GJ292" s="1111">
        <f t="shared" si="487"/>
        <v>5.4760742474708184E-2</v>
      </c>
      <c r="GK292" s="1111">
        <f t="shared" si="488"/>
        <v>5.4789176303886238E-2</v>
      </c>
      <c r="GL292" s="1111">
        <f t="shared" si="489"/>
        <v>5.4808877163252182E-2</v>
      </c>
      <c r="GM292" s="1111">
        <f t="shared" si="490"/>
        <v>5.4808877163252182E-2</v>
      </c>
    </row>
    <row r="293" spans="1:195" x14ac:dyDescent="0.2">
      <c r="A293" s="1071" t="str">
        <f>Technologies!B172</f>
        <v>*R2,R3,R4,R5,R6</v>
      </c>
      <c r="B293" s="1071" t="str">
        <f>Technologies!C172</f>
        <v>THLDSLC</v>
      </c>
      <c r="C293" s="1071" t="str">
        <f>Technologies!D172</f>
        <v>Heavy Truck, Long Haul, Conv. Diesel</v>
      </c>
      <c r="D293" s="1071" t="str">
        <f>NewTech!D120</f>
        <v>bn-vmt, bn-vmt/a</v>
      </c>
      <c r="E293" s="1071" t="str">
        <f>Commodities!C$44</f>
        <v>THDSL</v>
      </c>
      <c r="F293" s="1071" t="s">
        <v>100</v>
      </c>
      <c r="G293" s="1110" t="s">
        <v>506</v>
      </c>
      <c r="H293" s="1110" t="s">
        <v>499</v>
      </c>
      <c r="I293" s="1112">
        <v>1</v>
      </c>
      <c r="J293" s="1111" t="str">
        <f t="shared" si="302"/>
        <v>Heavy duty long haul truck-DSL</v>
      </c>
      <c r="K293" s="1111">
        <v>1990.9716725761537</v>
      </c>
      <c r="L293" s="1111">
        <v>1941.6688887006037</v>
      </c>
      <c r="M293" s="1111">
        <v>1840.5553307709185</v>
      </c>
      <c r="N293" s="1111">
        <v>1759.0683861000869</v>
      </c>
      <c r="O293" s="1111">
        <v>1727.0853816748008</v>
      </c>
      <c r="P293" s="1111">
        <v>1727.5216883099354</v>
      </c>
      <c r="Q293" s="1111">
        <v>1728.8597047057897</v>
      </c>
      <c r="R293" s="1111">
        <v>1729.5473771008642</v>
      </c>
      <c r="S293" s="1111">
        <v>1730.1829912908977</v>
      </c>
      <c r="T293" s="1111">
        <f t="shared" si="491"/>
        <v>1730.1829912908977</v>
      </c>
      <c r="U293" s="1111">
        <v>15.319827052578248</v>
      </c>
      <c r="V293" s="1111">
        <v>8.4685847701796284</v>
      </c>
      <c r="W293" s="1111">
        <v>4.9821165186132932</v>
      </c>
      <c r="X293" s="1111">
        <v>3.467231955421874</v>
      </c>
      <c r="Y293" s="1111">
        <v>3.4507915536391489</v>
      </c>
      <c r="Z293" s="1111">
        <v>3.4582966280060186</v>
      </c>
      <c r="AA293" s="1111">
        <v>3.4628481928887811</v>
      </c>
      <c r="AB293" s="1111">
        <v>3.4653857360723261</v>
      </c>
      <c r="AC293" s="1111">
        <v>3.467441909819001</v>
      </c>
      <c r="AD293" s="1111">
        <f t="shared" si="448"/>
        <v>3.467441909819001</v>
      </c>
      <c r="AE293" s="1111">
        <v>0.15052422796556716</v>
      </c>
      <c r="AF293" s="1111">
        <v>1.7147882732231192E-2</v>
      </c>
      <c r="AG293" s="1111">
        <v>1.6288981197253857E-2</v>
      </c>
      <c r="AH293" s="1111">
        <v>1.5117907818335607E-2</v>
      </c>
      <c r="AI293" s="1111">
        <v>1.4378690167572896E-2</v>
      </c>
      <c r="AJ293" s="1111">
        <v>1.4117378368647316E-2</v>
      </c>
      <c r="AK293" s="1111">
        <v>1.4120959250803086E-2</v>
      </c>
      <c r="AL293" s="1111">
        <v>1.4131899910277535E-2</v>
      </c>
      <c r="AM293" s="1111">
        <v>1.4137522428286838E-2</v>
      </c>
      <c r="AN293" s="1111">
        <v>1.4142721116139288E-2</v>
      </c>
      <c r="AO293" s="1111">
        <v>1.4142721116139288E-2</v>
      </c>
      <c r="AP293" s="1111">
        <v>1.1181516232534956</v>
      </c>
      <c r="AQ293" s="1111">
        <v>0.80052052427588127</v>
      </c>
      <c r="AR293" s="1111">
        <v>0.45802073557825485</v>
      </c>
      <c r="AS293" s="1111">
        <v>0.22515659269014368</v>
      </c>
      <c r="AT293" s="1111">
        <v>0.17540222927854948</v>
      </c>
      <c r="AU293" s="1111">
        <v>0.17510495649800506</v>
      </c>
      <c r="AV293" s="1111">
        <v>0.17528687643891486</v>
      </c>
      <c r="AW293" s="1111">
        <v>0.17538590224127698</v>
      </c>
      <c r="AX293" s="1111">
        <v>0.17544084496896875</v>
      </c>
      <c r="AY293" s="1111">
        <v>0.17548448269919162</v>
      </c>
      <c r="AZ293" s="1111">
        <v>0.17548448269919162</v>
      </c>
      <c r="BA293" s="1111">
        <v>0.92238061286946038</v>
      </c>
      <c r="BB293" s="1111">
        <v>0.62943793516757862</v>
      </c>
      <c r="BC293" s="1111">
        <v>0.31467259462042407</v>
      </c>
      <c r="BD293" s="1111">
        <v>0.10061250353824766</v>
      </c>
      <c r="BE293" s="1111">
        <v>5.4985249894676312E-2</v>
      </c>
      <c r="BF293" s="1111">
        <v>5.4618355481547878E-2</v>
      </c>
      <c r="BG293" s="1111">
        <v>5.4711318478445729E-2</v>
      </c>
      <c r="BH293" s="1111">
        <v>5.4760742474708184E-2</v>
      </c>
      <c r="BI293" s="1111">
        <v>5.4789176303886238E-2</v>
      </c>
      <c r="BJ293" s="1111">
        <v>5.4808877163252182E-2</v>
      </c>
      <c r="BK293" s="1111">
        <v>5.4808877163252182E-2</v>
      </c>
      <c r="BL293" s="1111">
        <v>5.9614311030596951</v>
      </c>
      <c r="BM293" s="1111">
        <v>4.5918650065862101</v>
      </c>
      <c r="BN293" s="1111">
        <v>2.6906389750268889</v>
      </c>
      <c r="BO293" s="1111">
        <v>1.693821954160792</v>
      </c>
      <c r="BP293" s="1111">
        <v>1.4556997811831409</v>
      </c>
      <c r="BQ293" s="1111">
        <v>1.4605385418834991</v>
      </c>
      <c r="BR293" s="1111">
        <v>1.4660985163064548</v>
      </c>
      <c r="BS293" s="1111">
        <v>1.469914274069702</v>
      </c>
      <c r="BT293" s="1111">
        <v>1.4707795599223308</v>
      </c>
      <c r="BU293" s="1111">
        <v>1.4714814360768016</v>
      </c>
      <c r="BV293" s="1111">
        <v>1.4714814360768016</v>
      </c>
      <c r="BW293" s="1111">
        <v>1.8199393363012488</v>
      </c>
      <c r="BX293" s="1111">
        <v>1.4770658511247796</v>
      </c>
      <c r="BY293" s="1111">
        <v>0.90983790782993534</v>
      </c>
      <c r="BZ293" s="1111">
        <v>0.51563811144780347</v>
      </c>
      <c r="CA293" s="1111">
        <v>0.42061936864799804</v>
      </c>
      <c r="CB293" s="1111">
        <v>0.42073824663225967</v>
      </c>
      <c r="CC293" s="1111">
        <v>0.42175786297834761</v>
      </c>
      <c r="CD293" s="1111">
        <v>0.42238921634242482</v>
      </c>
      <c r="CE293" s="1111">
        <v>0.42267473005087131</v>
      </c>
      <c r="CF293" s="1111">
        <v>0.42293390367008121</v>
      </c>
      <c r="CG293" s="1111">
        <v>0.42293390367008121</v>
      </c>
      <c r="CH293" s="1111">
        <v>3.4412371683517198E-2</v>
      </c>
      <c r="CI293" s="1111">
        <v>3.4493337806388705E-2</v>
      </c>
      <c r="CJ293" s="1111">
        <v>3.3256899548670331E-2</v>
      </c>
      <c r="CK293" s="1111">
        <v>3.2082083001586562E-2</v>
      </c>
      <c r="CL293" s="1111">
        <v>3.1312086208570782E-2</v>
      </c>
      <c r="CM293" s="1111">
        <v>3.1290316795849253E-2</v>
      </c>
      <c r="CN293" s="1111">
        <v>3.1312654731235907E-2</v>
      </c>
      <c r="CO293" s="1111">
        <v>3.1325169678549016E-2</v>
      </c>
      <c r="CP293" s="1111">
        <v>3.1331810091919626E-2</v>
      </c>
      <c r="CQ293" s="1111">
        <v>3.1337948548338782E-2</v>
      </c>
      <c r="CR293" s="1111">
        <v>3.1337948548338782E-2</v>
      </c>
      <c r="CS293" s="1111">
        <v>22.214797437739819</v>
      </c>
      <c r="CT293" s="1111">
        <v>15.319827052578248</v>
      </c>
      <c r="CU293" s="1111">
        <v>8.4685847701796284</v>
      </c>
      <c r="CV293" s="1111">
        <v>4.9821165186132932</v>
      </c>
      <c r="CW293" s="1111">
        <v>3.467231955421874</v>
      </c>
      <c r="CX293" s="1111">
        <v>3.4507915536391489</v>
      </c>
      <c r="CY293" s="1111">
        <v>3.4582966280060186</v>
      </c>
      <c r="CZ293" s="1111">
        <v>3.4628481928887811</v>
      </c>
      <c r="DA293" s="1111">
        <v>3.4653857360723261</v>
      </c>
      <c r="DB293" s="1111">
        <v>3.467441909819001</v>
      </c>
      <c r="DC293" s="1111">
        <v>3.467441909819001</v>
      </c>
      <c r="DD293" s="1111">
        <v>0.58595154450895603</v>
      </c>
      <c r="DE293" s="1111">
        <v>0.38883860207962456</v>
      </c>
      <c r="DF293" s="1111">
        <v>0.17690357039713958</v>
      </c>
      <c r="DG293" s="1111">
        <v>3.4539811541928388E-2</v>
      </c>
      <c r="DH293" s="1111">
        <v>4.6405002307018522E-3</v>
      </c>
      <c r="DI293" s="1111">
        <v>4.6107794377802554E-3</v>
      </c>
      <c r="DJ293" s="1111">
        <v>4.6215599268932053E-3</v>
      </c>
      <c r="DK293" s="1111">
        <v>4.6273615775192078E-3</v>
      </c>
      <c r="DL293" s="1111">
        <v>4.6306369526608803E-3</v>
      </c>
      <c r="DM293" s="1111">
        <v>4.6330767482665753E-3</v>
      </c>
      <c r="DN293" s="1111">
        <v>4.6330767482665753E-3</v>
      </c>
      <c r="DO293" s="1111">
        <v>0.21893334463495995</v>
      </c>
      <c r="DP293" s="1111">
        <v>0.15390472378530864</v>
      </c>
      <c r="DQ293" s="1111">
        <v>7.4564386146155931E-2</v>
      </c>
      <c r="DR293" s="1111">
        <v>1.9638770407339686E-2</v>
      </c>
      <c r="DS293" s="1111">
        <v>8.4633421868544681E-3</v>
      </c>
      <c r="DT293" s="1111">
        <v>8.4130467901607168E-3</v>
      </c>
      <c r="DU293" s="1111">
        <v>8.432889478818921E-3</v>
      </c>
      <c r="DV293" s="1111">
        <v>8.4435912902704469E-3</v>
      </c>
      <c r="DW293" s="1111">
        <v>8.4496126155583773E-3</v>
      </c>
      <c r="DX293" s="1111">
        <v>8.4541558278977604E-3</v>
      </c>
      <c r="DY293" s="1111">
        <v>8.4541558278977604E-3</v>
      </c>
      <c r="DZ293" s="1111">
        <v>5.3407949418512778E-3</v>
      </c>
      <c r="EA293" s="1111">
        <v>0.14104854201033007</v>
      </c>
      <c r="EB293" s="1111">
        <v>0.27257687202227321</v>
      </c>
      <c r="EC293" s="1111">
        <v>0.36080196176893081</v>
      </c>
      <c r="ED293" s="1111">
        <v>0.35536041277142427</v>
      </c>
      <c r="EE293" s="1111">
        <v>0.35636314324239221</v>
      </c>
      <c r="EF293" s="1111">
        <v>0.35731718163326287</v>
      </c>
      <c r="EG293" s="1111">
        <v>0.35788107716481848</v>
      </c>
      <c r="EH293" s="1111">
        <v>0.35812757843703857</v>
      </c>
      <c r="EI293" s="1111">
        <v>0.35835033752738565</v>
      </c>
      <c r="EJ293" s="1111">
        <v>0.35835033752738565</v>
      </c>
      <c r="EK293" s="1111">
        <v>1975.06905164605</v>
      </c>
      <c r="EL293" s="1111">
        <f t="shared" si="470"/>
        <v>1990.9716725761537</v>
      </c>
      <c r="EM293" s="1111">
        <f t="shared" si="471"/>
        <v>1941.6688887006037</v>
      </c>
      <c r="EN293" s="1111">
        <f t="shared" si="472"/>
        <v>1840.5553307709185</v>
      </c>
      <c r="EO293" s="1111">
        <f t="shared" si="473"/>
        <v>1759.0683861000869</v>
      </c>
      <c r="EP293" s="1111">
        <f t="shared" si="474"/>
        <v>1727.0853816748008</v>
      </c>
      <c r="EQ293" s="1111">
        <f t="shared" si="475"/>
        <v>1727.5216883099354</v>
      </c>
      <c r="ER293" s="1111">
        <f t="shared" si="476"/>
        <v>1728.8597047057897</v>
      </c>
      <c r="ES293" s="1111">
        <f t="shared" si="477"/>
        <v>1729.5473771008642</v>
      </c>
      <c r="ET293" s="1111">
        <f t="shared" si="478"/>
        <v>1730.1829912908977</v>
      </c>
      <c r="EU293" s="1111">
        <f t="shared" si="479"/>
        <v>1730.1829912908977</v>
      </c>
      <c r="EV293" s="1111">
        <v>22.214797437739819</v>
      </c>
      <c r="EW293" s="1111">
        <f t="shared" si="460"/>
        <v>15.319827052578248</v>
      </c>
      <c r="EX293" s="1111">
        <f t="shared" si="461"/>
        <v>8.4685847701796284</v>
      </c>
      <c r="EY293" s="1111">
        <f t="shared" si="462"/>
        <v>4.9821165186132932</v>
      </c>
      <c r="EZ293" s="1111">
        <f t="shared" si="463"/>
        <v>3.467231955421874</v>
      </c>
      <c r="FA293" s="1111">
        <f t="shared" si="464"/>
        <v>3.4507915536391489</v>
      </c>
      <c r="FB293" s="1111">
        <f t="shared" si="465"/>
        <v>3.4582966280060186</v>
      </c>
      <c r="FC293" s="1111">
        <f t="shared" si="466"/>
        <v>3.4628481928887811</v>
      </c>
      <c r="FD293" s="1111">
        <f t="shared" si="467"/>
        <v>3.4653857360723261</v>
      </c>
      <c r="FE293" s="1111">
        <f t="shared" si="468"/>
        <v>3.467441909819001</v>
      </c>
      <c r="FF293" s="1111">
        <f t="shared" si="469"/>
        <v>3.467441909819001</v>
      </c>
      <c r="FG293" s="1111">
        <f t="shared" si="389"/>
        <v>0.15052422796556716</v>
      </c>
      <c r="FH293" s="1111">
        <f t="shared" si="390"/>
        <v>1.7147882732231192E-2</v>
      </c>
      <c r="FI293" s="1111">
        <f t="shared" si="391"/>
        <v>1.6288981197253857E-2</v>
      </c>
      <c r="FJ293" s="1111">
        <f t="shared" si="392"/>
        <v>1.5117907818335607E-2</v>
      </c>
      <c r="FK293" s="1111">
        <f t="shared" si="393"/>
        <v>1.4378690167572896E-2</v>
      </c>
      <c r="FL293" s="1111">
        <f t="shared" si="394"/>
        <v>1.4117378368647316E-2</v>
      </c>
      <c r="FM293" s="1111">
        <f t="shared" si="395"/>
        <v>1.4120959250803086E-2</v>
      </c>
      <c r="FN293" s="1111">
        <f t="shared" si="396"/>
        <v>1.4131899910277535E-2</v>
      </c>
      <c r="FO293" s="1111">
        <f t="shared" si="397"/>
        <v>1.4137522428286838E-2</v>
      </c>
      <c r="FP293" s="1111">
        <f t="shared" si="398"/>
        <v>1.4142721116139288E-2</v>
      </c>
      <c r="FQ293" s="1111">
        <f t="shared" si="399"/>
        <v>1.4142721116139288E-2</v>
      </c>
      <c r="FR293" s="1111">
        <f t="shared" si="449"/>
        <v>1.1181516232534956</v>
      </c>
      <c r="FS293" s="1111">
        <f t="shared" si="450"/>
        <v>0.80052052427588127</v>
      </c>
      <c r="FT293" s="1111">
        <f t="shared" si="451"/>
        <v>0.45802073557825485</v>
      </c>
      <c r="FU293" s="1111">
        <f t="shared" si="452"/>
        <v>0.22515659269014368</v>
      </c>
      <c r="FV293" s="1111">
        <f t="shared" si="453"/>
        <v>0.17540222927854948</v>
      </c>
      <c r="FW293" s="1111">
        <f t="shared" si="454"/>
        <v>0.17510495649800506</v>
      </c>
      <c r="FX293" s="1111">
        <f t="shared" si="455"/>
        <v>0.17528687643891486</v>
      </c>
      <c r="FY293" s="1111">
        <f t="shared" si="456"/>
        <v>0.17538590224127698</v>
      </c>
      <c r="FZ293" s="1111">
        <f t="shared" si="457"/>
        <v>0.17544084496896875</v>
      </c>
      <c r="GA293" s="1111">
        <f t="shared" si="458"/>
        <v>0.17548448269919162</v>
      </c>
      <c r="GB293" s="1111">
        <f t="shared" si="459"/>
        <v>0.17548448269919162</v>
      </c>
      <c r="GC293" s="1111">
        <f t="shared" si="480"/>
        <v>0.92238061286946038</v>
      </c>
      <c r="GD293" s="1111">
        <f t="shared" si="481"/>
        <v>0.62943793516757862</v>
      </c>
      <c r="GE293" s="1111">
        <f t="shared" si="482"/>
        <v>0.31467259462042407</v>
      </c>
      <c r="GF293" s="1111">
        <f t="shared" si="483"/>
        <v>0.10061250353824766</v>
      </c>
      <c r="GG293" s="1111">
        <f t="shared" si="484"/>
        <v>5.4985249894676312E-2</v>
      </c>
      <c r="GH293" s="1111">
        <f t="shared" si="485"/>
        <v>5.4618355481547878E-2</v>
      </c>
      <c r="GI293" s="1111">
        <f t="shared" si="486"/>
        <v>5.4711318478445729E-2</v>
      </c>
      <c r="GJ293" s="1111">
        <f t="shared" si="487"/>
        <v>5.4760742474708184E-2</v>
      </c>
      <c r="GK293" s="1111">
        <f t="shared" si="488"/>
        <v>5.4789176303886238E-2</v>
      </c>
      <c r="GL293" s="1111">
        <f t="shared" si="489"/>
        <v>5.4808877163252182E-2</v>
      </c>
      <c r="GM293" s="1111">
        <f t="shared" si="490"/>
        <v>5.4808877163252182E-2</v>
      </c>
    </row>
    <row r="294" spans="1:195" x14ac:dyDescent="0.2">
      <c r="A294" s="1071" t="str">
        <f>Technologies!B173</f>
        <v>*R2,R3,R4,R5,R6</v>
      </c>
      <c r="B294" s="1071" t="str">
        <f>Technologies!C173</f>
        <v>THLDSLIM</v>
      </c>
      <c r="C294" s="1071" t="str">
        <f>Technologies!D173</f>
        <v>Heavy Truck, Long Haul, Improved Diesel</v>
      </c>
      <c r="D294" s="1071" t="str">
        <f>NewTech!D121</f>
        <v>bn-vmt, bn-vmt/a</v>
      </c>
      <c r="E294" s="1071" t="str">
        <f>Commodities!C$44</f>
        <v>THDSL</v>
      </c>
      <c r="F294" s="1071" t="s">
        <v>100</v>
      </c>
      <c r="G294" s="1110" t="s">
        <v>506</v>
      </c>
      <c r="H294" s="1110" t="s">
        <v>499</v>
      </c>
      <c r="I294" s="1112">
        <v>1</v>
      </c>
      <c r="J294" s="1111" t="str">
        <f t="shared" si="302"/>
        <v>Heavy duty long haul truck-DSL</v>
      </c>
      <c r="K294" s="1111">
        <v>1990.9716725761537</v>
      </c>
      <c r="L294" s="1111">
        <v>1941.6688887006037</v>
      </c>
      <c r="M294" s="1111">
        <v>1840.5553307709185</v>
      </c>
      <c r="N294" s="1111">
        <v>1759.0683861000869</v>
      </c>
      <c r="O294" s="1111">
        <v>1727.0853816748008</v>
      </c>
      <c r="P294" s="1111">
        <v>1727.5216883099354</v>
      </c>
      <c r="Q294" s="1111">
        <v>1728.8597047057897</v>
      </c>
      <c r="R294" s="1111">
        <v>1729.5473771008642</v>
      </c>
      <c r="S294" s="1111">
        <v>1730.1829912908977</v>
      </c>
      <c r="T294" s="1111">
        <f t="shared" si="491"/>
        <v>1730.1829912908977</v>
      </c>
      <c r="U294" s="1111">
        <v>15.319827052578248</v>
      </c>
      <c r="V294" s="1111">
        <v>8.4685847701796284</v>
      </c>
      <c r="W294" s="1111">
        <v>4.9821165186132932</v>
      </c>
      <c r="X294" s="1111">
        <v>3.467231955421874</v>
      </c>
      <c r="Y294" s="1111">
        <v>3.4507915536391489</v>
      </c>
      <c r="Z294" s="1111">
        <v>3.4582966280060186</v>
      </c>
      <c r="AA294" s="1111">
        <v>3.4628481928887811</v>
      </c>
      <c r="AB294" s="1111">
        <v>3.4653857360723261</v>
      </c>
      <c r="AC294" s="1111">
        <v>3.467441909819001</v>
      </c>
      <c r="AD294" s="1111">
        <f t="shared" si="448"/>
        <v>3.467441909819001</v>
      </c>
      <c r="AE294" s="1111">
        <v>0.15052422796556716</v>
      </c>
      <c r="AF294" s="1111">
        <v>1.7147882732231192E-2</v>
      </c>
      <c r="AG294" s="1111">
        <v>1.6288981197253857E-2</v>
      </c>
      <c r="AH294" s="1111">
        <v>1.5117907818335607E-2</v>
      </c>
      <c r="AI294" s="1111">
        <v>1.4378690167572896E-2</v>
      </c>
      <c r="AJ294" s="1111">
        <v>1.4117378368647316E-2</v>
      </c>
      <c r="AK294" s="1111">
        <v>1.4120959250803086E-2</v>
      </c>
      <c r="AL294" s="1111">
        <v>1.4131899910277535E-2</v>
      </c>
      <c r="AM294" s="1111">
        <v>1.4137522428286838E-2</v>
      </c>
      <c r="AN294" s="1111">
        <v>1.4142721116139288E-2</v>
      </c>
      <c r="AO294" s="1111">
        <v>1.4142721116139288E-2</v>
      </c>
      <c r="AP294" s="1111">
        <v>1.1181516232534956</v>
      </c>
      <c r="AQ294" s="1111">
        <v>0.80052052427588127</v>
      </c>
      <c r="AR294" s="1111">
        <v>0.45802073557825485</v>
      </c>
      <c r="AS294" s="1111">
        <v>0.22515659269014368</v>
      </c>
      <c r="AT294" s="1111">
        <v>0.17540222927854948</v>
      </c>
      <c r="AU294" s="1111">
        <v>0.17510495649800506</v>
      </c>
      <c r="AV294" s="1111">
        <v>0.17528687643891486</v>
      </c>
      <c r="AW294" s="1111">
        <v>0.17538590224127698</v>
      </c>
      <c r="AX294" s="1111">
        <v>0.17544084496896875</v>
      </c>
      <c r="AY294" s="1111">
        <v>0.17548448269919162</v>
      </c>
      <c r="AZ294" s="1111">
        <v>0.17548448269919162</v>
      </c>
      <c r="BA294" s="1111">
        <v>0.92238061286946038</v>
      </c>
      <c r="BB294" s="1111">
        <v>0.62943793516757862</v>
      </c>
      <c r="BC294" s="1111">
        <v>0.31467259462042407</v>
      </c>
      <c r="BD294" s="1111">
        <v>0.10061250353824766</v>
      </c>
      <c r="BE294" s="1111">
        <v>5.4985249894676312E-2</v>
      </c>
      <c r="BF294" s="1111">
        <v>5.4618355481547878E-2</v>
      </c>
      <c r="BG294" s="1111">
        <v>5.4711318478445729E-2</v>
      </c>
      <c r="BH294" s="1111">
        <v>5.4760742474708184E-2</v>
      </c>
      <c r="BI294" s="1111">
        <v>5.4789176303886238E-2</v>
      </c>
      <c r="BJ294" s="1111">
        <v>5.4808877163252182E-2</v>
      </c>
      <c r="BK294" s="1111">
        <v>5.4808877163252182E-2</v>
      </c>
      <c r="BL294" s="1111">
        <v>5.9614311030596951</v>
      </c>
      <c r="BM294" s="1111">
        <v>4.5918650065862101</v>
      </c>
      <c r="BN294" s="1111">
        <v>2.6906389750268889</v>
      </c>
      <c r="BO294" s="1111">
        <v>1.693821954160792</v>
      </c>
      <c r="BP294" s="1111">
        <v>1.4556997811831409</v>
      </c>
      <c r="BQ294" s="1111">
        <v>1.4605385418834991</v>
      </c>
      <c r="BR294" s="1111">
        <v>1.4660985163064548</v>
      </c>
      <c r="BS294" s="1111">
        <v>1.469914274069702</v>
      </c>
      <c r="BT294" s="1111">
        <v>1.4707795599223308</v>
      </c>
      <c r="BU294" s="1111">
        <v>1.4714814360768016</v>
      </c>
      <c r="BV294" s="1111">
        <v>1.4714814360768016</v>
      </c>
      <c r="BW294" s="1111">
        <v>1.8199393363012488</v>
      </c>
      <c r="BX294" s="1111">
        <v>1.4770658511247796</v>
      </c>
      <c r="BY294" s="1111">
        <v>0.90983790782993534</v>
      </c>
      <c r="BZ294" s="1111">
        <v>0.51563811144780347</v>
      </c>
      <c r="CA294" s="1111">
        <v>0.42061936864799804</v>
      </c>
      <c r="CB294" s="1111">
        <v>0.42073824663225967</v>
      </c>
      <c r="CC294" s="1111">
        <v>0.42175786297834761</v>
      </c>
      <c r="CD294" s="1111">
        <v>0.42238921634242482</v>
      </c>
      <c r="CE294" s="1111">
        <v>0.42267473005087131</v>
      </c>
      <c r="CF294" s="1111">
        <v>0.42293390367008121</v>
      </c>
      <c r="CG294" s="1111">
        <v>0.42293390367008121</v>
      </c>
      <c r="CH294" s="1111">
        <v>3.4412371683517198E-2</v>
      </c>
      <c r="CI294" s="1111">
        <v>3.4493337806388705E-2</v>
      </c>
      <c r="CJ294" s="1111">
        <v>3.3256899548670331E-2</v>
      </c>
      <c r="CK294" s="1111">
        <v>3.2082083001586562E-2</v>
      </c>
      <c r="CL294" s="1111">
        <v>3.1312086208570782E-2</v>
      </c>
      <c r="CM294" s="1111">
        <v>3.1290316795849253E-2</v>
      </c>
      <c r="CN294" s="1111">
        <v>3.1312654731235907E-2</v>
      </c>
      <c r="CO294" s="1111">
        <v>3.1325169678549016E-2</v>
      </c>
      <c r="CP294" s="1111">
        <v>3.1331810091919626E-2</v>
      </c>
      <c r="CQ294" s="1111">
        <v>3.1337948548338782E-2</v>
      </c>
      <c r="CR294" s="1111">
        <v>3.1337948548338782E-2</v>
      </c>
      <c r="CS294" s="1111">
        <v>22.214797437739819</v>
      </c>
      <c r="CT294" s="1111">
        <v>15.319827052578248</v>
      </c>
      <c r="CU294" s="1111">
        <v>8.4685847701796284</v>
      </c>
      <c r="CV294" s="1111">
        <v>4.9821165186132932</v>
      </c>
      <c r="CW294" s="1111">
        <v>3.467231955421874</v>
      </c>
      <c r="CX294" s="1111">
        <v>3.4507915536391489</v>
      </c>
      <c r="CY294" s="1111">
        <v>3.4582966280060186</v>
      </c>
      <c r="CZ294" s="1111">
        <v>3.4628481928887811</v>
      </c>
      <c r="DA294" s="1111">
        <v>3.4653857360723261</v>
      </c>
      <c r="DB294" s="1111">
        <v>3.467441909819001</v>
      </c>
      <c r="DC294" s="1111">
        <v>3.467441909819001</v>
      </c>
      <c r="DD294" s="1111">
        <v>0.58595154450895603</v>
      </c>
      <c r="DE294" s="1111">
        <v>0.38883860207962456</v>
      </c>
      <c r="DF294" s="1111">
        <v>0.17690357039713958</v>
      </c>
      <c r="DG294" s="1111">
        <v>3.4539811541928388E-2</v>
      </c>
      <c r="DH294" s="1111">
        <v>4.6405002307018522E-3</v>
      </c>
      <c r="DI294" s="1111">
        <v>4.6107794377802554E-3</v>
      </c>
      <c r="DJ294" s="1111">
        <v>4.6215599268932053E-3</v>
      </c>
      <c r="DK294" s="1111">
        <v>4.6273615775192078E-3</v>
      </c>
      <c r="DL294" s="1111">
        <v>4.6306369526608803E-3</v>
      </c>
      <c r="DM294" s="1111">
        <v>4.6330767482665753E-3</v>
      </c>
      <c r="DN294" s="1111">
        <v>4.6330767482665753E-3</v>
      </c>
      <c r="DO294" s="1111">
        <v>0.21893334463495995</v>
      </c>
      <c r="DP294" s="1111">
        <v>0.15390472378530864</v>
      </c>
      <c r="DQ294" s="1111">
        <v>7.4564386146155931E-2</v>
      </c>
      <c r="DR294" s="1111">
        <v>1.9638770407339686E-2</v>
      </c>
      <c r="DS294" s="1111">
        <v>8.4633421868544681E-3</v>
      </c>
      <c r="DT294" s="1111">
        <v>8.4130467901607168E-3</v>
      </c>
      <c r="DU294" s="1111">
        <v>8.432889478818921E-3</v>
      </c>
      <c r="DV294" s="1111">
        <v>8.4435912902704469E-3</v>
      </c>
      <c r="DW294" s="1111">
        <v>8.4496126155583773E-3</v>
      </c>
      <c r="DX294" s="1111">
        <v>8.4541558278977604E-3</v>
      </c>
      <c r="DY294" s="1111">
        <v>8.4541558278977604E-3</v>
      </c>
      <c r="DZ294" s="1111">
        <v>5.3407949418512778E-3</v>
      </c>
      <c r="EA294" s="1111">
        <v>0.14104854201033007</v>
      </c>
      <c r="EB294" s="1111">
        <v>0.27257687202227321</v>
      </c>
      <c r="EC294" s="1111">
        <v>0.36080196176893081</v>
      </c>
      <c r="ED294" s="1111">
        <v>0.35536041277142427</v>
      </c>
      <c r="EE294" s="1111">
        <v>0.35636314324239221</v>
      </c>
      <c r="EF294" s="1111">
        <v>0.35731718163326287</v>
      </c>
      <c r="EG294" s="1111">
        <v>0.35788107716481848</v>
      </c>
      <c r="EH294" s="1111">
        <v>0.35812757843703857</v>
      </c>
      <c r="EI294" s="1111">
        <v>0.35835033752738565</v>
      </c>
      <c r="EJ294" s="1111">
        <v>0.35835033752738565</v>
      </c>
      <c r="EK294" s="1111">
        <v>1975.06905164605</v>
      </c>
      <c r="EL294" s="1111">
        <f t="shared" si="470"/>
        <v>1990.9716725761537</v>
      </c>
      <c r="EM294" s="1111">
        <f t="shared" si="471"/>
        <v>1941.6688887006037</v>
      </c>
      <c r="EN294" s="1111">
        <f t="shared" si="472"/>
        <v>1840.5553307709185</v>
      </c>
      <c r="EO294" s="1111">
        <f t="shared" si="473"/>
        <v>1759.0683861000869</v>
      </c>
      <c r="EP294" s="1111">
        <f t="shared" si="474"/>
        <v>1727.0853816748008</v>
      </c>
      <c r="EQ294" s="1111">
        <f t="shared" si="475"/>
        <v>1727.5216883099354</v>
      </c>
      <c r="ER294" s="1111">
        <f t="shared" si="476"/>
        <v>1728.8597047057897</v>
      </c>
      <c r="ES294" s="1111">
        <f t="shared" si="477"/>
        <v>1729.5473771008642</v>
      </c>
      <c r="ET294" s="1111">
        <f t="shared" si="478"/>
        <v>1730.1829912908977</v>
      </c>
      <c r="EU294" s="1111">
        <f t="shared" si="479"/>
        <v>1730.1829912908977</v>
      </c>
      <c r="EV294" s="1111">
        <v>22.214797437739819</v>
      </c>
      <c r="EW294" s="1111">
        <f t="shared" si="460"/>
        <v>15.319827052578248</v>
      </c>
      <c r="EX294" s="1111">
        <f t="shared" si="461"/>
        <v>8.4685847701796284</v>
      </c>
      <c r="EY294" s="1111">
        <f t="shared" si="462"/>
        <v>4.9821165186132932</v>
      </c>
      <c r="EZ294" s="1111">
        <f t="shared" si="463"/>
        <v>3.467231955421874</v>
      </c>
      <c r="FA294" s="1111">
        <f t="shared" si="464"/>
        <v>3.4507915536391489</v>
      </c>
      <c r="FB294" s="1111">
        <f t="shared" si="465"/>
        <v>3.4582966280060186</v>
      </c>
      <c r="FC294" s="1111">
        <f t="shared" si="466"/>
        <v>3.4628481928887811</v>
      </c>
      <c r="FD294" s="1111">
        <f t="shared" si="467"/>
        <v>3.4653857360723261</v>
      </c>
      <c r="FE294" s="1111">
        <f t="shared" si="468"/>
        <v>3.467441909819001</v>
      </c>
      <c r="FF294" s="1111">
        <f t="shared" si="469"/>
        <v>3.467441909819001</v>
      </c>
      <c r="FG294" s="1111">
        <f t="shared" si="389"/>
        <v>0.15052422796556716</v>
      </c>
      <c r="FH294" s="1111">
        <f t="shared" si="390"/>
        <v>1.7147882732231192E-2</v>
      </c>
      <c r="FI294" s="1111">
        <f t="shared" si="391"/>
        <v>1.6288981197253857E-2</v>
      </c>
      <c r="FJ294" s="1111">
        <f t="shared" si="392"/>
        <v>1.5117907818335607E-2</v>
      </c>
      <c r="FK294" s="1111">
        <f t="shared" si="393"/>
        <v>1.4378690167572896E-2</v>
      </c>
      <c r="FL294" s="1111">
        <f t="shared" si="394"/>
        <v>1.4117378368647316E-2</v>
      </c>
      <c r="FM294" s="1111">
        <f t="shared" si="395"/>
        <v>1.4120959250803086E-2</v>
      </c>
      <c r="FN294" s="1111">
        <f t="shared" si="396"/>
        <v>1.4131899910277535E-2</v>
      </c>
      <c r="FO294" s="1111">
        <f t="shared" si="397"/>
        <v>1.4137522428286838E-2</v>
      </c>
      <c r="FP294" s="1111">
        <f t="shared" si="398"/>
        <v>1.4142721116139288E-2</v>
      </c>
      <c r="FQ294" s="1111">
        <f t="shared" si="399"/>
        <v>1.4142721116139288E-2</v>
      </c>
      <c r="FR294" s="1111">
        <f t="shared" si="449"/>
        <v>1.1181516232534956</v>
      </c>
      <c r="FS294" s="1111">
        <f t="shared" si="450"/>
        <v>0.80052052427588127</v>
      </c>
      <c r="FT294" s="1111">
        <f t="shared" si="451"/>
        <v>0.45802073557825485</v>
      </c>
      <c r="FU294" s="1111">
        <f t="shared" si="452"/>
        <v>0.22515659269014368</v>
      </c>
      <c r="FV294" s="1111">
        <f t="shared" si="453"/>
        <v>0.17540222927854948</v>
      </c>
      <c r="FW294" s="1111">
        <f t="shared" si="454"/>
        <v>0.17510495649800506</v>
      </c>
      <c r="FX294" s="1111">
        <f t="shared" si="455"/>
        <v>0.17528687643891486</v>
      </c>
      <c r="FY294" s="1111">
        <f t="shared" si="456"/>
        <v>0.17538590224127698</v>
      </c>
      <c r="FZ294" s="1111">
        <f t="shared" si="457"/>
        <v>0.17544084496896875</v>
      </c>
      <c r="GA294" s="1111">
        <f t="shared" si="458"/>
        <v>0.17548448269919162</v>
      </c>
      <c r="GB294" s="1111">
        <f t="shared" si="459"/>
        <v>0.17548448269919162</v>
      </c>
      <c r="GC294" s="1111">
        <f t="shared" si="480"/>
        <v>0.92238061286946038</v>
      </c>
      <c r="GD294" s="1111">
        <f t="shared" si="481"/>
        <v>0.62943793516757862</v>
      </c>
      <c r="GE294" s="1111">
        <f t="shared" si="482"/>
        <v>0.31467259462042407</v>
      </c>
      <c r="GF294" s="1111">
        <f t="shared" si="483"/>
        <v>0.10061250353824766</v>
      </c>
      <c r="GG294" s="1111">
        <f t="shared" si="484"/>
        <v>5.4985249894676312E-2</v>
      </c>
      <c r="GH294" s="1111">
        <f t="shared" si="485"/>
        <v>5.4618355481547878E-2</v>
      </c>
      <c r="GI294" s="1111">
        <f t="shared" si="486"/>
        <v>5.4711318478445729E-2</v>
      </c>
      <c r="GJ294" s="1111">
        <f t="shared" si="487"/>
        <v>5.4760742474708184E-2</v>
      </c>
      <c r="GK294" s="1111">
        <f t="shared" si="488"/>
        <v>5.4789176303886238E-2</v>
      </c>
      <c r="GL294" s="1111">
        <f t="shared" si="489"/>
        <v>5.4808877163252182E-2</v>
      </c>
      <c r="GM294" s="1111">
        <f t="shared" si="490"/>
        <v>5.4808877163252182E-2</v>
      </c>
    </row>
    <row r="295" spans="1:195" x14ac:dyDescent="0.2">
      <c r="A295" s="1071" t="str">
        <f>Technologies!B174</f>
        <v>*R2,R3,R4,R5,R6</v>
      </c>
      <c r="B295" s="1071" t="str">
        <f>Technologies!C174</f>
        <v>THLDSLADV</v>
      </c>
      <c r="C295" s="1071" t="str">
        <f>Technologies!D174</f>
        <v>Heavy Truck, Long Haul, Advanced Diesel</v>
      </c>
      <c r="D295" s="1071" t="str">
        <f>NewTech!D122</f>
        <v>bn-vmt, bn-vmt/a</v>
      </c>
      <c r="E295" s="1071" t="str">
        <f>Commodities!C$44</f>
        <v>THDSL</v>
      </c>
      <c r="F295" s="1071" t="s">
        <v>100</v>
      </c>
      <c r="G295" s="1110" t="s">
        <v>506</v>
      </c>
      <c r="H295" s="1110" t="s">
        <v>499</v>
      </c>
      <c r="I295" s="1112">
        <v>1</v>
      </c>
      <c r="J295" s="1111" t="str">
        <f t="shared" si="302"/>
        <v>Heavy duty long haul truck-DSL</v>
      </c>
      <c r="K295" s="1111">
        <v>1990.9716725761537</v>
      </c>
      <c r="L295" s="1111">
        <v>1941.6688887006037</v>
      </c>
      <c r="M295" s="1111">
        <v>1840.5553307709185</v>
      </c>
      <c r="N295" s="1111">
        <v>1759.0683861000869</v>
      </c>
      <c r="O295" s="1111">
        <v>1727.0853816748008</v>
      </c>
      <c r="P295" s="1111">
        <v>1727.5216883099354</v>
      </c>
      <c r="Q295" s="1111">
        <v>1728.8597047057897</v>
      </c>
      <c r="R295" s="1111">
        <v>1729.5473771008642</v>
      </c>
      <c r="S295" s="1111">
        <v>1730.1829912908977</v>
      </c>
      <c r="T295" s="1111">
        <f t="shared" si="491"/>
        <v>1730.1829912908977</v>
      </c>
      <c r="U295" s="1111">
        <v>15.319827052578248</v>
      </c>
      <c r="V295" s="1111">
        <v>8.4685847701796284</v>
      </c>
      <c r="W295" s="1111">
        <v>4.9821165186132932</v>
      </c>
      <c r="X295" s="1111">
        <v>3.467231955421874</v>
      </c>
      <c r="Y295" s="1111">
        <v>3.4507915536391489</v>
      </c>
      <c r="Z295" s="1111">
        <v>3.4582966280060186</v>
      </c>
      <c r="AA295" s="1111">
        <v>3.4628481928887811</v>
      </c>
      <c r="AB295" s="1111">
        <v>3.4653857360723261</v>
      </c>
      <c r="AC295" s="1111">
        <v>3.467441909819001</v>
      </c>
      <c r="AD295" s="1111">
        <f t="shared" si="448"/>
        <v>3.467441909819001</v>
      </c>
      <c r="AE295" s="1111">
        <v>0.15052422796556716</v>
      </c>
      <c r="AF295" s="1111">
        <v>1.7147882732231192E-2</v>
      </c>
      <c r="AG295" s="1111">
        <v>1.6288981197253857E-2</v>
      </c>
      <c r="AH295" s="1111">
        <v>1.5117907818335607E-2</v>
      </c>
      <c r="AI295" s="1111">
        <v>1.4378690167572896E-2</v>
      </c>
      <c r="AJ295" s="1111">
        <v>1.4117378368647316E-2</v>
      </c>
      <c r="AK295" s="1111">
        <v>1.4120959250803086E-2</v>
      </c>
      <c r="AL295" s="1111">
        <v>1.4131899910277535E-2</v>
      </c>
      <c r="AM295" s="1111">
        <v>1.4137522428286838E-2</v>
      </c>
      <c r="AN295" s="1111">
        <v>1.4142721116139288E-2</v>
      </c>
      <c r="AO295" s="1111">
        <v>1.4142721116139288E-2</v>
      </c>
      <c r="AP295" s="1111">
        <v>1.1181516232534956</v>
      </c>
      <c r="AQ295" s="1111">
        <v>0.80052052427588127</v>
      </c>
      <c r="AR295" s="1111">
        <v>0.45802073557825485</v>
      </c>
      <c r="AS295" s="1111">
        <v>0.22515659269014368</v>
      </c>
      <c r="AT295" s="1111">
        <v>0.17540222927854948</v>
      </c>
      <c r="AU295" s="1111">
        <v>0.17510495649800506</v>
      </c>
      <c r="AV295" s="1111">
        <v>0.17528687643891486</v>
      </c>
      <c r="AW295" s="1111">
        <v>0.17538590224127698</v>
      </c>
      <c r="AX295" s="1111">
        <v>0.17544084496896875</v>
      </c>
      <c r="AY295" s="1111">
        <v>0.17548448269919162</v>
      </c>
      <c r="AZ295" s="1111">
        <v>0.17548448269919162</v>
      </c>
      <c r="BA295" s="1111">
        <v>0.92238061286946038</v>
      </c>
      <c r="BB295" s="1111">
        <v>0.62943793516757862</v>
      </c>
      <c r="BC295" s="1111">
        <v>0.31467259462042407</v>
      </c>
      <c r="BD295" s="1111">
        <v>0.10061250353824766</v>
      </c>
      <c r="BE295" s="1111">
        <v>5.4985249894676312E-2</v>
      </c>
      <c r="BF295" s="1111">
        <v>5.4618355481547878E-2</v>
      </c>
      <c r="BG295" s="1111">
        <v>5.4711318478445729E-2</v>
      </c>
      <c r="BH295" s="1111">
        <v>5.4760742474708184E-2</v>
      </c>
      <c r="BI295" s="1111">
        <v>5.4789176303886238E-2</v>
      </c>
      <c r="BJ295" s="1111">
        <v>5.4808877163252182E-2</v>
      </c>
      <c r="BK295" s="1111">
        <v>5.4808877163252182E-2</v>
      </c>
      <c r="BL295" s="1111">
        <v>5.9614311030596951</v>
      </c>
      <c r="BM295" s="1111">
        <v>4.5918650065862101</v>
      </c>
      <c r="BN295" s="1111">
        <v>2.6906389750268889</v>
      </c>
      <c r="BO295" s="1111">
        <v>1.693821954160792</v>
      </c>
      <c r="BP295" s="1111">
        <v>1.4556997811831409</v>
      </c>
      <c r="BQ295" s="1111">
        <v>1.4605385418834991</v>
      </c>
      <c r="BR295" s="1111">
        <v>1.4660985163064548</v>
      </c>
      <c r="BS295" s="1111">
        <v>1.469914274069702</v>
      </c>
      <c r="BT295" s="1111">
        <v>1.4707795599223308</v>
      </c>
      <c r="BU295" s="1111">
        <v>1.4714814360768016</v>
      </c>
      <c r="BV295" s="1111">
        <v>1.4714814360768016</v>
      </c>
      <c r="BW295" s="1111">
        <v>1.8199393363012488</v>
      </c>
      <c r="BX295" s="1111">
        <v>1.4770658511247796</v>
      </c>
      <c r="BY295" s="1111">
        <v>0.90983790782993534</v>
      </c>
      <c r="BZ295" s="1111">
        <v>0.51563811144780347</v>
      </c>
      <c r="CA295" s="1111">
        <v>0.42061936864799804</v>
      </c>
      <c r="CB295" s="1111">
        <v>0.42073824663225967</v>
      </c>
      <c r="CC295" s="1111">
        <v>0.42175786297834761</v>
      </c>
      <c r="CD295" s="1111">
        <v>0.42238921634242482</v>
      </c>
      <c r="CE295" s="1111">
        <v>0.42267473005087131</v>
      </c>
      <c r="CF295" s="1111">
        <v>0.42293390367008121</v>
      </c>
      <c r="CG295" s="1111">
        <v>0.42293390367008121</v>
      </c>
      <c r="CH295" s="1111">
        <v>3.4412371683517198E-2</v>
      </c>
      <c r="CI295" s="1111">
        <v>3.4493337806388705E-2</v>
      </c>
      <c r="CJ295" s="1111">
        <v>3.3256899548670331E-2</v>
      </c>
      <c r="CK295" s="1111">
        <v>3.2082083001586562E-2</v>
      </c>
      <c r="CL295" s="1111">
        <v>3.1312086208570782E-2</v>
      </c>
      <c r="CM295" s="1111">
        <v>3.1290316795849253E-2</v>
      </c>
      <c r="CN295" s="1111">
        <v>3.1312654731235907E-2</v>
      </c>
      <c r="CO295" s="1111">
        <v>3.1325169678549016E-2</v>
      </c>
      <c r="CP295" s="1111">
        <v>3.1331810091919626E-2</v>
      </c>
      <c r="CQ295" s="1111">
        <v>3.1337948548338782E-2</v>
      </c>
      <c r="CR295" s="1111">
        <v>3.1337948548338782E-2</v>
      </c>
      <c r="CS295" s="1111">
        <v>22.214797437739819</v>
      </c>
      <c r="CT295" s="1111">
        <v>15.319827052578248</v>
      </c>
      <c r="CU295" s="1111">
        <v>8.4685847701796284</v>
      </c>
      <c r="CV295" s="1111">
        <v>4.9821165186132932</v>
      </c>
      <c r="CW295" s="1111">
        <v>3.467231955421874</v>
      </c>
      <c r="CX295" s="1111">
        <v>3.4507915536391489</v>
      </c>
      <c r="CY295" s="1111">
        <v>3.4582966280060186</v>
      </c>
      <c r="CZ295" s="1111">
        <v>3.4628481928887811</v>
      </c>
      <c r="DA295" s="1111">
        <v>3.4653857360723261</v>
      </c>
      <c r="DB295" s="1111">
        <v>3.467441909819001</v>
      </c>
      <c r="DC295" s="1111">
        <v>3.467441909819001</v>
      </c>
      <c r="DD295" s="1111">
        <v>0.58595154450895603</v>
      </c>
      <c r="DE295" s="1111">
        <v>0.38883860207962456</v>
      </c>
      <c r="DF295" s="1111">
        <v>0.17690357039713958</v>
      </c>
      <c r="DG295" s="1111">
        <v>3.4539811541928388E-2</v>
      </c>
      <c r="DH295" s="1111">
        <v>4.6405002307018522E-3</v>
      </c>
      <c r="DI295" s="1111">
        <v>4.6107794377802554E-3</v>
      </c>
      <c r="DJ295" s="1111">
        <v>4.6215599268932053E-3</v>
      </c>
      <c r="DK295" s="1111">
        <v>4.6273615775192078E-3</v>
      </c>
      <c r="DL295" s="1111">
        <v>4.6306369526608803E-3</v>
      </c>
      <c r="DM295" s="1111">
        <v>4.6330767482665753E-3</v>
      </c>
      <c r="DN295" s="1111">
        <v>4.6330767482665753E-3</v>
      </c>
      <c r="DO295" s="1111">
        <v>0.21893334463495995</v>
      </c>
      <c r="DP295" s="1111">
        <v>0.15390472378530864</v>
      </c>
      <c r="DQ295" s="1111">
        <v>7.4564386146155931E-2</v>
      </c>
      <c r="DR295" s="1111">
        <v>1.9638770407339686E-2</v>
      </c>
      <c r="DS295" s="1111">
        <v>8.4633421868544681E-3</v>
      </c>
      <c r="DT295" s="1111">
        <v>8.4130467901607168E-3</v>
      </c>
      <c r="DU295" s="1111">
        <v>8.432889478818921E-3</v>
      </c>
      <c r="DV295" s="1111">
        <v>8.4435912902704469E-3</v>
      </c>
      <c r="DW295" s="1111">
        <v>8.4496126155583773E-3</v>
      </c>
      <c r="DX295" s="1111">
        <v>8.4541558278977604E-3</v>
      </c>
      <c r="DY295" s="1111">
        <v>8.4541558278977604E-3</v>
      </c>
      <c r="DZ295" s="1111">
        <v>5.3407949418512778E-3</v>
      </c>
      <c r="EA295" s="1111">
        <v>0.14104854201033007</v>
      </c>
      <c r="EB295" s="1111">
        <v>0.27257687202227321</v>
      </c>
      <c r="EC295" s="1111">
        <v>0.36080196176893081</v>
      </c>
      <c r="ED295" s="1111">
        <v>0.35536041277142427</v>
      </c>
      <c r="EE295" s="1111">
        <v>0.35636314324239221</v>
      </c>
      <c r="EF295" s="1111">
        <v>0.35731718163326287</v>
      </c>
      <c r="EG295" s="1111">
        <v>0.35788107716481848</v>
      </c>
      <c r="EH295" s="1111">
        <v>0.35812757843703857</v>
      </c>
      <c r="EI295" s="1111">
        <v>0.35835033752738565</v>
      </c>
      <c r="EJ295" s="1111">
        <v>0.35835033752738565</v>
      </c>
      <c r="EK295" s="1111">
        <v>1975.06905164605</v>
      </c>
      <c r="EL295" s="1111">
        <f t="shared" si="470"/>
        <v>1990.9716725761537</v>
      </c>
      <c r="EM295" s="1111">
        <f t="shared" si="471"/>
        <v>1941.6688887006037</v>
      </c>
      <c r="EN295" s="1111">
        <f t="shared" si="472"/>
        <v>1840.5553307709185</v>
      </c>
      <c r="EO295" s="1111">
        <f t="shared" si="473"/>
        <v>1759.0683861000869</v>
      </c>
      <c r="EP295" s="1111">
        <f t="shared" si="474"/>
        <v>1727.0853816748008</v>
      </c>
      <c r="EQ295" s="1111">
        <f t="shared" si="475"/>
        <v>1727.5216883099354</v>
      </c>
      <c r="ER295" s="1111">
        <f t="shared" si="476"/>
        <v>1728.8597047057897</v>
      </c>
      <c r="ES295" s="1111">
        <f t="shared" si="477"/>
        <v>1729.5473771008642</v>
      </c>
      <c r="ET295" s="1111">
        <f t="shared" si="478"/>
        <v>1730.1829912908977</v>
      </c>
      <c r="EU295" s="1111">
        <f t="shared" si="479"/>
        <v>1730.1829912908977</v>
      </c>
      <c r="EV295" s="1111">
        <v>22.214797437739819</v>
      </c>
      <c r="EW295" s="1111">
        <f t="shared" si="460"/>
        <v>15.319827052578248</v>
      </c>
      <c r="EX295" s="1111">
        <f t="shared" si="461"/>
        <v>8.4685847701796284</v>
      </c>
      <c r="EY295" s="1111">
        <f t="shared" si="462"/>
        <v>4.9821165186132932</v>
      </c>
      <c r="EZ295" s="1111">
        <f t="shared" si="463"/>
        <v>3.467231955421874</v>
      </c>
      <c r="FA295" s="1111">
        <f t="shared" si="464"/>
        <v>3.4507915536391489</v>
      </c>
      <c r="FB295" s="1111">
        <f t="shared" si="465"/>
        <v>3.4582966280060186</v>
      </c>
      <c r="FC295" s="1111">
        <f t="shared" si="466"/>
        <v>3.4628481928887811</v>
      </c>
      <c r="FD295" s="1111">
        <f t="shared" si="467"/>
        <v>3.4653857360723261</v>
      </c>
      <c r="FE295" s="1111">
        <f t="shared" si="468"/>
        <v>3.467441909819001</v>
      </c>
      <c r="FF295" s="1111">
        <f t="shared" si="469"/>
        <v>3.467441909819001</v>
      </c>
      <c r="FG295" s="1111">
        <f t="shared" si="389"/>
        <v>0.15052422796556716</v>
      </c>
      <c r="FH295" s="1111">
        <f t="shared" si="390"/>
        <v>1.7147882732231192E-2</v>
      </c>
      <c r="FI295" s="1111">
        <f t="shared" si="391"/>
        <v>1.6288981197253857E-2</v>
      </c>
      <c r="FJ295" s="1111">
        <f t="shared" si="392"/>
        <v>1.5117907818335607E-2</v>
      </c>
      <c r="FK295" s="1111">
        <f t="shared" si="393"/>
        <v>1.4378690167572896E-2</v>
      </c>
      <c r="FL295" s="1111">
        <f t="shared" si="394"/>
        <v>1.4117378368647316E-2</v>
      </c>
      <c r="FM295" s="1111">
        <f t="shared" si="395"/>
        <v>1.4120959250803086E-2</v>
      </c>
      <c r="FN295" s="1111">
        <f t="shared" si="396"/>
        <v>1.4131899910277535E-2</v>
      </c>
      <c r="FO295" s="1111">
        <f t="shared" si="397"/>
        <v>1.4137522428286838E-2</v>
      </c>
      <c r="FP295" s="1111">
        <f t="shared" si="398"/>
        <v>1.4142721116139288E-2</v>
      </c>
      <c r="FQ295" s="1111">
        <f t="shared" si="399"/>
        <v>1.4142721116139288E-2</v>
      </c>
      <c r="FR295" s="1111">
        <f t="shared" si="449"/>
        <v>1.1181516232534956</v>
      </c>
      <c r="FS295" s="1111">
        <f t="shared" si="450"/>
        <v>0.80052052427588127</v>
      </c>
      <c r="FT295" s="1111">
        <f t="shared" si="451"/>
        <v>0.45802073557825485</v>
      </c>
      <c r="FU295" s="1111">
        <f t="shared" si="452"/>
        <v>0.22515659269014368</v>
      </c>
      <c r="FV295" s="1111">
        <f t="shared" si="453"/>
        <v>0.17540222927854948</v>
      </c>
      <c r="FW295" s="1111">
        <f t="shared" si="454"/>
        <v>0.17510495649800506</v>
      </c>
      <c r="FX295" s="1111">
        <f t="shared" si="455"/>
        <v>0.17528687643891486</v>
      </c>
      <c r="FY295" s="1111">
        <f t="shared" si="456"/>
        <v>0.17538590224127698</v>
      </c>
      <c r="FZ295" s="1111">
        <f t="shared" si="457"/>
        <v>0.17544084496896875</v>
      </c>
      <c r="GA295" s="1111">
        <f t="shared" si="458"/>
        <v>0.17548448269919162</v>
      </c>
      <c r="GB295" s="1111">
        <f t="shared" si="459"/>
        <v>0.17548448269919162</v>
      </c>
      <c r="GC295" s="1111">
        <f t="shared" si="480"/>
        <v>0.92238061286946038</v>
      </c>
      <c r="GD295" s="1111">
        <f t="shared" si="481"/>
        <v>0.62943793516757862</v>
      </c>
      <c r="GE295" s="1111">
        <f t="shared" si="482"/>
        <v>0.31467259462042407</v>
      </c>
      <c r="GF295" s="1111">
        <f t="shared" si="483"/>
        <v>0.10061250353824766</v>
      </c>
      <c r="GG295" s="1111">
        <f t="shared" si="484"/>
        <v>5.4985249894676312E-2</v>
      </c>
      <c r="GH295" s="1111">
        <f t="shared" si="485"/>
        <v>5.4618355481547878E-2</v>
      </c>
      <c r="GI295" s="1111">
        <f t="shared" si="486"/>
        <v>5.4711318478445729E-2</v>
      </c>
      <c r="GJ295" s="1111">
        <f t="shared" si="487"/>
        <v>5.4760742474708184E-2</v>
      </c>
      <c r="GK295" s="1111">
        <f t="shared" si="488"/>
        <v>5.4789176303886238E-2</v>
      </c>
      <c r="GL295" s="1111">
        <f t="shared" si="489"/>
        <v>5.4808877163252182E-2</v>
      </c>
      <c r="GM295" s="1111">
        <f t="shared" si="490"/>
        <v>5.4808877163252182E-2</v>
      </c>
    </row>
    <row r="296" spans="1:195" x14ac:dyDescent="0.2">
      <c r="A296" s="1071" t="str">
        <f>Technologies!B175</f>
        <v>*R2,R3,R4,R5,R6</v>
      </c>
      <c r="B296" s="1071" t="str">
        <f>Technologies!C175</f>
        <v>THLDSLAH</v>
      </c>
      <c r="C296" s="1071" t="str">
        <f>Technologies!D175</f>
        <v>Heavy Truck, Long Haul, Advanced Diesel Hybrid</v>
      </c>
      <c r="D296" s="1071" t="str">
        <f>NewTech!D123</f>
        <v>bn-vmt, bn-vmt/a</v>
      </c>
      <c r="E296" s="1071" t="str">
        <f>Commodities!C$44</f>
        <v>THDSL</v>
      </c>
      <c r="F296" s="1071" t="s">
        <v>100</v>
      </c>
      <c r="G296" s="1110" t="s">
        <v>506</v>
      </c>
      <c r="H296" s="1110" t="s">
        <v>499</v>
      </c>
      <c r="I296" s="1112">
        <v>1</v>
      </c>
      <c r="J296" s="1111" t="str">
        <f t="shared" si="302"/>
        <v>Heavy duty long haul truck-DSL</v>
      </c>
      <c r="K296" s="1111">
        <v>1990.9716725761537</v>
      </c>
      <c r="L296" s="1111">
        <v>1941.6688887006037</v>
      </c>
      <c r="M296" s="1111">
        <v>1840.5553307709185</v>
      </c>
      <c r="N296" s="1111">
        <v>1759.0683861000869</v>
      </c>
      <c r="O296" s="1111">
        <v>1727.0853816748008</v>
      </c>
      <c r="P296" s="1111">
        <v>1727.5216883099354</v>
      </c>
      <c r="Q296" s="1111">
        <v>1728.8597047057897</v>
      </c>
      <c r="R296" s="1111">
        <v>1729.5473771008642</v>
      </c>
      <c r="S296" s="1111">
        <v>1730.1829912908977</v>
      </c>
      <c r="T296" s="1111">
        <f t="shared" si="491"/>
        <v>1730.1829912908977</v>
      </c>
      <c r="U296" s="1111">
        <v>15.319827052578248</v>
      </c>
      <c r="V296" s="1111">
        <v>8.4685847701796284</v>
      </c>
      <c r="W296" s="1111">
        <v>4.9821165186132932</v>
      </c>
      <c r="X296" s="1111">
        <v>3.467231955421874</v>
      </c>
      <c r="Y296" s="1111">
        <v>3.4507915536391489</v>
      </c>
      <c r="Z296" s="1111">
        <v>3.4582966280060186</v>
      </c>
      <c r="AA296" s="1111">
        <v>3.4628481928887811</v>
      </c>
      <c r="AB296" s="1111">
        <v>3.4653857360723261</v>
      </c>
      <c r="AC296" s="1111">
        <v>3.467441909819001</v>
      </c>
      <c r="AD296" s="1111">
        <f t="shared" si="448"/>
        <v>3.467441909819001</v>
      </c>
      <c r="AE296" s="1111">
        <v>0.15052422796556716</v>
      </c>
      <c r="AF296" s="1111">
        <v>1.7147882732231192E-2</v>
      </c>
      <c r="AG296" s="1111">
        <v>1.6288981197253857E-2</v>
      </c>
      <c r="AH296" s="1111">
        <v>1.5117907818335607E-2</v>
      </c>
      <c r="AI296" s="1111">
        <v>1.4378690167572896E-2</v>
      </c>
      <c r="AJ296" s="1111">
        <v>1.4117378368647316E-2</v>
      </c>
      <c r="AK296" s="1111">
        <v>1.4120959250803086E-2</v>
      </c>
      <c r="AL296" s="1111">
        <v>1.4131899910277535E-2</v>
      </c>
      <c r="AM296" s="1111">
        <v>1.4137522428286838E-2</v>
      </c>
      <c r="AN296" s="1111">
        <v>1.4142721116139288E-2</v>
      </c>
      <c r="AO296" s="1111">
        <v>1.4142721116139288E-2</v>
      </c>
      <c r="AP296" s="1111">
        <v>1.1181516232534956</v>
      </c>
      <c r="AQ296" s="1111">
        <v>0.80052052427588127</v>
      </c>
      <c r="AR296" s="1111">
        <v>0.45802073557825485</v>
      </c>
      <c r="AS296" s="1111">
        <v>0.22515659269014368</v>
      </c>
      <c r="AT296" s="1111">
        <v>0.17540222927854948</v>
      </c>
      <c r="AU296" s="1111">
        <v>0.17510495649800506</v>
      </c>
      <c r="AV296" s="1111">
        <v>0.17528687643891486</v>
      </c>
      <c r="AW296" s="1111">
        <v>0.17538590224127698</v>
      </c>
      <c r="AX296" s="1111">
        <v>0.17544084496896875</v>
      </c>
      <c r="AY296" s="1111">
        <v>0.17548448269919162</v>
      </c>
      <c r="AZ296" s="1111">
        <v>0.17548448269919162</v>
      </c>
      <c r="BA296" s="1111">
        <v>0.92238061286946038</v>
      </c>
      <c r="BB296" s="1111">
        <v>0.62943793516757862</v>
      </c>
      <c r="BC296" s="1111">
        <v>0.31467259462042407</v>
      </c>
      <c r="BD296" s="1111">
        <v>0.10061250353824766</v>
      </c>
      <c r="BE296" s="1111">
        <v>5.4985249894676312E-2</v>
      </c>
      <c r="BF296" s="1111">
        <v>5.4618355481547878E-2</v>
      </c>
      <c r="BG296" s="1111">
        <v>5.4711318478445729E-2</v>
      </c>
      <c r="BH296" s="1111">
        <v>5.4760742474708184E-2</v>
      </c>
      <c r="BI296" s="1111">
        <v>5.4789176303886238E-2</v>
      </c>
      <c r="BJ296" s="1111">
        <v>5.4808877163252182E-2</v>
      </c>
      <c r="BK296" s="1111">
        <v>5.4808877163252182E-2</v>
      </c>
      <c r="BL296" s="1111">
        <v>5.9614311030596951</v>
      </c>
      <c r="BM296" s="1111">
        <v>4.5918650065862101</v>
      </c>
      <c r="BN296" s="1111">
        <v>2.6906389750268889</v>
      </c>
      <c r="BO296" s="1111">
        <v>1.693821954160792</v>
      </c>
      <c r="BP296" s="1111">
        <v>1.4556997811831409</v>
      </c>
      <c r="BQ296" s="1111">
        <v>1.4605385418834991</v>
      </c>
      <c r="BR296" s="1111">
        <v>1.4660985163064548</v>
      </c>
      <c r="BS296" s="1111">
        <v>1.469914274069702</v>
      </c>
      <c r="BT296" s="1111">
        <v>1.4707795599223308</v>
      </c>
      <c r="BU296" s="1111">
        <v>1.4714814360768016</v>
      </c>
      <c r="BV296" s="1111">
        <v>1.4714814360768016</v>
      </c>
      <c r="BW296" s="1111">
        <v>1.8199393363012488</v>
      </c>
      <c r="BX296" s="1111">
        <v>1.4770658511247796</v>
      </c>
      <c r="BY296" s="1111">
        <v>0.90983790782993534</v>
      </c>
      <c r="BZ296" s="1111">
        <v>0.51563811144780347</v>
      </c>
      <c r="CA296" s="1111">
        <v>0.42061936864799804</v>
      </c>
      <c r="CB296" s="1111">
        <v>0.42073824663225967</v>
      </c>
      <c r="CC296" s="1111">
        <v>0.42175786297834761</v>
      </c>
      <c r="CD296" s="1111">
        <v>0.42238921634242482</v>
      </c>
      <c r="CE296" s="1111">
        <v>0.42267473005087131</v>
      </c>
      <c r="CF296" s="1111">
        <v>0.42293390367008121</v>
      </c>
      <c r="CG296" s="1111">
        <v>0.42293390367008121</v>
      </c>
      <c r="CH296" s="1111">
        <v>3.4412371683517198E-2</v>
      </c>
      <c r="CI296" s="1111">
        <v>3.4493337806388705E-2</v>
      </c>
      <c r="CJ296" s="1111">
        <v>3.3256899548670331E-2</v>
      </c>
      <c r="CK296" s="1111">
        <v>3.2082083001586562E-2</v>
      </c>
      <c r="CL296" s="1111">
        <v>3.1312086208570782E-2</v>
      </c>
      <c r="CM296" s="1111">
        <v>3.1290316795849253E-2</v>
      </c>
      <c r="CN296" s="1111">
        <v>3.1312654731235907E-2</v>
      </c>
      <c r="CO296" s="1111">
        <v>3.1325169678549016E-2</v>
      </c>
      <c r="CP296" s="1111">
        <v>3.1331810091919626E-2</v>
      </c>
      <c r="CQ296" s="1111">
        <v>3.1337948548338782E-2</v>
      </c>
      <c r="CR296" s="1111">
        <v>3.1337948548338782E-2</v>
      </c>
      <c r="CS296" s="1111">
        <v>22.214797437739819</v>
      </c>
      <c r="CT296" s="1111">
        <v>15.319827052578248</v>
      </c>
      <c r="CU296" s="1111">
        <v>8.4685847701796284</v>
      </c>
      <c r="CV296" s="1111">
        <v>4.9821165186132932</v>
      </c>
      <c r="CW296" s="1111">
        <v>3.467231955421874</v>
      </c>
      <c r="CX296" s="1111">
        <v>3.4507915536391489</v>
      </c>
      <c r="CY296" s="1111">
        <v>3.4582966280060186</v>
      </c>
      <c r="CZ296" s="1111">
        <v>3.4628481928887811</v>
      </c>
      <c r="DA296" s="1111">
        <v>3.4653857360723261</v>
      </c>
      <c r="DB296" s="1111">
        <v>3.467441909819001</v>
      </c>
      <c r="DC296" s="1111">
        <v>3.467441909819001</v>
      </c>
      <c r="DD296" s="1111">
        <v>0.58595154450895603</v>
      </c>
      <c r="DE296" s="1111">
        <v>0.38883860207962456</v>
      </c>
      <c r="DF296" s="1111">
        <v>0.17690357039713958</v>
      </c>
      <c r="DG296" s="1111">
        <v>3.4539811541928388E-2</v>
      </c>
      <c r="DH296" s="1111">
        <v>4.6405002307018522E-3</v>
      </c>
      <c r="DI296" s="1111">
        <v>4.6107794377802554E-3</v>
      </c>
      <c r="DJ296" s="1111">
        <v>4.6215599268932053E-3</v>
      </c>
      <c r="DK296" s="1111">
        <v>4.6273615775192078E-3</v>
      </c>
      <c r="DL296" s="1111">
        <v>4.6306369526608803E-3</v>
      </c>
      <c r="DM296" s="1111">
        <v>4.6330767482665753E-3</v>
      </c>
      <c r="DN296" s="1111">
        <v>4.6330767482665753E-3</v>
      </c>
      <c r="DO296" s="1111">
        <v>0.21893334463495995</v>
      </c>
      <c r="DP296" s="1111">
        <v>0.15390472378530864</v>
      </c>
      <c r="DQ296" s="1111">
        <v>7.4564386146155931E-2</v>
      </c>
      <c r="DR296" s="1111">
        <v>1.9638770407339686E-2</v>
      </c>
      <c r="DS296" s="1111">
        <v>8.4633421868544681E-3</v>
      </c>
      <c r="DT296" s="1111">
        <v>8.4130467901607168E-3</v>
      </c>
      <c r="DU296" s="1111">
        <v>8.432889478818921E-3</v>
      </c>
      <c r="DV296" s="1111">
        <v>8.4435912902704469E-3</v>
      </c>
      <c r="DW296" s="1111">
        <v>8.4496126155583773E-3</v>
      </c>
      <c r="DX296" s="1111">
        <v>8.4541558278977604E-3</v>
      </c>
      <c r="DY296" s="1111">
        <v>8.4541558278977604E-3</v>
      </c>
      <c r="DZ296" s="1111">
        <v>5.3407949418512778E-3</v>
      </c>
      <c r="EA296" s="1111">
        <v>0.14104854201033007</v>
      </c>
      <c r="EB296" s="1111">
        <v>0.27257687202227321</v>
      </c>
      <c r="EC296" s="1111">
        <v>0.36080196176893081</v>
      </c>
      <c r="ED296" s="1111">
        <v>0.35536041277142427</v>
      </c>
      <c r="EE296" s="1111">
        <v>0.35636314324239221</v>
      </c>
      <c r="EF296" s="1111">
        <v>0.35731718163326287</v>
      </c>
      <c r="EG296" s="1111">
        <v>0.35788107716481848</v>
      </c>
      <c r="EH296" s="1111">
        <v>0.35812757843703857</v>
      </c>
      <c r="EI296" s="1111">
        <v>0.35835033752738565</v>
      </c>
      <c r="EJ296" s="1111">
        <v>0.35835033752738565</v>
      </c>
      <c r="EK296" s="1111">
        <v>1975.06905164605</v>
      </c>
      <c r="EL296" s="1111">
        <f t="shared" si="470"/>
        <v>1990.9716725761537</v>
      </c>
      <c r="EM296" s="1111">
        <f t="shared" si="471"/>
        <v>1941.6688887006037</v>
      </c>
      <c r="EN296" s="1111">
        <f t="shared" si="472"/>
        <v>1840.5553307709185</v>
      </c>
      <c r="EO296" s="1111">
        <f t="shared" si="473"/>
        <v>1759.0683861000869</v>
      </c>
      <c r="EP296" s="1111">
        <f t="shared" si="474"/>
        <v>1727.0853816748008</v>
      </c>
      <c r="EQ296" s="1111">
        <f t="shared" si="475"/>
        <v>1727.5216883099354</v>
      </c>
      <c r="ER296" s="1111">
        <f t="shared" si="476"/>
        <v>1728.8597047057897</v>
      </c>
      <c r="ES296" s="1111">
        <f t="shared" si="477"/>
        <v>1729.5473771008642</v>
      </c>
      <c r="ET296" s="1111">
        <f t="shared" si="478"/>
        <v>1730.1829912908977</v>
      </c>
      <c r="EU296" s="1111">
        <f t="shared" si="479"/>
        <v>1730.1829912908977</v>
      </c>
      <c r="EV296" s="1111">
        <v>22.214797437739819</v>
      </c>
      <c r="EW296" s="1111">
        <f t="shared" si="460"/>
        <v>15.319827052578248</v>
      </c>
      <c r="EX296" s="1111">
        <f t="shared" si="461"/>
        <v>8.4685847701796284</v>
      </c>
      <c r="EY296" s="1111">
        <f t="shared" si="462"/>
        <v>4.9821165186132932</v>
      </c>
      <c r="EZ296" s="1111">
        <f t="shared" si="463"/>
        <v>3.467231955421874</v>
      </c>
      <c r="FA296" s="1111">
        <f t="shared" si="464"/>
        <v>3.4507915536391489</v>
      </c>
      <c r="FB296" s="1111">
        <f t="shared" si="465"/>
        <v>3.4582966280060186</v>
      </c>
      <c r="FC296" s="1111">
        <f t="shared" si="466"/>
        <v>3.4628481928887811</v>
      </c>
      <c r="FD296" s="1111">
        <f t="shared" si="467"/>
        <v>3.4653857360723261</v>
      </c>
      <c r="FE296" s="1111">
        <f t="shared" si="468"/>
        <v>3.467441909819001</v>
      </c>
      <c r="FF296" s="1111">
        <f t="shared" si="469"/>
        <v>3.467441909819001</v>
      </c>
      <c r="FG296" s="1111">
        <f t="shared" si="389"/>
        <v>0.15052422796556716</v>
      </c>
      <c r="FH296" s="1111">
        <f t="shared" si="390"/>
        <v>1.7147882732231192E-2</v>
      </c>
      <c r="FI296" s="1111">
        <f t="shared" si="391"/>
        <v>1.6288981197253857E-2</v>
      </c>
      <c r="FJ296" s="1111">
        <f t="shared" si="392"/>
        <v>1.5117907818335607E-2</v>
      </c>
      <c r="FK296" s="1111">
        <f t="shared" si="393"/>
        <v>1.4378690167572896E-2</v>
      </c>
      <c r="FL296" s="1111">
        <f t="shared" si="394"/>
        <v>1.4117378368647316E-2</v>
      </c>
      <c r="FM296" s="1111">
        <f t="shared" si="395"/>
        <v>1.4120959250803086E-2</v>
      </c>
      <c r="FN296" s="1111">
        <f t="shared" si="396"/>
        <v>1.4131899910277535E-2</v>
      </c>
      <c r="FO296" s="1111">
        <f t="shared" si="397"/>
        <v>1.4137522428286838E-2</v>
      </c>
      <c r="FP296" s="1111">
        <f t="shared" si="398"/>
        <v>1.4142721116139288E-2</v>
      </c>
      <c r="FQ296" s="1111">
        <f t="shared" si="399"/>
        <v>1.4142721116139288E-2</v>
      </c>
      <c r="FR296" s="1111">
        <f t="shared" si="449"/>
        <v>1.1181516232534956</v>
      </c>
      <c r="FS296" s="1111">
        <f t="shared" si="450"/>
        <v>0.80052052427588127</v>
      </c>
      <c r="FT296" s="1111">
        <f t="shared" si="451"/>
        <v>0.45802073557825485</v>
      </c>
      <c r="FU296" s="1111">
        <f t="shared" si="452"/>
        <v>0.22515659269014368</v>
      </c>
      <c r="FV296" s="1111">
        <f t="shared" si="453"/>
        <v>0.17540222927854948</v>
      </c>
      <c r="FW296" s="1111">
        <f t="shared" si="454"/>
        <v>0.17510495649800506</v>
      </c>
      <c r="FX296" s="1111">
        <f t="shared" si="455"/>
        <v>0.17528687643891486</v>
      </c>
      <c r="FY296" s="1111">
        <f t="shared" si="456"/>
        <v>0.17538590224127698</v>
      </c>
      <c r="FZ296" s="1111">
        <f t="shared" si="457"/>
        <v>0.17544084496896875</v>
      </c>
      <c r="GA296" s="1111">
        <f t="shared" si="458"/>
        <v>0.17548448269919162</v>
      </c>
      <c r="GB296" s="1111">
        <f t="shared" si="459"/>
        <v>0.17548448269919162</v>
      </c>
      <c r="GC296" s="1111">
        <f t="shared" si="480"/>
        <v>0.92238061286946038</v>
      </c>
      <c r="GD296" s="1111">
        <f t="shared" si="481"/>
        <v>0.62943793516757862</v>
      </c>
      <c r="GE296" s="1111">
        <f t="shared" si="482"/>
        <v>0.31467259462042407</v>
      </c>
      <c r="GF296" s="1111">
        <f t="shared" si="483"/>
        <v>0.10061250353824766</v>
      </c>
      <c r="GG296" s="1111">
        <f t="shared" si="484"/>
        <v>5.4985249894676312E-2</v>
      </c>
      <c r="GH296" s="1111">
        <f t="shared" si="485"/>
        <v>5.4618355481547878E-2</v>
      </c>
      <c r="GI296" s="1111">
        <f t="shared" si="486"/>
        <v>5.4711318478445729E-2</v>
      </c>
      <c r="GJ296" s="1111">
        <f t="shared" si="487"/>
        <v>5.4760742474708184E-2</v>
      </c>
      <c r="GK296" s="1111">
        <f t="shared" si="488"/>
        <v>5.4789176303886238E-2</v>
      </c>
      <c r="GL296" s="1111">
        <f t="shared" si="489"/>
        <v>5.4808877163252182E-2</v>
      </c>
      <c r="GM296" s="1111">
        <f t="shared" si="490"/>
        <v>5.4808877163252182E-2</v>
      </c>
    </row>
    <row r="297" spans="1:195" x14ac:dyDescent="0.2">
      <c r="A297" s="1071" t="str">
        <f>Technologies!B176</f>
        <v>*R2,R3,R4,R5,R6</v>
      </c>
      <c r="B297" s="1071" t="str">
        <f>Technologies!C176</f>
        <v>THLDSLSW</v>
      </c>
      <c r="C297" s="1071" t="str">
        <f>Technologies!D176</f>
        <v>Heavy Truck, Long Haul, Diesel Smartway</v>
      </c>
      <c r="D297" s="1071" t="str">
        <f>NewTech!D122</f>
        <v>bn-vmt, bn-vmt/a</v>
      </c>
      <c r="E297" s="1071" t="str">
        <f>Commodities!C$44</f>
        <v>THDSL</v>
      </c>
      <c r="F297" s="1071" t="s">
        <v>100</v>
      </c>
      <c r="G297" s="1110" t="s">
        <v>506</v>
      </c>
      <c r="H297" s="1110" t="s">
        <v>499</v>
      </c>
      <c r="I297" s="1112">
        <v>1</v>
      </c>
      <c r="J297" s="1111" t="str">
        <f t="shared" si="302"/>
        <v>Heavy duty long haul truck-DSL</v>
      </c>
      <c r="K297" s="1111">
        <v>1990.9716725761537</v>
      </c>
      <c r="L297" s="1111">
        <v>1941.6688887006037</v>
      </c>
      <c r="M297" s="1111">
        <v>1840.5553307709185</v>
      </c>
      <c r="N297" s="1111">
        <v>1759.0683861000869</v>
      </c>
      <c r="O297" s="1111">
        <v>1727.0853816748008</v>
      </c>
      <c r="P297" s="1111">
        <v>1727.5216883099354</v>
      </c>
      <c r="Q297" s="1111">
        <v>1728.8597047057897</v>
      </c>
      <c r="R297" s="1111">
        <v>1729.5473771008642</v>
      </c>
      <c r="S297" s="1111">
        <v>1730.1829912908977</v>
      </c>
      <c r="T297" s="1111">
        <f t="shared" si="491"/>
        <v>1730.1829912908977</v>
      </c>
      <c r="U297" s="1111">
        <v>15.319827052578248</v>
      </c>
      <c r="V297" s="1111">
        <v>8.4685847701796284</v>
      </c>
      <c r="W297" s="1111">
        <v>4.9821165186132932</v>
      </c>
      <c r="X297" s="1111">
        <v>3.467231955421874</v>
      </c>
      <c r="Y297" s="1111">
        <v>3.4507915536391489</v>
      </c>
      <c r="Z297" s="1111">
        <v>3.4582966280060186</v>
      </c>
      <c r="AA297" s="1111">
        <v>3.4628481928887811</v>
      </c>
      <c r="AB297" s="1111">
        <v>3.4653857360723261</v>
      </c>
      <c r="AC297" s="1111">
        <v>3.467441909819001</v>
      </c>
      <c r="AD297" s="1111">
        <f t="shared" si="448"/>
        <v>3.467441909819001</v>
      </c>
      <c r="AE297" s="1111">
        <v>0.15052422796556716</v>
      </c>
      <c r="AF297" s="1111">
        <v>1.7147882732231192E-2</v>
      </c>
      <c r="AG297" s="1111">
        <v>1.6288981197253857E-2</v>
      </c>
      <c r="AH297" s="1111">
        <v>1.5117907818335607E-2</v>
      </c>
      <c r="AI297" s="1111">
        <v>1.4378690167572896E-2</v>
      </c>
      <c r="AJ297" s="1111">
        <v>1.4117378368647316E-2</v>
      </c>
      <c r="AK297" s="1111">
        <v>1.4120959250803086E-2</v>
      </c>
      <c r="AL297" s="1111">
        <v>1.4131899910277535E-2</v>
      </c>
      <c r="AM297" s="1111">
        <v>1.4137522428286838E-2</v>
      </c>
      <c r="AN297" s="1111">
        <v>1.4142721116139288E-2</v>
      </c>
      <c r="AO297" s="1111">
        <v>1.4142721116139288E-2</v>
      </c>
      <c r="AP297" s="1111">
        <v>1.1181516232534956</v>
      </c>
      <c r="AQ297" s="1111">
        <v>0.80052052427588127</v>
      </c>
      <c r="AR297" s="1111">
        <v>0.45802073557825485</v>
      </c>
      <c r="AS297" s="1111">
        <v>0.22515659269014368</v>
      </c>
      <c r="AT297" s="1111">
        <v>0.17540222927854948</v>
      </c>
      <c r="AU297" s="1111">
        <v>0.17510495649800506</v>
      </c>
      <c r="AV297" s="1111">
        <v>0.17528687643891486</v>
      </c>
      <c r="AW297" s="1111">
        <v>0.17538590224127698</v>
      </c>
      <c r="AX297" s="1111">
        <v>0.17544084496896875</v>
      </c>
      <c r="AY297" s="1111">
        <v>0.17548448269919162</v>
      </c>
      <c r="AZ297" s="1111">
        <v>0.17548448269919162</v>
      </c>
      <c r="BA297" s="1111">
        <v>0.92238061286946038</v>
      </c>
      <c r="BB297" s="1111">
        <v>0.62943793516757862</v>
      </c>
      <c r="BC297" s="1111">
        <v>0.31467259462042407</v>
      </c>
      <c r="BD297" s="1111">
        <v>0.10061250353824766</v>
      </c>
      <c r="BE297" s="1111">
        <v>5.4985249894676312E-2</v>
      </c>
      <c r="BF297" s="1111">
        <v>5.4618355481547878E-2</v>
      </c>
      <c r="BG297" s="1111">
        <v>5.4711318478445729E-2</v>
      </c>
      <c r="BH297" s="1111">
        <v>5.4760742474708184E-2</v>
      </c>
      <c r="BI297" s="1111">
        <v>5.4789176303886238E-2</v>
      </c>
      <c r="BJ297" s="1111">
        <v>5.4808877163252182E-2</v>
      </c>
      <c r="BK297" s="1111">
        <v>5.4808877163252182E-2</v>
      </c>
      <c r="BL297" s="1111">
        <v>5.9614311030596951</v>
      </c>
      <c r="BM297" s="1111">
        <v>4.5918650065862101</v>
      </c>
      <c r="BN297" s="1111">
        <v>2.6906389750268889</v>
      </c>
      <c r="BO297" s="1111">
        <v>1.693821954160792</v>
      </c>
      <c r="BP297" s="1111">
        <v>1.4556997811831409</v>
      </c>
      <c r="BQ297" s="1111">
        <v>1.4605385418834991</v>
      </c>
      <c r="BR297" s="1111">
        <v>1.4660985163064548</v>
      </c>
      <c r="BS297" s="1111">
        <v>1.469914274069702</v>
      </c>
      <c r="BT297" s="1111">
        <v>1.4707795599223308</v>
      </c>
      <c r="BU297" s="1111">
        <v>1.4714814360768016</v>
      </c>
      <c r="BV297" s="1111">
        <v>1.4714814360768016</v>
      </c>
      <c r="BW297" s="1111">
        <v>1.8199393363012488</v>
      </c>
      <c r="BX297" s="1111">
        <v>1.4770658511247796</v>
      </c>
      <c r="BY297" s="1111">
        <v>0.90983790782993534</v>
      </c>
      <c r="BZ297" s="1111">
        <v>0.51563811144780347</v>
      </c>
      <c r="CA297" s="1111">
        <v>0.42061936864799804</v>
      </c>
      <c r="CB297" s="1111">
        <v>0.42073824663225967</v>
      </c>
      <c r="CC297" s="1111">
        <v>0.42175786297834761</v>
      </c>
      <c r="CD297" s="1111">
        <v>0.42238921634242482</v>
      </c>
      <c r="CE297" s="1111">
        <v>0.42267473005087131</v>
      </c>
      <c r="CF297" s="1111">
        <v>0.42293390367008121</v>
      </c>
      <c r="CG297" s="1111">
        <v>0.42293390367008121</v>
      </c>
      <c r="CH297" s="1111">
        <v>3.4412371683517198E-2</v>
      </c>
      <c r="CI297" s="1111">
        <v>3.4493337806388705E-2</v>
      </c>
      <c r="CJ297" s="1111">
        <v>3.3256899548670331E-2</v>
      </c>
      <c r="CK297" s="1111">
        <v>3.2082083001586562E-2</v>
      </c>
      <c r="CL297" s="1111">
        <v>3.1312086208570782E-2</v>
      </c>
      <c r="CM297" s="1111">
        <v>3.1290316795849253E-2</v>
      </c>
      <c r="CN297" s="1111">
        <v>3.1312654731235907E-2</v>
      </c>
      <c r="CO297" s="1111">
        <v>3.1325169678549016E-2</v>
      </c>
      <c r="CP297" s="1111">
        <v>3.1331810091919626E-2</v>
      </c>
      <c r="CQ297" s="1111">
        <v>3.1337948548338782E-2</v>
      </c>
      <c r="CR297" s="1111">
        <v>3.1337948548338782E-2</v>
      </c>
      <c r="CS297" s="1111">
        <v>22.214797437739819</v>
      </c>
      <c r="CT297" s="1111">
        <v>15.319827052578248</v>
      </c>
      <c r="CU297" s="1111">
        <v>8.4685847701796284</v>
      </c>
      <c r="CV297" s="1111">
        <v>4.9821165186132932</v>
      </c>
      <c r="CW297" s="1111">
        <v>3.467231955421874</v>
      </c>
      <c r="CX297" s="1111">
        <v>3.4507915536391489</v>
      </c>
      <c r="CY297" s="1111">
        <v>3.4582966280060186</v>
      </c>
      <c r="CZ297" s="1111">
        <v>3.4628481928887811</v>
      </c>
      <c r="DA297" s="1111">
        <v>3.4653857360723261</v>
      </c>
      <c r="DB297" s="1111">
        <v>3.467441909819001</v>
      </c>
      <c r="DC297" s="1111">
        <v>3.467441909819001</v>
      </c>
      <c r="DD297" s="1111">
        <v>0.58595154450895603</v>
      </c>
      <c r="DE297" s="1111">
        <v>0.38883860207962456</v>
      </c>
      <c r="DF297" s="1111">
        <v>0.17690357039713958</v>
      </c>
      <c r="DG297" s="1111">
        <v>3.4539811541928388E-2</v>
      </c>
      <c r="DH297" s="1111">
        <v>4.6405002307018522E-3</v>
      </c>
      <c r="DI297" s="1111">
        <v>4.6107794377802554E-3</v>
      </c>
      <c r="DJ297" s="1111">
        <v>4.6215599268932053E-3</v>
      </c>
      <c r="DK297" s="1111">
        <v>4.6273615775192078E-3</v>
      </c>
      <c r="DL297" s="1111">
        <v>4.6306369526608803E-3</v>
      </c>
      <c r="DM297" s="1111">
        <v>4.6330767482665753E-3</v>
      </c>
      <c r="DN297" s="1111">
        <v>4.6330767482665753E-3</v>
      </c>
      <c r="DO297" s="1111">
        <v>0.21893334463495995</v>
      </c>
      <c r="DP297" s="1111">
        <v>0.15390472378530864</v>
      </c>
      <c r="DQ297" s="1111">
        <v>7.4564386146155931E-2</v>
      </c>
      <c r="DR297" s="1111">
        <v>1.9638770407339686E-2</v>
      </c>
      <c r="DS297" s="1111">
        <v>8.4633421868544681E-3</v>
      </c>
      <c r="DT297" s="1111">
        <v>8.4130467901607168E-3</v>
      </c>
      <c r="DU297" s="1111">
        <v>8.432889478818921E-3</v>
      </c>
      <c r="DV297" s="1111">
        <v>8.4435912902704469E-3</v>
      </c>
      <c r="DW297" s="1111">
        <v>8.4496126155583773E-3</v>
      </c>
      <c r="DX297" s="1111">
        <v>8.4541558278977604E-3</v>
      </c>
      <c r="DY297" s="1111">
        <v>8.4541558278977604E-3</v>
      </c>
      <c r="DZ297" s="1111">
        <v>5.3407949418512778E-3</v>
      </c>
      <c r="EA297" s="1111">
        <v>0.14104854201033007</v>
      </c>
      <c r="EB297" s="1111">
        <v>0.27257687202227321</v>
      </c>
      <c r="EC297" s="1111">
        <v>0.36080196176893081</v>
      </c>
      <c r="ED297" s="1111">
        <v>0.35536041277142427</v>
      </c>
      <c r="EE297" s="1111">
        <v>0.35636314324239221</v>
      </c>
      <c r="EF297" s="1111">
        <v>0.35731718163326287</v>
      </c>
      <c r="EG297" s="1111">
        <v>0.35788107716481848</v>
      </c>
      <c r="EH297" s="1111">
        <v>0.35812757843703857</v>
      </c>
      <c r="EI297" s="1111">
        <v>0.35835033752738565</v>
      </c>
      <c r="EJ297" s="1111">
        <v>0.35835033752738565</v>
      </c>
      <c r="EK297" s="1111">
        <v>1975.06905164605</v>
      </c>
      <c r="EL297" s="1111">
        <f t="shared" si="470"/>
        <v>1990.9716725761537</v>
      </c>
      <c r="EM297" s="1111">
        <f t="shared" si="471"/>
        <v>1941.6688887006037</v>
      </c>
      <c r="EN297" s="1111">
        <f t="shared" si="472"/>
        <v>1840.5553307709185</v>
      </c>
      <c r="EO297" s="1111">
        <f t="shared" si="473"/>
        <v>1759.0683861000869</v>
      </c>
      <c r="EP297" s="1111">
        <f t="shared" si="474"/>
        <v>1727.0853816748008</v>
      </c>
      <c r="EQ297" s="1111">
        <f t="shared" si="475"/>
        <v>1727.5216883099354</v>
      </c>
      <c r="ER297" s="1111">
        <f t="shared" si="476"/>
        <v>1728.8597047057897</v>
      </c>
      <c r="ES297" s="1111">
        <f t="shared" si="477"/>
        <v>1729.5473771008642</v>
      </c>
      <c r="ET297" s="1111">
        <f t="shared" si="478"/>
        <v>1730.1829912908977</v>
      </c>
      <c r="EU297" s="1111">
        <f t="shared" si="479"/>
        <v>1730.1829912908977</v>
      </c>
      <c r="EV297" s="1111">
        <v>22.214797437739819</v>
      </c>
      <c r="EW297" s="1111">
        <f t="shared" si="460"/>
        <v>15.319827052578248</v>
      </c>
      <c r="EX297" s="1111">
        <f t="shared" si="461"/>
        <v>8.4685847701796284</v>
      </c>
      <c r="EY297" s="1111">
        <f t="shared" si="462"/>
        <v>4.9821165186132932</v>
      </c>
      <c r="EZ297" s="1111">
        <f t="shared" si="463"/>
        <v>3.467231955421874</v>
      </c>
      <c r="FA297" s="1111">
        <f t="shared" si="464"/>
        <v>3.4507915536391489</v>
      </c>
      <c r="FB297" s="1111">
        <f t="shared" si="465"/>
        <v>3.4582966280060186</v>
      </c>
      <c r="FC297" s="1111">
        <f t="shared" si="466"/>
        <v>3.4628481928887811</v>
      </c>
      <c r="FD297" s="1111">
        <f t="shared" si="467"/>
        <v>3.4653857360723261</v>
      </c>
      <c r="FE297" s="1111">
        <f t="shared" si="468"/>
        <v>3.467441909819001</v>
      </c>
      <c r="FF297" s="1111">
        <f t="shared" si="469"/>
        <v>3.467441909819001</v>
      </c>
      <c r="FG297" s="1111">
        <f t="shared" si="389"/>
        <v>0.15052422796556716</v>
      </c>
      <c r="FH297" s="1111">
        <f t="shared" si="390"/>
        <v>1.7147882732231192E-2</v>
      </c>
      <c r="FI297" s="1111">
        <f t="shared" si="391"/>
        <v>1.6288981197253857E-2</v>
      </c>
      <c r="FJ297" s="1111">
        <f t="shared" si="392"/>
        <v>1.5117907818335607E-2</v>
      </c>
      <c r="FK297" s="1111">
        <f t="shared" si="393"/>
        <v>1.4378690167572896E-2</v>
      </c>
      <c r="FL297" s="1111">
        <f t="shared" si="394"/>
        <v>1.4117378368647316E-2</v>
      </c>
      <c r="FM297" s="1111">
        <f t="shared" si="395"/>
        <v>1.4120959250803086E-2</v>
      </c>
      <c r="FN297" s="1111">
        <f t="shared" si="396"/>
        <v>1.4131899910277535E-2</v>
      </c>
      <c r="FO297" s="1111">
        <f t="shared" si="397"/>
        <v>1.4137522428286838E-2</v>
      </c>
      <c r="FP297" s="1111">
        <f t="shared" si="398"/>
        <v>1.4142721116139288E-2</v>
      </c>
      <c r="FQ297" s="1111">
        <f t="shared" si="399"/>
        <v>1.4142721116139288E-2</v>
      </c>
      <c r="FR297" s="1111">
        <f t="shared" si="449"/>
        <v>1.1181516232534956</v>
      </c>
      <c r="FS297" s="1111">
        <f t="shared" si="450"/>
        <v>0.80052052427588127</v>
      </c>
      <c r="FT297" s="1111">
        <f t="shared" si="451"/>
        <v>0.45802073557825485</v>
      </c>
      <c r="FU297" s="1111">
        <f t="shared" si="452"/>
        <v>0.22515659269014368</v>
      </c>
      <c r="FV297" s="1111">
        <f t="shared" si="453"/>
        <v>0.17540222927854948</v>
      </c>
      <c r="FW297" s="1111">
        <f t="shared" si="454"/>
        <v>0.17510495649800506</v>
      </c>
      <c r="FX297" s="1111">
        <f t="shared" si="455"/>
        <v>0.17528687643891486</v>
      </c>
      <c r="FY297" s="1111">
        <f t="shared" si="456"/>
        <v>0.17538590224127698</v>
      </c>
      <c r="FZ297" s="1111">
        <f t="shared" si="457"/>
        <v>0.17544084496896875</v>
      </c>
      <c r="GA297" s="1111">
        <f t="shared" si="458"/>
        <v>0.17548448269919162</v>
      </c>
      <c r="GB297" s="1111">
        <f t="shared" si="459"/>
        <v>0.17548448269919162</v>
      </c>
      <c r="GC297" s="1111">
        <f t="shared" si="480"/>
        <v>0.92238061286946038</v>
      </c>
      <c r="GD297" s="1111">
        <f t="shared" si="481"/>
        <v>0.62943793516757862</v>
      </c>
      <c r="GE297" s="1111">
        <f t="shared" si="482"/>
        <v>0.31467259462042407</v>
      </c>
      <c r="GF297" s="1111">
        <f t="shared" si="483"/>
        <v>0.10061250353824766</v>
      </c>
      <c r="GG297" s="1111">
        <f t="shared" si="484"/>
        <v>5.4985249894676312E-2</v>
      </c>
      <c r="GH297" s="1111">
        <f t="shared" si="485"/>
        <v>5.4618355481547878E-2</v>
      </c>
      <c r="GI297" s="1111">
        <f t="shared" si="486"/>
        <v>5.4711318478445729E-2</v>
      </c>
      <c r="GJ297" s="1111">
        <f t="shared" si="487"/>
        <v>5.4760742474708184E-2</v>
      </c>
      <c r="GK297" s="1111">
        <f t="shared" si="488"/>
        <v>5.4789176303886238E-2</v>
      </c>
      <c r="GL297" s="1111">
        <f t="shared" si="489"/>
        <v>5.4808877163252182E-2</v>
      </c>
      <c r="GM297" s="1111">
        <f t="shared" si="490"/>
        <v>5.4808877163252182E-2</v>
      </c>
    </row>
    <row r="298" spans="1:195" x14ac:dyDescent="0.2">
      <c r="A298" s="1071" t="str">
        <f>Technologies!B177</f>
        <v>*R2,R3,R4,R5,R6</v>
      </c>
      <c r="B298" s="1071" t="str">
        <f>Technologies!C177</f>
        <v>THLDSLSWH</v>
      </c>
      <c r="C298" s="1071" t="str">
        <f>Technologies!D177</f>
        <v>Heavy Truck, Long Haul, Diesel Smartway Hybird</v>
      </c>
      <c r="D298" s="1071" t="str">
        <f>NewTech!D123</f>
        <v>bn-vmt, bn-vmt/a</v>
      </c>
      <c r="E298" s="1071" t="str">
        <f>Commodities!C$44</f>
        <v>THDSL</v>
      </c>
      <c r="F298" s="1071" t="s">
        <v>100</v>
      </c>
      <c r="G298" s="1110" t="s">
        <v>506</v>
      </c>
      <c r="H298" s="1110" t="s">
        <v>499</v>
      </c>
      <c r="I298" s="1112">
        <v>1</v>
      </c>
      <c r="J298" s="1111" t="str">
        <f t="shared" si="302"/>
        <v>Heavy duty long haul truck-DSL</v>
      </c>
      <c r="K298" s="1111">
        <v>1990.9716725761537</v>
      </c>
      <c r="L298" s="1111">
        <v>1941.6688887006037</v>
      </c>
      <c r="M298" s="1111">
        <v>1840.5553307709185</v>
      </c>
      <c r="N298" s="1111">
        <v>1759.0683861000869</v>
      </c>
      <c r="O298" s="1111">
        <v>1727.0853816748008</v>
      </c>
      <c r="P298" s="1111">
        <v>1727.5216883099354</v>
      </c>
      <c r="Q298" s="1111">
        <v>1728.8597047057897</v>
      </c>
      <c r="R298" s="1111">
        <v>1729.5473771008642</v>
      </c>
      <c r="S298" s="1111">
        <v>1730.1829912908977</v>
      </c>
      <c r="T298" s="1111">
        <f t="shared" si="491"/>
        <v>1730.1829912908977</v>
      </c>
      <c r="U298" s="1111">
        <v>15.319827052578248</v>
      </c>
      <c r="V298" s="1111">
        <v>8.4685847701796284</v>
      </c>
      <c r="W298" s="1111">
        <v>4.9821165186132932</v>
      </c>
      <c r="X298" s="1111">
        <v>3.467231955421874</v>
      </c>
      <c r="Y298" s="1111">
        <v>3.4507915536391489</v>
      </c>
      <c r="Z298" s="1111">
        <v>3.4582966280060186</v>
      </c>
      <c r="AA298" s="1111">
        <v>3.4628481928887811</v>
      </c>
      <c r="AB298" s="1111">
        <v>3.4653857360723261</v>
      </c>
      <c r="AC298" s="1111">
        <v>3.467441909819001</v>
      </c>
      <c r="AD298" s="1111">
        <f t="shared" si="448"/>
        <v>3.467441909819001</v>
      </c>
      <c r="AE298" s="1111">
        <v>0.15052422796556716</v>
      </c>
      <c r="AF298" s="1111">
        <v>1.7147882732231192E-2</v>
      </c>
      <c r="AG298" s="1111">
        <v>1.6288981197253857E-2</v>
      </c>
      <c r="AH298" s="1111">
        <v>1.5117907818335607E-2</v>
      </c>
      <c r="AI298" s="1111">
        <v>1.4378690167572896E-2</v>
      </c>
      <c r="AJ298" s="1111">
        <v>1.4117378368647316E-2</v>
      </c>
      <c r="AK298" s="1111">
        <v>1.4120959250803086E-2</v>
      </c>
      <c r="AL298" s="1111">
        <v>1.4131899910277535E-2</v>
      </c>
      <c r="AM298" s="1111">
        <v>1.4137522428286838E-2</v>
      </c>
      <c r="AN298" s="1111">
        <v>1.4142721116139288E-2</v>
      </c>
      <c r="AO298" s="1111">
        <v>1.4142721116139288E-2</v>
      </c>
      <c r="AP298" s="1111">
        <v>1.1181516232534956</v>
      </c>
      <c r="AQ298" s="1111">
        <v>0.80052052427588127</v>
      </c>
      <c r="AR298" s="1111">
        <v>0.45802073557825485</v>
      </c>
      <c r="AS298" s="1111">
        <v>0.22515659269014368</v>
      </c>
      <c r="AT298" s="1111">
        <v>0.17540222927854948</v>
      </c>
      <c r="AU298" s="1111">
        <v>0.17510495649800506</v>
      </c>
      <c r="AV298" s="1111">
        <v>0.17528687643891486</v>
      </c>
      <c r="AW298" s="1111">
        <v>0.17538590224127698</v>
      </c>
      <c r="AX298" s="1111">
        <v>0.17544084496896875</v>
      </c>
      <c r="AY298" s="1111">
        <v>0.17548448269919162</v>
      </c>
      <c r="AZ298" s="1111">
        <v>0.17548448269919162</v>
      </c>
      <c r="BA298" s="1111">
        <v>0.92238061286946038</v>
      </c>
      <c r="BB298" s="1111">
        <v>0.62943793516757862</v>
      </c>
      <c r="BC298" s="1111">
        <v>0.31467259462042407</v>
      </c>
      <c r="BD298" s="1111">
        <v>0.10061250353824766</v>
      </c>
      <c r="BE298" s="1111">
        <v>5.4985249894676312E-2</v>
      </c>
      <c r="BF298" s="1111">
        <v>5.4618355481547878E-2</v>
      </c>
      <c r="BG298" s="1111">
        <v>5.4711318478445729E-2</v>
      </c>
      <c r="BH298" s="1111">
        <v>5.4760742474708184E-2</v>
      </c>
      <c r="BI298" s="1111">
        <v>5.4789176303886238E-2</v>
      </c>
      <c r="BJ298" s="1111">
        <v>5.4808877163252182E-2</v>
      </c>
      <c r="BK298" s="1111">
        <v>5.4808877163252182E-2</v>
      </c>
      <c r="BL298" s="1111">
        <v>5.9614311030596951</v>
      </c>
      <c r="BM298" s="1111">
        <v>4.5918650065862101</v>
      </c>
      <c r="BN298" s="1111">
        <v>2.6906389750268889</v>
      </c>
      <c r="BO298" s="1111">
        <v>1.693821954160792</v>
      </c>
      <c r="BP298" s="1111">
        <v>1.4556997811831409</v>
      </c>
      <c r="BQ298" s="1111">
        <v>1.4605385418834991</v>
      </c>
      <c r="BR298" s="1111">
        <v>1.4660985163064548</v>
      </c>
      <c r="BS298" s="1111">
        <v>1.469914274069702</v>
      </c>
      <c r="BT298" s="1111">
        <v>1.4707795599223308</v>
      </c>
      <c r="BU298" s="1111">
        <v>1.4714814360768016</v>
      </c>
      <c r="BV298" s="1111">
        <v>1.4714814360768016</v>
      </c>
      <c r="BW298" s="1111">
        <v>1.8199393363012488</v>
      </c>
      <c r="BX298" s="1111">
        <v>1.4770658511247796</v>
      </c>
      <c r="BY298" s="1111">
        <v>0.90983790782993534</v>
      </c>
      <c r="BZ298" s="1111">
        <v>0.51563811144780347</v>
      </c>
      <c r="CA298" s="1111">
        <v>0.42061936864799804</v>
      </c>
      <c r="CB298" s="1111">
        <v>0.42073824663225967</v>
      </c>
      <c r="CC298" s="1111">
        <v>0.42175786297834761</v>
      </c>
      <c r="CD298" s="1111">
        <v>0.42238921634242482</v>
      </c>
      <c r="CE298" s="1111">
        <v>0.42267473005087131</v>
      </c>
      <c r="CF298" s="1111">
        <v>0.42293390367008121</v>
      </c>
      <c r="CG298" s="1111">
        <v>0.42293390367008121</v>
      </c>
      <c r="CH298" s="1111">
        <v>3.4412371683517198E-2</v>
      </c>
      <c r="CI298" s="1111">
        <v>3.4493337806388705E-2</v>
      </c>
      <c r="CJ298" s="1111">
        <v>3.3256899548670331E-2</v>
      </c>
      <c r="CK298" s="1111">
        <v>3.2082083001586562E-2</v>
      </c>
      <c r="CL298" s="1111">
        <v>3.1312086208570782E-2</v>
      </c>
      <c r="CM298" s="1111">
        <v>3.1290316795849253E-2</v>
      </c>
      <c r="CN298" s="1111">
        <v>3.1312654731235907E-2</v>
      </c>
      <c r="CO298" s="1111">
        <v>3.1325169678549016E-2</v>
      </c>
      <c r="CP298" s="1111">
        <v>3.1331810091919626E-2</v>
      </c>
      <c r="CQ298" s="1111">
        <v>3.1337948548338782E-2</v>
      </c>
      <c r="CR298" s="1111">
        <v>3.1337948548338782E-2</v>
      </c>
      <c r="CS298" s="1111">
        <v>22.214797437739819</v>
      </c>
      <c r="CT298" s="1111">
        <v>15.319827052578248</v>
      </c>
      <c r="CU298" s="1111">
        <v>8.4685847701796284</v>
      </c>
      <c r="CV298" s="1111">
        <v>4.9821165186132932</v>
      </c>
      <c r="CW298" s="1111">
        <v>3.467231955421874</v>
      </c>
      <c r="CX298" s="1111">
        <v>3.4507915536391489</v>
      </c>
      <c r="CY298" s="1111">
        <v>3.4582966280060186</v>
      </c>
      <c r="CZ298" s="1111">
        <v>3.4628481928887811</v>
      </c>
      <c r="DA298" s="1111">
        <v>3.4653857360723261</v>
      </c>
      <c r="DB298" s="1111">
        <v>3.467441909819001</v>
      </c>
      <c r="DC298" s="1111">
        <v>3.467441909819001</v>
      </c>
      <c r="DD298" s="1111">
        <v>0.58595154450895603</v>
      </c>
      <c r="DE298" s="1111">
        <v>0.38883860207962456</v>
      </c>
      <c r="DF298" s="1111">
        <v>0.17690357039713958</v>
      </c>
      <c r="DG298" s="1111">
        <v>3.4539811541928388E-2</v>
      </c>
      <c r="DH298" s="1111">
        <v>4.6405002307018522E-3</v>
      </c>
      <c r="DI298" s="1111">
        <v>4.6107794377802554E-3</v>
      </c>
      <c r="DJ298" s="1111">
        <v>4.6215599268932053E-3</v>
      </c>
      <c r="DK298" s="1111">
        <v>4.6273615775192078E-3</v>
      </c>
      <c r="DL298" s="1111">
        <v>4.6306369526608803E-3</v>
      </c>
      <c r="DM298" s="1111">
        <v>4.6330767482665753E-3</v>
      </c>
      <c r="DN298" s="1111">
        <v>4.6330767482665753E-3</v>
      </c>
      <c r="DO298" s="1111">
        <v>0.21893334463495995</v>
      </c>
      <c r="DP298" s="1111">
        <v>0.15390472378530864</v>
      </c>
      <c r="DQ298" s="1111">
        <v>7.4564386146155931E-2</v>
      </c>
      <c r="DR298" s="1111">
        <v>1.9638770407339686E-2</v>
      </c>
      <c r="DS298" s="1111">
        <v>8.4633421868544681E-3</v>
      </c>
      <c r="DT298" s="1111">
        <v>8.4130467901607168E-3</v>
      </c>
      <c r="DU298" s="1111">
        <v>8.432889478818921E-3</v>
      </c>
      <c r="DV298" s="1111">
        <v>8.4435912902704469E-3</v>
      </c>
      <c r="DW298" s="1111">
        <v>8.4496126155583773E-3</v>
      </c>
      <c r="DX298" s="1111">
        <v>8.4541558278977604E-3</v>
      </c>
      <c r="DY298" s="1111">
        <v>8.4541558278977604E-3</v>
      </c>
      <c r="DZ298" s="1111">
        <v>5.3407949418512778E-3</v>
      </c>
      <c r="EA298" s="1111">
        <v>0.14104854201033007</v>
      </c>
      <c r="EB298" s="1111">
        <v>0.27257687202227321</v>
      </c>
      <c r="EC298" s="1111">
        <v>0.36080196176893081</v>
      </c>
      <c r="ED298" s="1111">
        <v>0.35536041277142427</v>
      </c>
      <c r="EE298" s="1111">
        <v>0.35636314324239221</v>
      </c>
      <c r="EF298" s="1111">
        <v>0.35731718163326287</v>
      </c>
      <c r="EG298" s="1111">
        <v>0.35788107716481848</v>
      </c>
      <c r="EH298" s="1111">
        <v>0.35812757843703857</v>
      </c>
      <c r="EI298" s="1111">
        <v>0.35835033752738565</v>
      </c>
      <c r="EJ298" s="1111">
        <v>0.35835033752738565</v>
      </c>
      <c r="EK298" s="1111">
        <v>1975.06905164605</v>
      </c>
      <c r="EL298" s="1111">
        <f t="shared" si="470"/>
        <v>1990.9716725761537</v>
      </c>
      <c r="EM298" s="1111">
        <f t="shared" si="471"/>
        <v>1941.6688887006037</v>
      </c>
      <c r="EN298" s="1111">
        <f t="shared" si="472"/>
        <v>1840.5553307709185</v>
      </c>
      <c r="EO298" s="1111">
        <f t="shared" si="473"/>
        <v>1759.0683861000869</v>
      </c>
      <c r="EP298" s="1111">
        <f t="shared" si="474"/>
        <v>1727.0853816748008</v>
      </c>
      <c r="EQ298" s="1111">
        <f t="shared" si="475"/>
        <v>1727.5216883099354</v>
      </c>
      <c r="ER298" s="1111">
        <f t="shared" si="476"/>
        <v>1728.8597047057897</v>
      </c>
      <c r="ES298" s="1111">
        <f t="shared" si="477"/>
        <v>1729.5473771008642</v>
      </c>
      <c r="ET298" s="1111">
        <f t="shared" si="478"/>
        <v>1730.1829912908977</v>
      </c>
      <c r="EU298" s="1111">
        <f t="shared" si="479"/>
        <v>1730.1829912908977</v>
      </c>
      <c r="EV298" s="1111">
        <v>22.214797437739819</v>
      </c>
      <c r="EW298" s="1111">
        <f t="shared" si="460"/>
        <v>15.319827052578248</v>
      </c>
      <c r="EX298" s="1111">
        <f t="shared" si="461"/>
        <v>8.4685847701796284</v>
      </c>
      <c r="EY298" s="1111">
        <f t="shared" si="462"/>
        <v>4.9821165186132932</v>
      </c>
      <c r="EZ298" s="1111">
        <f t="shared" si="463"/>
        <v>3.467231955421874</v>
      </c>
      <c r="FA298" s="1111">
        <f t="shared" si="464"/>
        <v>3.4507915536391489</v>
      </c>
      <c r="FB298" s="1111">
        <f t="shared" si="465"/>
        <v>3.4582966280060186</v>
      </c>
      <c r="FC298" s="1111">
        <f t="shared" si="466"/>
        <v>3.4628481928887811</v>
      </c>
      <c r="FD298" s="1111">
        <f t="shared" si="467"/>
        <v>3.4653857360723261</v>
      </c>
      <c r="FE298" s="1111">
        <f t="shared" si="468"/>
        <v>3.467441909819001</v>
      </c>
      <c r="FF298" s="1111">
        <f t="shared" si="469"/>
        <v>3.467441909819001</v>
      </c>
      <c r="FG298" s="1111">
        <f t="shared" si="389"/>
        <v>0.15052422796556716</v>
      </c>
      <c r="FH298" s="1111">
        <f t="shared" si="390"/>
        <v>1.7147882732231192E-2</v>
      </c>
      <c r="FI298" s="1111">
        <f t="shared" si="391"/>
        <v>1.6288981197253857E-2</v>
      </c>
      <c r="FJ298" s="1111">
        <f t="shared" si="392"/>
        <v>1.5117907818335607E-2</v>
      </c>
      <c r="FK298" s="1111">
        <f t="shared" si="393"/>
        <v>1.4378690167572896E-2</v>
      </c>
      <c r="FL298" s="1111">
        <f t="shared" si="394"/>
        <v>1.4117378368647316E-2</v>
      </c>
      <c r="FM298" s="1111">
        <f t="shared" si="395"/>
        <v>1.4120959250803086E-2</v>
      </c>
      <c r="FN298" s="1111">
        <f t="shared" si="396"/>
        <v>1.4131899910277535E-2</v>
      </c>
      <c r="FO298" s="1111">
        <f t="shared" si="397"/>
        <v>1.4137522428286838E-2</v>
      </c>
      <c r="FP298" s="1111">
        <f t="shared" si="398"/>
        <v>1.4142721116139288E-2</v>
      </c>
      <c r="FQ298" s="1111">
        <f t="shared" si="399"/>
        <v>1.4142721116139288E-2</v>
      </c>
      <c r="FR298" s="1111">
        <f t="shared" si="449"/>
        <v>1.1181516232534956</v>
      </c>
      <c r="FS298" s="1111">
        <f t="shared" si="450"/>
        <v>0.80052052427588127</v>
      </c>
      <c r="FT298" s="1111">
        <f t="shared" si="451"/>
        <v>0.45802073557825485</v>
      </c>
      <c r="FU298" s="1111">
        <f t="shared" si="452"/>
        <v>0.22515659269014368</v>
      </c>
      <c r="FV298" s="1111">
        <f t="shared" si="453"/>
        <v>0.17540222927854948</v>
      </c>
      <c r="FW298" s="1111">
        <f t="shared" si="454"/>
        <v>0.17510495649800506</v>
      </c>
      <c r="FX298" s="1111">
        <f t="shared" si="455"/>
        <v>0.17528687643891486</v>
      </c>
      <c r="FY298" s="1111">
        <f t="shared" si="456"/>
        <v>0.17538590224127698</v>
      </c>
      <c r="FZ298" s="1111">
        <f t="shared" si="457"/>
        <v>0.17544084496896875</v>
      </c>
      <c r="GA298" s="1111">
        <f t="shared" si="458"/>
        <v>0.17548448269919162</v>
      </c>
      <c r="GB298" s="1111">
        <f t="shared" si="459"/>
        <v>0.17548448269919162</v>
      </c>
      <c r="GC298" s="1111">
        <f t="shared" si="480"/>
        <v>0.92238061286946038</v>
      </c>
      <c r="GD298" s="1111">
        <f t="shared" si="481"/>
        <v>0.62943793516757862</v>
      </c>
      <c r="GE298" s="1111">
        <f t="shared" si="482"/>
        <v>0.31467259462042407</v>
      </c>
      <c r="GF298" s="1111">
        <f t="shared" si="483"/>
        <v>0.10061250353824766</v>
      </c>
      <c r="GG298" s="1111">
        <f t="shared" si="484"/>
        <v>5.4985249894676312E-2</v>
      </c>
      <c r="GH298" s="1111">
        <f t="shared" si="485"/>
        <v>5.4618355481547878E-2</v>
      </c>
      <c r="GI298" s="1111">
        <f t="shared" si="486"/>
        <v>5.4711318478445729E-2</v>
      </c>
      <c r="GJ298" s="1111">
        <f t="shared" si="487"/>
        <v>5.4760742474708184E-2</v>
      </c>
      <c r="GK298" s="1111">
        <f t="shared" si="488"/>
        <v>5.4789176303886238E-2</v>
      </c>
      <c r="GL298" s="1111">
        <f t="shared" si="489"/>
        <v>5.4808877163252182E-2</v>
      </c>
      <c r="GM298" s="1111">
        <f t="shared" si="490"/>
        <v>5.4808877163252182E-2</v>
      </c>
    </row>
    <row r="299" spans="1:195" x14ac:dyDescent="0.2">
      <c r="A299" s="1071" t="str">
        <f>Technologies!B178</f>
        <v>*R2,R3,R4,R5,R6</v>
      </c>
      <c r="B299" s="1071" t="str">
        <f>Technologies!C178</f>
        <v>THLB20C10</v>
      </c>
      <c r="C299" s="1071" t="str">
        <f>Technologies!D178</f>
        <v>Heavy Truck, Long Haul, B20 Conventional 2010</v>
      </c>
      <c r="D299" s="1071" t="str">
        <f>NewTech!D124</f>
        <v>bn-vmt, bn-vmt/a</v>
      </c>
      <c r="E299" s="1071" t="str">
        <f>Commodities!C62</f>
        <v>THB20X</v>
      </c>
      <c r="F299" s="1071" t="s">
        <v>100</v>
      </c>
      <c r="G299" s="1110" t="s">
        <v>506</v>
      </c>
      <c r="H299" s="1110" t="s">
        <v>507</v>
      </c>
      <c r="I299" s="1112">
        <v>1</v>
      </c>
      <c r="J299" s="1111" t="str">
        <f t="shared" si="302"/>
        <v>Heavy duty long haul truck-B20</v>
      </c>
      <c r="K299" s="1111">
        <v>1981.0118914238521</v>
      </c>
      <c r="L299" s="1111">
        <v>1931.9559340984956</v>
      </c>
      <c r="M299" s="1111">
        <v>1831.3482623049147</v>
      </c>
      <c r="N299" s="1111">
        <v>1750.2688478981618</v>
      </c>
      <c r="O299" s="1111">
        <v>1718.4457792039377</v>
      </c>
      <c r="P299" s="1111">
        <v>1718.8799443907076</v>
      </c>
      <c r="Q299" s="1111">
        <v>1720.2113144765049</v>
      </c>
      <c r="R299" s="1111">
        <v>1720.8953211916187</v>
      </c>
      <c r="S299" s="1111">
        <v>1721.527987337922</v>
      </c>
      <c r="T299" s="1111">
        <f t="shared" si="491"/>
        <v>1721.527987337922</v>
      </c>
      <c r="U299" s="1111">
        <v>15.601382092822385</v>
      </c>
      <c r="V299" s="1111">
        <v>8.577116560090742</v>
      </c>
      <c r="W299" s="1111">
        <v>5.0009823332358678</v>
      </c>
      <c r="X299" s="1111">
        <v>3.4699121051484361</v>
      </c>
      <c r="Y299" s="1111">
        <v>3.4534810753551963</v>
      </c>
      <c r="Z299" s="1111">
        <v>3.460993600313981</v>
      </c>
      <c r="AA299" s="1111">
        <v>3.4655493103568138</v>
      </c>
      <c r="AB299" s="1111">
        <v>3.4680890856958073</v>
      </c>
      <c r="AC299" s="1111">
        <v>3.4701473057536147</v>
      </c>
      <c r="AD299" s="1111">
        <f t="shared" si="448"/>
        <v>3.4701473057536147</v>
      </c>
      <c r="AE299" s="1111">
        <v>0.1576612869755992</v>
      </c>
      <c r="AF299" s="1111">
        <v>1.796094842686706E-2</v>
      </c>
      <c r="AG299" s="1111">
        <v>1.7061319784506059E-2</v>
      </c>
      <c r="AH299" s="1111">
        <v>1.5834721864571695E-2</v>
      </c>
      <c r="AI299" s="1111">
        <v>1.5060454202804906E-2</v>
      </c>
      <c r="AJ299" s="1111">
        <v>1.4786751356467901E-2</v>
      </c>
      <c r="AK299" s="1111">
        <v>1.4790501540140277E-2</v>
      </c>
      <c r="AL299" s="1111">
        <v>1.4801961118866089E-2</v>
      </c>
      <c r="AM299" s="1111">
        <v>1.4807850894312479E-2</v>
      </c>
      <c r="AN299" s="1111">
        <v>1.481329499118827E-2</v>
      </c>
      <c r="AO299" s="1111">
        <v>1.481329499118827E-2</v>
      </c>
      <c r="AP299" s="1111">
        <v>0.96752702664537515</v>
      </c>
      <c r="AQ299" s="1111">
        <v>0.69896376537907456</v>
      </c>
      <c r="AR299" s="1111">
        <v>0.41166412009556291</v>
      </c>
      <c r="AS299" s="1111">
        <v>0.21623848001246293</v>
      </c>
      <c r="AT299" s="1111">
        <v>0.17417391726783296</v>
      </c>
      <c r="AU299" s="1111">
        <v>0.17387235701426662</v>
      </c>
      <c r="AV299" s="1111">
        <v>0.17405086355717547</v>
      </c>
      <c r="AW299" s="1111">
        <v>0.17414797867050222</v>
      </c>
      <c r="AX299" s="1111">
        <v>0.1742019071458682</v>
      </c>
      <c r="AY299" s="1111">
        <v>0.17424460447261514</v>
      </c>
      <c r="AZ299" s="1111">
        <v>0.17424460447261514</v>
      </c>
      <c r="BA299" s="1111">
        <v>0.78380654986820564</v>
      </c>
      <c r="BB299" s="1111">
        <v>0.53600599682533889</v>
      </c>
      <c r="BC299" s="1111">
        <v>0.27202459934805101</v>
      </c>
      <c r="BD299" s="1111">
        <v>9.2407848124680003E-2</v>
      </c>
      <c r="BE299" s="1111">
        <v>5.3855206187384659E-2</v>
      </c>
      <c r="BF299" s="1111">
        <v>5.3484369350549135E-2</v>
      </c>
      <c r="BG299" s="1111">
        <v>5.3574190403462112E-2</v>
      </c>
      <c r="BH299" s="1111">
        <v>5.3621853833392817E-2</v>
      </c>
      <c r="BI299" s="1111">
        <v>5.3649355082663448E-2</v>
      </c>
      <c r="BJ299" s="1111">
        <v>5.3668193122606657E-2</v>
      </c>
      <c r="BK299" s="1111">
        <v>5.3668193122606657E-2</v>
      </c>
      <c r="BL299" s="1111">
        <v>5.1387534693825661</v>
      </c>
      <c r="BM299" s="1111">
        <v>4.0233172045380892</v>
      </c>
      <c r="BN299" s="1111">
        <v>2.4555309784213346</v>
      </c>
      <c r="BO299" s="1111">
        <v>1.6419671875666322</v>
      </c>
      <c r="BP299" s="1111">
        <v>1.4340856634374315</v>
      </c>
      <c r="BQ299" s="1111">
        <v>1.4388489912345059</v>
      </c>
      <c r="BR299" s="1111">
        <v>1.4443488766397461</v>
      </c>
      <c r="BS299" s="1111">
        <v>1.4481309576729999</v>
      </c>
      <c r="BT299" s="1111">
        <v>1.4489783910475467</v>
      </c>
      <c r="BU299" s="1111">
        <v>1.4496637558519092</v>
      </c>
      <c r="BV299" s="1111">
        <v>1.4496637558519092</v>
      </c>
      <c r="BW299" s="1111">
        <v>1.5745497075673587</v>
      </c>
      <c r="BX299" s="1111">
        <v>1.2969093569761676</v>
      </c>
      <c r="BY299" s="1111">
        <v>0.82698877434455342</v>
      </c>
      <c r="BZ299" s="1111">
        <v>0.49979063528883361</v>
      </c>
      <c r="CA299" s="1111">
        <v>0.41776137783832823</v>
      </c>
      <c r="CB299" s="1111">
        <v>0.41781676522934341</v>
      </c>
      <c r="CC299" s="1111">
        <v>0.41882281946070216</v>
      </c>
      <c r="CD299" s="1111">
        <v>0.41944815397952351</v>
      </c>
      <c r="CE299" s="1111">
        <v>0.41973042953794587</v>
      </c>
      <c r="CF299" s="1111">
        <v>0.41998660871958804</v>
      </c>
      <c r="CG299" s="1111">
        <v>0.41998660871958804</v>
      </c>
      <c r="CH299" s="1111">
        <v>3.4412371683517198E-2</v>
      </c>
      <c r="CI299" s="1111">
        <v>3.4493337806388705E-2</v>
      </c>
      <c r="CJ299" s="1111">
        <v>3.3256899548670331E-2</v>
      </c>
      <c r="CK299" s="1111">
        <v>3.2082083001586562E-2</v>
      </c>
      <c r="CL299" s="1111">
        <v>3.1312086208570782E-2</v>
      </c>
      <c r="CM299" s="1111">
        <v>3.1290316795849253E-2</v>
      </c>
      <c r="CN299" s="1111">
        <v>3.1312654731235907E-2</v>
      </c>
      <c r="CO299" s="1111">
        <v>3.1325169678549016E-2</v>
      </c>
      <c r="CP299" s="1111">
        <v>3.1331810091919626E-2</v>
      </c>
      <c r="CQ299" s="1111">
        <v>3.1337948548338782E-2</v>
      </c>
      <c r="CR299" s="1111">
        <v>3.1337948548338782E-2</v>
      </c>
      <c r="CS299" s="1111">
        <v>22.703522228201898</v>
      </c>
      <c r="CT299" s="1111">
        <v>15.601382092822385</v>
      </c>
      <c r="CU299" s="1111">
        <v>8.577116560090742</v>
      </c>
      <c r="CV299" s="1111">
        <v>5.0009823332358678</v>
      </c>
      <c r="CW299" s="1111">
        <v>3.4699121051484361</v>
      </c>
      <c r="CX299" s="1111">
        <v>3.4534810753551963</v>
      </c>
      <c r="CY299" s="1111">
        <v>3.460993600313981</v>
      </c>
      <c r="CZ299" s="1111">
        <v>3.4655493103568138</v>
      </c>
      <c r="DA299" s="1111">
        <v>3.4680890856958073</v>
      </c>
      <c r="DB299" s="1111">
        <v>3.4701473057536147</v>
      </c>
      <c r="DC299" s="1111">
        <v>3.4701473057536147</v>
      </c>
      <c r="DD299" s="1111">
        <v>0.4945430888463242</v>
      </c>
      <c r="DE299" s="1111">
        <v>0.32829327347775644</v>
      </c>
      <c r="DF299" s="1111">
        <v>0.14960574174273675</v>
      </c>
      <c r="DG299" s="1111">
        <v>2.9569012744112923E-2</v>
      </c>
      <c r="DH299" s="1111">
        <v>4.3350830020119739E-3</v>
      </c>
      <c r="DI299" s="1111">
        <v>4.3042966120024392E-3</v>
      </c>
      <c r="DJ299" s="1111">
        <v>4.3142283064197227E-3</v>
      </c>
      <c r="DK299" s="1111">
        <v>4.319554170308844E-3</v>
      </c>
      <c r="DL299" s="1111">
        <v>4.322577514343783E-3</v>
      </c>
      <c r="DM299" s="1111">
        <v>4.3247838315264306E-3</v>
      </c>
      <c r="DN299" s="1111">
        <v>4.3247838315264306E-3</v>
      </c>
      <c r="DO299" s="1111">
        <v>0.18477974927701987</v>
      </c>
      <c r="DP299" s="1111">
        <v>0.13009291312126903</v>
      </c>
      <c r="DQ299" s="1111">
        <v>6.3452403207873098E-2</v>
      </c>
      <c r="DR299" s="1111">
        <v>1.7300850078823388E-2</v>
      </c>
      <c r="DS299" s="1111">
        <v>7.8706826313257854E-3</v>
      </c>
      <c r="DT299" s="1111">
        <v>7.8183195381436987E-3</v>
      </c>
      <c r="DU299" s="1111">
        <v>7.8365133898576217E-3</v>
      </c>
      <c r="DV299" s="1111">
        <v>7.8462932937248941E-3</v>
      </c>
      <c r="DW299" s="1111">
        <v>7.8518253853731325E-3</v>
      </c>
      <c r="DX299" s="1111">
        <v>7.855915828973872E-3</v>
      </c>
      <c r="DY299" s="1111">
        <v>7.855915828973872E-3</v>
      </c>
      <c r="DZ299" s="1111">
        <v>4.5877432215591504E-3</v>
      </c>
      <c r="EA299" s="1111">
        <v>0.14060814341172437</v>
      </c>
      <c r="EB299" s="1111">
        <v>0.27236586109339539</v>
      </c>
      <c r="EC299" s="1111">
        <v>0.36075631276742187</v>
      </c>
      <c r="ED299" s="1111">
        <v>0.35534804571586109</v>
      </c>
      <c r="EE299" s="1111">
        <v>0.35635073301801812</v>
      </c>
      <c r="EF299" s="1111">
        <v>0.35730473706314991</v>
      </c>
      <c r="EG299" s="1111">
        <v>0.35786861330646652</v>
      </c>
      <c r="EH299" s="1111">
        <v>0.35811510437223248</v>
      </c>
      <c r="EI299" s="1111">
        <v>0.35833785402503204</v>
      </c>
      <c r="EJ299" s="1111">
        <v>0.35833785402503204</v>
      </c>
      <c r="EK299" s="1111">
        <v>1965.1889012714585</v>
      </c>
      <c r="EL299" s="1111">
        <f t="shared" si="470"/>
        <v>1981.0118914238521</v>
      </c>
      <c r="EM299" s="1111">
        <f t="shared" si="471"/>
        <v>1931.9559340984956</v>
      </c>
      <c r="EN299" s="1111">
        <f t="shared" si="472"/>
        <v>1831.3482623049147</v>
      </c>
      <c r="EO299" s="1111">
        <f t="shared" si="473"/>
        <v>1750.2688478981618</v>
      </c>
      <c r="EP299" s="1111">
        <f t="shared" si="474"/>
        <v>1718.4457792039377</v>
      </c>
      <c r="EQ299" s="1111">
        <f t="shared" si="475"/>
        <v>1718.8799443907076</v>
      </c>
      <c r="ER299" s="1111">
        <f t="shared" si="476"/>
        <v>1720.2113144765049</v>
      </c>
      <c r="ES299" s="1111">
        <f t="shared" si="477"/>
        <v>1720.8953211916187</v>
      </c>
      <c r="ET299" s="1111">
        <f t="shared" si="478"/>
        <v>1721.527987337922</v>
      </c>
      <c r="EU299" s="1111">
        <f t="shared" si="479"/>
        <v>1721.527987337922</v>
      </c>
      <c r="EV299" s="1111">
        <v>22.703522228201898</v>
      </c>
      <c r="EW299" s="1111">
        <f t="shared" si="460"/>
        <v>15.601382092822385</v>
      </c>
      <c r="EX299" s="1111">
        <f t="shared" si="461"/>
        <v>8.577116560090742</v>
      </c>
      <c r="EY299" s="1111">
        <f t="shared" si="462"/>
        <v>5.0009823332358678</v>
      </c>
      <c r="EZ299" s="1111">
        <f t="shared" si="463"/>
        <v>3.4699121051484361</v>
      </c>
      <c r="FA299" s="1111">
        <f t="shared" si="464"/>
        <v>3.4534810753551963</v>
      </c>
      <c r="FB299" s="1111">
        <f t="shared" si="465"/>
        <v>3.460993600313981</v>
      </c>
      <c r="FC299" s="1111">
        <f t="shared" si="466"/>
        <v>3.4655493103568138</v>
      </c>
      <c r="FD299" s="1111">
        <f t="shared" si="467"/>
        <v>3.4680890856958073</v>
      </c>
      <c r="FE299" s="1111">
        <f t="shared" si="468"/>
        <v>3.4701473057536147</v>
      </c>
      <c r="FF299" s="1111">
        <f t="shared" si="469"/>
        <v>3.4701473057536147</v>
      </c>
      <c r="FG299" s="1111">
        <f t="shared" si="389"/>
        <v>0.1576612869755992</v>
      </c>
      <c r="FH299" s="1111">
        <f t="shared" si="390"/>
        <v>1.796094842686706E-2</v>
      </c>
      <c r="FI299" s="1111">
        <f t="shared" si="391"/>
        <v>1.7061319784506059E-2</v>
      </c>
      <c r="FJ299" s="1111">
        <f t="shared" si="392"/>
        <v>1.5834721864571695E-2</v>
      </c>
      <c r="FK299" s="1111">
        <f t="shared" si="393"/>
        <v>1.5060454202804906E-2</v>
      </c>
      <c r="FL299" s="1111">
        <f t="shared" si="394"/>
        <v>1.4786751356467901E-2</v>
      </c>
      <c r="FM299" s="1111">
        <f t="shared" si="395"/>
        <v>1.4790501540140277E-2</v>
      </c>
      <c r="FN299" s="1111">
        <f t="shared" si="396"/>
        <v>1.4801961118866089E-2</v>
      </c>
      <c r="FO299" s="1111">
        <f t="shared" si="397"/>
        <v>1.4807850894312479E-2</v>
      </c>
      <c r="FP299" s="1111">
        <f t="shared" si="398"/>
        <v>1.481329499118827E-2</v>
      </c>
      <c r="FQ299" s="1111">
        <f t="shared" si="399"/>
        <v>1.481329499118827E-2</v>
      </c>
      <c r="FR299" s="1111">
        <f t="shared" si="449"/>
        <v>0.96752702664537515</v>
      </c>
      <c r="FS299" s="1111">
        <f t="shared" si="450"/>
        <v>0.69896376537907456</v>
      </c>
      <c r="FT299" s="1111">
        <f t="shared" si="451"/>
        <v>0.41166412009556291</v>
      </c>
      <c r="FU299" s="1111">
        <f t="shared" si="452"/>
        <v>0.21623848001246293</v>
      </c>
      <c r="FV299" s="1111">
        <f t="shared" si="453"/>
        <v>0.17417391726783296</v>
      </c>
      <c r="FW299" s="1111">
        <f t="shared" si="454"/>
        <v>0.17387235701426662</v>
      </c>
      <c r="FX299" s="1111">
        <f t="shared" si="455"/>
        <v>0.17405086355717547</v>
      </c>
      <c r="FY299" s="1111">
        <f t="shared" si="456"/>
        <v>0.17414797867050222</v>
      </c>
      <c r="FZ299" s="1111">
        <f t="shared" si="457"/>
        <v>0.1742019071458682</v>
      </c>
      <c r="GA299" s="1111">
        <f t="shared" si="458"/>
        <v>0.17424460447261514</v>
      </c>
      <c r="GB299" s="1111">
        <f t="shared" si="459"/>
        <v>0.17424460447261514</v>
      </c>
      <c r="GC299" s="1111">
        <f t="shared" si="480"/>
        <v>0.78380654986820564</v>
      </c>
      <c r="GD299" s="1111">
        <f t="shared" si="481"/>
        <v>0.53600599682533889</v>
      </c>
      <c r="GE299" s="1111">
        <f t="shared" si="482"/>
        <v>0.27202459934805101</v>
      </c>
      <c r="GF299" s="1111">
        <f t="shared" si="483"/>
        <v>9.2407848124680003E-2</v>
      </c>
      <c r="GG299" s="1111">
        <f t="shared" si="484"/>
        <v>5.3855206187384659E-2</v>
      </c>
      <c r="GH299" s="1111">
        <f t="shared" si="485"/>
        <v>5.3484369350549135E-2</v>
      </c>
      <c r="GI299" s="1111">
        <f t="shared" si="486"/>
        <v>5.3574190403462112E-2</v>
      </c>
      <c r="GJ299" s="1111">
        <f t="shared" si="487"/>
        <v>5.3621853833392817E-2</v>
      </c>
      <c r="GK299" s="1111">
        <f t="shared" si="488"/>
        <v>5.3649355082663448E-2</v>
      </c>
      <c r="GL299" s="1111">
        <f t="shared" si="489"/>
        <v>5.3668193122606657E-2</v>
      </c>
      <c r="GM299" s="1111">
        <f t="shared" si="490"/>
        <v>5.3668193122606657E-2</v>
      </c>
    </row>
    <row r="300" spans="1:195" x14ac:dyDescent="0.2">
      <c r="A300" s="1071" t="str">
        <f>Technologies!B179</f>
        <v>*R2,R3,R4,R5,R6</v>
      </c>
      <c r="B300" s="1071" t="str">
        <f>Technologies!C179</f>
        <v>THLB20C</v>
      </c>
      <c r="C300" s="1071" t="str">
        <f>Technologies!D179</f>
        <v>Heavy Truck, Long Haul, Conventional B20</v>
      </c>
      <c r="D300" s="1071" t="str">
        <f>NewTech!D126</f>
        <v>bn-vmt, bn-vmt/a</v>
      </c>
      <c r="E300" s="1071" t="str">
        <f>Commodities!C$62</f>
        <v>THB20X</v>
      </c>
      <c r="F300" s="1071" t="s">
        <v>100</v>
      </c>
      <c r="G300" s="1110" t="s">
        <v>506</v>
      </c>
      <c r="H300" s="1110" t="s">
        <v>507</v>
      </c>
      <c r="I300" s="1112">
        <v>1</v>
      </c>
      <c r="J300" s="1111" t="str">
        <f t="shared" si="302"/>
        <v>Heavy duty long haul truck-B20</v>
      </c>
      <c r="K300" s="1111">
        <v>1981.0118914238521</v>
      </c>
      <c r="L300" s="1111">
        <v>1931.9559340984956</v>
      </c>
      <c r="M300" s="1111">
        <v>1831.3482623049147</v>
      </c>
      <c r="N300" s="1111">
        <v>1750.2688478981618</v>
      </c>
      <c r="O300" s="1111">
        <v>1718.4457792039377</v>
      </c>
      <c r="P300" s="1111">
        <v>1718.8799443907076</v>
      </c>
      <c r="Q300" s="1111">
        <v>1720.2113144765049</v>
      </c>
      <c r="R300" s="1111">
        <v>1720.8953211916187</v>
      </c>
      <c r="S300" s="1111">
        <v>1721.527987337922</v>
      </c>
      <c r="T300" s="1111">
        <f t="shared" si="491"/>
        <v>1721.527987337922</v>
      </c>
      <c r="U300" s="1111">
        <v>15.601382092822385</v>
      </c>
      <c r="V300" s="1111">
        <v>8.577116560090742</v>
      </c>
      <c r="W300" s="1111">
        <v>5.0009823332358678</v>
      </c>
      <c r="X300" s="1111">
        <v>3.4699121051484361</v>
      </c>
      <c r="Y300" s="1111">
        <v>3.4534810753551963</v>
      </c>
      <c r="Z300" s="1111">
        <v>3.460993600313981</v>
      </c>
      <c r="AA300" s="1111">
        <v>3.4655493103568138</v>
      </c>
      <c r="AB300" s="1111">
        <v>3.4680890856958073</v>
      </c>
      <c r="AC300" s="1111">
        <v>3.4701473057536147</v>
      </c>
      <c r="AD300" s="1111">
        <f t="shared" si="448"/>
        <v>3.4701473057536147</v>
      </c>
      <c r="AE300" s="1111">
        <v>0.1576612869755992</v>
      </c>
      <c r="AF300" s="1111">
        <v>1.796094842686706E-2</v>
      </c>
      <c r="AG300" s="1111">
        <v>1.7061319784506059E-2</v>
      </c>
      <c r="AH300" s="1111">
        <v>1.5834721864571695E-2</v>
      </c>
      <c r="AI300" s="1111">
        <v>1.5060454202804906E-2</v>
      </c>
      <c r="AJ300" s="1111">
        <v>1.4786751356467901E-2</v>
      </c>
      <c r="AK300" s="1111">
        <v>1.4790501540140277E-2</v>
      </c>
      <c r="AL300" s="1111">
        <v>1.4801961118866089E-2</v>
      </c>
      <c r="AM300" s="1111">
        <v>1.4807850894312479E-2</v>
      </c>
      <c r="AN300" s="1111">
        <v>1.481329499118827E-2</v>
      </c>
      <c r="AO300" s="1111">
        <v>1.481329499118827E-2</v>
      </c>
      <c r="AP300" s="1111">
        <v>0.96752702664537515</v>
      </c>
      <c r="AQ300" s="1111">
        <v>0.69896376537907456</v>
      </c>
      <c r="AR300" s="1111">
        <v>0.41166412009556291</v>
      </c>
      <c r="AS300" s="1111">
        <v>0.21623848001246293</v>
      </c>
      <c r="AT300" s="1111">
        <v>0.17417391726783296</v>
      </c>
      <c r="AU300" s="1111">
        <v>0.17387235701426662</v>
      </c>
      <c r="AV300" s="1111">
        <v>0.17405086355717547</v>
      </c>
      <c r="AW300" s="1111">
        <v>0.17414797867050222</v>
      </c>
      <c r="AX300" s="1111">
        <v>0.1742019071458682</v>
      </c>
      <c r="AY300" s="1111">
        <v>0.17424460447261514</v>
      </c>
      <c r="AZ300" s="1111">
        <v>0.17424460447261514</v>
      </c>
      <c r="BA300" s="1111">
        <v>0.78380654986820564</v>
      </c>
      <c r="BB300" s="1111">
        <v>0.53600599682533889</v>
      </c>
      <c r="BC300" s="1111">
        <v>0.27202459934805101</v>
      </c>
      <c r="BD300" s="1111">
        <v>9.2407848124680003E-2</v>
      </c>
      <c r="BE300" s="1111">
        <v>5.3855206187384659E-2</v>
      </c>
      <c r="BF300" s="1111">
        <v>5.3484369350549135E-2</v>
      </c>
      <c r="BG300" s="1111">
        <v>5.3574190403462112E-2</v>
      </c>
      <c r="BH300" s="1111">
        <v>5.3621853833392817E-2</v>
      </c>
      <c r="BI300" s="1111">
        <v>5.3649355082663448E-2</v>
      </c>
      <c r="BJ300" s="1111">
        <v>5.3668193122606657E-2</v>
      </c>
      <c r="BK300" s="1111">
        <v>5.3668193122606657E-2</v>
      </c>
      <c r="BL300" s="1111">
        <v>5.1387534693825661</v>
      </c>
      <c r="BM300" s="1111">
        <v>4.0233172045380892</v>
      </c>
      <c r="BN300" s="1111">
        <v>2.4555309784213346</v>
      </c>
      <c r="BO300" s="1111">
        <v>1.6419671875666322</v>
      </c>
      <c r="BP300" s="1111">
        <v>1.4340856634374315</v>
      </c>
      <c r="BQ300" s="1111">
        <v>1.4388489912345059</v>
      </c>
      <c r="BR300" s="1111">
        <v>1.4443488766397461</v>
      </c>
      <c r="BS300" s="1111">
        <v>1.4481309576729999</v>
      </c>
      <c r="BT300" s="1111">
        <v>1.4489783910475467</v>
      </c>
      <c r="BU300" s="1111">
        <v>1.4496637558519092</v>
      </c>
      <c r="BV300" s="1111">
        <v>1.4496637558519092</v>
      </c>
      <c r="BW300" s="1111">
        <v>1.5745497075673587</v>
      </c>
      <c r="BX300" s="1111">
        <v>1.2969093569761676</v>
      </c>
      <c r="BY300" s="1111">
        <v>0.82698877434455342</v>
      </c>
      <c r="BZ300" s="1111">
        <v>0.49979063528883361</v>
      </c>
      <c r="CA300" s="1111">
        <v>0.41776137783832823</v>
      </c>
      <c r="CB300" s="1111">
        <v>0.41781676522934341</v>
      </c>
      <c r="CC300" s="1111">
        <v>0.41882281946070216</v>
      </c>
      <c r="CD300" s="1111">
        <v>0.41944815397952351</v>
      </c>
      <c r="CE300" s="1111">
        <v>0.41973042953794587</v>
      </c>
      <c r="CF300" s="1111">
        <v>0.41998660871958804</v>
      </c>
      <c r="CG300" s="1111">
        <v>0.41998660871958804</v>
      </c>
      <c r="CH300" s="1111">
        <v>3.4412371683517198E-2</v>
      </c>
      <c r="CI300" s="1111">
        <v>3.4493337806388705E-2</v>
      </c>
      <c r="CJ300" s="1111">
        <v>3.3256899548670331E-2</v>
      </c>
      <c r="CK300" s="1111">
        <v>3.2082083001586562E-2</v>
      </c>
      <c r="CL300" s="1111">
        <v>3.1312086208570782E-2</v>
      </c>
      <c r="CM300" s="1111">
        <v>3.1290316795849253E-2</v>
      </c>
      <c r="CN300" s="1111">
        <v>3.1312654731235907E-2</v>
      </c>
      <c r="CO300" s="1111">
        <v>3.1325169678549016E-2</v>
      </c>
      <c r="CP300" s="1111">
        <v>3.1331810091919626E-2</v>
      </c>
      <c r="CQ300" s="1111">
        <v>3.1337948548338782E-2</v>
      </c>
      <c r="CR300" s="1111">
        <v>3.1337948548338782E-2</v>
      </c>
      <c r="CS300" s="1111">
        <v>22.703522228201898</v>
      </c>
      <c r="CT300" s="1111">
        <v>15.601382092822385</v>
      </c>
      <c r="CU300" s="1111">
        <v>8.577116560090742</v>
      </c>
      <c r="CV300" s="1111">
        <v>5.0009823332358678</v>
      </c>
      <c r="CW300" s="1111">
        <v>3.4699121051484361</v>
      </c>
      <c r="CX300" s="1111">
        <v>3.4534810753551963</v>
      </c>
      <c r="CY300" s="1111">
        <v>3.460993600313981</v>
      </c>
      <c r="CZ300" s="1111">
        <v>3.4655493103568138</v>
      </c>
      <c r="DA300" s="1111">
        <v>3.4680890856958073</v>
      </c>
      <c r="DB300" s="1111">
        <v>3.4701473057536147</v>
      </c>
      <c r="DC300" s="1111">
        <v>3.4701473057536147</v>
      </c>
      <c r="DD300" s="1111">
        <v>0.4945430888463242</v>
      </c>
      <c r="DE300" s="1111">
        <v>0.32829327347775644</v>
      </c>
      <c r="DF300" s="1111">
        <v>0.14960574174273675</v>
      </c>
      <c r="DG300" s="1111">
        <v>2.9569012744112923E-2</v>
      </c>
      <c r="DH300" s="1111">
        <v>4.3350830020119739E-3</v>
      </c>
      <c r="DI300" s="1111">
        <v>4.3042966120024392E-3</v>
      </c>
      <c r="DJ300" s="1111">
        <v>4.3142283064197227E-3</v>
      </c>
      <c r="DK300" s="1111">
        <v>4.319554170308844E-3</v>
      </c>
      <c r="DL300" s="1111">
        <v>4.322577514343783E-3</v>
      </c>
      <c r="DM300" s="1111">
        <v>4.3247838315264306E-3</v>
      </c>
      <c r="DN300" s="1111">
        <v>4.3247838315264306E-3</v>
      </c>
      <c r="DO300" s="1111">
        <v>0.18477974927701987</v>
      </c>
      <c r="DP300" s="1111">
        <v>0.13009291312126903</v>
      </c>
      <c r="DQ300" s="1111">
        <v>6.3452403207873098E-2</v>
      </c>
      <c r="DR300" s="1111">
        <v>1.7300850078823388E-2</v>
      </c>
      <c r="DS300" s="1111">
        <v>7.8706826313257854E-3</v>
      </c>
      <c r="DT300" s="1111">
        <v>7.8183195381436987E-3</v>
      </c>
      <c r="DU300" s="1111">
        <v>7.8365133898576217E-3</v>
      </c>
      <c r="DV300" s="1111">
        <v>7.8462932937248941E-3</v>
      </c>
      <c r="DW300" s="1111">
        <v>7.8518253853731325E-3</v>
      </c>
      <c r="DX300" s="1111">
        <v>7.855915828973872E-3</v>
      </c>
      <c r="DY300" s="1111">
        <v>7.855915828973872E-3</v>
      </c>
      <c r="DZ300" s="1111">
        <v>4.5877432215591504E-3</v>
      </c>
      <c r="EA300" s="1111">
        <v>0.14060814341172437</v>
      </c>
      <c r="EB300" s="1111">
        <v>0.27236586109339539</v>
      </c>
      <c r="EC300" s="1111">
        <v>0.36075631276742187</v>
      </c>
      <c r="ED300" s="1111">
        <v>0.35534804571586109</v>
      </c>
      <c r="EE300" s="1111">
        <v>0.35635073301801812</v>
      </c>
      <c r="EF300" s="1111">
        <v>0.35730473706314991</v>
      </c>
      <c r="EG300" s="1111">
        <v>0.35786861330646652</v>
      </c>
      <c r="EH300" s="1111">
        <v>0.35811510437223248</v>
      </c>
      <c r="EI300" s="1111">
        <v>0.35833785402503204</v>
      </c>
      <c r="EJ300" s="1111">
        <v>0.35833785402503204</v>
      </c>
      <c r="EK300" s="1111">
        <v>1965.1889012714585</v>
      </c>
      <c r="EL300" s="1111">
        <f t="shared" si="470"/>
        <v>1981.0118914238521</v>
      </c>
      <c r="EM300" s="1111">
        <f t="shared" si="471"/>
        <v>1931.9559340984956</v>
      </c>
      <c r="EN300" s="1111">
        <f t="shared" si="472"/>
        <v>1831.3482623049147</v>
      </c>
      <c r="EO300" s="1111">
        <f t="shared" si="473"/>
        <v>1750.2688478981618</v>
      </c>
      <c r="EP300" s="1111">
        <f t="shared" si="474"/>
        <v>1718.4457792039377</v>
      </c>
      <c r="EQ300" s="1111">
        <f t="shared" si="475"/>
        <v>1718.8799443907076</v>
      </c>
      <c r="ER300" s="1111">
        <f t="shared" si="476"/>
        <v>1720.2113144765049</v>
      </c>
      <c r="ES300" s="1111">
        <f t="shared" si="477"/>
        <v>1720.8953211916187</v>
      </c>
      <c r="ET300" s="1111">
        <f t="shared" si="478"/>
        <v>1721.527987337922</v>
      </c>
      <c r="EU300" s="1111">
        <f t="shared" si="479"/>
        <v>1721.527987337922</v>
      </c>
      <c r="EV300" s="1111">
        <v>22.703522228201898</v>
      </c>
      <c r="EW300" s="1111">
        <f t="shared" si="460"/>
        <v>15.601382092822385</v>
      </c>
      <c r="EX300" s="1111">
        <f t="shared" si="461"/>
        <v>8.577116560090742</v>
      </c>
      <c r="EY300" s="1111">
        <f t="shared" si="462"/>
        <v>5.0009823332358678</v>
      </c>
      <c r="EZ300" s="1111">
        <f t="shared" si="463"/>
        <v>3.4699121051484361</v>
      </c>
      <c r="FA300" s="1111">
        <f t="shared" si="464"/>
        <v>3.4534810753551963</v>
      </c>
      <c r="FB300" s="1111">
        <f t="shared" si="465"/>
        <v>3.460993600313981</v>
      </c>
      <c r="FC300" s="1111">
        <f t="shared" si="466"/>
        <v>3.4655493103568138</v>
      </c>
      <c r="FD300" s="1111">
        <f t="shared" si="467"/>
        <v>3.4680890856958073</v>
      </c>
      <c r="FE300" s="1111">
        <f t="shared" si="468"/>
        <v>3.4701473057536147</v>
      </c>
      <c r="FF300" s="1111">
        <f t="shared" si="469"/>
        <v>3.4701473057536147</v>
      </c>
      <c r="FG300" s="1111">
        <f t="shared" si="389"/>
        <v>0.1576612869755992</v>
      </c>
      <c r="FH300" s="1111">
        <f t="shared" si="390"/>
        <v>1.796094842686706E-2</v>
      </c>
      <c r="FI300" s="1111">
        <f t="shared" si="391"/>
        <v>1.7061319784506059E-2</v>
      </c>
      <c r="FJ300" s="1111">
        <f t="shared" si="392"/>
        <v>1.5834721864571695E-2</v>
      </c>
      <c r="FK300" s="1111">
        <f t="shared" si="393"/>
        <v>1.5060454202804906E-2</v>
      </c>
      <c r="FL300" s="1111">
        <f t="shared" si="394"/>
        <v>1.4786751356467901E-2</v>
      </c>
      <c r="FM300" s="1111">
        <f t="shared" si="395"/>
        <v>1.4790501540140277E-2</v>
      </c>
      <c r="FN300" s="1111">
        <f t="shared" si="396"/>
        <v>1.4801961118866089E-2</v>
      </c>
      <c r="FO300" s="1111">
        <f t="shared" si="397"/>
        <v>1.4807850894312479E-2</v>
      </c>
      <c r="FP300" s="1111">
        <f t="shared" si="398"/>
        <v>1.481329499118827E-2</v>
      </c>
      <c r="FQ300" s="1111">
        <f t="shared" si="399"/>
        <v>1.481329499118827E-2</v>
      </c>
      <c r="FR300" s="1111">
        <f t="shared" si="449"/>
        <v>0.96752702664537515</v>
      </c>
      <c r="FS300" s="1111">
        <f t="shared" si="450"/>
        <v>0.69896376537907456</v>
      </c>
      <c r="FT300" s="1111">
        <f t="shared" si="451"/>
        <v>0.41166412009556291</v>
      </c>
      <c r="FU300" s="1111">
        <f t="shared" si="452"/>
        <v>0.21623848001246293</v>
      </c>
      <c r="FV300" s="1111">
        <f t="shared" si="453"/>
        <v>0.17417391726783296</v>
      </c>
      <c r="FW300" s="1111">
        <f t="shared" si="454"/>
        <v>0.17387235701426662</v>
      </c>
      <c r="FX300" s="1111">
        <f t="shared" si="455"/>
        <v>0.17405086355717547</v>
      </c>
      <c r="FY300" s="1111">
        <f t="shared" si="456"/>
        <v>0.17414797867050222</v>
      </c>
      <c r="FZ300" s="1111">
        <f t="shared" si="457"/>
        <v>0.1742019071458682</v>
      </c>
      <c r="GA300" s="1111">
        <f t="shared" si="458"/>
        <v>0.17424460447261514</v>
      </c>
      <c r="GB300" s="1111">
        <f t="shared" si="459"/>
        <v>0.17424460447261514</v>
      </c>
      <c r="GC300" s="1111">
        <f t="shared" si="480"/>
        <v>0.78380654986820564</v>
      </c>
      <c r="GD300" s="1111">
        <f t="shared" si="481"/>
        <v>0.53600599682533889</v>
      </c>
      <c r="GE300" s="1111">
        <f t="shared" si="482"/>
        <v>0.27202459934805101</v>
      </c>
      <c r="GF300" s="1111">
        <f t="shared" si="483"/>
        <v>9.2407848124680003E-2</v>
      </c>
      <c r="GG300" s="1111">
        <f t="shared" si="484"/>
        <v>5.3855206187384659E-2</v>
      </c>
      <c r="GH300" s="1111">
        <f t="shared" si="485"/>
        <v>5.3484369350549135E-2</v>
      </c>
      <c r="GI300" s="1111">
        <f t="shared" si="486"/>
        <v>5.3574190403462112E-2</v>
      </c>
      <c r="GJ300" s="1111">
        <f t="shared" si="487"/>
        <v>5.3621853833392817E-2</v>
      </c>
      <c r="GK300" s="1111">
        <f t="shared" si="488"/>
        <v>5.3649355082663448E-2</v>
      </c>
      <c r="GL300" s="1111">
        <f t="shared" si="489"/>
        <v>5.3668193122606657E-2</v>
      </c>
      <c r="GM300" s="1111">
        <f t="shared" si="490"/>
        <v>5.3668193122606657E-2</v>
      </c>
    </row>
    <row r="301" spans="1:195" x14ac:dyDescent="0.2">
      <c r="A301" s="1071" t="str">
        <f>Technologies!B180</f>
        <v>*R2,R3,R4,R5,R6</v>
      </c>
      <c r="B301" s="1071" t="str">
        <f>Technologies!C180</f>
        <v>THLB20IM</v>
      </c>
      <c r="C301" s="1071" t="str">
        <f>Technologies!D180</f>
        <v>Heavy Truck, Long Haul, Improved B20</v>
      </c>
      <c r="D301" s="1071" t="str">
        <f>NewTech!D128</f>
        <v>bn-vmt, bn-vmt/a</v>
      </c>
      <c r="E301" s="1071" t="str">
        <f>Commodities!C$62</f>
        <v>THB20X</v>
      </c>
      <c r="F301" s="1071" t="s">
        <v>100</v>
      </c>
      <c r="G301" s="1110" t="s">
        <v>506</v>
      </c>
      <c r="H301" s="1110" t="s">
        <v>507</v>
      </c>
      <c r="I301" s="1112">
        <v>1</v>
      </c>
      <c r="J301" s="1111" t="str">
        <f t="shared" si="302"/>
        <v>Heavy duty long haul truck-B20</v>
      </c>
      <c r="K301" s="1111">
        <v>1981.0118914238521</v>
      </c>
      <c r="L301" s="1111">
        <v>1931.9559340984956</v>
      </c>
      <c r="M301" s="1111">
        <v>1831.3482623049147</v>
      </c>
      <c r="N301" s="1111">
        <v>1750.2688478981618</v>
      </c>
      <c r="O301" s="1111">
        <v>1718.4457792039377</v>
      </c>
      <c r="P301" s="1111">
        <v>1718.8799443907076</v>
      </c>
      <c r="Q301" s="1111">
        <v>1720.2113144765049</v>
      </c>
      <c r="R301" s="1111">
        <v>1720.8953211916187</v>
      </c>
      <c r="S301" s="1111">
        <v>1721.527987337922</v>
      </c>
      <c r="T301" s="1111">
        <f t="shared" si="491"/>
        <v>1721.527987337922</v>
      </c>
      <c r="U301" s="1111">
        <v>15.601382092822385</v>
      </c>
      <c r="V301" s="1111">
        <v>8.577116560090742</v>
      </c>
      <c r="W301" s="1111">
        <v>5.0009823332358678</v>
      </c>
      <c r="X301" s="1111">
        <v>3.4699121051484361</v>
      </c>
      <c r="Y301" s="1111">
        <v>3.4534810753551963</v>
      </c>
      <c r="Z301" s="1111">
        <v>3.460993600313981</v>
      </c>
      <c r="AA301" s="1111">
        <v>3.4655493103568138</v>
      </c>
      <c r="AB301" s="1111">
        <v>3.4680890856958073</v>
      </c>
      <c r="AC301" s="1111">
        <v>3.4701473057536147</v>
      </c>
      <c r="AD301" s="1111">
        <f t="shared" si="448"/>
        <v>3.4701473057536147</v>
      </c>
      <c r="AE301" s="1111">
        <v>0.1576612869755992</v>
      </c>
      <c r="AF301" s="1111">
        <v>1.796094842686706E-2</v>
      </c>
      <c r="AG301" s="1111">
        <v>1.7061319784506059E-2</v>
      </c>
      <c r="AH301" s="1111">
        <v>1.5834721864571695E-2</v>
      </c>
      <c r="AI301" s="1111">
        <v>1.5060454202804906E-2</v>
      </c>
      <c r="AJ301" s="1111">
        <v>1.4786751356467901E-2</v>
      </c>
      <c r="AK301" s="1111">
        <v>1.4790501540140277E-2</v>
      </c>
      <c r="AL301" s="1111">
        <v>1.4801961118866089E-2</v>
      </c>
      <c r="AM301" s="1111">
        <v>1.4807850894312479E-2</v>
      </c>
      <c r="AN301" s="1111">
        <v>1.481329499118827E-2</v>
      </c>
      <c r="AO301" s="1111">
        <v>1.481329499118827E-2</v>
      </c>
      <c r="AP301" s="1111">
        <v>0.96752702664537515</v>
      </c>
      <c r="AQ301" s="1111">
        <v>0.69896376537907456</v>
      </c>
      <c r="AR301" s="1111">
        <v>0.41166412009556291</v>
      </c>
      <c r="AS301" s="1111">
        <v>0.21623848001246293</v>
      </c>
      <c r="AT301" s="1111">
        <v>0.17417391726783296</v>
      </c>
      <c r="AU301" s="1111">
        <v>0.17387235701426662</v>
      </c>
      <c r="AV301" s="1111">
        <v>0.17405086355717547</v>
      </c>
      <c r="AW301" s="1111">
        <v>0.17414797867050222</v>
      </c>
      <c r="AX301" s="1111">
        <v>0.1742019071458682</v>
      </c>
      <c r="AY301" s="1111">
        <v>0.17424460447261514</v>
      </c>
      <c r="AZ301" s="1111">
        <v>0.17424460447261514</v>
      </c>
      <c r="BA301" s="1111">
        <v>0.78380654986820564</v>
      </c>
      <c r="BB301" s="1111">
        <v>0.53600599682533889</v>
      </c>
      <c r="BC301" s="1111">
        <v>0.27202459934805101</v>
      </c>
      <c r="BD301" s="1111">
        <v>9.2407848124680003E-2</v>
      </c>
      <c r="BE301" s="1111">
        <v>5.3855206187384659E-2</v>
      </c>
      <c r="BF301" s="1111">
        <v>5.3484369350549135E-2</v>
      </c>
      <c r="BG301" s="1111">
        <v>5.3574190403462112E-2</v>
      </c>
      <c r="BH301" s="1111">
        <v>5.3621853833392817E-2</v>
      </c>
      <c r="BI301" s="1111">
        <v>5.3649355082663448E-2</v>
      </c>
      <c r="BJ301" s="1111">
        <v>5.3668193122606657E-2</v>
      </c>
      <c r="BK301" s="1111">
        <v>5.3668193122606657E-2</v>
      </c>
      <c r="BL301" s="1111">
        <v>5.1387534693825661</v>
      </c>
      <c r="BM301" s="1111">
        <v>4.0233172045380892</v>
      </c>
      <c r="BN301" s="1111">
        <v>2.4555309784213346</v>
      </c>
      <c r="BO301" s="1111">
        <v>1.6419671875666322</v>
      </c>
      <c r="BP301" s="1111">
        <v>1.4340856634374315</v>
      </c>
      <c r="BQ301" s="1111">
        <v>1.4388489912345059</v>
      </c>
      <c r="BR301" s="1111">
        <v>1.4443488766397461</v>
      </c>
      <c r="BS301" s="1111">
        <v>1.4481309576729999</v>
      </c>
      <c r="BT301" s="1111">
        <v>1.4489783910475467</v>
      </c>
      <c r="BU301" s="1111">
        <v>1.4496637558519092</v>
      </c>
      <c r="BV301" s="1111">
        <v>1.4496637558519092</v>
      </c>
      <c r="BW301" s="1111">
        <v>1.5745497075673587</v>
      </c>
      <c r="BX301" s="1111">
        <v>1.2969093569761676</v>
      </c>
      <c r="BY301" s="1111">
        <v>0.82698877434455342</v>
      </c>
      <c r="BZ301" s="1111">
        <v>0.49979063528883361</v>
      </c>
      <c r="CA301" s="1111">
        <v>0.41776137783832823</v>
      </c>
      <c r="CB301" s="1111">
        <v>0.41781676522934341</v>
      </c>
      <c r="CC301" s="1111">
        <v>0.41882281946070216</v>
      </c>
      <c r="CD301" s="1111">
        <v>0.41944815397952351</v>
      </c>
      <c r="CE301" s="1111">
        <v>0.41973042953794587</v>
      </c>
      <c r="CF301" s="1111">
        <v>0.41998660871958804</v>
      </c>
      <c r="CG301" s="1111">
        <v>0.41998660871958804</v>
      </c>
      <c r="CH301" s="1111">
        <v>3.4412371683517198E-2</v>
      </c>
      <c r="CI301" s="1111">
        <v>3.4493337806388705E-2</v>
      </c>
      <c r="CJ301" s="1111">
        <v>3.3256899548670331E-2</v>
      </c>
      <c r="CK301" s="1111">
        <v>3.2082083001586562E-2</v>
      </c>
      <c r="CL301" s="1111">
        <v>3.1312086208570782E-2</v>
      </c>
      <c r="CM301" s="1111">
        <v>3.1290316795849253E-2</v>
      </c>
      <c r="CN301" s="1111">
        <v>3.1312654731235907E-2</v>
      </c>
      <c r="CO301" s="1111">
        <v>3.1325169678549016E-2</v>
      </c>
      <c r="CP301" s="1111">
        <v>3.1331810091919626E-2</v>
      </c>
      <c r="CQ301" s="1111">
        <v>3.1337948548338782E-2</v>
      </c>
      <c r="CR301" s="1111">
        <v>3.1337948548338782E-2</v>
      </c>
      <c r="CS301" s="1111">
        <v>22.703522228201898</v>
      </c>
      <c r="CT301" s="1111">
        <v>15.601382092822385</v>
      </c>
      <c r="CU301" s="1111">
        <v>8.577116560090742</v>
      </c>
      <c r="CV301" s="1111">
        <v>5.0009823332358678</v>
      </c>
      <c r="CW301" s="1111">
        <v>3.4699121051484361</v>
      </c>
      <c r="CX301" s="1111">
        <v>3.4534810753551963</v>
      </c>
      <c r="CY301" s="1111">
        <v>3.460993600313981</v>
      </c>
      <c r="CZ301" s="1111">
        <v>3.4655493103568138</v>
      </c>
      <c r="DA301" s="1111">
        <v>3.4680890856958073</v>
      </c>
      <c r="DB301" s="1111">
        <v>3.4701473057536147</v>
      </c>
      <c r="DC301" s="1111">
        <v>3.4701473057536147</v>
      </c>
      <c r="DD301" s="1111">
        <v>0.4945430888463242</v>
      </c>
      <c r="DE301" s="1111">
        <v>0.32829327347775644</v>
      </c>
      <c r="DF301" s="1111">
        <v>0.14960574174273675</v>
      </c>
      <c r="DG301" s="1111">
        <v>2.9569012744112923E-2</v>
      </c>
      <c r="DH301" s="1111">
        <v>4.3350830020119739E-3</v>
      </c>
      <c r="DI301" s="1111">
        <v>4.3042966120024392E-3</v>
      </c>
      <c r="DJ301" s="1111">
        <v>4.3142283064197227E-3</v>
      </c>
      <c r="DK301" s="1111">
        <v>4.319554170308844E-3</v>
      </c>
      <c r="DL301" s="1111">
        <v>4.322577514343783E-3</v>
      </c>
      <c r="DM301" s="1111">
        <v>4.3247838315264306E-3</v>
      </c>
      <c r="DN301" s="1111">
        <v>4.3247838315264306E-3</v>
      </c>
      <c r="DO301" s="1111">
        <v>0.18477974927701987</v>
      </c>
      <c r="DP301" s="1111">
        <v>0.13009291312126903</v>
      </c>
      <c r="DQ301" s="1111">
        <v>6.3452403207873098E-2</v>
      </c>
      <c r="DR301" s="1111">
        <v>1.7300850078823388E-2</v>
      </c>
      <c r="DS301" s="1111">
        <v>7.8706826313257854E-3</v>
      </c>
      <c r="DT301" s="1111">
        <v>7.8183195381436987E-3</v>
      </c>
      <c r="DU301" s="1111">
        <v>7.8365133898576217E-3</v>
      </c>
      <c r="DV301" s="1111">
        <v>7.8462932937248941E-3</v>
      </c>
      <c r="DW301" s="1111">
        <v>7.8518253853731325E-3</v>
      </c>
      <c r="DX301" s="1111">
        <v>7.855915828973872E-3</v>
      </c>
      <c r="DY301" s="1111">
        <v>7.855915828973872E-3</v>
      </c>
      <c r="DZ301" s="1111">
        <v>4.5877432215591504E-3</v>
      </c>
      <c r="EA301" s="1111">
        <v>0.14060814341172437</v>
      </c>
      <c r="EB301" s="1111">
        <v>0.27236586109339539</v>
      </c>
      <c r="EC301" s="1111">
        <v>0.36075631276742187</v>
      </c>
      <c r="ED301" s="1111">
        <v>0.35534804571586109</v>
      </c>
      <c r="EE301" s="1111">
        <v>0.35635073301801812</v>
      </c>
      <c r="EF301" s="1111">
        <v>0.35730473706314991</v>
      </c>
      <c r="EG301" s="1111">
        <v>0.35786861330646652</v>
      </c>
      <c r="EH301" s="1111">
        <v>0.35811510437223248</v>
      </c>
      <c r="EI301" s="1111">
        <v>0.35833785402503204</v>
      </c>
      <c r="EJ301" s="1111">
        <v>0.35833785402503204</v>
      </c>
      <c r="EK301" s="1111">
        <v>1965.1889012714585</v>
      </c>
      <c r="EL301" s="1111">
        <f t="shared" si="470"/>
        <v>1981.0118914238521</v>
      </c>
      <c r="EM301" s="1111">
        <f t="shared" si="471"/>
        <v>1931.9559340984956</v>
      </c>
      <c r="EN301" s="1111">
        <f t="shared" si="472"/>
        <v>1831.3482623049147</v>
      </c>
      <c r="EO301" s="1111">
        <f t="shared" si="473"/>
        <v>1750.2688478981618</v>
      </c>
      <c r="EP301" s="1111">
        <f t="shared" si="474"/>
        <v>1718.4457792039377</v>
      </c>
      <c r="EQ301" s="1111">
        <f t="shared" si="475"/>
        <v>1718.8799443907076</v>
      </c>
      <c r="ER301" s="1111">
        <f t="shared" si="476"/>
        <v>1720.2113144765049</v>
      </c>
      <c r="ES301" s="1111">
        <f t="shared" si="477"/>
        <v>1720.8953211916187</v>
      </c>
      <c r="ET301" s="1111">
        <f t="shared" si="478"/>
        <v>1721.527987337922</v>
      </c>
      <c r="EU301" s="1111">
        <f t="shared" si="479"/>
        <v>1721.527987337922</v>
      </c>
      <c r="EV301" s="1111">
        <v>22.703522228201898</v>
      </c>
      <c r="EW301" s="1111">
        <f t="shared" si="460"/>
        <v>15.601382092822385</v>
      </c>
      <c r="EX301" s="1111">
        <f t="shared" si="461"/>
        <v>8.577116560090742</v>
      </c>
      <c r="EY301" s="1111">
        <f t="shared" si="462"/>
        <v>5.0009823332358678</v>
      </c>
      <c r="EZ301" s="1111">
        <f t="shared" si="463"/>
        <v>3.4699121051484361</v>
      </c>
      <c r="FA301" s="1111">
        <f t="shared" si="464"/>
        <v>3.4534810753551963</v>
      </c>
      <c r="FB301" s="1111">
        <f t="shared" si="465"/>
        <v>3.460993600313981</v>
      </c>
      <c r="FC301" s="1111">
        <f t="shared" si="466"/>
        <v>3.4655493103568138</v>
      </c>
      <c r="FD301" s="1111">
        <f t="shared" si="467"/>
        <v>3.4680890856958073</v>
      </c>
      <c r="FE301" s="1111">
        <f t="shared" si="468"/>
        <v>3.4701473057536147</v>
      </c>
      <c r="FF301" s="1111">
        <f t="shared" si="469"/>
        <v>3.4701473057536147</v>
      </c>
      <c r="FG301" s="1111">
        <f t="shared" si="389"/>
        <v>0.1576612869755992</v>
      </c>
      <c r="FH301" s="1111">
        <f t="shared" si="390"/>
        <v>1.796094842686706E-2</v>
      </c>
      <c r="FI301" s="1111">
        <f t="shared" si="391"/>
        <v>1.7061319784506059E-2</v>
      </c>
      <c r="FJ301" s="1111">
        <f t="shared" si="392"/>
        <v>1.5834721864571695E-2</v>
      </c>
      <c r="FK301" s="1111">
        <f t="shared" si="393"/>
        <v>1.5060454202804906E-2</v>
      </c>
      <c r="FL301" s="1111">
        <f t="shared" si="394"/>
        <v>1.4786751356467901E-2</v>
      </c>
      <c r="FM301" s="1111">
        <f t="shared" si="395"/>
        <v>1.4790501540140277E-2</v>
      </c>
      <c r="FN301" s="1111">
        <f t="shared" si="396"/>
        <v>1.4801961118866089E-2</v>
      </c>
      <c r="FO301" s="1111">
        <f t="shared" si="397"/>
        <v>1.4807850894312479E-2</v>
      </c>
      <c r="FP301" s="1111">
        <f t="shared" si="398"/>
        <v>1.481329499118827E-2</v>
      </c>
      <c r="FQ301" s="1111">
        <f t="shared" si="399"/>
        <v>1.481329499118827E-2</v>
      </c>
      <c r="FR301" s="1111">
        <f t="shared" si="449"/>
        <v>0.96752702664537515</v>
      </c>
      <c r="FS301" s="1111">
        <f t="shared" si="450"/>
        <v>0.69896376537907456</v>
      </c>
      <c r="FT301" s="1111">
        <f t="shared" si="451"/>
        <v>0.41166412009556291</v>
      </c>
      <c r="FU301" s="1111">
        <f t="shared" si="452"/>
        <v>0.21623848001246293</v>
      </c>
      <c r="FV301" s="1111">
        <f t="shared" si="453"/>
        <v>0.17417391726783296</v>
      </c>
      <c r="FW301" s="1111">
        <f t="shared" si="454"/>
        <v>0.17387235701426662</v>
      </c>
      <c r="FX301" s="1111">
        <f t="shared" si="455"/>
        <v>0.17405086355717547</v>
      </c>
      <c r="FY301" s="1111">
        <f t="shared" si="456"/>
        <v>0.17414797867050222</v>
      </c>
      <c r="FZ301" s="1111">
        <f t="shared" si="457"/>
        <v>0.1742019071458682</v>
      </c>
      <c r="GA301" s="1111">
        <f t="shared" si="458"/>
        <v>0.17424460447261514</v>
      </c>
      <c r="GB301" s="1111">
        <f t="shared" si="459"/>
        <v>0.17424460447261514</v>
      </c>
      <c r="GC301" s="1111">
        <f t="shared" si="480"/>
        <v>0.78380654986820564</v>
      </c>
      <c r="GD301" s="1111">
        <f t="shared" si="481"/>
        <v>0.53600599682533889</v>
      </c>
      <c r="GE301" s="1111">
        <f t="shared" si="482"/>
        <v>0.27202459934805101</v>
      </c>
      <c r="GF301" s="1111">
        <f t="shared" si="483"/>
        <v>9.2407848124680003E-2</v>
      </c>
      <c r="GG301" s="1111">
        <f t="shared" si="484"/>
        <v>5.3855206187384659E-2</v>
      </c>
      <c r="GH301" s="1111">
        <f t="shared" si="485"/>
        <v>5.3484369350549135E-2</v>
      </c>
      <c r="GI301" s="1111">
        <f t="shared" si="486"/>
        <v>5.3574190403462112E-2</v>
      </c>
      <c r="GJ301" s="1111">
        <f t="shared" si="487"/>
        <v>5.3621853833392817E-2</v>
      </c>
      <c r="GK301" s="1111">
        <f t="shared" si="488"/>
        <v>5.3649355082663448E-2</v>
      </c>
      <c r="GL301" s="1111">
        <f t="shared" si="489"/>
        <v>5.3668193122606657E-2</v>
      </c>
      <c r="GM301" s="1111">
        <f t="shared" si="490"/>
        <v>5.3668193122606657E-2</v>
      </c>
    </row>
    <row r="302" spans="1:195" x14ac:dyDescent="0.2">
      <c r="A302" s="1071" t="str">
        <f>Technologies!B181</f>
        <v>*R2,R3,R4,R5,R6</v>
      </c>
      <c r="B302" s="1071" t="str">
        <f>Technologies!C181</f>
        <v>THLB20ADV</v>
      </c>
      <c r="C302" s="1071" t="str">
        <f>Technologies!D181</f>
        <v>Heavy Truck, Long Haul, Advanced B20</v>
      </c>
      <c r="D302" s="1071" t="str">
        <f>NewTech!D129</f>
        <v>bn-vmt, bn-vmt/a</v>
      </c>
      <c r="E302" s="1071" t="str">
        <f>Commodities!C$62</f>
        <v>THB20X</v>
      </c>
      <c r="F302" s="1071" t="s">
        <v>100</v>
      </c>
      <c r="G302" s="1110" t="s">
        <v>506</v>
      </c>
      <c r="H302" s="1110" t="s">
        <v>507</v>
      </c>
      <c r="I302" s="1112">
        <v>1</v>
      </c>
      <c r="J302" s="1111" t="str">
        <f t="shared" si="302"/>
        <v>Heavy duty long haul truck-B20</v>
      </c>
      <c r="K302" s="1111">
        <v>1981.0118914238521</v>
      </c>
      <c r="L302" s="1111">
        <v>1931.9559340984956</v>
      </c>
      <c r="M302" s="1111">
        <v>1831.3482623049147</v>
      </c>
      <c r="N302" s="1111">
        <v>1750.2688478981618</v>
      </c>
      <c r="O302" s="1111">
        <v>1718.4457792039377</v>
      </c>
      <c r="P302" s="1111">
        <v>1718.8799443907076</v>
      </c>
      <c r="Q302" s="1111">
        <v>1720.2113144765049</v>
      </c>
      <c r="R302" s="1111">
        <v>1720.8953211916187</v>
      </c>
      <c r="S302" s="1111">
        <v>1721.527987337922</v>
      </c>
      <c r="T302" s="1111">
        <f t="shared" si="491"/>
        <v>1721.527987337922</v>
      </c>
      <c r="U302" s="1111">
        <v>15.601382092822385</v>
      </c>
      <c r="V302" s="1111">
        <v>8.577116560090742</v>
      </c>
      <c r="W302" s="1111">
        <v>5.0009823332358678</v>
      </c>
      <c r="X302" s="1111">
        <v>3.4699121051484361</v>
      </c>
      <c r="Y302" s="1111">
        <v>3.4534810753551963</v>
      </c>
      <c r="Z302" s="1111">
        <v>3.460993600313981</v>
      </c>
      <c r="AA302" s="1111">
        <v>3.4655493103568138</v>
      </c>
      <c r="AB302" s="1111">
        <v>3.4680890856958073</v>
      </c>
      <c r="AC302" s="1111">
        <v>3.4701473057536147</v>
      </c>
      <c r="AD302" s="1111">
        <f t="shared" si="448"/>
        <v>3.4701473057536147</v>
      </c>
      <c r="AE302" s="1111">
        <v>0.1576612869755992</v>
      </c>
      <c r="AF302" s="1111">
        <v>1.796094842686706E-2</v>
      </c>
      <c r="AG302" s="1111">
        <v>1.7061319784506059E-2</v>
      </c>
      <c r="AH302" s="1111">
        <v>1.5834721864571695E-2</v>
      </c>
      <c r="AI302" s="1111">
        <v>1.5060454202804906E-2</v>
      </c>
      <c r="AJ302" s="1111">
        <v>1.4786751356467901E-2</v>
      </c>
      <c r="AK302" s="1111">
        <v>1.4790501540140277E-2</v>
      </c>
      <c r="AL302" s="1111">
        <v>1.4801961118866089E-2</v>
      </c>
      <c r="AM302" s="1111">
        <v>1.4807850894312479E-2</v>
      </c>
      <c r="AN302" s="1111">
        <v>1.481329499118827E-2</v>
      </c>
      <c r="AO302" s="1111">
        <v>1.481329499118827E-2</v>
      </c>
      <c r="AP302" s="1111">
        <v>0.96752702664537515</v>
      </c>
      <c r="AQ302" s="1111">
        <v>0.69896376537907456</v>
      </c>
      <c r="AR302" s="1111">
        <v>0.41166412009556291</v>
      </c>
      <c r="AS302" s="1111">
        <v>0.21623848001246293</v>
      </c>
      <c r="AT302" s="1111">
        <v>0.17417391726783296</v>
      </c>
      <c r="AU302" s="1111">
        <v>0.17387235701426662</v>
      </c>
      <c r="AV302" s="1111">
        <v>0.17405086355717547</v>
      </c>
      <c r="AW302" s="1111">
        <v>0.17414797867050222</v>
      </c>
      <c r="AX302" s="1111">
        <v>0.1742019071458682</v>
      </c>
      <c r="AY302" s="1111">
        <v>0.17424460447261514</v>
      </c>
      <c r="AZ302" s="1111">
        <v>0.17424460447261514</v>
      </c>
      <c r="BA302" s="1111">
        <v>0.78380654986820564</v>
      </c>
      <c r="BB302" s="1111">
        <v>0.53600599682533889</v>
      </c>
      <c r="BC302" s="1111">
        <v>0.27202459934805101</v>
      </c>
      <c r="BD302" s="1111">
        <v>9.2407848124680003E-2</v>
      </c>
      <c r="BE302" s="1111">
        <v>5.3855206187384659E-2</v>
      </c>
      <c r="BF302" s="1111">
        <v>5.3484369350549135E-2</v>
      </c>
      <c r="BG302" s="1111">
        <v>5.3574190403462112E-2</v>
      </c>
      <c r="BH302" s="1111">
        <v>5.3621853833392817E-2</v>
      </c>
      <c r="BI302" s="1111">
        <v>5.3649355082663448E-2</v>
      </c>
      <c r="BJ302" s="1111">
        <v>5.3668193122606657E-2</v>
      </c>
      <c r="BK302" s="1111">
        <v>5.3668193122606657E-2</v>
      </c>
      <c r="BL302" s="1111">
        <v>5.1387534693825661</v>
      </c>
      <c r="BM302" s="1111">
        <v>4.0233172045380892</v>
      </c>
      <c r="BN302" s="1111">
        <v>2.4555309784213346</v>
      </c>
      <c r="BO302" s="1111">
        <v>1.6419671875666322</v>
      </c>
      <c r="BP302" s="1111">
        <v>1.4340856634374315</v>
      </c>
      <c r="BQ302" s="1111">
        <v>1.4388489912345059</v>
      </c>
      <c r="BR302" s="1111">
        <v>1.4443488766397461</v>
      </c>
      <c r="BS302" s="1111">
        <v>1.4481309576729999</v>
      </c>
      <c r="BT302" s="1111">
        <v>1.4489783910475467</v>
      </c>
      <c r="BU302" s="1111">
        <v>1.4496637558519092</v>
      </c>
      <c r="BV302" s="1111">
        <v>1.4496637558519092</v>
      </c>
      <c r="BW302" s="1111">
        <v>1.5745497075673587</v>
      </c>
      <c r="BX302" s="1111">
        <v>1.2969093569761676</v>
      </c>
      <c r="BY302" s="1111">
        <v>0.82698877434455342</v>
      </c>
      <c r="BZ302" s="1111">
        <v>0.49979063528883361</v>
      </c>
      <c r="CA302" s="1111">
        <v>0.41776137783832823</v>
      </c>
      <c r="CB302" s="1111">
        <v>0.41781676522934341</v>
      </c>
      <c r="CC302" s="1111">
        <v>0.41882281946070216</v>
      </c>
      <c r="CD302" s="1111">
        <v>0.41944815397952351</v>
      </c>
      <c r="CE302" s="1111">
        <v>0.41973042953794587</v>
      </c>
      <c r="CF302" s="1111">
        <v>0.41998660871958804</v>
      </c>
      <c r="CG302" s="1111">
        <v>0.41998660871958804</v>
      </c>
      <c r="CH302" s="1111">
        <v>3.4412371683517198E-2</v>
      </c>
      <c r="CI302" s="1111">
        <v>3.4493337806388705E-2</v>
      </c>
      <c r="CJ302" s="1111">
        <v>3.3256899548670331E-2</v>
      </c>
      <c r="CK302" s="1111">
        <v>3.2082083001586562E-2</v>
      </c>
      <c r="CL302" s="1111">
        <v>3.1312086208570782E-2</v>
      </c>
      <c r="CM302" s="1111">
        <v>3.1290316795849253E-2</v>
      </c>
      <c r="CN302" s="1111">
        <v>3.1312654731235907E-2</v>
      </c>
      <c r="CO302" s="1111">
        <v>3.1325169678549016E-2</v>
      </c>
      <c r="CP302" s="1111">
        <v>3.1331810091919626E-2</v>
      </c>
      <c r="CQ302" s="1111">
        <v>3.1337948548338782E-2</v>
      </c>
      <c r="CR302" s="1111">
        <v>3.1337948548338782E-2</v>
      </c>
      <c r="CS302" s="1111">
        <v>22.703522228201898</v>
      </c>
      <c r="CT302" s="1111">
        <v>15.601382092822385</v>
      </c>
      <c r="CU302" s="1111">
        <v>8.577116560090742</v>
      </c>
      <c r="CV302" s="1111">
        <v>5.0009823332358678</v>
      </c>
      <c r="CW302" s="1111">
        <v>3.4699121051484361</v>
      </c>
      <c r="CX302" s="1111">
        <v>3.4534810753551963</v>
      </c>
      <c r="CY302" s="1111">
        <v>3.460993600313981</v>
      </c>
      <c r="CZ302" s="1111">
        <v>3.4655493103568138</v>
      </c>
      <c r="DA302" s="1111">
        <v>3.4680890856958073</v>
      </c>
      <c r="DB302" s="1111">
        <v>3.4701473057536147</v>
      </c>
      <c r="DC302" s="1111">
        <v>3.4701473057536147</v>
      </c>
      <c r="DD302" s="1111">
        <v>0.4945430888463242</v>
      </c>
      <c r="DE302" s="1111">
        <v>0.32829327347775644</v>
      </c>
      <c r="DF302" s="1111">
        <v>0.14960574174273675</v>
      </c>
      <c r="DG302" s="1111">
        <v>2.9569012744112923E-2</v>
      </c>
      <c r="DH302" s="1111">
        <v>4.3350830020119739E-3</v>
      </c>
      <c r="DI302" s="1111">
        <v>4.3042966120024392E-3</v>
      </c>
      <c r="DJ302" s="1111">
        <v>4.3142283064197227E-3</v>
      </c>
      <c r="DK302" s="1111">
        <v>4.319554170308844E-3</v>
      </c>
      <c r="DL302" s="1111">
        <v>4.322577514343783E-3</v>
      </c>
      <c r="DM302" s="1111">
        <v>4.3247838315264306E-3</v>
      </c>
      <c r="DN302" s="1111">
        <v>4.3247838315264306E-3</v>
      </c>
      <c r="DO302" s="1111">
        <v>0.18477974927701987</v>
      </c>
      <c r="DP302" s="1111">
        <v>0.13009291312126903</v>
      </c>
      <c r="DQ302" s="1111">
        <v>6.3452403207873098E-2</v>
      </c>
      <c r="DR302" s="1111">
        <v>1.7300850078823388E-2</v>
      </c>
      <c r="DS302" s="1111">
        <v>7.8706826313257854E-3</v>
      </c>
      <c r="DT302" s="1111">
        <v>7.8183195381436987E-3</v>
      </c>
      <c r="DU302" s="1111">
        <v>7.8365133898576217E-3</v>
      </c>
      <c r="DV302" s="1111">
        <v>7.8462932937248941E-3</v>
      </c>
      <c r="DW302" s="1111">
        <v>7.8518253853731325E-3</v>
      </c>
      <c r="DX302" s="1111">
        <v>7.855915828973872E-3</v>
      </c>
      <c r="DY302" s="1111">
        <v>7.855915828973872E-3</v>
      </c>
      <c r="DZ302" s="1111">
        <v>4.5877432215591504E-3</v>
      </c>
      <c r="EA302" s="1111">
        <v>0.14060814341172437</v>
      </c>
      <c r="EB302" s="1111">
        <v>0.27236586109339539</v>
      </c>
      <c r="EC302" s="1111">
        <v>0.36075631276742187</v>
      </c>
      <c r="ED302" s="1111">
        <v>0.35534804571586109</v>
      </c>
      <c r="EE302" s="1111">
        <v>0.35635073301801812</v>
      </c>
      <c r="EF302" s="1111">
        <v>0.35730473706314991</v>
      </c>
      <c r="EG302" s="1111">
        <v>0.35786861330646652</v>
      </c>
      <c r="EH302" s="1111">
        <v>0.35811510437223248</v>
      </c>
      <c r="EI302" s="1111">
        <v>0.35833785402503204</v>
      </c>
      <c r="EJ302" s="1111">
        <v>0.35833785402503204</v>
      </c>
      <c r="EK302" s="1111">
        <v>1965.1889012714585</v>
      </c>
      <c r="EL302" s="1111">
        <f t="shared" si="470"/>
        <v>1981.0118914238521</v>
      </c>
      <c r="EM302" s="1111">
        <f t="shared" si="471"/>
        <v>1931.9559340984956</v>
      </c>
      <c r="EN302" s="1111">
        <f t="shared" si="472"/>
        <v>1831.3482623049147</v>
      </c>
      <c r="EO302" s="1111">
        <f t="shared" si="473"/>
        <v>1750.2688478981618</v>
      </c>
      <c r="EP302" s="1111">
        <f t="shared" si="474"/>
        <v>1718.4457792039377</v>
      </c>
      <c r="EQ302" s="1111">
        <f t="shared" si="475"/>
        <v>1718.8799443907076</v>
      </c>
      <c r="ER302" s="1111">
        <f t="shared" si="476"/>
        <v>1720.2113144765049</v>
      </c>
      <c r="ES302" s="1111">
        <f t="shared" si="477"/>
        <v>1720.8953211916187</v>
      </c>
      <c r="ET302" s="1111">
        <f t="shared" si="478"/>
        <v>1721.527987337922</v>
      </c>
      <c r="EU302" s="1111">
        <f t="shared" si="479"/>
        <v>1721.527987337922</v>
      </c>
      <c r="EV302" s="1111">
        <v>22.703522228201898</v>
      </c>
      <c r="EW302" s="1111">
        <f t="shared" si="460"/>
        <v>15.601382092822385</v>
      </c>
      <c r="EX302" s="1111">
        <f t="shared" si="461"/>
        <v>8.577116560090742</v>
      </c>
      <c r="EY302" s="1111">
        <f t="shared" si="462"/>
        <v>5.0009823332358678</v>
      </c>
      <c r="EZ302" s="1111">
        <f t="shared" si="463"/>
        <v>3.4699121051484361</v>
      </c>
      <c r="FA302" s="1111">
        <f t="shared" si="464"/>
        <v>3.4534810753551963</v>
      </c>
      <c r="FB302" s="1111">
        <f t="shared" si="465"/>
        <v>3.460993600313981</v>
      </c>
      <c r="FC302" s="1111">
        <f t="shared" si="466"/>
        <v>3.4655493103568138</v>
      </c>
      <c r="FD302" s="1111">
        <f t="shared" si="467"/>
        <v>3.4680890856958073</v>
      </c>
      <c r="FE302" s="1111">
        <f t="shared" si="468"/>
        <v>3.4701473057536147</v>
      </c>
      <c r="FF302" s="1111">
        <f t="shared" si="469"/>
        <v>3.4701473057536147</v>
      </c>
      <c r="FG302" s="1111">
        <f t="shared" si="389"/>
        <v>0.1576612869755992</v>
      </c>
      <c r="FH302" s="1111">
        <f t="shared" si="390"/>
        <v>1.796094842686706E-2</v>
      </c>
      <c r="FI302" s="1111">
        <f t="shared" si="391"/>
        <v>1.7061319784506059E-2</v>
      </c>
      <c r="FJ302" s="1111">
        <f t="shared" si="392"/>
        <v>1.5834721864571695E-2</v>
      </c>
      <c r="FK302" s="1111">
        <f t="shared" si="393"/>
        <v>1.5060454202804906E-2</v>
      </c>
      <c r="FL302" s="1111">
        <f t="shared" si="394"/>
        <v>1.4786751356467901E-2</v>
      </c>
      <c r="FM302" s="1111">
        <f t="shared" si="395"/>
        <v>1.4790501540140277E-2</v>
      </c>
      <c r="FN302" s="1111">
        <f t="shared" si="396"/>
        <v>1.4801961118866089E-2</v>
      </c>
      <c r="FO302" s="1111">
        <f t="shared" si="397"/>
        <v>1.4807850894312479E-2</v>
      </c>
      <c r="FP302" s="1111">
        <f t="shared" si="398"/>
        <v>1.481329499118827E-2</v>
      </c>
      <c r="FQ302" s="1111">
        <f t="shared" si="399"/>
        <v>1.481329499118827E-2</v>
      </c>
      <c r="FR302" s="1111">
        <f t="shared" si="449"/>
        <v>0.96752702664537515</v>
      </c>
      <c r="FS302" s="1111">
        <f t="shared" si="450"/>
        <v>0.69896376537907456</v>
      </c>
      <c r="FT302" s="1111">
        <f t="shared" si="451"/>
        <v>0.41166412009556291</v>
      </c>
      <c r="FU302" s="1111">
        <f t="shared" si="452"/>
        <v>0.21623848001246293</v>
      </c>
      <c r="FV302" s="1111">
        <f t="shared" si="453"/>
        <v>0.17417391726783296</v>
      </c>
      <c r="FW302" s="1111">
        <f t="shared" si="454"/>
        <v>0.17387235701426662</v>
      </c>
      <c r="FX302" s="1111">
        <f t="shared" si="455"/>
        <v>0.17405086355717547</v>
      </c>
      <c r="FY302" s="1111">
        <f t="shared" si="456"/>
        <v>0.17414797867050222</v>
      </c>
      <c r="FZ302" s="1111">
        <f t="shared" si="457"/>
        <v>0.1742019071458682</v>
      </c>
      <c r="GA302" s="1111">
        <f t="shared" si="458"/>
        <v>0.17424460447261514</v>
      </c>
      <c r="GB302" s="1111">
        <f t="shared" si="459"/>
        <v>0.17424460447261514</v>
      </c>
      <c r="GC302" s="1111">
        <f t="shared" si="480"/>
        <v>0.78380654986820564</v>
      </c>
      <c r="GD302" s="1111">
        <f t="shared" si="481"/>
        <v>0.53600599682533889</v>
      </c>
      <c r="GE302" s="1111">
        <f t="shared" si="482"/>
        <v>0.27202459934805101</v>
      </c>
      <c r="GF302" s="1111">
        <f t="shared" si="483"/>
        <v>9.2407848124680003E-2</v>
      </c>
      <c r="GG302" s="1111">
        <f t="shared" si="484"/>
        <v>5.3855206187384659E-2</v>
      </c>
      <c r="GH302" s="1111">
        <f t="shared" si="485"/>
        <v>5.3484369350549135E-2</v>
      </c>
      <c r="GI302" s="1111">
        <f t="shared" si="486"/>
        <v>5.3574190403462112E-2</v>
      </c>
      <c r="GJ302" s="1111">
        <f t="shared" si="487"/>
        <v>5.3621853833392817E-2</v>
      </c>
      <c r="GK302" s="1111">
        <f t="shared" si="488"/>
        <v>5.3649355082663448E-2</v>
      </c>
      <c r="GL302" s="1111">
        <f t="shared" si="489"/>
        <v>5.3668193122606657E-2</v>
      </c>
      <c r="GM302" s="1111">
        <f t="shared" si="490"/>
        <v>5.3668193122606657E-2</v>
      </c>
    </row>
    <row r="303" spans="1:195" x14ac:dyDescent="0.2">
      <c r="A303" s="1071" t="str">
        <f>Technologies!B182</f>
        <v>*R2,R3,R4,R5,R6</v>
      </c>
      <c r="B303" s="1071" t="str">
        <f>Technologies!C182</f>
        <v>THLB20AH</v>
      </c>
      <c r="C303" s="1071" t="str">
        <f>Technologies!D182</f>
        <v>Heavy Truck, Long Haul, Advanced B20 Hybrid</v>
      </c>
      <c r="D303" s="1071" t="str">
        <f>NewTech!D130</f>
        <v>bn-vmt, bn-vmt/a</v>
      </c>
      <c r="E303" s="1071" t="str">
        <f>Commodities!C$62</f>
        <v>THB20X</v>
      </c>
      <c r="F303" s="1071" t="s">
        <v>100</v>
      </c>
      <c r="G303" s="1110" t="s">
        <v>506</v>
      </c>
      <c r="H303" s="1110" t="s">
        <v>507</v>
      </c>
      <c r="I303" s="1112">
        <v>1</v>
      </c>
      <c r="J303" s="1111" t="str">
        <f t="shared" si="302"/>
        <v>Heavy duty long haul truck-B20</v>
      </c>
      <c r="K303" s="1111">
        <v>1981.0118914238521</v>
      </c>
      <c r="L303" s="1111">
        <v>1931.9559340984956</v>
      </c>
      <c r="M303" s="1111">
        <v>1831.3482623049147</v>
      </c>
      <c r="N303" s="1111">
        <v>1750.2688478981618</v>
      </c>
      <c r="O303" s="1111">
        <v>1718.4457792039377</v>
      </c>
      <c r="P303" s="1111">
        <v>1718.8799443907076</v>
      </c>
      <c r="Q303" s="1111">
        <v>1720.2113144765049</v>
      </c>
      <c r="R303" s="1111">
        <v>1720.8953211916187</v>
      </c>
      <c r="S303" s="1111">
        <v>1721.527987337922</v>
      </c>
      <c r="T303" s="1111">
        <f t="shared" si="491"/>
        <v>1721.527987337922</v>
      </c>
      <c r="U303" s="1111">
        <v>15.601382092822385</v>
      </c>
      <c r="V303" s="1111">
        <v>8.577116560090742</v>
      </c>
      <c r="W303" s="1111">
        <v>5.0009823332358678</v>
      </c>
      <c r="X303" s="1111">
        <v>3.4699121051484361</v>
      </c>
      <c r="Y303" s="1111">
        <v>3.4534810753551963</v>
      </c>
      <c r="Z303" s="1111">
        <v>3.460993600313981</v>
      </c>
      <c r="AA303" s="1111">
        <v>3.4655493103568138</v>
      </c>
      <c r="AB303" s="1111">
        <v>3.4680890856958073</v>
      </c>
      <c r="AC303" s="1111">
        <v>3.4701473057536147</v>
      </c>
      <c r="AD303" s="1111">
        <f t="shared" si="448"/>
        <v>3.4701473057536147</v>
      </c>
      <c r="AE303" s="1111">
        <v>0.1576612869755992</v>
      </c>
      <c r="AF303" s="1111">
        <v>1.796094842686706E-2</v>
      </c>
      <c r="AG303" s="1111">
        <v>1.7061319784506059E-2</v>
      </c>
      <c r="AH303" s="1111">
        <v>1.5834721864571695E-2</v>
      </c>
      <c r="AI303" s="1111">
        <v>1.5060454202804906E-2</v>
      </c>
      <c r="AJ303" s="1111">
        <v>1.4786751356467901E-2</v>
      </c>
      <c r="AK303" s="1111">
        <v>1.4790501540140277E-2</v>
      </c>
      <c r="AL303" s="1111">
        <v>1.4801961118866089E-2</v>
      </c>
      <c r="AM303" s="1111">
        <v>1.4807850894312479E-2</v>
      </c>
      <c r="AN303" s="1111">
        <v>1.481329499118827E-2</v>
      </c>
      <c r="AO303" s="1111">
        <v>1.481329499118827E-2</v>
      </c>
      <c r="AP303" s="1111">
        <v>0.96752702664537515</v>
      </c>
      <c r="AQ303" s="1111">
        <v>0.69896376537907456</v>
      </c>
      <c r="AR303" s="1111">
        <v>0.41166412009556291</v>
      </c>
      <c r="AS303" s="1111">
        <v>0.21623848001246293</v>
      </c>
      <c r="AT303" s="1111">
        <v>0.17417391726783296</v>
      </c>
      <c r="AU303" s="1111">
        <v>0.17387235701426662</v>
      </c>
      <c r="AV303" s="1111">
        <v>0.17405086355717547</v>
      </c>
      <c r="AW303" s="1111">
        <v>0.17414797867050222</v>
      </c>
      <c r="AX303" s="1111">
        <v>0.1742019071458682</v>
      </c>
      <c r="AY303" s="1111">
        <v>0.17424460447261514</v>
      </c>
      <c r="AZ303" s="1111">
        <v>0.17424460447261514</v>
      </c>
      <c r="BA303" s="1111">
        <v>0.78380654986820564</v>
      </c>
      <c r="BB303" s="1111">
        <v>0.53600599682533889</v>
      </c>
      <c r="BC303" s="1111">
        <v>0.27202459934805101</v>
      </c>
      <c r="BD303" s="1111">
        <v>9.2407848124680003E-2</v>
      </c>
      <c r="BE303" s="1111">
        <v>5.3855206187384659E-2</v>
      </c>
      <c r="BF303" s="1111">
        <v>5.3484369350549135E-2</v>
      </c>
      <c r="BG303" s="1111">
        <v>5.3574190403462112E-2</v>
      </c>
      <c r="BH303" s="1111">
        <v>5.3621853833392817E-2</v>
      </c>
      <c r="BI303" s="1111">
        <v>5.3649355082663448E-2</v>
      </c>
      <c r="BJ303" s="1111">
        <v>5.3668193122606657E-2</v>
      </c>
      <c r="BK303" s="1111">
        <v>5.3668193122606657E-2</v>
      </c>
      <c r="BL303" s="1111">
        <v>5.1387534693825661</v>
      </c>
      <c r="BM303" s="1111">
        <v>4.0233172045380892</v>
      </c>
      <c r="BN303" s="1111">
        <v>2.4555309784213346</v>
      </c>
      <c r="BO303" s="1111">
        <v>1.6419671875666322</v>
      </c>
      <c r="BP303" s="1111">
        <v>1.4340856634374315</v>
      </c>
      <c r="BQ303" s="1111">
        <v>1.4388489912345059</v>
      </c>
      <c r="BR303" s="1111">
        <v>1.4443488766397461</v>
      </c>
      <c r="BS303" s="1111">
        <v>1.4481309576729999</v>
      </c>
      <c r="BT303" s="1111">
        <v>1.4489783910475467</v>
      </c>
      <c r="BU303" s="1111">
        <v>1.4496637558519092</v>
      </c>
      <c r="BV303" s="1111">
        <v>1.4496637558519092</v>
      </c>
      <c r="BW303" s="1111">
        <v>1.5745497075673587</v>
      </c>
      <c r="BX303" s="1111">
        <v>1.2969093569761676</v>
      </c>
      <c r="BY303" s="1111">
        <v>0.82698877434455342</v>
      </c>
      <c r="BZ303" s="1111">
        <v>0.49979063528883361</v>
      </c>
      <c r="CA303" s="1111">
        <v>0.41776137783832823</v>
      </c>
      <c r="CB303" s="1111">
        <v>0.41781676522934341</v>
      </c>
      <c r="CC303" s="1111">
        <v>0.41882281946070216</v>
      </c>
      <c r="CD303" s="1111">
        <v>0.41944815397952351</v>
      </c>
      <c r="CE303" s="1111">
        <v>0.41973042953794587</v>
      </c>
      <c r="CF303" s="1111">
        <v>0.41998660871958804</v>
      </c>
      <c r="CG303" s="1111">
        <v>0.41998660871958804</v>
      </c>
      <c r="CH303" s="1111">
        <v>3.4412371683517198E-2</v>
      </c>
      <c r="CI303" s="1111">
        <v>3.4493337806388705E-2</v>
      </c>
      <c r="CJ303" s="1111">
        <v>3.3256899548670331E-2</v>
      </c>
      <c r="CK303" s="1111">
        <v>3.2082083001586562E-2</v>
      </c>
      <c r="CL303" s="1111">
        <v>3.1312086208570782E-2</v>
      </c>
      <c r="CM303" s="1111">
        <v>3.1290316795849253E-2</v>
      </c>
      <c r="CN303" s="1111">
        <v>3.1312654731235907E-2</v>
      </c>
      <c r="CO303" s="1111">
        <v>3.1325169678549016E-2</v>
      </c>
      <c r="CP303" s="1111">
        <v>3.1331810091919626E-2</v>
      </c>
      <c r="CQ303" s="1111">
        <v>3.1337948548338782E-2</v>
      </c>
      <c r="CR303" s="1111">
        <v>3.1337948548338782E-2</v>
      </c>
      <c r="CS303" s="1111">
        <v>22.703522228201898</v>
      </c>
      <c r="CT303" s="1111">
        <v>15.601382092822385</v>
      </c>
      <c r="CU303" s="1111">
        <v>8.577116560090742</v>
      </c>
      <c r="CV303" s="1111">
        <v>5.0009823332358678</v>
      </c>
      <c r="CW303" s="1111">
        <v>3.4699121051484361</v>
      </c>
      <c r="CX303" s="1111">
        <v>3.4534810753551963</v>
      </c>
      <c r="CY303" s="1111">
        <v>3.460993600313981</v>
      </c>
      <c r="CZ303" s="1111">
        <v>3.4655493103568138</v>
      </c>
      <c r="DA303" s="1111">
        <v>3.4680890856958073</v>
      </c>
      <c r="DB303" s="1111">
        <v>3.4701473057536147</v>
      </c>
      <c r="DC303" s="1111">
        <v>3.4701473057536147</v>
      </c>
      <c r="DD303" s="1111">
        <v>0.4945430888463242</v>
      </c>
      <c r="DE303" s="1111">
        <v>0.32829327347775644</v>
      </c>
      <c r="DF303" s="1111">
        <v>0.14960574174273675</v>
      </c>
      <c r="DG303" s="1111">
        <v>2.9569012744112923E-2</v>
      </c>
      <c r="DH303" s="1111">
        <v>4.3350830020119739E-3</v>
      </c>
      <c r="DI303" s="1111">
        <v>4.3042966120024392E-3</v>
      </c>
      <c r="DJ303" s="1111">
        <v>4.3142283064197227E-3</v>
      </c>
      <c r="DK303" s="1111">
        <v>4.319554170308844E-3</v>
      </c>
      <c r="DL303" s="1111">
        <v>4.322577514343783E-3</v>
      </c>
      <c r="DM303" s="1111">
        <v>4.3247838315264306E-3</v>
      </c>
      <c r="DN303" s="1111">
        <v>4.3247838315264306E-3</v>
      </c>
      <c r="DO303" s="1111">
        <v>0.18477974927701987</v>
      </c>
      <c r="DP303" s="1111">
        <v>0.13009291312126903</v>
      </c>
      <c r="DQ303" s="1111">
        <v>6.3452403207873098E-2</v>
      </c>
      <c r="DR303" s="1111">
        <v>1.7300850078823388E-2</v>
      </c>
      <c r="DS303" s="1111">
        <v>7.8706826313257854E-3</v>
      </c>
      <c r="DT303" s="1111">
        <v>7.8183195381436987E-3</v>
      </c>
      <c r="DU303" s="1111">
        <v>7.8365133898576217E-3</v>
      </c>
      <c r="DV303" s="1111">
        <v>7.8462932937248941E-3</v>
      </c>
      <c r="DW303" s="1111">
        <v>7.8518253853731325E-3</v>
      </c>
      <c r="DX303" s="1111">
        <v>7.855915828973872E-3</v>
      </c>
      <c r="DY303" s="1111">
        <v>7.855915828973872E-3</v>
      </c>
      <c r="DZ303" s="1111">
        <v>4.5877432215591504E-3</v>
      </c>
      <c r="EA303" s="1111">
        <v>0.14060814341172437</v>
      </c>
      <c r="EB303" s="1111">
        <v>0.27236586109339539</v>
      </c>
      <c r="EC303" s="1111">
        <v>0.36075631276742187</v>
      </c>
      <c r="ED303" s="1111">
        <v>0.35534804571586109</v>
      </c>
      <c r="EE303" s="1111">
        <v>0.35635073301801812</v>
      </c>
      <c r="EF303" s="1111">
        <v>0.35730473706314991</v>
      </c>
      <c r="EG303" s="1111">
        <v>0.35786861330646652</v>
      </c>
      <c r="EH303" s="1111">
        <v>0.35811510437223248</v>
      </c>
      <c r="EI303" s="1111">
        <v>0.35833785402503204</v>
      </c>
      <c r="EJ303" s="1111">
        <v>0.35833785402503204</v>
      </c>
      <c r="EK303" s="1111">
        <v>1965.1889012714585</v>
      </c>
      <c r="EL303" s="1111">
        <f t="shared" si="470"/>
        <v>1981.0118914238521</v>
      </c>
      <c r="EM303" s="1111">
        <f t="shared" si="471"/>
        <v>1931.9559340984956</v>
      </c>
      <c r="EN303" s="1111">
        <f t="shared" si="472"/>
        <v>1831.3482623049147</v>
      </c>
      <c r="EO303" s="1111">
        <f t="shared" si="473"/>
        <v>1750.2688478981618</v>
      </c>
      <c r="EP303" s="1111">
        <f t="shared" si="474"/>
        <v>1718.4457792039377</v>
      </c>
      <c r="EQ303" s="1111">
        <f t="shared" si="475"/>
        <v>1718.8799443907076</v>
      </c>
      <c r="ER303" s="1111">
        <f t="shared" si="476"/>
        <v>1720.2113144765049</v>
      </c>
      <c r="ES303" s="1111">
        <f t="shared" si="477"/>
        <v>1720.8953211916187</v>
      </c>
      <c r="ET303" s="1111">
        <f t="shared" si="478"/>
        <v>1721.527987337922</v>
      </c>
      <c r="EU303" s="1111">
        <f t="shared" si="479"/>
        <v>1721.527987337922</v>
      </c>
      <c r="EV303" s="1111">
        <v>22.703522228201898</v>
      </c>
      <c r="EW303" s="1111">
        <f t="shared" si="460"/>
        <v>15.601382092822385</v>
      </c>
      <c r="EX303" s="1111">
        <f t="shared" si="461"/>
        <v>8.577116560090742</v>
      </c>
      <c r="EY303" s="1111">
        <f t="shared" si="462"/>
        <v>5.0009823332358678</v>
      </c>
      <c r="EZ303" s="1111">
        <f t="shared" si="463"/>
        <v>3.4699121051484361</v>
      </c>
      <c r="FA303" s="1111">
        <f t="shared" si="464"/>
        <v>3.4534810753551963</v>
      </c>
      <c r="FB303" s="1111">
        <f t="shared" si="465"/>
        <v>3.460993600313981</v>
      </c>
      <c r="FC303" s="1111">
        <f t="shared" si="466"/>
        <v>3.4655493103568138</v>
      </c>
      <c r="FD303" s="1111">
        <f t="shared" si="467"/>
        <v>3.4680890856958073</v>
      </c>
      <c r="FE303" s="1111">
        <f t="shared" si="468"/>
        <v>3.4701473057536147</v>
      </c>
      <c r="FF303" s="1111">
        <f t="shared" si="469"/>
        <v>3.4701473057536147</v>
      </c>
      <c r="FG303" s="1111">
        <f t="shared" si="389"/>
        <v>0.1576612869755992</v>
      </c>
      <c r="FH303" s="1111">
        <f t="shared" si="390"/>
        <v>1.796094842686706E-2</v>
      </c>
      <c r="FI303" s="1111">
        <f t="shared" si="391"/>
        <v>1.7061319784506059E-2</v>
      </c>
      <c r="FJ303" s="1111">
        <f t="shared" si="392"/>
        <v>1.5834721864571695E-2</v>
      </c>
      <c r="FK303" s="1111">
        <f t="shared" si="393"/>
        <v>1.5060454202804906E-2</v>
      </c>
      <c r="FL303" s="1111">
        <f t="shared" si="394"/>
        <v>1.4786751356467901E-2</v>
      </c>
      <c r="FM303" s="1111">
        <f t="shared" si="395"/>
        <v>1.4790501540140277E-2</v>
      </c>
      <c r="FN303" s="1111">
        <f t="shared" si="396"/>
        <v>1.4801961118866089E-2</v>
      </c>
      <c r="FO303" s="1111">
        <f t="shared" si="397"/>
        <v>1.4807850894312479E-2</v>
      </c>
      <c r="FP303" s="1111">
        <f t="shared" si="398"/>
        <v>1.481329499118827E-2</v>
      </c>
      <c r="FQ303" s="1111">
        <f t="shared" si="399"/>
        <v>1.481329499118827E-2</v>
      </c>
      <c r="FR303" s="1111">
        <f t="shared" si="449"/>
        <v>0.96752702664537515</v>
      </c>
      <c r="FS303" s="1111">
        <f t="shared" si="450"/>
        <v>0.69896376537907456</v>
      </c>
      <c r="FT303" s="1111">
        <f t="shared" si="451"/>
        <v>0.41166412009556291</v>
      </c>
      <c r="FU303" s="1111">
        <f t="shared" si="452"/>
        <v>0.21623848001246293</v>
      </c>
      <c r="FV303" s="1111">
        <f t="shared" si="453"/>
        <v>0.17417391726783296</v>
      </c>
      <c r="FW303" s="1111">
        <f t="shared" si="454"/>
        <v>0.17387235701426662</v>
      </c>
      <c r="FX303" s="1111">
        <f t="shared" si="455"/>
        <v>0.17405086355717547</v>
      </c>
      <c r="FY303" s="1111">
        <f t="shared" si="456"/>
        <v>0.17414797867050222</v>
      </c>
      <c r="FZ303" s="1111">
        <f t="shared" si="457"/>
        <v>0.1742019071458682</v>
      </c>
      <c r="GA303" s="1111">
        <f t="shared" si="458"/>
        <v>0.17424460447261514</v>
      </c>
      <c r="GB303" s="1111">
        <f t="shared" si="459"/>
        <v>0.17424460447261514</v>
      </c>
      <c r="GC303" s="1111">
        <f t="shared" si="480"/>
        <v>0.78380654986820564</v>
      </c>
      <c r="GD303" s="1111">
        <f t="shared" si="481"/>
        <v>0.53600599682533889</v>
      </c>
      <c r="GE303" s="1111">
        <f t="shared" si="482"/>
        <v>0.27202459934805101</v>
      </c>
      <c r="GF303" s="1111">
        <f t="shared" si="483"/>
        <v>9.2407848124680003E-2</v>
      </c>
      <c r="GG303" s="1111">
        <f t="shared" si="484"/>
        <v>5.3855206187384659E-2</v>
      </c>
      <c r="GH303" s="1111">
        <f t="shared" si="485"/>
        <v>5.3484369350549135E-2</v>
      </c>
      <c r="GI303" s="1111">
        <f t="shared" si="486"/>
        <v>5.3574190403462112E-2</v>
      </c>
      <c r="GJ303" s="1111">
        <f t="shared" si="487"/>
        <v>5.3621853833392817E-2</v>
      </c>
      <c r="GK303" s="1111">
        <f t="shared" si="488"/>
        <v>5.3649355082663448E-2</v>
      </c>
      <c r="GL303" s="1111">
        <f t="shared" si="489"/>
        <v>5.3668193122606657E-2</v>
      </c>
      <c r="GM303" s="1111">
        <f t="shared" si="490"/>
        <v>5.3668193122606657E-2</v>
      </c>
    </row>
    <row r="304" spans="1:195" x14ac:dyDescent="0.2">
      <c r="A304" s="1071" t="str">
        <f>Technologies!B183</f>
        <v>*R2,R3,R4,R5,R6</v>
      </c>
      <c r="B304" s="1071" t="str">
        <f>Technologies!C183</f>
        <v>THLB20SW</v>
      </c>
      <c r="C304" s="1071" t="str">
        <f>Technologies!D183</f>
        <v>Heavy Truck, Long Haul, B20 Smartway</v>
      </c>
      <c r="D304" s="1071" t="str">
        <f>NewTech!D131</f>
        <v>bn-vmt, bn-vmt/a</v>
      </c>
      <c r="E304" s="1071" t="str">
        <f>Commodities!C$62</f>
        <v>THB20X</v>
      </c>
      <c r="F304" s="1071" t="s">
        <v>100</v>
      </c>
      <c r="G304" s="1110" t="s">
        <v>506</v>
      </c>
      <c r="H304" s="1110" t="s">
        <v>507</v>
      </c>
      <c r="I304" s="1112">
        <v>1</v>
      </c>
      <c r="J304" s="1111" t="str">
        <f t="shared" si="302"/>
        <v>Heavy duty long haul truck-B20</v>
      </c>
      <c r="K304" s="1111">
        <v>1981.0118914238521</v>
      </c>
      <c r="L304" s="1111">
        <v>1931.9559340984956</v>
      </c>
      <c r="M304" s="1111">
        <v>1831.3482623049147</v>
      </c>
      <c r="N304" s="1111">
        <v>1750.2688478981618</v>
      </c>
      <c r="O304" s="1111">
        <v>1718.4457792039377</v>
      </c>
      <c r="P304" s="1111">
        <v>1718.8799443907076</v>
      </c>
      <c r="Q304" s="1111">
        <v>1720.2113144765049</v>
      </c>
      <c r="R304" s="1111">
        <v>1720.8953211916187</v>
      </c>
      <c r="S304" s="1111">
        <v>1721.527987337922</v>
      </c>
      <c r="T304" s="1111">
        <f t="shared" si="491"/>
        <v>1721.527987337922</v>
      </c>
      <c r="U304" s="1111">
        <v>15.601382092822385</v>
      </c>
      <c r="V304" s="1111">
        <v>8.577116560090742</v>
      </c>
      <c r="W304" s="1111">
        <v>5.0009823332358678</v>
      </c>
      <c r="X304" s="1111">
        <v>3.4699121051484361</v>
      </c>
      <c r="Y304" s="1111">
        <v>3.4534810753551963</v>
      </c>
      <c r="Z304" s="1111">
        <v>3.460993600313981</v>
      </c>
      <c r="AA304" s="1111">
        <v>3.4655493103568138</v>
      </c>
      <c r="AB304" s="1111">
        <v>3.4680890856958073</v>
      </c>
      <c r="AC304" s="1111">
        <v>3.4701473057536147</v>
      </c>
      <c r="AD304" s="1111">
        <f t="shared" si="448"/>
        <v>3.4701473057536147</v>
      </c>
      <c r="AE304" s="1111">
        <v>0.1576612869755992</v>
      </c>
      <c r="AF304" s="1111">
        <v>1.796094842686706E-2</v>
      </c>
      <c r="AG304" s="1111">
        <v>1.7061319784506059E-2</v>
      </c>
      <c r="AH304" s="1111">
        <v>1.5834721864571695E-2</v>
      </c>
      <c r="AI304" s="1111">
        <v>1.5060454202804906E-2</v>
      </c>
      <c r="AJ304" s="1111">
        <v>1.4786751356467901E-2</v>
      </c>
      <c r="AK304" s="1111">
        <v>1.4790501540140277E-2</v>
      </c>
      <c r="AL304" s="1111">
        <v>1.4801961118866089E-2</v>
      </c>
      <c r="AM304" s="1111">
        <v>1.4807850894312479E-2</v>
      </c>
      <c r="AN304" s="1111">
        <v>1.481329499118827E-2</v>
      </c>
      <c r="AO304" s="1111">
        <v>1.481329499118827E-2</v>
      </c>
      <c r="AP304" s="1111">
        <v>0.96752702664537515</v>
      </c>
      <c r="AQ304" s="1111">
        <v>0.69896376537907456</v>
      </c>
      <c r="AR304" s="1111">
        <v>0.41166412009556291</v>
      </c>
      <c r="AS304" s="1111">
        <v>0.21623848001246293</v>
      </c>
      <c r="AT304" s="1111">
        <v>0.17417391726783296</v>
      </c>
      <c r="AU304" s="1111">
        <v>0.17387235701426662</v>
      </c>
      <c r="AV304" s="1111">
        <v>0.17405086355717547</v>
      </c>
      <c r="AW304" s="1111">
        <v>0.17414797867050222</v>
      </c>
      <c r="AX304" s="1111">
        <v>0.1742019071458682</v>
      </c>
      <c r="AY304" s="1111">
        <v>0.17424460447261514</v>
      </c>
      <c r="AZ304" s="1111">
        <v>0.17424460447261514</v>
      </c>
      <c r="BA304" s="1111">
        <v>0.78380654986820564</v>
      </c>
      <c r="BB304" s="1111">
        <v>0.53600599682533889</v>
      </c>
      <c r="BC304" s="1111">
        <v>0.27202459934805101</v>
      </c>
      <c r="BD304" s="1111">
        <v>9.2407848124680003E-2</v>
      </c>
      <c r="BE304" s="1111">
        <v>5.3855206187384659E-2</v>
      </c>
      <c r="BF304" s="1111">
        <v>5.3484369350549135E-2</v>
      </c>
      <c r="BG304" s="1111">
        <v>5.3574190403462112E-2</v>
      </c>
      <c r="BH304" s="1111">
        <v>5.3621853833392817E-2</v>
      </c>
      <c r="BI304" s="1111">
        <v>5.3649355082663448E-2</v>
      </c>
      <c r="BJ304" s="1111">
        <v>5.3668193122606657E-2</v>
      </c>
      <c r="BK304" s="1111">
        <v>5.3668193122606657E-2</v>
      </c>
      <c r="BL304" s="1111">
        <v>5.1387534693825661</v>
      </c>
      <c r="BM304" s="1111">
        <v>4.0233172045380892</v>
      </c>
      <c r="BN304" s="1111">
        <v>2.4555309784213346</v>
      </c>
      <c r="BO304" s="1111">
        <v>1.6419671875666322</v>
      </c>
      <c r="BP304" s="1111">
        <v>1.4340856634374315</v>
      </c>
      <c r="BQ304" s="1111">
        <v>1.4388489912345059</v>
      </c>
      <c r="BR304" s="1111">
        <v>1.4443488766397461</v>
      </c>
      <c r="BS304" s="1111">
        <v>1.4481309576729999</v>
      </c>
      <c r="BT304" s="1111">
        <v>1.4489783910475467</v>
      </c>
      <c r="BU304" s="1111">
        <v>1.4496637558519092</v>
      </c>
      <c r="BV304" s="1111">
        <v>1.4496637558519092</v>
      </c>
      <c r="BW304" s="1111">
        <v>1.5745497075673587</v>
      </c>
      <c r="BX304" s="1111">
        <v>1.2969093569761676</v>
      </c>
      <c r="BY304" s="1111">
        <v>0.82698877434455342</v>
      </c>
      <c r="BZ304" s="1111">
        <v>0.49979063528883361</v>
      </c>
      <c r="CA304" s="1111">
        <v>0.41776137783832823</v>
      </c>
      <c r="CB304" s="1111">
        <v>0.41781676522934341</v>
      </c>
      <c r="CC304" s="1111">
        <v>0.41882281946070216</v>
      </c>
      <c r="CD304" s="1111">
        <v>0.41944815397952351</v>
      </c>
      <c r="CE304" s="1111">
        <v>0.41973042953794587</v>
      </c>
      <c r="CF304" s="1111">
        <v>0.41998660871958804</v>
      </c>
      <c r="CG304" s="1111">
        <v>0.41998660871958804</v>
      </c>
      <c r="CH304" s="1111">
        <v>3.4412371683517198E-2</v>
      </c>
      <c r="CI304" s="1111">
        <v>3.4493337806388705E-2</v>
      </c>
      <c r="CJ304" s="1111">
        <v>3.3256899548670331E-2</v>
      </c>
      <c r="CK304" s="1111">
        <v>3.2082083001586562E-2</v>
      </c>
      <c r="CL304" s="1111">
        <v>3.1312086208570782E-2</v>
      </c>
      <c r="CM304" s="1111">
        <v>3.1290316795849253E-2</v>
      </c>
      <c r="CN304" s="1111">
        <v>3.1312654731235907E-2</v>
      </c>
      <c r="CO304" s="1111">
        <v>3.1325169678549016E-2</v>
      </c>
      <c r="CP304" s="1111">
        <v>3.1331810091919626E-2</v>
      </c>
      <c r="CQ304" s="1111">
        <v>3.1337948548338782E-2</v>
      </c>
      <c r="CR304" s="1111">
        <v>3.1337948548338782E-2</v>
      </c>
      <c r="CS304" s="1111">
        <v>22.703522228201898</v>
      </c>
      <c r="CT304" s="1111">
        <v>15.601382092822385</v>
      </c>
      <c r="CU304" s="1111">
        <v>8.577116560090742</v>
      </c>
      <c r="CV304" s="1111">
        <v>5.0009823332358678</v>
      </c>
      <c r="CW304" s="1111">
        <v>3.4699121051484361</v>
      </c>
      <c r="CX304" s="1111">
        <v>3.4534810753551963</v>
      </c>
      <c r="CY304" s="1111">
        <v>3.460993600313981</v>
      </c>
      <c r="CZ304" s="1111">
        <v>3.4655493103568138</v>
      </c>
      <c r="DA304" s="1111">
        <v>3.4680890856958073</v>
      </c>
      <c r="DB304" s="1111">
        <v>3.4701473057536147</v>
      </c>
      <c r="DC304" s="1111">
        <v>3.4701473057536147</v>
      </c>
      <c r="DD304" s="1111">
        <v>0.4945430888463242</v>
      </c>
      <c r="DE304" s="1111">
        <v>0.32829327347775644</v>
      </c>
      <c r="DF304" s="1111">
        <v>0.14960574174273675</v>
      </c>
      <c r="DG304" s="1111">
        <v>2.9569012744112923E-2</v>
      </c>
      <c r="DH304" s="1111">
        <v>4.3350830020119739E-3</v>
      </c>
      <c r="DI304" s="1111">
        <v>4.3042966120024392E-3</v>
      </c>
      <c r="DJ304" s="1111">
        <v>4.3142283064197227E-3</v>
      </c>
      <c r="DK304" s="1111">
        <v>4.319554170308844E-3</v>
      </c>
      <c r="DL304" s="1111">
        <v>4.322577514343783E-3</v>
      </c>
      <c r="DM304" s="1111">
        <v>4.3247838315264306E-3</v>
      </c>
      <c r="DN304" s="1111">
        <v>4.3247838315264306E-3</v>
      </c>
      <c r="DO304" s="1111">
        <v>0.18477974927701987</v>
      </c>
      <c r="DP304" s="1111">
        <v>0.13009291312126903</v>
      </c>
      <c r="DQ304" s="1111">
        <v>6.3452403207873098E-2</v>
      </c>
      <c r="DR304" s="1111">
        <v>1.7300850078823388E-2</v>
      </c>
      <c r="DS304" s="1111">
        <v>7.8706826313257854E-3</v>
      </c>
      <c r="DT304" s="1111">
        <v>7.8183195381436987E-3</v>
      </c>
      <c r="DU304" s="1111">
        <v>7.8365133898576217E-3</v>
      </c>
      <c r="DV304" s="1111">
        <v>7.8462932937248941E-3</v>
      </c>
      <c r="DW304" s="1111">
        <v>7.8518253853731325E-3</v>
      </c>
      <c r="DX304" s="1111">
        <v>7.855915828973872E-3</v>
      </c>
      <c r="DY304" s="1111">
        <v>7.855915828973872E-3</v>
      </c>
      <c r="DZ304" s="1111">
        <v>4.5877432215591504E-3</v>
      </c>
      <c r="EA304" s="1111">
        <v>0.14060814341172437</v>
      </c>
      <c r="EB304" s="1111">
        <v>0.27236586109339539</v>
      </c>
      <c r="EC304" s="1111">
        <v>0.36075631276742187</v>
      </c>
      <c r="ED304" s="1111">
        <v>0.35534804571586109</v>
      </c>
      <c r="EE304" s="1111">
        <v>0.35635073301801812</v>
      </c>
      <c r="EF304" s="1111">
        <v>0.35730473706314991</v>
      </c>
      <c r="EG304" s="1111">
        <v>0.35786861330646652</v>
      </c>
      <c r="EH304" s="1111">
        <v>0.35811510437223248</v>
      </c>
      <c r="EI304" s="1111">
        <v>0.35833785402503204</v>
      </c>
      <c r="EJ304" s="1111">
        <v>0.35833785402503204</v>
      </c>
      <c r="EK304" s="1111">
        <v>1965.1889012714585</v>
      </c>
      <c r="EL304" s="1111">
        <f t="shared" si="470"/>
        <v>1981.0118914238521</v>
      </c>
      <c r="EM304" s="1111">
        <f t="shared" si="471"/>
        <v>1931.9559340984956</v>
      </c>
      <c r="EN304" s="1111">
        <f t="shared" si="472"/>
        <v>1831.3482623049147</v>
      </c>
      <c r="EO304" s="1111">
        <f t="shared" si="473"/>
        <v>1750.2688478981618</v>
      </c>
      <c r="EP304" s="1111">
        <f t="shared" si="474"/>
        <v>1718.4457792039377</v>
      </c>
      <c r="EQ304" s="1111">
        <f t="shared" si="475"/>
        <v>1718.8799443907076</v>
      </c>
      <c r="ER304" s="1111">
        <f t="shared" si="476"/>
        <v>1720.2113144765049</v>
      </c>
      <c r="ES304" s="1111">
        <f t="shared" si="477"/>
        <v>1720.8953211916187</v>
      </c>
      <c r="ET304" s="1111">
        <f t="shared" si="478"/>
        <v>1721.527987337922</v>
      </c>
      <c r="EU304" s="1111">
        <f t="shared" si="479"/>
        <v>1721.527987337922</v>
      </c>
      <c r="EV304" s="1111">
        <v>22.703522228201898</v>
      </c>
      <c r="EW304" s="1111">
        <f t="shared" si="460"/>
        <v>15.601382092822385</v>
      </c>
      <c r="EX304" s="1111">
        <f t="shared" si="461"/>
        <v>8.577116560090742</v>
      </c>
      <c r="EY304" s="1111">
        <f t="shared" si="462"/>
        <v>5.0009823332358678</v>
      </c>
      <c r="EZ304" s="1111">
        <f t="shared" si="463"/>
        <v>3.4699121051484361</v>
      </c>
      <c r="FA304" s="1111">
        <f t="shared" si="464"/>
        <v>3.4534810753551963</v>
      </c>
      <c r="FB304" s="1111">
        <f t="shared" si="465"/>
        <v>3.460993600313981</v>
      </c>
      <c r="FC304" s="1111">
        <f t="shared" si="466"/>
        <v>3.4655493103568138</v>
      </c>
      <c r="FD304" s="1111">
        <f t="shared" si="467"/>
        <v>3.4680890856958073</v>
      </c>
      <c r="FE304" s="1111">
        <f t="shared" si="468"/>
        <v>3.4701473057536147</v>
      </c>
      <c r="FF304" s="1111">
        <f t="shared" si="469"/>
        <v>3.4701473057536147</v>
      </c>
      <c r="FG304" s="1111">
        <f t="shared" si="389"/>
        <v>0.1576612869755992</v>
      </c>
      <c r="FH304" s="1111">
        <f t="shared" si="390"/>
        <v>1.796094842686706E-2</v>
      </c>
      <c r="FI304" s="1111">
        <f t="shared" si="391"/>
        <v>1.7061319784506059E-2</v>
      </c>
      <c r="FJ304" s="1111">
        <f t="shared" si="392"/>
        <v>1.5834721864571695E-2</v>
      </c>
      <c r="FK304" s="1111">
        <f t="shared" si="393"/>
        <v>1.5060454202804906E-2</v>
      </c>
      <c r="FL304" s="1111">
        <f t="shared" si="394"/>
        <v>1.4786751356467901E-2</v>
      </c>
      <c r="FM304" s="1111">
        <f t="shared" si="395"/>
        <v>1.4790501540140277E-2</v>
      </c>
      <c r="FN304" s="1111">
        <f t="shared" si="396"/>
        <v>1.4801961118866089E-2</v>
      </c>
      <c r="FO304" s="1111">
        <f t="shared" si="397"/>
        <v>1.4807850894312479E-2</v>
      </c>
      <c r="FP304" s="1111">
        <f t="shared" si="398"/>
        <v>1.481329499118827E-2</v>
      </c>
      <c r="FQ304" s="1111">
        <f t="shared" si="399"/>
        <v>1.481329499118827E-2</v>
      </c>
      <c r="FR304" s="1111">
        <f t="shared" si="449"/>
        <v>0.96752702664537515</v>
      </c>
      <c r="FS304" s="1111">
        <f t="shared" si="450"/>
        <v>0.69896376537907456</v>
      </c>
      <c r="FT304" s="1111">
        <f t="shared" si="451"/>
        <v>0.41166412009556291</v>
      </c>
      <c r="FU304" s="1111">
        <f t="shared" si="452"/>
        <v>0.21623848001246293</v>
      </c>
      <c r="FV304" s="1111">
        <f t="shared" si="453"/>
        <v>0.17417391726783296</v>
      </c>
      <c r="FW304" s="1111">
        <f t="shared" si="454"/>
        <v>0.17387235701426662</v>
      </c>
      <c r="FX304" s="1111">
        <f t="shared" si="455"/>
        <v>0.17405086355717547</v>
      </c>
      <c r="FY304" s="1111">
        <f t="shared" si="456"/>
        <v>0.17414797867050222</v>
      </c>
      <c r="FZ304" s="1111">
        <f t="shared" si="457"/>
        <v>0.1742019071458682</v>
      </c>
      <c r="GA304" s="1111">
        <f t="shared" si="458"/>
        <v>0.17424460447261514</v>
      </c>
      <c r="GB304" s="1111">
        <f t="shared" si="459"/>
        <v>0.17424460447261514</v>
      </c>
      <c r="GC304" s="1111">
        <f t="shared" si="480"/>
        <v>0.78380654986820564</v>
      </c>
      <c r="GD304" s="1111">
        <f t="shared" si="481"/>
        <v>0.53600599682533889</v>
      </c>
      <c r="GE304" s="1111">
        <f t="shared" si="482"/>
        <v>0.27202459934805101</v>
      </c>
      <c r="GF304" s="1111">
        <f t="shared" si="483"/>
        <v>9.2407848124680003E-2</v>
      </c>
      <c r="GG304" s="1111">
        <f t="shared" si="484"/>
        <v>5.3855206187384659E-2</v>
      </c>
      <c r="GH304" s="1111">
        <f t="shared" si="485"/>
        <v>5.3484369350549135E-2</v>
      </c>
      <c r="GI304" s="1111">
        <f t="shared" si="486"/>
        <v>5.3574190403462112E-2</v>
      </c>
      <c r="GJ304" s="1111">
        <f t="shared" si="487"/>
        <v>5.3621853833392817E-2</v>
      </c>
      <c r="GK304" s="1111">
        <f t="shared" si="488"/>
        <v>5.3649355082663448E-2</v>
      </c>
      <c r="GL304" s="1111">
        <f t="shared" si="489"/>
        <v>5.3668193122606657E-2</v>
      </c>
      <c r="GM304" s="1111">
        <f t="shared" si="490"/>
        <v>5.3668193122606657E-2</v>
      </c>
    </row>
    <row r="305" spans="1:195" x14ac:dyDescent="0.2">
      <c r="A305" s="1071" t="str">
        <f>Technologies!B184</f>
        <v>*R2,R3,R4,R5,R6</v>
      </c>
      <c r="B305" s="1071" t="str">
        <f>Technologies!C184</f>
        <v>THLB20SWH</v>
      </c>
      <c r="C305" s="1071" t="str">
        <f>Technologies!D184</f>
        <v>Heavy Truck, Long Haul, B20 Smartway Hybird</v>
      </c>
      <c r="D305" s="1071" t="str">
        <f>NewTech!D132</f>
        <v>bn-vmt, bn-vmt/a</v>
      </c>
      <c r="E305" s="1071" t="str">
        <f>Commodities!C$62</f>
        <v>THB20X</v>
      </c>
      <c r="F305" s="1071" t="s">
        <v>100</v>
      </c>
      <c r="G305" s="1110" t="s">
        <v>506</v>
      </c>
      <c r="H305" s="1110" t="s">
        <v>507</v>
      </c>
      <c r="I305" s="1112">
        <v>1</v>
      </c>
      <c r="J305" s="1111" t="str">
        <f t="shared" si="302"/>
        <v>Heavy duty long haul truck-B20</v>
      </c>
      <c r="K305" s="1111">
        <v>1981.0118914238521</v>
      </c>
      <c r="L305" s="1111">
        <v>1931.9559340984956</v>
      </c>
      <c r="M305" s="1111">
        <v>1831.3482623049147</v>
      </c>
      <c r="N305" s="1111">
        <v>1750.2688478981618</v>
      </c>
      <c r="O305" s="1111">
        <v>1718.4457792039377</v>
      </c>
      <c r="P305" s="1111">
        <v>1718.8799443907076</v>
      </c>
      <c r="Q305" s="1111">
        <v>1720.2113144765049</v>
      </c>
      <c r="R305" s="1111">
        <v>1720.8953211916187</v>
      </c>
      <c r="S305" s="1111">
        <v>1721.527987337922</v>
      </c>
      <c r="T305" s="1111">
        <f t="shared" si="491"/>
        <v>1721.527987337922</v>
      </c>
      <c r="U305" s="1111">
        <v>15.601382092822385</v>
      </c>
      <c r="V305" s="1111">
        <v>8.577116560090742</v>
      </c>
      <c r="W305" s="1111">
        <v>5.0009823332358678</v>
      </c>
      <c r="X305" s="1111">
        <v>3.4699121051484361</v>
      </c>
      <c r="Y305" s="1111">
        <v>3.4534810753551963</v>
      </c>
      <c r="Z305" s="1111">
        <v>3.460993600313981</v>
      </c>
      <c r="AA305" s="1111">
        <v>3.4655493103568138</v>
      </c>
      <c r="AB305" s="1111">
        <v>3.4680890856958073</v>
      </c>
      <c r="AC305" s="1111">
        <v>3.4701473057536147</v>
      </c>
      <c r="AD305" s="1111">
        <f t="shared" si="448"/>
        <v>3.4701473057536147</v>
      </c>
      <c r="AE305" s="1111">
        <v>0.1576612869755992</v>
      </c>
      <c r="AF305" s="1111">
        <v>1.796094842686706E-2</v>
      </c>
      <c r="AG305" s="1111">
        <v>1.7061319784506059E-2</v>
      </c>
      <c r="AH305" s="1111">
        <v>1.5834721864571695E-2</v>
      </c>
      <c r="AI305" s="1111">
        <v>1.5060454202804906E-2</v>
      </c>
      <c r="AJ305" s="1111">
        <v>1.4786751356467901E-2</v>
      </c>
      <c r="AK305" s="1111">
        <v>1.4790501540140277E-2</v>
      </c>
      <c r="AL305" s="1111">
        <v>1.4801961118866089E-2</v>
      </c>
      <c r="AM305" s="1111">
        <v>1.4807850894312479E-2</v>
      </c>
      <c r="AN305" s="1111">
        <v>1.481329499118827E-2</v>
      </c>
      <c r="AO305" s="1111">
        <v>1.481329499118827E-2</v>
      </c>
      <c r="AP305" s="1111">
        <v>0.96752702664537515</v>
      </c>
      <c r="AQ305" s="1111">
        <v>0.69896376537907456</v>
      </c>
      <c r="AR305" s="1111">
        <v>0.41166412009556291</v>
      </c>
      <c r="AS305" s="1111">
        <v>0.21623848001246293</v>
      </c>
      <c r="AT305" s="1111">
        <v>0.17417391726783296</v>
      </c>
      <c r="AU305" s="1111">
        <v>0.17387235701426662</v>
      </c>
      <c r="AV305" s="1111">
        <v>0.17405086355717547</v>
      </c>
      <c r="AW305" s="1111">
        <v>0.17414797867050222</v>
      </c>
      <c r="AX305" s="1111">
        <v>0.1742019071458682</v>
      </c>
      <c r="AY305" s="1111">
        <v>0.17424460447261514</v>
      </c>
      <c r="AZ305" s="1111">
        <v>0.17424460447261514</v>
      </c>
      <c r="BA305" s="1111">
        <v>0.78380654986820564</v>
      </c>
      <c r="BB305" s="1111">
        <v>0.53600599682533889</v>
      </c>
      <c r="BC305" s="1111">
        <v>0.27202459934805101</v>
      </c>
      <c r="BD305" s="1111">
        <v>9.2407848124680003E-2</v>
      </c>
      <c r="BE305" s="1111">
        <v>5.3855206187384659E-2</v>
      </c>
      <c r="BF305" s="1111">
        <v>5.3484369350549135E-2</v>
      </c>
      <c r="BG305" s="1111">
        <v>5.3574190403462112E-2</v>
      </c>
      <c r="BH305" s="1111">
        <v>5.3621853833392817E-2</v>
      </c>
      <c r="BI305" s="1111">
        <v>5.3649355082663448E-2</v>
      </c>
      <c r="BJ305" s="1111">
        <v>5.3668193122606657E-2</v>
      </c>
      <c r="BK305" s="1111">
        <v>5.3668193122606657E-2</v>
      </c>
      <c r="BL305" s="1111">
        <v>5.1387534693825661</v>
      </c>
      <c r="BM305" s="1111">
        <v>4.0233172045380892</v>
      </c>
      <c r="BN305" s="1111">
        <v>2.4555309784213346</v>
      </c>
      <c r="BO305" s="1111">
        <v>1.6419671875666322</v>
      </c>
      <c r="BP305" s="1111">
        <v>1.4340856634374315</v>
      </c>
      <c r="BQ305" s="1111">
        <v>1.4388489912345059</v>
      </c>
      <c r="BR305" s="1111">
        <v>1.4443488766397461</v>
      </c>
      <c r="BS305" s="1111">
        <v>1.4481309576729999</v>
      </c>
      <c r="BT305" s="1111">
        <v>1.4489783910475467</v>
      </c>
      <c r="BU305" s="1111">
        <v>1.4496637558519092</v>
      </c>
      <c r="BV305" s="1111">
        <v>1.4496637558519092</v>
      </c>
      <c r="BW305" s="1111">
        <v>1.5745497075673587</v>
      </c>
      <c r="BX305" s="1111">
        <v>1.2969093569761676</v>
      </c>
      <c r="BY305" s="1111">
        <v>0.82698877434455342</v>
      </c>
      <c r="BZ305" s="1111">
        <v>0.49979063528883361</v>
      </c>
      <c r="CA305" s="1111">
        <v>0.41776137783832823</v>
      </c>
      <c r="CB305" s="1111">
        <v>0.41781676522934341</v>
      </c>
      <c r="CC305" s="1111">
        <v>0.41882281946070216</v>
      </c>
      <c r="CD305" s="1111">
        <v>0.41944815397952351</v>
      </c>
      <c r="CE305" s="1111">
        <v>0.41973042953794587</v>
      </c>
      <c r="CF305" s="1111">
        <v>0.41998660871958804</v>
      </c>
      <c r="CG305" s="1111">
        <v>0.41998660871958804</v>
      </c>
      <c r="CH305" s="1111">
        <v>3.4412371683517198E-2</v>
      </c>
      <c r="CI305" s="1111">
        <v>3.4493337806388705E-2</v>
      </c>
      <c r="CJ305" s="1111">
        <v>3.3256899548670331E-2</v>
      </c>
      <c r="CK305" s="1111">
        <v>3.2082083001586562E-2</v>
      </c>
      <c r="CL305" s="1111">
        <v>3.1312086208570782E-2</v>
      </c>
      <c r="CM305" s="1111">
        <v>3.1290316795849253E-2</v>
      </c>
      <c r="CN305" s="1111">
        <v>3.1312654731235907E-2</v>
      </c>
      <c r="CO305" s="1111">
        <v>3.1325169678549016E-2</v>
      </c>
      <c r="CP305" s="1111">
        <v>3.1331810091919626E-2</v>
      </c>
      <c r="CQ305" s="1111">
        <v>3.1337948548338782E-2</v>
      </c>
      <c r="CR305" s="1111">
        <v>3.1337948548338782E-2</v>
      </c>
      <c r="CS305" s="1111">
        <v>22.703522228201898</v>
      </c>
      <c r="CT305" s="1111">
        <v>15.601382092822385</v>
      </c>
      <c r="CU305" s="1111">
        <v>8.577116560090742</v>
      </c>
      <c r="CV305" s="1111">
        <v>5.0009823332358678</v>
      </c>
      <c r="CW305" s="1111">
        <v>3.4699121051484361</v>
      </c>
      <c r="CX305" s="1111">
        <v>3.4534810753551963</v>
      </c>
      <c r="CY305" s="1111">
        <v>3.460993600313981</v>
      </c>
      <c r="CZ305" s="1111">
        <v>3.4655493103568138</v>
      </c>
      <c r="DA305" s="1111">
        <v>3.4680890856958073</v>
      </c>
      <c r="DB305" s="1111">
        <v>3.4701473057536147</v>
      </c>
      <c r="DC305" s="1111">
        <v>3.4701473057536147</v>
      </c>
      <c r="DD305" s="1111">
        <v>0.4945430888463242</v>
      </c>
      <c r="DE305" s="1111">
        <v>0.32829327347775644</v>
      </c>
      <c r="DF305" s="1111">
        <v>0.14960574174273675</v>
      </c>
      <c r="DG305" s="1111">
        <v>2.9569012744112923E-2</v>
      </c>
      <c r="DH305" s="1111">
        <v>4.3350830020119739E-3</v>
      </c>
      <c r="DI305" s="1111">
        <v>4.3042966120024392E-3</v>
      </c>
      <c r="DJ305" s="1111">
        <v>4.3142283064197227E-3</v>
      </c>
      <c r="DK305" s="1111">
        <v>4.319554170308844E-3</v>
      </c>
      <c r="DL305" s="1111">
        <v>4.322577514343783E-3</v>
      </c>
      <c r="DM305" s="1111">
        <v>4.3247838315264306E-3</v>
      </c>
      <c r="DN305" s="1111">
        <v>4.3247838315264306E-3</v>
      </c>
      <c r="DO305" s="1111">
        <v>0.18477974927701987</v>
      </c>
      <c r="DP305" s="1111">
        <v>0.13009291312126903</v>
      </c>
      <c r="DQ305" s="1111">
        <v>6.3452403207873098E-2</v>
      </c>
      <c r="DR305" s="1111">
        <v>1.7300850078823388E-2</v>
      </c>
      <c r="DS305" s="1111">
        <v>7.8706826313257854E-3</v>
      </c>
      <c r="DT305" s="1111">
        <v>7.8183195381436987E-3</v>
      </c>
      <c r="DU305" s="1111">
        <v>7.8365133898576217E-3</v>
      </c>
      <c r="DV305" s="1111">
        <v>7.8462932937248941E-3</v>
      </c>
      <c r="DW305" s="1111">
        <v>7.8518253853731325E-3</v>
      </c>
      <c r="DX305" s="1111">
        <v>7.855915828973872E-3</v>
      </c>
      <c r="DY305" s="1111">
        <v>7.855915828973872E-3</v>
      </c>
      <c r="DZ305" s="1111">
        <v>4.5877432215591504E-3</v>
      </c>
      <c r="EA305" s="1111">
        <v>0.14060814341172437</v>
      </c>
      <c r="EB305" s="1111">
        <v>0.27236586109339539</v>
      </c>
      <c r="EC305" s="1111">
        <v>0.36075631276742187</v>
      </c>
      <c r="ED305" s="1111">
        <v>0.35534804571586109</v>
      </c>
      <c r="EE305" s="1111">
        <v>0.35635073301801812</v>
      </c>
      <c r="EF305" s="1111">
        <v>0.35730473706314991</v>
      </c>
      <c r="EG305" s="1111">
        <v>0.35786861330646652</v>
      </c>
      <c r="EH305" s="1111">
        <v>0.35811510437223248</v>
      </c>
      <c r="EI305" s="1111">
        <v>0.35833785402503204</v>
      </c>
      <c r="EJ305" s="1111">
        <v>0.35833785402503204</v>
      </c>
      <c r="EK305" s="1111">
        <v>1965.1889012714585</v>
      </c>
      <c r="EL305" s="1111">
        <f t="shared" si="470"/>
        <v>1981.0118914238521</v>
      </c>
      <c r="EM305" s="1111">
        <f t="shared" si="471"/>
        <v>1931.9559340984956</v>
      </c>
      <c r="EN305" s="1111">
        <f t="shared" si="472"/>
        <v>1831.3482623049147</v>
      </c>
      <c r="EO305" s="1111">
        <f t="shared" si="473"/>
        <v>1750.2688478981618</v>
      </c>
      <c r="EP305" s="1111">
        <f t="shared" si="474"/>
        <v>1718.4457792039377</v>
      </c>
      <c r="EQ305" s="1111">
        <f t="shared" si="475"/>
        <v>1718.8799443907076</v>
      </c>
      <c r="ER305" s="1111">
        <f t="shared" si="476"/>
        <v>1720.2113144765049</v>
      </c>
      <c r="ES305" s="1111">
        <f t="shared" si="477"/>
        <v>1720.8953211916187</v>
      </c>
      <c r="ET305" s="1111">
        <f t="shared" si="478"/>
        <v>1721.527987337922</v>
      </c>
      <c r="EU305" s="1111">
        <f t="shared" si="479"/>
        <v>1721.527987337922</v>
      </c>
      <c r="EV305" s="1111">
        <v>22.703522228201898</v>
      </c>
      <c r="EW305" s="1111">
        <f t="shared" si="460"/>
        <v>15.601382092822385</v>
      </c>
      <c r="EX305" s="1111">
        <f t="shared" si="461"/>
        <v>8.577116560090742</v>
      </c>
      <c r="EY305" s="1111">
        <f t="shared" si="462"/>
        <v>5.0009823332358678</v>
      </c>
      <c r="EZ305" s="1111">
        <f t="shared" si="463"/>
        <v>3.4699121051484361</v>
      </c>
      <c r="FA305" s="1111">
        <f t="shared" si="464"/>
        <v>3.4534810753551963</v>
      </c>
      <c r="FB305" s="1111">
        <f t="shared" si="465"/>
        <v>3.460993600313981</v>
      </c>
      <c r="FC305" s="1111">
        <f t="shared" si="466"/>
        <v>3.4655493103568138</v>
      </c>
      <c r="FD305" s="1111">
        <f t="shared" si="467"/>
        <v>3.4680890856958073</v>
      </c>
      <c r="FE305" s="1111">
        <f t="shared" si="468"/>
        <v>3.4701473057536147</v>
      </c>
      <c r="FF305" s="1111">
        <f t="shared" si="469"/>
        <v>3.4701473057536147</v>
      </c>
      <c r="FG305" s="1111">
        <f t="shared" si="389"/>
        <v>0.1576612869755992</v>
      </c>
      <c r="FH305" s="1111">
        <f t="shared" si="390"/>
        <v>1.796094842686706E-2</v>
      </c>
      <c r="FI305" s="1111">
        <f t="shared" si="391"/>
        <v>1.7061319784506059E-2</v>
      </c>
      <c r="FJ305" s="1111">
        <f t="shared" si="392"/>
        <v>1.5834721864571695E-2</v>
      </c>
      <c r="FK305" s="1111">
        <f t="shared" si="393"/>
        <v>1.5060454202804906E-2</v>
      </c>
      <c r="FL305" s="1111">
        <f t="shared" si="394"/>
        <v>1.4786751356467901E-2</v>
      </c>
      <c r="FM305" s="1111">
        <f t="shared" si="395"/>
        <v>1.4790501540140277E-2</v>
      </c>
      <c r="FN305" s="1111">
        <f t="shared" si="396"/>
        <v>1.4801961118866089E-2</v>
      </c>
      <c r="FO305" s="1111">
        <f t="shared" si="397"/>
        <v>1.4807850894312479E-2</v>
      </c>
      <c r="FP305" s="1111">
        <f t="shared" si="398"/>
        <v>1.481329499118827E-2</v>
      </c>
      <c r="FQ305" s="1111">
        <f t="shared" si="399"/>
        <v>1.481329499118827E-2</v>
      </c>
      <c r="FR305" s="1111">
        <f t="shared" si="449"/>
        <v>0.96752702664537515</v>
      </c>
      <c r="FS305" s="1111">
        <f t="shared" si="450"/>
        <v>0.69896376537907456</v>
      </c>
      <c r="FT305" s="1111">
        <f t="shared" si="451"/>
        <v>0.41166412009556291</v>
      </c>
      <c r="FU305" s="1111">
        <f t="shared" si="452"/>
        <v>0.21623848001246293</v>
      </c>
      <c r="FV305" s="1111">
        <f t="shared" si="453"/>
        <v>0.17417391726783296</v>
      </c>
      <c r="FW305" s="1111">
        <f t="shared" si="454"/>
        <v>0.17387235701426662</v>
      </c>
      <c r="FX305" s="1111">
        <f t="shared" si="455"/>
        <v>0.17405086355717547</v>
      </c>
      <c r="FY305" s="1111">
        <f t="shared" si="456"/>
        <v>0.17414797867050222</v>
      </c>
      <c r="FZ305" s="1111">
        <f t="shared" si="457"/>
        <v>0.1742019071458682</v>
      </c>
      <c r="GA305" s="1111">
        <f t="shared" si="458"/>
        <v>0.17424460447261514</v>
      </c>
      <c r="GB305" s="1111">
        <f t="shared" si="459"/>
        <v>0.17424460447261514</v>
      </c>
      <c r="GC305" s="1111">
        <f t="shared" si="480"/>
        <v>0.78380654986820564</v>
      </c>
      <c r="GD305" s="1111">
        <f t="shared" si="481"/>
        <v>0.53600599682533889</v>
      </c>
      <c r="GE305" s="1111">
        <f t="shared" si="482"/>
        <v>0.27202459934805101</v>
      </c>
      <c r="GF305" s="1111">
        <f t="shared" si="483"/>
        <v>9.2407848124680003E-2</v>
      </c>
      <c r="GG305" s="1111">
        <f t="shared" si="484"/>
        <v>5.3855206187384659E-2</v>
      </c>
      <c r="GH305" s="1111">
        <f t="shared" si="485"/>
        <v>5.3484369350549135E-2</v>
      </c>
      <c r="GI305" s="1111">
        <f t="shared" si="486"/>
        <v>5.3574190403462112E-2</v>
      </c>
      <c r="GJ305" s="1111">
        <f t="shared" si="487"/>
        <v>5.3621853833392817E-2</v>
      </c>
      <c r="GK305" s="1111">
        <f t="shared" si="488"/>
        <v>5.3649355082663448E-2</v>
      </c>
      <c r="GL305" s="1111">
        <f t="shared" si="489"/>
        <v>5.3668193122606657E-2</v>
      </c>
      <c r="GM305" s="1111">
        <f t="shared" si="490"/>
        <v>5.3668193122606657E-2</v>
      </c>
    </row>
    <row r="306" spans="1:195" x14ac:dyDescent="0.2">
      <c r="A306" s="1071" t="str">
        <f>Technologies!B185</f>
        <v>*R2,R3,R4,R5,R6</v>
      </c>
      <c r="B306" s="1071" t="str">
        <f>Technologies!C185</f>
        <v>THLLNGC10</v>
      </c>
      <c r="C306" s="1071" t="str">
        <f>Technologies!D185</f>
        <v>Heavy Truck, Long Haul, LNG 2010</v>
      </c>
      <c r="D306" s="1071" t="str">
        <f>NewTech!D133</f>
        <v>bn-vmt, bn-vmt/a</v>
      </c>
      <c r="E306" s="1071" t="str">
        <f>Commodities!C$54</f>
        <v>THLNG</v>
      </c>
      <c r="F306" s="1071" t="s">
        <v>100</v>
      </c>
      <c r="G306" s="1110" t="s">
        <v>506</v>
      </c>
      <c r="H306" s="1110" t="s">
        <v>510</v>
      </c>
      <c r="I306" s="1112">
        <v>1</v>
      </c>
      <c r="J306" s="1111" t="str">
        <f t="shared" si="302"/>
        <v>Heavy duty long haul truck-LNG</v>
      </c>
      <c r="K306" s="1111">
        <v>1020.3551411037557</v>
      </c>
      <c r="L306" s="1111">
        <v>1020.2234899566765</v>
      </c>
      <c r="M306" s="1111">
        <v>999.2915699461081</v>
      </c>
      <c r="N306" s="1111">
        <v>980.42445273724934</v>
      </c>
      <c r="O306" s="1111">
        <v>967.65178250398321</v>
      </c>
      <c r="P306" s="1111">
        <v>967.77429215727193</v>
      </c>
      <c r="Q306" s="1111">
        <v>967.89308155207254</v>
      </c>
      <c r="R306" s="1111">
        <v>967.92625042477914</v>
      </c>
      <c r="S306" s="1111">
        <v>967.95671487664833</v>
      </c>
      <c r="T306" s="1111">
        <f t="shared" si="491"/>
        <v>967.95671487664833</v>
      </c>
      <c r="U306" s="1111">
        <v>3.2547317698669271</v>
      </c>
      <c r="V306" s="1111">
        <v>2.1555915462064736</v>
      </c>
      <c r="W306" s="1111">
        <v>0.62337907172426621</v>
      </c>
      <c r="X306" s="1111">
        <v>0.40261084341729281</v>
      </c>
      <c r="Y306" s="1111">
        <v>0.34550843096322897</v>
      </c>
      <c r="Z306" s="1111">
        <v>0.31769757148741795</v>
      </c>
      <c r="AA306" s="1111">
        <v>0.31691415899888692</v>
      </c>
      <c r="AB306" s="1111">
        <v>0.31716321296489364</v>
      </c>
      <c r="AC306" s="1111">
        <v>0.31739375802750591</v>
      </c>
      <c r="AD306" s="1111">
        <f t="shared" si="448"/>
        <v>0.31739375802750591</v>
      </c>
      <c r="AE306" s="1111">
        <v>5.7760190530050257E-2</v>
      </c>
      <c r="AF306" s="1111">
        <v>2.461440067727675E-2</v>
      </c>
      <c r="AG306" s="1111">
        <v>1.8973742739096827E-2</v>
      </c>
      <c r="AH306" s="1111">
        <v>6.3491677957305103E-3</v>
      </c>
      <c r="AI306" s="1111">
        <v>6.229291078305505E-3</v>
      </c>
      <c r="AJ306" s="1111">
        <v>6.1481397027664305E-3</v>
      </c>
      <c r="AK306" s="1111">
        <v>6.1489183874472789E-3</v>
      </c>
      <c r="AL306" s="1111">
        <v>6.1496743628782144E-3</v>
      </c>
      <c r="AM306" s="1111">
        <v>6.1498848749613954E-3</v>
      </c>
      <c r="AN306" s="1111">
        <v>6.1500786926959802E-3</v>
      </c>
      <c r="AO306" s="1111">
        <v>6.1500786926959802E-3</v>
      </c>
      <c r="AP306" s="1111">
        <v>0.118159231495387</v>
      </c>
      <c r="AQ306" s="1111">
        <v>0.10003482425149357</v>
      </c>
      <c r="AR306" s="1111">
        <v>8.4495314338350599E-2</v>
      </c>
      <c r="AS306" s="1111">
        <v>7.9256376368036688E-2</v>
      </c>
      <c r="AT306" s="1111">
        <v>7.897978512174525E-2</v>
      </c>
      <c r="AU306" s="1111">
        <v>7.9013528615524284E-2</v>
      </c>
      <c r="AV306" s="1111">
        <v>7.9034934094174225E-2</v>
      </c>
      <c r="AW306" s="1111">
        <v>7.8994885117633362E-2</v>
      </c>
      <c r="AX306" s="1111">
        <v>7.9030930947958933E-2</v>
      </c>
      <c r="AY306" s="1111">
        <v>7.9069837803765641E-2</v>
      </c>
      <c r="AZ306" s="1111">
        <v>7.9069837803765641E-2</v>
      </c>
      <c r="BA306" s="1111">
        <v>5.7196953237054794E-2</v>
      </c>
      <c r="BB306" s="1111">
        <v>4.0623980878750715E-2</v>
      </c>
      <c r="BC306" s="1111">
        <v>2.687782547443867E-2</v>
      </c>
      <c r="BD306" s="1111">
        <v>2.2741214519788881E-2</v>
      </c>
      <c r="BE306" s="1111">
        <v>2.2566007379134265E-2</v>
      </c>
      <c r="BF306" s="1111">
        <v>2.2595863805391959E-2</v>
      </c>
      <c r="BG306" s="1111">
        <v>2.26147956863317E-2</v>
      </c>
      <c r="BH306" s="1111">
        <v>2.2579369856245323E-2</v>
      </c>
      <c r="BI306" s="1111">
        <v>2.2611256107674324E-2</v>
      </c>
      <c r="BJ306" s="1111">
        <v>2.2645673266744965E-2</v>
      </c>
      <c r="BK306" s="1111">
        <v>2.2645673266744965E-2</v>
      </c>
      <c r="BL306" s="1111">
        <v>47.972530990156521</v>
      </c>
      <c r="BM306" s="1111">
        <v>28.556116955058272</v>
      </c>
      <c r="BN306" s="1111">
        <v>20.549646559976306</v>
      </c>
      <c r="BO306" s="1111">
        <v>14.445037057593046</v>
      </c>
      <c r="BP306" s="1111">
        <v>12.622901477364751</v>
      </c>
      <c r="BQ306" s="1111">
        <v>12.500471248743505</v>
      </c>
      <c r="BR306" s="1111">
        <v>12.371610539704422</v>
      </c>
      <c r="BS306" s="1111">
        <v>12.550099392054333</v>
      </c>
      <c r="BT306" s="1111">
        <v>12.541994647226639</v>
      </c>
      <c r="BU306" s="1111">
        <v>12.523654397948686</v>
      </c>
      <c r="BV306" s="1111">
        <v>12.523654397948686</v>
      </c>
      <c r="BW306" s="1111">
        <v>1.8182606942065824</v>
      </c>
      <c r="BX306" s="1111">
        <v>1.1669593642140019</v>
      </c>
      <c r="BY306" s="1111">
        <v>0.76623264872234798</v>
      </c>
      <c r="BZ306" s="1111">
        <v>0.43593758210799172</v>
      </c>
      <c r="CA306" s="1111">
        <v>0.36195140464062603</v>
      </c>
      <c r="CB306" s="1111">
        <v>0.34158526276864187</v>
      </c>
      <c r="CC306" s="1111">
        <v>0.33112897315858508</v>
      </c>
      <c r="CD306" s="1111">
        <v>0.32864260578554466</v>
      </c>
      <c r="CE306" s="1111">
        <v>0.33024410646544156</v>
      </c>
      <c r="CF306" s="1111">
        <v>0.3320664905778884</v>
      </c>
      <c r="CG306" s="1111">
        <v>0.3320664905778884</v>
      </c>
      <c r="CH306" s="1111">
        <v>3.8628584767367767E-2</v>
      </c>
      <c r="CI306" s="1111">
        <v>3.8626750431021199E-2</v>
      </c>
      <c r="CJ306" s="1111">
        <v>3.8631460005066939E-2</v>
      </c>
      <c r="CK306" s="1111">
        <v>3.8640978297890052E-2</v>
      </c>
      <c r="CL306" s="1111">
        <v>3.8648358022866057E-2</v>
      </c>
      <c r="CM306" s="1111">
        <v>3.8650933503227097E-2</v>
      </c>
      <c r="CN306" s="1111">
        <v>3.8650938084240673E-2</v>
      </c>
      <c r="CO306" s="1111">
        <v>3.8650937224449171E-2</v>
      </c>
      <c r="CP306" s="1111">
        <v>3.8650934379318956E-2</v>
      </c>
      <c r="CQ306" s="1111">
        <v>3.865093962024406E-2</v>
      </c>
      <c r="CR306" s="1111">
        <v>3.865093962024406E-2</v>
      </c>
      <c r="CS306" s="1111">
        <v>4.453180804881864</v>
      </c>
      <c r="CT306" s="1111">
        <v>3.2547317698669271</v>
      </c>
      <c r="CU306" s="1111">
        <v>2.1555915462064736</v>
      </c>
      <c r="CV306" s="1111">
        <v>0.62337907172426621</v>
      </c>
      <c r="CW306" s="1111">
        <v>0.40261084341729281</v>
      </c>
      <c r="CX306" s="1111">
        <v>0.34550843096322897</v>
      </c>
      <c r="CY306" s="1111">
        <v>0.31769757148741795</v>
      </c>
      <c r="CZ306" s="1111">
        <v>0.31691415899888692</v>
      </c>
      <c r="DA306" s="1111">
        <v>0.31716321296489364</v>
      </c>
      <c r="DB306" s="1111">
        <v>0.31739375802750591</v>
      </c>
      <c r="DC306" s="1111">
        <v>0.31739375802750591</v>
      </c>
      <c r="DD306" s="1111">
        <v>8.4618435807310901E-3</v>
      </c>
      <c r="DE306" s="1111">
        <v>5.582477734601141E-3</v>
      </c>
      <c r="DF306" s="1111">
        <v>3.3037857638444934E-3</v>
      </c>
      <c r="DG306" s="1111">
        <v>2.7435421434771584E-3</v>
      </c>
      <c r="DH306" s="1111">
        <v>2.6596327326652057E-3</v>
      </c>
      <c r="DI306" s="1111">
        <v>2.6810534446588602E-3</v>
      </c>
      <c r="DJ306" s="1111">
        <v>2.68992317602929E-3</v>
      </c>
      <c r="DK306" s="1111">
        <v>2.6843011275704282E-3</v>
      </c>
      <c r="DL306" s="1111">
        <v>2.693521842385466E-3</v>
      </c>
      <c r="DM306" s="1111">
        <v>2.7034957820921053E-3</v>
      </c>
      <c r="DN306" s="1111">
        <v>2.7034957820921053E-3</v>
      </c>
      <c r="DO306" s="1111">
        <v>2.733686553814714E-2</v>
      </c>
      <c r="DP306" s="1111">
        <v>1.8332271788011459E-2</v>
      </c>
      <c r="DQ306" s="1111">
        <v>1.0522373499872563E-2</v>
      </c>
      <c r="DR306" s="1111">
        <v>8.2106858583474232E-3</v>
      </c>
      <c r="DS306" s="1111">
        <v>8.1464823839333782E-3</v>
      </c>
      <c r="DT306" s="1111">
        <v>8.1548441301475764E-3</v>
      </c>
      <c r="DU306" s="1111">
        <v>8.1625855885729438E-3</v>
      </c>
      <c r="DV306" s="1111">
        <v>8.1414389894490409E-3</v>
      </c>
      <c r="DW306" s="1111">
        <v>8.1579958309337917E-3</v>
      </c>
      <c r="DX306" s="1111">
        <v>8.1758856290748885E-3</v>
      </c>
      <c r="DY306" s="1111">
        <v>8.1758856290748885E-3</v>
      </c>
      <c r="DZ306" s="1111">
        <v>7.2532435416401364E-2</v>
      </c>
      <c r="EA306" s="1111">
        <v>2.3093150126090367E-2</v>
      </c>
      <c r="EB306" s="1111">
        <v>1.7349105349035911E-2</v>
      </c>
      <c r="EC306" s="1111">
        <v>1.8133988035365575E-2</v>
      </c>
      <c r="ED306" s="1111">
        <v>1.8163125354260901E-2</v>
      </c>
      <c r="EE306" s="1111">
        <v>1.8132348564567389E-2</v>
      </c>
      <c r="EF306" s="1111">
        <v>1.775226126902122E-2</v>
      </c>
      <c r="EG306" s="1111">
        <v>1.7930065334771178E-2</v>
      </c>
      <c r="EH306" s="1111">
        <v>1.7967703285096122E-2</v>
      </c>
      <c r="EI306" s="1111">
        <v>1.8000453119017615E-2</v>
      </c>
      <c r="EJ306" s="1111">
        <v>1.8000453119017615E-2</v>
      </c>
      <c r="EK306" s="1111">
        <v>1019.8394907992781</v>
      </c>
      <c r="EL306" s="1111">
        <f t="shared" si="470"/>
        <v>1020.3551411037557</v>
      </c>
      <c r="EM306" s="1111">
        <f t="shared" si="471"/>
        <v>1020.2234899566765</v>
      </c>
      <c r="EN306" s="1111">
        <f t="shared" si="472"/>
        <v>999.2915699461081</v>
      </c>
      <c r="EO306" s="1111">
        <f t="shared" si="473"/>
        <v>980.42445273724934</v>
      </c>
      <c r="EP306" s="1111">
        <f t="shared" si="474"/>
        <v>967.65178250398321</v>
      </c>
      <c r="EQ306" s="1111">
        <f t="shared" si="475"/>
        <v>967.77429215727193</v>
      </c>
      <c r="ER306" s="1111">
        <f t="shared" si="476"/>
        <v>967.89308155207254</v>
      </c>
      <c r="ES306" s="1111">
        <f t="shared" si="477"/>
        <v>967.92625042477914</v>
      </c>
      <c r="ET306" s="1111">
        <f t="shared" si="478"/>
        <v>967.95671487664833</v>
      </c>
      <c r="EU306" s="1111">
        <f t="shared" si="479"/>
        <v>967.95671487664833</v>
      </c>
      <c r="EV306" s="1111">
        <v>4.453180804881864</v>
      </c>
      <c r="EW306" s="1111">
        <f t="shared" si="460"/>
        <v>3.2547317698669271</v>
      </c>
      <c r="EX306" s="1111">
        <f t="shared" si="461"/>
        <v>2.1555915462064736</v>
      </c>
      <c r="EY306" s="1111">
        <f t="shared" si="462"/>
        <v>0.62337907172426621</v>
      </c>
      <c r="EZ306" s="1111">
        <f t="shared" si="463"/>
        <v>0.40261084341729281</v>
      </c>
      <c r="FA306" s="1111">
        <f t="shared" si="464"/>
        <v>0.34550843096322897</v>
      </c>
      <c r="FB306" s="1111">
        <f t="shared" si="465"/>
        <v>0.31769757148741795</v>
      </c>
      <c r="FC306" s="1111">
        <f t="shared" si="466"/>
        <v>0.31691415899888692</v>
      </c>
      <c r="FD306" s="1111">
        <f t="shared" si="467"/>
        <v>0.31716321296489364</v>
      </c>
      <c r="FE306" s="1111">
        <f t="shared" si="468"/>
        <v>0.31739375802750591</v>
      </c>
      <c r="FF306" s="1111">
        <f t="shared" si="469"/>
        <v>0.31739375802750591</v>
      </c>
      <c r="FG306" s="1111">
        <f t="shared" si="389"/>
        <v>5.7760190530050257E-2</v>
      </c>
      <c r="FH306" s="1111">
        <f t="shared" si="390"/>
        <v>2.461440067727675E-2</v>
      </c>
      <c r="FI306" s="1111">
        <f t="shared" si="391"/>
        <v>1.8973742739096827E-2</v>
      </c>
      <c r="FJ306" s="1111">
        <f t="shared" si="392"/>
        <v>6.3491677957305103E-3</v>
      </c>
      <c r="FK306" s="1111">
        <f t="shared" si="393"/>
        <v>6.229291078305505E-3</v>
      </c>
      <c r="FL306" s="1111">
        <f t="shared" si="394"/>
        <v>6.1481397027664305E-3</v>
      </c>
      <c r="FM306" s="1111">
        <f t="shared" si="395"/>
        <v>6.1489183874472789E-3</v>
      </c>
      <c r="FN306" s="1111">
        <f t="shared" si="396"/>
        <v>6.1496743628782144E-3</v>
      </c>
      <c r="FO306" s="1111">
        <f t="shared" si="397"/>
        <v>6.1498848749613954E-3</v>
      </c>
      <c r="FP306" s="1111">
        <f t="shared" si="398"/>
        <v>6.1500786926959802E-3</v>
      </c>
      <c r="FQ306" s="1111">
        <f t="shared" si="399"/>
        <v>6.1500786926959802E-3</v>
      </c>
      <c r="FR306" s="1111">
        <f t="shared" si="449"/>
        <v>0.118159231495387</v>
      </c>
      <c r="FS306" s="1111">
        <f t="shared" si="450"/>
        <v>0.10003482425149357</v>
      </c>
      <c r="FT306" s="1111">
        <f t="shared" si="451"/>
        <v>8.4495314338350599E-2</v>
      </c>
      <c r="FU306" s="1111">
        <f t="shared" si="452"/>
        <v>7.9256376368036688E-2</v>
      </c>
      <c r="FV306" s="1111">
        <f t="shared" si="453"/>
        <v>7.897978512174525E-2</v>
      </c>
      <c r="FW306" s="1111">
        <f t="shared" si="454"/>
        <v>7.9013528615524284E-2</v>
      </c>
      <c r="FX306" s="1111">
        <f t="shared" si="455"/>
        <v>7.9034934094174225E-2</v>
      </c>
      <c r="FY306" s="1111">
        <f t="shared" si="456"/>
        <v>7.8994885117633362E-2</v>
      </c>
      <c r="FZ306" s="1111">
        <f t="shared" si="457"/>
        <v>7.9030930947958933E-2</v>
      </c>
      <c r="GA306" s="1111">
        <f t="shared" si="458"/>
        <v>7.9069837803765641E-2</v>
      </c>
      <c r="GB306" s="1111">
        <f t="shared" si="459"/>
        <v>7.9069837803765641E-2</v>
      </c>
      <c r="GC306" s="1111">
        <f t="shared" si="480"/>
        <v>5.7196953237054794E-2</v>
      </c>
      <c r="GD306" s="1111">
        <f t="shared" si="481"/>
        <v>4.0623980878750715E-2</v>
      </c>
      <c r="GE306" s="1111">
        <f t="shared" si="482"/>
        <v>2.687782547443867E-2</v>
      </c>
      <c r="GF306" s="1111">
        <f t="shared" si="483"/>
        <v>2.2741214519788881E-2</v>
      </c>
      <c r="GG306" s="1111">
        <f t="shared" si="484"/>
        <v>2.2566007379134265E-2</v>
      </c>
      <c r="GH306" s="1111">
        <f t="shared" si="485"/>
        <v>2.2595863805391959E-2</v>
      </c>
      <c r="GI306" s="1111">
        <f t="shared" si="486"/>
        <v>2.26147956863317E-2</v>
      </c>
      <c r="GJ306" s="1111">
        <f t="shared" si="487"/>
        <v>2.2579369856245323E-2</v>
      </c>
      <c r="GK306" s="1111">
        <f t="shared" si="488"/>
        <v>2.2611256107674324E-2</v>
      </c>
      <c r="GL306" s="1111">
        <f t="shared" si="489"/>
        <v>2.2645673266744965E-2</v>
      </c>
      <c r="GM306" s="1111">
        <f t="shared" si="490"/>
        <v>2.2645673266744965E-2</v>
      </c>
    </row>
    <row r="307" spans="1:195" x14ac:dyDescent="0.2">
      <c r="A307" s="1071" t="str">
        <f>Technologies!B186</f>
        <v>*R2,R3,R4,R5,R6</v>
      </c>
      <c r="B307" s="1071" t="str">
        <f>Technologies!C186</f>
        <v>THLLNGC</v>
      </c>
      <c r="C307" s="1071" t="str">
        <f>Technologies!D186</f>
        <v xml:space="preserve">Heavy Truck, Long Haul, Conventional LNG </v>
      </c>
      <c r="D307" s="1071" t="str">
        <f>NewTech!D134</f>
        <v>bn-vmt, bn-vmt/a</v>
      </c>
      <c r="E307" s="1071" t="str">
        <f>Commodities!C$54</f>
        <v>THLNG</v>
      </c>
      <c r="F307" s="1071" t="s">
        <v>100</v>
      </c>
      <c r="G307" s="1110" t="s">
        <v>506</v>
      </c>
      <c r="H307" s="1110" t="s">
        <v>510</v>
      </c>
      <c r="I307" s="1112">
        <v>1</v>
      </c>
      <c r="J307" s="1111" t="str">
        <f t="shared" si="302"/>
        <v>Heavy duty long haul truck-LNG</v>
      </c>
      <c r="K307" s="1111">
        <v>1020.3551411037557</v>
      </c>
      <c r="L307" s="1111">
        <v>1020.2234899566765</v>
      </c>
      <c r="M307" s="1111">
        <v>999.2915699461081</v>
      </c>
      <c r="N307" s="1111">
        <v>980.42445273724934</v>
      </c>
      <c r="O307" s="1111">
        <v>967.65178250398321</v>
      </c>
      <c r="P307" s="1111">
        <v>967.77429215727193</v>
      </c>
      <c r="Q307" s="1111">
        <v>967.89308155207254</v>
      </c>
      <c r="R307" s="1111">
        <v>967.92625042477914</v>
      </c>
      <c r="S307" s="1111">
        <v>967.95671487664833</v>
      </c>
      <c r="T307" s="1111">
        <f t="shared" si="491"/>
        <v>967.95671487664833</v>
      </c>
      <c r="U307" s="1111">
        <v>3.2547317698669271</v>
      </c>
      <c r="V307" s="1111">
        <v>2.1555915462064736</v>
      </c>
      <c r="W307" s="1111">
        <v>0.62337907172426621</v>
      </c>
      <c r="X307" s="1111">
        <v>0.40261084341729281</v>
      </c>
      <c r="Y307" s="1111">
        <v>0.34550843096322897</v>
      </c>
      <c r="Z307" s="1111">
        <v>0.31769757148741795</v>
      </c>
      <c r="AA307" s="1111">
        <v>0.31691415899888692</v>
      </c>
      <c r="AB307" s="1111">
        <v>0.31716321296489364</v>
      </c>
      <c r="AC307" s="1111">
        <v>0.31739375802750591</v>
      </c>
      <c r="AD307" s="1111">
        <f t="shared" si="448"/>
        <v>0.31739375802750591</v>
      </c>
      <c r="AE307" s="1111">
        <v>5.7760190530050257E-2</v>
      </c>
      <c r="AF307" s="1111">
        <v>2.461440067727675E-2</v>
      </c>
      <c r="AG307" s="1111">
        <v>1.8973742739096827E-2</v>
      </c>
      <c r="AH307" s="1111">
        <v>6.3491677957305103E-3</v>
      </c>
      <c r="AI307" s="1111">
        <v>6.229291078305505E-3</v>
      </c>
      <c r="AJ307" s="1111">
        <v>6.1481397027664305E-3</v>
      </c>
      <c r="AK307" s="1111">
        <v>6.1489183874472789E-3</v>
      </c>
      <c r="AL307" s="1111">
        <v>6.1496743628782144E-3</v>
      </c>
      <c r="AM307" s="1111">
        <v>6.1498848749613954E-3</v>
      </c>
      <c r="AN307" s="1111">
        <v>6.1500786926959802E-3</v>
      </c>
      <c r="AO307" s="1111">
        <v>6.1500786926959802E-3</v>
      </c>
      <c r="AP307" s="1111">
        <v>0.118159231495387</v>
      </c>
      <c r="AQ307" s="1111">
        <v>0.10003482425149357</v>
      </c>
      <c r="AR307" s="1111">
        <v>8.4495314338350599E-2</v>
      </c>
      <c r="AS307" s="1111">
        <v>7.9256376368036688E-2</v>
      </c>
      <c r="AT307" s="1111">
        <v>7.897978512174525E-2</v>
      </c>
      <c r="AU307" s="1111">
        <v>7.9013528615524284E-2</v>
      </c>
      <c r="AV307" s="1111">
        <v>7.9034934094174225E-2</v>
      </c>
      <c r="AW307" s="1111">
        <v>7.8994885117633362E-2</v>
      </c>
      <c r="AX307" s="1111">
        <v>7.9030930947958933E-2</v>
      </c>
      <c r="AY307" s="1111">
        <v>7.9069837803765641E-2</v>
      </c>
      <c r="AZ307" s="1111">
        <v>7.9069837803765641E-2</v>
      </c>
      <c r="BA307" s="1111">
        <v>5.7196953237054794E-2</v>
      </c>
      <c r="BB307" s="1111">
        <v>4.0623980878750715E-2</v>
      </c>
      <c r="BC307" s="1111">
        <v>2.687782547443867E-2</v>
      </c>
      <c r="BD307" s="1111">
        <v>2.2741214519788881E-2</v>
      </c>
      <c r="BE307" s="1111">
        <v>2.2566007379134265E-2</v>
      </c>
      <c r="BF307" s="1111">
        <v>2.2595863805391959E-2</v>
      </c>
      <c r="BG307" s="1111">
        <v>2.26147956863317E-2</v>
      </c>
      <c r="BH307" s="1111">
        <v>2.2579369856245323E-2</v>
      </c>
      <c r="BI307" s="1111">
        <v>2.2611256107674324E-2</v>
      </c>
      <c r="BJ307" s="1111">
        <v>2.2645673266744965E-2</v>
      </c>
      <c r="BK307" s="1111">
        <v>2.2645673266744965E-2</v>
      </c>
      <c r="BL307" s="1111">
        <v>47.972530990156521</v>
      </c>
      <c r="BM307" s="1111">
        <v>28.556116955058272</v>
      </c>
      <c r="BN307" s="1111">
        <v>20.549646559976306</v>
      </c>
      <c r="BO307" s="1111">
        <v>14.445037057593046</v>
      </c>
      <c r="BP307" s="1111">
        <v>12.622901477364751</v>
      </c>
      <c r="BQ307" s="1111">
        <v>12.500471248743505</v>
      </c>
      <c r="BR307" s="1111">
        <v>12.371610539704422</v>
      </c>
      <c r="BS307" s="1111">
        <v>12.550099392054333</v>
      </c>
      <c r="BT307" s="1111">
        <v>12.541994647226639</v>
      </c>
      <c r="BU307" s="1111">
        <v>12.523654397948686</v>
      </c>
      <c r="BV307" s="1111">
        <v>12.523654397948686</v>
      </c>
      <c r="BW307" s="1111">
        <v>1.8182606942065824</v>
      </c>
      <c r="BX307" s="1111">
        <v>1.1669593642140019</v>
      </c>
      <c r="BY307" s="1111">
        <v>0.76623264872234798</v>
      </c>
      <c r="BZ307" s="1111">
        <v>0.43593758210799172</v>
      </c>
      <c r="CA307" s="1111">
        <v>0.36195140464062603</v>
      </c>
      <c r="CB307" s="1111">
        <v>0.34158526276864187</v>
      </c>
      <c r="CC307" s="1111">
        <v>0.33112897315858508</v>
      </c>
      <c r="CD307" s="1111">
        <v>0.32864260578554466</v>
      </c>
      <c r="CE307" s="1111">
        <v>0.33024410646544156</v>
      </c>
      <c r="CF307" s="1111">
        <v>0.3320664905778884</v>
      </c>
      <c r="CG307" s="1111">
        <v>0.3320664905778884</v>
      </c>
      <c r="CH307" s="1111">
        <v>3.8628584767367767E-2</v>
      </c>
      <c r="CI307" s="1111">
        <v>3.8626750431021199E-2</v>
      </c>
      <c r="CJ307" s="1111">
        <v>3.8631460005066939E-2</v>
      </c>
      <c r="CK307" s="1111">
        <v>3.8640978297890052E-2</v>
      </c>
      <c r="CL307" s="1111">
        <v>3.8648358022866057E-2</v>
      </c>
      <c r="CM307" s="1111">
        <v>3.8650933503227097E-2</v>
      </c>
      <c r="CN307" s="1111">
        <v>3.8650938084240673E-2</v>
      </c>
      <c r="CO307" s="1111">
        <v>3.8650937224449171E-2</v>
      </c>
      <c r="CP307" s="1111">
        <v>3.8650934379318956E-2</v>
      </c>
      <c r="CQ307" s="1111">
        <v>3.865093962024406E-2</v>
      </c>
      <c r="CR307" s="1111">
        <v>3.865093962024406E-2</v>
      </c>
      <c r="CS307" s="1111">
        <v>4.453180804881864</v>
      </c>
      <c r="CT307" s="1111">
        <v>3.2547317698669271</v>
      </c>
      <c r="CU307" s="1111">
        <v>2.1555915462064736</v>
      </c>
      <c r="CV307" s="1111">
        <v>0.62337907172426621</v>
      </c>
      <c r="CW307" s="1111">
        <v>0.40261084341729281</v>
      </c>
      <c r="CX307" s="1111">
        <v>0.34550843096322897</v>
      </c>
      <c r="CY307" s="1111">
        <v>0.31769757148741795</v>
      </c>
      <c r="CZ307" s="1111">
        <v>0.31691415899888692</v>
      </c>
      <c r="DA307" s="1111">
        <v>0.31716321296489364</v>
      </c>
      <c r="DB307" s="1111">
        <v>0.31739375802750591</v>
      </c>
      <c r="DC307" s="1111">
        <v>0.31739375802750591</v>
      </c>
      <c r="DD307" s="1111">
        <v>8.4618435807310901E-3</v>
      </c>
      <c r="DE307" s="1111">
        <v>5.582477734601141E-3</v>
      </c>
      <c r="DF307" s="1111">
        <v>3.3037857638444934E-3</v>
      </c>
      <c r="DG307" s="1111">
        <v>2.7435421434771584E-3</v>
      </c>
      <c r="DH307" s="1111">
        <v>2.6596327326652057E-3</v>
      </c>
      <c r="DI307" s="1111">
        <v>2.6810534446588602E-3</v>
      </c>
      <c r="DJ307" s="1111">
        <v>2.68992317602929E-3</v>
      </c>
      <c r="DK307" s="1111">
        <v>2.6843011275704282E-3</v>
      </c>
      <c r="DL307" s="1111">
        <v>2.693521842385466E-3</v>
      </c>
      <c r="DM307" s="1111">
        <v>2.7034957820921053E-3</v>
      </c>
      <c r="DN307" s="1111">
        <v>2.7034957820921053E-3</v>
      </c>
      <c r="DO307" s="1111">
        <v>2.733686553814714E-2</v>
      </c>
      <c r="DP307" s="1111">
        <v>1.8332271788011459E-2</v>
      </c>
      <c r="DQ307" s="1111">
        <v>1.0522373499872563E-2</v>
      </c>
      <c r="DR307" s="1111">
        <v>8.2106858583474232E-3</v>
      </c>
      <c r="DS307" s="1111">
        <v>8.1464823839333782E-3</v>
      </c>
      <c r="DT307" s="1111">
        <v>8.1548441301475764E-3</v>
      </c>
      <c r="DU307" s="1111">
        <v>8.1625855885729438E-3</v>
      </c>
      <c r="DV307" s="1111">
        <v>8.1414389894490409E-3</v>
      </c>
      <c r="DW307" s="1111">
        <v>8.1579958309337917E-3</v>
      </c>
      <c r="DX307" s="1111">
        <v>8.1758856290748885E-3</v>
      </c>
      <c r="DY307" s="1111">
        <v>8.1758856290748885E-3</v>
      </c>
      <c r="DZ307" s="1111">
        <v>7.2532435416401364E-2</v>
      </c>
      <c r="EA307" s="1111">
        <v>2.3093150126090367E-2</v>
      </c>
      <c r="EB307" s="1111">
        <v>1.7349105349035911E-2</v>
      </c>
      <c r="EC307" s="1111">
        <v>1.8133988035365575E-2</v>
      </c>
      <c r="ED307" s="1111">
        <v>1.8163125354260901E-2</v>
      </c>
      <c r="EE307" s="1111">
        <v>1.8132348564567389E-2</v>
      </c>
      <c r="EF307" s="1111">
        <v>1.775226126902122E-2</v>
      </c>
      <c r="EG307" s="1111">
        <v>1.7930065334771178E-2</v>
      </c>
      <c r="EH307" s="1111">
        <v>1.7967703285096122E-2</v>
      </c>
      <c r="EI307" s="1111">
        <v>1.8000453119017615E-2</v>
      </c>
      <c r="EJ307" s="1111">
        <v>1.8000453119017615E-2</v>
      </c>
      <c r="EK307" s="1111">
        <v>1019.8394907992781</v>
      </c>
      <c r="EL307" s="1111">
        <f t="shared" si="470"/>
        <v>1020.3551411037557</v>
      </c>
      <c r="EM307" s="1111">
        <f t="shared" si="471"/>
        <v>1020.2234899566765</v>
      </c>
      <c r="EN307" s="1111">
        <f t="shared" si="472"/>
        <v>999.2915699461081</v>
      </c>
      <c r="EO307" s="1111">
        <f t="shared" si="473"/>
        <v>980.42445273724934</v>
      </c>
      <c r="EP307" s="1111">
        <f t="shared" si="474"/>
        <v>967.65178250398321</v>
      </c>
      <c r="EQ307" s="1111">
        <f t="shared" si="475"/>
        <v>967.77429215727193</v>
      </c>
      <c r="ER307" s="1111">
        <f t="shared" si="476"/>
        <v>967.89308155207254</v>
      </c>
      <c r="ES307" s="1111">
        <f t="shared" si="477"/>
        <v>967.92625042477914</v>
      </c>
      <c r="ET307" s="1111">
        <f t="shared" si="478"/>
        <v>967.95671487664833</v>
      </c>
      <c r="EU307" s="1111">
        <f t="shared" si="479"/>
        <v>967.95671487664833</v>
      </c>
      <c r="EV307" s="1111">
        <v>4.453180804881864</v>
      </c>
      <c r="EW307" s="1111">
        <f t="shared" si="460"/>
        <v>3.2547317698669271</v>
      </c>
      <c r="EX307" s="1111">
        <f t="shared" si="461"/>
        <v>2.1555915462064736</v>
      </c>
      <c r="EY307" s="1111">
        <f t="shared" si="462"/>
        <v>0.62337907172426621</v>
      </c>
      <c r="EZ307" s="1111">
        <f t="shared" si="463"/>
        <v>0.40261084341729281</v>
      </c>
      <c r="FA307" s="1111">
        <f t="shared" si="464"/>
        <v>0.34550843096322897</v>
      </c>
      <c r="FB307" s="1111">
        <f t="shared" si="465"/>
        <v>0.31769757148741795</v>
      </c>
      <c r="FC307" s="1111">
        <f t="shared" si="466"/>
        <v>0.31691415899888692</v>
      </c>
      <c r="FD307" s="1111">
        <f t="shared" si="467"/>
        <v>0.31716321296489364</v>
      </c>
      <c r="FE307" s="1111">
        <f t="shared" si="468"/>
        <v>0.31739375802750591</v>
      </c>
      <c r="FF307" s="1111">
        <f t="shared" si="469"/>
        <v>0.31739375802750591</v>
      </c>
      <c r="FG307" s="1111">
        <f t="shared" si="389"/>
        <v>5.7760190530050257E-2</v>
      </c>
      <c r="FH307" s="1111">
        <f t="shared" si="390"/>
        <v>2.461440067727675E-2</v>
      </c>
      <c r="FI307" s="1111">
        <f t="shared" si="391"/>
        <v>1.8973742739096827E-2</v>
      </c>
      <c r="FJ307" s="1111">
        <f t="shared" si="392"/>
        <v>6.3491677957305103E-3</v>
      </c>
      <c r="FK307" s="1111">
        <f t="shared" si="393"/>
        <v>6.229291078305505E-3</v>
      </c>
      <c r="FL307" s="1111">
        <f t="shared" si="394"/>
        <v>6.1481397027664305E-3</v>
      </c>
      <c r="FM307" s="1111">
        <f t="shared" si="395"/>
        <v>6.1489183874472789E-3</v>
      </c>
      <c r="FN307" s="1111">
        <f t="shared" si="396"/>
        <v>6.1496743628782144E-3</v>
      </c>
      <c r="FO307" s="1111">
        <f t="shared" si="397"/>
        <v>6.1498848749613954E-3</v>
      </c>
      <c r="FP307" s="1111">
        <f t="shared" si="398"/>
        <v>6.1500786926959802E-3</v>
      </c>
      <c r="FQ307" s="1111">
        <f t="shared" si="399"/>
        <v>6.1500786926959802E-3</v>
      </c>
      <c r="FR307" s="1111">
        <f t="shared" si="449"/>
        <v>0.118159231495387</v>
      </c>
      <c r="FS307" s="1111">
        <f t="shared" si="450"/>
        <v>0.10003482425149357</v>
      </c>
      <c r="FT307" s="1111">
        <f t="shared" si="451"/>
        <v>8.4495314338350599E-2</v>
      </c>
      <c r="FU307" s="1111">
        <f t="shared" si="452"/>
        <v>7.9256376368036688E-2</v>
      </c>
      <c r="FV307" s="1111">
        <f t="shared" si="453"/>
        <v>7.897978512174525E-2</v>
      </c>
      <c r="FW307" s="1111">
        <f t="shared" si="454"/>
        <v>7.9013528615524284E-2</v>
      </c>
      <c r="FX307" s="1111">
        <f t="shared" si="455"/>
        <v>7.9034934094174225E-2</v>
      </c>
      <c r="FY307" s="1111">
        <f t="shared" si="456"/>
        <v>7.8994885117633362E-2</v>
      </c>
      <c r="FZ307" s="1111">
        <f t="shared" si="457"/>
        <v>7.9030930947958933E-2</v>
      </c>
      <c r="GA307" s="1111">
        <f t="shared" si="458"/>
        <v>7.9069837803765641E-2</v>
      </c>
      <c r="GB307" s="1111">
        <f t="shared" si="459"/>
        <v>7.9069837803765641E-2</v>
      </c>
      <c r="GC307" s="1111">
        <f t="shared" si="480"/>
        <v>5.7196953237054794E-2</v>
      </c>
      <c r="GD307" s="1111">
        <f t="shared" si="481"/>
        <v>4.0623980878750715E-2</v>
      </c>
      <c r="GE307" s="1111">
        <f t="shared" si="482"/>
        <v>2.687782547443867E-2</v>
      </c>
      <c r="GF307" s="1111">
        <f t="shared" si="483"/>
        <v>2.2741214519788881E-2</v>
      </c>
      <c r="GG307" s="1111">
        <f t="shared" si="484"/>
        <v>2.2566007379134265E-2</v>
      </c>
      <c r="GH307" s="1111">
        <f t="shared" si="485"/>
        <v>2.2595863805391959E-2</v>
      </c>
      <c r="GI307" s="1111">
        <f t="shared" si="486"/>
        <v>2.26147956863317E-2</v>
      </c>
      <c r="GJ307" s="1111">
        <f t="shared" si="487"/>
        <v>2.2579369856245323E-2</v>
      </c>
      <c r="GK307" s="1111">
        <f t="shared" si="488"/>
        <v>2.2611256107674324E-2</v>
      </c>
      <c r="GL307" s="1111">
        <f t="shared" si="489"/>
        <v>2.2645673266744965E-2</v>
      </c>
      <c r="GM307" s="1111">
        <f t="shared" si="490"/>
        <v>2.2645673266744965E-2</v>
      </c>
    </row>
    <row r="308" spans="1:195" x14ac:dyDescent="0.2">
      <c r="A308" s="1071" t="str">
        <f>Technologies!B187</f>
        <v>*R2,R3,R4,R5,R6</v>
      </c>
      <c r="B308" s="1071" t="str">
        <f>Technologies!C187</f>
        <v>THLLNGADV</v>
      </c>
      <c r="C308" s="1071" t="str">
        <f>Technologies!D187</f>
        <v>Heavy Truck, Long Haul, Advanced LNG</v>
      </c>
      <c r="D308" s="1071" t="str">
        <f>NewTech!D135</f>
        <v>bn-vmt, bn-vmt/a</v>
      </c>
      <c r="E308" s="1071" t="str">
        <f>Commodities!C$54</f>
        <v>THLNG</v>
      </c>
      <c r="F308" s="1071" t="s">
        <v>100</v>
      </c>
      <c r="G308" s="1110" t="s">
        <v>506</v>
      </c>
      <c r="H308" s="1110" t="s">
        <v>510</v>
      </c>
      <c r="I308" s="1112">
        <v>1</v>
      </c>
      <c r="J308" s="1111" t="str">
        <f t="shared" si="302"/>
        <v>Heavy duty long haul truck-LNG</v>
      </c>
      <c r="K308" s="1111">
        <v>1020.3551411037557</v>
      </c>
      <c r="L308" s="1111">
        <v>1020.2234899566765</v>
      </c>
      <c r="M308" s="1111">
        <v>999.2915699461081</v>
      </c>
      <c r="N308" s="1111">
        <v>980.42445273724934</v>
      </c>
      <c r="O308" s="1111">
        <v>967.65178250398321</v>
      </c>
      <c r="P308" s="1111">
        <v>967.77429215727193</v>
      </c>
      <c r="Q308" s="1111">
        <v>967.89308155207254</v>
      </c>
      <c r="R308" s="1111">
        <v>967.92625042477914</v>
      </c>
      <c r="S308" s="1111">
        <v>967.95671487664833</v>
      </c>
      <c r="T308" s="1111">
        <f t="shared" si="491"/>
        <v>967.95671487664833</v>
      </c>
      <c r="U308" s="1111">
        <v>3.2547317698669271</v>
      </c>
      <c r="V308" s="1111">
        <v>2.1555915462064736</v>
      </c>
      <c r="W308" s="1111">
        <v>0.62337907172426621</v>
      </c>
      <c r="X308" s="1111">
        <v>0.40261084341729281</v>
      </c>
      <c r="Y308" s="1111">
        <v>0.34550843096322897</v>
      </c>
      <c r="Z308" s="1111">
        <v>0.31769757148741795</v>
      </c>
      <c r="AA308" s="1111">
        <v>0.31691415899888692</v>
      </c>
      <c r="AB308" s="1111">
        <v>0.31716321296489364</v>
      </c>
      <c r="AC308" s="1111">
        <v>0.31739375802750591</v>
      </c>
      <c r="AD308" s="1111">
        <f t="shared" si="448"/>
        <v>0.31739375802750591</v>
      </c>
      <c r="AE308" s="1111">
        <v>5.7760190530050257E-2</v>
      </c>
      <c r="AF308" s="1111">
        <v>2.461440067727675E-2</v>
      </c>
      <c r="AG308" s="1111">
        <v>1.8973742739096827E-2</v>
      </c>
      <c r="AH308" s="1111">
        <v>6.3491677957305103E-3</v>
      </c>
      <c r="AI308" s="1111">
        <v>6.229291078305505E-3</v>
      </c>
      <c r="AJ308" s="1111">
        <v>6.1481397027664305E-3</v>
      </c>
      <c r="AK308" s="1111">
        <v>6.1489183874472789E-3</v>
      </c>
      <c r="AL308" s="1111">
        <v>6.1496743628782144E-3</v>
      </c>
      <c r="AM308" s="1111">
        <v>6.1498848749613954E-3</v>
      </c>
      <c r="AN308" s="1111">
        <v>6.1500786926959802E-3</v>
      </c>
      <c r="AO308" s="1111">
        <v>6.1500786926959802E-3</v>
      </c>
      <c r="AP308" s="1111">
        <v>0.118159231495387</v>
      </c>
      <c r="AQ308" s="1111">
        <v>0.10003482425149357</v>
      </c>
      <c r="AR308" s="1111">
        <v>8.4495314338350599E-2</v>
      </c>
      <c r="AS308" s="1111">
        <v>7.9256376368036688E-2</v>
      </c>
      <c r="AT308" s="1111">
        <v>7.897978512174525E-2</v>
      </c>
      <c r="AU308" s="1111">
        <v>7.9013528615524284E-2</v>
      </c>
      <c r="AV308" s="1111">
        <v>7.9034934094174225E-2</v>
      </c>
      <c r="AW308" s="1111">
        <v>7.8994885117633362E-2</v>
      </c>
      <c r="AX308" s="1111">
        <v>7.9030930947958933E-2</v>
      </c>
      <c r="AY308" s="1111">
        <v>7.9069837803765641E-2</v>
      </c>
      <c r="AZ308" s="1111">
        <v>7.9069837803765641E-2</v>
      </c>
      <c r="BA308" s="1111">
        <v>5.7196953237054794E-2</v>
      </c>
      <c r="BB308" s="1111">
        <v>4.0623980878750715E-2</v>
      </c>
      <c r="BC308" s="1111">
        <v>2.687782547443867E-2</v>
      </c>
      <c r="BD308" s="1111">
        <v>2.2741214519788881E-2</v>
      </c>
      <c r="BE308" s="1111">
        <v>2.2566007379134265E-2</v>
      </c>
      <c r="BF308" s="1111">
        <v>2.2595863805391959E-2</v>
      </c>
      <c r="BG308" s="1111">
        <v>2.26147956863317E-2</v>
      </c>
      <c r="BH308" s="1111">
        <v>2.2579369856245323E-2</v>
      </c>
      <c r="BI308" s="1111">
        <v>2.2611256107674324E-2</v>
      </c>
      <c r="BJ308" s="1111">
        <v>2.2645673266744965E-2</v>
      </c>
      <c r="BK308" s="1111">
        <v>2.2645673266744965E-2</v>
      </c>
      <c r="BL308" s="1111">
        <v>47.972530990156521</v>
      </c>
      <c r="BM308" s="1111">
        <v>28.556116955058272</v>
      </c>
      <c r="BN308" s="1111">
        <v>20.549646559976306</v>
      </c>
      <c r="BO308" s="1111">
        <v>14.445037057593046</v>
      </c>
      <c r="BP308" s="1111">
        <v>12.622901477364751</v>
      </c>
      <c r="BQ308" s="1111">
        <v>12.500471248743505</v>
      </c>
      <c r="BR308" s="1111">
        <v>12.371610539704422</v>
      </c>
      <c r="BS308" s="1111">
        <v>12.550099392054333</v>
      </c>
      <c r="BT308" s="1111">
        <v>12.541994647226639</v>
      </c>
      <c r="BU308" s="1111">
        <v>12.523654397948686</v>
      </c>
      <c r="BV308" s="1111">
        <v>12.523654397948686</v>
      </c>
      <c r="BW308" s="1111">
        <v>1.8182606942065824</v>
      </c>
      <c r="BX308" s="1111">
        <v>1.1669593642140019</v>
      </c>
      <c r="BY308" s="1111">
        <v>0.76623264872234798</v>
      </c>
      <c r="BZ308" s="1111">
        <v>0.43593758210799172</v>
      </c>
      <c r="CA308" s="1111">
        <v>0.36195140464062603</v>
      </c>
      <c r="CB308" s="1111">
        <v>0.34158526276864187</v>
      </c>
      <c r="CC308" s="1111">
        <v>0.33112897315858508</v>
      </c>
      <c r="CD308" s="1111">
        <v>0.32864260578554466</v>
      </c>
      <c r="CE308" s="1111">
        <v>0.33024410646544156</v>
      </c>
      <c r="CF308" s="1111">
        <v>0.3320664905778884</v>
      </c>
      <c r="CG308" s="1111">
        <v>0.3320664905778884</v>
      </c>
      <c r="CH308" s="1111">
        <v>3.8628584767367767E-2</v>
      </c>
      <c r="CI308" s="1111">
        <v>3.8626750431021199E-2</v>
      </c>
      <c r="CJ308" s="1111">
        <v>3.8631460005066939E-2</v>
      </c>
      <c r="CK308" s="1111">
        <v>3.8640978297890052E-2</v>
      </c>
      <c r="CL308" s="1111">
        <v>3.8648358022866057E-2</v>
      </c>
      <c r="CM308" s="1111">
        <v>3.8650933503227097E-2</v>
      </c>
      <c r="CN308" s="1111">
        <v>3.8650938084240673E-2</v>
      </c>
      <c r="CO308" s="1111">
        <v>3.8650937224449171E-2</v>
      </c>
      <c r="CP308" s="1111">
        <v>3.8650934379318956E-2</v>
      </c>
      <c r="CQ308" s="1111">
        <v>3.865093962024406E-2</v>
      </c>
      <c r="CR308" s="1111">
        <v>3.865093962024406E-2</v>
      </c>
      <c r="CS308" s="1111">
        <v>4.453180804881864</v>
      </c>
      <c r="CT308" s="1111">
        <v>3.2547317698669271</v>
      </c>
      <c r="CU308" s="1111">
        <v>2.1555915462064736</v>
      </c>
      <c r="CV308" s="1111">
        <v>0.62337907172426621</v>
      </c>
      <c r="CW308" s="1111">
        <v>0.40261084341729281</v>
      </c>
      <c r="CX308" s="1111">
        <v>0.34550843096322897</v>
      </c>
      <c r="CY308" s="1111">
        <v>0.31769757148741795</v>
      </c>
      <c r="CZ308" s="1111">
        <v>0.31691415899888692</v>
      </c>
      <c r="DA308" s="1111">
        <v>0.31716321296489364</v>
      </c>
      <c r="DB308" s="1111">
        <v>0.31739375802750591</v>
      </c>
      <c r="DC308" s="1111">
        <v>0.31739375802750591</v>
      </c>
      <c r="DD308" s="1111">
        <v>8.4618435807310901E-3</v>
      </c>
      <c r="DE308" s="1111">
        <v>5.582477734601141E-3</v>
      </c>
      <c r="DF308" s="1111">
        <v>3.3037857638444934E-3</v>
      </c>
      <c r="DG308" s="1111">
        <v>2.7435421434771584E-3</v>
      </c>
      <c r="DH308" s="1111">
        <v>2.6596327326652057E-3</v>
      </c>
      <c r="DI308" s="1111">
        <v>2.6810534446588602E-3</v>
      </c>
      <c r="DJ308" s="1111">
        <v>2.68992317602929E-3</v>
      </c>
      <c r="DK308" s="1111">
        <v>2.6843011275704282E-3</v>
      </c>
      <c r="DL308" s="1111">
        <v>2.693521842385466E-3</v>
      </c>
      <c r="DM308" s="1111">
        <v>2.7034957820921053E-3</v>
      </c>
      <c r="DN308" s="1111">
        <v>2.7034957820921053E-3</v>
      </c>
      <c r="DO308" s="1111">
        <v>2.733686553814714E-2</v>
      </c>
      <c r="DP308" s="1111">
        <v>1.8332271788011459E-2</v>
      </c>
      <c r="DQ308" s="1111">
        <v>1.0522373499872563E-2</v>
      </c>
      <c r="DR308" s="1111">
        <v>8.2106858583474232E-3</v>
      </c>
      <c r="DS308" s="1111">
        <v>8.1464823839333782E-3</v>
      </c>
      <c r="DT308" s="1111">
        <v>8.1548441301475764E-3</v>
      </c>
      <c r="DU308" s="1111">
        <v>8.1625855885729438E-3</v>
      </c>
      <c r="DV308" s="1111">
        <v>8.1414389894490409E-3</v>
      </c>
      <c r="DW308" s="1111">
        <v>8.1579958309337917E-3</v>
      </c>
      <c r="DX308" s="1111">
        <v>8.1758856290748885E-3</v>
      </c>
      <c r="DY308" s="1111">
        <v>8.1758856290748885E-3</v>
      </c>
      <c r="DZ308" s="1111">
        <v>7.2532435416401364E-2</v>
      </c>
      <c r="EA308" s="1111">
        <v>2.3093150126090367E-2</v>
      </c>
      <c r="EB308" s="1111">
        <v>1.7349105349035911E-2</v>
      </c>
      <c r="EC308" s="1111">
        <v>1.8133988035365575E-2</v>
      </c>
      <c r="ED308" s="1111">
        <v>1.8163125354260901E-2</v>
      </c>
      <c r="EE308" s="1111">
        <v>1.8132348564567389E-2</v>
      </c>
      <c r="EF308" s="1111">
        <v>1.775226126902122E-2</v>
      </c>
      <c r="EG308" s="1111">
        <v>1.7930065334771178E-2</v>
      </c>
      <c r="EH308" s="1111">
        <v>1.7967703285096122E-2</v>
      </c>
      <c r="EI308" s="1111">
        <v>1.8000453119017615E-2</v>
      </c>
      <c r="EJ308" s="1111">
        <v>1.8000453119017615E-2</v>
      </c>
      <c r="EK308" s="1111">
        <v>1019.8394907992781</v>
      </c>
      <c r="EL308" s="1111">
        <f t="shared" si="470"/>
        <v>1020.3551411037557</v>
      </c>
      <c r="EM308" s="1111">
        <f t="shared" si="471"/>
        <v>1020.2234899566765</v>
      </c>
      <c r="EN308" s="1111">
        <f t="shared" si="472"/>
        <v>999.2915699461081</v>
      </c>
      <c r="EO308" s="1111">
        <f t="shared" si="473"/>
        <v>980.42445273724934</v>
      </c>
      <c r="EP308" s="1111">
        <f t="shared" si="474"/>
        <v>967.65178250398321</v>
      </c>
      <c r="EQ308" s="1111">
        <f t="shared" si="475"/>
        <v>967.77429215727193</v>
      </c>
      <c r="ER308" s="1111">
        <f t="shared" si="476"/>
        <v>967.89308155207254</v>
      </c>
      <c r="ES308" s="1111">
        <f t="shared" si="477"/>
        <v>967.92625042477914</v>
      </c>
      <c r="ET308" s="1111">
        <f t="shared" si="478"/>
        <v>967.95671487664833</v>
      </c>
      <c r="EU308" s="1111">
        <f t="shared" si="479"/>
        <v>967.95671487664833</v>
      </c>
      <c r="EV308" s="1111">
        <v>4.453180804881864</v>
      </c>
      <c r="EW308" s="1111">
        <f t="shared" si="460"/>
        <v>3.2547317698669271</v>
      </c>
      <c r="EX308" s="1111">
        <f t="shared" si="461"/>
        <v>2.1555915462064736</v>
      </c>
      <c r="EY308" s="1111">
        <f t="shared" si="462"/>
        <v>0.62337907172426621</v>
      </c>
      <c r="EZ308" s="1111">
        <f t="shared" si="463"/>
        <v>0.40261084341729281</v>
      </c>
      <c r="FA308" s="1111">
        <f t="shared" si="464"/>
        <v>0.34550843096322897</v>
      </c>
      <c r="FB308" s="1111">
        <f t="shared" si="465"/>
        <v>0.31769757148741795</v>
      </c>
      <c r="FC308" s="1111">
        <f t="shared" si="466"/>
        <v>0.31691415899888692</v>
      </c>
      <c r="FD308" s="1111">
        <f t="shared" si="467"/>
        <v>0.31716321296489364</v>
      </c>
      <c r="FE308" s="1111">
        <f t="shared" si="468"/>
        <v>0.31739375802750591</v>
      </c>
      <c r="FF308" s="1111">
        <f t="shared" si="469"/>
        <v>0.31739375802750591</v>
      </c>
      <c r="FG308" s="1111">
        <f t="shared" si="389"/>
        <v>5.7760190530050257E-2</v>
      </c>
      <c r="FH308" s="1111">
        <f t="shared" si="390"/>
        <v>2.461440067727675E-2</v>
      </c>
      <c r="FI308" s="1111">
        <f t="shared" si="391"/>
        <v>1.8973742739096827E-2</v>
      </c>
      <c r="FJ308" s="1111">
        <f t="shared" si="392"/>
        <v>6.3491677957305103E-3</v>
      </c>
      <c r="FK308" s="1111">
        <f t="shared" si="393"/>
        <v>6.229291078305505E-3</v>
      </c>
      <c r="FL308" s="1111">
        <f t="shared" si="394"/>
        <v>6.1481397027664305E-3</v>
      </c>
      <c r="FM308" s="1111">
        <f t="shared" si="395"/>
        <v>6.1489183874472789E-3</v>
      </c>
      <c r="FN308" s="1111">
        <f t="shared" si="396"/>
        <v>6.1496743628782144E-3</v>
      </c>
      <c r="FO308" s="1111">
        <f t="shared" si="397"/>
        <v>6.1498848749613954E-3</v>
      </c>
      <c r="FP308" s="1111">
        <f t="shared" si="398"/>
        <v>6.1500786926959802E-3</v>
      </c>
      <c r="FQ308" s="1111">
        <f t="shared" si="399"/>
        <v>6.1500786926959802E-3</v>
      </c>
      <c r="FR308" s="1111">
        <f t="shared" si="449"/>
        <v>0.118159231495387</v>
      </c>
      <c r="FS308" s="1111">
        <f t="shared" si="450"/>
        <v>0.10003482425149357</v>
      </c>
      <c r="FT308" s="1111">
        <f t="shared" si="451"/>
        <v>8.4495314338350599E-2</v>
      </c>
      <c r="FU308" s="1111">
        <f t="shared" si="452"/>
        <v>7.9256376368036688E-2</v>
      </c>
      <c r="FV308" s="1111">
        <f t="shared" si="453"/>
        <v>7.897978512174525E-2</v>
      </c>
      <c r="FW308" s="1111">
        <f t="shared" si="454"/>
        <v>7.9013528615524284E-2</v>
      </c>
      <c r="FX308" s="1111">
        <f t="shared" si="455"/>
        <v>7.9034934094174225E-2</v>
      </c>
      <c r="FY308" s="1111">
        <f t="shared" si="456"/>
        <v>7.8994885117633362E-2</v>
      </c>
      <c r="FZ308" s="1111">
        <f t="shared" si="457"/>
        <v>7.9030930947958933E-2</v>
      </c>
      <c r="GA308" s="1111">
        <f t="shared" si="458"/>
        <v>7.9069837803765641E-2</v>
      </c>
      <c r="GB308" s="1111">
        <f t="shared" si="459"/>
        <v>7.9069837803765641E-2</v>
      </c>
      <c r="GC308" s="1111">
        <f t="shared" si="480"/>
        <v>5.7196953237054794E-2</v>
      </c>
      <c r="GD308" s="1111">
        <f t="shared" si="481"/>
        <v>4.0623980878750715E-2</v>
      </c>
      <c r="GE308" s="1111">
        <f t="shared" si="482"/>
        <v>2.687782547443867E-2</v>
      </c>
      <c r="GF308" s="1111">
        <f t="shared" si="483"/>
        <v>2.2741214519788881E-2</v>
      </c>
      <c r="GG308" s="1111">
        <f t="shared" si="484"/>
        <v>2.2566007379134265E-2</v>
      </c>
      <c r="GH308" s="1111">
        <f t="shared" si="485"/>
        <v>2.2595863805391959E-2</v>
      </c>
      <c r="GI308" s="1111">
        <f t="shared" si="486"/>
        <v>2.26147956863317E-2</v>
      </c>
      <c r="GJ308" s="1111">
        <f t="shared" si="487"/>
        <v>2.2579369856245323E-2</v>
      </c>
      <c r="GK308" s="1111">
        <f t="shared" si="488"/>
        <v>2.2611256107674324E-2</v>
      </c>
      <c r="GL308" s="1111">
        <f t="shared" si="489"/>
        <v>2.2645673266744965E-2</v>
      </c>
      <c r="GM308" s="1111">
        <f t="shared" si="490"/>
        <v>2.2645673266744965E-2</v>
      </c>
    </row>
    <row r="309" spans="1:195" x14ac:dyDescent="0.2">
      <c r="A309" s="1071" t="str">
        <f>Technologies!B188</f>
        <v>*R2,R3,R4,R5,R6</v>
      </c>
      <c r="B309" s="1071" t="str">
        <f>Technologies!C188</f>
        <v>THLLNGAH</v>
      </c>
      <c r="C309" s="1071" t="str">
        <f>Technologies!D188</f>
        <v>Heavy Truck, Long Haul, Advanced LNG Hybrid</v>
      </c>
      <c r="D309" s="1071" t="str">
        <f>NewTech!D136</f>
        <v>bn-vmt, bn-vmt/a</v>
      </c>
      <c r="E309" s="1071" t="str">
        <f>Commodities!C$54</f>
        <v>THLNG</v>
      </c>
      <c r="F309" s="1071" t="s">
        <v>100</v>
      </c>
      <c r="G309" s="1110" t="s">
        <v>506</v>
      </c>
      <c r="H309" s="1110" t="s">
        <v>510</v>
      </c>
      <c r="I309" s="1112">
        <v>1</v>
      </c>
      <c r="J309" s="1111" t="str">
        <f t="shared" si="302"/>
        <v>Heavy duty long haul truck-LNG</v>
      </c>
      <c r="K309" s="1111">
        <v>1020.3551411037557</v>
      </c>
      <c r="L309" s="1111">
        <v>1020.2234899566765</v>
      </c>
      <c r="M309" s="1111">
        <v>999.2915699461081</v>
      </c>
      <c r="N309" s="1111">
        <v>980.42445273724934</v>
      </c>
      <c r="O309" s="1111">
        <v>967.65178250398321</v>
      </c>
      <c r="P309" s="1111">
        <v>967.77429215727193</v>
      </c>
      <c r="Q309" s="1111">
        <v>967.89308155207254</v>
      </c>
      <c r="R309" s="1111">
        <v>967.92625042477914</v>
      </c>
      <c r="S309" s="1111">
        <v>967.95671487664833</v>
      </c>
      <c r="T309" s="1111">
        <f t="shared" si="491"/>
        <v>967.95671487664833</v>
      </c>
      <c r="U309" s="1111">
        <v>3.2547317698669271</v>
      </c>
      <c r="V309" s="1111">
        <v>2.1555915462064736</v>
      </c>
      <c r="W309" s="1111">
        <v>0.62337907172426621</v>
      </c>
      <c r="X309" s="1111">
        <v>0.40261084341729281</v>
      </c>
      <c r="Y309" s="1111">
        <v>0.34550843096322897</v>
      </c>
      <c r="Z309" s="1111">
        <v>0.31769757148741795</v>
      </c>
      <c r="AA309" s="1111">
        <v>0.31691415899888692</v>
      </c>
      <c r="AB309" s="1111">
        <v>0.31716321296489364</v>
      </c>
      <c r="AC309" s="1111">
        <v>0.31739375802750591</v>
      </c>
      <c r="AD309" s="1111">
        <f t="shared" si="448"/>
        <v>0.31739375802750591</v>
      </c>
      <c r="AE309" s="1111">
        <v>5.7760190530050257E-2</v>
      </c>
      <c r="AF309" s="1111">
        <v>2.461440067727675E-2</v>
      </c>
      <c r="AG309" s="1111">
        <v>1.8973742739096827E-2</v>
      </c>
      <c r="AH309" s="1111">
        <v>6.3491677957305103E-3</v>
      </c>
      <c r="AI309" s="1111">
        <v>6.229291078305505E-3</v>
      </c>
      <c r="AJ309" s="1111">
        <v>6.1481397027664305E-3</v>
      </c>
      <c r="AK309" s="1111">
        <v>6.1489183874472789E-3</v>
      </c>
      <c r="AL309" s="1111">
        <v>6.1496743628782144E-3</v>
      </c>
      <c r="AM309" s="1111">
        <v>6.1498848749613954E-3</v>
      </c>
      <c r="AN309" s="1111">
        <v>6.1500786926959802E-3</v>
      </c>
      <c r="AO309" s="1111">
        <v>6.1500786926959802E-3</v>
      </c>
      <c r="AP309" s="1111">
        <v>0.118159231495387</v>
      </c>
      <c r="AQ309" s="1111">
        <v>0.10003482425149357</v>
      </c>
      <c r="AR309" s="1111">
        <v>8.4495314338350599E-2</v>
      </c>
      <c r="AS309" s="1111">
        <v>7.9256376368036688E-2</v>
      </c>
      <c r="AT309" s="1111">
        <v>7.897978512174525E-2</v>
      </c>
      <c r="AU309" s="1111">
        <v>7.9013528615524284E-2</v>
      </c>
      <c r="AV309" s="1111">
        <v>7.9034934094174225E-2</v>
      </c>
      <c r="AW309" s="1111">
        <v>7.8994885117633362E-2</v>
      </c>
      <c r="AX309" s="1111">
        <v>7.9030930947958933E-2</v>
      </c>
      <c r="AY309" s="1111">
        <v>7.9069837803765641E-2</v>
      </c>
      <c r="AZ309" s="1111">
        <v>7.9069837803765641E-2</v>
      </c>
      <c r="BA309" s="1111">
        <v>5.7196953237054794E-2</v>
      </c>
      <c r="BB309" s="1111">
        <v>4.0623980878750715E-2</v>
      </c>
      <c r="BC309" s="1111">
        <v>2.687782547443867E-2</v>
      </c>
      <c r="BD309" s="1111">
        <v>2.2741214519788881E-2</v>
      </c>
      <c r="BE309" s="1111">
        <v>2.2566007379134265E-2</v>
      </c>
      <c r="BF309" s="1111">
        <v>2.2595863805391959E-2</v>
      </c>
      <c r="BG309" s="1111">
        <v>2.26147956863317E-2</v>
      </c>
      <c r="BH309" s="1111">
        <v>2.2579369856245323E-2</v>
      </c>
      <c r="BI309" s="1111">
        <v>2.2611256107674324E-2</v>
      </c>
      <c r="BJ309" s="1111">
        <v>2.2645673266744965E-2</v>
      </c>
      <c r="BK309" s="1111">
        <v>2.2645673266744965E-2</v>
      </c>
      <c r="BL309" s="1111">
        <v>47.972530990156521</v>
      </c>
      <c r="BM309" s="1111">
        <v>28.556116955058272</v>
      </c>
      <c r="BN309" s="1111">
        <v>20.549646559976306</v>
      </c>
      <c r="BO309" s="1111">
        <v>14.445037057593046</v>
      </c>
      <c r="BP309" s="1111">
        <v>12.622901477364751</v>
      </c>
      <c r="BQ309" s="1111">
        <v>12.500471248743505</v>
      </c>
      <c r="BR309" s="1111">
        <v>12.371610539704422</v>
      </c>
      <c r="BS309" s="1111">
        <v>12.550099392054333</v>
      </c>
      <c r="BT309" s="1111">
        <v>12.541994647226639</v>
      </c>
      <c r="BU309" s="1111">
        <v>12.523654397948686</v>
      </c>
      <c r="BV309" s="1111">
        <v>12.523654397948686</v>
      </c>
      <c r="BW309" s="1111">
        <v>1.8182606942065824</v>
      </c>
      <c r="BX309" s="1111">
        <v>1.1669593642140019</v>
      </c>
      <c r="BY309" s="1111">
        <v>0.76623264872234798</v>
      </c>
      <c r="BZ309" s="1111">
        <v>0.43593758210799172</v>
      </c>
      <c r="CA309" s="1111">
        <v>0.36195140464062603</v>
      </c>
      <c r="CB309" s="1111">
        <v>0.34158526276864187</v>
      </c>
      <c r="CC309" s="1111">
        <v>0.33112897315858508</v>
      </c>
      <c r="CD309" s="1111">
        <v>0.32864260578554466</v>
      </c>
      <c r="CE309" s="1111">
        <v>0.33024410646544156</v>
      </c>
      <c r="CF309" s="1111">
        <v>0.3320664905778884</v>
      </c>
      <c r="CG309" s="1111">
        <v>0.3320664905778884</v>
      </c>
      <c r="CH309" s="1111">
        <v>3.8628584767367767E-2</v>
      </c>
      <c r="CI309" s="1111">
        <v>3.8626750431021199E-2</v>
      </c>
      <c r="CJ309" s="1111">
        <v>3.8631460005066939E-2</v>
      </c>
      <c r="CK309" s="1111">
        <v>3.8640978297890052E-2</v>
      </c>
      <c r="CL309" s="1111">
        <v>3.8648358022866057E-2</v>
      </c>
      <c r="CM309" s="1111">
        <v>3.8650933503227097E-2</v>
      </c>
      <c r="CN309" s="1111">
        <v>3.8650938084240673E-2</v>
      </c>
      <c r="CO309" s="1111">
        <v>3.8650937224449171E-2</v>
      </c>
      <c r="CP309" s="1111">
        <v>3.8650934379318956E-2</v>
      </c>
      <c r="CQ309" s="1111">
        <v>3.865093962024406E-2</v>
      </c>
      <c r="CR309" s="1111">
        <v>3.865093962024406E-2</v>
      </c>
      <c r="CS309" s="1111">
        <v>4.453180804881864</v>
      </c>
      <c r="CT309" s="1111">
        <v>3.2547317698669271</v>
      </c>
      <c r="CU309" s="1111">
        <v>2.1555915462064736</v>
      </c>
      <c r="CV309" s="1111">
        <v>0.62337907172426621</v>
      </c>
      <c r="CW309" s="1111">
        <v>0.40261084341729281</v>
      </c>
      <c r="CX309" s="1111">
        <v>0.34550843096322897</v>
      </c>
      <c r="CY309" s="1111">
        <v>0.31769757148741795</v>
      </c>
      <c r="CZ309" s="1111">
        <v>0.31691415899888692</v>
      </c>
      <c r="DA309" s="1111">
        <v>0.31716321296489364</v>
      </c>
      <c r="DB309" s="1111">
        <v>0.31739375802750591</v>
      </c>
      <c r="DC309" s="1111">
        <v>0.31739375802750591</v>
      </c>
      <c r="DD309" s="1111">
        <v>8.4618435807310901E-3</v>
      </c>
      <c r="DE309" s="1111">
        <v>5.582477734601141E-3</v>
      </c>
      <c r="DF309" s="1111">
        <v>3.3037857638444934E-3</v>
      </c>
      <c r="DG309" s="1111">
        <v>2.7435421434771584E-3</v>
      </c>
      <c r="DH309" s="1111">
        <v>2.6596327326652057E-3</v>
      </c>
      <c r="DI309" s="1111">
        <v>2.6810534446588602E-3</v>
      </c>
      <c r="DJ309" s="1111">
        <v>2.68992317602929E-3</v>
      </c>
      <c r="DK309" s="1111">
        <v>2.6843011275704282E-3</v>
      </c>
      <c r="DL309" s="1111">
        <v>2.693521842385466E-3</v>
      </c>
      <c r="DM309" s="1111">
        <v>2.7034957820921053E-3</v>
      </c>
      <c r="DN309" s="1111">
        <v>2.7034957820921053E-3</v>
      </c>
      <c r="DO309" s="1111">
        <v>2.733686553814714E-2</v>
      </c>
      <c r="DP309" s="1111">
        <v>1.8332271788011459E-2</v>
      </c>
      <c r="DQ309" s="1111">
        <v>1.0522373499872563E-2</v>
      </c>
      <c r="DR309" s="1111">
        <v>8.2106858583474232E-3</v>
      </c>
      <c r="DS309" s="1111">
        <v>8.1464823839333782E-3</v>
      </c>
      <c r="DT309" s="1111">
        <v>8.1548441301475764E-3</v>
      </c>
      <c r="DU309" s="1111">
        <v>8.1625855885729438E-3</v>
      </c>
      <c r="DV309" s="1111">
        <v>8.1414389894490409E-3</v>
      </c>
      <c r="DW309" s="1111">
        <v>8.1579958309337917E-3</v>
      </c>
      <c r="DX309" s="1111">
        <v>8.1758856290748885E-3</v>
      </c>
      <c r="DY309" s="1111">
        <v>8.1758856290748885E-3</v>
      </c>
      <c r="DZ309" s="1111">
        <v>7.2532435416401364E-2</v>
      </c>
      <c r="EA309" s="1111">
        <v>2.3093150126090367E-2</v>
      </c>
      <c r="EB309" s="1111">
        <v>1.7349105349035911E-2</v>
      </c>
      <c r="EC309" s="1111">
        <v>1.8133988035365575E-2</v>
      </c>
      <c r="ED309" s="1111">
        <v>1.8163125354260901E-2</v>
      </c>
      <c r="EE309" s="1111">
        <v>1.8132348564567389E-2</v>
      </c>
      <c r="EF309" s="1111">
        <v>1.775226126902122E-2</v>
      </c>
      <c r="EG309" s="1111">
        <v>1.7930065334771178E-2</v>
      </c>
      <c r="EH309" s="1111">
        <v>1.7967703285096122E-2</v>
      </c>
      <c r="EI309" s="1111">
        <v>1.8000453119017615E-2</v>
      </c>
      <c r="EJ309" s="1111">
        <v>1.8000453119017615E-2</v>
      </c>
      <c r="EK309" s="1111">
        <v>1019.8394907992781</v>
      </c>
      <c r="EL309" s="1111">
        <f t="shared" si="470"/>
        <v>1020.3551411037557</v>
      </c>
      <c r="EM309" s="1111">
        <f t="shared" si="471"/>
        <v>1020.2234899566765</v>
      </c>
      <c r="EN309" s="1111">
        <f t="shared" si="472"/>
        <v>999.2915699461081</v>
      </c>
      <c r="EO309" s="1111">
        <f t="shared" si="473"/>
        <v>980.42445273724934</v>
      </c>
      <c r="EP309" s="1111">
        <f t="shared" si="474"/>
        <v>967.65178250398321</v>
      </c>
      <c r="EQ309" s="1111">
        <f t="shared" si="475"/>
        <v>967.77429215727193</v>
      </c>
      <c r="ER309" s="1111">
        <f t="shared" si="476"/>
        <v>967.89308155207254</v>
      </c>
      <c r="ES309" s="1111">
        <f t="shared" si="477"/>
        <v>967.92625042477914</v>
      </c>
      <c r="ET309" s="1111">
        <f t="shared" si="478"/>
        <v>967.95671487664833</v>
      </c>
      <c r="EU309" s="1111">
        <f t="shared" si="479"/>
        <v>967.95671487664833</v>
      </c>
      <c r="EV309" s="1111">
        <v>4.453180804881864</v>
      </c>
      <c r="EW309" s="1111">
        <f t="shared" si="460"/>
        <v>3.2547317698669271</v>
      </c>
      <c r="EX309" s="1111">
        <f t="shared" si="461"/>
        <v>2.1555915462064736</v>
      </c>
      <c r="EY309" s="1111">
        <f t="shared" si="462"/>
        <v>0.62337907172426621</v>
      </c>
      <c r="EZ309" s="1111">
        <f t="shared" si="463"/>
        <v>0.40261084341729281</v>
      </c>
      <c r="FA309" s="1111">
        <f t="shared" si="464"/>
        <v>0.34550843096322897</v>
      </c>
      <c r="FB309" s="1111">
        <f t="shared" si="465"/>
        <v>0.31769757148741795</v>
      </c>
      <c r="FC309" s="1111">
        <f t="shared" si="466"/>
        <v>0.31691415899888692</v>
      </c>
      <c r="FD309" s="1111">
        <f t="shared" si="467"/>
        <v>0.31716321296489364</v>
      </c>
      <c r="FE309" s="1111">
        <f t="shared" si="468"/>
        <v>0.31739375802750591</v>
      </c>
      <c r="FF309" s="1111">
        <f t="shared" si="469"/>
        <v>0.31739375802750591</v>
      </c>
      <c r="FG309" s="1111">
        <f t="shared" si="389"/>
        <v>5.7760190530050257E-2</v>
      </c>
      <c r="FH309" s="1111">
        <f t="shared" si="390"/>
        <v>2.461440067727675E-2</v>
      </c>
      <c r="FI309" s="1111">
        <f t="shared" si="391"/>
        <v>1.8973742739096827E-2</v>
      </c>
      <c r="FJ309" s="1111">
        <f t="shared" si="392"/>
        <v>6.3491677957305103E-3</v>
      </c>
      <c r="FK309" s="1111">
        <f t="shared" si="393"/>
        <v>6.229291078305505E-3</v>
      </c>
      <c r="FL309" s="1111">
        <f t="shared" si="394"/>
        <v>6.1481397027664305E-3</v>
      </c>
      <c r="FM309" s="1111">
        <f t="shared" si="395"/>
        <v>6.1489183874472789E-3</v>
      </c>
      <c r="FN309" s="1111">
        <f t="shared" si="396"/>
        <v>6.1496743628782144E-3</v>
      </c>
      <c r="FO309" s="1111">
        <f t="shared" si="397"/>
        <v>6.1498848749613954E-3</v>
      </c>
      <c r="FP309" s="1111">
        <f t="shared" si="398"/>
        <v>6.1500786926959802E-3</v>
      </c>
      <c r="FQ309" s="1111">
        <f t="shared" si="399"/>
        <v>6.1500786926959802E-3</v>
      </c>
      <c r="FR309" s="1111">
        <f t="shared" si="449"/>
        <v>0.118159231495387</v>
      </c>
      <c r="FS309" s="1111">
        <f t="shared" si="450"/>
        <v>0.10003482425149357</v>
      </c>
      <c r="FT309" s="1111">
        <f t="shared" si="451"/>
        <v>8.4495314338350599E-2</v>
      </c>
      <c r="FU309" s="1111">
        <f t="shared" si="452"/>
        <v>7.9256376368036688E-2</v>
      </c>
      <c r="FV309" s="1111">
        <f t="shared" si="453"/>
        <v>7.897978512174525E-2</v>
      </c>
      <c r="FW309" s="1111">
        <f t="shared" si="454"/>
        <v>7.9013528615524284E-2</v>
      </c>
      <c r="FX309" s="1111">
        <f t="shared" si="455"/>
        <v>7.9034934094174225E-2</v>
      </c>
      <c r="FY309" s="1111">
        <f t="shared" si="456"/>
        <v>7.8994885117633362E-2</v>
      </c>
      <c r="FZ309" s="1111">
        <f t="shared" si="457"/>
        <v>7.9030930947958933E-2</v>
      </c>
      <c r="GA309" s="1111">
        <f t="shared" si="458"/>
        <v>7.9069837803765641E-2</v>
      </c>
      <c r="GB309" s="1111">
        <f t="shared" si="459"/>
        <v>7.9069837803765641E-2</v>
      </c>
      <c r="GC309" s="1111">
        <f t="shared" si="480"/>
        <v>5.7196953237054794E-2</v>
      </c>
      <c r="GD309" s="1111">
        <f t="shared" si="481"/>
        <v>4.0623980878750715E-2</v>
      </c>
      <c r="GE309" s="1111">
        <f t="shared" si="482"/>
        <v>2.687782547443867E-2</v>
      </c>
      <c r="GF309" s="1111">
        <f t="shared" si="483"/>
        <v>2.2741214519788881E-2</v>
      </c>
      <c r="GG309" s="1111">
        <f t="shared" si="484"/>
        <v>2.2566007379134265E-2</v>
      </c>
      <c r="GH309" s="1111">
        <f t="shared" si="485"/>
        <v>2.2595863805391959E-2</v>
      </c>
      <c r="GI309" s="1111">
        <f t="shared" si="486"/>
        <v>2.26147956863317E-2</v>
      </c>
      <c r="GJ309" s="1111">
        <f t="shared" si="487"/>
        <v>2.2579369856245323E-2</v>
      </c>
      <c r="GK309" s="1111">
        <f t="shared" si="488"/>
        <v>2.2611256107674324E-2</v>
      </c>
      <c r="GL309" s="1111">
        <f t="shared" si="489"/>
        <v>2.2645673266744965E-2</v>
      </c>
      <c r="GM309" s="1111">
        <f t="shared" si="490"/>
        <v>2.2645673266744965E-2</v>
      </c>
    </row>
    <row r="310" spans="1:195" x14ac:dyDescent="0.2">
      <c r="A310" s="1071" t="str">
        <f>Technologies!B189</f>
        <v>*R2,R3,R4,R5,R6</v>
      </c>
      <c r="B310" s="1071" t="str">
        <f>Technologies!C189</f>
        <v>THLLNGSW</v>
      </c>
      <c r="C310" s="1071" t="str">
        <f>Technologies!D189</f>
        <v>Heavy Truck, Long Haul, LNG Smartway</v>
      </c>
      <c r="D310" s="1071" t="str">
        <f>NewTech!D137</f>
        <v>bn-vmt, bn-vmt/a</v>
      </c>
      <c r="E310" s="1071" t="str">
        <f>Commodities!C$54</f>
        <v>THLNG</v>
      </c>
      <c r="F310" s="1071" t="s">
        <v>100</v>
      </c>
      <c r="G310" s="1110" t="s">
        <v>506</v>
      </c>
      <c r="H310" s="1110" t="s">
        <v>510</v>
      </c>
      <c r="I310" s="1112">
        <v>1</v>
      </c>
      <c r="J310" s="1111" t="str">
        <f t="shared" si="302"/>
        <v>Heavy duty long haul truck-LNG</v>
      </c>
      <c r="K310" s="1111">
        <v>1020.3551411037557</v>
      </c>
      <c r="L310" s="1111">
        <v>1020.2234899566765</v>
      </c>
      <c r="M310" s="1111">
        <v>999.2915699461081</v>
      </c>
      <c r="N310" s="1111">
        <v>980.42445273724934</v>
      </c>
      <c r="O310" s="1111">
        <v>967.65178250398321</v>
      </c>
      <c r="P310" s="1111">
        <v>967.77429215727193</v>
      </c>
      <c r="Q310" s="1111">
        <v>967.89308155207254</v>
      </c>
      <c r="R310" s="1111">
        <v>967.92625042477914</v>
      </c>
      <c r="S310" s="1111">
        <v>967.95671487664833</v>
      </c>
      <c r="T310" s="1111">
        <f t="shared" si="491"/>
        <v>967.95671487664833</v>
      </c>
      <c r="U310" s="1111">
        <v>3.2547317698669271</v>
      </c>
      <c r="V310" s="1111">
        <v>2.1555915462064736</v>
      </c>
      <c r="W310" s="1111">
        <v>0.62337907172426621</v>
      </c>
      <c r="X310" s="1111">
        <v>0.40261084341729281</v>
      </c>
      <c r="Y310" s="1111">
        <v>0.34550843096322897</v>
      </c>
      <c r="Z310" s="1111">
        <v>0.31769757148741795</v>
      </c>
      <c r="AA310" s="1111">
        <v>0.31691415899888692</v>
      </c>
      <c r="AB310" s="1111">
        <v>0.31716321296489364</v>
      </c>
      <c r="AC310" s="1111">
        <v>0.31739375802750591</v>
      </c>
      <c r="AD310" s="1111">
        <f t="shared" si="448"/>
        <v>0.31739375802750591</v>
      </c>
      <c r="AE310" s="1111">
        <v>5.7760190530050257E-2</v>
      </c>
      <c r="AF310" s="1111">
        <v>2.461440067727675E-2</v>
      </c>
      <c r="AG310" s="1111">
        <v>1.8973742739096827E-2</v>
      </c>
      <c r="AH310" s="1111">
        <v>6.3491677957305103E-3</v>
      </c>
      <c r="AI310" s="1111">
        <v>6.229291078305505E-3</v>
      </c>
      <c r="AJ310" s="1111">
        <v>6.1481397027664305E-3</v>
      </c>
      <c r="AK310" s="1111">
        <v>6.1489183874472789E-3</v>
      </c>
      <c r="AL310" s="1111">
        <v>6.1496743628782144E-3</v>
      </c>
      <c r="AM310" s="1111">
        <v>6.1498848749613954E-3</v>
      </c>
      <c r="AN310" s="1111">
        <v>6.1500786926959802E-3</v>
      </c>
      <c r="AO310" s="1111">
        <v>6.1500786926959802E-3</v>
      </c>
      <c r="AP310" s="1111">
        <v>0.118159231495387</v>
      </c>
      <c r="AQ310" s="1111">
        <v>0.10003482425149357</v>
      </c>
      <c r="AR310" s="1111">
        <v>8.4495314338350599E-2</v>
      </c>
      <c r="AS310" s="1111">
        <v>7.9256376368036688E-2</v>
      </c>
      <c r="AT310" s="1111">
        <v>7.897978512174525E-2</v>
      </c>
      <c r="AU310" s="1111">
        <v>7.9013528615524284E-2</v>
      </c>
      <c r="AV310" s="1111">
        <v>7.9034934094174225E-2</v>
      </c>
      <c r="AW310" s="1111">
        <v>7.8994885117633362E-2</v>
      </c>
      <c r="AX310" s="1111">
        <v>7.9030930947958933E-2</v>
      </c>
      <c r="AY310" s="1111">
        <v>7.9069837803765641E-2</v>
      </c>
      <c r="AZ310" s="1111">
        <v>7.9069837803765641E-2</v>
      </c>
      <c r="BA310" s="1111">
        <v>5.7196953237054794E-2</v>
      </c>
      <c r="BB310" s="1111">
        <v>4.0623980878750715E-2</v>
      </c>
      <c r="BC310" s="1111">
        <v>2.687782547443867E-2</v>
      </c>
      <c r="BD310" s="1111">
        <v>2.2741214519788881E-2</v>
      </c>
      <c r="BE310" s="1111">
        <v>2.2566007379134265E-2</v>
      </c>
      <c r="BF310" s="1111">
        <v>2.2595863805391959E-2</v>
      </c>
      <c r="BG310" s="1111">
        <v>2.26147956863317E-2</v>
      </c>
      <c r="BH310" s="1111">
        <v>2.2579369856245323E-2</v>
      </c>
      <c r="BI310" s="1111">
        <v>2.2611256107674324E-2</v>
      </c>
      <c r="BJ310" s="1111">
        <v>2.2645673266744965E-2</v>
      </c>
      <c r="BK310" s="1111">
        <v>2.2645673266744965E-2</v>
      </c>
      <c r="BL310" s="1111">
        <v>47.972530990156521</v>
      </c>
      <c r="BM310" s="1111">
        <v>28.556116955058272</v>
      </c>
      <c r="BN310" s="1111">
        <v>20.549646559976306</v>
      </c>
      <c r="BO310" s="1111">
        <v>14.445037057593046</v>
      </c>
      <c r="BP310" s="1111">
        <v>12.622901477364751</v>
      </c>
      <c r="BQ310" s="1111">
        <v>12.500471248743505</v>
      </c>
      <c r="BR310" s="1111">
        <v>12.371610539704422</v>
      </c>
      <c r="BS310" s="1111">
        <v>12.550099392054333</v>
      </c>
      <c r="BT310" s="1111">
        <v>12.541994647226639</v>
      </c>
      <c r="BU310" s="1111">
        <v>12.523654397948686</v>
      </c>
      <c r="BV310" s="1111">
        <v>12.523654397948686</v>
      </c>
      <c r="BW310" s="1111">
        <v>1.8182606942065824</v>
      </c>
      <c r="BX310" s="1111">
        <v>1.1669593642140019</v>
      </c>
      <c r="BY310" s="1111">
        <v>0.76623264872234798</v>
      </c>
      <c r="BZ310" s="1111">
        <v>0.43593758210799172</v>
      </c>
      <c r="CA310" s="1111">
        <v>0.36195140464062603</v>
      </c>
      <c r="CB310" s="1111">
        <v>0.34158526276864187</v>
      </c>
      <c r="CC310" s="1111">
        <v>0.33112897315858508</v>
      </c>
      <c r="CD310" s="1111">
        <v>0.32864260578554466</v>
      </c>
      <c r="CE310" s="1111">
        <v>0.33024410646544156</v>
      </c>
      <c r="CF310" s="1111">
        <v>0.3320664905778884</v>
      </c>
      <c r="CG310" s="1111">
        <v>0.3320664905778884</v>
      </c>
      <c r="CH310" s="1111">
        <v>3.8628584767367767E-2</v>
      </c>
      <c r="CI310" s="1111">
        <v>3.8626750431021199E-2</v>
      </c>
      <c r="CJ310" s="1111">
        <v>3.8631460005066939E-2</v>
      </c>
      <c r="CK310" s="1111">
        <v>3.8640978297890052E-2</v>
      </c>
      <c r="CL310" s="1111">
        <v>3.8648358022866057E-2</v>
      </c>
      <c r="CM310" s="1111">
        <v>3.8650933503227097E-2</v>
      </c>
      <c r="CN310" s="1111">
        <v>3.8650938084240673E-2</v>
      </c>
      <c r="CO310" s="1111">
        <v>3.8650937224449171E-2</v>
      </c>
      <c r="CP310" s="1111">
        <v>3.8650934379318956E-2</v>
      </c>
      <c r="CQ310" s="1111">
        <v>3.865093962024406E-2</v>
      </c>
      <c r="CR310" s="1111">
        <v>3.865093962024406E-2</v>
      </c>
      <c r="CS310" s="1111">
        <v>4.453180804881864</v>
      </c>
      <c r="CT310" s="1111">
        <v>3.2547317698669271</v>
      </c>
      <c r="CU310" s="1111">
        <v>2.1555915462064736</v>
      </c>
      <c r="CV310" s="1111">
        <v>0.62337907172426621</v>
      </c>
      <c r="CW310" s="1111">
        <v>0.40261084341729281</v>
      </c>
      <c r="CX310" s="1111">
        <v>0.34550843096322897</v>
      </c>
      <c r="CY310" s="1111">
        <v>0.31769757148741795</v>
      </c>
      <c r="CZ310" s="1111">
        <v>0.31691415899888692</v>
      </c>
      <c r="DA310" s="1111">
        <v>0.31716321296489364</v>
      </c>
      <c r="DB310" s="1111">
        <v>0.31739375802750591</v>
      </c>
      <c r="DC310" s="1111">
        <v>0.31739375802750591</v>
      </c>
      <c r="DD310" s="1111">
        <v>8.4618435807310901E-3</v>
      </c>
      <c r="DE310" s="1111">
        <v>5.582477734601141E-3</v>
      </c>
      <c r="DF310" s="1111">
        <v>3.3037857638444934E-3</v>
      </c>
      <c r="DG310" s="1111">
        <v>2.7435421434771584E-3</v>
      </c>
      <c r="DH310" s="1111">
        <v>2.6596327326652057E-3</v>
      </c>
      <c r="DI310" s="1111">
        <v>2.6810534446588602E-3</v>
      </c>
      <c r="DJ310" s="1111">
        <v>2.68992317602929E-3</v>
      </c>
      <c r="DK310" s="1111">
        <v>2.6843011275704282E-3</v>
      </c>
      <c r="DL310" s="1111">
        <v>2.693521842385466E-3</v>
      </c>
      <c r="DM310" s="1111">
        <v>2.7034957820921053E-3</v>
      </c>
      <c r="DN310" s="1111">
        <v>2.7034957820921053E-3</v>
      </c>
      <c r="DO310" s="1111">
        <v>2.733686553814714E-2</v>
      </c>
      <c r="DP310" s="1111">
        <v>1.8332271788011459E-2</v>
      </c>
      <c r="DQ310" s="1111">
        <v>1.0522373499872563E-2</v>
      </c>
      <c r="DR310" s="1111">
        <v>8.2106858583474232E-3</v>
      </c>
      <c r="DS310" s="1111">
        <v>8.1464823839333782E-3</v>
      </c>
      <c r="DT310" s="1111">
        <v>8.1548441301475764E-3</v>
      </c>
      <c r="DU310" s="1111">
        <v>8.1625855885729438E-3</v>
      </c>
      <c r="DV310" s="1111">
        <v>8.1414389894490409E-3</v>
      </c>
      <c r="DW310" s="1111">
        <v>8.1579958309337917E-3</v>
      </c>
      <c r="DX310" s="1111">
        <v>8.1758856290748885E-3</v>
      </c>
      <c r="DY310" s="1111">
        <v>8.1758856290748885E-3</v>
      </c>
      <c r="DZ310" s="1111">
        <v>7.2532435416401364E-2</v>
      </c>
      <c r="EA310" s="1111">
        <v>2.3093150126090367E-2</v>
      </c>
      <c r="EB310" s="1111">
        <v>1.7349105349035911E-2</v>
      </c>
      <c r="EC310" s="1111">
        <v>1.8133988035365575E-2</v>
      </c>
      <c r="ED310" s="1111">
        <v>1.8163125354260901E-2</v>
      </c>
      <c r="EE310" s="1111">
        <v>1.8132348564567389E-2</v>
      </c>
      <c r="EF310" s="1111">
        <v>1.775226126902122E-2</v>
      </c>
      <c r="EG310" s="1111">
        <v>1.7930065334771178E-2</v>
      </c>
      <c r="EH310" s="1111">
        <v>1.7967703285096122E-2</v>
      </c>
      <c r="EI310" s="1111">
        <v>1.8000453119017615E-2</v>
      </c>
      <c r="EJ310" s="1111">
        <v>1.8000453119017615E-2</v>
      </c>
      <c r="EK310" s="1111">
        <v>1019.8394907992781</v>
      </c>
      <c r="EL310" s="1111">
        <f t="shared" si="470"/>
        <v>1020.3551411037557</v>
      </c>
      <c r="EM310" s="1111">
        <f t="shared" si="471"/>
        <v>1020.2234899566765</v>
      </c>
      <c r="EN310" s="1111">
        <f t="shared" si="472"/>
        <v>999.2915699461081</v>
      </c>
      <c r="EO310" s="1111">
        <f t="shared" si="473"/>
        <v>980.42445273724934</v>
      </c>
      <c r="EP310" s="1111">
        <f t="shared" si="474"/>
        <v>967.65178250398321</v>
      </c>
      <c r="EQ310" s="1111">
        <f t="shared" si="475"/>
        <v>967.77429215727193</v>
      </c>
      <c r="ER310" s="1111">
        <f t="shared" si="476"/>
        <v>967.89308155207254</v>
      </c>
      <c r="ES310" s="1111">
        <f t="shared" si="477"/>
        <v>967.92625042477914</v>
      </c>
      <c r="ET310" s="1111">
        <f t="shared" si="478"/>
        <v>967.95671487664833</v>
      </c>
      <c r="EU310" s="1111">
        <f t="shared" si="479"/>
        <v>967.95671487664833</v>
      </c>
      <c r="EV310" s="1111">
        <v>4.453180804881864</v>
      </c>
      <c r="EW310" s="1111">
        <f t="shared" si="460"/>
        <v>3.2547317698669271</v>
      </c>
      <c r="EX310" s="1111">
        <f t="shared" si="461"/>
        <v>2.1555915462064736</v>
      </c>
      <c r="EY310" s="1111">
        <f t="shared" si="462"/>
        <v>0.62337907172426621</v>
      </c>
      <c r="EZ310" s="1111">
        <f t="shared" si="463"/>
        <v>0.40261084341729281</v>
      </c>
      <c r="FA310" s="1111">
        <f t="shared" si="464"/>
        <v>0.34550843096322897</v>
      </c>
      <c r="FB310" s="1111">
        <f t="shared" si="465"/>
        <v>0.31769757148741795</v>
      </c>
      <c r="FC310" s="1111">
        <f t="shared" si="466"/>
        <v>0.31691415899888692</v>
      </c>
      <c r="FD310" s="1111">
        <f t="shared" si="467"/>
        <v>0.31716321296489364</v>
      </c>
      <c r="FE310" s="1111">
        <f t="shared" si="468"/>
        <v>0.31739375802750591</v>
      </c>
      <c r="FF310" s="1111">
        <f t="shared" si="469"/>
        <v>0.31739375802750591</v>
      </c>
      <c r="FG310" s="1111">
        <f t="shared" ref="FG310:FQ311" si="492">AE310</f>
        <v>5.7760190530050257E-2</v>
      </c>
      <c r="FH310" s="1111">
        <f t="shared" si="492"/>
        <v>2.461440067727675E-2</v>
      </c>
      <c r="FI310" s="1111">
        <f t="shared" si="492"/>
        <v>1.8973742739096827E-2</v>
      </c>
      <c r="FJ310" s="1111">
        <f t="shared" si="492"/>
        <v>6.3491677957305103E-3</v>
      </c>
      <c r="FK310" s="1111">
        <f t="shared" si="492"/>
        <v>6.229291078305505E-3</v>
      </c>
      <c r="FL310" s="1111">
        <f t="shared" si="492"/>
        <v>6.1481397027664305E-3</v>
      </c>
      <c r="FM310" s="1111">
        <f t="shared" si="492"/>
        <v>6.1489183874472789E-3</v>
      </c>
      <c r="FN310" s="1111">
        <f t="shared" si="492"/>
        <v>6.1496743628782144E-3</v>
      </c>
      <c r="FO310" s="1111">
        <f t="shared" si="492"/>
        <v>6.1498848749613954E-3</v>
      </c>
      <c r="FP310" s="1111">
        <f t="shared" si="492"/>
        <v>6.1500786926959802E-3</v>
      </c>
      <c r="FQ310" s="1111">
        <f t="shared" si="492"/>
        <v>6.1500786926959802E-3</v>
      </c>
      <c r="FR310" s="1111">
        <f t="shared" si="449"/>
        <v>0.118159231495387</v>
      </c>
      <c r="FS310" s="1111">
        <f t="shared" si="450"/>
        <v>0.10003482425149357</v>
      </c>
      <c r="FT310" s="1111">
        <f t="shared" si="451"/>
        <v>8.4495314338350599E-2</v>
      </c>
      <c r="FU310" s="1111">
        <f t="shared" si="452"/>
        <v>7.9256376368036688E-2</v>
      </c>
      <c r="FV310" s="1111">
        <f t="shared" si="453"/>
        <v>7.897978512174525E-2</v>
      </c>
      <c r="FW310" s="1111">
        <f t="shared" si="454"/>
        <v>7.9013528615524284E-2</v>
      </c>
      <c r="FX310" s="1111">
        <f t="shared" si="455"/>
        <v>7.9034934094174225E-2</v>
      </c>
      <c r="FY310" s="1111">
        <f t="shared" si="456"/>
        <v>7.8994885117633362E-2</v>
      </c>
      <c r="FZ310" s="1111">
        <f t="shared" si="457"/>
        <v>7.9030930947958933E-2</v>
      </c>
      <c r="GA310" s="1111">
        <f t="shared" si="458"/>
        <v>7.9069837803765641E-2</v>
      </c>
      <c r="GB310" s="1111">
        <f t="shared" si="459"/>
        <v>7.9069837803765641E-2</v>
      </c>
      <c r="GC310" s="1111">
        <f t="shared" si="480"/>
        <v>5.7196953237054794E-2</v>
      </c>
      <c r="GD310" s="1111">
        <f t="shared" si="481"/>
        <v>4.0623980878750715E-2</v>
      </c>
      <c r="GE310" s="1111">
        <f t="shared" si="482"/>
        <v>2.687782547443867E-2</v>
      </c>
      <c r="GF310" s="1111">
        <f t="shared" si="483"/>
        <v>2.2741214519788881E-2</v>
      </c>
      <c r="GG310" s="1111">
        <f t="shared" si="484"/>
        <v>2.2566007379134265E-2</v>
      </c>
      <c r="GH310" s="1111">
        <f t="shared" si="485"/>
        <v>2.2595863805391959E-2</v>
      </c>
      <c r="GI310" s="1111">
        <f t="shared" si="486"/>
        <v>2.26147956863317E-2</v>
      </c>
      <c r="GJ310" s="1111">
        <f t="shared" si="487"/>
        <v>2.2579369856245323E-2</v>
      </c>
      <c r="GK310" s="1111">
        <f t="shared" si="488"/>
        <v>2.2611256107674324E-2</v>
      </c>
      <c r="GL310" s="1111">
        <f t="shared" si="489"/>
        <v>2.2645673266744965E-2</v>
      </c>
      <c r="GM310" s="1111">
        <f t="shared" si="490"/>
        <v>2.2645673266744965E-2</v>
      </c>
    </row>
    <row r="311" spans="1:195" x14ac:dyDescent="0.2">
      <c r="A311" s="1071" t="str">
        <f>Technologies!B190</f>
        <v>*R2,R3,R4,R5,R6</v>
      </c>
      <c r="B311" s="1071" t="str">
        <f>Technologies!C190</f>
        <v>THLLNGSWH</v>
      </c>
      <c r="C311" s="1071" t="str">
        <f>Technologies!D190</f>
        <v>Heavy Truck, Long Haul, LNG Smartway Hybird</v>
      </c>
      <c r="D311" s="1071" t="str">
        <f>NewTech!D138</f>
        <v>bn-vmt, bn-vmt/a</v>
      </c>
      <c r="E311" s="1071" t="str">
        <f>Commodities!C$54</f>
        <v>THLNG</v>
      </c>
      <c r="F311" s="1071" t="s">
        <v>100</v>
      </c>
      <c r="G311" s="1110" t="s">
        <v>506</v>
      </c>
      <c r="H311" s="1110" t="s">
        <v>510</v>
      </c>
      <c r="I311" s="1112">
        <v>1</v>
      </c>
      <c r="J311" s="1111" t="str">
        <f t="shared" si="302"/>
        <v>Heavy duty long haul truck-LNG</v>
      </c>
      <c r="K311" s="1111">
        <v>1020.3551411037557</v>
      </c>
      <c r="L311" s="1111">
        <v>1020.2234899566765</v>
      </c>
      <c r="M311" s="1111">
        <v>999.2915699461081</v>
      </c>
      <c r="N311" s="1111">
        <v>980.42445273724934</v>
      </c>
      <c r="O311" s="1111">
        <v>967.65178250398321</v>
      </c>
      <c r="P311" s="1111">
        <v>967.77429215727193</v>
      </c>
      <c r="Q311" s="1111">
        <v>967.89308155207254</v>
      </c>
      <c r="R311" s="1111">
        <v>967.92625042477914</v>
      </c>
      <c r="S311" s="1111">
        <v>967.95671487664833</v>
      </c>
      <c r="T311" s="1111">
        <f t="shared" si="491"/>
        <v>967.95671487664833</v>
      </c>
      <c r="U311" s="1111">
        <v>3.2547317698669271</v>
      </c>
      <c r="V311" s="1111">
        <v>2.1555915462064736</v>
      </c>
      <c r="W311" s="1111">
        <v>0.62337907172426621</v>
      </c>
      <c r="X311" s="1111">
        <v>0.40261084341729281</v>
      </c>
      <c r="Y311" s="1111">
        <v>0.34550843096322897</v>
      </c>
      <c r="Z311" s="1111">
        <v>0.31769757148741795</v>
      </c>
      <c r="AA311" s="1111">
        <v>0.31691415899888692</v>
      </c>
      <c r="AB311" s="1111">
        <v>0.31716321296489364</v>
      </c>
      <c r="AC311" s="1111">
        <v>0.31739375802750591</v>
      </c>
      <c r="AD311" s="1111">
        <f t="shared" si="448"/>
        <v>0.31739375802750591</v>
      </c>
      <c r="AE311" s="1111">
        <v>5.7760190530050257E-2</v>
      </c>
      <c r="AF311" s="1111">
        <v>2.461440067727675E-2</v>
      </c>
      <c r="AG311" s="1111">
        <v>1.8973742739096827E-2</v>
      </c>
      <c r="AH311" s="1111">
        <v>6.3491677957305103E-3</v>
      </c>
      <c r="AI311" s="1111">
        <v>6.229291078305505E-3</v>
      </c>
      <c r="AJ311" s="1111">
        <v>6.1481397027664305E-3</v>
      </c>
      <c r="AK311" s="1111">
        <v>6.1489183874472789E-3</v>
      </c>
      <c r="AL311" s="1111">
        <v>6.1496743628782144E-3</v>
      </c>
      <c r="AM311" s="1111">
        <v>6.1498848749613954E-3</v>
      </c>
      <c r="AN311" s="1111">
        <v>6.1500786926959802E-3</v>
      </c>
      <c r="AO311" s="1111">
        <v>6.1500786926959802E-3</v>
      </c>
      <c r="AP311" s="1111">
        <v>0.118159231495387</v>
      </c>
      <c r="AQ311" s="1111">
        <v>0.10003482425149357</v>
      </c>
      <c r="AR311" s="1111">
        <v>8.4495314338350599E-2</v>
      </c>
      <c r="AS311" s="1111">
        <v>7.9256376368036688E-2</v>
      </c>
      <c r="AT311" s="1111">
        <v>7.897978512174525E-2</v>
      </c>
      <c r="AU311" s="1111">
        <v>7.9013528615524284E-2</v>
      </c>
      <c r="AV311" s="1111">
        <v>7.9034934094174225E-2</v>
      </c>
      <c r="AW311" s="1111">
        <v>7.8994885117633362E-2</v>
      </c>
      <c r="AX311" s="1111">
        <v>7.9030930947958933E-2</v>
      </c>
      <c r="AY311" s="1111">
        <v>7.9069837803765641E-2</v>
      </c>
      <c r="AZ311" s="1111">
        <v>7.9069837803765641E-2</v>
      </c>
      <c r="BA311" s="1111">
        <v>5.7196953237054794E-2</v>
      </c>
      <c r="BB311" s="1111">
        <v>4.0623980878750715E-2</v>
      </c>
      <c r="BC311" s="1111">
        <v>2.687782547443867E-2</v>
      </c>
      <c r="BD311" s="1111">
        <v>2.2741214519788881E-2</v>
      </c>
      <c r="BE311" s="1111">
        <v>2.2566007379134265E-2</v>
      </c>
      <c r="BF311" s="1111">
        <v>2.2595863805391959E-2</v>
      </c>
      <c r="BG311" s="1111">
        <v>2.26147956863317E-2</v>
      </c>
      <c r="BH311" s="1111">
        <v>2.2579369856245323E-2</v>
      </c>
      <c r="BI311" s="1111">
        <v>2.2611256107674324E-2</v>
      </c>
      <c r="BJ311" s="1111">
        <v>2.2645673266744965E-2</v>
      </c>
      <c r="BK311" s="1111">
        <v>2.2645673266744965E-2</v>
      </c>
      <c r="BL311" s="1111">
        <v>47.972530990156521</v>
      </c>
      <c r="BM311" s="1111">
        <v>28.556116955058272</v>
      </c>
      <c r="BN311" s="1111">
        <v>20.549646559976306</v>
      </c>
      <c r="BO311" s="1111">
        <v>14.445037057593046</v>
      </c>
      <c r="BP311" s="1111">
        <v>12.622901477364751</v>
      </c>
      <c r="BQ311" s="1111">
        <v>12.500471248743505</v>
      </c>
      <c r="BR311" s="1111">
        <v>12.371610539704422</v>
      </c>
      <c r="BS311" s="1111">
        <v>12.550099392054333</v>
      </c>
      <c r="BT311" s="1111">
        <v>12.541994647226639</v>
      </c>
      <c r="BU311" s="1111">
        <v>12.523654397948686</v>
      </c>
      <c r="BV311" s="1111">
        <v>12.523654397948686</v>
      </c>
      <c r="BW311" s="1111">
        <v>1.8182606942065824</v>
      </c>
      <c r="BX311" s="1111">
        <v>1.1669593642140019</v>
      </c>
      <c r="BY311" s="1111">
        <v>0.76623264872234798</v>
      </c>
      <c r="BZ311" s="1111">
        <v>0.43593758210799172</v>
      </c>
      <c r="CA311" s="1111">
        <v>0.36195140464062603</v>
      </c>
      <c r="CB311" s="1111">
        <v>0.34158526276864187</v>
      </c>
      <c r="CC311" s="1111">
        <v>0.33112897315858508</v>
      </c>
      <c r="CD311" s="1111">
        <v>0.32864260578554466</v>
      </c>
      <c r="CE311" s="1111">
        <v>0.33024410646544156</v>
      </c>
      <c r="CF311" s="1111">
        <v>0.3320664905778884</v>
      </c>
      <c r="CG311" s="1111">
        <v>0.3320664905778884</v>
      </c>
      <c r="CH311" s="1111">
        <v>3.8628584767367767E-2</v>
      </c>
      <c r="CI311" s="1111">
        <v>3.8626750431021199E-2</v>
      </c>
      <c r="CJ311" s="1111">
        <v>3.8631460005066939E-2</v>
      </c>
      <c r="CK311" s="1111">
        <v>3.8640978297890052E-2</v>
      </c>
      <c r="CL311" s="1111">
        <v>3.8648358022866057E-2</v>
      </c>
      <c r="CM311" s="1111">
        <v>3.8650933503227097E-2</v>
      </c>
      <c r="CN311" s="1111">
        <v>3.8650938084240673E-2</v>
      </c>
      <c r="CO311" s="1111">
        <v>3.8650937224449171E-2</v>
      </c>
      <c r="CP311" s="1111">
        <v>3.8650934379318956E-2</v>
      </c>
      <c r="CQ311" s="1111">
        <v>3.865093962024406E-2</v>
      </c>
      <c r="CR311" s="1111">
        <v>3.865093962024406E-2</v>
      </c>
      <c r="CS311" s="1111">
        <v>4.453180804881864</v>
      </c>
      <c r="CT311" s="1111">
        <v>3.2547317698669271</v>
      </c>
      <c r="CU311" s="1111">
        <v>2.1555915462064736</v>
      </c>
      <c r="CV311" s="1111">
        <v>0.62337907172426621</v>
      </c>
      <c r="CW311" s="1111">
        <v>0.40261084341729281</v>
      </c>
      <c r="CX311" s="1111">
        <v>0.34550843096322897</v>
      </c>
      <c r="CY311" s="1111">
        <v>0.31769757148741795</v>
      </c>
      <c r="CZ311" s="1111">
        <v>0.31691415899888692</v>
      </c>
      <c r="DA311" s="1111">
        <v>0.31716321296489364</v>
      </c>
      <c r="DB311" s="1111">
        <v>0.31739375802750591</v>
      </c>
      <c r="DC311" s="1111">
        <v>0.31739375802750591</v>
      </c>
      <c r="DD311" s="1111">
        <v>8.4618435807310901E-3</v>
      </c>
      <c r="DE311" s="1111">
        <v>5.582477734601141E-3</v>
      </c>
      <c r="DF311" s="1111">
        <v>3.3037857638444934E-3</v>
      </c>
      <c r="DG311" s="1111">
        <v>2.7435421434771584E-3</v>
      </c>
      <c r="DH311" s="1111">
        <v>2.6596327326652057E-3</v>
      </c>
      <c r="DI311" s="1111">
        <v>2.6810534446588602E-3</v>
      </c>
      <c r="DJ311" s="1111">
        <v>2.68992317602929E-3</v>
      </c>
      <c r="DK311" s="1111">
        <v>2.6843011275704282E-3</v>
      </c>
      <c r="DL311" s="1111">
        <v>2.693521842385466E-3</v>
      </c>
      <c r="DM311" s="1111">
        <v>2.7034957820921053E-3</v>
      </c>
      <c r="DN311" s="1111">
        <v>2.7034957820921053E-3</v>
      </c>
      <c r="DO311" s="1111">
        <v>2.733686553814714E-2</v>
      </c>
      <c r="DP311" s="1111">
        <v>1.8332271788011459E-2</v>
      </c>
      <c r="DQ311" s="1111">
        <v>1.0522373499872563E-2</v>
      </c>
      <c r="DR311" s="1111">
        <v>8.2106858583474232E-3</v>
      </c>
      <c r="DS311" s="1111">
        <v>8.1464823839333782E-3</v>
      </c>
      <c r="DT311" s="1111">
        <v>8.1548441301475764E-3</v>
      </c>
      <c r="DU311" s="1111">
        <v>8.1625855885729438E-3</v>
      </c>
      <c r="DV311" s="1111">
        <v>8.1414389894490409E-3</v>
      </c>
      <c r="DW311" s="1111">
        <v>8.1579958309337917E-3</v>
      </c>
      <c r="DX311" s="1111">
        <v>8.1758856290748885E-3</v>
      </c>
      <c r="DY311" s="1111">
        <v>8.1758856290748885E-3</v>
      </c>
      <c r="DZ311" s="1111">
        <v>7.2532435416401364E-2</v>
      </c>
      <c r="EA311" s="1111">
        <v>2.3093150126090367E-2</v>
      </c>
      <c r="EB311" s="1111">
        <v>1.7349105349035911E-2</v>
      </c>
      <c r="EC311" s="1111">
        <v>1.8133988035365575E-2</v>
      </c>
      <c r="ED311" s="1111">
        <v>1.8163125354260901E-2</v>
      </c>
      <c r="EE311" s="1111">
        <v>1.8132348564567389E-2</v>
      </c>
      <c r="EF311" s="1111">
        <v>1.775226126902122E-2</v>
      </c>
      <c r="EG311" s="1111">
        <v>1.7930065334771178E-2</v>
      </c>
      <c r="EH311" s="1111">
        <v>1.7967703285096122E-2</v>
      </c>
      <c r="EI311" s="1111">
        <v>1.8000453119017615E-2</v>
      </c>
      <c r="EJ311" s="1111">
        <v>1.8000453119017615E-2</v>
      </c>
      <c r="EK311" s="1111">
        <v>1019.8394907992781</v>
      </c>
      <c r="EL311" s="1111">
        <f t="shared" si="470"/>
        <v>1020.3551411037557</v>
      </c>
      <c r="EM311" s="1111">
        <f t="shared" si="471"/>
        <v>1020.2234899566765</v>
      </c>
      <c r="EN311" s="1111">
        <f t="shared" si="472"/>
        <v>999.2915699461081</v>
      </c>
      <c r="EO311" s="1111">
        <f t="shared" si="473"/>
        <v>980.42445273724934</v>
      </c>
      <c r="EP311" s="1111">
        <f t="shared" si="474"/>
        <v>967.65178250398321</v>
      </c>
      <c r="EQ311" s="1111">
        <f t="shared" si="475"/>
        <v>967.77429215727193</v>
      </c>
      <c r="ER311" s="1111">
        <f t="shared" si="476"/>
        <v>967.89308155207254</v>
      </c>
      <c r="ES311" s="1111">
        <f t="shared" si="477"/>
        <v>967.92625042477914</v>
      </c>
      <c r="ET311" s="1111">
        <f t="shared" si="478"/>
        <v>967.95671487664833</v>
      </c>
      <c r="EU311" s="1111">
        <f t="shared" si="479"/>
        <v>967.95671487664833</v>
      </c>
      <c r="EV311" s="1111">
        <v>4.453180804881864</v>
      </c>
      <c r="EW311" s="1111">
        <f t="shared" si="460"/>
        <v>3.2547317698669271</v>
      </c>
      <c r="EX311" s="1111">
        <f t="shared" si="461"/>
        <v>2.1555915462064736</v>
      </c>
      <c r="EY311" s="1111">
        <f t="shared" si="462"/>
        <v>0.62337907172426621</v>
      </c>
      <c r="EZ311" s="1111">
        <f t="shared" si="463"/>
        <v>0.40261084341729281</v>
      </c>
      <c r="FA311" s="1111">
        <f t="shared" si="464"/>
        <v>0.34550843096322897</v>
      </c>
      <c r="FB311" s="1111">
        <f t="shared" si="465"/>
        <v>0.31769757148741795</v>
      </c>
      <c r="FC311" s="1111">
        <f t="shared" si="466"/>
        <v>0.31691415899888692</v>
      </c>
      <c r="FD311" s="1111">
        <f t="shared" si="467"/>
        <v>0.31716321296489364</v>
      </c>
      <c r="FE311" s="1111">
        <f t="shared" si="468"/>
        <v>0.31739375802750591</v>
      </c>
      <c r="FF311" s="1111">
        <f t="shared" si="469"/>
        <v>0.31739375802750591</v>
      </c>
      <c r="FG311" s="1111">
        <f t="shared" si="492"/>
        <v>5.7760190530050257E-2</v>
      </c>
      <c r="FH311" s="1111">
        <f t="shared" si="492"/>
        <v>2.461440067727675E-2</v>
      </c>
      <c r="FI311" s="1111">
        <f t="shared" si="492"/>
        <v>1.8973742739096827E-2</v>
      </c>
      <c r="FJ311" s="1111">
        <f t="shared" si="492"/>
        <v>6.3491677957305103E-3</v>
      </c>
      <c r="FK311" s="1111">
        <f t="shared" si="492"/>
        <v>6.229291078305505E-3</v>
      </c>
      <c r="FL311" s="1111">
        <f t="shared" si="492"/>
        <v>6.1481397027664305E-3</v>
      </c>
      <c r="FM311" s="1111">
        <f t="shared" si="492"/>
        <v>6.1489183874472789E-3</v>
      </c>
      <c r="FN311" s="1111">
        <f t="shared" si="492"/>
        <v>6.1496743628782144E-3</v>
      </c>
      <c r="FO311" s="1111">
        <f t="shared" si="492"/>
        <v>6.1498848749613954E-3</v>
      </c>
      <c r="FP311" s="1111">
        <f t="shared" si="492"/>
        <v>6.1500786926959802E-3</v>
      </c>
      <c r="FQ311" s="1111">
        <f t="shared" si="492"/>
        <v>6.1500786926959802E-3</v>
      </c>
      <c r="FR311" s="1111">
        <f t="shared" si="449"/>
        <v>0.118159231495387</v>
      </c>
      <c r="FS311" s="1111">
        <f t="shared" si="450"/>
        <v>0.10003482425149357</v>
      </c>
      <c r="FT311" s="1111">
        <f t="shared" si="451"/>
        <v>8.4495314338350599E-2</v>
      </c>
      <c r="FU311" s="1111">
        <f t="shared" si="452"/>
        <v>7.9256376368036688E-2</v>
      </c>
      <c r="FV311" s="1111">
        <f t="shared" si="453"/>
        <v>7.897978512174525E-2</v>
      </c>
      <c r="FW311" s="1111">
        <f t="shared" si="454"/>
        <v>7.9013528615524284E-2</v>
      </c>
      <c r="FX311" s="1111">
        <f t="shared" si="455"/>
        <v>7.9034934094174225E-2</v>
      </c>
      <c r="FY311" s="1111">
        <f t="shared" si="456"/>
        <v>7.8994885117633362E-2</v>
      </c>
      <c r="FZ311" s="1111">
        <f t="shared" si="457"/>
        <v>7.9030930947958933E-2</v>
      </c>
      <c r="GA311" s="1111">
        <f t="shared" si="458"/>
        <v>7.9069837803765641E-2</v>
      </c>
      <c r="GB311" s="1111">
        <f t="shared" si="459"/>
        <v>7.9069837803765641E-2</v>
      </c>
      <c r="GC311" s="1111">
        <f t="shared" si="480"/>
        <v>5.7196953237054794E-2</v>
      </c>
      <c r="GD311" s="1111">
        <f t="shared" si="481"/>
        <v>4.0623980878750715E-2</v>
      </c>
      <c r="GE311" s="1111">
        <f t="shared" si="482"/>
        <v>2.687782547443867E-2</v>
      </c>
      <c r="GF311" s="1111">
        <f t="shared" si="483"/>
        <v>2.2741214519788881E-2</v>
      </c>
      <c r="GG311" s="1111">
        <f t="shared" si="484"/>
        <v>2.2566007379134265E-2</v>
      </c>
      <c r="GH311" s="1111">
        <f t="shared" si="485"/>
        <v>2.2595863805391959E-2</v>
      </c>
      <c r="GI311" s="1111">
        <f t="shared" si="486"/>
        <v>2.26147956863317E-2</v>
      </c>
      <c r="GJ311" s="1111">
        <f t="shared" si="487"/>
        <v>2.2579369856245323E-2</v>
      </c>
      <c r="GK311" s="1111">
        <f t="shared" si="488"/>
        <v>2.2611256107674324E-2</v>
      </c>
      <c r="GL311" s="1111">
        <f t="shared" si="489"/>
        <v>2.2645673266744965E-2</v>
      </c>
      <c r="GM311" s="1111">
        <f t="shared" si="490"/>
        <v>2.2645673266744965E-2</v>
      </c>
    </row>
    <row r="312" spans="1:195" x14ac:dyDescent="0.2">
      <c r="H312" s="1103"/>
      <c r="I312" s="1103"/>
      <c r="J312" s="1103"/>
      <c r="K312" s="1103"/>
      <c r="L312" s="1103"/>
      <c r="M312" s="1103"/>
      <c r="N312" s="1103"/>
      <c r="O312" s="1105"/>
      <c r="P312" s="1105"/>
      <c r="Q312" s="1105"/>
      <c r="R312" s="1105"/>
      <c r="S312" s="1105"/>
      <c r="T312" s="1105"/>
      <c r="U312" s="1105"/>
      <c r="V312" s="1105"/>
      <c r="W312" s="1105"/>
      <c r="X312" s="1105"/>
      <c r="Y312" s="1105"/>
      <c r="Z312" s="1105"/>
      <c r="AA312" s="1105"/>
      <c r="AB312" s="1105"/>
      <c r="AC312" s="1105"/>
      <c r="AD312" s="1105"/>
      <c r="AE312" s="1105"/>
      <c r="AF312" s="1105"/>
      <c r="AG312" s="1105"/>
      <c r="AH312" s="1105"/>
      <c r="AI312" s="1105"/>
      <c r="AJ312" s="1105"/>
      <c r="AK312" s="1105"/>
      <c r="AL312" s="1105"/>
      <c r="AM312" s="1105"/>
      <c r="AN312" s="1105"/>
      <c r="AO312" s="1105"/>
      <c r="AP312" s="1105"/>
      <c r="AQ312" s="1105"/>
      <c r="AR312" s="1105"/>
      <c r="AS312" s="1105"/>
      <c r="AT312" s="1105"/>
      <c r="AU312" s="1105"/>
      <c r="AV312" s="1105"/>
      <c r="AW312" s="1105"/>
      <c r="AX312" s="1105"/>
      <c r="AY312" s="1105"/>
      <c r="AZ312" s="1105"/>
      <c r="BA312" s="1105"/>
      <c r="BB312" s="1105"/>
      <c r="BC312" s="1105"/>
      <c r="BD312" s="1105"/>
      <c r="BE312" s="1105"/>
      <c r="BF312" s="1105"/>
      <c r="BG312" s="1105"/>
      <c r="BH312" s="1105"/>
      <c r="BI312" s="1105"/>
      <c r="BJ312" s="1105"/>
      <c r="BK312" s="1105"/>
      <c r="BL312" s="1105"/>
      <c r="BM312" s="1105"/>
      <c r="BN312" s="1105"/>
      <c r="BO312" s="1105"/>
      <c r="BP312" s="1105"/>
      <c r="BQ312" s="1105"/>
      <c r="BR312" s="1105"/>
      <c r="BS312" s="1105"/>
      <c r="BT312" s="1105"/>
      <c r="BU312" s="1105"/>
      <c r="BV312" s="1105"/>
      <c r="BW312" s="1105"/>
      <c r="BX312" s="1105"/>
      <c r="BY312" s="1105"/>
      <c r="BZ312" s="1105"/>
      <c r="CA312" s="1105"/>
      <c r="CB312" s="1105"/>
      <c r="CC312" s="1105"/>
      <c r="CD312" s="1105"/>
      <c r="CE312" s="1105"/>
      <c r="CF312" s="1105"/>
      <c r="CG312" s="1105"/>
      <c r="CH312" s="1105"/>
      <c r="CI312" s="1105"/>
      <c r="CJ312" s="1104"/>
      <c r="CK312" s="1104"/>
      <c r="CL312" s="1104"/>
      <c r="CM312" s="1104"/>
      <c r="CN312" s="1104"/>
      <c r="CO312" s="1104"/>
      <c r="CP312" s="1104"/>
      <c r="CQ312" s="1104"/>
      <c r="CR312" s="1104"/>
      <c r="CS312" s="1104"/>
      <c r="CT312" s="1104"/>
      <c r="CU312" s="1104"/>
      <c r="CV312" s="1104"/>
      <c r="CW312" s="1104"/>
      <c r="CX312" s="1104"/>
      <c r="CY312" s="1104"/>
      <c r="CZ312" s="1104"/>
      <c r="DA312" s="1104"/>
      <c r="DB312" s="1104"/>
      <c r="DC312" s="1104"/>
      <c r="DD312" s="1104"/>
      <c r="DE312" s="1104"/>
      <c r="DF312" s="1104"/>
      <c r="DG312" s="1104"/>
      <c r="DH312" s="1104"/>
      <c r="DI312" s="1104"/>
      <c r="DJ312" s="1104"/>
      <c r="DK312" s="1104"/>
      <c r="DL312" s="1104"/>
      <c r="DM312" s="1104"/>
      <c r="DN312" s="1104"/>
      <c r="DO312" s="1104"/>
      <c r="DP312" s="1104"/>
      <c r="DQ312" s="1104"/>
      <c r="DR312" s="1104"/>
      <c r="DS312" s="1104"/>
      <c r="DT312" s="1104"/>
      <c r="DU312" s="1104"/>
      <c r="DV312" s="1104"/>
      <c r="DW312" s="1104"/>
      <c r="DX312" s="1104"/>
      <c r="DY312" s="1104"/>
      <c r="DZ312" s="1104"/>
      <c r="EA312" s="1104"/>
      <c r="EB312" s="1104"/>
      <c r="EC312" s="1104"/>
      <c r="ED312" s="1104"/>
      <c r="EE312" s="1104"/>
      <c r="EF312" s="1104"/>
      <c r="EG312" s="1104"/>
      <c r="EH312" s="1104"/>
      <c r="EI312" s="1104"/>
      <c r="EJ312" s="1104"/>
      <c r="EK312" s="1104"/>
      <c r="EL312" s="1104"/>
      <c r="EM312" s="1104"/>
      <c r="EN312" s="1104"/>
      <c r="EO312" s="1104"/>
      <c r="EP312" s="1104"/>
      <c r="EQ312" s="1104"/>
      <c r="ER312" s="1104"/>
      <c r="ES312" s="1104"/>
      <c r="ET312" s="1104"/>
      <c r="EU312" s="1104"/>
      <c r="EV312" s="1104"/>
      <c r="EW312" s="1104"/>
      <c r="EX312" s="1104"/>
      <c r="EY312" s="1104"/>
      <c r="EZ312" s="1104"/>
      <c r="FA312" s="1104"/>
      <c r="FB312" s="1104"/>
      <c r="FC312" s="1104"/>
      <c r="FD312" s="1104"/>
      <c r="FE312" s="1104"/>
      <c r="FF312" s="1104"/>
      <c r="FG312" s="1104"/>
      <c r="FH312" s="1104"/>
      <c r="FI312" s="1104"/>
      <c r="FJ312" s="1104"/>
      <c r="FK312" s="1104"/>
      <c r="FL312" s="1104"/>
      <c r="FM312" s="1104"/>
      <c r="FN312" s="1104"/>
      <c r="FO312" s="1104"/>
      <c r="FP312" s="1104"/>
      <c r="FQ312" s="1104"/>
      <c r="FR312" s="1104"/>
      <c r="FS312" s="1104"/>
      <c r="FT312" s="1104"/>
      <c r="FU312" s="1104"/>
      <c r="FV312" s="1104"/>
      <c r="FW312" s="1104"/>
      <c r="FX312" s="1104"/>
      <c r="FY312" s="1104"/>
      <c r="FZ312" s="1104"/>
      <c r="GA312" s="1104"/>
      <c r="GB312" s="1104"/>
      <c r="GC312" s="1104"/>
      <c r="GD312" s="1104"/>
      <c r="GE312" s="1104"/>
      <c r="GF312" s="1104"/>
      <c r="GG312" s="1104"/>
      <c r="GH312" s="1104"/>
      <c r="GI312" s="1104"/>
      <c r="GJ312" s="1104"/>
      <c r="GK312" s="1104"/>
      <c r="GL312" s="1104"/>
      <c r="GM312" s="1104"/>
    </row>
    <row r="313" spans="1:195" x14ac:dyDescent="0.2">
      <c r="H313" s="1103"/>
      <c r="I313" s="1103"/>
      <c r="J313" s="1103"/>
      <c r="K313" s="1103"/>
      <c r="L313" s="1103"/>
      <c r="M313" s="1103"/>
      <c r="N313" s="1103"/>
      <c r="O313" s="1105"/>
      <c r="P313" s="1105"/>
      <c r="Q313" s="1105"/>
      <c r="R313" s="1105"/>
      <c r="S313" s="1105"/>
      <c r="T313" s="1105"/>
      <c r="U313" s="1105"/>
      <c r="V313" s="1105"/>
      <c r="W313" s="1105"/>
      <c r="X313" s="1105"/>
      <c r="Y313" s="1105"/>
      <c r="Z313" s="1105"/>
      <c r="AA313" s="1105"/>
      <c r="AB313" s="1105"/>
      <c r="AC313" s="1105"/>
      <c r="AD313" s="1105"/>
      <c r="AE313" s="1105"/>
      <c r="AF313" s="1105"/>
      <c r="AG313" s="1105"/>
      <c r="AH313" s="1105"/>
      <c r="AI313" s="1105"/>
      <c r="AJ313" s="1105"/>
      <c r="AK313" s="1105"/>
      <c r="AL313" s="1105"/>
      <c r="AM313" s="1105"/>
      <c r="AN313" s="1105"/>
      <c r="AO313" s="1105"/>
      <c r="AP313" s="1105"/>
      <c r="AQ313" s="1105"/>
      <c r="AR313" s="1105"/>
      <c r="AS313" s="1105"/>
      <c r="AT313" s="1105"/>
      <c r="AU313" s="1105"/>
      <c r="AV313" s="1105"/>
      <c r="AW313" s="1105"/>
      <c r="AX313" s="1105"/>
      <c r="AY313" s="1105"/>
      <c r="AZ313" s="1105"/>
      <c r="BA313" s="1105"/>
      <c r="BB313" s="1105"/>
      <c r="BC313" s="1105"/>
      <c r="BD313" s="1105"/>
      <c r="BE313" s="1105"/>
      <c r="BF313" s="1105"/>
      <c r="BG313" s="1105"/>
      <c r="BH313" s="1105"/>
      <c r="BI313" s="1105"/>
      <c r="BJ313" s="1105"/>
      <c r="BK313" s="1105"/>
      <c r="BL313" s="1105"/>
      <c r="BM313" s="1105"/>
      <c r="BN313" s="1105"/>
      <c r="BO313" s="1105"/>
      <c r="BP313" s="1105"/>
      <c r="BQ313" s="1105"/>
      <c r="BR313" s="1105"/>
      <c r="BS313" s="1105"/>
      <c r="BT313" s="1105"/>
      <c r="BU313" s="1105"/>
      <c r="BV313" s="1105"/>
      <c r="BW313" s="1105"/>
      <c r="BX313" s="1105"/>
      <c r="BY313" s="1105"/>
      <c r="BZ313" s="1105"/>
      <c r="CA313" s="1105"/>
      <c r="CB313" s="1105"/>
      <c r="CC313" s="1105"/>
      <c r="CD313" s="1105"/>
      <c r="CE313" s="1105"/>
      <c r="CF313" s="1105"/>
      <c r="CG313" s="1105"/>
      <c r="CH313" s="1105"/>
      <c r="CI313" s="1105"/>
      <c r="CJ313" s="1104"/>
      <c r="CK313" s="1104"/>
      <c r="CL313" s="1104"/>
      <c r="CM313" s="1104"/>
      <c r="CN313" s="1104"/>
      <c r="CO313" s="1104"/>
      <c r="CP313" s="1104"/>
      <c r="CQ313" s="1104"/>
      <c r="CR313" s="1104"/>
      <c r="CS313" s="1104"/>
      <c r="CT313" s="1104"/>
      <c r="CU313" s="1104"/>
      <c r="CV313" s="1104"/>
      <c r="CW313" s="1104"/>
      <c r="CX313" s="1104"/>
      <c r="CY313" s="1104"/>
      <c r="CZ313" s="1104"/>
      <c r="DA313" s="1104"/>
      <c r="DB313" s="1104"/>
      <c r="DC313" s="1104"/>
      <c r="DD313" s="1104"/>
      <c r="DE313" s="1104"/>
      <c r="DF313" s="1104"/>
      <c r="DG313" s="1104"/>
      <c r="DH313" s="1104"/>
      <c r="DI313" s="1104"/>
      <c r="DJ313" s="1104"/>
      <c r="DK313" s="1104"/>
      <c r="DL313" s="1104"/>
      <c r="DM313" s="1104"/>
      <c r="DN313" s="1104"/>
      <c r="DO313" s="1104"/>
      <c r="DP313" s="1104"/>
      <c r="DQ313" s="1104"/>
      <c r="DR313" s="1104"/>
      <c r="DS313" s="1104"/>
      <c r="DT313" s="1104"/>
      <c r="DU313" s="1104"/>
      <c r="DV313" s="1104"/>
      <c r="DW313" s="1104"/>
      <c r="DX313" s="1104"/>
      <c r="DY313" s="1104"/>
      <c r="DZ313" s="1104"/>
      <c r="EA313" s="1104"/>
      <c r="EB313" s="1104"/>
      <c r="EC313" s="1104"/>
      <c r="ED313" s="1104"/>
      <c r="EE313" s="1104"/>
      <c r="EF313" s="1104"/>
      <c r="EG313" s="1104"/>
      <c r="EH313" s="1104"/>
      <c r="EI313" s="1104"/>
      <c r="EJ313" s="1104"/>
      <c r="EK313" s="1104"/>
      <c r="EL313" s="1104"/>
      <c r="EM313" s="1104"/>
      <c r="EN313" s="1104"/>
      <c r="EO313" s="1104"/>
      <c r="EP313" s="1104"/>
      <c r="EQ313" s="1104"/>
      <c r="ER313" s="1104"/>
      <c r="ES313" s="1104"/>
      <c r="ET313" s="1104"/>
      <c r="EU313" s="1104"/>
      <c r="EV313" s="1104"/>
      <c r="EW313" s="1104"/>
      <c r="EX313" s="1104"/>
      <c r="EY313" s="1104"/>
      <c r="EZ313" s="1104"/>
      <c r="FA313" s="1104"/>
      <c r="FB313" s="1104"/>
      <c r="FC313" s="1104"/>
      <c r="FD313" s="1104"/>
      <c r="FE313" s="1104"/>
      <c r="FF313" s="1104"/>
      <c r="FG313" s="1104"/>
      <c r="FH313" s="1104"/>
      <c r="FI313" s="1104"/>
      <c r="FJ313" s="1104"/>
      <c r="FK313" s="1104"/>
      <c r="FL313" s="1104"/>
      <c r="FM313" s="1104"/>
      <c r="FN313" s="1104"/>
      <c r="FO313" s="1104"/>
      <c r="FP313" s="1104"/>
      <c r="FQ313" s="1104"/>
      <c r="FR313" s="1104"/>
      <c r="FS313" s="1104"/>
      <c r="FT313" s="1104"/>
      <c r="FU313" s="1104"/>
      <c r="FV313" s="1104"/>
      <c r="FW313" s="1104"/>
      <c r="FX313" s="1104"/>
      <c r="FY313" s="1104"/>
      <c r="FZ313" s="1104"/>
      <c r="GA313" s="1104"/>
      <c r="GB313" s="1104"/>
      <c r="GC313" s="1104"/>
      <c r="GD313" s="1104"/>
      <c r="GE313" s="1104"/>
      <c r="GF313" s="1104"/>
      <c r="GG313" s="1104"/>
      <c r="GH313" s="1104"/>
      <c r="GI313" s="1104"/>
      <c r="GJ313" s="1104"/>
      <c r="GK313" s="1104"/>
      <c r="GL313" s="1104"/>
      <c r="GM313" s="1104"/>
    </row>
    <row r="314" spans="1:195" x14ac:dyDescent="0.2">
      <c r="H314" s="1103"/>
      <c r="I314" s="1103"/>
      <c r="J314" s="1103"/>
      <c r="K314" s="1103"/>
      <c r="L314" s="1103"/>
      <c r="M314" s="1103"/>
      <c r="N314" s="1103"/>
      <c r="O314" s="1105"/>
      <c r="P314" s="1105"/>
      <c r="Q314" s="1105"/>
      <c r="R314" s="1105"/>
      <c r="S314" s="1105"/>
      <c r="T314" s="1105"/>
      <c r="U314" s="1105"/>
      <c r="V314" s="1105"/>
      <c r="W314" s="1105"/>
      <c r="X314" s="1105"/>
      <c r="Y314" s="1105"/>
      <c r="Z314" s="1105"/>
      <c r="AA314" s="1105"/>
      <c r="AB314" s="1105"/>
      <c r="AC314" s="1105"/>
      <c r="AD314" s="1105"/>
      <c r="AE314" s="1105"/>
      <c r="AF314" s="1105"/>
      <c r="AG314" s="1105"/>
      <c r="AH314" s="1105"/>
      <c r="AI314" s="1105"/>
      <c r="AJ314" s="1105"/>
      <c r="AK314" s="1105"/>
      <c r="AL314" s="1105"/>
      <c r="AM314" s="1105"/>
      <c r="AN314" s="1105"/>
      <c r="AO314" s="1105"/>
      <c r="AP314" s="1105"/>
      <c r="AQ314" s="1105"/>
      <c r="AR314" s="1105"/>
      <c r="AS314" s="1105"/>
      <c r="AT314" s="1105"/>
      <c r="AU314" s="1105"/>
      <c r="AV314" s="1105"/>
      <c r="AW314" s="1105"/>
      <c r="AX314" s="1105"/>
      <c r="AY314" s="1105"/>
      <c r="AZ314" s="1105"/>
      <c r="BA314" s="1105"/>
      <c r="BB314" s="1105"/>
      <c r="BC314" s="1105"/>
      <c r="BD314" s="1105"/>
      <c r="BE314" s="1105"/>
      <c r="BF314" s="1105"/>
      <c r="BG314" s="1105"/>
      <c r="BH314" s="1105"/>
      <c r="BI314" s="1105"/>
      <c r="BJ314" s="1105"/>
      <c r="BK314" s="1105"/>
      <c r="BL314" s="1105"/>
      <c r="BM314" s="1105"/>
      <c r="BN314" s="1105"/>
      <c r="BO314" s="1105"/>
      <c r="BP314" s="1105"/>
      <c r="BQ314" s="1105"/>
      <c r="BR314" s="1105"/>
      <c r="BS314" s="1105"/>
      <c r="BT314" s="1105"/>
      <c r="BU314" s="1105"/>
      <c r="BV314" s="1105"/>
      <c r="BW314" s="1105"/>
      <c r="BX314" s="1105"/>
      <c r="BY314" s="1105"/>
      <c r="BZ314" s="1105"/>
      <c r="CA314" s="1105"/>
      <c r="CB314" s="1105"/>
      <c r="CC314" s="1105"/>
      <c r="CD314" s="1105"/>
      <c r="CE314" s="1105"/>
      <c r="CF314" s="1105"/>
      <c r="CG314" s="1105"/>
      <c r="CH314" s="1105"/>
      <c r="CI314" s="1105"/>
      <c r="CJ314" s="1104"/>
      <c r="CK314" s="1104"/>
      <c r="CL314" s="1104"/>
      <c r="CM314" s="1104"/>
      <c r="CN314" s="1104"/>
      <c r="CO314" s="1104"/>
      <c r="CP314" s="1104"/>
      <c r="CQ314" s="1104"/>
      <c r="CR314" s="1104"/>
      <c r="CS314" s="1104"/>
      <c r="CT314" s="1104"/>
      <c r="CU314" s="1104"/>
      <c r="CV314" s="1104"/>
      <c r="CW314" s="1104"/>
      <c r="CX314" s="1104"/>
      <c r="CY314" s="1104"/>
      <c r="CZ314" s="1104"/>
      <c r="DA314" s="1104"/>
      <c r="DB314" s="1104"/>
      <c r="DC314" s="1104"/>
      <c r="DD314" s="1104"/>
      <c r="DE314" s="1104"/>
      <c r="DF314" s="1104"/>
      <c r="DG314" s="1104"/>
      <c r="DH314" s="1104"/>
      <c r="DI314" s="1104"/>
      <c r="DJ314" s="1104"/>
      <c r="DK314" s="1104"/>
      <c r="DL314" s="1104"/>
      <c r="DM314" s="1104"/>
      <c r="DN314" s="1104"/>
      <c r="DO314" s="1104"/>
      <c r="DP314" s="1104"/>
      <c r="DQ314" s="1104"/>
      <c r="DR314" s="1104"/>
      <c r="DS314" s="1104"/>
      <c r="DT314" s="1104"/>
      <c r="DU314" s="1104"/>
      <c r="DV314" s="1104"/>
      <c r="DW314" s="1104"/>
      <c r="DX314" s="1104"/>
      <c r="DY314" s="1104"/>
      <c r="DZ314" s="1104"/>
      <c r="EA314" s="1104"/>
      <c r="EB314" s="1104"/>
      <c r="EC314" s="1104"/>
      <c r="ED314" s="1104"/>
      <c r="EE314" s="1104"/>
      <c r="EF314" s="1104"/>
      <c r="EG314" s="1104"/>
      <c r="EH314" s="1104"/>
      <c r="EI314" s="1104"/>
      <c r="EJ314" s="1104"/>
      <c r="EK314" s="1104"/>
      <c r="EL314" s="1104"/>
      <c r="EM314" s="1104"/>
      <c r="EN314" s="1104"/>
      <c r="EO314" s="1104"/>
      <c r="EP314" s="1104"/>
      <c r="EQ314" s="1104"/>
      <c r="ER314" s="1104"/>
      <c r="ES314" s="1104"/>
      <c r="ET314" s="1104"/>
      <c r="EU314" s="1104"/>
      <c r="EV314" s="1104"/>
      <c r="EW314" s="1104"/>
      <c r="EX314" s="1104"/>
      <c r="EY314" s="1104"/>
      <c r="EZ314" s="1104"/>
      <c r="FA314" s="1104"/>
      <c r="FB314" s="1104"/>
      <c r="FC314" s="1104"/>
      <c r="FD314" s="1104"/>
      <c r="FE314" s="1104"/>
      <c r="FF314" s="1104"/>
      <c r="FG314" s="1104"/>
      <c r="FH314" s="1104"/>
      <c r="FI314" s="1104"/>
      <c r="FJ314" s="1104"/>
      <c r="FK314" s="1104"/>
      <c r="FL314" s="1104"/>
      <c r="FM314" s="1104"/>
      <c r="FN314" s="1104"/>
      <c r="FO314" s="1104"/>
      <c r="FP314" s="1104"/>
      <c r="FQ314" s="1104"/>
      <c r="FR314" s="1104"/>
      <c r="FS314" s="1104"/>
      <c r="FT314" s="1104"/>
      <c r="FU314" s="1104"/>
      <c r="FV314" s="1104"/>
      <c r="FW314" s="1104"/>
      <c r="FX314" s="1104"/>
      <c r="FY314" s="1104"/>
      <c r="FZ314" s="1104"/>
      <c r="GA314" s="1104"/>
      <c r="GB314" s="1104"/>
      <c r="GC314" s="1104"/>
      <c r="GD314" s="1104"/>
      <c r="GE314" s="1104"/>
      <c r="GF314" s="1104"/>
      <c r="GG314" s="1104"/>
      <c r="GH314" s="1104"/>
      <c r="GI314" s="1104"/>
      <c r="GJ314" s="1104"/>
      <c r="GK314" s="1104"/>
      <c r="GL314" s="1104"/>
      <c r="GM314" s="1104"/>
    </row>
    <row r="315" spans="1:195" x14ac:dyDescent="0.2">
      <c r="H315" s="1103"/>
      <c r="I315" s="1103"/>
      <c r="J315" s="1103"/>
      <c r="K315" s="1103"/>
      <c r="L315" s="1103"/>
      <c r="M315" s="1103"/>
      <c r="N315" s="1103"/>
      <c r="O315" s="1105"/>
      <c r="P315" s="1105"/>
      <c r="Q315" s="1105"/>
      <c r="R315" s="1105"/>
      <c r="S315" s="1105"/>
      <c r="T315" s="1105"/>
      <c r="U315" s="1105"/>
      <c r="V315" s="1105"/>
      <c r="W315" s="1105"/>
      <c r="X315" s="1105"/>
      <c r="Y315" s="1105"/>
      <c r="Z315" s="1105"/>
      <c r="AA315" s="1105"/>
      <c r="AB315" s="1105"/>
      <c r="AC315" s="1105"/>
      <c r="AD315" s="1105"/>
      <c r="AE315" s="1105"/>
      <c r="AF315" s="1105"/>
      <c r="AG315" s="1105"/>
      <c r="AH315" s="1105"/>
      <c r="AI315" s="1105"/>
      <c r="AJ315" s="1105"/>
      <c r="AK315" s="1105"/>
      <c r="AL315" s="1105"/>
      <c r="AM315" s="1105"/>
      <c r="AN315" s="1105"/>
      <c r="AO315" s="1105"/>
      <c r="AP315" s="1105"/>
      <c r="AQ315" s="1105"/>
      <c r="AR315" s="1105"/>
      <c r="AS315" s="1105"/>
      <c r="AT315" s="1105"/>
      <c r="AU315" s="1105"/>
      <c r="AV315" s="1105"/>
      <c r="AW315" s="1105"/>
      <c r="AX315" s="1105"/>
      <c r="AY315" s="1105"/>
      <c r="AZ315" s="1105"/>
      <c r="BA315" s="1105"/>
      <c r="BB315" s="1105"/>
      <c r="BC315" s="1105"/>
      <c r="BD315" s="1105"/>
      <c r="BE315" s="1105"/>
      <c r="BF315" s="1105"/>
      <c r="BG315" s="1105"/>
      <c r="BH315" s="1105"/>
      <c r="BI315" s="1105"/>
      <c r="BJ315" s="1105"/>
      <c r="BK315" s="1105"/>
      <c r="BL315" s="1105"/>
      <c r="BM315" s="1105"/>
      <c r="BN315" s="1105"/>
      <c r="BO315" s="1105"/>
      <c r="BP315" s="1105"/>
      <c r="BQ315" s="1105"/>
      <c r="BR315" s="1105"/>
      <c r="BS315" s="1105"/>
      <c r="BT315" s="1105"/>
      <c r="BU315" s="1105"/>
      <c r="BV315" s="1105"/>
      <c r="BW315" s="1105"/>
      <c r="BX315" s="1105"/>
      <c r="BY315" s="1105"/>
      <c r="BZ315" s="1105"/>
      <c r="CA315" s="1105"/>
      <c r="CB315" s="1105"/>
      <c r="CC315" s="1105"/>
      <c r="CD315" s="1105"/>
      <c r="CE315" s="1105"/>
      <c r="CF315" s="1105"/>
      <c r="CG315" s="1105"/>
      <c r="CH315" s="1105"/>
      <c r="CI315" s="1105"/>
      <c r="CJ315" s="1104"/>
      <c r="CK315" s="1104"/>
      <c r="CL315" s="1104"/>
      <c r="CM315" s="1104"/>
      <c r="CN315" s="1104"/>
      <c r="CO315" s="1104"/>
      <c r="CP315" s="1104"/>
      <c r="CQ315" s="1104"/>
      <c r="CR315" s="1104"/>
      <c r="CS315" s="1104"/>
      <c r="CT315" s="1104"/>
      <c r="CU315" s="1104"/>
      <c r="CV315" s="1104"/>
      <c r="CW315" s="1104"/>
      <c r="CX315" s="1104"/>
      <c r="CY315" s="1104"/>
      <c r="CZ315" s="1104"/>
      <c r="DA315" s="1104"/>
      <c r="DB315" s="1104"/>
      <c r="DC315" s="1104"/>
      <c r="DD315" s="1104"/>
      <c r="DE315" s="1104"/>
      <c r="DF315" s="1104"/>
      <c r="DG315" s="1104"/>
      <c r="DH315" s="1104"/>
      <c r="DI315" s="1104"/>
      <c r="DJ315" s="1104"/>
      <c r="DK315" s="1104"/>
      <c r="DL315" s="1104"/>
      <c r="DM315" s="1104"/>
      <c r="DN315" s="1104"/>
      <c r="DO315" s="1104"/>
      <c r="DP315" s="1104"/>
      <c r="DQ315" s="1104"/>
      <c r="DR315" s="1104"/>
      <c r="DS315" s="1104"/>
      <c r="DT315" s="1104"/>
      <c r="DU315" s="1104"/>
      <c r="DV315" s="1104"/>
      <c r="DW315" s="1104"/>
      <c r="DX315" s="1104"/>
      <c r="DY315" s="1104"/>
      <c r="DZ315" s="1104"/>
      <c r="EA315" s="1104"/>
      <c r="EB315" s="1104"/>
      <c r="EC315" s="1104"/>
      <c r="ED315" s="1104"/>
      <c r="EE315" s="1104"/>
      <c r="EF315" s="1104"/>
      <c r="EG315" s="1104"/>
      <c r="EH315" s="1104"/>
      <c r="EI315" s="1104"/>
      <c r="EJ315" s="1104"/>
      <c r="EK315" s="1104"/>
      <c r="EL315" s="1104"/>
      <c r="EM315" s="1104"/>
      <c r="EN315" s="1104"/>
      <c r="EO315" s="1104"/>
      <c r="EP315" s="1104"/>
      <c r="EQ315" s="1104"/>
      <c r="ER315" s="1104"/>
      <c r="ES315" s="1104"/>
      <c r="ET315" s="1104"/>
      <c r="EU315" s="1104"/>
      <c r="EV315" s="1104"/>
      <c r="EW315" s="1104"/>
      <c r="EX315" s="1104"/>
      <c r="EY315" s="1104"/>
      <c r="EZ315" s="1104"/>
      <c r="FA315" s="1104"/>
      <c r="FB315" s="1104"/>
      <c r="FC315" s="1104"/>
      <c r="FD315" s="1104"/>
      <c r="FE315" s="1104"/>
      <c r="FF315" s="1104"/>
      <c r="FG315" s="1104"/>
      <c r="FH315" s="1104"/>
      <c r="FI315" s="1104"/>
      <c r="FJ315" s="1104"/>
      <c r="FK315" s="1104"/>
      <c r="FL315" s="1104"/>
      <c r="FM315" s="1104"/>
      <c r="FN315" s="1104"/>
      <c r="FO315" s="1104"/>
      <c r="FP315" s="1104"/>
      <c r="FQ315" s="1104"/>
      <c r="FR315" s="1104"/>
      <c r="FS315" s="1104"/>
      <c r="FT315" s="1104"/>
      <c r="FU315" s="1104"/>
      <c r="FV315" s="1104"/>
      <c r="FW315" s="1104"/>
      <c r="FX315" s="1104"/>
      <c r="FY315" s="1104"/>
      <c r="FZ315" s="1104"/>
      <c r="GA315" s="1104"/>
      <c r="GB315" s="1104"/>
      <c r="GC315" s="1104"/>
      <c r="GD315" s="1104"/>
      <c r="GE315" s="1104"/>
      <c r="GF315" s="1104"/>
      <c r="GG315" s="1104"/>
      <c r="GH315" s="1104"/>
      <c r="GI315" s="1104"/>
      <c r="GJ315" s="1104"/>
      <c r="GK315" s="1104"/>
      <c r="GL315" s="1104"/>
      <c r="GM315" s="1104"/>
    </row>
    <row r="316" spans="1:195" x14ac:dyDescent="0.2">
      <c r="H316" s="1103"/>
      <c r="I316" s="1103"/>
      <c r="J316" s="1103"/>
      <c r="K316" s="1103"/>
      <c r="L316" s="1103"/>
      <c r="M316" s="1103"/>
      <c r="N316" s="1103"/>
      <c r="O316" s="1103"/>
      <c r="P316" s="1103"/>
      <c r="Q316" s="1103"/>
      <c r="R316" s="1103"/>
      <c r="S316" s="1103"/>
      <c r="T316" s="1103"/>
      <c r="U316" s="1103"/>
      <c r="V316" s="1103"/>
      <c r="W316" s="1103"/>
      <c r="X316" s="1103"/>
      <c r="Y316" s="1103"/>
      <c r="Z316" s="1103"/>
      <c r="AA316" s="1103"/>
      <c r="AB316" s="1103"/>
      <c r="AC316" s="1103"/>
      <c r="AD316" s="1103"/>
      <c r="AE316" s="1103"/>
      <c r="AF316" s="1103"/>
      <c r="AG316" s="1103"/>
      <c r="AH316" s="1103"/>
      <c r="AI316" s="1103"/>
      <c r="AJ316" s="1103"/>
      <c r="AK316" s="1103"/>
      <c r="AL316" s="1103"/>
      <c r="AM316" s="1103"/>
      <c r="AN316" s="1103"/>
      <c r="AO316" s="1103"/>
      <c r="AP316" s="1103"/>
      <c r="AQ316" s="1103"/>
      <c r="AR316" s="1103"/>
      <c r="AS316" s="1103"/>
      <c r="AT316" s="1103"/>
      <c r="AU316" s="1103"/>
      <c r="AV316" s="1103"/>
      <c r="AW316" s="1103"/>
      <c r="AX316" s="1103"/>
      <c r="AY316" s="1103"/>
      <c r="AZ316" s="1103"/>
      <c r="BA316" s="1103"/>
      <c r="BB316" s="1103"/>
      <c r="BC316" s="1103"/>
      <c r="BD316" s="1103"/>
      <c r="BE316" s="1103"/>
      <c r="BF316" s="1103"/>
      <c r="BG316" s="1103"/>
      <c r="BH316" s="1103"/>
      <c r="BI316" s="1103"/>
      <c r="BJ316" s="1103"/>
      <c r="BK316" s="1103"/>
      <c r="BL316" s="1103"/>
      <c r="BM316" s="1103"/>
      <c r="BN316" s="1103"/>
      <c r="BO316" s="1103"/>
      <c r="BP316" s="1103"/>
      <c r="BQ316" s="1103"/>
      <c r="BR316" s="1103"/>
      <c r="BS316" s="1103"/>
      <c r="BT316" s="1103"/>
      <c r="BU316" s="1103"/>
      <c r="BV316" s="1103"/>
      <c r="BW316" s="1103"/>
      <c r="BX316" s="1103"/>
      <c r="BY316" s="1103"/>
      <c r="BZ316" s="1103"/>
      <c r="CA316" s="1103"/>
      <c r="CB316" s="1103"/>
      <c r="CC316" s="1103"/>
      <c r="CD316" s="1103"/>
      <c r="CE316" s="1103"/>
      <c r="CF316" s="1103"/>
      <c r="CG316" s="1103"/>
      <c r="CH316" s="1103"/>
      <c r="CI316" s="1103"/>
    </row>
    <row r="317" spans="1:195" x14ac:dyDescent="0.2">
      <c r="H317" s="1103"/>
      <c r="I317" s="1103"/>
      <c r="J317" s="1103"/>
      <c r="K317" s="1103"/>
      <c r="L317" s="1103"/>
      <c r="M317" s="1103"/>
      <c r="N317" s="1103"/>
      <c r="O317" s="1103"/>
      <c r="P317" s="1103"/>
      <c r="Q317" s="1103"/>
      <c r="R317" s="1103"/>
      <c r="S317" s="1103"/>
      <c r="T317" s="1103"/>
      <c r="U317" s="1103"/>
      <c r="V317" s="1103"/>
      <c r="W317" s="1103"/>
      <c r="X317" s="1103"/>
      <c r="Y317" s="1103"/>
      <c r="Z317" s="1103"/>
      <c r="AA317" s="1103"/>
      <c r="AB317" s="1103"/>
      <c r="AC317" s="1103"/>
      <c r="AD317" s="1103"/>
      <c r="AE317" s="1103"/>
      <c r="AF317" s="1103"/>
      <c r="AG317" s="1103"/>
      <c r="AH317" s="1103"/>
      <c r="AI317" s="1103"/>
      <c r="AJ317" s="1103"/>
      <c r="AK317" s="1103"/>
      <c r="AL317" s="1103"/>
      <c r="AM317" s="1103"/>
      <c r="AN317" s="1103"/>
      <c r="AO317" s="1103"/>
      <c r="AP317" s="1103"/>
      <c r="AQ317" s="1103"/>
      <c r="AR317" s="1103"/>
      <c r="AS317" s="1103"/>
      <c r="AT317" s="1103"/>
      <c r="AU317" s="1103"/>
      <c r="AV317" s="1103"/>
      <c r="AW317" s="1103"/>
      <c r="AX317" s="1103"/>
      <c r="AY317" s="1103"/>
      <c r="AZ317" s="1103"/>
      <c r="BA317" s="1103"/>
      <c r="BB317" s="1103"/>
      <c r="BC317" s="1103"/>
      <c r="BD317" s="1103"/>
      <c r="BE317" s="1103"/>
      <c r="BF317" s="1103"/>
      <c r="BG317" s="1103"/>
      <c r="BH317" s="1103"/>
      <c r="BI317" s="1103"/>
      <c r="BJ317" s="1103"/>
      <c r="BK317" s="1103"/>
      <c r="BL317" s="1103"/>
      <c r="BM317" s="1103"/>
      <c r="BN317" s="1103"/>
      <c r="BO317" s="1103"/>
      <c r="BP317" s="1103"/>
      <c r="BQ317" s="1103"/>
      <c r="BR317" s="1103"/>
      <c r="BS317" s="1103"/>
      <c r="BT317" s="1103"/>
      <c r="BU317" s="1103"/>
      <c r="BV317" s="1103"/>
      <c r="BW317" s="1103"/>
      <c r="BX317" s="1103"/>
      <c r="BY317" s="1103"/>
      <c r="BZ317" s="1103"/>
      <c r="CA317" s="1103"/>
      <c r="CB317" s="1103"/>
      <c r="CC317" s="1103"/>
      <c r="CD317" s="1103"/>
      <c r="CE317" s="1103"/>
      <c r="CF317" s="1103"/>
      <c r="CG317" s="1103"/>
      <c r="CH317" s="1103"/>
      <c r="CI317" s="1103"/>
    </row>
    <row r="318" spans="1:195" x14ac:dyDescent="0.2">
      <c r="H318" s="1103"/>
      <c r="I318" s="1103"/>
      <c r="J318" s="1103"/>
      <c r="K318" s="1103"/>
      <c r="L318" s="1103"/>
      <c r="M318" s="1103"/>
      <c r="N318" s="1103"/>
      <c r="O318" s="1103"/>
      <c r="P318" s="1103"/>
      <c r="Q318" s="1103"/>
      <c r="R318" s="1103"/>
      <c r="S318" s="1103"/>
      <c r="T318" s="1103"/>
      <c r="U318" s="1103"/>
      <c r="V318" s="1103"/>
      <c r="W318" s="1103"/>
      <c r="X318" s="1103"/>
      <c r="Y318" s="1103"/>
      <c r="Z318" s="1103"/>
      <c r="AA318" s="1103"/>
      <c r="AB318" s="1103"/>
      <c r="AC318" s="1103"/>
      <c r="AD318" s="1103"/>
      <c r="AE318" s="1103"/>
      <c r="AF318" s="1103"/>
      <c r="AG318" s="1103"/>
      <c r="AH318" s="1103"/>
      <c r="AI318" s="1103"/>
      <c r="AJ318" s="1103"/>
      <c r="AK318" s="1103"/>
      <c r="AL318" s="1103"/>
      <c r="AM318" s="1103"/>
      <c r="AN318" s="1103"/>
      <c r="AO318" s="1103"/>
      <c r="AP318" s="1103"/>
      <c r="AQ318" s="1103"/>
      <c r="AR318" s="1103"/>
      <c r="AS318" s="1103"/>
      <c r="AT318" s="1103"/>
      <c r="AU318" s="1103"/>
      <c r="AV318" s="1103"/>
      <c r="AW318" s="1103"/>
      <c r="AX318" s="1103"/>
      <c r="AY318" s="1103"/>
      <c r="AZ318" s="1103"/>
      <c r="BA318" s="1103"/>
      <c r="BB318" s="1103"/>
      <c r="BC318" s="1103"/>
      <c r="BD318" s="1103"/>
      <c r="BE318" s="1103"/>
      <c r="BF318" s="1103"/>
      <c r="BG318" s="1103"/>
      <c r="BH318" s="1103"/>
      <c r="BI318" s="1103"/>
      <c r="BJ318" s="1103"/>
      <c r="BK318" s="1103"/>
      <c r="BL318" s="1103"/>
      <c r="BM318" s="1103"/>
      <c r="BN318" s="1103"/>
      <c r="BO318" s="1103"/>
      <c r="BP318" s="1103"/>
      <c r="BQ318" s="1103"/>
      <c r="BR318" s="1103"/>
      <c r="BS318" s="1103"/>
      <c r="BT318" s="1103"/>
      <c r="BU318" s="1103"/>
      <c r="BV318" s="1103"/>
      <c r="BW318" s="1103"/>
      <c r="BX318" s="1103"/>
      <c r="BY318" s="1103"/>
      <c r="BZ318" s="1103"/>
      <c r="CA318" s="1103"/>
      <c r="CB318" s="1103"/>
      <c r="CC318" s="1103"/>
      <c r="CD318" s="1103"/>
      <c r="CE318" s="1103"/>
      <c r="CF318" s="1103"/>
      <c r="CG318" s="1103"/>
      <c r="CH318" s="1103"/>
      <c r="CI318" s="1103"/>
    </row>
    <row r="319" spans="1:195" x14ac:dyDescent="0.2">
      <c r="H319" s="1103"/>
      <c r="I319" s="1103"/>
      <c r="J319" s="1103"/>
      <c r="K319" s="1103"/>
      <c r="L319" s="1103"/>
      <c r="M319" s="1103"/>
      <c r="N319" s="1103"/>
      <c r="O319" s="1103"/>
      <c r="P319" s="1103"/>
      <c r="Q319" s="1103"/>
      <c r="R319" s="1103"/>
      <c r="S319" s="1103"/>
      <c r="T319" s="1103"/>
      <c r="U319" s="1103"/>
      <c r="V319" s="1103"/>
      <c r="W319" s="1103"/>
      <c r="X319" s="1103"/>
      <c r="Y319" s="1103"/>
      <c r="Z319" s="1103"/>
      <c r="AA319" s="1103"/>
      <c r="AB319" s="1103"/>
      <c r="AC319" s="1103"/>
      <c r="AD319" s="1103"/>
      <c r="AE319" s="1103"/>
      <c r="AF319" s="1103"/>
      <c r="AG319" s="1103"/>
      <c r="AH319" s="1103"/>
      <c r="AI319" s="1103"/>
      <c r="AJ319" s="1103"/>
      <c r="AK319" s="1103"/>
      <c r="AL319" s="1103"/>
      <c r="AM319" s="1103"/>
      <c r="AN319" s="1103"/>
      <c r="AO319" s="1103"/>
      <c r="AP319" s="1103"/>
      <c r="AQ319" s="1103"/>
      <c r="AR319" s="1103"/>
      <c r="AS319" s="1103"/>
      <c r="AT319" s="1103"/>
      <c r="AU319" s="1103"/>
      <c r="AV319" s="1103"/>
      <c r="AW319" s="1103"/>
      <c r="AX319" s="1103"/>
      <c r="AY319" s="1103"/>
      <c r="AZ319" s="1103"/>
      <c r="BA319" s="1103"/>
      <c r="BB319" s="1103"/>
      <c r="BC319" s="1103"/>
      <c r="BD319" s="1103"/>
      <c r="BE319" s="1103"/>
      <c r="BF319" s="1103"/>
      <c r="BG319" s="1103"/>
      <c r="BH319" s="1103"/>
      <c r="BI319" s="1103"/>
      <c r="BJ319" s="1103"/>
      <c r="BK319" s="1103"/>
      <c r="BL319" s="1103"/>
      <c r="BM319" s="1103"/>
      <c r="BN319" s="1103"/>
      <c r="BO319" s="1103"/>
      <c r="BP319" s="1103"/>
      <c r="BQ319" s="1103"/>
      <c r="BR319" s="1103"/>
      <c r="BS319" s="1103"/>
      <c r="BT319" s="1103"/>
      <c r="BU319" s="1103"/>
      <c r="BV319" s="1103"/>
      <c r="BW319" s="1103"/>
      <c r="BX319" s="1103"/>
      <c r="BY319" s="1103"/>
      <c r="BZ319" s="1103"/>
      <c r="CA319" s="1103"/>
      <c r="CB319" s="1103"/>
      <c r="CC319" s="1103"/>
      <c r="CD319" s="1103"/>
      <c r="CE319" s="1103"/>
      <c r="CF319" s="1103"/>
      <c r="CG319" s="1103"/>
      <c r="CH319" s="1103"/>
      <c r="CI319" s="1103"/>
    </row>
  </sheetData>
  <phoneticPr fontId="0" type="noConversion"/>
  <pageMargins left="0.45" right="0.41" top="1" bottom="1" header="0.49" footer="0.5"/>
  <pageSetup paperSize="9" scale="75" orientation="landscape" horizontalDpi="12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24606-0069-4A5D-B25B-5FC2455EC514}">
  <dimension ref="A1:M403"/>
  <sheetViews>
    <sheetView workbookViewId="0">
      <selection activeCell="A3" sqref="A3:M403"/>
    </sheetView>
  </sheetViews>
  <sheetFormatPr defaultRowHeight="12.75" x14ac:dyDescent="0.2"/>
  <sheetData>
    <row r="1" spans="1:13" x14ac:dyDescent="0.2">
      <c r="A1" t="s">
        <v>1960</v>
      </c>
    </row>
    <row r="3" spans="1:13" x14ac:dyDescent="0.2">
      <c r="A3" t="s">
        <v>1957</v>
      </c>
      <c r="B3" t="s">
        <v>717</v>
      </c>
      <c r="C3" t="s">
        <v>1959</v>
      </c>
      <c r="D3" t="s">
        <v>1958</v>
      </c>
      <c r="E3">
        <v>2010</v>
      </c>
      <c r="F3">
        <v>2015</v>
      </c>
      <c r="G3">
        <v>2020</v>
      </c>
      <c r="H3">
        <v>2025</v>
      </c>
      <c r="I3">
        <v>2030</v>
      </c>
      <c r="J3">
        <v>2035</v>
      </c>
      <c r="K3">
        <v>2040</v>
      </c>
      <c r="L3">
        <v>2045</v>
      </c>
      <c r="M3">
        <v>2050</v>
      </c>
    </row>
    <row r="4" spans="1:13" x14ac:dyDescent="0.2">
      <c r="A4" t="s">
        <v>498</v>
      </c>
      <c r="B4" t="s">
        <v>182</v>
      </c>
      <c r="C4" t="s">
        <v>501</v>
      </c>
      <c r="D4" t="s">
        <v>145</v>
      </c>
      <c r="E4">
        <v>9.6002010924587093</v>
      </c>
      <c r="F4">
        <v>12.295523518061101</v>
      </c>
      <c r="G4">
        <v>7.0375198956390097</v>
      </c>
      <c r="H4">
        <v>8.2046027913723396</v>
      </c>
      <c r="I4">
        <v>8.4950302260998694</v>
      </c>
      <c r="J4">
        <v>8.2450068898439604</v>
      </c>
      <c r="K4">
        <v>8.3127507941159706</v>
      </c>
      <c r="L4">
        <v>8.3127918839105899</v>
      </c>
      <c r="M4">
        <v>8.3693590724444107</v>
      </c>
    </row>
    <row r="5" spans="1:13" x14ac:dyDescent="0.2">
      <c r="A5" t="s">
        <v>498</v>
      </c>
      <c r="B5" t="s">
        <v>182</v>
      </c>
      <c r="C5" t="s">
        <v>501</v>
      </c>
      <c r="D5" t="s">
        <v>129</v>
      </c>
      <c r="E5">
        <v>8.5641579152449303</v>
      </c>
      <c r="F5">
        <v>9.6580110235574494</v>
      </c>
      <c r="G5">
        <v>2.7867389528720699</v>
      </c>
      <c r="H5">
        <v>2.1696941290079601</v>
      </c>
      <c r="I5">
        <v>1.9058529098653401</v>
      </c>
      <c r="J5">
        <v>1.9715548791583399</v>
      </c>
      <c r="K5">
        <v>1.80325718220481</v>
      </c>
      <c r="L5">
        <v>1.80325766566259</v>
      </c>
      <c r="M5">
        <v>1.80600275766325</v>
      </c>
    </row>
    <row r="6" spans="1:13" x14ac:dyDescent="0.2">
      <c r="A6" t="s">
        <v>498</v>
      </c>
      <c r="B6" t="s">
        <v>182</v>
      </c>
      <c r="C6" t="s">
        <v>501</v>
      </c>
      <c r="D6" t="s">
        <v>149</v>
      </c>
      <c r="E6">
        <v>16.673115899025799</v>
      </c>
      <c r="F6">
        <v>18.1238089179102</v>
      </c>
      <c r="G6">
        <v>7.8929936267624203</v>
      </c>
      <c r="H6">
        <v>7.3391360413522797</v>
      </c>
      <c r="I6">
        <v>6.56449009849179</v>
      </c>
      <c r="J6">
        <v>6.7717132351857101</v>
      </c>
      <c r="K6">
        <v>6.3353874772199799</v>
      </c>
      <c r="L6">
        <v>6.3354430386428602</v>
      </c>
      <c r="M6">
        <v>6.3805145100120502</v>
      </c>
    </row>
    <row r="7" spans="1:13" x14ac:dyDescent="0.2">
      <c r="A7" t="s">
        <v>498</v>
      </c>
      <c r="B7" t="s">
        <v>182</v>
      </c>
      <c r="C7" t="s">
        <v>501</v>
      </c>
      <c r="D7" t="s">
        <v>147</v>
      </c>
      <c r="E7">
        <v>0.183740644616634</v>
      </c>
      <c r="F7">
        <v>0.16180582571136101</v>
      </c>
      <c r="G7">
        <v>0.18955111286908199</v>
      </c>
      <c r="H7">
        <v>0.19191147173666101</v>
      </c>
      <c r="I7">
        <v>0.19303868220418799</v>
      </c>
      <c r="J7">
        <v>0.19351598474610199</v>
      </c>
      <c r="K7">
        <v>0.191854404911007</v>
      </c>
      <c r="L7">
        <v>0.19185262658754099</v>
      </c>
      <c r="M7">
        <v>0.19312216871318899</v>
      </c>
    </row>
    <row r="8" spans="1:13" x14ac:dyDescent="0.2">
      <c r="A8" t="s">
        <v>498</v>
      </c>
      <c r="B8" t="s">
        <v>182</v>
      </c>
      <c r="C8" t="s">
        <v>501</v>
      </c>
      <c r="D8" t="s">
        <v>155</v>
      </c>
      <c r="E8">
        <v>4.2670972902907597E-2</v>
      </c>
      <c r="F8">
        <v>4.2670927259417797E-2</v>
      </c>
      <c r="G8">
        <v>6.0175723532765499E-2</v>
      </c>
      <c r="H8">
        <v>6.01695414399568E-2</v>
      </c>
      <c r="I8">
        <v>6.0167450908081101E-2</v>
      </c>
      <c r="J8">
        <v>6.0164712219486001E-2</v>
      </c>
      <c r="K8">
        <v>6.0164240366087897E-2</v>
      </c>
      <c r="L8">
        <v>6.0164163764798897E-2</v>
      </c>
      <c r="M8">
        <v>6.0164193249358199E-2</v>
      </c>
    </row>
    <row r="9" spans="1:13" x14ac:dyDescent="0.2">
      <c r="A9" t="s">
        <v>498</v>
      </c>
      <c r="B9" t="s">
        <v>182</v>
      </c>
      <c r="C9" t="s">
        <v>501</v>
      </c>
      <c r="D9" t="s">
        <v>125</v>
      </c>
      <c r="E9">
        <v>7.0600558638666397E-3</v>
      </c>
      <c r="F9">
        <v>7.2188807538929303E-3</v>
      </c>
      <c r="G9">
        <v>8.9168853601401706E-3</v>
      </c>
      <c r="H9">
        <v>8.7394055968140292E-3</v>
      </c>
      <c r="I9">
        <v>8.6943184966646898E-3</v>
      </c>
      <c r="J9">
        <v>8.6123852585138806E-3</v>
      </c>
      <c r="K9">
        <v>8.5945646137361408E-3</v>
      </c>
      <c r="L9">
        <v>8.5942912264795907E-3</v>
      </c>
      <c r="M9">
        <v>8.5951166029417398E-3</v>
      </c>
    </row>
    <row r="10" spans="1:13" x14ac:dyDescent="0.2">
      <c r="A10" t="s">
        <v>498</v>
      </c>
      <c r="B10" t="s">
        <v>182</v>
      </c>
      <c r="C10" t="s">
        <v>501</v>
      </c>
      <c r="D10" t="s">
        <v>137</v>
      </c>
      <c r="E10">
        <v>1.6758131705313</v>
      </c>
      <c r="F10">
        <v>2.1481115710610101</v>
      </c>
      <c r="G10">
        <v>0.473134078922954</v>
      </c>
      <c r="H10">
        <v>0.35719325934370499</v>
      </c>
      <c r="I10">
        <v>0.33875927128073402</v>
      </c>
      <c r="J10">
        <v>0.32794018119465101</v>
      </c>
      <c r="K10">
        <v>0.30584592560252699</v>
      </c>
      <c r="L10">
        <v>0.30584880738436099</v>
      </c>
      <c r="M10">
        <v>0.30802455669086698</v>
      </c>
    </row>
    <row r="11" spans="1:13" x14ac:dyDescent="0.2">
      <c r="A11" t="s">
        <v>498</v>
      </c>
      <c r="B11" t="s">
        <v>182</v>
      </c>
      <c r="C11" t="s">
        <v>501</v>
      </c>
      <c r="D11" t="s">
        <v>120</v>
      </c>
      <c r="E11">
        <v>1404.3271128133699</v>
      </c>
      <c r="F11">
        <v>1439.6601314125801</v>
      </c>
      <c r="G11">
        <v>1684.18271883701</v>
      </c>
      <c r="H11">
        <v>1650.6602334367401</v>
      </c>
      <c r="I11">
        <v>1642.1438923528999</v>
      </c>
      <c r="J11">
        <v>1626.66978660524</v>
      </c>
      <c r="K11">
        <v>1623.30402513322</v>
      </c>
      <c r="L11">
        <v>1623.2520614663099</v>
      </c>
      <c r="M11">
        <v>1623.40710518732</v>
      </c>
    </row>
    <row r="12" spans="1:13" x14ac:dyDescent="0.2">
      <c r="A12" t="s">
        <v>498</v>
      </c>
      <c r="B12" t="s">
        <v>182</v>
      </c>
      <c r="C12" t="s">
        <v>501</v>
      </c>
      <c r="D12" t="s">
        <v>133</v>
      </c>
      <c r="E12">
        <v>0.308686971765607</v>
      </c>
      <c r="F12">
        <v>0.3514917426559</v>
      </c>
      <c r="G12">
        <v>0.41477994422651598</v>
      </c>
      <c r="H12">
        <v>0.41175694437029597</v>
      </c>
      <c r="I12">
        <v>0.41302179377238901</v>
      </c>
      <c r="J12">
        <v>0.411506559794103</v>
      </c>
      <c r="K12">
        <v>0.41104277522581101</v>
      </c>
      <c r="L12">
        <v>0.41104274130226698</v>
      </c>
      <c r="M12">
        <v>0.41112796490950498</v>
      </c>
    </row>
    <row r="13" spans="1:13" x14ac:dyDescent="0.2">
      <c r="A13" t="s">
        <v>498</v>
      </c>
      <c r="B13" t="s">
        <v>182</v>
      </c>
      <c r="C13" t="s">
        <v>501</v>
      </c>
      <c r="D13" t="s">
        <v>141</v>
      </c>
      <c r="E13">
        <v>8.1280068089980395E-2</v>
      </c>
      <c r="F13">
        <v>0.119146422058294</v>
      </c>
      <c r="G13">
        <v>5.78893636806442E-2</v>
      </c>
      <c r="H13">
        <v>5.5215677186708403E-2</v>
      </c>
      <c r="I13">
        <v>5.6334175336776801E-2</v>
      </c>
      <c r="J13">
        <v>5.4993730550411797E-2</v>
      </c>
      <c r="K13">
        <v>5.4583411925712401E-2</v>
      </c>
      <c r="L13">
        <v>5.4583454840025802E-2</v>
      </c>
      <c r="M13">
        <v>5.4658632223239703E-2</v>
      </c>
    </row>
    <row r="14" spans="1:13" x14ac:dyDescent="0.2">
      <c r="A14" t="s">
        <v>498</v>
      </c>
      <c r="B14" t="s">
        <v>184</v>
      </c>
      <c r="C14" t="s">
        <v>501</v>
      </c>
      <c r="D14" t="s">
        <v>145</v>
      </c>
      <c r="E14">
        <v>22.579418641795002</v>
      </c>
      <c r="F14">
        <v>9.0903852362690802</v>
      </c>
      <c r="G14">
        <v>7.2508001242851599</v>
      </c>
      <c r="H14">
        <v>8.3556987909824798</v>
      </c>
      <c r="I14">
        <v>8.6465986366556002</v>
      </c>
      <c r="J14">
        <v>8.4121179739218093</v>
      </c>
      <c r="K14">
        <v>8.4583772012786298</v>
      </c>
      <c r="L14">
        <v>8.4584037451519194</v>
      </c>
      <c r="M14">
        <v>8.5248446231051407</v>
      </c>
    </row>
    <row r="15" spans="1:13" x14ac:dyDescent="0.2">
      <c r="A15" t="s">
        <v>498</v>
      </c>
      <c r="B15" t="s">
        <v>184</v>
      </c>
      <c r="C15" t="s">
        <v>501</v>
      </c>
      <c r="D15" t="s">
        <v>129</v>
      </c>
      <c r="E15">
        <v>13.9864690314122</v>
      </c>
      <c r="F15">
        <v>8.6222310446848205</v>
      </c>
      <c r="G15">
        <v>2.6611271470383202</v>
      </c>
      <c r="H15">
        <v>2.0703098620271998</v>
      </c>
      <c r="I15">
        <v>1.8197121469984701</v>
      </c>
      <c r="J15">
        <v>1.8815055816456701</v>
      </c>
      <c r="K15">
        <v>1.72120836005601</v>
      </c>
      <c r="L15">
        <v>1.72121053061929</v>
      </c>
      <c r="M15">
        <v>1.72375209093524</v>
      </c>
    </row>
    <row r="16" spans="1:13" x14ac:dyDescent="0.2">
      <c r="A16" t="s">
        <v>498</v>
      </c>
      <c r="B16" t="s">
        <v>184</v>
      </c>
      <c r="C16" t="s">
        <v>501</v>
      </c>
      <c r="D16" t="s">
        <v>149</v>
      </c>
      <c r="E16">
        <v>21.479908688362801</v>
      </c>
      <c r="F16">
        <v>14.1899393572135</v>
      </c>
      <c r="G16">
        <v>6.2647803145334597</v>
      </c>
      <c r="H16">
        <v>5.7979869012644301</v>
      </c>
      <c r="I16">
        <v>5.20919501649339</v>
      </c>
      <c r="J16">
        <v>5.35594752180626</v>
      </c>
      <c r="K16">
        <v>5.0142547371903996</v>
      </c>
      <c r="L16">
        <v>5.01430209801104</v>
      </c>
      <c r="M16">
        <v>5.0498323593708303</v>
      </c>
    </row>
    <row r="17" spans="1:13" x14ac:dyDescent="0.2">
      <c r="A17" t="s">
        <v>498</v>
      </c>
      <c r="B17" t="s">
        <v>184</v>
      </c>
      <c r="C17" t="s">
        <v>501</v>
      </c>
      <c r="D17" t="s">
        <v>147</v>
      </c>
      <c r="E17">
        <v>8.8574444131497496E-2</v>
      </c>
      <c r="F17">
        <v>0.158338957178361</v>
      </c>
      <c r="G17">
        <v>0.22076039280896301</v>
      </c>
      <c r="H17">
        <v>0.22567553296085399</v>
      </c>
      <c r="I17">
        <v>0.22802236468630799</v>
      </c>
      <c r="J17">
        <v>0.22901609159938899</v>
      </c>
      <c r="K17">
        <v>0.22555616451962901</v>
      </c>
      <c r="L17">
        <v>0.22555300582847901</v>
      </c>
      <c r="M17">
        <v>0.22819598441319699</v>
      </c>
    </row>
    <row r="18" spans="1:13" x14ac:dyDescent="0.2">
      <c r="A18" t="s">
        <v>498</v>
      </c>
      <c r="B18" t="s">
        <v>184</v>
      </c>
      <c r="C18" t="s">
        <v>501</v>
      </c>
      <c r="D18" t="s">
        <v>155</v>
      </c>
      <c r="E18">
        <v>4.2098933652771502E-2</v>
      </c>
      <c r="F18">
        <v>4.2098570742761299E-2</v>
      </c>
      <c r="G18">
        <v>5.3159719402687697E-2</v>
      </c>
      <c r="H18">
        <v>5.3149739963877903E-2</v>
      </c>
      <c r="I18">
        <v>5.3146224692601898E-2</v>
      </c>
      <c r="J18">
        <v>5.3141799371229599E-2</v>
      </c>
      <c r="K18">
        <v>5.3140820474749002E-2</v>
      </c>
      <c r="L18">
        <v>5.3140854292493003E-2</v>
      </c>
      <c r="M18">
        <v>5.3140835802365199E-2</v>
      </c>
    </row>
    <row r="19" spans="1:13" x14ac:dyDescent="0.2">
      <c r="A19" t="s">
        <v>498</v>
      </c>
      <c r="B19" t="s">
        <v>184</v>
      </c>
      <c r="C19" t="s">
        <v>501</v>
      </c>
      <c r="D19" t="s">
        <v>125</v>
      </c>
      <c r="E19">
        <v>7.7542415434254403E-3</v>
      </c>
      <c r="F19">
        <v>7.0025604799103603E-3</v>
      </c>
      <c r="G19">
        <v>8.1856191975243908E-3</v>
      </c>
      <c r="H19">
        <v>8.0231652001578006E-3</v>
      </c>
      <c r="I19">
        <v>7.9820372345914808E-3</v>
      </c>
      <c r="J19">
        <v>7.9065086361542296E-3</v>
      </c>
      <c r="K19">
        <v>7.8887206920964792E-3</v>
      </c>
      <c r="L19">
        <v>7.8884719490300206E-3</v>
      </c>
      <c r="M19">
        <v>7.8901444470430397E-3</v>
      </c>
    </row>
    <row r="20" spans="1:13" x14ac:dyDescent="0.2">
      <c r="A20" t="s">
        <v>498</v>
      </c>
      <c r="B20" t="s">
        <v>184</v>
      </c>
      <c r="C20" t="s">
        <v>501</v>
      </c>
      <c r="D20" t="s">
        <v>137</v>
      </c>
      <c r="E20">
        <v>3.2512109288213198</v>
      </c>
      <c r="F20">
        <v>1.6109199205326501</v>
      </c>
      <c r="G20">
        <v>0.37737454157685102</v>
      </c>
      <c r="H20">
        <v>0.28217670263127098</v>
      </c>
      <c r="I20">
        <v>0.27024110048467198</v>
      </c>
      <c r="J20">
        <v>0.25937246400036401</v>
      </c>
      <c r="K20">
        <v>0.24206727844256201</v>
      </c>
      <c r="L20">
        <v>0.24206948212867599</v>
      </c>
      <c r="M20">
        <v>0.24378472910784699</v>
      </c>
    </row>
    <row r="21" spans="1:13" x14ac:dyDescent="0.2">
      <c r="A21" t="s">
        <v>498</v>
      </c>
      <c r="B21" t="s">
        <v>184</v>
      </c>
      <c r="C21" t="s">
        <v>501</v>
      </c>
      <c r="D21" t="s">
        <v>120</v>
      </c>
      <c r="E21">
        <v>1582.4187998643499</v>
      </c>
      <c r="F21">
        <v>1412.03350754338</v>
      </c>
      <c r="G21">
        <v>1546.06349717532</v>
      </c>
      <c r="H21">
        <v>1515.37888281612</v>
      </c>
      <c r="I21">
        <v>1507.61251127639</v>
      </c>
      <c r="J21">
        <v>1493.3470009960599</v>
      </c>
      <c r="K21">
        <v>1489.9863533868299</v>
      </c>
      <c r="L21">
        <v>1489.9398704633099</v>
      </c>
      <c r="M21">
        <v>1490.25622635268</v>
      </c>
    </row>
    <row r="22" spans="1:13" x14ac:dyDescent="0.2">
      <c r="A22" t="s">
        <v>498</v>
      </c>
      <c r="B22" t="s">
        <v>184</v>
      </c>
      <c r="C22" t="s">
        <v>501</v>
      </c>
      <c r="D22" t="s">
        <v>133</v>
      </c>
      <c r="E22">
        <v>0.37093923028794801</v>
      </c>
      <c r="F22">
        <v>0.26942906985133003</v>
      </c>
      <c r="G22">
        <v>0.31640035064412397</v>
      </c>
      <c r="H22">
        <v>0.312988611523218</v>
      </c>
      <c r="I22">
        <v>0.314260212084015</v>
      </c>
      <c r="J22">
        <v>0.31268832879129399</v>
      </c>
      <c r="K22">
        <v>0.312127508613181</v>
      </c>
      <c r="L22">
        <v>0.31212733060652997</v>
      </c>
      <c r="M22">
        <v>0.31221263444207797</v>
      </c>
    </row>
    <row r="23" spans="1:13" x14ac:dyDescent="0.2">
      <c r="A23" t="s">
        <v>498</v>
      </c>
      <c r="B23" t="s">
        <v>184</v>
      </c>
      <c r="C23" t="s">
        <v>501</v>
      </c>
      <c r="D23" t="s">
        <v>141</v>
      </c>
      <c r="E23">
        <v>0.174608341981421</v>
      </c>
      <c r="F23">
        <v>8.4809909896490093E-2</v>
      </c>
      <c r="G23">
        <v>4.5970348611854797E-2</v>
      </c>
      <c r="H23">
        <v>4.2952507513089398E-2</v>
      </c>
      <c r="I23">
        <v>4.4076568857239103E-2</v>
      </c>
      <c r="J23">
        <v>4.2686220737973499E-2</v>
      </c>
      <c r="K23">
        <v>4.2189628277317197E-2</v>
      </c>
      <c r="L23">
        <v>4.2189715264657097E-2</v>
      </c>
      <c r="M23">
        <v>4.2265205084896902E-2</v>
      </c>
    </row>
    <row r="24" spans="1:13" x14ac:dyDescent="0.2">
      <c r="A24" t="s">
        <v>498</v>
      </c>
      <c r="B24" t="s">
        <v>186</v>
      </c>
      <c r="C24" t="s">
        <v>501</v>
      </c>
      <c r="D24" t="s">
        <v>145</v>
      </c>
      <c r="E24">
        <v>29.4596309958273</v>
      </c>
      <c r="F24">
        <v>28.621105419521001</v>
      </c>
      <c r="G24">
        <v>7.6817855463484399</v>
      </c>
      <c r="H24">
        <v>8.9963942727621795</v>
      </c>
      <c r="I24">
        <v>9.3130254372190695</v>
      </c>
      <c r="J24">
        <v>9.0340201312627304</v>
      </c>
      <c r="K24">
        <v>9.1194870958021301</v>
      </c>
      <c r="L24">
        <v>9.1195354358116791</v>
      </c>
      <c r="M24">
        <v>9.1768688492373691</v>
      </c>
    </row>
    <row r="25" spans="1:13" x14ac:dyDescent="0.2">
      <c r="A25" t="s">
        <v>498</v>
      </c>
      <c r="B25" t="s">
        <v>186</v>
      </c>
      <c r="C25" t="s">
        <v>501</v>
      </c>
      <c r="D25" t="s">
        <v>129</v>
      </c>
      <c r="E25">
        <v>17.791352967534699</v>
      </c>
      <c r="F25">
        <v>17.463111089302298</v>
      </c>
      <c r="G25">
        <v>3.0267310243138001</v>
      </c>
      <c r="H25">
        <v>2.3543137298168899</v>
      </c>
      <c r="I25">
        <v>2.0699541963238501</v>
      </c>
      <c r="J25">
        <v>2.1398645413845401</v>
      </c>
      <c r="K25">
        <v>1.9577154303695801</v>
      </c>
      <c r="L25">
        <v>1.9577160230270401</v>
      </c>
      <c r="M25">
        <v>1.96058425238824</v>
      </c>
    </row>
    <row r="26" spans="1:13" x14ac:dyDescent="0.2">
      <c r="A26" t="s">
        <v>498</v>
      </c>
      <c r="B26" t="s">
        <v>186</v>
      </c>
      <c r="C26" t="s">
        <v>501</v>
      </c>
      <c r="D26" t="s">
        <v>149</v>
      </c>
      <c r="E26">
        <v>33.5417658414489</v>
      </c>
      <c r="F26">
        <v>33.653386551914203</v>
      </c>
      <c r="G26">
        <v>8.5715796873766799</v>
      </c>
      <c r="H26">
        <v>7.9623983507554996</v>
      </c>
      <c r="I26">
        <v>7.1225906928367602</v>
      </c>
      <c r="J26">
        <v>7.3453919181039096</v>
      </c>
      <c r="K26">
        <v>6.8720474342018099</v>
      </c>
      <c r="L26">
        <v>6.87211109726662</v>
      </c>
      <c r="M26">
        <v>6.9205737603502202</v>
      </c>
    </row>
    <row r="27" spans="1:13" x14ac:dyDescent="0.2">
      <c r="A27" t="s">
        <v>498</v>
      </c>
      <c r="B27" t="s">
        <v>186</v>
      </c>
      <c r="C27" t="s">
        <v>501</v>
      </c>
      <c r="D27" t="s">
        <v>147</v>
      </c>
      <c r="E27">
        <v>0.18414442462908501</v>
      </c>
      <c r="F27">
        <v>0.19305436052488101</v>
      </c>
      <c r="G27">
        <v>0.175367660023205</v>
      </c>
      <c r="H27">
        <v>0.17678280347714401</v>
      </c>
      <c r="I27">
        <v>0.17745830492190401</v>
      </c>
      <c r="J27">
        <v>0.17774444168838499</v>
      </c>
      <c r="K27">
        <v>0.17674862665267799</v>
      </c>
      <c r="L27">
        <v>0.17674752449153799</v>
      </c>
      <c r="M27">
        <v>0.17750838787788201</v>
      </c>
    </row>
    <row r="28" spans="1:13" x14ac:dyDescent="0.2">
      <c r="A28" t="s">
        <v>498</v>
      </c>
      <c r="B28" t="s">
        <v>186</v>
      </c>
      <c r="C28" t="s">
        <v>501</v>
      </c>
      <c r="D28" t="s">
        <v>155</v>
      </c>
      <c r="E28">
        <v>5.8005828223388803E-2</v>
      </c>
      <c r="F28">
        <v>5.8005698651183601E-2</v>
      </c>
      <c r="G28">
        <v>6.3952492241155401E-2</v>
      </c>
      <c r="H28">
        <v>6.3946667315170597E-2</v>
      </c>
      <c r="I28">
        <v>6.3944594731192794E-2</v>
      </c>
      <c r="J28">
        <v>6.3942027068771501E-2</v>
      </c>
      <c r="K28">
        <v>6.3941596803110706E-2</v>
      </c>
      <c r="L28">
        <v>6.39415366152081E-2</v>
      </c>
      <c r="M28">
        <v>6.3941512340742093E-2</v>
      </c>
    </row>
    <row r="29" spans="1:13" x14ac:dyDescent="0.2">
      <c r="A29" t="s">
        <v>498</v>
      </c>
      <c r="B29" t="s">
        <v>186</v>
      </c>
      <c r="C29" t="s">
        <v>501</v>
      </c>
      <c r="D29" t="s">
        <v>125</v>
      </c>
      <c r="E29">
        <v>7.75878540003522E-3</v>
      </c>
      <c r="F29">
        <v>7.7206892950845299E-3</v>
      </c>
      <c r="G29">
        <v>9.6853348357149507E-3</v>
      </c>
      <c r="H29">
        <v>9.4906268999874494E-3</v>
      </c>
      <c r="I29">
        <v>9.4408902403545405E-3</v>
      </c>
      <c r="J29">
        <v>9.3512761456049798E-3</v>
      </c>
      <c r="K29">
        <v>9.3323686977463492E-3</v>
      </c>
      <c r="L29">
        <v>9.33206965002485E-3</v>
      </c>
      <c r="M29">
        <v>9.3325593207045504E-3</v>
      </c>
    </row>
    <row r="30" spans="1:13" x14ac:dyDescent="0.2">
      <c r="A30" t="s">
        <v>498</v>
      </c>
      <c r="B30" t="s">
        <v>186</v>
      </c>
      <c r="C30" t="s">
        <v>501</v>
      </c>
      <c r="D30" t="s">
        <v>137</v>
      </c>
      <c r="E30">
        <v>5.0930184981446001</v>
      </c>
      <c r="F30">
        <v>5.0253358346598898</v>
      </c>
      <c r="G30">
        <v>0.51405823804131701</v>
      </c>
      <c r="H30">
        <v>0.387528613317835</v>
      </c>
      <c r="I30">
        <v>0.36774416861611597</v>
      </c>
      <c r="J30">
        <v>0.35572251850567799</v>
      </c>
      <c r="K30">
        <v>0.33175379038174102</v>
      </c>
      <c r="L30">
        <v>0.331756695076598</v>
      </c>
      <c r="M30">
        <v>0.33409632913945803</v>
      </c>
    </row>
    <row r="31" spans="1:13" x14ac:dyDescent="0.2">
      <c r="A31" t="s">
        <v>498</v>
      </c>
      <c r="B31" t="s">
        <v>186</v>
      </c>
      <c r="C31" t="s">
        <v>501</v>
      </c>
      <c r="D31" t="s">
        <v>120</v>
      </c>
      <c r="E31">
        <v>2178.9967614971001</v>
      </c>
      <c r="F31">
        <v>2166.1808780169699</v>
      </c>
      <c r="G31">
        <v>1829.3230538083899</v>
      </c>
      <c r="H31">
        <v>1792.5465477673099</v>
      </c>
      <c r="I31">
        <v>1783.15413817481</v>
      </c>
      <c r="J31">
        <v>1766.2276580145201</v>
      </c>
      <c r="K31">
        <v>1762.65639856503</v>
      </c>
      <c r="L31">
        <v>1762.6002362349</v>
      </c>
      <c r="M31">
        <v>1762.69221348628</v>
      </c>
    </row>
    <row r="32" spans="1:13" x14ac:dyDescent="0.2">
      <c r="A32" t="s">
        <v>498</v>
      </c>
      <c r="B32" t="s">
        <v>186</v>
      </c>
      <c r="C32" t="s">
        <v>501</v>
      </c>
      <c r="D32" t="s">
        <v>133</v>
      </c>
      <c r="E32">
        <v>0.56323884311686501</v>
      </c>
      <c r="F32">
        <v>0.65967921760836901</v>
      </c>
      <c r="G32">
        <v>0.43849398613699297</v>
      </c>
      <c r="H32">
        <v>0.435387742291789</v>
      </c>
      <c r="I32">
        <v>0.43677651486407298</v>
      </c>
      <c r="J32">
        <v>0.43514383186903999</v>
      </c>
      <c r="K32">
        <v>0.43469575175796898</v>
      </c>
      <c r="L32">
        <v>0.434695702864836</v>
      </c>
      <c r="M32">
        <v>0.43478505724157201</v>
      </c>
    </row>
    <row r="33" spans="1:13" x14ac:dyDescent="0.2">
      <c r="A33" t="s">
        <v>498</v>
      </c>
      <c r="B33" t="s">
        <v>186</v>
      </c>
      <c r="C33" t="s">
        <v>501</v>
      </c>
      <c r="D33" t="s">
        <v>141</v>
      </c>
      <c r="E33">
        <v>0.19585131976317</v>
      </c>
      <c r="F33">
        <v>0.281164327502613</v>
      </c>
      <c r="G33">
        <v>6.1015791831846501E-2</v>
      </c>
      <c r="H33">
        <v>5.82674541625035E-2</v>
      </c>
      <c r="I33">
        <v>5.9496434405484099E-2</v>
      </c>
      <c r="J33">
        <v>5.8051617759569699E-2</v>
      </c>
      <c r="K33">
        <v>5.76550670160648E-2</v>
      </c>
      <c r="L33">
        <v>5.7655161934684902E-2</v>
      </c>
      <c r="M33">
        <v>5.7734278106753099E-2</v>
      </c>
    </row>
    <row r="34" spans="1:13" x14ac:dyDescent="0.2">
      <c r="A34" t="s">
        <v>498</v>
      </c>
      <c r="B34" t="s">
        <v>188</v>
      </c>
      <c r="C34" t="s">
        <v>501</v>
      </c>
      <c r="D34" t="s">
        <v>145</v>
      </c>
      <c r="E34">
        <v>16.594928340204699</v>
      </c>
      <c r="F34">
        <v>7.6490424169191096</v>
      </c>
      <c r="G34">
        <v>5.2933247998308204</v>
      </c>
      <c r="H34">
        <v>6.1528656139162701</v>
      </c>
      <c r="I34">
        <v>6.3896779926879201</v>
      </c>
      <c r="J34">
        <v>6.18028067450813</v>
      </c>
      <c r="K34">
        <v>6.2412735124109204</v>
      </c>
      <c r="L34">
        <v>6.2413125974036801</v>
      </c>
      <c r="M34">
        <v>6.2790878844376499</v>
      </c>
    </row>
    <row r="35" spans="1:13" x14ac:dyDescent="0.2">
      <c r="A35" t="s">
        <v>498</v>
      </c>
      <c r="B35" t="s">
        <v>188</v>
      </c>
      <c r="C35" t="s">
        <v>501</v>
      </c>
      <c r="D35" t="s">
        <v>129</v>
      </c>
      <c r="E35">
        <v>11.3380018594681</v>
      </c>
      <c r="F35">
        <v>4.4270777617693096</v>
      </c>
      <c r="G35">
        <v>2.2851784558455002</v>
      </c>
      <c r="H35">
        <v>1.77665492953008</v>
      </c>
      <c r="I35">
        <v>1.56276598268199</v>
      </c>
      <c r="J35">
        <v>1.6150506418937001</v>
      </c>
      <c r="K35">
        <v>1.47779953573362</v>
      </c>
      <c r="L35">
        <v>1.4778001363942499</v>
      </c>
      <c r="M35">
        <v>1.47991659575059</v>
      </c>
    </row>
    <row r="36" spans="1:13" x14ac:dyDescent="0.2">
      <c r="A36" t="s">
        <v>498</v>
      </c>
      <c r="B36" t="s">
        <v>188</v>
      </c>
      <c r="C36" t="s">
        <v>501</v>
      </c>
      <c r="D36" t="s">
        <v>149</v>
      </c>
      <c r="E36">
        <v>17.209080253273701</v>
      </c>
      <c r="F36">
        <v>7.2706655844581203</v>
      </c>
      <c r="G36">
        <v>4.58093294447717</v>
      </c>
      <c r="H36">
        <v>4.2163496273832299</v>
      </c>
      <c r="I36">
        <v>3.7973777218307498</v>
      </c>
      <c r="J36">
        <v>3.8940626870163202</v>
      </c>
      <c r="K36">
        <v>3.6460689806509099</v>
      </c>
      <c r="L36">
        <v>3.6461040549748001</v>
      </c>
      <c r="M36">
        <v>3.6710310602693701</v>
      </c>
    </row>
    <row r="37" spans="1:13" x14ac:dyDescent="0.2">
      <c r="A37" t="s">
        <v>498</v>
      </c>
      <c r="B37" t="s">
        <v>188</v>
      </c>
      <c r="C37" t="s">
        <v>501</v>
      </c>
      <c r="D37" t="s">
        <v>147</v>
      </c>
      <c r="E37">
        <v>0.138983420489801</v>
      </c>
      <c r="F37">
        <v>0.110065157473166</v>
      </c>
      <c r="G37">
        <v>9.1123195728333398E-2</v>
      </c>
      <c r="H37">
        <v>9.1914690178789796E-2</v>
      </c>
      <c r="I37">
        <v>9.2292712015421399E-2</v>
      </c>
      <c r="J37">
        <v>9.2452653742200894E-2</v>
      </c>
      <c r="K37">
        <v>9.1895568332207703E-2</v>
      </c>
      <c r="L37">
        <v>9.1895058180879702E-2</v>
      </c>
      <c r="M37">
        <v>9.2320675233934807E-2</v>
      </c>
    </row>
    <row r="38" spans="1:13" x14ac:dyDescent="0.2">
      <c r="A38" t="s">
        <v>498</v>
      </c>
      <c r="B38" t="s">
        <v>188</v>
      </c>
      <c r="C38" t="s">
        <v>501</v>
      </c>
      <c r="D38" t="s">
        <v>155</v>
      </c>
      <c r="E38">
        <v>4.30037571070594E-2</v>
      </c>
      <c r="F38">
        <v>4.3000582506103398E-2</v>
      </c>
      <c r="G38">
        <v>4.2098070872406003E-2</v>
      </c>
      <c r="H38">
        <v>4.20881810288605E-2</v>
      </c>
      <c r="I38">
        <v>4.2084744630782503E-2</v>
      </c>
      <c r="J38">
        <v>4.2080381656288003E-2</v>
      </c>
      <c r="K38">
        <v>4.2079482315663198E-2</v>
      </c>
      <c r="L38">
        <v>4.2079453335109998E-2</v>
      </c>
      <c r="M38">
        <v>4.20794642138183E-2</v>
      </c>
    </row>
    <row r="39" spans="1:13" x14ac:dyDescent="0.2">
      <c r="A39" t="s">
        <v>498</v>
      </c>
      <c r="B39" t="s">
        <v>188</v>
      </c>
      <c r="C39" t="s">
        <v>501</v>
      </c>
      <c r="D39" t="s">
        <v>125</v>
      </c>
      <c r="E39">
        <v>7.4194239576110604E-3</v>
      </c>
      <c r="F39">
        <v>6.7471555112269604E-3</v>
      </c>
      <c r="G39">
        <v>6.7487595451477004E-3</v>
      </c>
      <c r="H39">
        <v>6.6124600825725501E-3</v>
      </c>
      <c r="I39">
        <v>6.5775946616658003E-3</v>
      </c>
      <c r="J39">
        <v>6.5149161690284396E-3</v>
      </c>
      <c r="K39">
        <v>6.5017860407342804E-3</v>
      </c>
      <c r="L39">
        <v>6.5015847958577897E-3</v>
      </c>
      <c r="M39">
        <v>6.5018545048176604E-3</v>
      </c>
    </row>
    <row r="40" spans="1:13" x14ac:dyDescent="0.2">
      <c r="A40" t="s">
        <v>498</v>
      </c>
      <c r="B40" t="s">
        <v>188</v>
      </c>
      <c r="C40" t="s">
        <v>501</v>
      </c>
      <c r="D40" t="s">
        <v>137</v>
      </c>
      <c r="E40">
        <v>2.48613164030948</v>
      </c>
      <c r="F40">
        <v>0.88716407266546604</v>
      </c>
      <c r="G40">
        <v>0.27749893473415599</v>
      </c>
      <c r="H40">
        <v>0.205204834261316</v>
      </c>
      <c r="I40">
        <v>0.19805846754263601</v>
      </c>
      <c r="J40">
        <v>0.188577407916631</v>
      </c>
      <c r="K40">
        <v>0.176016947090364</v>
      </c>
      <c r="L40">
        <v>0.17601867154835699</v>
      </c>
      <c r="M40">
        <v>0.177222072212638</v>
      </c>
    </row>
    <row r="41" spans="1:13" x14ac:dyDescent="0.2">
      <c r="A41" t="s">
        <v>498</v>
      </c>
      <c r="B41" t="s">
        <v>188</v>
      </c>
      <c r="C41" t="s">
        <v>501</v>
      </c>
      <c r="D41" t="s">
        <v>120</v>
      </c>
      <c r="E41">
        <v>1516.0926472297899</v>
      </c>
      <c r="F41">
        <v>1383.7625928366399</v>
      </c>
      <c r="G41">
        <v>1274.6757013323299</v>
      </c>
      <c r="H41">
        <v>1248.93285879051</v>
      </c>
      <c r="I41">
        <v>1242.34709692709</v>
      </c>
      <c r="J41">
        <v>1230.5088675593399</v>
      </c>
      <c r="K41">
        <v>1228.0290689091601</v>
      </c>
      <c r="L41">
        <v>1227.99116763047</v>
      </c>
      <c r="M41">
        <v>1228.04156212526</v>
      </c>
    </row>
    <row r="42" spans="1:13" x14ac:dyDescent="0.2">
      <c r="A42" t="s">
        <v>498</v>
      </c>
      <c r="B42" t="s">
        <v>188</v>
      </c>
      <c r="C42" t="s">
        <v>501</v>
      </c>
      <c r="D42" t="s">
        <v>133</v>
      </c>
      <c r="E42">
        <v>0.35807070269459501</v>
      </c>
      <c r="F42">
        <v>0.28679070316507099</v>
      </c>
      <c r="G42">
        <v>0.218906747032379</v>
      </c>
      <c r="H42">
        <v>0.21605365916241701</v>
      </c>
      <c r="I42">
        <v>0.217493987012533</v>
      </c>
      <c r="J42">
        <v>0.215874408641613</v>
      </c>
      <c r="K42">
        <v>0.215548001259909</v>
      </c>
      <c r="L42">
        <v>0.215548245034523</v>
      </c>
      <c r="M42">
        <v>0.215615404289591</v>
      </c>
    </row>
    <row r="43" spans="1:13" x14ac:dyDescent="0.2">
      <c r="A43" t="s">
        <v>498</v>
      </c>
      <c r="B43" t="s">
        <v>188</v>
      </c>
      <c r="C43" t="s">
        <v>501</v>
      </c>
      <c r="D43" t="s">
        <v>141</v>
      </c>
      <c r="E43">
        <v>0.13708084004218499</v>
      </c>
      <c r="F43">
        <v>7.4025422906897703E-2</v>
      </c>
      <c r="G43">
        <v>3.24536914485807E-2</v>
      </c>
      <c r="H43">
        <v>2.9929781219030799E-2</v>
      </c>
      <c r="I43">
        <v>3.12036941885327E-2</v>
      </c>
      <c r="J43">
        <v>2.97710028337012E-2</v>
      </c>
      <c r="K43">
        <v>2.94822042516945E-2</v>
      </c>
      <c r="L43">
        <v>2.94822767059961E-2</v>
      </c>
      <c r="M43">
        <v>2.9541631676445499E-2</v>
      </c>
    </row>
    <row r="44" spans="1:13" x14ac:dyDescent="0.2">
      <c r="A44" t="s">
        <v>498</v>
      </c>
      <c r="B44" t="s">
        <v>190</v>
      </c>
      <c r="C44" t="s">
        <v>501</v>
      </c>
      <c r="D44" t="s">
        <v>145</v>
      </c>
      <c r="E44">
        <v>17.990411200770101</v>
      </c>
      <c r="F44">
        <v>7.2585459848305502</v>
      </c>
      <c r="G44">
        <v>6.1426523915957798</v>
      </c>
      <c r="H44">
        <v>7.1691238003443596</v>
      </c>
      <c r="I44">
        <v>7.4337921877774802</v>
      </c>
      <c r="J44">
        <v>7.1994411397323903</v>
      </c>
      <c r="K44">
        <v>7.2709849110611904</v>
      </c>
      <c r="L44">
        <v>7.2710279922364496</v>
      </c>
      <c r="M44">
        <v>7.3149803043521597</v>
      </c>
    </row>
    <row r="45" spans="1:13" x14ac:dyDescent="0.2">
      <c r="A45" t="s">
        <v>498</v>
      </c>
      <c r="B45" t="s">
        <v>190</v>
      </c>
      <c r="C45" t="s">
        <v>501</v>
      </c>
      <c r="D45" t="s">
        <v>129</v>
      </c>
      <c r="E45">
        <v>12.243629501244</v>
      </c>
      <c r="F45">
        <v>4.4057269822849499</v>
      </c>
      <c r="G45">
        <v>2.5338719659062199</v>
      </c>
      <c r="H45">
        <v>1.97053635775459</v>
      </c>
      <c r="I45">
        <v>1.73288574795435</v>
      </c>
      <c r="J45">
        <v>1.7912592346090399</v>
      </c>
      <c r="K45">
        <v>1.6389959510055401</v>
      </c>
      <c r="L45">
        <v>1.6389971437373501</v>
      </c>
      <c r="M45">
        <v>1.6413497936376999</v>
      </c>
    </row>
    <row r="46" spans="1:13" x14ac:dyDescent="0.2">
      <c r="A46" t="s">
        <v>498</v>
      </c>
      <c r="B46" t="s">
        <v>190</v>
      </c>
      <c r="C46" t="s">
        <v>501</v>
      </c>
      <c r="D46" t="s">
        <v>149</v>
      </c>
      <c r="E46">
        <v>20.8218887386315</v>
      </c>
      <c r="F46">
        <v>7.3439936033795297</v>
      </c>
      <c r="G46">
        <v>6.0356206369280203</v>
      </c>
      <c r="H46">
        <v>5.5823600108493201</v>
      </c>
      <c r="I46">
        <v>5.0088319269148096</v>
      </c>
      <c r="J46">
        <v>5.15226788375083</v>
      </c>
      <c r="K46">
        <v>4.8220433630077002</v>
      </c>
      <c r="L46">
        <v>4.8220933526120904</v>
      </c>
      <c r="M46">
        <v>4.8555390504961302</v>
      </c>
    </row>
    <row r="47" spans="1:13" x14ac:dyDescent="0.2">
      <c r="A47" t="s">
        <v>498</v>
      </c>
      <c r="B47" t="s">
        <v>190</v>
      </c>
      <c r="C47" t="s">
        <v>501</v>
      </c>
      <c r="D47" t="s">
        <v>147</v>
      </c>
      <c r="E47">
        <v>9.5022001966096004E-2</v>
      </c>
      <c r="F47">
        <v>9.4153576596088001E-2</v>
      </c>
      <c r="G47">
        <v>0.116196244904277</v>
      </c>
      <c r="H47">
        <v>0.117032953911949</v>
      </c>
      <c r="I47">
        <v>0.11743259561145999</v>
      </c>
      <c r="J47">
        <v>0.117601803127102</v>
      </c>
      <c r="K47">
        <v>0.11701285490505001</v>
      </c>
      <c r="L47">
        <v>0.117012223650427</v>
      </c>
      <c r="M47">
        <v>0.117462182372974</v>
      </c>
    </row>
    <row r="48" spans="1:13" x14ac:dyDescent="0.2">
      <c r="A48" t="s">
        <v>498</v>
      </c>
      <c r="B48" t="s">
        <v>190</v>
      </c>
      <c r="C48" t="s">
        <v>501</v>
      </c>
      <c r="D48" t="s">
        <v>155</v>
      </c>
      <c r="E48">
        <v>4.2845431807355498E-2</v>
      </c>
      <c r="F48">
        <v>4.2845229082484199E-2</v>
      </c>
      <c r="G48">
        <v>4.9324427827802997E-2</v>
      </c>
      <c r="H48">
        <v>4.9316373839858499E-2</v>
      </c>
      <c r="I48">
        <v>4.9313565182193903E-2</v>
      </c>
      <c r="J48">
        <v>4.9310010478126401E-2</v>
      </c>
      <c r="K48">
        <v>4.9309269691000898E-2</v>
      </c>
      <c r="L48">
        <v>4.9309246414996899E-2</v>
      </c>
      <c r="M48">
        <v>4.93092310618925E-2</v>
      </c>
    </row>
    <row r="49" spans="1:13" x14ac:dyDescent="0.2">
      <c r="A49" t="s">
        <v>498</v>
      </c>
      <c r="B49" t="s">
        <v>190</v>
      </c>
      <c r="C49" t="s">
        <v>501</v>
      </c>
      <c r="D49" t="s">
        <v>125</v>
      </c>
      <c r="E49">
        <v>7.5181123500885298E-3</v>
      </c>
      <c r="F49">
        <v>6.72193717894523E-3</v>
      </c>
      <c r="G49">
        <v>7.7424633042752298E-3</v>
      </c>
      <c r="H49">
        <v>7.5862031517122301E-3</v>
      </c>
      <c r="I49">
        <v>7.5462363983801496E-3</v>
      </c>
      <c r="J49">
        <v>7.4743875655051799E-3</v>
      </c>
      <c r="K49">
        <v>7.4593805624821796E-3</v>
      </c>
      <c r="L49">
        <v>7.4591468383354304E-3</v>
      </c>
      <c r="M49">
        <v>7.4594296654913296E-3</v>
      </c>
    </row>
    <row r="50" spans="1:13" x14ac:dyDescent="0.2">
      <c r="A50" t="s">
        <v>498</v>
      </c>
      <c r="B50" t="s">
        <v>190</v>
      </c>
      <c r="C50" t="s">
        <v>501</v>
      </c>
      <c r="D50" t="s">
        <v>137</v>
      </c>
      <c r="E50">
        <v>2.9430592441144499</v>
      </c>
      <c r="F50">
        <v>0.85648765894271195</v>
      </c>
      <c r="G50">
        <v>0.36361632063642702</v>
      </c>
      <c r="H50">
        <v>0.27169020086571199</v>
      </c>
      <c r="I50">
        <v>0.25980348368640299</v>
      </c>
      <c r="J50">
        <v>0.24951146113875</v>
      </c>
      <c r="K50">
        <v>0.23278809859364299</v>
      </c>
      <c r="L50">
        <v>0.23279061475395799</v>
      </c>
      <c r="M50">
        <v>0.23440507280589101</v>
      </c>
    </row>
    <row r="51" spans="1:13" x14ac:dyDescent="0.2">
      <c r="A51" t="s">
        <v>498</v>
      </c>
      <c r="B51" t="s">
        <v>190</v>
      </c>
      <c r="C51" t="s">
        <v>501</v>
      </c>
      <c r="D51" t="s">
        <v>120</v>
      </c>
      <c r="E51">
        <v>1553.5210990931</v>
      </c>
      <c r="F51">
        <v>1408.88496713674</v>
      </c>
      <c r="G51">
        <v>1462.3627813248299</v>
      </c>
      <c r="H51">
        <v>1432.84931920791</v>
      </c>
      <c r="I51">
        <v>1425.2997832645599</v>
      </c>
      <c r="J51">
        <v>1411.72897391071</v>
      </c>
      <c r="K51">
        <v>1408.8954231452899</v>
      </c>
      <c r="L51">
        <v>1408.8503496293499</v>
      </c>
      <c r="M51">
        <v>1408.9043821590301</v>
      </c>
    </row>
    <row r="52" spans="1:13" x14ac:dyDescent="0.2">
      <c r="A52" t="s">
        <v>498</v>
      </c>
      <c r="B52" t="s">
        <v>190</v>
      </c>
      <c r="C52" t="s">
        <v>501</v>
      </c>
      <c r="D52" t="s">
        <v>133</v>
      </c>
      <c r="E52">
        <v>0.39638833463587397</v>
      </c>
      <c r="F52">
        <v>0.29090093127093197</v>
      </c>
      <c r="G52">
        <v>0.30512480081238003</v>
      </c>
      <c r="H52">
        <v>0.30228358490423202</v>
      </c>
      <c r="I52">
        <v>0.30366691295985598</v>
      </c>
      <c r="J52">
        <v>0.30208997800131698</v>
      </c>
      <c r="K52">
        <v>0.30173562336722598</v>
      </c>
      <c r="L52">
        <v>0.30173549102415298</v>
      </c>
      <c r="M52">
        <v>0.301808555330837</v>
      </c>
    </row>
    <row r="53" spans="1:13" x14ac:dyDescent="0.2">
      <c r="A53" t="s">
        <v>498</v>
      </c>
      <c r="B53" t="s">
        <v>190</v>
      </c>
      <c r="C53" t="s">
        <v>501</v>
      </c>
      <c r="D53" t="s">
        <v>141</v>
      </c>
      <c r="E53">
        <v>0.16760085093958199</v>
      </c>
      <c r="F53">
        <v>7.4285465319141195E-2</v>
      </c>
      <c r="G53">
        <v>4.3481827085775297E-2</v>
      </c>
      <c r="H53">
        <v>4.0968421942404701E-2</v>
      </c>
      <c r="I53">
        <v>4.21915697435057E-2</v>
      </c>
      <c r="J53">
        <v>4.0796629114503602E-2</v>
      </c>
      <c r="K53">
        <v>4.0483008408731903E-2</v>
      </c>
      <c r="L53">
        <v>4.0483108528960102E-2</v>
      </c>
      <c r="M53">
        <v>4.0547746759359002E-2</v>
      </c>
    </row>
    <row r="54" spans="1:13" x14ac:dyDescent="0.2">
      <c r="A54" t="s">
        <v>498</v>
      </c>
      <c r="B54" t="s">
        <v>182</v>
      </c>
      <c r="C54" t="s">
        <v>499</v>
      </c>
      <c r="D54" t="s">
        <v>145</v>
      </c>
      <c r="E54">
        <v>9.42494595370054</v>
      </c>
      <c r="F54">
        <v>6.5151522418316503</v>
      </c>
      <c r="G54">
        <v>2.9013962679725198</v>
      </c>
      <c r="H54">
        <v>1.8001555126276301</v>
      </c>
      <c r="I54">
        <v>1.6438313765408701</v>
      </c>
      <c r="J54">
        <v>1.57432933432189</v>
      </c>
      <c r="K54">
        <v>1.5408503449425099</v>
      </c>
      <c r="L54">
        <v>1.5416002309750501</v>
      </c>
      <c r="M54">
        <v>1.54141496966159</v>
      </c>
    </row>
    <row r="55" spans="1:13" x14ac:dyDescent="0.2">
      <c r="A55" t="s">
        <v>498</v>
      </c>
      <c r="B55" t="s">
        <v>182</v>
      </c>
      <c r="C55" t="s">
        <v>499</v>
      </c>
      <c r="D55" t="s">
        <v>129</v>
      </c>
      <c r="E55">
        <v>25.485894447035299</v>
      </c>
      <c r="F55">
        <v>16.635316417576099</v>
      </c>
      <c r="G55">
        <v>5.6806504273613996</v>
      </c>
      <c r="H55">
        <v>3.05403934027653</v>
      </c>
      <c r="I55">
        <v>2.1007258350226801</v>
      </c>
      <c r="J55">
        <v>1.87658987655799</v>
      </c>
      <c r="K55">
        <v>1.7679420427249899</v>
      </c>
      <c r="L55">
        <v>1.7647235248156601</v>
      </c>
      <c r="M55">
        <v>1.76351431040301</v>
      </c>
    </row>
    <row r="56" spans="1:13" x14ac:dyDescent="0.2">
      <c r="A56" t="s">
        <v>498</v>
      </c>
      <c r="B56" t="s">
        <v>182</v>
      </c>
      <c r="C56" t="s">
        <v>499</v>
      </c>
      <c r="D56" t="s">
        <v>149</v>
      </c>
      <c r="E56">
        <v>1.13593830923209E-2</v>
      </c>
      <c r="F56">
        <v>3.7803123032821302E-2</v>
      </c>
      <c r="G56">
        <v>0.124437290193953</v>
      </c>
      <c r="H56">
        <v>0.136903583493692</v>
      </c>
      <c r="I56">
        <v>0.13674174011835499</v>
      </c>
      <c r="J56">
        <v>0.13774221915503501</v>
      </c>
      <c r="K56">
        <v>0.13873461497783901</v>
      </c>
      <c r="L56">
        <v>0.13871065448301201</v>
      </c>
      <c r="M56">
        <v>0.13870041556896201</v>
      </c>
    </row>
    <row r="57" spans="1:13" x14ac:dyDescent="0.2">
      <c r="A57" t="s">
        <v>498</v>
      </c>
      <c r="B57" t="s">
        <v>182</v>
      </c>
      <c r="C57" t="s">
        <v>499</v>
      </c>
      <c r="D57" t="s">
        <v>147</v>
      </c>
      <c r="E57">
        <v>4.9860992358685303E-3</v>
      </c>
      <c r="F57">
        <v>4.7742875379494596E-3</v>
      </c>
      <c r="G57">
        <v>7.2603358828681602E-3</v>
      </c>
      <c r="H57">
        <v>7.2661933727351004E-3</v>
      </c>
      <c r="I57">
        <v>7.3123890355101103E-3</v>
      </c>
      <c r="J57">
        <v>7.3404374727568103E-3</v>
      </c>
      <c r="K57">
        <v>7.3437457061269196E-3</v>
      </c>
      <c r="L57">
        <v>7.3446144592809104E-3</v>
      </c>
      <c r="M57">
        <v>7.3444994559674001E-3</v>
      </c>
    </row>
    <row r="58" spans="1:13" x14ac:dyDescent="0.2">
      <c r="A58" t="s">
        <v>498</v>
      </c>
      <c r="B58" t="s">
        <v>182</v>
      </c>
      <c r="C58" t="s">
        <v>499</v>
      </c>
      <c r="D58" t="s">
        <v>155</v>
      </c>
      <c r="E58">
        <v>2.6212030110567601E-2</v>
      </c>
      <c r="F58">
        <v>2.6306147637779401E-2</v>
      </c>
      <c r="G58">
        <v>3.6703962076044899E-2</v>
      </c>
      <c r="H58">
        <v>3.6724988920478097E-2</v>
      </c>
      <c r="I58">
        <v>3.6651621694611301E-2</v>
      </c>
      <c r="J58">
        <v>3.6612099035051998E-2</v>
      </c>
      <c r="K58">
        <v>3.6606158410121097E-2</v>
      </c>
      <c r="L58">
        <v>3.6604649349406201E-2</v>
      </c>
      <c r="M58">
        <v>3.6605318323892203E-2</v>
      </c>
    </row>
    <row r="59" spans="1:13" x14ac:dyDescent="0.2">
      <c r="A59" t="s">
        <v>498</v>
      </c>
      <c r="B59" t="s">
        <v>182</v>
      </c>
      <c r="C59" t="s">
        <v>499</v>
      </c>
      <c r="D59" t="s">
        <v>125</v>
      </c>
      <c r="E59">
        <v>3.9377821944932299E-2</v>
      </c>
      <c r="F59">
        <v>3.7984236057639099E-2</v>
      </c>
      <c r="G59">
        <v>1.6214018510996998E-2</v>
      </c>
      <c r="H59">
        <v>1.5642379959483001E-2</v>
      </c>
      <c r="I59">
        <v>1.5129566396989799E-2</v>
      </c>
      <c r="J59">
        <v>1.48940539224115E-2</v>
      </c>
      <c r="K59">
        <v>1.48498058438792E-2</v>
      </c>
      <c r="L59">
        <v>1.48391871090011E-2</v>
      </c>
      <c r="M59">
        <v>1.4834122168645001E-2</v>
      </c>
    </row>
    <row r="60" spans="1:13" x14ac:dyDescent="0.2">
      <c r="A60" t="s">
        <v>498</v>
      </c>
      <c r="B60" t="s">
        <v>182</v>
      </c>
      <c r="C60" t="s">
        <v>499</v>
      </c>
      <c r="D60" t="s">
        <v>137</v>
      </c>
      <c r="E60">
        <v>1.84761615807355</v>
      </c>
      <c r="F60">
        <v>1.40257055938169</v>
      </c>
      <c r="G60">
        <v>0.61956439340661196</v>
      </c>
      <c r="H60">
        <v>0.26929109587747802</v>
      </c>
      <c r="I60">
        <v>0.19094706305498699</v>
      </c>
      <c r="J60">
        <v>0.172288027054284</v>
      </c>
      <c r="K60">
        <v>0.15756259162820199</v>
      </c>
      <c r="L60">
        <v>0.157519892644533</v>
      </c>
      <c r="M60">
        <v>0.15750071717103001</v>
      </c>
    </row>
    <row r="61" spans="1:13" x14ac:dyDescent="0.2">
      <c r="A61" t="s">
        <v>498</v>
      </c>
      <c r="B61" t="s">
        <v>182</v>
      </c>
      <c r="C61" t="s">
        <v>499</v>
      </c>
      <c r="D61" t="s">
        <v>120</v>
      </c>
      <c r="E61">
        <v>1573.0981920694501</v>
      </c>
      <c r="F61">
        <v>1544.3679757121099</v>
      </c>
      <c r="G61">
        <v>1916.5843083058301</v>
      </c>
      <c r="H61">
        <v>1868.9930069357799</v>
      </c>
      <c r="I61">
        <v>1812.7966575929599</v>
      </c>
      <c r="J61">
        <v>1785.4009056329501</v>
      </c>
      <c r="K61">
        <v>1781.1669913012199</v>
      </c>
      <c r="L61">
        <v>1779.89338532949</v>
      </c>
      <c r="M61">
        <v>1779.28555768666</v>
      </c>
    </row>
    <row r="62" spans="1:13" x14ac:dyDescent="0.2">
      <c r="A62" t="s">
        <v>498</v>
      </c>
      <c r="B62" t="s">
        <v>182</v>
      </c>
      <c r="C62" t="s">
        <v>499</v>
      </c>
      <c r="D62" t="s">
        <v>133</v>
      </c>
      <c r="E62">
        <v>1.6759760982763601</v>
      </c>
      <c r="F62">
        <v>1.2591555489209101</v>
      </c>
      <c r="G62">
        <v>0.67744248626063297</v>
      </c>
      <c r="H62">
        <v>0.52738778166466604</v>
      </c>
      <c r="I62">
        <v>0.48358848951405597</v>
      </c>
      <c r="J62">
        <v>0.472761661372815</v>
      </c>
      <c r="K62">
        <v>0.46753146166185999</v>
      </c>
      <c r="L62">
        <v>0.46733602925816797</v>
      </c>
      <c r="M62">
        <v>0.46734012500094102</v>
      </c>
    </row>
    <row r="63" spans="1:13" x14ac:dyDescent="0.2">
      <c r="A63" t="s">
        <v>498</v>
      </c>
      <c r="B63" t="s">
        <v>182</v>
      </c>
      <c r="C63" t="s">
        <v>499</v>
      </c>
      <c r="D63" t="s">
        <v>141</v>
      </c>
      <c r="E63">
        <v>1.31772095909569</v>
      </c>
      <c r="F63">
        <v>0.93325433252970902</v>
      </c>
      <c r="G63">
        <v>0.27440125765457901</v>
      </c>
      <c r="H63">
        <v>0.135307690590454</v>
      </c>
      <c r="I63">
        <v>0.10091565939698199</v>
      </c>
      <c r="J63">
        <v>9.4307179930071303E-2</v>
      </c>
      <c r="K63">
        <v>8.9937296191057697E-2</v>
      </c>
      <c r="L63">
        <v>8.9863311660723005E-2</v>
      </c>
      <c r="M63">
        <v>8.9850222817437805E-2</v>
      </c>
    </row>
    <row r="64" spans="1:13" x14ac:dyDescent="0.2">
      <c r="A64" t="s">
        <v>498</v>
      </c>
      <c r="B64" t="s">
        <v>184</v>
      </c>
      <c r="C64" t="s">
        <v>499</v>
      </c>
      <c r="D64" t="s">
        <v>145</v>
      </c>
      <c r="E64">
        <v>7.4025631204345501</v>
      </c>
      <c r="F64">
        <v>5.7928546844056203</v>
      </c>
      <c r="G64">
        <v>3.25014237033561</v>
      </c>
      <c r="H64">
        <v>2.1022334776789799</v>
      </c>
      <c r="I64">
        <v>1.90721253550502</v>
      </c>
      <c r="J64">
        <v>1.73226494933412</v>
      </c>
      <c r="K64">
        <v>1.66295860938386</v>
      </c>
      <c r="L64">
        <v>1.6638988091117199</v>
      </c>
      <c r="M64">
        <v>1.6592583196978401</v>
      </c>
    </row>
    <row r="65" spans="1:13" x14ac:dyDescent="0.2">
      <c r="A65" t="s">
        <v>498</v>
      </c>
      <c r="B65" t="s">
        <v>184</v>
      </c>
      <c r="C65" t="s">
        <v>499</v>
      </c>
      <c r="D65" t="s">
        <v>129</v>
      </c>
      <c r="E65">
        <v>18.668125395756</v>
      </c>
      <c r="F65">
        <v>11.1440380927276</v>
      </c>
      <c r="G65">
        <v>5.7829202038421004</v>
      </c>
      <c r="H65">
        <v>3.20396695130832</v>
      </c>
      <c r="I65">
        <v>2.2740618900591598</v>
      </c>
      <c r="J65">
        <v>1.9371275562897501</v>
      </c>
      <c r="K65">
        <v>1.7456585769951301</v>
      </c>
      <c r="L65">
        <v>1.7403372468815299</v>
      </c>
      <c r="M65">
        <v>1.7389528033933299</v>
      </c>
    </row>
    <row r="66" spans="1:13" x14ac:dyDescent="0.2">
      <c r="A66" t="s">
        <v>498</v>
      </c>
      <c r="B66" t="s">
        <v>184</v>
      </c>
      <c r="C66" t="s">
        <v>499</v>
      </c>
      <c r="D66" t="s">
        <v>149</v>
      </c>
      <c r="E66">
        <v>1.40033005820737E-2</v>
      </c>
      <c r="F66">
        <v>2.6809761202267801E-2</v>
      </c>
      <c r="G66">
        <v>0.106442915223567</v>
      </c>
      <c r="H66">
        <v>0.114238711864713</v>
      </c>
      <c r="I66">
        <v>0.117878139049751</v>
      </c>
      <c r="J66">
        <v>0.117418406823893</v>
      </c>
      <c r="K66">
        <v>0.12035326609237</v>
      </c>
      <c r="L66">
        <v>0.120291917587136</v>
      </c>
      <c r="M66">
        <v>0.120135485992918</v>
      </c>
    </row>
    <row r="67" spans="1:13" x14ac:dyDescent="0.2">
      <c r="A67" t="s">
        <v>498</v>
      </c>
      <c r="B67" t="s">
        <v>184</v>
      </c>
      <c r="C67" t="s">
        <v>499</v>
      </c>
      <c r="D67" t="s">
        <v>147</v>
      </c>
      <c r="E67">
        <v>3.4284515149731101E-3</v>
      </c>
      <c r="F67">
        <v>3.9228568169430503E-3</v>
      </c>
      <c r="G67">
        <v>6.0180787362878099E-3</v>
      </c>
      <c r="H67">
        <v>6.0081059727209599E-3</v>
      </c>
      <c r="I67">
        <v>6.0223865299690697E-3</v>
      </c>
      <c r="J67">
        <v>6.0258969594508003E-3</v>
      </c>
      <c r="K67">
        <v>6.0307176387692897E-3</v>
      </c>
      <c r="L67">
        <v>6.0319705845977203E-3</v>
      </c>
      <c r="M67">
        <v>6.0283362401861102E-3</v>
      </c>
    </row>
    <row r="68" spans="1:13" x14ac:dyDescent="0.2">
      <c r="A68" t="s">
        <v>498</v>
      </c>
      <c r="B68" t="s">
        <v>184</v>
      </c>
      <c r="C68" t="s">
        <v>499</v>
      </c>
      <c r="D68" t="s">
        <v>155</v>
      </c>
      <c r="E68">
        <v>2.5552170890355701E-2</v>
      </c>
      <c r="F68">
        <v>2.53025045921564E-2</v>
      </c>
      <c r="G68">
        <v>3.2113726092753501E-2</v>
      </c>
      <c r="H68">
        <v>3.2125818354371803E-2</v>
      </c>
      <c r="I68">
        <v>3.21152168523616E-2</v>
      </c>
      <c r="J68">
        <v>3.21127222738316E-2</v>
      </c>
      <c r="K68">
        <v>3.2111195257881399E-2</v>
      </c>
      <c r="L68">
        <v>3.21104284845748E-2</v>
      </c>
      <c r="M68">
        <v>3.2111281698300603E-2</v>
      </c>
    </row>
    <row r="69" spans="1:13" x14ac:dyDescent="0.2">
      <c r="A69" t="s">
        <v>498</v>
      </c>
      <c r="B69" t="s">
        <v>184</v>
      </c>
      <c r="C69" t="s">
        <v>499</v>
      </c>
      <c r="D69" t="s">
        <v>125</v>
      </c>
      <c r="E69">
        <v>3.8389239139431798E-2</v>
      </c>
      <c r="F69">
        <v>3.6761798419934502E-2</v>
      </c>
      <c r="G69">
        <v>1.4889550958331501E-2</v>
      </c>
      <c r="H69">
        <v>1.4468385512049001E-2</v>
      </c>
      <c r="I69">
        <v>1.4209561374707899E-2</v>
      </c>
      <c r="J69">
        <v>1.41029670885105E-2</v>
      </c>
      <c r="K69">
        <v>1.4056650783011699E-2</v>
      </c>
      <c r="L69">
        <v>1.4045167485360799E-2</v>
      </c>
      <c r="M69">
        <v>1.4035601733995101E-2</v>
      </c>
    </row>
    <row r="70" spans="1:13" x14ac:dyDescent="0.2">
      <c r="A70" t="s">
        <v>498</v>
      </c>
      <c r="B70" t="s">
        <v>184</v>
      </c>
      <c r="C70" t="s">
        <v>499</v>
      </c>
      <c r="D70" t="s">
        <v>137</v>
      </c>
      <c r="E70">
        <v>1.4473470985210799</v>
      </c>
      <c r="F70">
        <v>1.1581362740294701</v>
      </c>
      <c r="G70">
        <v>0.53671452190943902</v>
      </c>
      <c r="H70">
        <v>0.27494886385920297</v>
      </c>
      <c r="I70">
        <v>0.19325322968969499</v>
      </c>
      <c r="J70">
        <v>0.167956894854846</v>
      </c>
      <c r="K70">
        <v>0.13892518309640101</v>
      </c>
      <c r="L70">
        <v>0.13884600843509601</v>
      </c>
      <c r="M70">
        <v>0.13868242154504801</v>
      </c>
    </row>
    <row r="71" spans="1:13" x14ac:dyDescent="0.2">
      <c r="A71" t="s">
        <v>498</v>
      </c>
      <c r="B71" t="s">
        <v>184</v>
      </c>
      <c r="C71" t="s">
        <v>499</v>
      </c>
      <c r="D71" t="s">
        <v>120</v>
      </c>
      <c r="E71">
        <v>1543.98093106499</v>
      </c>
      <c r="F71">
        <v>1489.5901194539099</v>
      </c>
      <c r="G71">
        <v>1760.12051639078</v>
      </c>
      <c r="H71">
        <v>1725.691003145</v>
      </c>
      <c r="I71">
        <v>1701.2652234181401</v>
      </c>
      <c r="J71">
        <v>1689.2419423004101</v>
      </c>
      <c r="K71">
        <v>1686.0310473817101</v>
      </c>
      <c r="L71">
        <v>1684.65387386569</v>
      </c>
      <c r="M71">
        <v>1683.50748414707</v>
      </c>
    </row>
    <row r="72" spans="1:13" x14ac:dyDescent="0.2">
      <c r="A72" t="s">
        <v>498</v>
      </c>
      <c r="B72" t="s">
        <v>184</v>
      </c>
      <c r="C72" t="s">
        <v>499</v>
      </c>
      <c r="D72" t="s">
        <v>133</v>
      </c>
      <c r="E72">
        <v>0.78674550377560604</v>
      </c>
      <c r="F72">
        <v>0.59435851753671198</v>
      </c>
      <c r="G72">
        <v>0.48892752894583302</v>
      </c>
      <c r="H72">
        <v>0.40673687636699701</v>
      </c>
      <c r="I72">
        <v>0.37207197997484598</v>
      </c>
      <c r="J72">
        <v>0.366996102766601</v>
      </c>
      <c r="K72">
        <v>0.35822974357450499</v>
      </c>
      <c r="L72">
        <v>0.35809529827636299</v>
      </c>
      <c r="M72">
        <v>0.358118172842192</v>
      </c>
    </row>
    <row r="73" spans="1:13" x14ac:dyDescent="0.2">
      <c r="A73" t="s">
        <v>498</v>
      </c>
      <c r="B73" t="s">
        <v>184</v>
      </c>
      <c r="C73" t="s">
        <v>499</v>
      </c>
      <c r="D73" t="s">
        <v>141</v>
      </c>
      <c r="E73">
        <v>0.55028448131832597</v>
      </c>
      <c r="F73">
        <v>0.38400745413618897</v>
      </c>
      <c r="G73">
        <v>0.19465121057228399</v>
      </c>
      <c r="H73">
        <v>0.118207278051221</v>
      </c>
      <c r="I73">
        <v>8.6817069306160496E-2</v>
      </c>
      <c r="J73">
        <v>8.22742664951428E-2</v>
      </c>
      <c r="K73">
        <v>7.4293747941119301E-2</v>
      </c>
      <c r="L73">
        <v>7.4186721872420605E-2</v>
      </c>
      <c r="M73">
        <v>7.4167760380950506E-2</v>
      </c>
    </row>
    <row r="74" spans="1:13" x14ac:dyDescent="0.2">
      <c r="A74" t="s">
        <v>498</v>
      </c>
      <c r="B74" t="s">
        <v>186</v>
      </c>
      <c r="C74" t="s">
        <v>499</v>
      </c>
      <c r="D74" t="s">
        <v>145</v>
      </c>
      <c r="E74">
        <v>11.394784821519901</v>
      </c>
      <c r="F74">
        <v>10.6563815549337</v>
      </c>
      <c r="G74">
        <v>2.5217312345554999</v>
      </c>
      <c r="H74">
        <v>1.32179357333326</v>
      </c>
      <c r="I74">
        <v>1.08738121961483</v>
      </c>
      <c r="J74">
        <v>0.93269004563424096</v>
      </c>
      <c r="K74">
        <v>0.871599531751862</v>
      </c>
      <c r="L74">
        <v>0.87139254201649397</v>
      </c>
      <c r="M74">
        <v>0.870328181669625</v>
      </c>
    </row>
    <row r="75" spans="1:13" x14ac:dyDescent="0.2">
      <c r="A75" t="s">
        <v>498</v>
      </c>
      <c r="B75" t="s">
        <v>186</v>
      </c>
      <c r="C75" t="s">
        <v>499</v>
      </c>
      <c r="D75" t="s">
        <v>129</v>
      </c>
      <c r="E75">
        <v>40.449529533420304</v>
      </c>
      <c r="F75">
        <v>37.425839617300603</v>
      </c>
      <c r="G75">
        <v>6.6428401041299603</v>
      </c>
      <c r="H75">
        <v>3.77567960317164</v>
      </c>
      <c r="I75">
        <v>2.6206386180811401</v>
      </c>
      <c r="J75">
        <v>2.3009735743661102</v>
      </c>
      <c r="K75">
        <v>2.1222500944201301</v>
      </c>
      <c r="L75">
        <v>2.1170149680898702</v>
      </c>
      <c r="M75">
        <v>2.1153875073054502</v>
      </c>
    </row>
    <row r="76" spans="1:13" x14ac:dyDescent="0.2">
      <c r="A76" t="s">
        <v>498</v>
      </c>
      <c r="B76" t="s">
        <v>186</v>
      </c>
      <c r="C76" t="s">
        <v>499</v>
      </c>
      <c r="D76" t="s">
        <v>149</v>
      </c>
      <c r="E76">
        <v>1.10654250023199E-2</v>
      </c>
      <c r="F76">
        <v>3.5717908538474501E-2</v>
      </c>
      <c r="G76">
        <v>0.116951384194715</v>
      </c>
      <c r="H76">
        <v>0.12541769151994001</v>
      </c>
      <c r="I76">
        <v>0.12528032512760801</v>
      </c>
      <c r="J76">
        <v>0.124793701298803</v>
      </c>
      <c r="K76">
        <v>0.126229069683536</v>
      </c>
      <c r="L76">
        <v>0.126140757204284</v>
      </c>
      <c r="M76">
        <v>0.126101847596616</v>
      </c>
    </row>
    <row r="77" spans="1:13" x14ac:dyDescent="0.2">
      <c r="A77" t="s">
        <v>498</v>
      </c>
      <c r="B77" t="s">
        <v>186</v>
      </c>
      <c r="C77" t="s">
        <v>499</v>
      </c>
      <c r="D77" t="s">
        <v>147</v>
      </c>
      <c r="E77">
        <v>6.6012209147156302E-3</v>
      </c>
      <c r="F77">
        <v>6.4073594557178398E-3</v>
      </c>
      <c r="G77">
        <v>7.1648137678451997E-3</v>
      </c>
      <c r="H77">
        <v>7.1602087071173399E-3</v>
      </c>
      <c r="I77">
        <v>7.16455163233476E-3</v>
      </c>
      <c r="J77">
        <v>7.1645367912074997E-3</v>
      </c>
      <c r="K77">
        <v>7.1656509510186596E-3</v>
      </c>
      <c r="L77">
        <v>7.1659123166224799E-3</v>
      </c>
      <c r="M77">
        <v>7.1650737318779897E-3</v>
      </c>
    </row>
    <row r="78" spans="1:13" x14ac:dyDescent="0.2">
      <c r="A78" t="s">
        <v>498</v>
      </c>
      <c r="B78" t="s">
        <v>186</v>
      </c>
      <c r="C78" t="s">
        <v>499</v>
      </c>
      <c r="D78" t="s">
        <v>155</v>
      </c>
      <c r="E78">
        <v>3.4941772828006E-2</v>
      </c>
      <c r="F78">
        <v>3.50217450182281E-2</v>
      </c>
      <c r="G78">
        <v>3.9477724835296803E-2</v>
      </c>
      <c r="H78">
        <v>3.9528644727434697E-2</v>
      </c>
      <c r="I78">
        <v>3.95085168774486E-2</v>
      </c>
      <c r="J78">
        <v>3.9508343326223903E-2</v>
      </c>
      <c r="K78">
        <v>3.9503822065767399E-2</v>
      </c>
      <c r="L78">
        <v>3.9502771622416701E-2</v>
      </c>
      <c r="M78">
        <v>3.9505510322833698E-2</v>
      </c>
    </row>
    <row r="79" spans="1:13" x14ac:dyDescent="0.2">
      <c r="A79" t="s">
        <v>498</v>
      </c>
      <c r="B79" t="s">
        <v>186</v>
      </c>
      <c r="C79" t="s">
        <v>499</v>
      </c>
      <c r="D79" t="s">
        <v>125</v>
      </c>
      <c r="E79">
        <v>5.2255737859281101E-2</v>
      </c>
      <c r="F79">
        <v>5.2336961474348999E-2</v>
      </c>
      <c r="G79">
        <v>1.90120187414001E-2</v>
      </c>
      <c r="H79">
        <v>1.84874270200093E-2</v>
      </c>
      <c r="I79">
        <v>1.8144374000154902E-2</v>
      </c>
      <c r="J79">
        <v>1.7999854067365699E-2</v>
      </c>
      <c r="K79">
        <v>1.7946771342725602E-2</v>
      </c>
      <c r="L79">
        <v>1.7934071003801701E-2</v>
      </c>
      <c r="M79">
        <v>1.79299478743845E-2</v>
      </c>
    </row>
    <row r="80" spans="1:13" x14ac:dyDescent="0.2">
      <c r="A80" t="s">
        <v>498</v>
      </c>
      <c r="B80" t="s">
        <v>186</v>
      </c>
      <c r="C80" t="s">
        <v>499</v>
      </c>
      <c r="D80" t="s">
        <v>137</v>
      </c>
      <c r="E80">
        <v>2.3752781774376901</v>
      </c>
      <c r="F80">
        <v>2.1942926985453299</v>
      </c>
      <c r="G80">
        <v>0.59763355306084598</v>
      </c>
      <c r="H80">
        <v>0.29137621139391601</v>
      </c>
      <c r="I80">
        <v>0.200801002522528</v>
      </c>
      <c r="J80">
        <v>0.17642712606932701</v>
      </c>
      <c r="K80">
        <v>0.151845237690554</v>
      </c>
      <c r="L80">
        <v>0.15173882312273401</v>
      </c>
      <c r="M80">
        <v>0.15169469158436399</v>
      </c>
    </row>
    <row r="81" spans="1:13" x14ac:dyDescent="0.2">
      <c r="A81" t="s">
        <v>498</v>
      </c>
      <c r="B81" t="s">
        <v>186</v>
      </c>
      <c r="C81" t="s">
        <v>499</v>
      </c>
      <c r="D81" t="s">
        <v>120</v>
      </c>
      <c r="E81">
        <v>2080.2970890730599</v>
      </c>
      <c r="F81">
        <v>2109.4711930624499</v>
      </c>
      <c r="G81">
        <v>2250.3411144545198</v>
      </c>
      <c r="H81">
        <v>2207.8222571372398</v>
      </c>
      <c r="I81">
        <v>2173.5129182212299</v>
      </c>
      <c r="J81">
        <v>2157.1874680648498</v>
      </c>
      <c r="K81">
        <v>2152.6343695246501</v>
      </c>
      <c r="L81">
        <v>2151.1111734661499</v>
      </c>
      <c r="M81">
        <v>2150.6160486070298</v>
      </c>
    </row>
    <row r="82" spans="1:13" x14ac:dyDescent="0.2">
      <c r="A82" t="s">
        <v>498</v>
      </c>
      <c r="B82" t="s">
        <v>186</v>
      </c>
      <c r="C82" t="s">
        <v>499</v>
      </c>
      <c r="D82" t="s">
        <v>133</v>
      </c>
      <c r="E82">
        <v>3.1140708935215899</v>
      </c>
      <c r="F82">
        <v>2.8847204358426501</v>
      </c>
      <c r="G82">
        <v>0.74809443085481597</v>
      </c>
      <c r="H82">
        <v>0.62015789663876097</v>
      </c>
      <c r="I82">
        <v>0.57506450514365803</v>
      </c>
      <c r="J82">
        <v>0.56761442636626203</v>
      </c>
      <c r="K82">
        <v>0.55955127050834697</v>
      </c>
      <c r="L82">
        <v>0.55939324929766499</v>
      </c>
      <c r="M82">
        <v>0.55957008556142196</v>
      </c>
    </row>
    <row r="83" spans="1:13" x14ac:dyDescent="0.2">
      <c r="A83" t="s">
        <v>498</v>
      </c>
      <c r="B83" t="s">
        <v>186</v>
      </c>
      <c r="C83" t="s">
        <v>499</v>
      </c>
      <c r="D83" t="s">
        <v>141</v>
      </c>
      <c r="E83">
        <v>2.5303145316281501</v>
      </c>
      <c r="F83">
        <v>2.3086681022657398</v>
      </c>
      <c r="G83">
        <v>0.28378444504223299</v>
      </c>
      <c r="H83">
        <v>0.16305711430309899</v>
      </c>
      <c r="I83">
        <v>0.12268206574598001</v>
      </c>
      <c r="J83">
        <v>0.11582611815709799</v>
      </c>
      <c r="K83">
        <v>0.108668011205409</v>
      </c>
      <c r="L83">
        <v>0.108570916199558</v>
      </c>
      <c r="M83">
        <v>0.108581014611937</v>
      </c>
    </row>
    <row r="84" spans="1:13" x14ac:dyDescent="0.2">
      <c r="A84" t="s">
        <v>498</v>
      </c>
      <c r="B84" t="s">
        <v>188</v>
      </c>
      <c r="C84" t="s">
        <v>499</v>
      </c>
      <c r="D84" t="s">
        <v>145</v>
      </c>
      <c r="E84">
        <v>5.0811910165099299</v>
      </c>
      <c r="F84">
        <v>2.7268470265204399</v>
      </c>
      <c r="G84">
        <v>1.5355914449636101</v>
      </c>
      <c r="H84">
        <v>0.89657237406968604</v>
      </c>
      <c r="I84">
        <v>0.79413479693216504</v>
      </c>
      <c r="J84">
        <v>0.78234582666351604</v>
      </c>
      <c r="K84">
        <v>0.77895631877372495</v>
      </c>
      <c r="L84">
        <v>0.77927504109494905</v>
      </c>
      <c r="M84">
        <v>0.77930513165756399</v>
      </c>
    </row>
    <row r="85" spans="1:13" x14ac:dyDescent="0.2">
      <c r="A85" t="s">
        <v>498</v>
      </c>
      <c r="B85" t="s">
        <v>188</v>
      </c>
      <c r="C85" t="s">
        <v>499</v>
      </c>
      <c r="D85" t="s">
        <v>129</v>
      </c>
      <c r="E85">
        <v>11.691833793473601</v>
      </c>
      <c r="F85">
        <v>5.3676771149688802</v>
      </c>
      <c r="G85">
        <v>3.6137202505642398</v>
      </c>
      <c r="H85">
        <v>1.93222611085197</v>
      </c>
      <c r="I85">
        <v>1.2904635466224801</v>
      </c>
      <c r="J85">
        <v>1.20804258245566</v>
      </c>
      <c r="K85">
        <v>1.1760366424397</v>
      </c>
      <c r="L85">
        <v>1.1748287303099401</v>
      </c>
      <c r="M85">
        <v>1.17443815932545</v>
      </c>
    </row>
    <row r="86" spans="1:13" x14ac:dyDescent="0.2">
      <c r="A86" t="s">
        <v>498</v>
      </c>
      <c r="B86" t="s">
        <v>188</v>
      </c>
      <c r="C86" t="s">
        <v>499</v>
      </c>
      <c r="D86" t="s">
        <v>149</v>
      </c>
      <c r="E86">
        <v>2.6013362636086799E-2</v>
      </c>
      <c r="F86">
        <v>4.8912608547457603E-2</v>
      </c>
      <c r="G86">
        <v>7.1548320352667602E-2</v>
      </c>
      <c r="H86">
        <v>7.9138988379146596E-2</v>
      </c>
      <c r="I86">
        <v>7.6655521242650904E-2</v>
      </c>
      <c r="J86">
        <v>7.7190277276734304E-2</v>
      </c>
      <c r="K86">
        <v>7.7123926881226601E-2</v>
      </c>
      <c r="L86">
        <v>7.7127166689512902E-2</v>
      </c>
      <c r="M86">
        <v>7.71279806751477E-2</v>
      </c>
    </row>
    <row r="87" spans="1:13" x14ac:dyDescent="0.2">
      <c r="A87" t="s">
        <v>498</v>
      </c>
      <c r="B87" t="s">
        <v>188</v>
      </c>
      <c r="C87" t="s">
        <v>499</v>
      </c>
      <c r="D87" t="s">
        <v>147</v>
      </c>
      <c r="E87">
        <v>4.7042787259816803E-3</v>
      </c>
      <c r="F87">
        <v>4.1781828368015099E-3</v>
      </c>
      <c r="G87">
        <v>3.8352946013813899E-3</v>
      </c>
      <c r="H87">
        <v>3.83525379596238E-3</v>
      </c>
      <c r="I87">
        <v>3.8551413423649401E-3</v>
      </c>
      <c r="J87">
        <v>3.8664534081897001E-3</v>
      </c>
      <c r="K87">
        <v>3.8677677567543899E-3</v>
      </c>
      <c r="L87">
        <v>3.8680901701993102E-3</v>
      </c>
      <c r="M87">
        <v>3.86811796361387E-3</v>
      </c>
    </row>
    <row r="88" spans="1:13" x14ac:dyDescent="0.2">
      <c r="A88" t="s">
        <v>498</v>
      </c>
      <c r="B88" t="s">
        <v>188</v>
      </c>
      <c r="C88" t="s">
        <v>499</v>
      </c>
      <c r="D88" t="s">
        <v>155</v>
      </c>
      <c r="E88">
        <v>2.6549169080668199E-2</v>
      </c>
      <c r="F88">
        <v>2.7077377373300401E-2</v>
      </c>
      <c r="G88">
        <v>2.6663646209720601E-2</v>
      </c>
      <c r="H88">
        <v>2.6672380848637399E-2</v>
      </c>
      <c r="I88">
        <v>2.6520469832871599E-2</v>
      </c>
      <c r="J88">
        <v>2.64339024674058E-2</v>
      </c>
      <c r="K88">
        <v>2.64237151596389E-2</v>
      </c>
      <c r="L88">
        <v>2.64212319492989E-2</v>
      </c>
      <c r="M88">
        <v>2.6421096884032502E-2</v>
      </c>
    </row>
    <row r="89" spans="1:13" x14ac:dyDescent="0.2">
      <c r="A89" t="s">
        <v>498</v>
      </c>
      <c r="B89" t="s">
        <v>188</v>
      </c>
      <c r="C89" t="s">
        <v>499</v>
      </c>
      <c r="D89" t="s">
        <v>125</v>
      </c>
      <c r="E89">
        <v>3.6717879284551301E-2</v>
      </c>
      <c r="F89">
        <v>3.9098355675890401E-2</v>
      </c>
      <c r="G89">
        <v>1.2334311567984301E-2</v>
      </c>
      <c r="H89">
        <v>1.1840116163087199E-2</v>
      </c>
      <c r="I89">
        <v>1.12892010251304E-2</v>
      </c>
      <c r="J89">
        <v>1.10267582574557E-2</v>
      </c>
      <c r="K89">
        <v>1.0991760238511099E-2</v>
      </c>
      <c r="L89">
        <v>1.09834074162082E-2</v>
      </c>
      <c r="M89">
        <v>1.09822886490272E-2</v>
      </c>
    </row>
    <row r="90" spans="1:13" x14ac:dyDescent="0.2">
      <c r="A90" t="s">
        <v>498</v>
      </c>
      <c r="B90" t="s">
        <v>188</v>
      </c>
      <c r="C90" t="s">
        <v>499</v>
      </c>
      <c r="D90" t="s">
        <v>137</v>
      </c>
      <c r="E90">
        <v>1.4965442116421701</v>
      </c>
      <c r="F90">
        <v>0.81900820559121901</v>
      </c>
      <c r="G90">
        <v>0.36146735176794997</v>
      </c>
      <c r="H90">
        <v>0.14039143137271001</v>
      </c>
      <c r="I90">
        <v>0.101873557704856</v>
      </c>
      <c r="J90">
        <v>9.43838462975264E-2</v>
      </c>
      <c r="K90">
        <v>9.2903808201499405E-2</v>
      </c>
      <c r="L90">
        <v>9.2890797107212E-2</v>
      </c>
      <c r="M90">
        <v>9.2889380350906603E-2</v>
      </c>
    </row>
    <row r="91" spans="1:13" x14ac:dyDescent="0.2">
      <c r="A91" t="s">
        <v>498</v>
      </c>
      <c r="B91" t="s">
        <v>188</v>
      </c>
      <c r="C91" t="s">
        <v>499</v>
      </c>
      <c r="D91" t="s">
        <v>120</v>
      </c>
      <c r="E91">
        <v>1490.2976816476501</v>
      </c>
      <c r="F91">
        <v>1626.84882020706</v>
      </c>
      <c r="G91">
        <v>1458.6179661731101</v>
      </c>
      <c r="H91">
        <v>1416.37770823441</v>
      </c>
      <c r="I91">
        <v>1353.32178885294</v>
      </c>
      <c r="J91">
        <v>1322.46976433435</v>
      </c>
      <c r="K91">
        <v>1318.4113892753701</v>
      </c>
      <c r="L91">
        <v>1317.4103236998201</v>
      </c>
      <c r="M91">
        <v>1317.2762015215601</v>
      </c>
    </row>
    <row r="92" spans="1:13" x14ac:dyDescent="0.2">
      <c r="A92" t="s">
        <v>498</v>
      </c>
      <c r="B92" t="s">
        <v>188</v>
      </c>
      <c r="C92" t="s">
        <v>499</v>
      </c>
      <c r="D92" t="s">
        <v>133</v>
      </c>
      <c r="E92">
        <v>1.1044131831227499</v>
      </c>
      <c r="F92">
        <v>0.69596448890826201</v>
      </c>
      <c r="G92">
        <v>0.41688561176651601</v>
      </c>
      <c r="H92">
        <v>0.29523682935823298</v>
      </c>
      <c r="I92">
        <v>0.26722857671539402</v>
      </c>
      <c r="J92">
        <v>0.259356859155779</v>
      </c>
      <c r="K92">
        <v>0.25811596391799502</v>
      </c>
      <c r="L92">
        <v>0.25800802926334099</v>
      </c>
      <c r="M92">
        <v>0.258000316903299</v>
      </c>
    </row>
    <row r="93" spans="1:13" x14ac:dyDescent="0.2">
      <c r="A93" t="s">
        <v>498</v>
      </c>
      <c r="B93" t="s">
        <v>188</v>
      </c>
      <c r="C93" t="s">
        <v>499</v>
      </c>
      <c r="D93" t="s">
        <v>141</v>
      </c>
      <c r="E93">
        <v>0.80515128163926197</v>
      </c>
      <c r="F93">
        <v>0.40385030676064299</v>
      </c>
      <c r="G93">
        <v>0.191914712359671</v>
      </c>
      <c r="H93">
        <v>7.9817965863261897E-2</v>
      </c>
      <c r="I93">
        <v>5.8587138047291203E-2</v>
      </c>
      <c r="J93">
        <v>5.3925401266024603E-2</v>
      </c>
      <c r="K93">
        <v>5.3085681499215498E-2</v>
      </c>
      <c r="L93">
        <v>5.3060223447352402E-2</v>
      </c>
      <c r="M93">
        <v>5.30583578225301E-2</v>
      </c>
    </row>
    <row r="94" spans="1:13" x14ac:dyDescent="0.2">
      <c r="A94" t="s">
        <v>498</v>
      </c>
      <c r="B94" t="s">
        <v>190</v>
      </c>
      <c r="C94" t="s">
        <v>499</v>
      </c>
      <c r="D94" t="s">
        <v>145</v>
      </c>
      <c r="E94">
        <v>4.9983132073964702</v>
      </c>
      <c r="F94">
        <v>3.3127673342487598</v>
      </c>
      <c r="G94">
        <v>1.60960521526057</v>
      </c>
      <c r="H94">
        <v>0.894212041026479</v>
      </c>
      <c r="I94">
        <v>0.75145962562216695</v>
      </c>
      <c r="J94">
        <v>0.72015406798909798</v>
      </c>
      <c r="K94">
        <v>0.710754907060967</v>
      </c>
      <c r="L94">
        <v>0.71094846275188905</v>
      </c>
      <c r="M94">
        <v>0.71093129266241195</v>
      </c>
    </row>
    <row r="95" spans="1:13" x14ac:dyDescent="0.2">
      <c r="A95" t="s">
        <v>498</v>
      </c>
      <c r="B95" t="s">
        <v>190</v>
      </c>
      <c r="C95" t="s">
        <v>499</v>
      </c>
      <c r="D95" t="s">
        <v>129</v>
      </c>
      <c r="E95">
        <v>16.722091046014601</v>
      </c>
      <c r="F95">
        <v>9.0752835435872505</v>
      </c>
      <c r="G95">
        <v>4.5245768386744603</v>
      </c>
      <c r="H95">
        <v>2.5948057206972099</v>
      </c>
      <c r="I95">
        <v>1.7233209257637201</v>
      </c>
      <c r="J95">
        <v>1.5952418098202701</v>
      </c>
      <c r="K95">
        <v>1.5343950737018299</v>
      </c>
      <c r="L95">
        <v>1.53213591619592</v>
      </c>
      <c r="M95">
        <v>1.5313515267339699</v>
      </c>
    </row>
    <row r="96" spans="1:13" x14ac:dyDescent="0.2">
      <c r="A96" t="s">
        <v>498</v>
      </c>
      <c r="B96" t="s">
        <v>190</v>
      </c>
      <c r="C96" t="s">
        <v>499</v>
      </c>
      <c r="D96" t="s">
        <v>149</v>
      </c>
      <c r="E96">
        <v>2.3788532853898401E-2</v>
      </c>
      <c r="F96">
        <v>5.06232638400895E-2</v>
      </c>
      <c r="G96">
        <v>8.7009713960661303E-2</v>
      </c>
      <c r="H96">
        <v>9.5942830597456105E-2</v>
      </c>
      <c r="I96">
        <v>9.3344720302396503E-2</v>
      </c>
      <c r="J96">
        <v>9.3797490813894005E-2</v>
      </c>
      <c r="K96">
        <v>9.3753547263910497E-2</v>
      </c>
      <c r="L96">
        <v>9.3744088393244801E-2</v>
      </c>
      <c r="M96">
        <v>9.3743919124561703E-2</v>
      </c>
    </row>
    <row r="97" spans="1:13" x14ac:dyDescent="0.2">
      <c r="A97" t="s">
        <v>498</v>
      </c>
      <c r="B97" t="s">
        <v>190</v>
      </c>
      <c r="C97" t="s">
        <v>499</v>
      </c>
      <c r="D97" t="s">
        <v>147</v>
      </c>
      <c r="E97">
        <v>3.8053813200333601E-3</v>
      </c>
      <c r="F97">
        <v>3.8816671778757802E-3</v>
      </c>
      <c r="G97">
        <v>4.8845093825486303E-3</v>
      </c>
      <c r="H97">
        <v>4.8845901221928898E-3</v>
      </c>
      <c r="I97">
        <v>4.8982998611774697E-3</v>
      </c>
      <c r="J97">
        <v>4.9066620573488097E-3</v>
      </c>
      <c r="K97">
        <v>4.90771522630959E-3</v>
      </c>
      <c r="L97">
        <v>4.90797605756731E-3</v>
      </c>
      <c r="M97">
        <v>4.9079610813754703E-3</v>
      </c>
    </row>
    <row r="98" spans="1:13" x14ac:dyDescent="0.2">
      <c r="A98" t="s">
        <v>498</v>
      </c>
      <c r="B98" t="s">
        <v>190</v>
      </c>
      <c r="C98" t="s">
        <v>499</v>
      </c>
      <c r="D98" t="s">
        <v>155</v>
      </c>
      <c r="E98">
        <v>2.7041321564936001E-2</v>
      </c>
      <c r="F98">
        <v>2.68548734432397E-2</v>
      </c>
      <c r="G98">
        <v>3.1678107064147802E-2</v>
      </c>
      <c r="H98">
        <v>3.16916643909044E-2</v>
      </c>
      <c r="I98">
        <v>3.16017171085268E-2</v>
      </c>
      <c r="J98">
        <v>3.1547836778164702E-2</v>
      </c>
      <c r="K98">
        <v>3.1540538757987402E-2</v>
      </c>
      <c r="L98">
        <v>3.1538787124503802E-2</v>
      </c>
      <c r="M98">
        <v>3.1539113108823097E-2</v>
      </c>
    </row>
    <row r="99" spans="1:13" x14ac:dyDescent="0.2">
      <c r="A99" t="s">
        <v>498</v>
      </c>
      <c r="B99" t="s">
        <v>190</v>
      </c>
      <c r="C99" t="s">
        <v>499</v>
      </c>
      <c r="D99" t="s">
        <v>125</v>
      </c>
      <c r="E99">
        <v>4.4119301126388497E-2</v>
      </c>
      <c r="F99">
        <v>4.1262348975755703E-2</v>
      </c>
      <c r="G99">
        <v>1.6180608348462199E-2</v>
      </c>
      <c r="H99">
        <v>1.5603448697606799E-2</v>
      </c>
      <c r="I99">
        <v>1.51144360777349E-2</v>
      </c>
      <c r="J99">
        <v>1.48632492208765E-2</v>
      </c>
      <c r="K99">
        <v>1.48223265055839E-2</v>
      </c>
      <c r="L99">
        <v>1.4812489715302499E-2</v>
      </c>
      <c r="M99">
        <v>1.4811022783827199E-2</v>
      </c>
    </row>
    <row r="100" spans="1:13" x14ac:dyDescent="0.2">
      <c r="A100" t="s">
        <v>498</v>
      </c>
      <c r="B100" t="s">
        <v>190</v>
      </c>
      <c r="C100" t="s">
        <v>499</v>
      </c>
      <c r="D100" t="s">
        <v>137</v>
      </c>
      <c r="E100">
        <v>1.2734247511090699</v>
      </c>
      <c r="F100">
        <v>0.85962926200607204</v>
      </c>
      <c r="G100">
        <v>0.40893411947898201</v>
      </c>
      <c r="H100">
        <v>0.18002819141014001</v>
      </c>
      <c r="I100">
        <v>0.13027199977422399</v>
      </c>
      <c r="J100">
        <v>0.11933161730892</v>
      </c>
      <c r="K100">
        <v>0.115736737885468</v>
      </c>
      <c r="L100">
        <v>0.11570899631981101</v>
      </c>
      <c r="M100">
        <v>0.115706029517275</v>
      </c>
    </row>
    <row r="101" spans="1:13" x14ac:dyDescent="0.2">
      <c r="A101" t="s">
        <v>498</v>
      </c>
      <c r="B101" t="s">
        <v>190</v>
      </c>
      <c r="C101" t="s">
        <v>499</v>
      </c>
      <c r="D101" t="s">
        <v>120</v>
      </c>
      <c r="E101">
        <v>1790.56535119264</v>
      </c>
      <c r="F101">
        <v>1706.0851984819999</v>
      </c>
      <c r="G101">
        <v>1916.4119570956</v>
      </c>
      <c r="H101">
        <v>1866.18041191016</v>
      </c>
      <c r="I101">
        <v>1811.71928124037</v>
      </c>
      <c r="J101">
        <v>1782.46239941771</v>
      </c>
      <c r="K101">
        <v>1777.87090074862</v>
      </c>
      <c r="L101">
        <v>1776.69085043776</v>
      </c>
      <c r="M101">
        <v>1776.5151337741499</v>
      </c>
    </row>
    <row r="102" spans="1:13" x14ac:dyDescent="0.2">
      <c r="A102" t="s">
        <v>498</v>
      </c>
      <c r="B102" t="s">
        <v>190</v>
      </c>
      <c r="C102" t="s">
        <v>499</v>
      </c>
      <c r="D102" t="s">
        <v>133</v>
      </c>
      <c r="E102">
        <v>1.28818009730681</v>
      </c>
      <c r="F102">
        <v>0.82680779710365904</v>
      </c>
      <c r="G102">
        <v>0.60179805225314997</v>
      </c>
      <c r="H102">
        <v>0.46595581954183302</v>
      </c>
      <c r="I102">
        <v>0.42951735045103701</v>
      </c>
      <c r="J102">
        <v>0.41980468763527201</v>
      </c>
      <c r="K102">
        <v>0.41759644007116198</v>
      </c>
      <c r="L102">
        <v>0.41747064951560697</v>
      </c>
      <c r="M102">
        <v>0.41748018000731701</v>
      </c>
    </row>
    <row r="103" spans="1:13" x14ac:dyDescent="0.2">
      <c r="A103" t="s">
        <v>498</v>
      </c>
      <c r="B103" t="s">
        <v>190</v>
      </c>
      <c r="C103" t="s">
        <v>499</v>
      </c>
      <c r="D103" t="s">
        <v>141</v>
      </c>
      <c r="E103">
        <v>0.93126594217890002</v>
      </c>
      <c r="F103">
        <v>0.51703307471742999</v>
      </c>
      <c r="G103">
        <v>0.24432975283286401</v>
      </c>
      <c r="H103">
        <v>0.11886455572614001</v>
      </c>
      <c r="I103">
        <v>8.9573048763309293E-2</v>
      </c>
      <c r="J103">
        <v>8.3197971818451094E-2</v>
      </c>
      <c r="K103">
        <v>8.15020489665223E-2</v>
      </c>
      <c r="L103">
        <v>8.1467138980072906E-2</v>
      </c>
      <c r="M103">
        <v>8.1466979548160803E-2</v>
      </c>
    </row>
    <row r="104" spans="1:13" x14ac:dyDescent="0.2">
      <c r="A104" t="s">
        <v>498</v>
      </c>
      <c r="B104" t="s">
        <v>182</v>
      </c>
      <c r="C104" t="s">
        <v>1961</v>
      </c>
      <c r="D104" t="s">
        <v>145</v>
      </c>
      <c r="E104">
        <v>0</v>
      </c>
      <c r="F104">
        <v>0</v>
      </c>
      <c r="G104">
        <v>0</v>
      </c>
      <c r="H104">
        <v>0</v>
      </c>
      <c r="I104">
        <v>0</v>
      </c>
      <c r="J104">
        <v>0</v>
      </c>
      <c r="K104">
        <v>0</v>
      </c>
      <c r="L104">
        <v>0</v>
      </c>
      <c r="M104">
        <v>0</v>
      </c>
    </row>
    <row r="105" spans="1:13" x14ac:dyDescent="0.2">
      <c r="A105" t="s">
        <v>498</v>
      </c>
      <c r="B105" t="s">
        <v>182</v>
      </c>
      <c r="C105" t="s">
        <v>1961</v>
      </c>
      <c r="D105" t="s">
        <v>129</v>
      </c>
      <c r="E105">
        <v>0</v>
      </c>
      <c r="F105">
        <v>0</v>
      </c>
      <c r="G105">
        <v>0</v>
      </c>
      <c r="H105">
        <v>0</v>
      </c>
      <c r="I105">
        <v>0</v>
      </c>
      <c r="J105">
        <v>0</v>
      </c>
      <c r="K105">
        <v>0</v>
      </c>
      <c r="L105">
        <v>0</v>
      </c>
      <c r="M105">
        <v>0</v>
      </c>
    </row>
    <row r="106" spans="1:13" x14ac:dyDescent="0.2">
      <c r="A106" t="s">
        <v>498</v>
      </c>
      <c r="B106" t="s">
        <v>182</v>
      </c>
      <c r="C106" t="s">
        <v>1961</v>
      </c>
      <c r="D106" t="s">
        <v>149</v>
      </c>
      <c r="E106">
        <v>0</v>
      </c>
      <c r="F106">
        <v>0</v>
      </c>
      <c r="G106">
        <v>0</v>
      </c>
      <c r="H106">
        <v>0</v>
      </c>
      <c r="I106">
        <v>0</v>
      </c>
      <c r="J106">
        <v>0</v>
      </c>
      <c r="K106">
        <v>0</v>
      </c>
      <c r="L106">
        <v>0</v>
      </c>
      <c r="M106">
        <v>0</v>
      </c>
    </row>
    <row r="107" spans="1:13" x14ac:dyDescent="0.2">
      <c r="A107" t="s">
        <v>498</v>
      </c>
      <c r="B107" t="s">
        <v>182</v>
      </c>
      <c r="C107" t="s">
        <v>1961</v>
      </c>
      <c r="D107" t="s">
        <v>147</v>
      </c>
      <c r="E107">
        <v>0</v>
      </c>
      <c r="F107">
        <v>0</v>
      </c>
      <c r="G107">
        <v>0</v>
      </c>
      <c r="H107">
        <v>0</v>
      </c>
      <c r="I107">
        <v>0</v>
      </c>
      <c r="J107">
        <v>0</v>
      </c>
      <c r="K107">
        <v>0</v>
      </c>
      <c r="L107">
        <v>0</v>
      </c>
      <c r="M107">
        <v>0</v>
      </c>
    </row>
    <row r="108" spans="1:13" x14ac:dyDescent="0.2">
      <c r="A108" t="s">
        <v>498</v>
      </c>
      <c r="B108" t="s">
        <v>182</v>
      </c>
      <c r="C108" t="s">
        <v>1961</v>
      </c>
      <c r="D108" t="s">
        <v>155</v>
      </c>
      <c r="E108">
        <v>0</v>
      </c>
      <c r="F108">
        <v>0</v>
      </c>
      <c r="G108">
        <v>0</v>
      </c>
      <c r="H108">
        <v>0</v>
      </c>
      <c r="I108">
        <v>0</v>
      </c>
      <c r="J108">
        <v>0</v>
      </c>
      <c r="K108">
        <v>0</v>
      </c>
      <c r="L108">
        <v>0</v>
      </c>
      <c r="M108">
        <v>0</v>
      </c>
    </row>
    <row r="109" spans="1:13" x14ac:dyDescent="0.2">
      <c r="A109" t="s">
        <v>498</v>
      </c>
      <c r="B109" t="s">
        <v>182</v>
      </c>
      <c r="C109" t="s">
        <v>1961</v>
      </c>
      <c r="D109" t="s">
        <v>125</v>
      </c>
      <c r="E109">
        <v>0</v>
      </c>
      <c r="F109">
        <v>0</v>
      </c>
      <c r="G109">
        <v>0</v>
      </c>
      <c r="H109">
        <v>0</v>
      </c>
      <c r="I109">
        <v>0</v>
      </c>
      <c r="J109">
        <v>0</v>
      </c>
      <c r="K109">
        <v>0</v>
      </c>
      <c r="L109">
        <v>0</v>
      </c>
      <c r="M109">
        <v>0</v>
      </c>
    </row>
    <row r="110" spans="1:13" x14ac:dyDescent="0.2">
      <c r="A110" t="s">
        <v>498</v>
      </c>
      <c r="B110" t="s">
        <v>182</v>
      </c>
      <c r="C110" t="s">
        <v>1961</v>
      </c>
      <c r="D110" t="s">
        <v>137</v>
      </c>
      <c r="E110">
        <v>0</v>
      </c>
      <c r="F110">
        <v>0</v>
      </c>
      <c r="G110">
        <v>0</v>
      </c>
      <c r="H110">
        <v>0</v>
      </c>
      <c r="I110">
        <v>0</v>
      </c>
      <c r="J110">
        <v>0</v>
      </c>
      <c r="K110">
        <v>0</v>
      </c>
      <c r="L110">
        <v>0</v>
      </c>
      <c r="M110">
        <v>0</v>
      </c>
    </row>
    <row r="111" spans="1:13" x14ac:dyDescent="0.2">
      <c r="A111" t="s">
        <v>498</v>
      </c>
      <c r="B111" t="s">
        <v>182</v>
      </c>
      <c r="C111" t="s">
        <v>1961</v>
      </c>
      <c r="D111" t="s">
        <v>120</v>
      </c>
      <c r="E111">
        <v>0</v>
      </c>
      <c r="F111">
        <v>0</v>
      </c>
      <c r="G111">
        <v>0</v>
      </c>
      <c r="H111">
        <v>0</v>
      </c>
      <c r="I111">
        <v>0</v>
      </c>
      <c r="J111">
        <v>0</v>
      </c>
      <c r="K111">
        <v>0</v>
      </c>
      <c r="L111">
        <v>0</v>
      </c>
      <c r="M111">
        <v>0</v>
      </c>
    </row>
    <row r="112" spans="1:13" x14ac:dyDescent="0.2">
      <c r="A112" t="s">
        <v>498</v>
      </c>
      <c r="B112" t="s">
        <v>182</v>
      </c>
      <c r="C112" t="s">
        <v>1961</v>
      </c>
      <c r="D112" t="s">
        <v>133</v>
      </c>
      <c r="E112">
        <v>0.28277996035796599</v>
      </c>
      <c r="F112">
        <v>0.28403962324753601</v>
      </c>
      <c r="G112">
        <v>0.439680372173264</v>
      </c>
      <c r="H112">
        <v>0.44099658421857602</v>
      </c>
      <c r="I112">
        <v>0.433560526315594</v>
      </c>
      <c r="J112">
        <v>0.42933826204539599</v>
      </c>
      <c r="K112">
        <v>0.42878154898758097</v>
      </c>
      <c r="L112">
        <v>0.42864825840065801</v>
      </c>
      <c r="M112">
        <v>0.42866959782549302</v>
      </c>
    </row>
    <row r="113" spans="1:13" x14ac:dyDescent="0.2">
      <c r="A113" t="s">
        <v>498</v>
      </c>
      <c r="B113" t="s">
        <v>182</v>
      </c>
      <c r="C113" t="s">
        <v>1961</v>
      </c>
      <c r="D113" t="s">
        <v>141</v>
      </c>
      <c r="E113">
        <v>3.5985561302258398E-2</v>
      </c>
      <c r="F113">
        <v>3.6151916846221502E-2</v>
      </c>
      <c r="G113">
        <v>5.5660815141034201E-2</v>
      </c>
      <c r="H113">
        <v>5.5828047810141897E-2</v>
      </c>
      <c r="I113">
        <v>5.4890097193820798E-2</v>
      </c>
      <c r="J113">
        <v>5.4357782630601099E-2</v>
      </c>
      <c r="K113">
        <v>5.42874936769858E-2</v>
      </c>
      <c r="L113">
        <v>5.4270677380055601E-2</v>
      </c>
      <c r="M113">
        <v>5.42734513075935E-2</v>
      </c>
    </row>
    <row r="114" spans="1:13" x14ac:dyDescent="0.2">
      <c r="A114" t="s">
        <v>498</v>
      </c>
      <c r="B114" t="s">
        <v>184</v>
      </c>
      <c r="C114" t="s">
        <v>1961</v>
      </c>
      <c r="D114" t="s">
        <v>145</v>
      </c>
      <c r="E114">
        <v>0</v>
      </c>
      <c r="F114">
        <v>0</v>
      </c>
      <c r="G114">
        <v>0</v>
      </c>
      <c r="H114">
        <v>0</v>
      </c>
      <c r="I114">
        <v>0</v>
      </c>
      <c r="J114">
        <v>0</v>
      </c>
      <c r="K114">
        <v>0</v>
      </c>
      <c r="L114">
        <v>0</v>
      </c>
      <c r="M114">
        <v>0</v>
      </c>
    </row>
    <row r="115" spans="1:13" x14ac:dyDescent="0.2">
      <c r="A115" t="s">
        <v>498</v>
      </c>
      <c r="B115" t="s">
        <v>184</v>
      </c>
      <c r="C115" t="s">
        <v>1961</v>
      </c>
      <c r="D115" t="s">
        <v>129</v>
      </c>
      <c r="E115">
        <v>0</v>
      </c>
      <c r="F115">
        <v>0</v>
      </c>
      <c r="G115">
        <v>0</v>
      </c>
      <c r="H115">
        <v>0</v>
      </c>
      <c r="I115">
        <v>0</v>
      </c>
      <c r="J115">
        <v>0</v>
      </c>
      <c r="K115">
        <v>0</v>
      </c>
      <c r="L115">
        <v>0</v>
      </c>
      <c r="M115">
        <v>0</v>
      </c>
    </row>
    <row r="116" spans="1:13" x14ac:dyDescent="0.2">
      <c r="A116" t="s">
        <v>498</v>
      </c>
      <c r="B116" t="s">
        <v>184</v>
      </c>
      <c r="C116" t="s">
        <v>1961</v>
      </c>
      <c r="D116" t="s">
        <v>149</v>
      </c>
      <c r="E116">
        <v>0</v>
      </c>
      <c r="F116">
        <v>0</v>
      </c>
      <c r="G116">
        <v>0</v>
      </c>
      <c r="H116">
        <v>0</v>
      </c>
      <c r="I116">
        <v>0</v>
      </c>
      <c r="J116">
        <v>0</v>
      </c>
      <c r="K116">
        <v>0</v>
      </c>
      <c r="L116">
        <v>0</v>
      </c>
      <c r="M116">
        <v>0</v>
      </c>
    </row>
    <row r="117" spans="1:13" x14ac:dyDescent="0.2">
      <c r="A117" t="s">
        <v>498</v>
      </c>
      <c r="B117" t="s">
        <v>184</v>
      </c>
      <c r="C117" t="s">
        <v>1961</v>
      </c>
      <c r="D117" t="s">
        <v>147</v>
      </c>
      <c r="E117">
        <v>0</v>
      </c>
      <c r="F117">
        <v>0</v>
      </c>
      <c r="G117">
        <v>0</v>
      </c>
      <c r="H117">
        <v>0</v>
      </c>
      <c r="I117">
        <v>0</v>
      </c>
      <c r="J117">
        <v>0</v>
      </c>
      <c r="K117">
        <v>0</v>
      </c>
      <c r="L117">
        <v>0</v>
      </c>
      <c r="M117">
        <v>0</v>
      </c>
    </row>
    <row r="118" spans="1:13" x14ac:dyDescent="0.2">
      <c r="A118" t="s">
        <v>498</v>
      </c>
      <c r="B118" t="s">
        <v>184</v>
      </c>
      <c r="C118" t="s">
        <v>1961</v>
      </c>
      <c r="D118" t="s">
        <v>155</v>
      </c>
      <c r="E118">
        <v>0</v>
      </c>
      <c r="F118">
        <v>0</v>
      </c>
      <c r="G118">
        <v>0</v>
      </c>
      <c r="H118">
        <v>0</v>
      </c>
      <c r="I118">
        <v>0</v>
      </c>
      <c r="J118">
        <v>0</v>
      </c>
      <c r="K118">
        <v>0</v>
      </c>
      <c r="L118">
        <v>0</v>
      </c>
      <c r="M118">
        <v>0</v>
      </c>
    </row>
    <row r="119" spans="1:13" x14ac:dyDescent="0.2">
      <c r="A119" t="s">
        <v>498</v>
      </c>
      <c r="B119" t="s">
        <v>184</v>
      </c>
      <c r="C119" t="s">
        <v>1961</v>
      </c>
      <c r="D119" t="s">
        <v>125</v>
      </c>
      <c r="E119">
        <v>0</v>
      </c>
      <c r="F119">
        <v>0</v>
      </c>
      <c r="G119">
        <v>0</v>
      </c>
      <c r="H119">
        <v>0</v>
      </c>
      <c r="I119">
        <v>0</v>
      </c>
      <c r="J119">
        <v>0</v>
      </c>
      <c r="K119">
        <v>0</v>
      </c>
      <c r="L119">
        <v>0</v>
      </c>
      <c r="M119">
        <v>0</v>
      </c>
    </row>
    <row r="120" spans="1:13" x14ac:dyDescent="0.2">
      <c r="A120" t="s">
        <v>498</v>
      </c>
      <c r="B120" t="s">
        <v>184</v>
      </c>
      <c r="C120" t="s">
        <v>1961</v>
      </c>
      <c r="D120" t="s">
        <v>137</v>
      </c>
      <c r="E120">
        <v>0</v>
      </c>
      <c r="F120">
        <v>0</v>
      </c>
      <c r="G120">
        <v>0</v>
      </c>
      <c r="H120">
        <v>0</v>
      </c>
      <c r="I120">
        <v>0</v>
      </c>
      <c r="J120">
        <v>0</v>
      </c>
      <c r="K120">
        <v>0</v>
      </c>
      <c r="L120">
        <v>0</v>
      </c>
      <c r="M120">
        <v>0</v>
      </c>
    </row>
    <row r="121" spans="1:13" x14ac:dyDescent="0.2">
      <c r="A121" t="s">
        <v>498</v>
      </c>
      <c r="B121" t="s">
        <v>184</v>
      </c>
      <c r="C121" t="s">
        <v>1961</v>
      </c>
      <c r="D121" t="s">
        <v>120</v>
      </c>
      <c r="E121">
        <v>0</v>
      </c>
      <c r="F121">
        <v>0</v>
      </c>
      <c r="G121">
        <v>0</v>
      </c>
      <c r="H121">
        <v>0</v>
      </c>
      <c r="I121">
        <v>0</v>
      </c>
      <c r="J121">
        <v>0</v>
      </c>
      <c r="K121">
        <v>0</v>
      </c>
      <c r="L121">
        <v>0</v>
      </c>
      <c r="M121">
        <v>0</v>
      </c>
    </row>
    <row r="122" spans="1:13" x14ac:dyDescent="0.2">
      <c r="A122" t="s">
        <v>498</v>
      </c>
      <c r="B122" t="s">
        <v>184</v>
      </c>
      <c r="C122" t="s">
        <v>1961</v>
      </c>
      <c r="D122" t="s">
        <v>133</v>
      </c>
      <c r="E122">
        <v>0.21898051461328999</v>
      </c>
      <c r="F122">
        <v>0.205451953092012</v>
      </c>
      <c r="G122">
        <v>0.32169849087721403</v>
      </c>
      <c r="H122">
        <v>0.32274359018111498</v>
      </c>
      <c r="I122">
        <v>0.322111761670834</v>
      </c>
      <c r="J122">
        <v>0.32195178668498098</v>
      </c>
      <c r="K122">
        <v>0.32184525817804299</v>
      </c>
      <c r="L122">
        <v>0.32182427800119601</v>
      </c>
      <c r="M122">
        <v>0.32187468881790698</v>
      </c>
    </row>
    <row r="123" spans="1:13" x14ac:dyDescent="0.2">
      <c r="A123" t="s">
        <v>498</v>
      </c>
      <c r="B123" t="s">
        <v>184</v>
      </c>
      <c r="C123" t="s">
        <v>1961</v>
      </c>
      <c r="D123" t="s">
        <v>141</v>
      </c>
      <c r="E123">
        <v>2.7942001485860998E-2</v>
      </c>
      <c r="F123">
        <v>2.6214510012818999E-2</v>
      </c>
      <c r="G123">
        <v>4.0800964066513998E-2</v>
      </c>
      <c r="H123">
        <v>4.0933745412523002E-2</v>
      </c>
      <c r="I123">
        <v>4.0853777901298099E-2</v>
      </c>
      <c r="J123">
        <v>4.0833631402063898E-2</v>
      </c>
      <c r="K123">
        <v>4.08201189921851E-2</v>
      </c>
      <c r="L123">
        <v>4.0817481810898899E-2</v>
      </c>
      <c r="M123">
        <v>4.0823863408724299E-2</v>
      </c>
    </row>
    <row r="124" spans="1:13" x14ac:dyDescent="0.2">
      <c r="A124" t="s">
        <v>498</v>
      </c>
      <c r="B124" t="s">
        <v>186</v>
      </c>
      <c r="C124" t="s">
        <v>1961</v>
      </c>
      <c r="D124" t="s">
        <v>145</v>
      </c>
      <c r="E124">
        <v>0</v>
      </c>
      <c r="F124">
        <v>0</v>
      </c>
      <c r="G124">
        <v>0</v>
      </c>
      <c r="H124">
        <v>0</v>
      </c>
      <c r="I124">
        <v>0</v>
      </c>
      <c r="J124">
        <v>0</v>
      </c>
      <c r="K124">
        <v>0</v>
      </c>
      <c r="L124">
        <v>0</v>
      </c>
      <c r="M124">
        <v>0</v>
      </c>
    </row>
    <row r="125" spans="1:13" x14ac:dyDescent="0.2">
      <c r="A125" t="s">
        <v>498</v>
      </c>
      <c r="B125" t="s">
        <v>186</v>
      </c>
      <c r="C125" t="s">
        <v>1961</v>
      </c>
      <c r="D125" t="s">
        <v>129</v>
      </c>
      <c r="E125">
        <v>0</v>
      </c>
      <c r="F125">
        <v>0</v>
      </c>
      <c r="G125">
        <v>0</v>
      </c>
      <c r="H125">
        <v>0</v>
      </c>
      <c r="I125">
        <v>0</v>
      </c>
      <c r="J125">
        <v>0</v>
      </c>
      <c r="K125">
        <v>0</v>
      </c>
      <c r="L125">
        <v>0</v>
      </c>
      <c r="M125">
        <v>0</v>
      </c>
    </row>
    <row r="126" spans="1:13" x14ac:dyDescent="0.2">
      <c r="A126" t="s">
        <v>498</v>
      </c>
      <c r="B126" t="s">
        <v>186</v>
      </c>
      <c r="C126" t="s">
        <v>1961</v>
      </c>
      <c r="D126" t="s">
        <v>149</v>
      </c>
      <c r="E126">
        <v>0</v>
      </c>
      <c r="F126">
        <v>0</v>
      </c>
      <c r="G126">
        <v>0</v>
      </c>
      <c r="H126">
        <v>0</v>
      </c>
      <c r="I126">
        <v>0</v>
      </c>
      <c r="J126">
        <v>0</v>
      </c>
      <c r="K126">
        <v>0</v>
      </c>
      <c r="L126">
        <v>0</v>
      </c>
      <c r="M126">
        <v>0</v>
      </c>
    </row>
    <row r="127" spans="1:13" x14ac:dyDescent="0.2">
      <c r="A127" t="s">
        <v>498</v>
      </c>
      <c r="B127" t="s">
        <v>186</v>
      </c>
      <c r="C127" t="s">
        <v>1961</v>
      </c>
      <c r="D127" t="s">
        <v>147</v>
      </c>
      <c r="E127">
        <v>0</v>
      </c>
      <c r="F127">
        <v>0</v>
      </c>
      <c r="G127">
        <v>0</v>
      </c>
      <c r="H127">
        <v>0</v>
      </c>
      <c r="I127">
        <v>0</v>
      </c>
      <c r="J127">
        <v>0</v>
      </c>
      <c r="K127">
        <v>0</v>
      </c>
      <c r="L127">
        <v>0</v>
      </c>
      <c r="M127">
        <v>0</v>
      </c>
    </row>
    <row r="128" spans="1:13" x14ac:dyDescent="0.2">
      <c r="A128" t="s">
        <v>498</v>
      </c>
      <c r="B128" t="s">
        <v>186</v>
      </c>
      <c r="C128" t="s">
        <v>1961</v>
      </c>
      <c r="D128" t="s">
        <v>155</v>
      </c>
      <c r="E128">
        <v>0</v>
      </c>
      <c r="F128">
        <v>0</v>
      </c>
      <c r="G128">
        <v>0</v>
      </c>
      <c r="H128">
        <v>0</v>
      </c>
      <c r="I128">
        <v>0</v>
      </c>
      <c r="J128">
        <v>0</v>
      </c>
      <c r="K128">
        <v>0</v>
      </c>
      <c r="L128">
        <v>0</v>
      </c>
      <c r="M128">
        <v>0</v>
      </c>
    </row>
    <row r="129" spans="1:13" x14ac:dyDescent="0.2">
      <c r="A129" t="s">
        <v>498</v>
      </c>
      <c r="B129" t="s">
        <v>186</v>
      </c>
      <c r="C129" t="s">
        <v>1961</v>
      </c>
      <c r="D129" t="s">
        <v>125</v>
      </c>
      <c r="E129">
        <v>0</v>
      </c>
      <c r="F129">
        <v>0</v>
      </c>
      <c r="G129">
        <v>0</v>
      </c>
      <c r="H129">
        <v>0</v>
      </c>
      <c r="I129">
        <v>0</v>
      </c>
      <c r="J129">
        <v>0</v>
      </c>
      <c r="K129">
        <v>0</v>
      </c>
      <c r="L129">
        <v>0</v>
      </c>
      <c r="M129">
        <v>0</v>
      </c>
    </row>
    <row r="130" spans="1:13" x14ac:dyDescent="0.2">
      <c r="A130" t="s">
        <v>498</v>
      </c>
      <c r="B130" t="s">
        <v>186</v>
      </c>
      <c r="C130" t="s">
        <v>1961</v>
      </c>
      <c r="D130" t="s">
        <v>137</v>
      </c>
      <c r="E130">
        <v>0</v>
      </c>
      <c r="F130">
        <v>0</v>
      </c>
      <c r="G130">
        <v>0</v>
      </c>
      <c r="H130">
        <v>0</v>
      </c>
      <c r="I130">
        <v>0</v>
      </c>
      <c r="J130">
        <v>0</v>
      </c>
      <c r="K130">
        <v>0</v>
      </c>
      <c r="L130">
        <v>0</v>
      </c>
      <c r="M130">
        <v>0</v>
      </c>
    </row>
    <row r="131" spans="1:13" x14ac:dyDescent="0.2">
      <c r="A131" t="s">
        <v>498</v>
      </c>
      <c r="B131" t="s">
        <v>186</v>
      </c>
      <c r="C131" t="s">
        <v>1961</v>
      </c>
      <c r="D131" t="s">
        <v>120</v>
      </c>
      <c r="E131">
        <v>0</v>
      </c>
      <c r="F131">
        <v>0</v>
      </c>
      <c r="G131">
        <v>0</v>
      </c>
      <c r="H131">
        <v>0</v>
      </c>
      <c r="I131">
        <v>0</v>
      </c>
      <c r="J131">
        <v>0</v>
      </c>
      <c r="K131">
        <v>0</v>
      </c>
      <c r="L131">
        <v>0</v>
      </c>
      <c r="M131">
        <v>0</v>
      </c>
    </row>
    <row r="132" spans="1:13" x14ac:dyDescent="0.2">
      <c r="A132" t="s">
        <v>498</v>
      </c>
      <c r="B132" t="s">
        <v>186</v>
      </c>
      <c r="C132" t="s">
        <v>1961</v>
      </c>
      <c r="D132" t="s">
        <v>133</v>
      </c>
      <c r="E132">
        <v>0.42175676585306598</v>
      </c>
      <c r="F132">
        <v>0.43517840504438499</v>
      </c>
      <c r="G132">
        <v>0.50970790083352402</v>
      </c>
      <c r="H132">
        <v>0.51352269848712295</v>
      </c>
      <c r="I132">
        <v>0.51212256625965602</v>
      </c>
      <c r="J132">
        <v>0.51212505147673304</v>
      </c>
      <c r="K132">
        <v>0.51179734485630801</v>
      </c>
      <c r="L132">
        <v>0.511736478760355</v>
      </c>
      <c r="M132">
        <v>0.51192886078591404</v>
      </c>
    </row>
    <row r="133" spans="1:13" x14ac:dyDescent="0.2">
      <c r="A133" t="s">
        <v>498</v>
      </c>
      <c r="B133" t="s">
        <v>186</v>
      </c>
      <c r="C133" t="s">
        <v>1961</v>
      </c>
      <c r="D133" t="s">
        <v>141</v>
      </c>
      <c r="E133">
        <v>5.3393543099946997E-2</v>
      </c>
      <c r="F133">
        <v>5.5094294483151E-2</v>
      </c>
      <c r="G133">
        <v>6.4469512004217897E-2</v>
      </c>
      <c r="H133">
        <v>6.4953004497474306E-2</v>
      </c>
      <c r="I133">
        <v>6.4775649878007102E-2</v>
      </c>
      <c r="J133">
        <v>6.47760539269156E-2</v>
      </c>
      <c r="K133">
        <v>6.4734528287637996E-2</v>
      </c>
      <c r="L133">
        <v>6.4726820425011405E-2</v>
      </c>
      <c r="M133">
        <v>6.4751218981503003E-2</v>
      </c>
    </row>
    <row r="134" spans="1:13" x14ac:dyDescent="0.2">
      <c r="A134" t="s">
        <v>498</v>
      </c>
      <c r="B134" t="s">
        <v>188</v>
      </c>
      <c r="C134" t="s">
        <v>1961</v>
      </c>
      <c r="D134" t="s">
        <v>145</v>
      </c>
      <c r="E134">
        <v>0</v>
      </c>
      <c r="F134">
        <v>0</v>
      </c>
      <c r="G134">
        <v>0</v>
      </c>
      <c r="H134">
        <v>0</v>
      </c>
      <c r="I134">
        <v>0</v>
      </c>
      <c r="J134">
        <v>0</v>
      </c>
      <c r="K134">
        <v>0</v>
      </c>
      <c r="L134">
        <v>0</v>
      </c>
      <c r="M134">
        <v>0</v>
      </c>
    </row>
    <row r="135" spans="1:13" x14ac:dyDescent="0.2">
      <c r="A135" t="s">
        <v>498</v>
      </c>
      <c r="B135" t="s">
        <v>188</v>
      </c>
      <c r="C135" t="s">
        <v>1961</v>
      </c>
      <c r="D135" t="s">
        <v>129</v>
      </c>
      <c r="E135">
        <v>0</v>
      </c>
      <c r="F135">
        <v>0</v>
      </c>
      <c r="G135">
        <v>0</v>
      </c>
      <c r="H135">
        <v>0</v>
      </c>
      <c r="I135">
        <v>0</v>
      </c>
      <c r="J135">
        <v>0</v>
      </c>
      <c r="K135">
        <v>0</v>
      </c>
      <c r="L135">
        <v>0</v>
      </c>
      <c r="M135">
        <v>0</v>
      </c>
    </row>
    <row r="136" spans="1:13" x14ac:dyDescent="0.2">
      <c r="A136" t="s">
        <v>498</v>
      </c>
      <c r="B136" t="s">
        <v>188</v>
      </c>
      <c r="C136" t="s">
        <v>1961</v>
      </c>
      <c r="D136" t="s">
        <v>149</v>
      </c>
      <c r="E136">
        <v>0</v>
      </c>
      <c r="F136">
        <v>0</v>
      </c>
      <c r="G136">
        <v>0</v>
      </c>
      <c r="H136">
        <v>0</v>
      </c>
      <c r="I136">
        <v>0</v>
      </c>
      <c r="J136">
        <v>0</v>
      </c>
      <c r="K136">
        <v>0</v>
      </c>
      <c r="L136">
        <v>0</v>
      </c>
      <c r="M136">
        <v>0</v>
      </c>
    </row>
    <row r="137" spans="1:13" x14ac:dyDescent="0.2">
      <c r="A137" t="s">
        <v>498</v>
      </c>
      <c r="B137" t="s">
        <v>188</v>
      </c>
      <c r="C137" t="s">
        <v>1961</v>
      </c>
      <c r="D137" t="s">
        <v>147</v>
      </c>
      <c r="E137">
        <v>0</v>
      </c>
      <c r="F137">
        <v>0</v>
      </c>
      <c r="G137">
        <v>0</v>
      </c>
      <c r="H137">
        <v>0</v>
      </c>
      <c r="I137">
        <v>0</v>
      </c>
      <c r="J137">
        <v>0</v>
      </c>
      <c r="K137">
        <v>0</v>
      </c>
      <c r="L137">
        <v>0</v>
      </c>
      <c r="M137">
        <v>0</v>
      </c>
    </row>
    <row r="138" spans="1:13" x14ac:dyDescent="0.2">
      <c r="A138" t="s">
        <v>498</v>
      </c>
      <c r="B138" t="s">
        <v>188</v>
      </c>
      <c r="C138" t="s">
        <v>1961</v>
      </c>
      <c r="D138" t="s">
        <v>155</v>
      </c>
      <c r="E138">
        <v>0</v>
      </c>
      <c r="F138">
        <v>0</v>
      </c>
      <c r="G138">
        <v>0</v>
      </c>
      <c r="H138">
        <v>0</v>
      </c>
      <c r="I138">
        <v>0</v>
      </c>
      <c r="J138">
        <v>0</v>
      </c>
      <c r="K138">
        <v>0</v>
      </c>
      <c r="L138">
        <v>0</v>
      </c>
      <c r="M138">
        <v>0</v>
      </c>
    </row>
    <row r="139" spans="1:13" x14ac:dyDescent="0.2">
      <c r="A139" t="s">
        <v>498</v>
      </c>
      <c r="B139" t="s">
        <v>188</v>
      </c>
      <c r="C139" t="s">
        <v>1961</v>
      </c>
      <c r="D139" t="s">
        <v>125</v>
      </c>
      <c r="E139">
        <v>0</v>
      </c>
      <c r="F139">
        <v>0</v>
      </c>
      <c r="G139">
        <v>0</v>
      </c>
      <c r="H139">
        <v>0</v>
      </c>
      <c r="I139">
        <v>0</v>
      </c>
      <c r="J139">
        <v>0</v>
      </c>
      <c r="K139">
        <v>0</v>
      </c>
      <c r="L139">
        <v>0</v>
      </c>
      <c r="M139">
        <v>0</v>
      </c>
    </row>
    <row r="140" spans="1:13" x14ac:dyDescent="0.2">
      <c r="A140" t="s">
        <v>498</v>
      </c>
      <c r="B140" t="s">
        <v>188</v>
      </c>
      <c r="C140" t="s">
        <v>1961</v>
      </c>
      <c r="D140" t="s">
        <v>137</v>
      </c>
      <c r="E140">
        <v>0</v>
      </c>
      <c r="F140">
        <v>0</v>
      </c>
      <c r="G140">
        <v>0</v>
      </c>
      <c r="H140">
        <v>0</v>
      </c>
      <c r="I140">
        <v>0</v>
      </c>
      <c r="J140">
        <v>0</v>
      </c>
      <c r="K140">
        <v>0</v>
      </c>
      <c r="L140">
        <v>0</v>
      </c>
      <c r="M140">
        <v>0</v>
      </c>
    </row>
    <row r="141" spans="1:13" x14ac:dyDescent="0.2">
      <c r="A141" t="s">
        <v>498</v>
      </c>
      <c r="B141" t="s">
        <v>188</v>
      </c>
      <c r="C141" t="s">
        <v>1961</v>
      </c>
      <c r="D141" t="s">
        <v>120</v>
      </c>
      <c r="E141">
        <v>0</v>
      </c>
      <c r="F141">
        <v>0</v>
      </c>
      <c r="G141">
        <v>0</v>
      </c>
      <c r="H141">
        <v>0</v>
      </c>
      <c r="I141">
        <v>0</v>
      </c>
      <c r="J141">
        <v>0</v>
      </c>
      <c r="K141">
        <v>0</v>
      </c>
      <c r="L141">
        <v>0</v>
      </c>
      <c r="M141">
        <v>0</v>
      </c>
    </row>
    <row r="142" spans="1:13" x14ac:dyDescent="0.2">
      <c r="A142" t="s">
        <v>498</v>
      </c>
      <c r="B142" t="s">
        <v>188</v>
      </c>
      <c r="C142" t="s">
        <v>1961</v>
      </c>
      <c r="D142" t="s">
        <v>133</v>
      </c>
      <c r="E142">
        <v>0.26609837446963602</v>
      </c>
      <c r="F142">
        <v>0.29828742924158202</v>
      </c>
      <c r="G142">
        <v>0.24180634195228201</v>
      </c>
      <c r="H142">
        <v>0.24203383224433</v>
      </c>
      <c r="I142">
        <v>0.23631101867526899</v>
      </c>
      <c r="J142">
        <v>0.23305619261729901</v>
      </c>
      <c r="K142">
        <v>0.23267534537673201</v>
      </c>
      <c r="L142">
        <v>0.23258222150893701</v>
      </c>
      <c r="M142">
        <v>0.23257562070655799</v>
      </c>
    </row>
    <row r="143" spans="1:13" x14ac:dyDescent="0.2">
      <c r="A143" t="s">
        <v>498</v>
      </c>
      <c r="B143" t="s">
        <v>188</v>
      </c>
      <c r="C143" t="s">
        <v>1961</v>
      </c>
      <c r="D143" t="s">
        <v>141</v>
      </c>
      <c r="E143">
        <v>3.39041360720201E-2</v>
      </c>
      <c r="F143">
        <v>3.7988698940976597E-2</v>
      </c>
      <c r="G143">
        <v>3.0842350094186399E-2</v>
      </c>
      <c r="H143">
        <v>3.0871349930260399E-2</v>
      </c>
      <c r="I143">
        <v>3.01430706580075E-2</v>
      </c>
      <c r="J143">
        <v>2.9728868560829201E-2</v>
      </c>
      <c r="K143">
        <v>2.9680394257018201E-2</v>
      </c>
      <c r="L143">
        <v>2.96685557997696E-2</v>
      </c>
      <c r="M143">
        <v>2.9667722064433098E-2</v>
      </c>
    </row>
    <row r="144" spans="1:13" x14ac:dyDescent="0.2">
      <c r="A144" t="s">
        <v>498</v>
      </c>
      <c r="B144" t="s">
        <v>190</v>
      </c>
      <c r="C144" t="s">
        <v>1961</v>
      </c>
      <c r="D144" t="s">
        <v>145</v>
      </c>
      <c r="E144">
        <v>0</v>
      </c>
      <c r="F144">
        <v>0</v>
      </c>
      <c r="G144">
        <v>0</v>
      </c>
      <c r="H144">
        <v>0</v>
      </c>
      <c r="I144">
        <v>0</v>
      </c>
      <c r="J144">
        <v>0</v>
      </c>
      <c r="K144">
        <v>0</v>
      </c>
      <c r="L144">
        <v>0</v>
      </c>
      <c r="M144">
        <v>0</v>
      </c>
    </row>
    <row r="145" spans="1:13" x14ac:dyDescent="0.2">
      <c r="A145" t="s">
        <v>498</v>
      </c>
      <c r="B145" t="s">
        <v>190</v>
      </c>
      <c r="C145" t="s">
        <v>1961</v>
      </c>
      <c r="D145" t="s">
        <v>129</v>
      </c>
      <c r="E145">
        <v>0</v>
      </c>
      <c r="F145">
        <v>0</v>
      </c>
      <c r="G145">
        <v>0</v>
      </c>
      <c r="H145">
        <v>0</v>
      </c>
      <c r="I145">
        <v>0</v>
      </c>
      <c r="J145">
        <v>0</v>
      </c>
      <c r="K145">
        <v>0</v>
      </c>
      <c r="L145">
        <v>0</v>
      </c>
      <c r="M145">
        <v>0</v>
      </c>
    </row>
    <row r="146" spans="1:13" x14ac:dyDescent="0.2">
      <c r="A146" t="s">
        <v>498</v>
      </c>
      <c r="B146" t="s">
        <v>190</v>
      </c>
      <c r="C146" t="s">
        <v>1961</v>
      </c>
      <c r="D146" t="s">
        <v>149</v>
      </c>
      <c r="E146">
        <v>0</v>
      </c>
      <c r="F146">
        <v>0</v>
      </c>
      <c r="G146">
        <v>0</v>
      </c>
      <c r="H146">
        <v>0</v>
      </c>
      <c r="I146">
        <v>0</v>
      </c>
      <c r="J146">
        <v>0</v>
      </c>
      <c r="K146">
        <v>0</v>
      </c>
      <c r="L146">
        <v>0</v>
      </c>
      <c r="M146">
        <v>0</v>
      </c>
    </row>
    <row r="147" spans="1:13" x14ac:dyDescent="0.2">
      <c r="A147" t="s">
        <v>498</v>
      </c>
      <c r="B147" t="s">
        <v>190</v>
      </c>
      <c r="C147" t="s">
        <v>1961</v>
      </c>
      <c r="D147" t="s">
        <v>147</v>
      </c>
      <c r="E147">
        <v>0</v>
      </c>
      <c r="F147">
        <v>0</v>
      </c>
      <c r="G147">
        <v>0</v>
      </c>
      <c r="H147">
        <v>0</v>
      </c>
      <c r="I147">
        <v>0</v>
      </c>
      <c r="J147">
        <v>0</v>
      </c>
      <c r="K147">
        <v>0</v>
      </c>
      <c r="L147">
        <v>0</v>
      </c>
      <c r="M147">
        <v>0</v>
      </c>
    </row>
    <row r="148" spans="1:13" x14ac:dyDescent="0.2">
      <c r="A148" t="s">
        <v>498</v>
      </c>
      <c r="B148" t="s">
        <v>190</v>
      </c>
      <c r="C148" t="s">
        <v>1961</v>
      </c>
      <c r="D148" t="s">
        <v>155</v>
      </c>
      <c r="E148">
        <v>0</v>
      </c>
      <c r="F148">
        <v>0</v>
      </c>
      <c r="G148">
        <v>0</v>
      </c>
      <c r="H148">
        <v>0</v>
      </c>
      <c r="I148">
        <v>0</v>
      </c>
      <c r="J148">
        <v>0</v>
      </c>
      <c r="K148">
        <v>0</v>
      </c>
      <c r="L148">
        <v>0</v>
      </c>
      <c r="M148">
        <v>0</v>
      </c>
    </row>
    <row r="149" spans="1:13" x14ac:dyDescent="0.2">
      <c r="A149" t="s">
        <v>498</v>
      </c>
      <c r="B149" t="s">
        <v>190</v>
      </c>
      <c r="C149" t="s">
        <v>1961</v>
      </c>
      <c r="D149" t="s">
        <v>125</v>
      </c>
      <c r="E149">
        <v>0</v>
      </c>
      <c r="F149">
        <v>0</v>
      </c>
      <c r="G149">
        <v>0</v>
      </c>
      <c r="H149">
        <v>0</v>
      </c>
      <c r="I149">
        <v>0</v>
      </c>
      <c r="J149">
        <v>0</v>
      </c>
      <c r="K149">
        <v>0</v>
      </c>
      <c r="L149">
        <v>0</v>
      </c>
      <c r="M149">
        <v>0</v>
      </c>
    </row>
    <row r="150" spans="1:13" x14ac:dyDescent="0.2">
      <c r="A150" t="s">
        <v>498</v>
      </c>
      <c r="B150" t="s">
        <v>190</v>
      </c>
      <c r="C150" t="s">
        <v>1961</v>
      </c>
      <c r="D150" t="s">
        <v>137</v>
      </c>
      <c r="E150">
        <v>0</v>
      </c>
      <c r="F150">
        <v>0</v>
      </c>
      <c r="G150">
        <v>0</v>
      </c>
      <c r="H150">
        <v>0</v>
      </c>
      <c r="I150">
        <v>0</v>
      </c>
      <c r="J150">
        <v>0</v>
      </c>
      <c r="K150">
        <v>0</v>
      </c>
      <c r="L150">
        <v>0</v>
      </c>
      <c r="M150">
        <v>0</v>
      </c>
    </row>
    <row r="151" spans="1:13" x14ac:dyDescent="0.2">
      <c r="A151" t="s">
        <v>498</v>
      </c>
      <c r="B151" t="s">
        <v>190</v>
      </c>
      <c r="C151" t="s">
        <v>1961</v>
      </c>
      <c r="D151" t="s">
        <v>120</v>
      </c>
      <c r="E151">
        <v>0</v>
      </c>
      <c r="F151">
        <v>0</v>
      </c>
      <c r="G151">
        <v>0</v>
      </c>
      <c r="H151">
        <v>0</v>
      </c>
      <c r="I151">
        <v>0</v>
      </c>
      <c r="J151">
        <v>0</v>
      </c>
      <c r="K151">
        <v>0</v>
      </c>
      <c r="L151">
        <v>0</v>
      </c>
      <c r="M151">
        <v>0</v>
      </c>
    </row>
    <row r="152" spans="1:13" x14ac:dyDescent="0.2">
      <c r="A152" t="s">
        <v>498</v>
      </c>
      <c r="B152" t="s">
        <v>190</v>
      </c>
      <c r="C152" t="s">
        <v>1961</v>
      </c>
      <c r="D152" t="s">
        <v>133</v>
      </c>
      <c r="E152">
        <v>0.32025419056653998</v>
      </c>
      <c r="F152">
        <v>0.30735882190983999</v>
      </c>
      <c r="G152">
        <v>0.39005101449211499</v>
      </c>
      <c r="H152">
        <v>0.39066992241253701</v>
      </c>
      <c r="I152">
        <v>0.38533543168497802</v>
      </c>
      <c r="J152">
        <v>0.38210780865177602</v>
      </c>
      <c r="K152">
        <v>0.38168461815948401</v>
      </c>
      <c r="L152">
        <v>0.38158273300441498</v>
      </c>
      <c r="M152">
        <v>0.38159401668729898</v>
      </c>
    </row>
    <row r="153" spans="1:13" x14ac:dyDescent="0.2">
      <c r="A153" t="s">
        <v>498</v>
      </c>
      <c r="B153" t="s">
        <v>190</v>
      </c>
      <c r="C153" t="s">
        <v>1961</v>
      </c>
      <c r="D153" t="s">
        <v>141</v>
      </c>
      <c r="E153">
        <v>4.0776832803997499E-2</v>
      </c>
      <c r="F153">
        <v>3.9141663319635298E-2</v>
      </c>
      <c r="G153">
        <v>4.9523071403868003E-2</v>
      </c>
      <c r="H153">
        <v>4.9601730365398403E-2</v>
      </c>
      <c r="I153">
        <v>4.89258116983569E-2</v>
      </c>
      <c r="J153">
        <v>4.8516952447921501E-2</v>
      </c>
      <c r="K153">
        <v>4.8463277650522503E-2</v>
      </c>
      <c r="L153">
        <v>4.8450357125536803E-2</v>
      </c>
      <c r="M153">
        <v>4.8451814981298101E-2</v>
      </c>
    </row>
    <row r="154" spans="1:13" x14ac:dyDescent="0.2">
      <c r="A154" t="s">
        <v>498</v>
      </c>
      <c r="B154" t="s">
        <v>182</v>
      </c>
      <c r="C154" t="s">
        <v>500</v>
      </c>
      <c r="D154" t="s">
        <v>145</v>
      </c>
      <c r="E154">
        <v>140.47785205336001</v>
      </c>
      <c r="F154">
        <v>72.4634959485753</v>
      </c>
      <c r="G154">
        <v>53.496728232812501</v>
      </c>
      <c r="H154">
        <v>62.375131377963797</v>
      </c>
      <c r="I154">
        <v>55.371940752994</v>
      </c>
      <c r="J154">
        <v>40.6628290807651</v>
      </c>
      <c r="K154">
        <v>33.613807170911997</v>
      </c>
      <c r="L154">
        <v>30.9379375132471</v>
      </c>
      <c r="M154">
        <v>30.830513785313801</v>
      </c>
    </row>
    <row r="155" spans="1:13" x14ac:dyDescent="0.2">
      <c r="A155" t="s">
        <v>498</v>
      </c>
      <c r="B155" t="s">
        <v>182</v>
      </c>
      <c r="C155" t="s">
        <v>500</v>
      </c>
      <c r="D155" t="s">
        <v>129</v>
      </c>
      <c r="E155">
        <v>9.0886943888231908</v>
      </c>
      <c r="F155">
        <v>3.9300819621795302</v>
      </c>
      <c r="G155">
        <v>1.36288179934363</v>
      </c>
      <c r="H155">
        <v>1.31992692967003</v>
      </c>
      <c r="I155">
        <v>1.0989745405421301</v>
      </c>
      <c r="J155">
        <v>1.2010270208031799</v>
      </c>
      <c r="K155">
        <v>1.1669617801571901</v>
      </c>
      <c r="L155">
        <v>1.16919769529339</v>
      </c>
      <c r="M155">
        <v>1.17171018189467</v>
      </c>
    </row>
    <row r="156" spans="1:13" x14ac:dyDescent="0.2">
      <c r="A156" t="s">
        <v>498</v>
      </c>
      <c r="B156" t="s">
        <v>182</v>
      </c>
      <c r="C156" t="s">
        <v>500</v>
      </c>
      <c r="D156" t="s">
        <v>149</v>
      </c>
      <c r="E156">
        <v>0.52222974124294896</v>
      </c>
      <c r="F156">
        <v>0.16564711609105801</v>
      </c>
      <c r="G156">
        <v>4.2028761335884401E-2</v>
      </c>
      <c r="H156">
        <v>4.93051317577341E-2</v>
      </c>
      <c r="I156">
        <v>4.0557350738098699E-2</v>
      </c>
      <c r="J156">
        <v>3.1890052697664803E-2</v>
      </c>
      <c r="K156">
        <v>2.76408136311753E-2</v>
      </c>
      <c r="L156">
        <v>2.6141921796835499E-2</v>
      </c>
      <c r="M156">
        <v>2.6051907919401901E-2</v>
      </c>
    </row>
    <row r="157" spans="1:13" x14ac:dyDescent="0.2">
      <c r="A157" t="s">
        <v>498</v>
      </c>
      <c r="B157" t="s">
        <v>182</v>
      </c>
      <c r="C157" t="s">
        <v>500</v>
      </c>
      <c r="D157" t="s">
        <v>147</v>
      </c>
      <c r="E157">
        <v>0.10397018916973801</v>
      </c>
      <c r="F157">
        <v>6.9142957043597297E-2</v>
      </c>
      <c r="G157">
        <v>4.7109804538491597E-2</v>
      </c>
      <c r="H157">
        <v>3.4910957973550802E-2</v>
      </c>
      <c r="I157">
        <v>2.4887642458799899E-2</v>
      </c>
      <c r="J157">
        <v>2.2025005208612999E-2</v>
      </c>
      <c r="K157">
        <v>2.0441606203603298E-2</v>
      </c>
      <c r="L157">
        <v>1.79079231503134E-2</v>
      </c>
      <c r="M157">
        <v>1.7873182492116099E-2</v>
      </c>
    </row>
    <row r="158" spans="1:13" x14ac:dyDescent="0.2">
      <c r="A158" t="s">
        <v>498</v>
      </c>
      <c r="B158" t="s">
        <v>182</v>
      </c>
      <c r="C158" t="s">
        <v>500</v>
      </c>
      <c r="D158" t="s">
        <v>155</v>
      </c>
      <c r="E158">
        <v>4.2330273310264302E-2</v>
      </c>
      <c r="F158">
        <v>4.22063880566554E-2</v>
      </c>
      <c r="G158">
        <v>5.9431332236091698E-2</v>
      </c>
      <c r="H158">
        <v>5.94124798602702E-2</v>
      </c>
      <c r="I158">
        <v>5.9464748651000598E-2</v>
      </c>
      <c r="J158">
        <v>5.9752278979101403E-2</v>
      </c>
      <c r="K158">
        <v>5.9884074584932702E-2</v>
      </c>
      <c r="L158">
        <v>5.9919882249297E-2</v>
      </c>
      <c r="M158">
        <v>5.9926144450596401E-2</v>
      </c>
    </row>
    <row r="159" spans="1:13" x14ac:dyDescent="0.2">
      <c r="A159" t="s">
        <v>498</v>
      </c>
      <c r="B159" t="s">
        <v>182</v>
      </c>
      <c r="C159" t="s">
        <v>500</v>
      </c>
      <c r="D159" t="s">
        <v>125</v>
      </c>
      <c r="E159">
        <v>2.19767492595602E-2</v>
      </c>
      <c r="F159">
        <v>2.05101002109358E-2</v>
      </c>
      <c r="G159">
        <v>2.06016107832321E-2</v>
      </c>
      <c r="H159">
        <v>2.03492728689703E-2</v>
      </c>
      <c r="I159">
        <v>2.0501949199799401E-2</v>
      </c>
      <c r="J159">
        <v>2.21611995147265E-2</v>
      </c>
      <c r="K159">
        <v>2.30442969860549E-2</v>
      </c>
      <c r="L159">
        <v>2.3204486385908302E-2</v>
      </c>
      <c r="M159">
        <v>2.32414198684355E-2</v>
      </c>
    </row>
    <row r="160" spans="1:13" x14ac:dyDescent="0.2">
      <c r="A160" t="s">
        <v>498</v>
      </c>
      <c r="B160" t="s">
        <v>182</v>
      </c>
      <c r="C160" t="s">
        <v>500</v>
      </c>
      <c r="D160" t="s">
        <v>137</v>
      </c>
      <c r="E160">
        <v>8.3077468143596906</v>
      </c>
      <c r="F160">
        <v>3.0707273390805798</v>
      </c>
      <c r="G160">
        <v>1.0428334135646999</v>
      </c>
      <c r="H160">
        <v>1.13911529283767</v>
      </c>
      <c r="I160">
        <v>1.0568514662966599</v>
      </c>
      <c r="J160">
        <v>1.0226289609257999</v>
      </c>
      <c r="K160">
        <v>0.91213864516094401</v>
      </c>
      <c r="L160">
        <v>0.81711029039399596</v>
      </c>
      <c r="M160">
        <v>0.81839234628794</v>
      </c>
    </row>
    <row r="161" spans="1:13" x14ac:dyDescent="0.2">
      <c r="A161" t="s">
        <v>498</v>
      </c>
      <c r="B161" t="s">
        <v>182</v>
      </c>
      <c r="C161" t="s">
        <v>500</v>
      </c>
      <c r="D161" t="s">
        <v>120</v>
      </c>
      <c r="E161">
        <v>1270.07423573599</v>
      </c>
      <c r="F161">
        <v>1185.31392892746</v>
      </c>
      <c r="G161">
        <v>1436.10031306068</v>
      </c>
      <c r="H161">
        <v>1418.5102274107201</v>
      </c>
      <c r="I161">
        <v>1429.15420910691</v>
      </c>
      <c r="J161">
        <v>1544.8163510278901</v>
      </c>
      <c r="K161">
        <v>1606.37552512907</v>
      </c>
      <c r="L161">
        <v>1617.5421606861701</v>
      </c>
      <c r="M161">
        <v>1620.1170013983101</v>
      </c>
    </row>
    <row r="162" spans="1:13" x14ac:dyDescent="0.2">
      <c r="A162" t="s">
        <v>498</v>
      </c>
      <c r="B162" t="s">
        <v>182</v>
      </c>
      <c r="C162" t="s">
        <v>500</v>
      </c>
      <c r="D162" t="s">
        <v>133</v>
      </c>
      <c r="E162">
        <v>0.60118928548425499</v>
      </c>
      <c r="F162">
        <v>0.30553941555776698</v>
      </c>
      <c r="G162">
        <v>0.35166594481892599</v>
      </c>
      <c r="H162">
        <v>0.35239790441183499</v>
      </c>
      <c r="I162">
        <v>0.36143825517178602</v>
      </c>
      <c r="J162">
        <v>0.40522144817503503</v>
      </c>
      <c r="K162">
        <v>0.42417170037136998</v>
      </c>
      <c r="L162">
        <v>0.42820070376166097</v>
      </c>
      <c r="M162">
        <v>0.42930891630047502</v>
      </c>
    </row>
    <row r="163" spans="1:13" x14ac:dyDescent="0.2">
      <c r="A163" t="s">
        <v>498</v>
      </c>
      <c r="B163" t="s">
        <v>182</v>
      </c>
      <c r="C163" t="s">
        <v>500</v>
      </c>
      <c r="D163" t="s">
        <v>141</v>
      </c>
      <c r="E163">
        <v>0.34053842956041802</v>
      </c>
      <c r="F163">
        <v>9.4250384463050702E-2</v>
      </c>
      <c r="G163">
        <v>5.5744826812801102E-2</v>
      </c>
      <c r="H163">
        <v>5.8698147073813697E-2</v>
      </c>
      <c r="I163">
        <v>6.0592656307815899E-2</v>
      </c>
      <c r="J163">
        <v>6.6404324270751297E-2</v>
      </c>
      <c r="K163">
        <v>6.8123206746045106E-2</v>
      </c>
      <c r="L163">
        <v>6.7474265254042598E-2</v>
      </c>
      <c r="M163">
        <v>6.7734676344087905E-2</v>
      </c>
    </row>
    <row r="164" spans="1:13" x14ac:dyDescent="0.2">
      <c r="A164" t="s">
        <v>498</v>
      </c>
      <c r="B164" t="s">
        <v>184</v>
      </c>
      <c r="C164" t="s">
        <v>500</v>
      </c>
      <c r="D164" t="s">
        <v>145</v>
      </c>
      <c r="E164">
        <v>43.672217510590798</v>
      </c>
      <c r="F164">
        <v>55.719438529131899</v>
      </c>
      <c r="G164">
        <v>49.762886782777201</v>
      </c>
      <c r="H164">
        <v>83.170041614876396</v>
      </c>
      <c r="I164">
        <v>46.269702022746401</v>
      </c>
      <c r="J164">
        <v>40.4775083375254</v>
      </c>
      <c r="K164">
        <v>39.444967882664898</v>
      </c>
      <c r="L164">
        <v>37.419792000785101</v>
      </c>
      <c r="M164">
        <v>37.928019531224002</v>
      </c>
    </row>
    <row r="165" spans="1:13" x14ac:dyDescent="0.2">
      <c r="A165" t="s">
        <v>498</v>
      </c>
      <c r="B165" t="s">
        <v>184</v>
      </c>
      <c r="C165" t="s">
        <v>500</v>
      </c>
      <c r="D165" t="s">
        <v>129</v>
      </c>
      <c r="E165">
        <v>3.9103392041617901</v>
      </c>
      <c r="F165">
        <v>4.4225931706197903</v>
      </c>
      <c r="G165">
        <v>1.5402441607400199</v>
      </c>
      <c r="H165">
        <v>2.7210949923754302</v>
      </c>
      <c r="I165">
        <v>1.2185300527462199</v>
      </c>
      <c r="J165">
        <v>1.3451462171909601</v>
      </c>
      <c r="K165">
        <v>1.2312288482692999</v>
      </c>
      <c r="L165">
        <v>1.2251538686991601</v>
      </c>
      <c r="M165">
        <v>1.22701364834231</v>
      </c>
    </row>
    <row r="166" spans="1:13" x14ac:dyDescent="0.2">
      <c r="A166" t="s">
        <v>498</v>
      </c>
      <c r="B166" t="s">
        <v>184</v>
      </c>
      <c r="C166" t="s">
        <v>500</v>
      </c>
      <c r="D166" t="s">
        <v>149</v>
      </c>
      <c r="E166">
        <v>4.5822936864041999E-2</v>
      </c>
      <c r="F166">
        <v>3.8405914740644101E-2</v>
      </c>
      <c r="G166">
        <v>3.9409200460062202E-2</v>
      </c>
      <c r="H166">
        <v>0.10911867634504401</v>
      </c>
      <c r="I166">
        <v>3.6243754515948703E-2</v>
      </c>
      <c r="J166">
        <v>3.2252789368627501E-2</v>
      </c>
      <c r="K166">
        <v>3.1638542990697099E-2</v>
      </c>
      <c r="L166">
        <v>3.0587700078599699E-2</v>
      </c>
      <c r="M166">
        <v>3.08847037738951E-2</v>
      </c>
    </row>
    <row r="167" spans="1:13" x14ac:dyDescent="0.2">
      <c r="A167" t="s">
        <v>498</v>
      </c>
      <c r="B167" t="s">
        <v>184</v>
      </c>
      <c r="C167" t="s">
        <v>500</v>
      </c>
      <c r="D167" t="s">
        <v>147</v>
      </c>
      <c r="E167">
        <v>4.9785827982833798E-2</v>
      </c>
      <c r="F167">
        <v>5.0151888747310698E-2</v>
      </c>
      <c r="G167">
        <v>3.72413346595468E-2</v>
      </c>
      <c r="H167">
        <v>4.7111201926870197E-2</v>
      </c>
      <c r="I167">
        <v>2.14815838126781E-2</v>
      </c>
      <c r="J167">
        <v>2.03423164843392E-2</v>
      </c>
      <c r="K167">
        <v>2.1489593667860699E-2</v>
      </c>
      <c r="L167">
        <v>1.7527699368209099E-2</v>
      </c>
      <c r="M167">
        <v>1.76345936511976E-2</v>
      </c>
    </row>
    <row r="168" spans="1:13" x14ac:dyDescent="0.2">
      <c r="A168" t="s">
        <v>498</v>
      </c>
      <c r="B168" t="s">
        <v>184</v>
      </c>
      <c r="C168" t="s">
        <v>500</v>
      </c>
      <c r="D168" t="s">
        <v>155</v>
      </c>
      <c r="E168">
        <v>4.2042267430459697E-2</v>
      </c>
      <c r="F168">
        <v>4.2000243676157997E-2</v>
      </c>
      <c r="G168">
        <v>5.3051391735265498E-2</v>
      </c>
      <c r="H168">
        <v>5.3029672579295001E-2</v>
      </c>
      <c r="I168">
        <v>5.3066590953055902E-2</v>
      </c>
      <c r="J168">
        <v>5.3124856698895502E-2</v>
      </c>
      <c r="K168">
        <v>5.3133474551461703E-2</v>
      </c>
      <c r="L168">
        <v>5.3133315072041498E-2</v>
      </c>
      <c r="M168">
        <v>5.3133563914554802E-2</v>
      </c>
    </row>
    <row r="169" spans="1:13" x14ac:dyDescent="0.2">
      <c r="A169" t="s">
        <v>498</v>
      </c>
      <c r="B169" t="s">
        <v>184</v>
      </c>
      <c r="C169" t="s">
        <v>500</v>
      </c>
      <c r="D169" t="s">
        <v>125</v>
      </c>
      <c r="E169">
        <v>2.3947208040207401E-2</v>
      </c>
      <c r="F169">
        <v>2.3878941064841001E-2</v>
      </c>
      <c r="G169">
        <v>2.32196250875626E-2</v>
      </c>
      <c r="H169">
        <v>2.2850836231833999E-2</v>
      </c>
      <c r="I169">
        <v>2.2646762992341599E-2</v>
      </c>
      <c r="J169">
        <v>2.3013628289284001E-2</v>
      </c>
      <c r="K169">
        <v>2.3026045420303402E-2</v>
      </c>
      <c r="L169">
        <v>2.2963668318209101E-2</v>
      </c>
      <c r="M169">
        <v>2.29605788534979E-2</v>
      </c>
    </row>
    <row r="170" spans="1:13" x14ac:dyDescent="0.2">
      <c r="A170" t="s">
        <v>498</v>
      </c>
      <c r="B170" t="s">
        <v>184</v>
      </c>
      <c r="C170" t="s">
        <v>500</v>
      </c>
      <c r="D170" t="s">
        <v>137</v>
      </c>
      <c r="E170">
        <v>1.5315335314839</v>
      </c>
      <c r="F170">
        <v>1.8920406346416001</v>
      </c>
      <c r="G170">
        <v>1.07507763580452</v>
      </c>
      <c r="H170">
        <v>2.2716722159929499</v>
      </c>
      <c r="I170">
        <v>0.89602533839349796</v>
      </c>
      <c r="J170">
        <v>0.94127066153111605</v>
      </c>
      <c r="K170">
        <v>0.871199122474966</v>
      </c>
      <c r="L170">
        <v>0.80258014165302605</v>
      </c>
      <c r="M170">
        <v>0.81625501199253003</v>
      </c>
    </row>
    <row r="171" spans="1:13" x14ac:dyDescent="0.2">
      <c r="A171" t="s">
        <v>498</v>
      </c>
      <c r="B171" t="s">
        <v>184</v>
      </c>
      <c r="C171" t="s">
        <v>500</v>
      </c>
      <c r="D171" t="s">
        <v>120</v>
      </c>
      <c r="E171">
        <v>1383.94983603948</v>
      </c>
      <c r="F171">
        <v>1380.0050738359701</v>
      </c>
      <c r="G171">
        <v>1618.5975292042699</v>
      </c>
      <c r="H171">
        <v>1592.8906295586401</v>
      </c>
      <c r="I171">
        <v>1578.66423693619</v>
      </c>
      <c r="J171">
        <v>1604.23807176844</v>
      </c>
      <c r="K171">
        <v>1605.1030988392299</v>
      </c>
      <c r="L171">
        <v>1600.75491975266</v>
      </c>
      <c r="M171">
        <v>1600.5408842274301</v>
      </c>
    </row>
    <row r="172" spans="1:13" x14ac:dyDescent="0.2">
      <c r="A172" t="s">
        <v>498</v>
      </c>
      <c r="B172" t="s">
        <v>184</v>
      </c>
      <c r="C172" t="s">
        <v>500</v>
      </c>
      <c r="D172" t="s">
        <v>133</v>
      </c>
      <c r="E172">
        <v>0.25845262693196303</v>
      </c>
      <c r="F172">
        <v>0.239214725294739</v>
      </c>
      <c r="G172">
        <v>0.34735236529004498</v>
      </c>
      <c r="H172">
        <v>0.358826256402761</v>
      </c>
      <c r="I172">
        <v>0.35157081088261499</v>
      </c>
      <c r="J172">
        <v>0.36080314058881902</v>
      </c>
      <c r="K172">
        <v>0.36180838324788001</v>
      </c>
      <c r="L172">
        <v>0.36078614766026201</v>
      </c>
      <c r="M172">
        <v>0.361180447537927</v>
      </c>
    </row>
    <row r="173" spans="1:13" x14ac:dyDescent="0.2">
      <c r="A173" t="s">
        <v>498</v>
      </c>
      <c r="B173" t="s">
        <v>184</v>
      </c>
      <c r="C173" t="s">
        <v>500</v>
      </c>
      <c r="D173" t="s">
        <v>141</v>
      </c>
      <c r="E173">
        <v>6.1007849442347301E-2</v>
      </c>
      <c r="F173">
        <v>4.6181927763625702E-2</v>
      </c>
      <c r="G173">
        <v>5.9691448372319801E-2</v>
      </c>
      <c r="H173">
        <v>7.2414006455102001E-2</v>
      </c>
      <c r="I173">
        <v>6.0799664075225801E-2</v>
      </c>
      <c r="J173">
        <v>6.2526720394023794E-2</v>
      </c>
      <c r="K173">
        <v>6.2575710447880406E-2</v>
      </c>
      <c r="L173">
        <v>6.1470772720064598E-2</v>
      </c>
      <c r="M173">
        <v>6.1791882487279397E-2</v>
      </c>
    </row>
    <row r="174" spans="1:13" x14ac:dyDescent="0.2">
      <c r="A174" t="s">
        <v>498</v>
      </c>
      <c r="B174" t="s">
        <v>186</v>
      </c>
      <c r="C174" t="s">
        <v>500</v>
      </c>
      <c r="D174" t="s">
        <v>145</v>
      </c>
      <c r="E174">
        <v>132.982209101439</v>
      </c>
      <c r="F174">
        <v>47.934908293677701</v>
      </c>
      <c r="G174">
        <v>20.695860986917701</v>
      </c>
      <c r="H174">
        <v>50.059512599284297</v>
      </c>
      <c r="I174">
        <v>17.5826027544393</v>
      </c>
      <c r="J174">
        <v>17.7069771129439</v>
      </c>
      <c r="K174">
        <v>17.0720555477027</v>
      </c>
      <c r="L174">
        <v>16.45243756116</v>
      </c>
      <c r="M174">
        <v>16.6246329813561</v>
      </c>
    </row>
    <row r="175" spans="1:13" x14ac:dyDescent="0.2">
      <c r="A175" t="s">
        <v>498</v>
      </c>
      <c r="B175" t="s">
        <v>186</v>
      </c>
      <c r="C175" t="s">
        <v>500</v>
      </c>
      <c r="D175" t="s">
        <v>129</v>
      </c>
      <c r="E175">
        <v>9.0751054566719898</v>
      </c>
      <c r="F175">
        <v>4.1436193607782599</v>
      </c>
      <c r="G175">
        <v>1.64619600725375</v>
      </c>
      <c r="H175">
        <v>2.9595184400656001</v>
      </c>
      <c r="I175">
        <v>1.3432091966173501</v>
      </c>
      <c r="J175">
        <v>1.46789090258384</v>
      </c>
      <c r="K175">
        <v>1.36055531095015</v>
      </c>
      <c r="L175">
        <v>1.3559420935225901</v>
      </c>
      <c r="M175">
        <v>1.3573979295209999</v>
      </c>
    </row>
    <row r="176" spans="1:13" x14ac:dyDescent="0.2">
      <c r="A176" t="s">
        <v>498</v>
      </c>
      <c r="B176" t="s">
        <v>186</v>
      </c>
      <c r="C176" t="s">
        <v>500</v>
      </c>
      <c r="D176" t="s">
        <v>149</v>
      </c>
      <c r="E176">
        <v>0.25800724587976398</v>
      </c>
      <c r="F176">
        <v>0.107923168106483</v>
      </c>
      <c r="G176">
        <v>1.7131307781628299E-2</v>
      </c>
      <c r="H176">
        <v>7.0206935479165705E-2</v>
      </c>
      <c r="I176">
        <v>1.4635823757705E-2</v>
      </c>
      <c r="J176">
        <v>1.47307843887894E-2</v>
      </c>
      <c r="K176">
        <v>1.4272476588993801E-2</v>
      </c>
      <c r="L176">
        <v>1.39550330094174E-2</v>
      </c>
      <c r="M176">
        <v>1.4047299657122101E-2</v>
      </c>
    </row>
    <row r="177" spans="1:13" x14ac:dyDescent="0.2">
      <c r="A177" t="s">
        <v>498</v>
      </c>
      <c r="B177" t="s">
        <v>186</v>
      </c>
      <c r="C177" t="s">
        <v>500</v>
      </c>
      <c r="D177" t="s">
        <v>147</v>
      </c>
      <c r="E177">
        <v>9.7812965353770306E-2</v>
      </c>
      <c r="F177">
        <v>5.3610728668001102E-2</v>
      </c>
      <c r="G177">
        <v>2.5138035547143601E-2</v>
      </c>
      <c r="H177">
        <v>3.1355705903761098E-2</v>
      </c>
      <c r="I177">
        <v>1.5468387092582201E-2</v>
      </c>
      <c r="J177">
        <v>1.54730420286901E-2</v>
      </c>
      <c r="K177">
        <v>1.6304912790881299E-2</v>
      </c>
      <c r="L177">
        <v>1.39646054152053E-2</v>
      </c>
      <c r="M177">
        <v>1.39968590866754E-2</v>
      </c>
    </row>
    <row r="178" spans="1:13" x14ac:dyDescent="0.2">
      <c r="A178" t="s">
        <v>498</v>
      </c>
      <c r="B178" t="s">
        <v>186</v>
      </c>
      <c r="C178" t="s">
        <v>500</v>
      </c>
      <c r="D178" t="s">
        <v>155</v>
      </c>
      <c r="E178">
        <v>5.7966840277720803E-2</v>
      </c>
      <c r="F178">
        <v>5.79849560151749E-2</v>
      </c>
      <c r="G178">
        <v>6.3875297261691805E-2</v>
      </c>
      <c r="H178">
        <v>6.3858138582214605E-2</v>
      </c>
      <c r="I178">
        <v>6.3887996180907902E-2</v>
      </c>
      <c r="J178">
        <v>6.3930262461476803E-2</v>
      </c>
      <c r="K178">
        <v>6.3936118470732495E-2</v>
      </c>
      <c r="L178">
        <v>6.3936061344078199E-2</v>
      </c>
      <c r="M178">
        <v>6.3936277051774099E-2</v>
      </c>
    </row>
    <row r="179" spans="1:13" x14ac:dyDescent="0.2">
      <c r="A179" t="s">
        <v>498</v>
      </c>
      <c r="B179" t="s">
        <v>186</v>
      </c>
      <c r="C179" t="s">
        <v>500</v>
      </c>
      <c r="D179" t="s">
        <v>125</v>
      </c>
      <c r="E179">
        <v>3.3482201482413002E-2</v>
      </c>
      <c r="F179">
        <v>3.35555166686691E-2</v>
      </c>
      <c r="G179">
        <v>2.7752836277632802E-2</v>
      </c>
      <c r="H179">
        <v>2.73152484485315E-2</v>
      </c>
      <c r="I179">
        <v>2.6932325608711401E-2</v>
      </c>
      <c r="J179">
        <v>2.7127720683341201E-2</v>
      </c>
      <c r="K179">
        <v>2.7102396321000099E-2</v>
      </c>
      <c r="L179">
        <v>2.7038710866321501E-2</v>
      </c>
      <c r="M179">
        <v>2.7029483681120001E-2</v>
      </c>
    </row>
    <row r="180" spans="1:13" x14ac:dyDescent="0.2">
      <c r="A180" t="s">
        <v>498</v>
      </c>
      <c r="B180" t="s">
        <v>186</v>
      </c>
      <c r="C180" t="s">
        <v>500</v>
      </c>
      <c r="D180" t="s">
        <v>137</v>
      </c>
      <c r="E180">
        <v>5.4581129000162401</v>
      </c>
      <c r="F180">
        <v>2.6245655548454501</v>
      </c>
      <c r="G180">
        <v>1.0284915646013599</v>
      </c>
      <c r="H180">
        <v>1.92391515787585</v>
      </c>
      <c r="I180">
        <v>0.84413224953293098</v>
      </c>
      <c r="J180">
        <v>0.91927596770716002</v>
      </c>
      <c r="K180">
        <v>0.86403784267858597</v>
      </c>
      <c r="L180">
        <v>0.82881883945325996</v>
      </c>
      <c r="M180">
        <v>0.83748916537569695</v>
      </c>
    </row>
    <row r="181" spans="1:13" x14ac:dyDescent="0.2">
      <c r="A181" t="s">
        <v>498</v>
      </c>
      <c r="B181" t="s">
        <v>186</v>
      </c>
      <c r="C181" t="s">
        <v>500</v>
      </c>
      <c r="D181" t="s">
        <v>120</v>
      </c>
      <c r="E181">
        <v>1934.99382413075</v>
      </c>
      <c r="F181">
        <v>1939.2310799673601</v>
      </c>
      <c r="G181">
        <v>1934.5986495678801</v>
      </c>
      <c r="H181">
        <v>1904.09597730377</v>
      </c>
      <c r="I181">
        <v>1877.40320664162</v>
      </c>
      <c r="J181">
        <v>1891.0243458570301</v>
      </c>
      <c r="K181">
        <v>1889.25920717645</v>
      </c>
      <c r="L181">
        <v>1884.81907705761</v>
      </c>
      <c r="M181">
        <v>1884.17660414802</v>
      </c>
    </row>
    <row r="182" spans="1:13" x14ac:dyDescent="0.2">
      <c r="A182" t="s">
        <v>498</v>
      </c>
      <c r="B182" t="s">
        <v>186</v>
      </c>
      <c r="C182" t="s">
        <v>500</v>
      </c>
      <c r="D182" t="s">
        <v>133</v>
      </c>
      <c r="E182">
        <v>0.56392189643246604</v>
      </c>
      <c r="F182">
        <v>0.51073926056548402</v>
      </c>
      <c r="G182">
        <v>0.48249739975024802</v>
      </c>
      <c r="H182">
        <v>0.49371301667585799</v>
      </c>
      <c r="I182">
        <v>0.48509676461941298</v>
      </c>
      <c r="J182">
        <v>0.49220571925904499</v>
      </c>
      <c r="K182">
        <v>0.49289128479003702</v>
      </c>
      <c r="L182">
        <v>0.492023843103643</v>
      </c>
      <c r="M182">
        <v>0.492360892011795</v>
      </c>
    </row>
    <row r="183" spans="1:13" x14ac:dyDescent="0.2">
      <c r="A183" t="s">
        <v>498</v>
      </c>
      <c r="B183" t="s">
        <v>186</v>
      </c>
      <c r="C183" t="s">
        <v>500</v>
      </c>
      <c r="D183" t="s">
        <v>141</v>
      </c>
      <c r="E183">
        <v>0.16955819648953899</v>
      </c>
      <c r="F183">
        <v>0.12153584638481001</v>
      </c>
      <c r="G183">
        <v>7.6305457113944195E-2</v>
      </c>
      <c r="H183">
        <v>8.8676059143466796E-2</v>
      </c>
      <c r="I183">
        <v>7.6537643396575497E-2</v>
      </c>
      <c r="J183">
        <v>7.8266698728734804E-2</v>
      </c>
      <c r="K183">
        <v>7.8320642599423396E-2</v>
      </c>
      <c r="L183">
        <v>7.7399980583689604E-2</v>
      </c>
      <c r="M183">
        <v>7.76800287309828E-2</v>
      </c>
    </row>
    <row r="184" spans="1:13" x14ac:dyDescent="0.2">
      <c r="A184" t="s">
        <v>498</v>
      </c>
      <c r="B184" t="s">
        <v>188</v>
      </c>
      <c r="C184" t="s">
        <v>500</v>
      </c>
      <c r="D184" t="s">
        <v>145</v>
      </c>
      <c r="E184">
        <v>51.054442718403998</v>
      </c>
      <c r="F184">
        <v>27.928906781082599</v>
      </c>
      <c r="G184">
        <v>22.715979914033099</v>
      </c>
      <c r="H184">
        <v>24.296688765015102</v>
      </c>
      <c r="I184">
        <v>23.811716425150099</v>
      </c>
      <c r="J184">
        <v>22.4658259051801</v>
      </c>
      <c r="K184">
        <v>20.981878512631798</v>
      </c>
      <c r="L184">
        <v>20.165013522562599</v>
      </c>
      <c r="M184">
        <v>20.074775589813999</v>
      </c>
    </row>
    <row r="185" spans="1:13" x14ac:dyDescent="0.2">
      <c r="A185" t="s">
        <v>498</v>
      </c>
      <c r="B185" t="s">
        <v>188</v>
      </c>
      <c r="C185" t="s">
        <v>500</v>
      </c>
      <c r="D185" t="s">
        <v>129</v>
      </c>
      <c r="E185">
        <v>2.5387307552244698</v>
      </c>
      <c r="F185">
        <v>1.0418851643732201</v>
      </c>
      <c r="G185">
        <v>1.0414902881493899</v>
      </c>
      <c r="H185">
        <v>0.89809363223976701</v>
      </c>
      <c r="I185">
        <v>0.858063485716694</v>
      </c>
      <c r="J185">
        <v>0.84094273487850701</v>
      </c>
      <c r="K185">
        <v>0.81592666066138697</v>
      </c>
      <c r="L185">
        <v>0.80572430352596602</v>
      </c>
      <c r="M185">
        <v>0.80491118865379996</v>
      </c>
    </row>
    <row r="186" spans="1:13" x14ac:dyDescent="0.2">
      <c r="A186" t="s">
        <v>498</v>
      </c>
      <c r="B186" t="s">
        <v>188</v>
      </c>
      <c r="C186" t="s">
        <v>500</v>
      </c>
      <c r="D186" t="s">
        <v>149</v>
      </c>
      <c r="E186">
        <v>7.7657295722073694E-2</v>
      </c>
      <c r="F186">
        <v>2.6925124083587701E-2</v>
      </c>
      <c r="G186">
        <v>1.63442674954726E-2</v>
      </c>
      <c r="H186">
        <v>1.6066778604686301E-2</v>
      </c>
      <c r="I186">
        <v>1.5976179914449599E-2</v>
      </c>
      <c r="J186">
        <v>1.58621543969527E-2</v>
      </c>
      <c r="K186">
        <v>1.56793639359557E-2</v>
      </c>
      <c r="L186">
        <v>1.55753376144828E-2</v>
      </c>
      <c r="M186">
        <v>1.55588123773523E-2</v>
      </c>
    </row>
    <row r="187" spans="1:13" x14ac:dyDescent="0.2">
      <c r="A187" t="s">
        <v>498</v>
      </c>
      <c r="B187" t="s">
        <v>188</v>
      </c>
      <c r="C187" t="s">
        <v>500</v>
      </c>
      <c r="D187" t="s">
        <v>147</v>
      </c>
      <c r="E187">
        <v>7.6559483767149702E-2</v>
      </c>
      <c r="F187">
        <v>2.90320287273888E-2</v>
      </c>
      <c r="G187">
        <v>2.12886655679746E-2</v>
      </c>
      <c r="H187">
        <v>1.47351477185693E-2</v>
      </c>
      <c r="I187">
        <v>1.12765309169271E-2</v>
      </c>
      <c r="J187">
        <v>1.15833062290167E-2</v>
      </c>
      <c r="K187">
        <v>1.07942801556749E-2</v>
      </c>
      <c r="L187">
        <v>1.04259577467932E-2</v>
      </c>
      <c r="M187">
        <v>1.0420344330058701E-2</v>
      </c>
    </row>
    <row r="188" spans="1:13" x14ac:dyDescent="0.2">
      <c r="A188" t="s">
        <v>498</v>
      </c>
      <c r="B188" t="s">
        <v>188</v>
      </c>
      <c r="C188" t="s">
        <v>500</v>
      </c>
      <c r="D188" t="s">
        <v>155</v>
      </c>
      <c r="E188">
        <v>4.2353895937802997E-2</v>
      </c>
      <c r="F188">
        <v>4.2334583219151102E-2</v>
      </c>
      <c r="G188">
        <v>4.1545078600502501E-2</v>
      </c>
      <c r="H188">
        <v>4.1546363602631399E-2</v>
      </c>
      <c r="I188">
        <v>4.1548732417472901E-2</v>
      </c>
      <c r="J188">
        <v>4.1563014129858397E-2</v>
      </c>
      <c r="K188">
        <v>4.1574938608705002E-2</v>
      </c>
      <c r="L188">
        <v>4.1581845377964603E-2</v>
      </c>
      <c r="M188">
        <v>4.1582884812277898E-2</v>
      </c>
    </row>
    <row r="189" spans="1:13" x14ac:dyDescent="0.2">
      <c r="A189" t="s">
        <v>498</v>
      </c>
      <c r="B189" t="s">
        <v>188</v>
      </c>
      <c r="C189" t="s">
        <v>500</v>
      </c>
      <c r="D189" t="s">
        <v>125</v>
      </c>
      <c r="E189">
        <v>1.84601533078898E-2</v>
      </c>
      <c r="F189">
        <v>1.7904387629589898E-2</v>
      </c>
      <c r="G189">
        <v>1.4353955602288899E-2</v>
      </c>
      <c r="H189">
        <v>1.42845621552114E-2</v>
      </c>
      <c r="I189">
        <v>1.4186293565383101E-2</v>
      </c>
      <c r="J189">
        <v>1.39581048526045E-2</v>
      </c>
      <c r="K189">
        <v>1.40345361220384E-2</v>
      </c>
      <c r="L189">
        <v>1.39604118616395E-2</v>
      </c>
      <c r="M189">
        <v>1.3964326529778101E-2</v>
      </c>
    </row>
    <row r="190" spans="1:13" x14ac:dyDescent="0.2">
      <c r="A190" t="s">
        <v>498</v>
      </c>
      <c r="B190" t="s">
        <v>188</v>
      </c>
      <c r="C190" t="s">
        <v>500</v>
      </c>
      <c r="D190" t="s">
        <v>137</v>
      </c>
      <c r="E190">
        <v>1.4564374535300499</v>
      </c>
      <c r="F190">
        <v>0.52483443434641597</v>
      </c>
      <c r="G190">
        <v>0.53772524324941395</v>
      </c>
      <c r="H190">
        <v>0.52624573974308297</v>
      </c>
      <c r="I190">
        <v>0.55842989206632598</v>
      </c>
      <c r="J190">
        <v>0.57069855150753701</v>
      </c>
      <c r="K190">
        <v>0.52263562690828202</v>
      </c>
      <c r="L190">
        <v>0.44248187832333802</v>
      </c>
      <c r="M190">
        <v>0.43438833724554199</v>
      </c>
    </row>
    <row r="191" spans="1:13" x14ac:dyDescent="0.2">
      <c r="A191" t="s">
        <v>498</v>
      </c>
      <c r="B191" t="s">
        <v>188</v>
      </c>
      <c r="C191" t="s">
        <v>500</v>
      </c>
      <c r="D191" t="s">
        <v>120</v>
      </c>
      <c r="E191">
        <v>1066.84386766427</v>
      </c>
      <c r="F191">
        <v>1034.7252406647599</v>
      </c>
      <c r="G191">
        <v>1000.58822312353</v>
      </c>
      <c r="H191">
        <v>995.75060811342405</v>
      </c>
      <c r="I191">
        <v>988.90088987696504</v>
      </c>
      <c r="J191">
        <v>972.99391218059895</v>
      </c>
      <c r="K191">
        <v>978.32168516286401</v>
      </c>
      <c r="L191">
        <v>973.15504647746502</v>
      </c>
      <c r="M191">
        <v>973.42762995764804</v>
      </c>
    </row>
    <row r="192" spans="1:13" x14ac:dyDescent="0.2">
      <c r="A192" t="s">
        <v>498</v>
      </c>
      <c r="B192" t="s">
        <v>188</v>
      </c>
      <c r="C192" t="s">
        <v>500</v>
      </c>
      <c r="D192" t="s">
        <v>133</v>
      </c>
      <c r="E192">
        <v>0.23087607043694899</v>
      </c>
      <c r="F192">
        <v>0.20302386484736701</v>
      </c>
      <c r="G192">
        <v>0.187678091151742</v>
      </c>
      <c r="H192">
        <v>0.18962517774003301</v>
      </c>
      <c r="I192">
        <v>0.192157075299659</v>
      </c>
      <c r="J192">
        <v>0.193711154412926</v>
      </c>
      <c r="K192">
        <v>0.19325081178714301</v>
      </c>
      <c r="L192">
        <v>0.19160197273332699</v>
      </c>
      <c r="M192">
        <v>0.19150921707857901</v>
      </c>
    </row>
    <row r="193" spans="1:13" x14ac:dyDescent="0.2">
      <c r="A193" t="s">
        <v>498</v>
      </c>
      <c r="B193" t="s">
        <v>188</v>
      </c>
      <c r="C193" t="s">
        <v>500</v>
      </c>
      <c r="D193" t="s">
        <v>141</v>
      </c>
      <c r="E193">
        <v>5.4408575814963799E-2</v>
      </c>
      <c r="F193">
        <v>3.16189403741488E-2</v>
      </c>
      <c r="G193">
        <v>3.2217666820517903E-2</v>
      </c>
      <c r="H193">
        <v>3.4019988801907999E-2</v>
      </c>
      <c r="I193">
        <v>3.6181503445712901E-2</v>
      </c>
      <c r="J193">
        <v>3.66218837582339E-2</v>
      </c>
      <c r="K193">
        <v>3.5202418118651102E-2</v>
      </c>
      <c r="L193">
        <v>3.3281313880220501E-2</v>
      </c>
      <c r="M193">
        <v>3.3106680296596698E-2</v>
      </c>
    </row>
    <row r="194" spans="1:13" x14ac:dyDescent="0.2">
      <c r="A194" t="s">
        <v>498</v>
      </c>
      <c r="B194" t="s">
        <v>190</v>
      </c>
      <c r="C194" t="s">
        <v>500</v>
      </c>
      <c r="D194" t="s">
        <v>145</v>
      </c>
      <c r="E194">
        <v>44.280219255780203</v>
      </c>
      <c r="F194">
        <v>27.283611993831499</v>
      </c>
      <c r="G194">
        <v>24.234191221376999</v>
      </c>
      <c r="H194">
        <v>26.638218524142101</v>
      </c>
      <c r="I194">
        <v>25.0313632905583</v>
      </c>
      <c r="J194">
        <v>21.902472725340399</v>
      </c>
      <c r="K194">
        <v>19.247388133544501</v>
      </c>
      <c r="L194">
        <v>18.0802004941856</v>
      </c>
      <c r="M194">
        <v>17.975252708340498</v>
      </c>
    </row>
    <row r="195" spans="1:13" x14ac:dyDescent="0.2">
      <c r="A195" t="s">
        <v>498</v>
      </c>
      <c r="B195" t="s">
        <v>190</v>
      </c>
      <c r="C195" t="s">
        <v>500</v>
      </c>
      <c r="D195" t="s">
        <v>129</v>
      </c>
      <c r="E195">
        <v>5.5131748594057699</v>
      </c>
      <c r="F195">
        <v>2.2010968257988699</v>
      </c>
      <c r="G195">
        <v>1.14060830282395</v>
      </c>
      <c r="H195">
        <v>1.02226523476509</v>
      </c>
      <c r="I195">
        <v>0.94229909309737303</v>
      </c>
      <c r="J195">
        <v>0.97443708611593305</v>
      </c>
      <c r="K195">
        <v>0.96385691755431901</v>
      </c>
      <c r="L195">
        <v>0.96577197683527904</v>
      </c>
      <c r="M195">
        <v>0.96760731962871305</v>
      </c>
    </row>
    <row r="196" spans="1:13" x14ac:dyDescent="0.2">
      <c r="A196" t="s">
        <v>498</v>
      </c>
      <c r="B196" t="s">
        <v>190</v>
      </c>
      <c r="C196" t="s">
        <v>500</v>
      </c>
      <c r="D196" t="s">
        <v>149</v>
      </c>
      <c r="E196">
        <v>0.10916602192403101</v>
      </c>
      <c r="F196">
        <v>2.1525559871427E-2</v>
      </c>
      <c r="G196">
        <v>1.78411339005051E-2</v>
      </c>
      <c r="H196">
        <v>1.8645878227179301E-2</v>
      </c>
      <c r="I196">
        <v>1.71215521971315E-2</v>
      </c>
      <c r="J196">
        <v>1.5840165081698498E-2</v>
      </c>
      <c r="K196">
        <v>1.4672935167299001E-2</v>
      </c>
      <c r="L196">
        <v>1.4190918732780699E-2</v>
      </c>
      <c r="M196">
        <v>1.41350633239002E-2</v>
      </c>
    </row>
    <row r="197" spans="1:13" x14ac:dyDescent="0.2">
      <c r="A197" t="s">
        <v>498</v>
      </c>
      <c r="B197" t="s">
        <v>190</v>
      </c>
      <c r="C197" t="s">
        <v>500</v>
      </c>
      <c r="D197" t="s">
        <v>147</v>
      </c>
      <c r="E197">
        <v>3.7323722001479001E-2</v>
      </c>
      <c r="F197">
        <v>4.1114819449008001E-2</v>
      </c>
      <c r="G197">
        <v>2.53588946956722E-2</v>
      </c>
      <c r="H197">
        <v>1.7873494744130702E-2</v>
      </c>
      <c r="I197">
        <v>1.34468739294278E-2</v>
      </c>
      <c r="J197">
        <v>1.32581600154551E-2</v>
      </c>
      <c r="K197">
        <v>1.2344197884627201E-2</v>
      </c>
      <c r="L197">
        <v>1.14257664548893E-2</v>
      </c>
      <c r="M197">
        <v>1.1402551427473699E-2</v>
      </c>
    </row>
    <row r="198" spans="1:13" x14ac:dyDescent="0.2">
      <c r="A198" t="s">
        <v>498</v>
      </c>
      <c r="B198" t="s">
        <v>190</v>
      </c>
      <c r="C198" t="s">
        <v>500</v>
      </c>
      <c r="D198" t="s">
        <v>155</v>
      </c>
      <c r="E198">
        <v>4.2581818509294003E-2</v>
      </c>
      <c r="F198">
        <v>4.2137567521705499E-2</v>
      </c>
      <c r="G198">
        <v>4.8642336858393101E-2</v>
      </c>
      <c r="H198">
        <v>4.8638445944257397E-2</v>
      </c>
      <c r="I198">
        <v>4.8652859397834702E-2</v>
      </c>
      <c r="J198">
        <v>4.8766934629084102E-2</v>
      </c>
      <c r="K198">
        <v>4.8855915410481697E-2</v>
      </c>
      <c r="L198">
        <v>4.8888321203624102E-2</v>
      </c>
      <c r="M198">
        <v>4.8894328332786598E-2</v>
      </c>
    </row>
    <row r="199" spans="1:13" x14ac:dyDescent="0.2">
      <c r="A199" t="s">
        <v>498</v>
      </c>
      <c r="B199" t="s">
        <v>190</v>
      </c>
      <c r="C199" t="s">
        <v>500</v>
      </c>
      <c r="D199" t="s">
        <v>125</v>
      </c>
      <c r="E199">
        <v>2.2745530332845501E-2</v>
      </c>
      <c r="F199">
        <v>1.89727321244141E-2</v>
      </c>
      <c r="G199">
        <v>1.68365617842723E-2</v>
      </c>
      <c r="H199">
        <v>1.6713421438690201E-2</v>
      </c>
      <c r="I199">
        <v>1.6685250850550701E-2</v>
      </c>
      <c r="J199">
        <v>1.7243885544014601E-2</v>
      </c>
      <c r="K199">
        <v>1.7932846844422101E-2</v>
      </c>
      <c r="L199">
        <v>1.8086583952033101E-2</v>
      </c>
      <c r="M199">
        <v>1.8129082719098001E-2</v>
      </c>
    </row>
    <row r="200" spans="1:13" x14ac:dyDescent="0.2">
      <c r="A200" t="s">
        <v>498</v>
      </c>
      <c r="B200" t="s">
        <v>190</v>
      </c>
      <c r="C200" t="s">
        <v>500</v>
      </c>
      <c r="D200" t="s">
        <v>137</v>
      </c>
      <c r="E200">
        <v>2.47674423529865</v>
      </c>
      <c r="F200">
        <v>0.98121567878993499</v>
      </c>
      <c r="G200">
        <v>0.66200558424617895</v>
      </c>
      <c r="H200">
        <v>0.66852305020941705</v>
      </c>
      <c r="I200">
        <v>0.68016100836989402</v>
      </c>
      <c r="J200">
        <v>0.69212551380188403</v>
      </c>
      <c r="K200">
        <v>0.63634131816139405</v>
      </c>
      <c r="L200">
        <v>0.56536169441874295</v>
      </c>
      <c r="M200">
        <v>0.56167008097623505</v>
      </c>
    </row>
    <row r="201" spans="1:13" x14ac:dyDescent="0.2">
      <c r="A201" t="s">
        <v>498</v>
      </c>
      <c r="B201" t="s">
        <v>190</v>
      </c>
      <c r="C201" t="s">
        <v>500</v>
      </c>
      <c r="D201" t="s">
        <v>120</v>
      </c>
      <c r="E201">
        <v>1314.50324769859</v>
      </c>
      <c r="F201">
        <v>1096.4674103964901</v>
      </c>
      <c r="G201">
        <v>1173.64587128726</v>
      </c>
      <c r="H201">
        <v>1165.06243582906</v>
      </c>
      <c r="I201">
        <v>1163.0986169282201</v>
      </c>
      <c r="J201">
        <v>1202.04007941746</v>
      </c>
      <c r="K201">
        <v>1250.0662003530099</v>
      </c>
      <c r="L201">
        <v>1260.7827509128599</v>
      </c>
      <c r="M201">
        <v>1263.74589330608</v>
      </c>
    </row>
    <row r="202" spans="1:13" x14ac:dyDescent="0.2">
      <c r="A202" t="s">
        <v>498</v>
      </c>
      <c r="B202" t="s">
        <v>190</v>
      </c>
      <c r="C202" t="s">
        <v>500</v>
      </c>
      <c r="D202" t="s">
        <v>133</v>
      </c>
      <c r="E202">
        <v>0.430376480259408</v>
      </c>
      <c r="F202">
        <v>0.222048484551715</v>
      </c>
      <c r="G202">
        <v>0.25469423858851098</v>
      </c>
      <c r="H202">
        <v>0.25630725263946402</v>
      </c>
      <c r="I202">
        <v>0.260140054951011</v>
      </c>
      <c r="J202">
        <v>0.27570417124385899</v>
      </c>
      <c r="K202">
        <v>0.286455273598897</v>
      </c>
      <c r="L202">
        <v>0.28912887132017301</v>
      </c>
      <c r="M202">
        <v>0.28992975557124501</v>
      </c>
    </row>
    <row r="203" spans="1:13" x14ac:dyDescent="0.2">
      <c r="A203" t="s">
        <v>498</v>
      </c>
      <c r="B203" t="s">
        <v>190</v>
      </c>
      <c r="C203" t="s">
        <v>500</v>
      </c>
      <c r="D203" t="s">
        <v>141</v>
      </c>
      <c r="E203">
        <v>0.1846590872519</v>
      </c>
      <c r="F203">
        <v>3.8949886128259101E-2</v>
      </c>
      <c r="G203">
        <v>4.0876262761842398E-2</v>
      </c>
      <c r="H203">
        <v>4.2856981242969598E-2</v>
      </c>
      <c r="I203">
        <v>4.4871645478633697E-2</v>
      </c>
      <c r="J203">
        <v>4.7476185857317499E-2</v>
      </c>
      <c r="K203">
        <v>4.8172265718483903E-2</v>
      </c>
      <c r="L203">
        <v>4.73087550146708E-2</v>
      </c>
      <c r="M203">
        <v>4.7419436674891499E-2</v>
      </c>
    </row>
    <row r="204" spans="1:13" x14ac:dyDescent="0.2">
      <c r="A204" t="s">
        <v>503</v>
      </c>
      <c r="B204" t="s">
        <v>182</v>
      </c>
      <c r="C204" t="s">
        <v>499</v>
      </c>
      <c r="D204" t="s">
        <v>145</v>
      </c>
      <c r="E204">
        <v>4.1982176614759501</v>
      </c>
      <c r="F204">
        <v>1.9296051000849399</v>
      </c>
      <c r="G204">
        <v>1.40672397416939</v>
      </c>
      <c r="H204">
        <v>0.88467467852096004</v>
      </c>
      <c r="I204">
        <v>0.71808621559357599</v>
      </c>
      <c r="J204">
        <v>0.67933532556158505</v>
      </c>
      <c r="K204">
        <v>0.66869245935522403</v>
      </c>
      <c r="L204">
        <v>0.66846478756515504</v>
      </c>
      <c r="M204">
        <v>0.66834592579461805</v>
      </c>
    </row>
    <row r="205" spans="1:13" x14ac:dyDescent="0.2">
      <c r="A205" t="s">
        <v>503</v>
      </c>
      <c r="B205" t="s">
        <v>182</v>
      </c>
      <c r="C205" t="s">
        <v>499</v>
      </c>
      <c r="D205" t="s">
        <v>129</v>
      </c>
      <c r="E205">
        <v>9.0067562467577496</v>
      </c>
      <c r="F205">
        <v>4.6343833495392097</v>
      </c>
      <c r="G205">
        <v>3.60142958602064</v>
      </c>
      <c r="H205">
        <v>2.1043869634005898</v>
      </c>
      <c r="I205">
        <v>1.48367214909245</v>
      </c>
      <c r="J205">
        <v>1.28531680721516</v>
      </c>
      <c r="K205">
        <v>1.2244614015544699</v>
      </c>
      <c r="L205">
        <v>1.2160626918277799</v>
      </c>
      <c r="M205">
        <v>1.2135584327019699</v>
      </c>
    </row>
    <row r="206" spans="1:13" x14ac:dyDescent="0.2">
      <c r="A206" t="s">
        <v>503</v>
      </c>
      <c r="B206" t="s">
        <v>182</v>
      </c>
      <c r="C206" t="s">
        <v>499</v>
      </c>
      <c r="D206" t="s">
        <v>149</v>
      </c>
      <c r="E206">
        <v>2.2941775537169001E-2</v>
      </c>
      <c r="F206">
        <v>9.3917723641563006E-2</v>
      </c>
      <c r="G206">
        <v>0.146461478377578</v>
      </c>
      <c r="H206">
        <v>0.14857043025063399</v>
      </c>
      <c r="I206">
        <v>0.14921098409112099</v>
      </c>
      <c r="J206">
        <v>0.14903391288637999</v>
      </c>
      <c r="K206">
        <v>0.149096656781327</v>
      </c>
      <c r="L206">
        <v>0.14900669844887601</v>
      </c>
      <c r="M206">
        <v>0.14895012544389</v>
      </c>
    </row>
    <row r="207" spans="1:13" x14ac:dyDescent="0.2">
      <c r="A207" t="s">
        <v>503</v>
      </c>
      <c r="B207" t="s">
        <v>182</v>
      </c>
      <c r="C207" t="s">
        <v>499</v>
      </c>
      <c r="D207" t="s">
        <v>147</v>
      </c>
      <c r="E207">
        <v>4.4439718651325903E-3</v>
      </c>
      <c r="F207">
        <v>4.4840826707910003E-3</v>
      </c>
      <c r="G207">
        <v>7.1142816082060099E-3</v>
      </c>
      <c r="H207">
        <v>7.1281607170090603E-3</v>
      </c>
      <c r="I207">
        <v>7.1288471049868697E-3</v>
      </c>
      <c r="J207">
        <v>7.1224443338730398E-3</v>
      </c>
      <c r="K207">
        <v>7.1174224218484104E-3</v>
      </c>
      <c r="L207">
        <v>7.1156639835745503E-3</v>
      </c>
      <c r="M207">
        <v>7.1143751431365504E-3</v>
      </c>
    </row>
    <row r="208" spans="1:13" x14ac:dyDescent="0.2">
      <c r="A208" t="s">
        <v>503</v>
      </c>
      <c r="B208" t="s">
        <v>182</v>
      </c>
      <c r="C208" t="s">
        <v>499</v>
      </c>
      <c r="D208" t="s">
        <v>155</v>
      </c>
      <c r="E208">
        <v>2.7231476481759501E-2</v>
      </c>
      <c r="F208">
        <v>2.7231505502351299E-2</v>
      </c>
      <c r="G208">
        <v>3.75087111104635E-2</v>
      </c>
      <c r="H208">
        <v>3.7508856064657703E-2</v>
      </c>
      <c r="I208">
        <v>3.7508894115090098E-2</v>
      </c>
      <c r="J208">
        <v>3.75089026268779E-2</v>
      </c>
      <c r="K208">
        <v>3.7508908078082499E-2</v>
      </c>
      <c r="L208">
        <v>3.7508933890185198E-2</v>
      </c>
      <c r="M208">
        <v>3.7508933881412299E-2</v>
      </c>
    </row>
    <row r="209" spans="1:13" x14ac:dyDescent="0.2">
      <c r="A209" t="s">
        <v>503</v>
      </c>
      <c r="B209" t="s">
        <v>182</v>
      </c>
      <c r="C209" t="s">
        <v>499</v>
      </c>
      <c r="D209" t="s">
        <v>125</v>
      </c>
      <c r="E209">
        <v>3.4517378580972299E-2</v>
      </c>
      <c r="F209">
        <v>3.32138510088891E-2</v>
      </c>
      <c r="G209">
        <v>1.51370239918269E-2</v>
      </c>
      <c r="H209">
        <v>1.4522910664903899E-2</v>
      </c>
      <c r="I209">
        <v>1.4055280493155501E-2</v>
      </c>
      <c r="J209">
        <v>1.39025233464321E-2</v>
      </c>
      <c r="K209">
        <v>1.3857298595630599E-2</v>
      </c>
      <c r="L209">
        <v>1.3847788543629599E-2</v>
      </c>
      <c r="M209">
        <v>1.38454338903831E-2</v>
      </c>
    </row>
    <row r="210" spans="1:13" x14ac:dyDescent="0.2">
      <c r="A210" t="s">
        <v>503</v>
      </c>
      <c r="B210" t="s">
        <v>182</v>
      </c>
      <c r="C210" t="s">
        <v>499</v>
      </c>
      <c r="D210" t="s">
        <v>137</v>
      </c>
      <c r="E210">
        <v>1.6997416060402699</v>
      </c>
      <c r="F210">
        <v>0.68631415040974197</v>
      </c>
      <c r="G210">
        <v>0.48115827096559399</v>
      </c>
      <c r="H210">
        <v>0.25065156408387401</v>
      </c>
      <c r="I210">
        <v>0.17921885955178801</v>
      </c>
      <c r="J210">
        <v>0.16195369632512899</v>
      </c>
      <c r="K210">
        <v>0.15740433242174701</v>
      </c>
      <c r="L210">
        <v>0.157307785457242</v>
      </c>
      <c r="M210">
        <v>0.15725203081084399</v>
      </c>
    </row>
    <row r="211" spans="1:13" x14ac:dyDescent="0.2">
      <c r="A211" t="s">
        <v>503</v>
      </c>
      <c r="B211" t="s">
        <v>182</v>
      </c>
      <c r="C211" t="s">
        <v>499</v>
      </c>
      <c r="D211" t="s">
        <v>120</v>
      </c>
      <c r="E211">
        <v>1391.2693302299499</v>
      </c>
      <c r="F211">
        <v>1387.81700695984</v>
      </c>
      <c r="G211">
        <v>1800.2870719201501</v>
      </c>
      <c r="H211">
        <v>1737.4132368119399</v>
      </c>
      <c r="I211">
        <v>1684.8867050016099</v>
      </c>
      <c r="J211">
        <v>1667.30888418872</v>
      </c>
      <c r="K211">
        <v>1662.1204635085701</v>
      </c>
      <c r="L211">
        <v>1660.97957279301</v>
      </c>
      <c r="M211">
        <v>1660.69684286644</v>
      </c>
    </row>
    <row r="212" spans="1:13" x14ac:dyDescent="0.2">
      <c r="A212" t="s">
        <v>503</v>
      </c>
      <c r="B212" t="s">
        <v>182</v>
      </c>
      <c r="C212" t="s">
        <v>499</v>
      </c>
      <c r="D212" t="s">
        <v>133</v>
      </c>
      <c r="E212">
        <v>0.88280589948548305</v>
      </c>
      <c r="F212">
        <v>0.45831592934321902</v>
      </c>
      <c r="G212">
        <v>0.43734131963468098</v>
      </c>
      <c r="H212">
        <v>0.34967637389988199</v>
      </c>
      <c r="I212">
        <v>0.31983162808126298</v>
      </c>
      <c r="J212">
        <v>0.31421718315917302</v>
      </c>
      <c r="K212">
        <v>0.31256016773955603</v>
      </c>
      <c r="L212">
        <v>0.31254542006524799</v>
      </c>
      <c r="M212">
        <v>0.31254401073163601</v>
      </c>
    </row>
    <row r="213" spans="1:13" x14ac:dyDescent="0.2">
      <c r="A213" t="s">
        <v>503</v>
      </c>
      <c r="B213" t="s">
        <v>182</v>
      </c>
      <c r="C213" t="s">
        <v>499</v>
      </c>
      <c r="D213" t="s">
        <v>141</v>
      </c>
      <c r="E213">
        <v>0.66102414887226102</v>
      </c>
      <c r="F213">
        <v>0.27087694461251399</v>
      </c>
      <c r="G213">
        <v>0.174468170082518</v>
      </c>
      <c r="H213">
        <v>9.4926362989927404E-2</v>
      </c>
      <c r="I213">
        <v>6.7801817056445293E-2</v>
      </c>
      <c r="J213">
        <v>6.2731413619129706E-2</v>
      </c>
      <c r="K213">
        <v>6.1230033876524703E-2</v>
      </c>
      <c r="L213">
        <v>6.1220848871463299E-2</v>
      </c>
      <c r="M213">
        <v>6.1219393619074997E-2</v>
      </c>
    </row>
    <row r="214" spans="1:13" x14ac:dyDescent="0.2">
      <c r="A214" t="s">
        <v>503</v>
      </c>
      <c r="B214" t="s">
        <v>184</v>
      </c>
      <c r="C214" t="s">
        <v>499</v>
      </c>
      <c r="D214" t="s">
        <v>145</v>
      </c>
      <c r="E214">
        <v>3.66291528795528</v>
      </c>
      <c r="F214">
        <v>1.81110834429754</v>
      </c>
      <c r="G214">
        <v>1.17052618624317</v>
      </c>
      <c r="H214">
        <v>0.73614531651374404</v>
      </c>
      <c r="I214">
        <v>0.597052259804708</v>
      </c>
      <c r="J214">
        <v>0.56487776147618596</v>
      </c>
      <c r="K214">
        <v>0.55598119154160697</v>
      </c>
      <c r="L214">
        <v>0.55580702712140895</v>
      </c>
      <c r="M214">
        <v>0.55571945282790103</v>
      </c>
    </row>
    <row r="215" spans="1:13" x14ac:dyDescent="0.2">
      <c r="A215" t="s">
        <v>503</v>
      </c>
      <c r="B215" t="s">
        <v>184</v>
      </c>
      <c r="C215" t="s">
        <v>499</v>
      </c>
      <c r="D215" t="s">
        <v>129</v>
      </c>
      <c r="E215">
        <v>8.0193608379791392</v>
      </c>
      <c r="F215">
        <v>4.1543590563126003</v>
      </c>
      <c r="G215">
        <v>2.98133312137844</v>
      </c>
      <c r="H215">
        <v>1.7381068783510201</v>
      </c>
      <c r="I215">
        <v>1.2226706736775499</v>
      </c>
      <c r="J215">
        <v>1.0580964689305701</v>
      </c>
      <c r="K215">
        <v>1.00772008015349</v>
      </c>
      <c r="L215">
        <v>1.0008292130083001</v>
      </c>
      <c r="M215">
        <v>0.99880738384490098</v>
      </c>
    </row>
    <row r="216" spans="1:13" x14ac:dyDescent="0.2">
      <c r="A216" t="s">
        <v>503</v>
      </c>
      <c r="B216" t="s">
        <v>184</v>
      </c>
      <c r="C216" t="s">
        <v>499</v>
      </c>
      <c r="D216" t="s">
        <v>149</v>
      </c>
      <c r="E216">
        <v>1.97747867706301E-2</v>
      </c>
      <c r="F216">
        <v>7.2363688705741003E-2</v>
      </c>
      <c r="G216">
        <v>0.113967833470033</v>
      </c>
      <c r="H216">
        <v>0.115112826964947</v>
      </c>
      <c r="I216">
        <v>0.11539118025805099</v>
      </c>
      <c r="J216">
        <v>0.115199325520795</v>
      </c>
      <c r="K216">
        <v>0.115220036803385</v>
      </c>
      <c r="L216">
        <v>0.115157957606922</v>
      </c>
      <c r="M216">
        <v>0.115119875491087</v>
      </c>
    </row>
    <row r="217" spans="1:13" x14ac:dyDescent="0.2">
      <c r="A217" t="s">
        <v>503</v>
      </c>
      <c r="B217" t="s">
        <v>184</v>
      </c>
      <c r="C217" t="s">
        <v>499</v>
      </c>
      <c r="D217" t="s">
        <v>147</v>
      </c>
      <c r="E217">
        <v>3.5409431722048901E-3</v>
      </c>
      <c r="F217">
        <v>3.63890781693205E-3</v>
      </c>
      <c r="G217">
        <v>5.4574768642476996E-3</v>
      </c>
      <c r="H217">
        <v>5.4675414672760402E-3</v>
      </c>
      <c r="I217">
        <v>5.4680384341553E-3</v>
      </c>
      <c r="J217">
        <v>5.4634019579347104E-3</v>
      </c>
      <c r="K217">
        <v>5.4597660152292298E-3</v>
      </c>
      <c r="L217">
        <v>5.4584958414238298E-3</v>
      </c>
      <c r="M217">
        <v>5.45755956631585E-3</v>
      </c>
    </row>
    <row r="218" spans="1:13" x14ac:dyDescent="0.2">
      <c r="A218" t="s">
        <v>503</v>
      </c>
      <c r="B218" t="s">
        <v>184</v>
      </c>
      <c r="C218" t="s">
        <v>499</v>
      </c>
      <c r="D218" t="s">
        <v>155</v>
      </c>
      <c r="E218">
        <v>2.6039509433426099E-2</v>
      </c>
      <c r="F218">
        <v>2.6040008346974602E-2</v>
      </c>
      <c r="G218">
        <v>3.2995536073936203E-2</v>
      </c>
      <c r="H218">
        <v>3.2996708039722003E-2</v>
      </c>
      <c r="I218">
        <v>3.2997215949732303E-2</v>
      </c>
      <c r="J218">
        <v>3.29974176943355E-2</v>
      </c>
      <c r="K218">
        <v>3.2997465645541797E-2</v>
      </c>
      <c r="L218">
        <v>3.29975034492105E-2</v>
      </c>
      <c r="M218">
        <v>3.2997507472943201E-2</v>
      </c>
    </row>
    <row r="219" spans="1:13" x14ac:dyDescent="0.2">
      <c r="A219" t="s">
        <v>503</v>
      </c>
      <c r="B219" t="s">
        <v>184</v>
      </c>
      <c r="C219" t="s">
        <v>499</v>
      </c>
      <c r="D219" t="s">
        <v>125</v>
      </c>
      <c r="E219">
        <v>3.0399158238526399E-2</v>
      </c>
      <c r="F219">
        <v>2.9335551037600001E-2</v>
      </c>
      <c r="G219">
        <v>1.25441414050069E-2</v>
      </c>
      <c r="H219">
        <v>1.2033715661617201E-2</v>
      </c>
      <c r="I219">
        <v>1.1645627611560599E-2</v>
      </c>
      <c r="J219">
        <v>1.15189928592382E-2</v>
      </c>
      <c r="K219">
        <v>1.1481583994978299E-2</v>
      </c>
      <c r="L219">
        <v>1.1473738052833899E-2</v>
      </c>
      <c r="M219">
        <v>1.14718141652436E-2</v>
      </c>
    </row>
    <row r="220" spans="1:13" x14ac:dyDescent="0.2">
      <c r="A220" t="s">
        <v>503</v>
      </c>
      <c r="B220" t="s">
        <v>184</v>
      </c>
      <c r="C220" t="s">
        <v>499</v>
      </c>
      <c r="D220" t="s">
        <v>137</v>
      </c>
      <c r="E220">
        <v>1.43661852797596</v>
      </c>
      <c r="F220">
        <v>0.62875879312815397</v>
      </c>
      <c r="G220">
        <v>0.38012488858052901</v>
      </c>
      <c r="H220">
        <v>0.19661280267353801</v>
      </c>
      <c r="I220">
        <v>0.139914566708539</v>
      </c>
      <c r="J220">
        <v>0.126251922379787</v>
      </c>
      <c r="K220">
        <v>0.122717084606958</v>
      </c>
      <c r="L220">
        <v>0.122648698331061</v>
      </c>
      <c r="M220">
        <v>0.12261069478738</v>
      </c>
    </row>
    <row r="221" spans="1:13" x14ac:dyDescent="0.2">
      <c r="A221" t="s">
        <v>503</v>
      </c>
      <c r="B221" t="s">
        <v>184</v>
      </c>
      <c r="C221" t="s">
        <v>499</v>
      </c>
      <c r="D221" t="s">
        <v>120</v>
      </c>
      <c r="E221">
        <v>1227.122531812</v>
      </c>
      <c r="F221">
        <v>1223.38293869125</v>
      </c>
      <c r="G221">
        <v>1491.9167744443</v>
      </c>
      <c r="H221">
        <v>1439.6290263866099</v>
      </c>
      <c r="I221">
        <v>1396.0303655681701</v>
      </c>
      <c r="J221">
        <v>1381.4572061837</v>
      </c>
      <c r="K221">
        <v>1377.1647221724299</v>
      </c>
      <c r="L221">
        <v>1376.2239115392599</v>
      </c>
      <c r="M221">
        <v>1375.99238621115</v>
      </c>
    </row>
    <row r="222" spans="1:13" x14ac:dyDescent="0.2">
      <c r="A222" t="s">
        <v>503</v>
      </c>
      <c r="B222" t="s">
        <v>184</v>
      </c>
      <c r="C222" t="s">
        <v>499</v>
      </c>
      <c r="D222" t="s">
        <v>133</v>
      </c>
      <c r="E222">
        <v>0.75675018821525997</v>
      </c>
      <c r="F222">
        <v>0.40133452537918501</v>
      </c>
      <c r="G222">
        <v>0.33506910840269499</v>
      </c>
      <c r="H222">
        <v>0.263570196116162</v>
      </c>
      <c r="I222">
        <v>0.239317173689682</v>
      </c>
      <c r="J222">
        <v>0.23470430578816801</v>
      </c>
      <c r="K222">
        <v>0.23334423625159001</v>
      </c>
      <c r="L222">
        <v>0.233332846550835</v>
      </c>
      <c r="M222">
        <v>0.23333151026798801</v>
      </c>
    </row>
    <row r="223" spans="1:13" x14ac:dyDescent="0.2">
      <c r="A223" t="s">
        <v>503</v>
      </c>
      <c r="B223" t="s">
        <v>184</v>
      </c>
      <c r="C223" t="s">
        <v>499</v>
      </c>
      <c r="D223" t="s">
        <v>141</v>
      </c>
      <c r="E223">
        <v>0.57853809313457705</v>
      </c>
      <c r="F223">
        <v>0.252003695301314</v>
      </c>
      <c r="G223">
        <v>0.14009339529863701</v>
      </c>
      <c r="H223">
        <v>7.5128307357895593E-2</v>
      </c>
      <c r="I223">
        <v>5.3059643460613801E-2</v>
      </c>
      <c r="J223">
        <v>4.8885273229585302E-2</v>
      </c>
      <c r="K223">
        <v>4.7651037372409798E-2</v>
      </c>
      <c r="L223">
        <v>4.7643536740020302E-2</v>
      </c>
      <c r="M223">
        <v>4.7642334168564497E-2</v>
      </c>
    </row>
    <row r="224" spans="1:13" x14ac:dyDescent="0.2">
      <c r="A224" t="s">
        <v>503</v>
      </c>
      <c r="B224" t="s">
        <v>186</v>
      </c>
      <c r="C224" t="s">
        <v>499</v>
      </c>
      <c r="D224" t="s">
        <v>145</v>
      </c>
      <c r="E224">
        <v>4.8199473877118004</v>
      </c>
      <c r="F224">
        <v>2.13606006571157</v>
      </c>
      <c r="G224">
        <v>1.4626606870508201</v>
      </c>
      <c r="H224">
        <v>0.91632051356289601</v>
      </c>
      <c r="I224">
        <v>0.74159278245313098</v>
      </c>
      <c r="J224">
        <v>0.70121666030394803</v>
      </c>
      <c r="K224">
        <v>0.69011658725035796</v>
      </c>
      <c r="L224">
        <v>0.68991923636254204</v>
      </c>
      <c r="M224">
        <v>0.68982544184786598</v>
      </c>
    </row>
    <row r="225" spans="1:13" x14ac:dyDescent="0.2">
      <c r="A225" t="s">
        <v>503</v>
      </c>
      <c r="B225" t="s">
        <v>186</v>
      </c>
      <c r="C225" t="s">
        <v>499</v>
      </c>
      <c r="D225" t="s">
        <v>129</v>
      </c>
      <c r="E225">
        <v>11.3242694436207</v>
      </c>
      <c r="F225">
        <v>5.2798482437774998</v>
      </c>
      <c r="G225">
        <v>3.78642260339578</v>
      </c>
      <c r="H225">
        <v>2.1972961679722198</v>
      </c>
      <c r="I225">
        <v>1.5398620814352</v>
      </c>
      <c r="J225">
        <v>1.33073738385153</v>
      </c>
      <c r="K225">
        <v>1.2670046042829299</v>
      </c>
      <c r="L225">
        <v>1.25837731661006</v>
      </c>
      <c r="M225">
        <v>1.2558936064742501</v>
      </c>
    </row>
    <row r="226" spans="1:13" x14ac:dyDescent="0.2">
      <c r="A226" t="s">
        <v>503</v>
      </c>
      <c r="B226" t="s">
        <v>186</v>
      </c>
      <c r="C226" t="s">
        <v>499</v>
      </c>
      <c r="D226" t="s">
        <v>149</v>
      </c>
      <c r="E226">
        <v>4.41589904201058E-2</v>
      </c>
      <c r="F226">
        <v>0.113476815309018</v>
      </c>
      <c r="G226">
        <v>0.148804284105474</v>
      </c>
      <c r="H226">
        <v>0.149805777267462</v>
      </c>
      <c r="I226">
        <v>0.14994983513978</v>
      </c>
      <c r="J226">
        <v>0.14964505772550801</v>
      </c>
      <c r="K226">
        <v>0.149643881204473</v>
      </c>
      <c r="L226">
        <v>0.14957074940992099</v>
      </c>
      <c r="M226">
        <v>0.149527028885417</v>
      </c>
    </row>
    <row r="227" spans="1:13" x14ac:dyDescent="0.2">
      <c r="A227" t="s">
        <v>503</v>
      </c>
      <c r="B227" t="s">
        <v>186</v>
      </c>
      <c r="C227" t="s">
        <v>499</v>
      </c>
      <c r="D227" t="s">
        <v>147</v>
      </c>
      <c r="E227">
        <v>6.5007561655818502E-3</v>
      </c>
      <c r="F227">
        <v>6.4232890684132399E-3</v>
      </c>
      <c r="G227">
        <v>7.3982049149974903E-3</v>
      </c>
      <c r="H227">
        <v>7.4088773394752599E-3</v>
      </c>
      <c r="I227">
        <v>7.4094538759446396E-3</v>
      </c>
      <c r="J227">
        <v>7.4045671468592096E-3</v>
      </c>
      <c r="K227">
        <v>7.4007369137275699E-3</v>
      </c>
      <c r="L227">
        <v>7.3993983540755204E-3</v>
      </c>
      <c r="M227">
        <v>7.3984107449231598E-3</v>
      </c>
    </row>
    <row r="228" spans="1:13" x14ac:dyDescent="0.2">
      <c r="A228" t="s">
        <v>503</v>
      </c>
      <c r="B228" t="s">
        <v>186</v>
      </c>
      <c r="C228" t="s">
        <v>499</v>
      </c>
      <c r="D228" t="s">
        <v>155</v>
      </c>
      <c r="E228">
        <v>3.4721835377985802E-2</v>
      </c>
      <c r="F228">
        <v>3.4721918500933702E-2</v>
      </c>
      <c r="G228">
        <v>3.9607483836340801E-2</v>
      </c>
      <c r="H228">
        <v>3.9607942764627597E-2</v>
      </c>
      <c r="I228">
        <v>3.9608185476154502E-2</v>
      </c>
      <c r="J228">
        <v>3.9608266206743202E-2</v>
      </c>
      <c r="K228">
        <v>3.96082447188153E-2</v>
      </c>
      <c r="L228">
        <v>3.96082633707312E-2</v>
      </c>
      <c r="M228">
        <v>3.9608260132730701E-2</v>
      </c>
    </row>
    <row r="229" spans="1:13" x14ac:dyDescent="0.2">
      <c r="A229" t="s">
        <v>503</v>
      </c>
      <c r="B229" t="s">
        <v>186</v>
      </c>
      <c r="C229" t="s">
        <v>499</v>
      </c>
      <c r="D229" t="s">
        <v>125</v>
      </c>
      <c r="E229">
        <v>4.5365869728215401E-2</v>
      </c>
      <c r="F229">
        <v>4.3660344033601299E-2</v>
      </c>
      <c r="G229">
        <v>1.5842755870111001E-2</v>
      </c>
      <c r="H229">
        <v>1.52011817179993E-2</v>
      </c>
      <c r="I229">
        <v>1.47126837043844E-2</v>
      </c>
      <c r="J229">
        <v>1.45535009771615E-2</v>
      </c>
      <c r="K229">
        <v>1.4506508977964299E-2</v>
      </c>
      <c r="L229">
        <v>1.44966873739067E-2</v>
      </c>
      <c r="M229">
        <v>1.4494279129535799E-2</v>
      </c>
    </row>
    <row r="230" spans="1:13" x14ac:dyDescent="0.2">
      <c r="A230" t="s">
        <v>503</v>
      </c>
      <c r="B230" t="s">
        <v>186</v>
      </c>
      <c r="C230" t="s">
        <v>499</v>
      </c>
      <c r="D230" t="s">
        <v>137</v>
      </c>
      <c r="E230">
        <v>2.0873450951181098</v>
      </c>
      <c r="F230">
        <v>0.82818205887879504</v>
      </c>
      <c r="G230">
        <v>0.49677177359374097</v>
      </c>
      <c r="H230">
        <v>0.255767592675607</v>
      </c>
      <c r="I230">
        <v>0.18123851738744101</v>
      </c>
      <c r="J230">
        <v>0.16339043238474099</v>
      </c>
      <c r="K230">
        <v>0.15878537340132501</v>
      </c>
      <c r="L230">
        <v>0.158704013950277</v>
      </c>
      <c r="M230">
        <v>0.15866010461272401</v>
      </c>
    </row>
    <row r="231" spans="1:13" x14ac:dyDescent="0.2">
      <c r="A231" t="s">
        <v>503</v>
      </c>
      <c r="B231" t="s">
        <v>186</v>
      </c>
      <c r="C231" t="s">
        <v>499</v>
      </c>
      <c r="D231" t="s">
        <v>120</v>
      </c>
      <c r="E231">
        <v>1844.7083010230299</v>
      </c>
      <c r="F231">
        <v>1832.6045194358301</v>
      </c>
      <c r="G231">
        <v>1884.2537986570301</v>
      </c>
      <c r="H231">
        <v>1818.5727784503399</v>
      </c>
      <c r="I231">
        <v>1763.6996289860999</v>
      </c>
      <c r="J231">
        <v>1745.38280930633</v>
      </c>
      <c r="K231">
        <v>1739.98947678168</v>
      </c>
      <c r="L231">
        <v>1738.81123596359</v>
      </c>
      <c r="M231">
        <v>1738.5227113911701</v>
      </c>
    </row>
    <row r="232" spans="1:13" x14ac:dyDescent="0.2">
      <c r="A232" t="s">
        <v>503</v>
      </c>
      <c r="B232" t="s">
        <v>186</v>
      </c>
      <c r="C232" t="s">
        <v>499</v>
      </c>
      <c r="D232" t="s">
        <v>133</v>
      </c>
      <c r="E232">
        <v>1.1349607828839201</v>
      </c>
      <c r="F232">
        <v>0.61030408012734905</v>
      </c>
      <c r="G232">
        <v>0.44031388127967303</v>
      </c>
      <c r="H232">
        <v>0.34801512923671002</v>
      </c>
      <c r="I232">
        <v>0.316619673688259</v>
      </c>
      <c r="J232">
        <v>0.310711543242081</v>
      </c>
      <c r="K232">
        <v>0.30897246291541097</v>
      </c>
      <c r="L232">
        <v>0.308957597755115</v>
      </c>
      <c r="M232">
        <v>0.30895604079919098</v>
      </c>
    </row>
    <row r="233" spans="1:13" x14ac:dyDescent="0.2">
      <c r="A233" t="s">
        <v>503</v>
      </c>
      <c r="B233" t="s">
        <v>186</v>
      </c>
      <c r="C233" t="s">
        <v>499</v>
      </c>
      <c r="D233" t="s">
        <v>141</v>
      </c>
      <c r="E233">
        <v>0.82460782978682501</v>
      </c>
      <c r="F233">
        <v>0.34373570942234799</v>
      </c>
      <c r="G233">
        <v>0.18121898411016099</v>
      </c>
      <c r="H233">
        <v>9.7394815729633696E-2</v>
      </c>
      <c r="I233">
        <v>6.8837534672911399E-2</v>
      </c>
      <c r="J233">
        <v>6.3495189038770203E-2</v>
      </c>
      <c r="K233">
        <v>6.1918142257759601E-2</v>
      </c>
      <c r="L233">
        <v>6.1908718128838802E-2</v>
      </c>
      <c r="M233">
        <v>6.1907262020399603E-2</v>
      </c>
    </row>
    <row r="234" spans="1:13" x14ac:dyDescent="0.2">
      <c r="A234" t="s">
        <v>503</v>
      </c>
      <c r="B234" t="s">
        <v>188</v>
      </c>
      <c r="C234" t="s">
        <v>499</v>
      </c>
      <c r="D234" t="s">
        <v>145</v>
      </c>
      <c r="E234">
        <v>4.3150452160613399</v>
      </c>
      <c r="F234">
        <v>2.1245169733868399</v>
      </c>
      <c r="G234">
        <v>0.94068181429637499</v>
      </c>
      <c r="H234">
        <v>0.59128118339828695</v>
      </c>
      <c r="I234">
        <v>0.47927194222425401</v>
      </c>
      <c r="J234">
        <v>0.45341859187278799</v>
      </c>
      <c r="K234">
        <v>0.446256256758017</v>
      </c>
      <c r="L234">
        <v>0.44612206557733602</v>
      </c>
      <c r="M234">
        <v>0.44605643597918299</v>
      </c>
    </row>
    <row r="235" spans="1:13" x14ac:dyDescent="0.2">
      <c r="A235" t="s">
        <v>503</v>
      </c>
      <c r="B235" t="s">
        <v>188</v>
      </c>
      <c r="C235" t="s">
        <v>499</v>
      </c>
      <c r="D235" t="s">
        <v>129</v>
      </c>
      <c r="E235">
        <v>9.9935080505540999</v>
      </c>
      <c r="F235">
        <v>5.4019505037215803</v>
      </c>
      <c r="G235">
        <v>2.3680454032681002</v>
      </c>
      <c r="H235">
        <v>1.37960112387871</v>
      </c>
      <c r="I235">
        <v>0.96959264343873697</v>
      </c>
      <c r="J235">
        <v>0.83872679442891696</v>
      </c>
      <c r="K235">
        <v>0.79867865097523805</v>
      </c>
      <c r="L235">
        <v>0.79322284274622901</v>
      </c>
      <c r="M235">
        <v>0.79163411205103495</v>
      </c>
    </row>
    <row r="236" spans="1:13" x14ac:dyDescent="0.2">
      <c r="A236" t="s">
        <v>503</v>
      </c>
      <c r="B236" t="s">
        <v>188</v>
      </c>
      <c r="C236" t="s">
        <v>499</v>
      </c>
      <c r="D236" t="s">
        <v>149</v>
      </c>
      <c r="E236">
        <v>1.6945041867018E-2</v>
      </c>
      <c r="F236">
        <v>7.8276884254222703E-2</v>
      </c>
      <c r="G236">
        <v>8.4900351611377101E-2</v>
      </c>
      <c r="H236">
        <v>8.5774709001773697E-2</v>
      </c>
      <c r="I236">
        <v>8.5992272513838397E-2</v>
      </c>
      <c r="J236">
        <v>8.5851695810059206E-2</v>
      </c>
      <c r="K236">
        <v>8.5868499327711095E-2</v>
      </c>
      <c r="L236">
        <v>8.5821898568060301E-2</v>
      </c>
      <c r="M236">
        <v>8.5793172972528697E-2</v>
      </c>
    </row>
    <row r="237" spans="1:13" x14ac:dyDescent="0.2">
      <c r="A237" t="s">
        <v>503</v>
      </c>
      <c r="B237" t="s">
        <v>188</v>
      </c>
      <c r="C237" t="s">
        <v>499</v>
      </c>
      <c r="D237" t="s">
        <v>147</v>
      </c>
      <c r="E237">
        <v>3.9349904375135403E-3</v>
      </c>
      <c r="F237">
        <v>4.0144188046577697E-3</v>
      </c>
      <c r="G237">
        <v>3.85532676774381E-3</v>
      </c>
      <c r="H237">
        <v>3.86278277523287E-3</v>
      </c>
      <c r="I237">
        <v>3.8631569663602201E-3</v>
      </c>
      <c r="J237">
        <v>3.8597143652261199E-3</v>
      </c>
      <c r="K237">
        <v>3.8570170955670299E-3</v>
      </c>
      <c r="L237">
        <v>3.8560726634583298E-3</v>
      </c>
      <c r="M237">
        <v>3.8553758260127901E-3</v>
      </c>
    </row>
    <row r="238" spans="1:13" x14ac:dyDescent="0.2">
      <c r="A238" t="s">
        <v>503</v>
      </c>
      <c r="B238" t="s">
        <v>188</v>
      </c>
      <c r="C238" t="s">
        <v>499</v>
      </c>
      <c r="D238" t="s">
        <v>155</v>
      </c>
      <c r="E238">
        <v>2.7055218991672101E-2</v>
      </c>
      <c r="F238">
        <v>2.7097811202849698E-2</v>
      </c>
      <c r="G238">
        <v>2.7499989724317601E-2</v>
      </c>
      <c r="H238">
        <v>2.7501820283735001E-2</v>
      </c>
      <c r="I238">
        <v>2.7502699986778598E-2</v>
      </c>
      <c r="J238">
        <v>2.7503009963342099E-2</v>
      </c>
      <c r="K238">
        <v>2.75030807344766E-2</v>
      </c>
      <c r="L238">
        <v>2.75031193176942E-2</v>
      </c>
      <c r="M238">
        <v>2.7503100293147099E-2</v>
      </c>
    </row>
    <row r="239" spans="1:13" x14ac:dyDescent="0.2">
      <c r="A239" t="s">
        <v>503</v>
      </c>
      <c r="B239" t="s">
        <v>188</v>
      </c>
      <c r="C239" t="s">
        <v>499</v>
      </c>
      <c r="D239" t="s">
        <v>125</v>
      </c>
      <c r="E239">
        <v>3.2609020112497403E-2</v>
      </c>
      <c r="F239">
        <v>3.17571573502895E-2</v>
      </c>
      <c r="G239">
        <v>1.01046015527187E-2</v>
      </c>
      <c r="H239">
        <v>9.6913827425881005E-3</v>
      </c>
      <c r="I239">
        <v>9.3778737694311005E-3</v>
      </c>
      <c r="J239">
        <v>9.2756075273223108E-3</v>
      </c>
      <c r="K239">
        <v>9.2454491450441392E-3</v>
      </c>
      <c r="L239">
        <v>9.2391217629996109E-3</v>
      </c>
      <c r="M239">
        <v>9.2375739351750405E-3</v>
      </c>
    </row>
    <row r="240" spans="1:13" x14ac:dyDescent="0.2">
      <c r="A240" t="s">
        <v>503</v>
      </c>
      <c r="B240" t="s">
        <v>188</v>
      </c>
      <c r="C240" t="s">
        <v>499</v>
      </c>
      <c r="D240" t="s">
        <v>137</v>
      </c>
      <c r="E240">
        <v>1.7526352760541399</v>
      </c>
      <c r="F240">
        <v>0.76319496140940501</v>
      </c>
      <c r="G240">
        <v>0.28613534772152999</v>
      </c>
      <c r="H240">
        <v>0.14791681955889299</v>
      </c>
      <c r="I240">
        <v>0.105362725656792</v>
      </c>
      <c r="J240">
        <v>9.5060988557020901E-2</v>
      </c>
      <c r="K240">
        <v>9.2424289509125304E-2</v>
      </c>
      <c r="L240">
        <v>9.23723223995183E-2</v>
      </c>
      <c r="M240">
        <v>9.2343531240566795E-2</v>
      </c>
    </row>
    <row r="241" spans="1:13" x14ac:dyDescent="0.2">
      <c r="A241" t="s">
        <v>503</v>
      </c>
      <c r="B241" t="s">
        <v>188</v>
      </c>
      <c r="C241" t="s">
        <v>499</v>
      </c>
      <c r="D241" t="s">
        <v>120</v>
      </c>
      <c r="E241">
        <v>1359.24651399801</v>
      </c>
      <c r="F241">
        <v>1349.4553811456799</v>
      </c>
      <c r="G241">
        <v>1201.7753721342699</v>
      </c>
      <c r="H241">
        <v>1159.4102608457299</v>
      </c>
      <c r="I241">
        <v>1124.18143975774</v>
      </c>
      <c r="J241">
        <v>1112.41123305204</v>
      </c>
      <c r="K241">
        <v>1108.9495585776399</v>
      </c>
      <c r="L241">
        <v>1108.1911650136201</v>
      </c>
      <c r="M241">
        <v>1108.0051090873801</v>
      </c>
    </row>
    <row r="242" spans="1:13" x14ac:dyDescent="0.2">
      <c r="A242" t="s">
        <v>503</v>
      </c>
      <c r="B242" t="s">
        <v>188</v>
      </c>
      <c r="C242" t="s">
        <v>499</v>
      </c>
      <c r="D242" t="s">
        <v>133</v>
      </c>
      <c r="E242">
        <v>0.92068922490925897</v>
      </c>
      <c r="F242">
        <v>0.49332051927640103</v>
      </c>
      <c r="G242">
        <v>0.24551244923642301</v>
      </c>
      <c r="H242">
        <v>0.19029699336139799</v>
      </c>
      <c r="I242">
        <v>0.171654581016567</v>
      </c>
      <c r="J242">
        <v>0.168061002565252</v>
      </c>
      <c r="K242">
        <v>0.167001709815503</v>
      </c>
      <c r="L242">
        <v>0.16699297497215901</v>
      </c>
      <c r="M242">
        <v>0.16699184457612301</v>
      </c>
    </row>
    <row r="243" spans="1:13" x14ac:dyDescent="0.2">
      <c r="A243" t="s">
        <v>503</v>
      </c>
      <c r="B243" t="s">
        <v>188</v>
      </c>
      <c r="C243" t="s">
        <v>499</v>
      </c>
      <c r="D243" t="s">
        <v>141</v>
      </c>
      <c r="E243">
        <v>0.71010379978724403</v>
      </c>
      <c r="F243">
        <v>0.31539716063004603</v>
      </c>
      <c r="G243">
        <v>0.10700307974279601</v>
      </c>
      <c r="H243">
        <v>5.6773062835599797E-2</v>
      </c>
      <c r="I243">
        <v>3.9792368333530698E-2</v>
      </c>
      <c r="J243">
        <v>3.6534861023721103E-2</v>
      </c>
      <c r="K243">
        <v>3.5572117087596597E-2</v>
      </c>
      <c r="L243">
        <v>3.556620106866E-2</v>
      </c>
      <c r="M243">
        <v>3.5565244855547698E-2</v>
      </c>
    </row>
    <row r="244" spans="1:13" x14ac:dyDescent="0.2">
      <c r="A244" t="s">
        <v>503</v>
      </c>
      <c r="B244" t="s">
        <v>190</v>
      </c>
      <c r="C244" t="s">
        <v>499</v>
      </c>
      <c r="D244" t="s">
        <v>145</v>
      </c>
      <c r="E244">
        <v>3.60214748610194</v>
      </c>
      <c r="F244">
        <v>1.77624524860446</v>
      </c>
      <c r="G244">
        <v>1.1776035653010599</v>
      </c>
      <c r="H244">
        <v>0.76085446661730005</v>
      </c>
      <c r="I244">
        <v>0.62715484825252399</v>
      </c>
      <c r="J244">
        <v>0.59561161426405995</v>
      </c>
      <c r="K244">
        <v>0.586656365437488</v>
      </c>
      <c r="L244">
        <v>0.58633071433356998</v>
      </c>
      <c r="M244">
        <v>0.58613150489673305</v>
      </c>
    </row>
    <row r="245" spans="1:13" x14ac:dyDescent="0.2">
      <c r="A245" t="s">
        <v>503</v>
      </c>
      <c r="B245" t="s">
        <v>190</v>
      </c>
      <c r="C245" t="s">
        <v>499</v>
      </c>
      <c r="D245" t="s">
        <v>129</v>
      </c>
      <c r="E245">
        <v>8.1159705197746597</v>
      </c>
      <c r="F245">
        <v>4.1902678747381499</v>
      </c>
      <c r="G245">
        <v>2.9831671777909299</v>
      </c>
      <c r="H245">
        <v>1.79071707308598</v>
      </c>
      <c r="I245">
        <v>1.29214834991715</v>
      </c>
      <c r="J245">
        <v>1.1297597092685201</v>
      </c>
      <c r="K245">
        <v>1.07869334628427</v>
      </c>
      <c r="L245">
        <v>1.0710961293157399</v>
      </c>
      <c r="M245">
        <v>1.06853485047457</v>
      </c>
    </row>
    <row r="246" spans="1:13" x14ac:dyDescent="0.2">
      <c r="A246" t="s">
        <v>503</v>
      </c>
      <c r="B246" t="s">
        <v>190</v>
      </c>
      <c r="C246" t="s">
        <v>499</v>
      </c>
      <c r="D246" t="s">
        <v>149</v>
      </c>
      <c r="E246">
        <v>3.1443183076475298E-2</v>
      </c>
      <c r="F246">
        <v>9.3142408370314803E-2</v>
      </c>
      <c r="G246">
        <v>0.12640906725248399</v>
      </c>
      <c r="H246">
        <v>0.13167273257883699</v>
      </c>
      <c r="I246">
        <v>0.133754957639485</v>
      </c>
      <c r="J246">
        <v>0.13397825833520099</v>
      </c>
      <c r="K246">
        <v>0.13422755831628899</v>
      </c>
      <c r="L246">
        <v>0.134094847635195</v>
      </c>
      <c r="M246">
        <v>0.13400465943828599</v>
      </c>
    </row>
    <row r="247" spans="1:13" x14ac:dyDescent="0.2">
      <c r="A247" t="s">
        <v>503</v>
      </c>
      <c r="B247" t="s">
        <v>190</v>
      </c>
      <c r="C247" t="s">
        <v>499</v>
      </c>
      <c r="D247" t="s">
        <v>147</v>
      </c>
      <c r="E247">
        <v>4.2942881221194997E-3</v>
      </c>
      <c r="F247">
        <v>4.52609306007902E-3</v>
      </c>
      <c r="G247">
        <v>5.7549154829870204E-3</v>
      </c>
      <c r="H247">
        <v>5.7792428030713902E-3</v>
      </c>
      <c r="I247">
        <v>5.7801666189186297E-3</v>
      </c>
      <c r="J247">
        <v>5.7687673444275804E-3</v>
      </c>
      <c r="K247">
        <v>5.7598889247671798E-3</v>
      </c>
      <c r="L247">
        <v>5.7567706696684201E-3</v>
      </c>
      <c r="M247">
        <v>5.7544893575928197E-3</v>
      </c>
    </row>
    <row r="248" spans="1:13" x14ac:dyDescent="0.2">
      <c r="A248" t="s">
        <v>503</v>
      </c>
      <c r="B248" t="s">
        <v>190</v>
      </c>
      <c r="C248" t="s">
        <v>499</v>
      </c>
      <c r="D248" t="s">
        <v>155</v>
      </c>
      <c r="E248">
        <v>2.6625022112881199E-2</v>
      </c>
      <c r="F248">
        <v>2.66250927216873E-2</v>
      </c>
      <c r="G248">
        <v>3.1310131148303597E-2</v>
      </c>
      <c r="H248">
        <v>3.13110567850386E-2</v>
      </c>
      <c r="I248">
        <v>3.1311503593969003E-2</v>
      </c>
      <c r="J248">
        <v>3.1311654335670597E-2</v>
      </c>
      <c r="K248">
        <v>3.1311703141941503E-2</v>
      </c>
      <c r="L248">
        <v>3.1311701226839898E-2</v>
      </c>
      <c r="M248">
        <v>3.1311724606097602E-2</v>
      </c>
    </row>
    <row r="249" spans="1:13" x14ac:dyDescent="0.2">
      <c r="A249" t="s">
        <v>503</v>
      </c>
      <c r="B249" t="s">
        <v>190</v>
      </c>
      <c r="C249" t="s">
        <v>499</v>
      </c>
      <c r="D249" t="s">
        <v>125</v>
      </c>
      <c r="E249">
        <v>3.2903787292919401E-2</v>
      </c>
      <c r="F249">
        <v>3.1887226466035201E-2</v>
      </c>
      <c r="G249">
        <v>1.2151036280147199E-2</v>
      </c>
      <c r="H249">
        <v>1.16575948327503E-2</v>
      </c>
      <c r="I249">
        <v>1.12807608208042E-2</v>
      </c>
      <c r="J249">
        <v>1.11563832836782E-2</v>
      </c>
      <c r="K249">
        <v>1.11190596779358E-2</v>
      </c>
      <c r="L249">
        <v>1.1111041090770501E-2</v>
      </c>
      <c r="M249">
        <v>1.11089391742305E-2</v>
      </c>
    </row>
    <row r="250" spans="1:13" x14ac:dyDescent="0.2">
      <c r="A250" t="s">
        <v>503</v>
      </c>
      <c r="B250" t="s">
        <v>190</v>
      </c>
      <c r="C250" t="s">
        <v>499</v>
      </c>
      <c r="D250" t="s">
        <v>137</v>
      </c>
      <c r="E250">
        <v>1.4585878276819899</v>
      </c>
      <c r="F250">
        <v>0.63111024641351499</v>
      </c>
      <c r="G250">
        <v>0.39101466332213902</v>
      </c>
      <c r="H250">
        <v>0.213477846209017</v>
      </c>
      <c r="I250">
        <v>0.15780661931724599</v>
      </c>
      <c r="J250">
        <v>0.14387801609152001</v>
      </c>
      <c r="K250">
        <v>0.13989697938435799</v>
      </c>
      <c r="L250">
        <v>0.139762763737699</v>
      </c>
      <c r="M250">
        <v>0.139676136968958</v>
      </c>
    </row>
    <row r="251" spans="1:13" x14ac:dyDescent="0.2">
      <c r="A251" t="s">
        <v>503</v>
      </c>
      <c r="B251" t="s">
        <v>190</v>
      </c>
      <c r="C251" t="s">
        <v>499</v>
      </c>
      <c r="D251" t="s">
        <v>120</v>
      </c>
      <c r="E251">
        <v>1336.71780257008</v>
      </c>
      <c r="F251">
        <v>1334.1180611544301</v>
      </c>
      <c r="G251">
        <v>1445.04089230315</v>
      </c>
      <c r="H251">
        <v>1394.56782788027</v>
      </c>
      <c r="I251">
        <v>1352.2640605745901</v>
      </c>
      <c r="J251">
        <v>1337.95858730856</v>
      </c>
      <c r="K251">
        <v>1333.6808792868501</v>
      </c>
      <c r="L251">
        <v>1332.71889531121</v>
      </c>
      <c r="M251">
        <v>1332.4669517233399</v>
      </c>
    </row>
    <row r="252" spans="1:13" x14ac:dyDescent="0.2">
      <c r="A252" t="s">
        <v>503</v>
      </c>
      <c r="B252" t="s">
        <v>190</v>
      </c>
      <c r="C252" t="s">
        <v>499</v>
      </c>
      <c r="D252" t="s">
        <v>133</v>
      </c>
      <c r="E252">
        <v>0.75470063690720102</v>
      </c>
      <c r="F252">
        <v>0.41452815930639098</v>
      </c>
      <c r="G252">
        <v>0.32175493237955199</v>
      </c>
      <c r="H252">
        <v>0.25352921702854198</v>
      </c>
      <c r="I252">
        <v>0.23028919647026699</v>
      </c>
      <c r="J252">
        <v>0.22584791810744101</v>
      </c>
      <c r="K252">
        <v>0.22452045938839199</v>
      </c>
      <c r="L252">
        <v>0.22450852256822901</v>
      </c>
      <c r="M252">
        <v>0.22450708090135699</v>
      </c>
    </row>
    <row r="253" spans="1:13" x14ac:dyDescent="0.2">
      <c r="A253" t="s">
        <v>503</v>
      </c>
      <c r="B253" t="s">
        <v>190</v>
      </c>
      <c r="C253" t="s">
        <v>499</v>
      </c>
      <c r="D253" t="s">
        <v>141</v>
      </c>
      <c r="E253">
        <v>0.55462986472983</v>
      </c>
      <c r="F253">
        <v>0.24248413763726101</v>
      </c>
      <c r="G253">
        <v>0.134184167736455</v>
      </c>
      <c r="H253">
        <v>7.2197035661159606E-2</v>
      </c>
      <c r="I253">
        <v>5.1049978127363498E-2</v>
      </c>
      <c r="J253">
        <v>4.7030670986268203E-2</v>
      </c>
      <c r="K253">
        <v>4.5825605278403299E-2</v>
      </c>
      <c r="L253">
        <v>4.58177973162801E-2</v>
      </c>
      <c r="M253">
        <v>4.5816229295905703E-2</v>
      </c>
    </row>
    <row r="254" spans="1:13" x14ac:dyDescent="0.2">
      <c r="A254" t="s">
        <v>503</v>
      </c>
      <c r="B254" t="s">
        <v>182</v>
      </c>
      <c r="C254" t="s">
        <v>500</v>
      </c>
      <c r="D254" t="s">
        <v>145</v>
      </c>
      <c r="E254">
        <v>35.379082211376598</v>
      </c>
      <c r="F254">
        <v>20.9802918509032</v>
      </c>
      <c r="G254">
        <v>14.8071744303823</v>
      </c>
      <c r="H254">
        <v>12.7817736031308</v>
      </c>
      <c r="I254">
        <v>12.249879427369301</v>
      </c>
      <c r="J254">
        <v>12.1493449959291</v>
      </c>
      <c r="K254">
        <v>12.229795867911401</v>
      </c>
      <c r="L254">
        <v>12.2882488120452</v>
      </c>
      <c r="M254">
        <v>12.321950956593</v>
      </c>
    </row>
    <row r="255" spans="1:13" x14ac:dyDescent="0.2">
      <c r="A255" t="s">
        <v>503</v>
      </c>
      <c r="B255" t="s">
        <v>182</v>
      </c>
      <c r="C255" t="s">
        <v>500</v>
      </c>
      <c r="D255" t="s">
        <v>129</v>
      </c>
      <c r="E255">
        <v>4.1625657526614797</v>
      </c>
      <c r="F255">
        <v>2.1578815518962502</v>
      </c>
      <c r="G255">
        <v>1.30274636086792</v>
      </c>
      <c r="H255">
        <v>0.94297953696777803</v>
      </c>
      <c r="I255">
        <v>0.78815258031283297</v>
      </c>
      <c r="J255">
        <v>0.71799894873057002</v>
      </c>
      <c r="K255">
        <v>0.69737659475245495</v>
      </c>
      <c r="L255">
        <v>0.69289982108465797</v>
      </c>
      <c r="M255">
        <v>0.69155412460857602</v>
      </c>
    </row>
    <row r="256" spans="1:13" x14ac:dyDescent="0.2">
      <c r="A256" t="s">
        <v>503</v>
      </c>
      <c r="B256" t="s">
        <v>182</v>
      </c>
      <c r="C256" t="s">
        <v>500</v>
      </c>
      <c r="D256" t="s">
        <v>149</v>
      </c>
      <c r="E256">
        <v>5.0339270700679999E-2</v>
      </c>
      <c r="F256">
        <v>2.98546172534019E-2</v>
      </c>
      <c r="G256">
        <v>1.7913674894860999E-2</v>
      </c>
      <c r="H256">
        <v>1.54314271118329E-2</v>
      </c>
      <c r="I256">
        <v>1.4729599669098301E-2</v>
      </c>
      <c r="J256">
        <v>1.46060589575112E-2</v>
      </c>
      <c r="K256">
        <v>1.4662699121929501E-2</v>
      </c>
      <c r="L256">
        <v>1.46806856975942E-2</v>
      </c>
      <c r="M256">
        <v>1.4680172285676999E-2</v>
      </c>
    </row>
    <row r="257" spans="1:13" x14ac:dyDescent="0.2">
      <c r="A257" t="s">
        <v>503</v>
      </c>
      <c r="B257" t="s">
        <v>182</v>
      </c>
      <c r="C257" t="s">
        <v>500</v>
      </c>
      <c r="D257" t="s">
        <v>147</v>
      </c>
      <c r="E257">
        <v>6.7564687236939897E-2</v>
      </c>
      <c r="F257">
        <v>3.8153498607861998E-2</v>
      </c>
      <c r="G257">
        <v>2.81821158126641E-2</v>
      </c>
      <c r="H257">
        <v>1.9443003989977701E-2</v>
      </c>
      <c r="I257">
        <v>1.7080157869544602E-2</v>
      </c>
      <c r="J257">
        <v>1.6424318186297401E-2</v>
      </c>
      <c r="K257">
        <v>1.63466414048998E-2</v>
      </c>
      <c r="L257">
        <v>1.6299016097018101E-2</v>
      </c>
      <c r="M257">
        <v>1.6325096857781201E-2</v>
      </c>
    </row>
    <row r="258" spans="1:13" x14ac:dyDescent="0.2">
      <c r="A258" t="s">
        <v>503</v>
      </c>
      <c r="B258" t="s">
        <v>182</v>
      </c>
      <c r="C258" t="s">
        <v>500</v>
      </c>
      <c r="D258" t="s">
        <v>155</v>
      </c>
      <c r="E258">
        <v>4.5385046654151703E-2</v>
      </c>
      <c r="F258">
        <v>4.5393164724417102E-2</v>
      </c>
      <c r="G258">
        <v>6.2513239349190994E-2</v>
      </c>
      <c r="H258">
        <v>6.2512411846424906E-2</v>
      </c>
      <c r="I258">
        <v>6.2512421474567897E-2</v>
      </c>
      <c r="J258">
        <v>6.2512452306065502E-2</v>
      </c>
      <c r="K258">
        <v>6.2512380916104907E-2</v>
      </c>
      <c r="L258">
        <v>6.2512436309679606E-2</v>
      </c>
      <c r="M258">
        <v>6.2512445317614407E-2</v>
      </c>
    </row>
    <row r="259" spans="1:13" x14ac:dyDescent="0.2">
      <c r="A259" t="s">
        <v>503</v>
      </c>
      <c r="B259" t="s">
        <v>182</v>
      </c>
      <c r="C259" t="s">
        <v>500</v>
      </c>
      <c r="D259" t="s">
        <v>125</v>
      </c>
      <c r="E259">
        <v>2.1484176158971701E-2</v>
      </c>
      <c r="F259">
        <v>2.1509817808633099E-2</v>
      </c>
      <c r="G259">
        <v>2.2375249866597498E-2</v>
      </c>
      <c r="H259">
        <v>2.1964641718838499E-2</v>
      </c>
      <c r="I259">
        <v>2.1644351533378101E-2</v>
      </c>
      <c r="J259">
        <v>2.1560851881015301E-2</v>
      </c>
      <c r="K259">
        <v>2.1538927343366401E-2</v>
      </c>
      <c r="L259">
        <v>2.1534775827773901E-2</v>
      </c>
      <c r="M259">
        <v>2.15338577914834E-2</v>
      </c>
    </row>
    <row r="260" spans="1:13" x14ac:dyDescent="0.2">
      <c r="A260" t="s">
        <v>503</v>
      </c>
      <c r="B260" t="s">
        <v>182</v>
      </c>
      <c r="C260" t="s">
        <v>500</v>
      </c>
      <c r="D260" t="s">
        <v>137</v>
      </c>
      <c r="E260">
        <v>1.87362575135703</v>
      </c>
      <c r="F260">
        <v>1.0527291712428299</v>
      </c>
      <c r="G260">
        <v>0.690616026658735</v>
      </c>
      <c r="H260">
        <v>0.54311164322371697</v>
      </c>
      <c r="I260">
        <v>0.48887057427966502</v>
      </c>
      <c r="J260">
        <v>0.46684418132935501</v>
      </c>
      <c r="K260">
        <v>0.46389956383150999</v>
      </c>
      <c r="L260">
        <v>0.46392493269586499</v>
      </c>
      <c r="M260">
        <v>0.46396365606422402</v>
      </c>
    </row>
    <row r="261" spans="1:13" x14ac:dyDescent="0.2">
      <c r="A261" t="s">
        <v>503</v>
      </c>
      <c r="B261" t="s">
        <v>182</v>
      </c>
      <c r="C261" t="s">
        <v>500</v>
      </c>
      <c r="D261" t="s">
        <v>120</v>
      </c>
      <c r="E261">
        <v>1241.60800343195</v>
      </c>
      <c r="F261">
        <v>1243.08928499321</v>
      </c>
      <c r="G261">
        <v>1559.7377784626201</v>
      </c>
      <c r="H261">
        <v>1531.1148438857699</v>
      </c>
      <c r="I261">
        <v>1508.7877657548299</v>
      </c>
      <c r="J261">
        <v>1502.9671636844901</v>
      </c>
      <c r="K261">
        <v>1501.4395842993699</v>
      </c>
      <c r="L261">
        <v>1501.15044041939</v>
      </c>
      <c r="M261">
        <v>1501.0860905019599</v>
      </c>
    </row>
    <row r="262" spans="1:13" x14ac:dyDescent="0.2">
      <c r="A262" t="s">
        <v>503</v>
      </c>
      <c r="B262" t="s">
        <v>182</v>
      </c>
      <c r="C262" t="s">
        <v>500</v>
      </c>
      <c r="D262" t="s">
        <v>133</v>
      </c>
      <c r="E262">
        <v>0.205584171442245</v>
      </c>
      <c r="F262">
        <v>0.200703686535146</v>
      </c>
      <c r="G262">
        <v>0.298432150084874</v>
      </c>
      <c r="H262">
        <v>0.29892439751761801</v>
      </c>
      <c r="I262">
        <v>0.29942291421429901</v>
      </c>
      <c r="J262">
        <v>0.29972619462258399</v>
      </c>
      <c r="K262">
        <v>0.29988559432946199</v>
      </c>
      <c r="L262">
        <v>0.29993582308119998</v>
      </c>
      <c r="M262">
        <v>0.299955436334361</v>
      </c>
    </row>
    <row r="263" spans="1:13" x14ac:dyDescent="0.2">
      <c r="A263" t="s">
        <v>503</v>
      </c>
      <c r="B263" t="s">
        <v>182</v>
      </c>
      <c r="C263" t="s">
        <v>500</v>
      </c>
      <c r="D263" t="s">
        <v>141</v>
      </c>
      <c r="E263">
        <v>3.9334690996451198E-2</v>
      </c>
      <c r="F263">
        <v>3.4631534960308699E-2</v>
      </c>
      <c r="G263">
        <v>4.5448906099466301E-2</v>
      </c>
      <c r="H263">
        <v>4.5413592229635001E-2</v>
      </c>
      <c r="I263">
        <v>4.5762266359602698E-2</v>
      </c>
      <c r="J263">
        <v>4.6004282113656897E-2</v>
      </c>
      <c r="K263">
        <v>4.6139436899626303E-2</v>
      </c>
      <c r="L263">
        <v>4.6182051454262997E-2</v>
      </c>
      <c r="M263">
        <v>4.6199279391049702E-2</v>
      </c>
    </row>
    <row r="264" spans="1:13" x14ac:dyDescent="0.2">
      <c r="A264" t="s">
        <v>503</v>
      </c>
      <c r="B264" t="s">
        <v>184</v>
      </c>
      <c r="C264" t="s">
        <v>500</v>
      </c>
      <c r="D264" t="s">
        <v>145</v>
      </c>
      <c r="E264">
        <v>30.519264024443402</v>
      </c>
      <c r="F264">
        <v>17.7548638520019</v>
      </c>
      <c r="G264">
        <v>11.769795592664099</v>
      </c>
      <c r="H264">
        <v>10.027249561844799</v>
      </c>
      <c r="I264">
        <v>9.5164175607240296</v>
      </c>
      <c r="J264">
        <v>9.3871226242105301</v>
      </c>
      <c r="K264">
        <v>9.4290563886524001</v>
      </c>
      <c r="L264">
        <v>9.4677016030619807</v>
      </c>
      <c r="M264">
        <v>9.4911287930921109</v>
      </c>
    </row>
    <row r="265" spans="1:13" x14ac:dyDescent="0.2">
      <c r="A265" t="s">
        <v>503</v>
      </c>
      <c r="B265" t="s">
        <v>184</v>
      </c>
      <c r="C265" t="s">
        <v>500</v>
      </c>
      <c r="D265" t="s">
        <v>129</v>
      </c>
      <c r="E265">
        <v>3.9696963814368802</v>
      </c>
      <c r="F265">
        <v>2.1292045893653802</v>
      </c>
      <c r="G265">
        <v>1.1780347139767999</v>
      </c>
      <c r="H265">
        <v>0.85616837461707895</v>
      </c>
      <c r="I265">
        <v>0.71679914036882397</v>
      </c>
      <c r="J265">
        <v>0.653734873709785</v>
      </c>
      <c r="K265">
        <v>0.63529466077774999</v>
      </c>
      <c r="L265">
        <v>0.63126465139316401</v>
      </c>
      <c r="M265">
        <v>0.63008499106767202</v>
      </c>
    </row>
    <row r="266" spans="1:13" x14ac:dyDescent="0.2">
      <c r="A266" t="s">
        <v>503</v>
      </c>
      <c r="B266" t="s">
        <v>184</v>
      </c>
      <c r="C266" t="s">
        <v>500</v>
      </c>
      <c r="D266" t="s">
        <v>149</v>
      </c>
      <c r="E266">
        <v>3.8110257804810699E-2</v>
      </c>
      <c r="F266">
        <v>2.0417199912842899E-2</v>
      </c>
      <c r="G266">
        <v>1.30642962548774E-2</v>
      </c>
      <c r="H266">
        <v>1.11738363859457E-2</v>
      </c>
      <c r="I266">
        <v>1.0636123173322E-2</v>
      </c>
      <c r="J266">
        <v>1.0535248987316E-2</v>
      </c>
      <c r="K266">
        <v>1.0571182579202899E-2</v>
      </c>
      <c r="L266">
        <v>1.05827805921651E-2</v>
      </c>
      <c r="M266">
        <v>1.05816969285468E-2</v>
      </c>
    </row>
    <row r="267" spans="1:13" x14ac:dyDescent="0.2">
      <c r="A267" t="s">
        <v>503</v>
      </c>
      <c r="B267" t="s">
        <v>184</v>
      </c>
      <c r="C267" t="s">
        <v>500</v>
      </c>
      <c r="D267" t="s">
        <v>147</v>
      </c>
      <c r="E267">
        <v>4.8977354146498502E-2</v>
      </c>
      <c r="F267">
        <v>2.8470713504453099E-2</v>
      </c>
      <c r="G267">
        <v>2.1189978152056602E-2</v>
      </c>
      <c r="H267">
        <v>1.46389058287662E-2</v>
      </c>
      <c r="I267">
        <v>1.28792587479717E-2</v>
      </c>
      <c r="J267">
        <v>1.23921680979683E-2</v>
      </c>
      <c r="K267">
        <v>1.23336041545112E-2</v>
      </c>
      <c r="L267">
        <v>1.22985211601931E-2</v>
      </c>
      <c r="M267">
        <v>1.2317402931661E-2</v>
      </c>
    </row>
    <row r="268" spans="1:13" x14ac:dyDescent="0.2">
      <c r="A268" t="s">
        <v>503</v>
      </c>
      <c r="B268" t="s">
        <v>184</v>
      </c>
      <c r="C268" t="s">
        <v>500</v>
      </c>
      <c r="D268" t="s">
        <v>155</v>
      </c>
      <c r="E268">
        <v>4.3399426569524099E-2</v>
      </c>
      <c r="F268">
        <v>4.3414607751202899E-2</v>
      </c>
      <c r="G268">
        <v>5.4993981735290499E-2</v>
      </c>
      <c r="H268">
        <v>5.4993786232210601E-2</v>
      </c>
      <c r="I268">
        <v>5.49943755829881E-2</v>
      </c>
      <c r="J268">
        <v>5.4994520767338101E-2</v>
      </c>
      <c r="K268">
        <v>5.4994541597587002E-2</v>
      </c>
      <c r="L268">
        <v>5.4994553673977098E-2</v>
      </c>
      <c r="M268">
        <v>5.4994550577738499E-2</v>
      </c>
    </row>
    <row r="269" spans="1:13" x14ac:dyDescent="0.2">
      <c r="A269" t="s">
        <v>503</v>
      </c>
      <c r="B269" t="s">
        <v>184</v>
      </c>
      <c r="C269" t="s">
        <v>500</v>
      </c>
      <c r="D269" t="s">
        <v>125</v>
      </c>
      <c r="E269">
        <v>1.94777471026268E-2</v>
      </c>
      <c r="F269">
        <v>1.95445323749391E-2</v>
      </c>
      <c r="G269">
        <v>1.9141058004132301E-2</v>
      </c>
      <c r="H269">
        <v>1.8784705993390102E-2</v>
      </c>
      <c r="I269">
        <v>1.85097249042331E-2</v>
      </c>
      <c r="J269">
        <v>1.8437510106673601E-2</v>
      </c>
      <c r="K269">
        <v>1.8418333813220399E-2</v>
      </c>
      <c r="L269">
        <v>1.8414616467845198E-2</v>
      </c>
      <c r="M269">
        <v>1.84137339980028E-2</v>
      </c>
    </row>
    <row r="270" spans="1:13" x14ac:dyDescent="0.2">
      <c r="A270" t="s">
        <v>503</v>
      </c>
      <c r="B270" t="s">
        <v>184</v>
      </c>
      <c r="C270" t="s">
        <v>500</v>
      </c>
      <c r="D270" t="s">
        <v>137</v>
      </c>
      <c r="E270">
        <v>1.4331518530549801</v>
      </c>
      <c r="F270">
        <v>0.82554141247932</v>
      </c>
      <c r="G270">
        <v>0.52934059761176699</v>
      </c>
      <c r="H270">
        <v>0.41820996508437402</v>
      </c>
      <c r="I270">
        <v>0.37730109294103098</v>
      </c>
      <c r="J270">
        <v>0.36080370260189998</v>
      </c>
      <c r="K270">
        <v>0.35854771789443002</v>
      </c>
      <c r="L270">
        <v>0.35854167304512202</v>
      </c>
      <c r="M270">
        <v>0.35855864650360297</v>
      </c>
    </row>
    <row r="271" spans="1:13" x14ac:dyDescent="0.2">
      <c r="A271" t="s">
        <v>503</v>
      </c>
      <c r="B271" t="s">
        <v>184</v>
      </c>
      <c r="C271" t="s">
        <v>500</v>
      </c>
      <c r="D271" t="s">
        <v>120</v>
      </c>
      <c r="E271">
        <v>1125.6531994791601</v>
      </c>
      <c r="F271">
        <v>1129.51230354672</v>
      </c>
      <c r="G271">
        <v>1334.28865010909</v>
      </c>
      <c r="H271">
        <v>1309.4477161980601</v>
      </c>
      <c r="I271">
        <v>1290.2789800169201</v>
      </c>
      <c r="J271">
        <v>1285.24459420581</v>
      </c>
      <c r="K271">
        <v>1283.9086141387199</v>
      </c>
      <c r="L271">
        <v>1283.64917953798</v>
      </c>
      <c r="M271">
        <v>1283.5882413572699</v>
      </c>
    </row>
    <row r="272" spans="1:13" x14ac:dyDescent="0.2">
      <c r="A272" t="s">
        <v>503</v>
      </c>
      <c r="B272" t="s">
        <v>184</v>
      </c>
      <c r="C272" t="s">
        <v>500</v>
      </c>
      <c r="D272" t="s">
        <v>133</v>
      </c>
      <c r="E272">
        <v>0.16277138632680399</v>
      </c>
      <c r="F272">
        <v>0.15749210557477999</v>
      </c>
      <c r="G272">
        <v>0.22213105998277299</v>
      </c>
      <c r="H272">
        <v>0.22256905483131201</v>
      </c>
      <c r="I272">
        <v>0.223017594102533</v>
      </c>
      <c r="J272">
        <v>0.22328437261219899</v>
      </c>
      <c r="K272">
        <v>0.22342028408578701</v>
      </c>
      <c r="L272">
        <v>0.22346164064811899</v>
      </c>
      <c r="M272">
        <v>0.22347689751407299</v>
      </c>
    </row>
    <row r="273" spans="1:13" x14ac:dyDescent="0.2">
      <c r="A273" t="s">
        <v>503</v>
      </c>
      <c r="B273" t="s">
        <v>184</v>
      </c>
      <c r="C273" t="s">
        <v>500</v>
      </c>
      <c r="D273" t="s">
        <v>141</v>
      </c>
      <c r="E273">
        <v>3.3085277901506199E-2</v>
      </c>
      <c r="F273">
        <v>2.8088278695018499E-2</v>
      </c>
      <c r="G273">
        <v>3.5249470703337199E-2</v>
      </c>
      <c r="H273">
        <v>3.5278230321982601E-2</v>
      </c>
      <c r="I273">
        <v>3.5607078221125799E-2</v>
      </c>
      <c r="J273">
        <v>3.5823183054303799E-2</v>
      </c>
      <c r="K273">
        <v>3.5938864982074499E-2</v>
      </c>
      <c r="L273">
        <v>3.5974176634088799E-2</v>
      </c>
      <c r="M273">
        <v>3.59876115686096E-2</v>
      </c>
    </row>
    <row r="274" spans="1:13" x14ac:dyDescent="0.2">
      <c r="A274" t="s">
        <v>503</v>
      </c>
      <c r="B274" t="s">
        <v>186</v>
      </c>
      <c r="C274" t="s">
        <v>500</v>
      </c>
      <c r="D274" t="s">
        <v>145</v>
      </c>
      <c r="E274">
        <v>36.177292371673602</v>
      </c>
      <c r="F274">
        <v>37.664857731196101</v>
      </c>
      <c r="G274">
        <v>13.345526144115</v>
      </c>
      <c r="H274">
        <v>11.2726393432321</v>
      </c>
      <c r="I274">
        <v>10.6231110988618</v>
      </c>
      <c r="J274">
        <v>10.435587854097999</v>
      </c>
      <c r="K274">
        <v>10.465169362167</v>
      </c>
      <c r="L274">
        <v>10.5025719676633</v>
      </c>
      <c r="M274">
        <v>10.526416150576599</v>
      </c>
    </row>
    <row r="275" spans="1:13" x14ac:dyDescent="0.2">
      <c r="A275" t="s">
        <v>503</v>
      </c>
      <c r="B275" t="s">
        <v>186</v>
      </c>
      <c r="C275" t="s">
        <v>500</v>
      </c>
      <c r="D275" t="s">
        <v>129</v>
      </c>
      <c r="E275">
        <v>4.4339350215429896</v>
      </c>
      <c r="F275">
        <v>3.9615409236254</v>
      </c>
      <c r="G275">
        <v>1.33028401660566</v>
      </c>
      <c r="H275">
        <v>0.96801463367483198</v>
      </c>
      <c r="I275">
        <v>0.810835029277582</v>
      </c>
      <c r="J275">
        <v>0.73984590086297597</v>
      </c>
      <c r="K275">
        <v>0.71912537608469196</v>
      </c>
      <c r="L275">
        <v>0.71458926415217605</v>
      </c>
      <c r="M275">
        <v>0.71327232452186995</v>
      </c>
    </row>
    <row r="276" spans="1:13" x14ac:dyDescent="0.2">
      <c r="A276" t="s">
        <v>503</v>
      </c>
      <c r="B276" t="s">
        <v>186</v>
      </c>
      <c r="C276" t="s">
        <v>500</v>
      </c>
      <c r="D276" t="s">
        <v>149</v>
      </c>
      <c r="E276">
        <v>7.65679998253877E-2</v>
      </c>
      <c r="F276">
        <v>0.109010255412455</v>
      </c>
      <c r="G276">
        <v>1.54277976093114E-2</v>
      </c>
      <c r="H276">
        <v>1.2984971623169601E-2</v>
      </c>
      <c r="I276">
        <v>1.22605780123332E-2</v>
      </c>
      <c r="J276">
        <v>1.20992421043245E-2</v>
      </c>
      <c r="K276">
        <v>1.2123397445436401E-2</v>
      </c>
      <c r="L276">
        <v>1.2132958592882499E-2</v>
      </c>
      <c r="M276">
        <v>1.21315180972552E-2</v>
      </c>
    </row>
    <row r="277" spans="1:13" x14ac:dyDescent="0.2">
      <c r="A277" t="s">
        <v>503</v>
      </c>
      <c r="B277" t="s">
        <v>186</v>
      </c>
      <c r="C277" t="s">
        <v>500</v>
      </c>
      <c r="D277" t="s">
        <v>147</v>
      </c>
      <c r="E277">
        <v>7.2164995475767907E-2</v>
      </c>
      <c r="F277">
        <v>6.4879251441518196E-2</v>
      </c>
      <c r="G277">
        <v>2.6568003004939798E-2</v>
      </c>
      <c r="H277">
        <v>1.84437934507856E-2</v>
      </c>
      <c r="I277">
        <v>1.6327699656927399E-2</v>
      </c>
      <c r="J277">
        <v>1.5748807787192998E-2</v>
      </c>
      <c r="K277">
        <v>1.5674972697843501E-2</v>
      </c>
      <c r="L277">
        <v>1.56348406818691E-2</v>
      </c>
      <c r="M277">
        <v>1.5654725632317699E-2</v>
      </c>
    </row>
    <row r="278" spans="1:13" x14ac:dyDescent="0.2">
      <c r="A278" t="s">
        <v>503</v>
      </c>
      <c r="B278" t="s">
        <v>186</v>
      </c>
      <c r="C278" t="s">
        <v>500</v>
      </c>
      <c r="D278" t="s">
        <v>155</v>
      </c>
      <c r="E278">
        <v>5.7867400606941198E-2</v>
      </c>
      <c r="F278">
        <v>5.7868748340902797E-2</v>
      </c>
      <c r="G278">
        <v>6.6009929070185699E-2</v>
      </c>
      <c r="H278">
        <v>6.6010246689438001E-2</v>
      </c>
      <c r="I278">
        <v>6.6010539794431194E-2</v>
      </c>
      <c r="J278">
        <v>6.6010651142724794E-2</v>
      </c>
      <c r="K278">
        <v>6.60106383420173E-2</v>
      </c>
      <c r="L278">
        <v>6.6010618394000603E-2</v>
      </c>
      <c r="M278">
        <v>6.6010633444598496E-2</v>
      </c>
    </row>
    <row r="279" spans="1:13" x14ac:dyDescent="0.2">
      <c r="A279" t="s">
        <v>503</v>
      </c>
      <c r="B279" t="s">
        <v>186</v>
      </c>
      <c r="C279" t="s">
        <v>500</v>
      </c>
      <c r="D279" t="s">
        <v>125</v>
      </c>
      <c r="E279">
        <v>2.71879476544729E-2</v>
      </c>
      <c r="F279">
        <v>2.72581702920257E-2</v>
      </c>
      <c r="G279">
        <v>2.32491676049662E-2</v>
      </c>
      <c r="H279">
        <v>2.28294094185802E-2</v>
      </c>
      <c r="I279">
        <v>2.2496411359683499E-2</v>
      </c>
      <c r="J279">
        <v>2.24091575903414E-2</v>
      </c>
      <c r="K279">
        <v>2.2385789717233699E-2</v>
      </c>
      <c r="L279">
        <v>2.23812039581394E-2</v>
      </c>
      <c r="M279">
        <v>2.2380112251842499E-2</v>
      </c>
    </row>
    <row r="280" spans="1:13" x14ac:dyDescent="0.2">
      <c r="A280" t="s">
        <v>503</v>
      </c>
      <c r="B280" t="s">
        <v>186</v>
      </c>
      <c r="C280" t="s">
        <v>500</v>
      </c>
      <c r="D280" t="s">
        <v>137</v>
      </c>
      <c r="E280">
        <v>2.2547746276717899</v>
      </c>
      <c r="F280">
        <v>2.8652548693587798</v>
      </c>
      <c r="G280">
        <v>0.66453606773915896</v>
      </c>
      <c r="H280">
        <v>0.52696134881096601</v>
      </c>
      <c r="I280">
        <v>0.475085091842188</v>
      </c>
      <c r="J280">
        <v>0.45399199428257297</v>
      </c>
      <c r="K280">
        <v>0.45084584233142999</v>
      </c>
      <c r="L280">
        <v>0.450741469309828</v>
      </c>
      <c r="M280">
        <v>0.45074449890965201</v>
      </c>
    </row>
    <row r="281" spans="1:13" x14ac:dyDescent="0.2">
      <c r="A281" t="s">
        <v>503</v>
      </c>
      <c r="B281" t="s">
        <v>186</v>
      </c>
      <c r="C281" t="s">
        <v>500</v>
      </c>
      <c r="D281" t="s">
        <v>120</v>
      </c>
      <c r="E281">
        <v>1571.23838726393</v>
      </c>
      <c r="F281">
        <v>1575.29652368133</v>
      </c>
      <c r="G281">
        <v>1620.65726903051</v>
      </c>
      <c r="H281">
        <v>1591.3958126743701</v>
      </c>
      <c r="I281">
        <v>1568.18391586794</v>
      </c>
      <c r="J281">
        <v>1562.10113018675</v>
      </c>
      <c r="K281">
        <v>1560.4729957351501</v>
      </c>
      <c r="L281">
        <v>1560.1538107035101</v>
      </c>
      <c r="M281">
        <v>1560.07677043992</v>
      </c>
    </row>
    <row r="282" spans="1:13" x14ac:dyDescent="0.2">
      <c r="A282" t="s">
        <v>503</v>
      </c>
      <c r="B282" t="s">
        <v>186</v>
      </c>
      <c r="C282" t="s">
        <v>500</v>
      </c>
      <c r="D282" t="s">
        <v>133</v>
      </c>
      <c r="E282">
        <v>0.29570181024604603</v>
      </c>
      <c r="F282">
        <v>0.31347002724777001</v>
      </c>
      <c r="G282">
        <v>0.29348248729715698</v>
      </c>
      <c r="H282">
        <v>0.29400895980241698</v>
      </c>
      <c r="I282">
        <v>0.29451767447034</v>
      </c>
      <c r="J282">
        <v>0.29481614241324999</v>
      </c>
      <c r="K282">
        <v>0.29496671929746798</v>
      </c>
      <c r="L282">
        <v>0.29501247169592298</v>
      </c>
      <c r="M282">
        <v>0.29502934324841701</v>
      </c>
    </row>
    <row r="283" spans="1:13" x14ac:dyDescent="0.2">
      <c r="A283" t="s">
        <v>503</v>
      </c>
      <c r="B283" t="s">
        <v>186</v>
      </c>
      <c r="C283" t="s">
        <v>500</v>
      </c>
      <c r="D283" t="s">
        <v>141</v>
      </c>
      <c r="E283">
        <v>5.6205629802393201E-2</v>
      </c>
      <c r="F283">
        <v>7.2194764578646903E-2</v>
      </c>
      <c r="G283">
        <v>4.48839101088091E-2</v>
      </c>
      <c r="H283">
        <v>4.4911356100480797E-2</v>
      </c>
      <c r="I283">
        <v>4.52709454211217E-2</v>
      </c>
      <c r="J283">
        <v>4.5510230108050102E-2</v>
      </c>
      <c r="K283">
        <v>4.5637724556064498E-2</v>
      </c>
      <c r="L283">
        <v>4.56765897746194E-2</v>
      </c>
      <c r="M283">
        <v>4.5691464860186798E-2</v>
      </c>
    </row>
    <row r="284" spans="1:13" x14ac:dyDescent="0.2">
      <c r="A284" t="s">
        <v>503</v>
      </c>
      <c r="B284" t="s">
        <v>188</v>
      </c>
      <c r="C284" t="s">
        <v>500</v>
      </c>
      <c r="D284" t="s">
        <v>145</v>
      </c>
      <c r="E284">
        <v>37.072387310679602</v>
      </c>
      <c r="F284">
        <v>25.792665103532201</v>
      </c>
      <c r="G284">
        <v>9.5462177561034594</v>
      </c>
      <c r="H284">
        <v>8.0392699220412105</v>
      </c>
      <c r="I284">
        <v>7.5629439516014001</v>
      </c>
      <c r="J284">
        <v>7.42380058325005</v>
      </c>
      <c r="K284">
        <v>7.4426275255201499</v>
      </c>
      <c r="L284">
        <v>7.4685453226779002</v>
      </c>
      <c r="M284">
        <v>7.4852296254001702</v>
      </c>
    </row>
    <row r="285" spans="1:13" x14ac:dyDescent="0.2">
      <c r="A285" t="s">
        <v>503</v>
      </c>
      <c r="B285" t="s">
        <v>188</v>
      </c>
      <c r="C285" t="s">
        <v>500</v>
      </c>
      <c r="D285" t="s">
        <v>129</v>
      </c>
      <c r="E285">
        <v>4.7005442822918502</v>
      </c>
      <c r="F285">
        <v>3.08259000861326</v>
      </c>
      <c r="G285">
        <v>1.0390638212911101</v>
      </c>
      <c r="H285">
        <v>0.75779261060598802</v>
      </c>
      <c r="I285">
        <v>0.63538679073275195</v>
      </c>
      <c r="J285">
        <v>0.580083255346031</v>
      </c>
      <c r="K285">
        <v>0.56397155784451702</v>
      </c>
      <c r="L285">
        <v>0.56043589289625795</v>
      </c>
      <c r="M285">
        <v>0.55941898537579804</v>
      </c>
    </row>
    <row r="286" spans="1:13" x14ac:dyDescent="0.2">
      <c r="A286" t="s">
        <v>503</v>
      </c>
      <c r="B286" t="s">
        <v>188</v>
      </c>
      <c r="C286" t="s">
        <v>500</v>
      </c>
      <c r="D286" t="s">
        <v>149</v>
      </c>
      <c r="E286">
        <v>4.44098100343151E-2</v>
      </c>
      <c r="F286">
        <v>2.9304673870380101E-2</v>
      </c>
      <c r="G286">
        <v>9.6598752165466002E-3</v>
      </c>
      <c r="H286">
        <v>8.2574531868545402E-3</v>
      </c>
      <c r="I286">
        <v>7.8634646205182502E-3</v>
      </c>
      <c r="J286">
        <v>7.7933832365119603E-3</v>
      </c>
      <c r="K286">
        <v>7.8217032086275798E-3</v>
      </c>
      <c r="L286">
        <v>7.8307139594945199E-3</v>
      </c>
      <c r="M286">
        <v>7.8300628211082704E-3</v>
      </c>
    </row>
    <row r="287" spans="1:13" x14ac:dyDescent="0.2">
      <c r="A287" t="s">
        <v>503</v>
      </c>
      <c r="B287" t="s">
        <v>188</v>
      </c>
      <c r="C287" t="s">
        <v>500</v>
      </c>
      <c r="D287" t="s">
        <v>147</v>
      </c>
      <c r="E287">
        <v>4.9787516424166102E-2</v>
      </c>
      <c r="F287">
        <v>4.0085775499257799E-2</v>
      </c>
      <c r="G287">
        <v>1.5231093201386501E-2</v>
      </c>
      <c r="H287">
        <v>1.05082390102391E-2</v>
      </c>
      <c r="I287">
        <v>9.2332663114354004E-3</v>
      </c>
      <c r="J287">
        <v>8.8795270887270794E-3</v>
      </c>
      <c r="K287">
        <v>8.8375979409894192E-3</v>
      </c>
      <c r="L287">
        <v>8.8119276303445203E-3</v>
      </c>
      <c r="M287">
        <v>8.8259459804548995E-3</v>
      </c>
    </row>
    <row r="288" spans="1:13" x14ac:dyDescent="0.2">
      <c r="A288" t="s">
        <v>503</v>
      </c>
      <c r="B288" t="s">
        <v>188</v>
      </c>
      <c r="C288" t="s">
        <v>500</v>
      </c>
      <c r="D288" t="s">
        <v>155</v>
      </c>
      <c r="E288">
        <v>4.4354850737075603E-2</v>
      </c>
      <c r="F288">
        <v>4.4606421809548602E-2</v>
      </c>
      <c r="G288">
        <v>4.5833727376490101E-2</v>
      </c>
      <c r="H288">
        <v>4.5835915019940797E-2</v>
      </c>
      <c r="I288">
        <v>4.5836924876248103E-2</v>
      </c>
      <c r="J288">
        <v>4.5837206762828597E-2</v>
      </c>
      <c r="K288">
        <v>4.5837285402718399E-2</v>
      </c>
      <c r="L288">
        <v>4.5837327743812703E-2</v>
      </c>
      <c r="M288">
        <v>4.5837305828443899E-2</v>
      </c>
    </row>
    <row r="289" spans="1:13" x14ac:dyDescent="0.2">
      <c r="A289" t="s">
        <v>503</v>
      </c>
      <c r="B289" t="s">
        <v>188</v>
      </c>
      <c r="C289" t="s">
        <v>500</v>
      </c>
      <c r="D289" t="s">
        <v>125</v>
      </c>
      <c r="E289">
        <v>2.4310232310109099E-2</v>
      </c>
      <c r="F289">
        <v>2.26976790505827E-2</v>
      </c>
      <c r="G289">
        <v>1.6022950426801401E-2</v>
      </c>
      <c r="H289">
        <v>1.5729470038709299E-2</v>
      </c>
      <c r="I289">
        <v>1.5498287302921E-2</v>
      </c>
      <c r="J289">
        <v>1.5437619705180801E-2</v>
      </c>
      <c r="K289">
        <v>1.5421408919953399E-2</v>
      </c>
      <c r="L289">
        <v>1.5418227354463399E-2</v>
      </c>
      <c r="M289">
        <v>1.54174639116704E-2</v>
      </c>
    </row>
    <row r="290" spans="1:13" x14ac:dyDescent="0.2">
      <c r="A290" t="s">
        <v>503</v>
      </c>
      <c r="B290" t="s">
        <v>188</v>
      </c>
      <c r="C290" t="s">
        <v>500</v>
      </c>
      <c r="D290" t="s">
        <v>137</v>
      </c>
      <c r="E290">
        <v>1.81554554352594</v>
      </c>
      <c r="F290">
        <v>1.3100717618514499</v>
      </c>
      <c r="G290">
        <v>0.39370379160048102</v>
      </c>
      <c r="H290">
        <v>0.31228113561307103</v>
      </c>
      <c r="I290">
        <v>0.28237497464649203</v>
      </c>
      <c r="J290">
        <v>0.27043603612734302</v>
      </c>
      <c r="K290">
        <v>0.26884074434480698</v>
      </c>
      <c r="L290">
        <v>0.268857395941977</v>
      </c>
      <c r="M290">
        <v>0.26888130166281199</v>
      </c>
    </row>
    <row r="291" spans="1:13" x14ac:dyDescent="0.2">
      <c r="A291" t="s">
        <v>503</v>
      </c>
      <c r="B291" t="s">
        <v>188</v>
      </c>
      <c r="C291" t="s">
        <v>500</v>
      </c>
      <c r="D291" t="s">
        <v>120</v>
      </c>
      <c r="E291">
        <v>1295.14987573646</v>
      </c>
      <c r="F291">
        <v>1270.8053069328</v>
      </c>
      <c r="G291">
        <v>1116.9310844665499</v>
      </c>
      <c r="H291">
        <v>1096.47271752758</v>
      </c>
      <c r="I291">
        <v>1080.35797958793</v>
      </c>
      <c r="J291">
        <v>1076.1283631843501</v>
      </c>
      <c r="K291">
        <v>1074.99841740493</v>
      </c>
      <c r="L291">
        <v>1074.7768639159699</v>
      </c>
      <c r="M291">
        <v>1074.7231317103101</v>
      </c>
    </row>
    <row r="292" spans="1:13" x14ac:dyDescent="0.2">
      <c r="A292" t="s">
        <v>503</v>
      </c>
      <c r="B292" t="s">
        <v>188</v>
      </c>
      <c r="C292" t="s">
        <v>500</v>
      </c>
      <c r="D292" t="s">
        <v>133</v>
      </c>
      <c r="E292">
        <v>0.19559792469321799</v>
      </c>
      <c r="F292">
        <v>0.195854498358668</v>
      </c>
      <c r="G292">
        <v>0.158834423055883</v>
      </c>
      <c r="H292">
        <v>0.15912944493902401</v>
      </c>
      <c r="I292">
        <v>0.159508665245508</v>
      </c>
      <c r="J292">
        <v>0.15973496976197599</v>
      </c>
      <c r="K292">
        <v>0.15985029461774</v>
      </c>
      <c r="L292">
        <v>0.159884874617258</v>
      </c>
      <c r="M292">
        <v>0.15989716821268901</v>
      </c>
    </row>
    <row r="293" spans="1:13" x14ac:dyDescent="0.2">
      <c r="A293" t="s">
        <v>503</v>
      </c>
      <c r="B293" t="s">
        <v>188</v>
      </c>
      <c r="C293" t="s">
        <v>500</v>
      </c>
      <c r="D293" t="s">
        <v>141</v>
      </c>
      <c r="E293">
        <v>6.1407596132052197E-2</v>
      </c>
      <c r="F293">
        <v>5.5619399593761901E-2</v>
      </c>
      <c r="G293">
        <v>2.6501774627894398E-2</v>
      </c>
      <c r="H293">
        <v>2.6535568582948001E-2</v>
      </c>
      <c r="I293">
        <v>2.68240676450552E-2</v>
      </c>
      <c r="J293">
        <v>2.7011500327140701E-2</v>
      </c>
      <c r="K293">
        <v>2.71105372443806E-2</v>
      </c>
      <c r="L293">
        <v>2.7140215075382799E-2</v>
      </c>
      <c r="M293">
        <v>2.7151187263261201E-2</v>
      </c>
    </row>
    <row r="294" spans="1:13" x14ac:dyDescent="0.2">
      <c r="A294" t="s">
        <v>503</v>
      </c>
      <c r="B294" t="s">
        <v>190</v>
      </c>
      <c r="C294" t="s">
        <v>500</v>
      </c>
      <c r="D294" t="s">
        <v>145</v>
      </c>
      <c r="E294">
        <v>39.441467642192301</v>
      </c>
      <c r="F294">
        <v>29.135339922672099</v>
      </c>
      <c r="G294">
        <v>19.258881049018001</v>
      </c>
      <c r="H294">
        <v>17.4734501170478</v>
      </c>
      <c r="I294">
        <v>17.337238430015301</v>
      </c>
      <c r="J294">
        <v>17.524592153612701</v>
      </c>
      <c r="K294">
        <v>17.768817804957902</v>
      </c>
      <c r="L294">
        <v>17.8951685945812</v>
      </c>
      <c r="M294">
        <v>17.960459006708199</v>
      </c>
    </row>
    <row r="295" spans="1:13" x14ac:dyDescent="0.2">
      <c r="A295" t="s">
        <v>503</v>
      </c>
      <c r="B295" t="s">
        <v>190</v>
      </c>
      <c r="C295" t="s">
        <v>500</v>
      </c>
      <c r="D295" t="s">
        <v>129</v>
      </c>
      <c r="E295">
        <v>4.3448715610080901</v>
      </c>
      <c r="F295">
        <v>2.68000771941229</v>
      </c>
      <c r="G295">
        <v>1.2701406141530101</v>
      </c>
      <c r="H295">
        <v>0.89637025450783203</v>
      </c>
      <c r="I295">
        <v>0.74230586472414295</v>
      </c>
      <c r="J295">
        <v>0.67198096175904998</v>
      </c>
      <c r="K295">
        <v>0.65082523068374698</v>
      </c>
      <c r="L295">
        <v>0.64636795436825401</v>
      </c>
      <c r="M295">
        <v>0.64488416341078902</v>
      </c>
    </row>
    <row r="296" spans="1:13" x14ac:dyDescent="0.2">
      <c r="A296" t="s">
        <v>503</v>
      </c>
      <c r="B296" t="s">
        <v>190</v>
      </c>
      <c r="C296" t="s">
        <v>500</v>
      </c>
      <c r="D296" t="s">
        <v>149</v>
      </c>
      <c r="E296">
        <v>6.6239633822982896E-2</v>
      </c>
      <c r="F296">
        <v>6.0237802679566702E-2</v>
      </c>
      <c r="G296">
        <v>2.4353204424718701E-2</v>
      </c>
      <c r="H296">
        <v>2.2100119730100499E-2</v>
      </c>
      <c r="I296">
        <v>2.1582561219103999E-2</v>
      </c>
      <c r="J296">
        <v>2.1614176302122898E-2</v>
      </c>
      <c r="K296">
        <v>2.1778598474770299E-2</v>
      </c>
      <c r="L296">
        <v>2.1823465682415499E-2</v>
      </c>
      <c r="M296">
        <v>2.1824961400636101E-2</v>
      </c>
    </row>
    <row r="297" spans="1:13" x14ac:dyDescent="0.2">
      <c r="A297" t="s">
        <v>503</v>
      </c>
      <c r="B297" t="s">
        <v>190</v>
      </c>
      <c r="C297" t="s">
        <v>500</v>
      </c>
      <c r="D297" t="s">
        <v>147</v>
      </c>
      <c r="E297">
        <v>7.6133150476987599E-2</v>
      </c>
      <c r="F297">
        <v>5.1439402812130802E-2</v>
      </c>
      <c r="G297">
        <v>3.2083061737757199E-2</v>
      </c>
      <c r="H297">
        <v>2.1832894937405999E-2</v>
      </c>
      <c r="I297">
        <v>1.87474521093988E-2</v>
      </c>
      <c r="J297">
        <v>1.78599084478736E-2</v>
      </c>
      <c r="K297">
        <v>1.7770003763788299E-2</v>
      </c>
      <c r="L297">
        <v>1.7699213019639601E-2</v>
      </c>
      <c r="M297">
        <v>1.7745127181989399E-2</v>
      </c>
    </row>
    <row r="298" spans="1:13" x14ac:dyDescent="0.2">
      <c r="A298" t="s">
        <v>503</v>
      </c>
      <c r="B298" t="s">
        <v>190</v>
      </c>
      <c r="C298" t="s">
        <v>500</v>
      </c>
      <c r="D298" t="s">
        <v>155</v>
      </c>
      <c r="E298">
        <v>4.4380144922912999E-2</v>
      </c>
      <c r="F298">
        <v>4.4596792152345799E-2</v>
      </c>
      <c r="G298">
        <v>5.2215385084052102E-2</v>
      </c>
      <c r="H298">
        <v>5.2195799002688101E-2</v>
      </c>
      <c r="I298">
        <v>5.2195910515594697E-2</v>
      </c>
      <c r="J298">
        <v>5.2195169525564397E-2</v>
      </c>
      <c r="K298">
        <v>5.21950010452591E-2</v>
      </c>
      <c r="L298">
        <v>5.2194984268704697E-2</v>
      </c>
      <c r="M298">
        <v>5.2195021896544298E-2</v>
      </c>
    </row>
    <row r="299" spans="1:13" x14ac:dyDescent="0.2">
      <c r="A299" t="s">
        <v>503</v>
      </c>
      <c r="B299" t="s">
        <v>190</v>
      </c>
      <c r="C299" t="s">
        <v>500</v>
      </c>
      <c r="D299" t="s">
        <v>125</v>
      </c>
      <c r="E299">
        <v>2.08381055217347E-2</v>
      </c>
      <c r="F299">
        <v>2.2164087103621902E-2</v>
      </c>
      <c r="G299">
        <v>1.8780122769194701E-2</v>
      </c>
      <c r="H299">
        <v>1.8327610114874E-2</v>
      </c>
      <c r="I299">
        <v>1.8061800865337901E-2</v>
      </c>
      <c r="J299">
        <v>1.79905289884639E-2</v>
      </c>
      <c r="K299">
        <v>1.7973564507445701E-2</v>
      </c>
      <c r="L299">
        <v>1.7970784643505301E-2</v>
      </c>
      <c r="M299">
        <v>1.7970446963254401E-2</v>
      </c>
    </row>
    <row r="300" spans="1:13" x14ac:dyDescent="0.2">
      <c r="A300" t="s">
        <v>503</v>
      </c>
      <c r="B300" t="s">
        <v>190</v>
      </c>
      <c r="C300" t="s">
        <v>500</v>
      </c>
      <c r="D300" t="s">
        <v>137</v>
      </c>
      <c r="E300">
        <v>2.13040906292176</v>
      </c>
      <c r="F300">
        <v>1.66747382008761</v>
      </c>
      <c r="G300">
        <v>0.70330303970302899</v>
      </c>
      <c r="H300">
        <v>0.53546087421873401</v>
      </c>
      <c r="I300">
        <v>0.48025579187888601</v>
      </c>
      <c r="J300">
        <v>0.45829574772287202</v>
      </c>
      <c r="K300">
        <v>0.45669528314480901</v>
      </c>
      <c r="L300">
        <v>0.45728549159308601</v>
      </c>
      <c r="M300">
        <v>0.457470611587183</v>
      </c>
    </row>
    <row r="301" spans="1:13" x14ac:dyDescent="0.2">
      <c r="A301" t="s">
        <v>503</v>
      </c>
      <c r="B301" t="s">
        <v>190</v>
      </c>
      <c r="C301" t="s">
        <v>500</v>
      </c>
      <c r="D301" t="s">
        <v>120</v>
      </c>
      <c r="E301">
        <v>1204.2704996203399</v>
      </c>
      <c r="F301">
        <v>1280.9014839137801</v>
      </c>
      <c r="G301">
        <v>1309.1277572440899</v>
      </c>
      <c r="H301">
        <v>1277.5848439676099</v>
      </c>
      <c r="I301">
        <v>1259.05503169493</v>
      </c>
      <c r="J301">
        <v>1254.08723086747</v>
      </c>
      <c r="K301">
        <v>1252.90461894546</v>
      </c>
      <c r="L301">
        <v>1252.7104430173399</v>
      </c>
      <c r="M301">
        <v>1252.6870397442001</v>
      </c>
    </row>
    <row r="302" spans="1:13" x14ac:dyDescent="0.2">
      <c r="A302" t="s">
        <v>503</v>
      </c>
      <c r="B302" t="s">
        <v>190</v>
      </c>
      <c r="C302" t="s">
        <v>500</v>
      </c>
      <c r="D302" t="s">
        <v>133</v>
      </c>
      <c r="E302">
        <v>0.19574828311834699</v>
      </c>
      <c r="F302">
        <v>0.191259101148397</v>
      </c>
      <c r="G302">
        <v>0.21457849181088401</v>
      </c>
      <c r="H302">
        <v>0.215053494777702</v>
      </c>
      <c r="I302">
        <v>0.21551298465650401</v>
      </c>
      <c r="J302">
        <v>0.215835472913527</v>
      </c>
      <c r="K302">
        <v>0.21602305396888299</v>
      </c>
      <c r="L302">
        <v>0.21608589786817001</v>
      </c>
      <c r="M302">
        <v>0.216113244270948</v>
      </c>
    </row>
    <row r="303" spans="1:13" x14ac:dyDescent="0.2">
      <c r="A303" t="s">
        <v>503</v>
      </c>
      <c r="B303" t="s">
        <v>190</v>
      </c>
      <c r="C303" t="s">
        <v>500</v>
      </c>
      <c r="D303" t="s">
        <v>141</v>
      </c>
      <c r="E303">
        <v>4.1988899098410401E-2</v>
      </c>
      <c r="F303">
        <v>4.04221270662211E-2</v>
      </c>
      <c r="G303">
        <v>3.5246180151429399E-2</v>
      </c>
      <c r="H303">
        <v>3.4950821311789601E-2</v>
      </c>
      <c r="I303">
        <v>3.5285067945859602E-2</v>
      </c>
      <c r="J303">
        <v>3.55346528981796E-2</v>
      </c>
      <c r="K303">
        <v>3.5692682330647998E-2</v>
      </c>
      <c r="L303">
        <v>3.57464219039118E-2</v>
      </c>
      <c r="M303">
        <v>3.5770424866643502E-2</v>
      </c>
    </row>
    <row r="304" spans="1:13" x14ac:dyDescent="0.2">
      <c r="A304" t="s">
        <v>505</v>
      </c>
      <c r="B304" t="s">
        <v>182</v>
      </c>
      <c r="C304" t="s">
        <v>499</v>
      </c>
      <c r="D304" t="s">
        <v>145</v>
      </c>
      <c r="E304">
        <v>5.0328469585193201</v>
      </c>
      <c r="F304">
        <v>2.6827852293663099</v>
      </c>
      <c r="G304">
        <v>1.7356120209921699</v>
      </c>
      <c r="H304">
        <v>1.1963534366450099</v>
      </c>
      <c r="I304">
        <v>1.0323047664296401</v>
      </c>
      <c r="J304">
        <v>0.995595558537549</v>
      </c>
      <c r="K304">
        <v>0.98556754943244496</v>
      </c>
      <c r="L304">
        <v>0.98409018482975696</v>
      </c>
      <c r="M304">
        <v>0.98392055504691101</v>
      </c>
    </row>
    <row r="305" spans="1:13" x14ac:dyDescent="0.2">
      <c r="A305" t="s">
        <v>505</v>
      </c>
      <c r="B305" t="s">
        <v>182</v>
      </c>
      <c r="C305" t="s">
        <v>499</v>
      </c>
      <c r="D305" t="s">
        <v>129</v>
      </c>
      <c r="E305">
        <v>11.638950039279999</v>
      </c>
      <c r="F305">
        <v>6.7839244745049401</v>
      </c>
      <c r="G305">
        <v>4.3925354378646304</v>
      </c>
      <c r="H305">
        <v>2.6191347420861701</v>
      </c>
      <c r="I305">
        <v>2.06534470659102</v>
      </c>
      <c r="J305">
        <v>1.9514955612034099</v>
      </c>
      <c r="K305">
        <v>1.9247847205619899</v>
      </c>
      <c r="L305">
        <v>1.9239170224512001</v>
      </c>
      <c r="M305">
        <v>1.92345457739672</v>
      </c>
    </row>
    <row r="306" spans="1:13" x14ac:dyDescent="0.2">
      <c r="A306" t="s">
        <v>505</v>
      </c>
      <c r="B306" t="s">
        <v>182</v>
      </c>
      <c r="C306" t="s">
        <v>499</v>
      </c>
      <c r="D306" t="s">
        <v>149</v>
      </c>
      <c r="E306">
        <v>2.0740750969478802E-2</v>
      </c>
      <c r="F306">
        <v>7.9476630685157604E-2</v>
      </c>
      <c r="G306">
        <v>0.132995121584536</v>
      </c>
      <c r="H306">
        <v>0.13480815363144</v>
      </c>
      <c r="I306">
        <v>0.13505884947628399</v>
      </c>
      <c r="J306">
        <v>0.13476923534058399</v>
      </c>
      <c r="K306">
        <v>0.13483063017123001</v>
      </c>
      <c r="L306">
        <v>0.13476298539555601</v>
      </c>
      <c r="M306">
        <v>0.134758213223449</v>
      </c>
    </row>
    <row r="307" spans="1:13" x14ac:dyDescent="0.2">
      <c r="A307" t="s">
        <v>505</v>
      </c>
      <c r="B307" t="s">
        <v>182</v>
      </c>
      <c r="C307" t="s">
        <v>499</v>
      </c>
      <c r="D307" t="s">
        <v>147</v>
      </c>
      <c r="E307">
        <v>4.5435437093963096E-3</v>
      </c>
      <c r="F307">
        <v>4.4398754909713801E-3</v>
      </c>
      <c r="G307">
        <v>6.8039701300534198E-3</v>
      </c>
      <c r="H307">
        <v>6.7823537903093098E-3</v>
      </c>
      <c r="I307">
        <v>6.7664266882471596E-3</v>
      </c>
      <c r="J307">
        <v>6.7587032892351797E-3</v>
      </c>
      <c r="K307">
        <v>6.7553372449461798E-3</v>
      </c>
      <c r="L307">
        <v>6.75420201921096E-3</v>
      </c>
      <c r="M307">
        <v>6.7544025642624697E-3</v>
      </c>
    </row>
    <row r="308" spans="1:13" x14ac:dyDescent="0.2">
      <c r="A308" t="s">
        <v>505</v>
      </c>
      <c r="B308" t="s">
        <v>182</v>
      </c>
      <c r="C308" t="s">
        <v>499</v>
      </c>
      <c r="D308" t="s">
        <v>155</v>
      </c>
      <c r="E308">
        <v>2.7376905675536502E-2</v>
      </c>
      <c r="F308">
        <v>2.7641391273496001E-2</v>
      </c>
      <c r="G308">
        <v>3.7783493564809902E-2</v>
      </c>
      <c r="H308">
        <v>3.7791768560113202E-2</v>
      </c>
      <c r="I308">
        <v>3.7796042393498999E-2</v>
      </c>
      <c r="J308">
        <v>3.7797273059285798E-2</v>
      </c>
      <c r="K308">
        <v>3.7797290465285301E-2</v>
      </c>
      <c r="L308">
        <v>3.77969592669226E-2</v>
      </c>
      <c r="M308">
        <v>3.7796456239744897E-2</v>
      </c>
    </row>
    <row r="309" spans="1:13" x14ac:dyDescent="0.2">
      <c r="A309" t="s">
        <v>505</v>
      </c>
      <c r="B309" t="s">
        <v>182</v>
      </c>
      <c r="C309" t="s">
        <v>499</v>
      </c>
      <c r="D309" t="s">
        <v>125</v>
      </c>
      <c r="E309">
        <v>3.6844240816642601E-2</v>
      </c>
      <c r="F309">
        <v>3.9353507212849297E-2</v>
      </c>
      <c r="G309">
        <v>1.7702463178777099E-2</v>
      </c>
      <c r="H309">
        <v>1.7311059741913899E-2</v>
      </c>
      <c r="I309">
        <v>1.70853991434037E-2</v>
      </c>
      <c r="J309">
        <v>1.70195621794277E-2</v>
      </c>
      <c r="K309">
        <v>1.69983226363635E-2</v>
      </c>
      <c r="L309">
        <v>1.6990168303807101E-2</v>
      </c>
      <c r="M309">
        <v>1.69842326570817E-2</v>
      </c>
    </row>
    <row r="310" spans="1:13" x14ac:dyDescent="0.2">
      <c r="A310" t="s">
        <v>505</v>
      </c>
      <c r="B310" t="s">
        <v>182</v>
      </c>
      <c r="C310" t="s">
        <v>499</v>
      </c>
      <c r="D310" t="s">
        <v>137</v>
      </c>
      <c r="E310">
        <v>1.47076719543515</v>
      </c>
      <c r="F310">
        <v>0.68796701308964903</v>
      </c>
      <c r="G310">
        <v>0.402812160133037</v>
      </c>
      <c r="H310">
        <v>0.22250982610906</v>
      </c>
      <c r="I310">
        <v>0.16724007620430001</v>
      </c>
      <c r="J310">
        <v>0.15629916703885099</v>
      </c>
      <c r="K310">
        <v>0.15328186767858501</v>
      </c>
      <c r="L310">
        <v>0.15319941180844801</v>
      </c>
      <c r="M310">
        <v>0.15317662764687001</v>
      </c>
    </row>
    <row r="311" spans="1:13" x14ac:dyDescent="0.2">
      <c r="A311" t="s">
        <v>505</v>
      </c>
      <c r="B311" t="s">
        <v>182</v>
      </c>
      <c r="C311" t="s">
        <v>499</v>
      </c>
      <c r="D311" t="s">
        <v>120</v>
      </c>
      <c r="E311">
        <v>1482.5754764799101</v>
      </c>
      <c r="F311">
        <v>1635.6442478660899</v>
      </c>
      <c r="G311">
        <v>2107.1372534500802</v>
      </c>
      <c r="H311">
        <v>2071.9319953702902</v>
      </c>
      <c r="I311">
        <v>2048.5012080599699</v>
      </c>
      <c r="J311">
        <v>2041.23090502932</v>
      </c>
      <c r="K311">
        <v>2038.8712683316101</v>
      </c>
      <c r="L311">
        <v>2037.89380685326</v>
      </c>
      <c r="M311">
        <v>2037.18147825705</v>
      </c>
    </row>
    <row r="312" spans="1:13" x14ac:dyDescent="0.2">
      <c r="A312" t="s">
        <v>505</v>
      </c>
      <c r="B312" t="s">
        <v>182</v>
      </c>
      <c r="C312" t="s">
        <v>499</v>
      </c>
      <c r="D312" t="s">
        <v>133</v>
      </c>
      <c r="E312">
        <v>1.2647150782943599</v>
      </c>
      <c r="F312">
        <v>0.82297495230985995</v>
      </c>
      <c r="G312">
        <v>0.78295839522434196</v>
      </c>
      <c r="H312">
        <v>0.68016675260069404</v>
      </c>
      <c r="I312">
        <v>0.64888550894506702</v>
      </c>
      <c r="J312">
        <v>0.64362415371119697</v>
      </c>
      <c r="K312">
        <v>0.64216665150257801</v>
      </c>
      <c r="L312">
        <v>0.64212477573891902</v>
      </c>
      <c r="M312">
        <v>0.64210952076406802</v>
      </c>
    </row>
    <row r="313" spans="1:13" x14ac:dyDescent="0.2">
      <c r="A313" t="s">
        <v>505</v>
      </c>
      <c r="B313" t="s">
        <v>182</v>
      </c>
      <c r="C313" t="s">
        <v>499</v>
      </c>
      <c r="D313" t="s">
        <v>141</v>
      </c>
      <c r="E313">
        <v>0.85268225231092398</v>
      </c>
      <c r="F313">
        <v>0.44197863249122399</v>
      </c>
      <c r="G313">
        <v>0.24083520219764601</v>
      </c>
      <c r="H313">
        <v>0.148362414161788</v>
      </c>
      <c r="I313">
        <v>0.11982020029779999</v>
      </c>
      <c r="J313">
        <v>0.115075397080156</v>
      </c>
      <c r="K313">
        <v>0.113741063740516</v>
      </c>
      <c r="L313">
        <v>0.113717400839903</v>
      </c>
      <c r="M313">
        <v>0.11370438522677</v>
      </c>
    </row>
    <row r="314" spans="1:13" x14ac:dyDescent="0.2">
      <c r="A314" t="s">
        <v>505</v>
      </c>
      <c r="B314" t="s">
        <v>184</v>
      </c>
      <c r="C314" t="s">
        <v>499</v>
      </c>
      <c r="D314" t="s">
        <v>145</v>
      </c>
      <c r="E314">
        <v>4.3049508481768202</v>
      </c>
      <c r="F314">
        <v>2.5543682877581499</v>
      </c>
      <c r="G314">
        <v>1.41557635494585</v>
      </c>
      <c r="H314">
        <v>0.97239499404962104</v>
      </c>
      <c r="I314">
        <v>0.83818353775375698</v>
      </c>
      <c r="J314">
        <v>0.80843597247967702</v>
      </c>
      <c r="K314">
        <v>0.80034145030903103</v>
      </c>
      <c r="L314">
        <v>0.79923379896798996</v>
      </c>
      <c r="M314">
        <v>0.799086633890294</v>
      </c>
    </row>
    <row r="315" spans="1:13" x14ac:dyDescent="0.2">
      <c r="A315" t="s">
        <v>505</v>
      </c>
      <c r="B315" t="s">
        <v>184</v>
      </c>
      <c r="C315" t="s">
        <v>499</v>
      </c>
      <c r="D315" t="s">
        <v>129</v>
      </c>
      <c r="E315">
        <v>10.6053442608649</v>
      </c>
      <c r="F315">
        <v>6.5449635614234403</v>
      </c>
      <c r="G315">
        <v>3.6787180180936701</v>
      </c>
      <c r="H315">
        <v>2.2004570236663401</v>
      </c>
      <c r="I315">
        <v>1.7396673866677801</v>
      </c>
      <c r="J315">
        <v>1.64503462199088</v>
      </c>
      <c r="K315">
        <v>1.62266726199586</v>
      </c>
      <c r="L315">
        <v>1.62186968240176</v>
      </c>
      <c r="M315">
        <v>1.62139928384052</v>
      </c>
    </row>
    <row r="316" spans="1:13" x14ac:dyDescent="0.2">
      <c r="A316" t="s">
        <v>505</v>
      </c>
      <c r="B316" t="s">
        <v>184</v>
      </c>
      <c r="C316" t="s">
        <v>499</v>
      </c>
      <c r="D316" t="s">
        <v>149</v>
      </c>
      <c r="E316">
        <v>1.80110275159466E-2</v>
      </c>
      <c r="F316">
        <v>5.9415032543044199E-2</v>
      </c>
      <c r="G316">
        <v>0.10406778688120299</v>
      </c>
      <c r="H316">
        <v>0.105321093135052</v>
      </c>
      <c r="I316">
        <v>0.10543994105987201</v>
      </c>
      <c r="J316">
        <v>0.105208381907267</v>
      </c>
      <c r="K316">
        <v>0.105244034731584</v>
      </c>
      <c r="L316">
        <v>0.10519712220805</v>
      </c>
      <c r="M316">
        <v>0.105194222004308</v>
      </c>
    </row>
    <row r="317" spans="1:13" x14ac:dyDescent="0.2">
      <c r="A317" t="s">
        <v>505</v>
      </c>
      <c r="B317" t="s">
        <v>184</v>
      </c>
      <c r="C317" t="s">
        <v>499</v>
      </c>
      <c r="D317" t="s">
        <v>147</v>
      </c>
      <c r="E317">
        <v>3.5917736289565799E-3</v>
      </c>
      <c r="F317">
        <v>3.6091903831295602E-3</v>
      </c>
      <c r="G317">
        <v>5.2505206053814202E-3</v>
      </c>
      <c r="H317">
        <v>5.2355362521004402E-3</v>
      </c>
      <c r="I317">
        <v>5.2243063278227799E-3</v>
      </c>
      <c r="J317">
        <v>5.2188288195051304E-3</v>
      </c>
      <c r="K317">
        <v>5.2164145073888097E-3</v>
      </c>
      <c r="L317">
        <v>5.2155948103937101E-3</v>
      </c>
      <c r="M317">
        <v>5.2157496356988403E-3</v>
      </c>
    </row>
    <row r="318" spans="1:13" x14ac:dyDescent="0.2">
      <c r="A318" t="s">
        <v>505</v>
      </c>
      <c r="B318" t="s">
        <v>184</v>
      </c>
      <c r="C318" t="s">
        <v>499</v>
      </c>
      <c r="D318" t="s">
        <v>155</v>
      </c>
      <c r="E318">
        <v>2.61956847346188E-2</v>
      </c>
      <c r="F318">
        <v>2.6459582282205199E-2</v>
      </c>
      <c r="G318">
        <v>3.3469493870709799E-2</v>
      </c>
      <c r="H318">
        <v>3.3485441021182498E-2</v>
      </c>
      <c r="I318">
        <v>3.3493620207947897E-2</v>
      </c>
      <c r="J318">
        <v>3.3495964958687903E-2</v>
      </c>
      <c r="K318">
        <v>3.3495912000105203E-2</v>
      </c>
      <c r="L318">
        <v>3.3495078771151397E-2</v>
      </c>
      <c r="M318">
        <v>3.34940363554617E-2</v>
      </c>
    </row>
    <row r="319" spans="1:13" x14ac:dyDescent="0.2">
      <c r="A319" t="s">
        <v>505</v>
      </c>
      <c r="B319" t="s">
        <v>184</v>
      </c>
      <c r="C319" t="s">
        <v>499</v>
      </c>
      <c r="D319" t="s">
        <v>125</v>
      </c>
      <c r="E319">
        <v>3.2753858750071897E-2</v>
      </c>
      <c r="F319">
        <v>3.5451037141744003E-2</v>
      </c>
      <c r="G319">
        <v>1.5119273460284501E-2</v>
      </c>
      <c r="H319">
        <v>1.47924708148466E-2</v>
      </c>
      <c r="I319">
        <v>1.4608534822893701E-2</v>
      </c>
      <c r="J319">
        <v>1.45546061834944E-2</v>
      </c>
      <c r="K319">
        <v>1.4536510442551E-2</v>
      </c>
      <c r="L319">
        <v>1.4528668182896999E-2</v>
      </c>
      <c r="M319">
        <v>1.45225405658348E-2</v>
      </c>
    </row>
    <row r="320" spans="1:13" x14ac:dyDescent="0.2">
      <c r="A320" t="s">
        <v>505</v>
      </c>
      <c r="B320" t="s">
        <v>184</v>
      </c>
      <c r="C320" t="s">
        <v>499</v>
      </c>
      <c r="D320" t="s">
        <v>137</v>
      </c>
      <c r="E320">
        <v>1.2471069760284099</v>
      </c>
      <c r="F320">
        <v>0.66664518440710496</v>
      </c>
      <c r="G320">
        <v>0.32007282630831302</v>
      </c>
      <c r="H320">
        <v>0.176542353194966</v>
      </c>
      <c r="I320">
        <v>0.132926153663285</v>
      </c>
      <c r="J320">
        <v>0.12423141693730599</v>
      </c>
      <c r="K320">
        <v>0.121871982031799</v>
      </c>
      <c r="L320">
        <v>0.121809764298298</v>
      </c>
      <c r="M320">
        <v>0.121789215464539</v>
      </c>
    </row>
    <row r="321" spans="1:13" x14ac:dyDescent="0.2">
      <c r="A321" t="s">
        <v>505</v>
      </c>
      <c r="B321" t="s">
        <v>184</v>
      </c>
      <c r="C321" t="s">
        <v>499</v>
      </c>
      <c r="D321" t="s">
        <v>120</v>
      </c>
      <c r="E321">
        <v>1319.49151917881</v>
      </c>
      <c r="F321">
        <v>1464.7581509516101</v>
      </c>
      <c r="G321">
        <v>1799.86335243286</v>
      </c>
      <c r="H321">
        <v>1770.55999347335</v>
      </c>
      <c r="I321">
        <v>1751.5422550708799</v>
      </c>
      <c r="J321">
        <v>1745.6010707511</v>
      </c>
      <c r="K321">
        <v>1743.5885799002001</v>
      </c>
      <c r="L321">
        <v>1742.6485789820999</v>
      </c>
      <c r="M321">
        <v>1741.9127550599401</v>
      </c>
    </row>
    <row r="322" spans="1:13" x14ac:dyDescent="0.2">
      <c r="A322" t="s">
        <v>505</v>
      </c>
      <c r="B322" t="s">
        <v>184</v>
      </c>
      <c r="C322" t="s">
        <v>499</v>
      </c>
      <c r="D322" t="s">
        <v>133</v>
      </c>
      <c r="E322">
        <v>1.04983400982203</v>
      </c>
      <c r="F322">
        <v>0.72832653653898105</v>
      </c>
      <c r="G322">
        <v>0.58427614618818202</v>
      </c>
      <c r="H322">
        <v>0.50134292856914997</v>
      </c>
      <c r="I322">
        <v>0.47618546496589997</v>
      </c>
      <c r="J322">
        <v>0.47190149656039998</v>
      </c>
      <c r="K322">
        <v>0.47071689819165202</v>
      </c>
      <c r="L322">
        <v>0.47069343749269799</v>
      </c>
      <c r="M322">
        <v>0.47069114341764501</v>
      </c>
    </row>
    <row r="323" spans="1:13" x14ac:dyDescent="0.2">
      <c r="A323" t="s">
        <v>505</v>
      </c>
      <c r="B323" t="s">
        <v>184</v>
      </c>
      <c r="C323" t="s">
        <v>499</v>
      </c>
      <c r="D323" t="s">
        <v>141</v>
      </c>
      <c r="E323">
        <v>0.72578410583292197</v>
      </c>
      <c r="F323">
        <v>0.42763209762876098</v>
      </c>
      <c r="G323">
        <v>0.18944103926397299</v>
      </c>
      <c r="H323">
        <v>0.114666499637313</v>
      </c>
      <c r="I323">
        <v>9.1724132402913702E-2</v>
      </c>
      <c r="J323">
        <v>8.7857141954733695E-2</v>
      </c>
      <c r="K323">
        <v>8.6767275626484494E-2</v>
      </c>
      <c r="L323">
        <v>8.6748879396040507E-2</v>
      </c>
      <c r="M323">
        <v>8.67391289437488E-2</v>
      </c>
    </row>
    <row r="324" spans="1:13" x14ac:dyDescent="0.2">
      <c r="A324" t="s">
        <v>505</v>
      </c>
      <c r="B324" t="s">
        <v>186</v>
      </c>
      <c r="C324" t="s">
        <v>499</v>
      </c>
      <c r="D324" t="s">
        <v>145</v>
      </c>
      <c r="E324">
        <v>6.0456420020261303</v>
      </c>
      <c r="F324">
        <v>3.6427551386991199</v>
      </c>
      <c r="G324">
        <v>1.8452011446226499</v>
      </c>
      <c r="H324">
        <v>1.24194770746088</v>
      </c>
      <c r="I324">
        <v>1.0526499630644499</v>
      </c>
      <c r="J324">
        <v>1.0089819104633899</v>
      </c>
      <c r="K324">
        <v>0.99667122961969301</v>
      </c>
      <c r="L324">
        <v>0.99500593481504396</v>
      </c>
      <c r="M324">
        <v>0.99474590902717697</v>
      </c>
    </row>
    <row r="325" spans="1:13" x14ac:dyDescent="0.2">
      <c r="A325" t="s">
        <v>505</v>
      </c>
      <c r="B325" t="s">
        <v>186</v>
      </c>
      <c r="C325" t="s">
        <v>499</v>
      </c>
      <c r="D325" t="s">
        <v>129</v>
      </c>
      <c r="E325">
        <v>16.5695691882601</v>
      </c>
      <c r="F325">
        <v>10.1915554047669</v>
      </c>
      <c r="G325">
        <v>4.7067883339263101</v>
      </c>
      <c r="H325">
        <v>2.74964441255411</v>
      </c>
      <c r="I325">
        <v>2.1250543631144501</v>
      </c>
      <c r="J325">
        <v>1.99369533696212</v>
      </c>
      <c r="K325">
        <v>1.9596642716443899</v>
      </c>
      <c r="L325">
        <v>1.95841045438728</v>
      </c>
      <c r="M325">
        <v>1.95772834946656</v>
      </c>
    </row>
    <row r="326" spans="1:13" x14ac:dyDescent="0.2">
      <c r="A326" t="s">
        <v>505</v>
      </c>
      <c r="B326" t="s">
        <v>186</v>
      </c>
      <c r="C326" t="s">
        <v>499</v>
      </c>
      <c r="D326" t="s">
        <v>149</v>
      </c>
      <c r="E326">
        <v>3.9006976025732602E-2</v>
      </c>
      <c r="F326">
        <v>9.7382260752850197E-2</v>
      </c>
      <c r="G326">
        <v>0.14046349386005799</v>
      </c>
      <c r="H326">
        <v>0.14210473049514299</v>
      </c>
      <c r="I326">
        <v>0.142376657618557</v>
      </c>
      <c r="J326">
        <v>0.14206400587052001</v>
      </c>
      <c r="K326">
        <v>0.142101863494736</v>
      </c>
      <c r="L326">
        <v>0.142019923590127</v>
      </c>
      <c r="M326">
        <v>0.142008262982282</v>
      </c>
    </row>
    <row r="327" spans="1:13" x14ac:dyDescent="0.2">
      <c r="A327" t="s">
        <v>505</v>
      </c>
      <c r="B327" t="s">
        <v>186</v>
      </c>
      <c r="C327" t="s">
        <v>499</v>
      </c>
      <c r="D327" t="s">
        <v>147</v>
      </c>
      <c r="E327">
        <v>6.6753767747216204E-3</v>
      </c>
      <c r="F327">
        <v>6.5547982937163097E-3</v>
      </c>
      <c r="G327">
        <v>7.2957432936417597E-3</v>
      </c>
      <c r="H327">
        <v>7.2823273262305702E-3</v>
      </c>
      <c r="I327">
        <v>7.2700258541815799E-3</v>
      </c>
      <c r="J327">
        <v>7.2630982878354698E-3</v>
      </c>
      <c r="K327">
        <v>7.25966994665462E-3</v>
      </c>
      <c r="L327">
        <v>7.2582639480360299E-3</v>
      </c>
      <c r="M327">
        <v>7.2582397653682199E-3</v>
      </c>
    </row>
    <row r="328" spans="1:13" x14ac:dyDescent="0.2">
      <c r="A328" t="s">
        <v>505</v>
      </c>
      <c r="B328" t="s">
        <v>186</v>
      </c>
      <c r="C328" t="s">
        <v>499</v>
      </c>
      <c r="D328" t="s">
        <v>155</v>
      </c>
      <c r="E328">
        <v>3.4893521946962498E-2</v>
      </c>
      <c r="F328">
        <v>3.49788451002516E-2</v>
      </c>
      <c r="G328">
        <v>3.9639501952122097E-2</v>
      </c>
      <c r="H328">
        <v>3.9638483794636602E-2</v>
      </c>
      <c r="I328">
        <v>3.9638118042141998E-2</v>
      </c>
      <c r="J328">
        <v>3.9638000963104603E-2</v>
      </c>
      <c r="K328">
        <v>3.9637988546095397E-2</v>
      </c>
      <c r="L328">
        <v>3.9637972152367001E-2</v>
      </c>
      <c r="M328">
        <v>3.9637979680126299E-2</v>
      </c>
    </row>
    <row r="329" spans="1:13" x14ac:dyDescent="0.2">
      <c r="A329" t="s">
        <v>505</v>
      </c>
      <c r="B329" t="s">
        <v>186</v>
      </c>
      <c r="C329" t="s">
        <v>499</v>
      </c>
      <c r="D329" t="s">
        <v>125</v>
      </c>
      <c r="E329">
        <v>4.8505368718434902E-2</v>
      </c>
      <c r="F329">
        <v>4.8325981488473099E-2</v>
      </c>
      <c r="G329">
        <v>1.7576572280014201E-2</v>
      </c>
      <c r="H329">
        <v>1.7166395112910501E-2</v>
      </c>
      <c r="I329">
        <v>1.6914594935806299E-2</v>
      </c>
      <c r="J329">
        <v>1.68383799937354E-2</v>
      </c>
      <c r="K329">
        <v>1.6812194631633502E-2</v>
      </c>
      <c r="L329">
        <v>1.6801008524208499E-2</v>
      </c>
      <c r="M329">
        <v>1.6792875741706501E-2</v>
      </c>
    </row>
    <row r="330" spans="1:13" x14ac:dyDescent="0.2">
      <c r="A330" t="s">
        <v>505</v>
      </c>
      <c r="B330" t="s">
        <v>186</v>
      </c>
      <c r="C330" t="s">
        <v>499</v>
      </c>
      <c r="D330" t="s">
        <v>137</v>
      </c>
      <c r="E330">
        <v>1.8523245224272999</v>
      </c>
      <c r="F330">
        <v>0.98457686139596001</v>
      </c>
      <c r="G330">
        <v>0.454054708098104</v>
      </c>
      <c r="H330">
        <v>0.24241218334548201</v>
      </c>
      <c r="I330">
        <v>0.17574053877664</v>
      </c>
      <c r="J330">
        <v>0.16190467325511401</v>
      </c>
      <c r="K330">
        <v>0.15802874340941001</v>
      </c>
      <c r="L330">
        <v>0.157924905411398</v>
      </c>
      <c r="M330">
        <v>0.157888725635105</v>
      </c>
    </row>
    <row r="331" spans="1:13" x14ac:dyDescent="0.2">
      <c r="A331" t="s">
        <v>505</v>
      </c>
      <c r="B331" t="s">
        <v>186</v>
      </c>
      <c r="C331" t="s">
        <v>499</v>
      </c>
      <c r="D331" t="s">
        <v>120</v>
      </c>
      <c r="E331">
        <v>1965.3480196129899</v>
      </c>
      <c r="F331">
        <v>2010.3216718511901</v>
      </c>
      <c r="G331">
        <v>2090.4906656609201</v>
      </c>
      <c r="H331">
        <v>2053.9539193064902</v>
      </c>
      <c r="I331">
        <v>2027.8421991422999</v>
      </c>
      <c r="J331">
        <v>2019.45150345712</v>
      </c>
      <c r="K331">
        <v>2016.54651893857</v>
      </c>
      <c r="L331">
        <v>2015.2058723386001</v>
      </c>
      <c r="M331">
        <v>2014.2294332377901</v>
      </c>
    </row>
    <row r="332" spans="1:13" x14ac:dyDescent="0.2">
      <c r="A332" t="s">
        <v>505</v>
      </c>
      <c r="B332" t="s">
        <v>186</v>
      </c>
      <c r="C332" t="s">
        <v>499</v>
      </c>
      <c r="D332" t="s">
        <v>133</v>
      </c>
      <c r="E332">
        <v>1.7897176326082</v>
      </c>
      <c r="F332">
        <v>1.28184142907446</v>
      </c>
      <c r="G332">
        <v>0.80585430140276804</v>
      </c>
      <c r="H332">
        <v>0.69183592997618704</v>
      </c>
      <c r="I332">
        <v>0.65551295326080194</v>
      </c>
      <c r="J332">
        <v>0.64912663136166204</v>
      </c>
      <c r="K332">
        <v>0.64721406840414997</v>
      </c>
      <c r="L332">
        <v>0.64706992112985595</v>
      </c>
      <c r="M332">
        <v>0.64695129381422201</v>
      </c>
    </row>
    <row r="333" spans="1:13" x14ac:dyDescent="0.2">
      <c r="A333" t="s">
        <v>505</v>
      </c>
      <c r="B333" t="s">
        <v>186</v>
      </c>
      <c r="C333" t="s">
        <v>499</v>
      </c>
      <c r="D333" t="s">
        <v>141</v>
      </c>
      <c r="E333">
        <v>1.18048167941492</v>
      </c>
      <c r="F333">
        <v>0.70883111477306904</v>
      </c>
      <c r="G333">
        <v>0.25820081252871602</v>
      </c>
      <c r="H333">
        <v>0.154936314509238</v>
      </c>
      <c r="I333">
        <v>0.12145150227391199</v>
      </c>
      <c r="J333">
        <v>0.11561207466260399</v>
      </c>
      <c r="K333">
        <v>0.113890264164102</v>
      </c>
      <c r="L333">
        <v>0.11384461486997199</v>
      </c>
      <c r="M333">
        <v>0.11381252319809999</v>
      </c>
    </row>
    <row r="334" spans="1:13" x14ac:dyDescent="0.2">
      <c r="A334" t="s">
        <v>505</v>
      </c>
      <c r="B334" t="s">
        <v>188</v>
      </c>
      <c r="C334" t="s">
        <v>499</v>
      </c>
      <c r="D334" t="s">
        <v>145</v>
      </c>
      <c r="E334">
        <v>3.7476931274223899</v>
      </c>
      <c r="F334">
        <v>2.1224340778786099</v>
      </c>
      <c r="G334">
        <v>1.1522241511654601</v>
      </c>
      <c r="H334">
        <v>0.78635690911299205</v>
      </c>
      <c r="I334">
        <v>0.67130079903850703</v>
      </c>
      <c r="J334">
        <v>0.644768230895015</v>
      </c>
      <c r="K334">
        <v>0.63723563956321205</v>
      </c>
      <c r="L334">
        <v>0.63622564348836397</v>
      </c>
      <c r="M334">
        <v>0.63613086524108198</v>
      </c>
    </row>
    <row r="335" spans="1:13" x14ac:dyDescent="0.2">
      <c r="A335" t="s">
        <v>505</v>
      </c>
      <c r="B335" t="s">
        <v>188</v>
      </c>
      <c r="C335" t="s">
        <v>499</v>
      </c>
      <c r="D335" t="s">
        <v>129</v>
      </c>
      <c r="E335">
        <v>13.492775574024799</v>
      </c>
      <c r="F335">
        <v>7.5468458416536803</v>
      </c>
      <c r="G335">
        <v>2.86440753900408</v>
      </c>
      <c r="H335">
        <v>1.66545036782072</v>
      </c>
      <c r="I335">
        <v>1.2872223005865</v>
      </c>
      <c r="J335">
        <v>1.20818388349511</v>
      </c>
      <c r="K335">
        <v>1.1882189073440399</v>
      </c>
      <c r="L335">
        <v>1.18759279747034</v>
      </c>
      <c r="M335">
        <v>1.1873143220192299</v>
      </c>
    </row>
    <row r="336" spans="1:13" x14ac:dyDescent="0.2">
      <c r="A336" t="s">
        <v>505</v>
      </c>
      <c r="B336" t="s">
        <v>188</v>
      </c>
      <c r="C336" t="s">
        <v>499</v>
      </c>
      <c r="D336" t="s">
        <v>149</v>
      </c>
      <c r="E336">
        <v>1.50837600567011E-2</v>
      </c>
      <c r="F336">
        <v>4.1820056790997803E-2</v>
      </c>
      <c r="G336">
        <v>7.3126252157420996E-2</v>
      </c>
      <c r="H336">
        <v>7.3867270375654201E-2</v>
      </c>
      <c r="I336">
        <v>7.3939295087643395E-2</v>
      </c>
      <c r="J336">
        <v>7.3756036716317294E-2</v>
      </c>
      <c r="K336">
        <v>7.3800142314626199E-2</v>
      </c>
      <c r="L336">
        <v>7.3776798768142804E-2</v>
      </c>
      <c r="M336">
        <v>7.3798077513590202E-2</v>
      </c>
    </row>
    <row r="337" spans="1:13" x14ac:dyDescent="0.2">
      <c r="A337" t="s">
        <v>505</v>
      </c>
      <c r="B337" t="s">
        <v>188</v>
      </c>
      <c r="C337" t="s">
        <v>499</v>
      </c>
      <c r="D337" t="s">
        <v>147</v>
      </c>
      <c r="E337">
        <v>2.4958751743538398E-3</v>
      </c>
      <c r="F337">
        <v>2.4447713868806899E-3</v>
      </c>
      <c r="G337">
        <v>3.4529570026890898E-3</v>
      </c>
      <c r="H337">
        <v>3.4238629713190701E-3</v>
      </c>
      <c r="I337">
        <v>3.4056857972038501E-3</v>
      </c>
      <c r="J337">
        <v>3.39842942017498E-3</v>
      </c>
      <c r="K337">
        <v>3.3964615682354799E-3</v>
      </c>
      <c r="L337">
        <v>3.3967409048497499E-3</v>
      </c>
      <c r="M337">
        <v>3.3981280596405302E-3</v>
      </c>
    </row>
    <row r="338" spans="1:13" x14ac:dyDescent="0.2">
      <c r="A338" t="s">
        <v>505</v>
      </c>
      <c r="B338" t="s">
        <v>188</v>
      </c>
      <c r="C338" t="s">
        <v>499</v>
      </c>
      <c r="D338" t="s">
        <v>155</v>
      </c>
      <c r="E338">
        <v>2.53655238629573E-2</v>
      </c>
      <c r="F338">
        <v>2.52867699578843E-2</v>
      </c>
      <c r="G338">
        <v>2.71717802821827E-2</v>
      </c>
      <c r="H338">
        <v>2.71425219079954E-2</v>
      </c>
      <c r="I338">
        <v>2.7128484897609599E-2</v>
      </c>
      <c r="J338">
        <v>2.71242955243867E-2</v>
      </c>
      <c r="K338">
        <v>2.71243976689509E-2</v>
      </c>
      <c r="L338">
        <v>2.7125748973111801E-2</v>
      </c>
      <c r="M338">
        <v>2.71273712236671E-2</v>
      </c>
    </row>
    <row r="339" spans="1:13" x14ac:dyDescent="0.2">
      <c r="A339" t="s">
        <v>505</v>
      </c>
      <c r="B339" t="s">
        <v>188</v>
      </c>
      <c r="C339" t="s">
        <v>499</v>
      </c>
      <c r="D339" t="s">
        <v>125</v>
      </c>
      <c r="E339">
        <v>1.9219515132106998E-2</v>
      </c>
      <c r="F339">
        <v>1.8381789821165999E-2</v>
      </c>
      <c r="G339">
        <v>1.1480506512681401E-2</v>
      </c>
      <c r="H339">
        <v>1.1200613613581E-2</v>
      </c>
      <c r="I339">
        <v>1.1033835716401499E-2</v>
      </c>
      <c r="J339">
        <v>1.0983128564943399E-2</v>
      </c>
      <c r="K339">
        <v>1.09661929621608E-2</v>
      </c>
      <c r="L339">
        <v>1.09591556908048E-2</v>
      </c>
      <c r="M339">
        <v>1.09539961645838E-2</v>
      </c>
    </row>
    <row r="340" spans="1:13" x14ac:dyDescent="0.2">
      <c r="A340" t="s">
        <v>505</v>
      </c>
      <c r="B340" t="s">
        <v>188</v>
      </c>
      <c r="C340" t="s">
        <v>499</v>
      </c>
      <c r="D340" t="s">
        <v>137</v>
      </c>
      <c r="E340">
        <v>0.86967821617844199</v>
      </c>
      <c r="F340">
        <v>0.46203277812819299</v>
      </c>
      <c r="G340">
        <v>0.24488064381328301</v>
      </c>
      <c r="H340">
        <v>0.13082474453131801</v>
      </c>
      <c r="I340">
        <v>9.5337955687742296E-2</v>
      </c>
      <c r="J340">
        <v>8.7877867224047099E-2</v>
      </c>
      <c r="K340">
        <v>8.5843418185397202E-2</v>
      </c>
      <c r="L340">
        <v>8.5804625089355602E-2</v>
      </c>
      <c r="M340">
        <v>8.5808752891254905E-2</v>
      </c>
    </row>
    <row r="341" spans="1:13" x14ac:dyDescent="0.2">
      <c r="A341" t="s">
        <v>505</v>
      </c>
      <c r="B341" t="s">
        <v>188</v>
      </c>
      <c r="C341" t="s">
        <v>499</v>
      </c>
      <c r="D341" t="s">
        <v>120</v>
      </c>
      <c r="E341">
        <v>1669.0822501080099</v>
      </c>
      <c r="F341">
        <v>1673.1688001129</v>
      </c>
      <c r="G341">
        <v>1365.67564571155</v>
      </c>
      <c r="H341">
        <v>1340.2430368273101</v>
      </c>
      <c r="I341">
        <v>1322.8450856147599</v>
      </c>
      <c r="J341">
        <v>1317.23072914767</v>
      </c>
      <c r="K341">
        <v>1315.3450285164099</v>
      </c>
      <c r="L341">
        <v>1314.50089135955</v>
      </c>
      <c r="M341">
        <v>1313.88241213587</v>
      </c>
    </row>
    <row r="342" spans="1:13" x14ac:dyDescent="0.2">
      <c r="A342" t="s">
        <v>505</v>
      </c>
      <c r="B342" t="s">
        <v>188</v>
      </c>
      <c r="C342" t="s">
        <v>499</v>
      </c>
      <c r="D342" t="s">
        <v>133</v>
      </c>
      <c r="E342">
        <v>0.858529279217077</v>
      </c>
      <c r="F342">
        <v>0.503731417508816</v>
      </c>
      <c r="G342">
        <v>0.37512816215378397</v>
      </c>
      <c r="H342">
        <v>0.30828199926496602</v>
      </c>
      <c r="I342">
        <v>0.28661953326038297</v>
      </c>
      <c r="J342">
        <v>0.28264038179328499</v>
      </c>
      <c r="K342">
        <v>0.28162692153878699</v>
      </c>
      <c r="L342">
        <v>0.281751869278763</v>
      </c>
      <c r="M342">
        <v>0.28192306485273899</v>
      </c>
    </row>
    <row r="343" spans="1:13" x14ac:dyDescent="0.2">
      <c r="A343" t="s">
        <v>505</v>
      </c>
      <c r="B343" t="s">
        <v>188</v>
      </c>
      <c r="C343" t="s">
        <v>499</v>
      </c>
      <c r="D343" t="s">
        <v>141</v>
      </c>
      <c r="E343">
        <v>0.65283874806811604</v>
      </c>
      <c r="F343">
        <v>0.33224436660041701</v>
      </c>
      <c r="G343">
        <v>0.13652581905042699</v>
      </c>
      <c r="H343">
        <v>7.8025503719108297E-2</v>
      </c>
      <c r="I343">
        <v>5.9231027771519597E-2</v>
      </c>
      <c r="J343">
        <v>5.5901975487255798E-2</v>
      </c>
      <c r="K343">
        <v>5.4946823671966197E-2</v>
      </c>
      <c r="L343">
        <v>5.4950705011026502E-2</v>
      </c>
      <c r="M343">
        <v>5.4967058193246002E-2</v>
      </c>
    </row>
    <row r="344" spans="1:13" x14ac:dyDescent="0.2">
      <c r="A344" t="s">
        <v>505</v>
      </c>
      <c r="B344" t="s">
        <v>190</v>
      </c>
      <c r="C344" t="s">
        <v>499</v>
      </c>
      <c r="D344" t="s">
        <v>145</v>
      </c>
      <c r="E344">
        <v>4.6832626450914496</v>
      </c>
      <c r="F344">
        <v>2.6100431929147598</v>
      </c>
      <c r="G344">
        <v>1.44727268865366</v>
      </c>
      <c r="H344">
        <v>1.1207683835002999</v>
      </c>
      <c r="I344">
        <v>1.0267847071138601</v>
      </c>
      <c r="J344">
        <v>1.00432218637865</v>
      </c>
      <c r="K344">
        <v>0.99794723012971298</v>
      </c>
      <c r="L344">
        <v>0.99667933319928403</v>
      </c>
      <c r="M344">
        <v>0.99661224661700498</v>
      </c>
    </row>
    <row r="345" spans="1:13" x14ac:dyDescent="0.2">
      <c r="A345" t="s">
        <v>505</v>
      </c>
      <c r="B345" t="s">
        <v>190</v>
      </c>
      <c r="C345" t="s">
        <v>499</v>
      </c>
      <c r="D345" t="s">
        <v>129</v>
      </c>
      <c r="E345">
        <v>10.927472096680599</v>
      </c>
      <c r="F345">
        <v>7.1206377233055003</v>
      </c>
      <c r="G345">
        <v>3.1558879768380601</v>
      </c>
      <c r="H345">
        <v>2.0748112225925799</v>
      </c>
      <c r="I345">
        <v>1.74258491838324</v>
      </c>
      <c r="J345">
        <v>1.67796051175704</v>
      </c>
      <c r="K345">
        <v>1.66395683464412</v>
      </c>
      <c r="L345">
        <v>1.6637625206784601</v>
      </c>
      <c r="M345">
        <v>1.6637616447113901</v>
      </c>
    </row>
    <row r="346" spans="1:13" x14ac:dyDescent="0.2">
      <c r="A346" t="s">
        <v>505</v>
      </c>
      <c r="B346" t="s">
        <v>190</v>
      </c>
      <c r="C346" t="s">
        <v>499</v>
      </c>
      <c r="D346" t="s">
        <v>149</v>
      </c>
      <c r="E346">
        <v>2.5837404070173101E-2</v>
      </c>
      <c r="F346">
        <v>7.8297413767458204E-2</v>
      </c>
      <c r="G346">
        <v>0.10066729837517401</v>
      </c>
      <c r="H346">
        <v>0.10297636370982299</v>
      </c>
      <c r="I346">
        <v>0.103171854151657</v>
      </c>
      <c r="J346">
        <v>0.103095802852537</v>
      </c>
      <c r="K346">
        <v>0.10319825346403599</v>
      </c>
      <c r="L346">
        <v>0.103151432114074</v>
      </c>
      <c r="M346">
        <v>0.103153661145232</v>
      </c>
    </row>
    <row r="347" spans="1:13" x14ac:dyDescent="0.2">
      <c r="A347" t="s">
        <v>505</v>
      </c>
      <c r="B347" t="s">
        <v>190</v>
      </c>
      <c r="C347" t="s">
        <v>499</v>
      </c>
      <c r="D347" t="s">
        <v>147</v>
      </c>
      <c r="E347">
        <v>4.3846094197843499E-3</v>
      </c>
      <c r="F347">
        <v>4.2824271816577098E-3</v>
      </c>
      <c r="G347">
        <v>5.02899922498892E-3</v>
      </c>
      <c r="H347">
        <v>5.0046662993367902E-3</v>
      </c>
      <c r="I347">
        <v>4.9882594082795899E-3</v>
      </c>
      <c r="J347">
        <v>4.9807823416885997E-3</v>
      </c>
      <c r="K347">
        <v>4.9778351451056097E-3</v>
      </c>
      <c r="L347">
        <v>4.9770350121877902E-3</v>
      </c>
      <c r="M347">
        <v>4.97750081597703E-3</v>
      </c>
    </row>
    <row r="348" spans="1:13" x14ac:dyDescent="0.2">
      <c r="A348" t="s">
        <v>505</v>
      </c>
      <c r="B348" t="s">
        <v>190</v>
      </c>
      <c r="C348" t="s">
        <v>499</v>
      </c>
      <c r="D348" t="s">
        <v>155</v>
      </c>
      <c r="E348">
        <v>2.6814639578360101E-2</v>
      </c>
      <c r="F348">
        <v>2.7377198484682501E-2</v>
      </c>
      <c r="G348">
        <v>3.1744752331224299E-2</v>
      </c>
      <c r="H348">
        <v>3.1751089810168102E-2</v>
      </c>
      <c r="I348">
        <v>3.1753196220943601E-2</v>
      </c>
      <c r="J348">
        <v>3.1754907653783297E-2</v>
      </c>
      <c r="K348">
        <v>3.1756308019210901E-2</v>
      </c>
      <c r="L348">
        <v>3.1757504483370197E-2</v>
      </c>
      <c r="M348">
        <v>3.17586670417229E-2</v>
      </c>
    </row>
    <row r="349" spans="1:13" x14ac:dyDescent="0.2">
      <c r="A349" t="s">
        <v>505</v>
      </c>
      <c r="B349" t="s">
        <v>190</v>
      </c>
      <c r="C349" t="s">
        <v>499</v>
      </c>
      <c r="D349" t="s">
        <v>125</v>
      </c>
      <c r="E349">
        <v>3.5795342325280199E-2</v>
      </c>
      <c r="F349">
        <v>4.18895987456427E-2</v>
      </c>
      <c r="G349">
        <v>1.5791060545945802E-2</v>
      </c>
      <c r="H349">
        <v>1.5415670212051501E-2</v>
      </c>
      <c r="I349">
        <v>1.5274431754930399E-2</v>
      </c>
      <c r="J349">
        <v>1.5236164903811999E-2</v>
      </c>
      <c r="K349">
        <v>1.52267203455439E-2</v>
      </c>
      <c r="L349">
        <v>1.5224294731162401E-2</v>
      </c>
      <c r="M349">
        <v>1.52231302628319E-2</v>
      </c>
    </row>
    <row r="350" spans="1:13" x14ac:dyDescent="0.2">
      <c r="A350" t="s">
        <v>505</v>
      </c>
      <c r="B350" t="s">
        <v>190</v>
      </c>
      <c r="C350" t="s">
        <v>499</v>
      </c>
      <c r="D350" t="s">
        <v>137</v>
      </c>
      <c r="E350">
        <v>1.3036578993866199</v>
      </c>
      <c r="F350">
        <v>0.62654783684864801</v>
      </c>
      <c r="G350">
        <v>0.256477663626625</v>
      </c>
      <c r="H350">
        <v>0.15721626159253699</v>
      </c>
      <c r="I350">
        <v>0.12995527844758301</v>
      </c>
      <c r="J350">
        <v>0.124363752484154</v>
      </c>
      <c r="K350">
        <v>0.12280434729006</v>
      </c>
      <c r="L350">
        <v>0.12275657242648801</v>
      </c>
      <c r="M350">
        <v>0.122755209940958</v>
      </c>
    </row>
    <row r="351" spans="1:13" x14ac:dyDescent="0.2">
      <c r="A351" t="s">
        <v>505</v>
      </c>
      <c r="B351" t="s">
        <v>190</v>
      </c>
      <c r="C351" t="s">
        <v>499</v>
      </c>
      <c r="D351" t="s">
        <v>120</v>
      </c>
      <c r="E351">
        <v>1446.4734413180499</v>
      </c>
      <c r="F351">
        <v>1740.72087390757</v>
      </c>
      <c r="G351">
        <v>1883.5112444895601</v>
      </c>
      <c r="H351">
        <v>1846.4691773357799</v>
      </c>
      <c r="I351">
        <v>1831.61438997502</v>
      </c>
      <c r="J351">
        <v>1827.40074627429</v>
      </c>
      <c r="K351">
        <v>1826.3756740122001</v>
      </c>
      <c r="L351">
        <v>1826.08515951495</v>
      </c>
      <c r="M351">
        <v>1825.9462445100501</v>
      </c>
    </row>
    <row r="352" spans="1:13" x14ac:dyDescent="0.2">
      <c r="A352" t="s">
        <v>505</v>
      </c>
      <c r="B352" t="s">
        <v>190</v>
      </c>
      <c r="C352" t="s">
        <v>499</v>
      </c>
      <c r="D352" t="s">
        <v>133</v>
      </c>
      <c r="E352">
        <v>1.1386613940402399</v>
      </c>
      <c r="F352">
        <v>0.81062826870189697</v>
      </c>
      <c r="G352">
        <v>0.53923885209480305</v>
      </c>
      <c r="H352">
        <v>0.475762300205197</v>
      </c>
      <c r="I352">
        <v>0.45922153968976998</v>
      </c>
      <c r="J352">
        <v>0.45636829014935498</v>
      </c>
      <c r="K352">
        <v>0.45567985208338102</v>
      </c>
      <c r="L352">
        <v>0.45574905770507301</v>
      </c>
      <c r="M352">
        <v>0.455831313218652</v>
      </c>
    </row>
    <row r="353" spans="1:13" x14ac:dyDescent="0.2">
      <c r="A353" t="s">
        <v>505</v>
      </c>
      <c r="B353" t="s">
        <v>190</v>
      </c>
      <c r="C353" t="s">
        <v>499</v>
      </c>
      <c r="D353" t="s">
        <v>141</v>
      </c>
      <c r="E353">
        <v>0.76056597813754101</v>
      </c>
      <c r="F353">
        <v>0.44834360182688099</v>
      </c>
      <c r="G353">
        <v>0.16425905468775201</v>
      </c>
      <c r="H353">
        <v>0.106571454108964</v>
      </c>
      <c r="I353">
        <v>9.1494531785506497E-2</v>
      </c>
      <c r="J353">
        <v>8.8871730484206005E-2</v>
      </c>
      <c r="K353">
        <v>8.8185150826517997E-2</v>
      </c>
      <c r="L353">
        <v>8.8192675178559193E-2</v>
      </c>
      <c r="M353">
        <v>8.8205281736577906E-2</v>
      </c>
    </row>
    <row r="354" spans="1:13" x14ac:dyDescent="0.2">
      <c r="A354" t="s">
        <v>505</v>
      </c>
      <c r="B354" t="s">
        <v>182</v>
      </c>
      <c r="C354" t="s">
        <v>500</v>
      </c>
      <c r="D354" t="s">
        <v>145</v>
      </c>
      <c r="E354">
        <v>58.234105162975901</v>
      </c>
      <c r="F354">
        <v>33.622567193752097</v>
      </c>
      <c r="G354">
        <v>22.365559009141499</v>
      </c>
      <c r="H354">
        <v>20.003128322257201</v>
      </c>
      <c r="I354">
        <v>20.195447260462402</v>
      </c>
      <c r="J354">
        <v>20.8243673392587</v>
      </c>
      <c r="K354">
        <v>20.9804766424047</v>
      </c>
      <c r="L354">
        <v>21.2133429593407</v>
      </c>
      <c r="M354">
        <v>21.2954024378494</v>
      </c>
    </row>
    <row r="355" spans="1:13" x14ac:dyDescent="0.2">
      <c r="A355" t="s">
        <v>505</v>
      </c>
      <c r="B355" t="s">
        <v>182</v>
      </c>
      <c r="C355" t="s">
        <v>500</v>
      </c>
      <c r="D355" t="s">
        <v>129</v>
      </c>
      <c r="E355">
        <v>5.0421157380649202</v>
      </c>
      <c r="F355">
        <v>2.6891275593082402</v>
      </c>
      <c r="G355">
        <v>1.59672970269866</v>
      </c>
      <c r="H355">
        <v>1.2533988169049</v>
      </c>
      <c r="I355">
        <v>1.1377603861924299</v>
      </c>
      <c r="J355">
        <v>1.11657517091755</v>
      </c>
      <c r="K355">
        <v>1.10785037464988</v>
      </c>
      <c r="L355">
        <v>1.10808970467776</v>
      </c>
      <c r="M355">
        <v>1.10829058082377</v>
      </c>
    </row>
    <row r="356" spans="1:13" x14ac:dyDescent="0.2">
      <c r="A356" t="s">
        <v>505</v>
      </c>
      <c r="B356" t="s">
        <v>182</v>
      </c>
      <c r="C356" t="s">
        <v>500</v>
      </c>
      <c r="D356" t="s">
        <v>149</v>
      </c>
      <c r="E356">
        <v>0.17782774655845099</v>
      </c>
      <c r="F356">
        <v>4.9445543705968001E-2</v>
      </c>
      <c r="G356">
        <v>2.14914790323418E-2</v>
      </c>
      <c r="H356">
        <v>1.74631086819735E-2</v>
      </c>
      <c r="I356">
        <v>1.7306502140019699E-2</v>
      </c>
      <c r="J356">
        <v>1.77413796860907E-2</v>
      </c>
      <c r="K356">
        <v>1.7873917726394802E-2</v>
      </c>
      <c r="L356">
        <v>1.8044608652160399E-2</v>
      </c>
      <c r="M356">
        <v>1.8102357634055401E-2</v>
      </c>
    </row>
    <row r="357" spans="1:13" x14ac:dyDescent="0.2">
      <c r="A357" t="s">
        <v>505</v>
      </c>
      <c r="B357" t="s">
        <v>182</v>
      </c>
      <c r="C357" t="s">
        <v>500</v>
      </c>
      <c r="D357" t="s">
        <v>147</v>
      </c>
      <c r="E357">
        <v>7.45806670433007E-2</v>
      </c>
      <c r="F357">
        <v>4.11694236212614E-2</v>
      </c>
      <c r="G357">
        <v>2.8985978458602801E-2</v>
      </c>
      <c r="H357">
        <v>2.0012914871466302E-2</v>
      </c>
      <c r="I357">
        <v>1.70994949062814E-2</v>
      </c>
      <c r="J357">
        <v>1.6621401634368399E-2</v>
      </c>
      <c r="K357">
        <v>1.62276934153717E-2</v>
      </c>
      <c r="L357">
        <v>1.6300252431035001E-2</v>
      </c>
      <c r="M357">
        <v>1.6326186183154599E-2</v>
      </c>
    </row>
    <row r="358" spans="1:13" x14ac:dyDescent="0.2">
      <c r="A358" t="s">
        <v>505</v>
      </c>
      <c r="B358" t="s">
        <v>182</v>
      </c>
      <c r="C358" t="s">
        <v>500</v>
      </c>
      <c r="D358" t="s">
        <v>155</v>
      </c>
      <c r="E358">
        <v>4.5387333445833802E-2</v>
      </c>
      <c r="F358">
        <v>4.5385137405685602E-2</v>
      </c>
      <c r="G358">
        <v>6.2585802863492496E-2</v>
      </c>
      <c r="H358">
        <v>6.2570457425533493E-2</v>
      </c>
      <c r="I358">
        <v>6.2526825017837198E-2</v>
      </c>
      <c r="J358">
        <v>6.2515199827795506E-2</v>
      </c>
      <c r="K358">
        <v>6.2512659799535894E-2</v>
      </c>
      <c r="L358">
        <v>6.2511995706699006E-2</v>
      </c>
      <c r="M358">
        <v>6.2512032461297801E-2</v>
      </c>
    </row>
    <row r="359" spans="1:13" x14ac:dyDescent="0.2">
      <c r="A359" t="s">
        <v>505</v>
      </c>
      <c r="B359" t="s">
        <v>182</v>
      </c>
      <c r="C359" t="s">
        <v>500</v>
      </c>
      <c r="D359" t="s">
        <v>125</v>
      </c>
      <c r="E359">
        <v>2.18321680952577E-2</v>
      </c>
      <c r="F359">
        <v>2.1614175028351099E-2</v>
      </c>
      <c r="G359">
        <v>2.3606201662977298E-2</v>
      </c>
      <c r="H359">
        <v>2.3175292056127901E-2</v>
      </c>
      <c r="I359">
        <v>2.2407191257778802E-2</v>
      </c>
      <c r="J359">
        <v>2.2211896644643399E-2</v>
      </c>
      <c r="K359">
        <v>2.21654317430676E-2</v>
      </c>
      <c r="L359">
        <v>2.21574783013113E-2</v>
      </c>
      <c r="M359">
        <v>2.21574091915673E-2</v>
      </c>
    </row>
    <row r="360" spans="1:13" x14ac:dyDescent="0.2">
      <c r="A360" t="s">
        <v>505</v>
      </c>
      <c r="B360" t="s">
        <v>182</v>
      </c>
      <c r="C360" t="s">
        <v>500</v>
      </c>
      <c r="D360" t="s">
        <v>137</v>
      </c>
      <c r="E360">
        <v>3.64761393243701</v>
      </c>
      <c r="F360">
        <v>1.49818839927699</v>
      </c>
      <c r="G360">
        <v>0.86599323443475895</v>
      </c>
      <c r="H360">
        <v>0.66124009173105702</v>
      </c>
      <c r="I360">
        <v>0.59061098160806302</v>
      </c>
      <c r="J360">
        <v>0.58137460363365601</v>
      </c>
      <c r="K360">
        <v>0.57503033366723</v>
      </c>
      <c r="L360">
        <v>0.578080207454851</v>
      </c>
      <c r="M360">
        <v>0.57875611374779701</v>
      </c>
    </row>
    <row r="361" spans="1:13" x14ac:dyDescent="0.2">
      <c r="A361" t="s">
        <v>505</v>
      </c>
      <c r="B361" t="s">
        <v>182</v>
      </c>
      <c r="C361" t="s">
        <v>500</v>
      </c>
      <c r="D361" t="s">
        <v>120</v>
      </c>
      <c r="E361">
        <v>1261.7193045716699</v>
      </c>
      <c r="F361">
        <v>1249.12075772399</v>
      </c>
      <c r="G361">
        <v>1645.5452306145801</v>
      </c>
      <c r="H361">
        <v>1615.5067230397001</v>
      </c>
      <c r="I361">
        <v>1561.96512576184</v>
      </c>
      <c r="J361">
        <v>1548.35062809069</v>
      </c>
      <c r="K361">
        <v>1545.11245308096</v>
      </c>
      <c r="L361">
        <v>1544.5579062120401</v>
      </c>
      <c r="M361">
        <v>1544.55231111378</v>
      </c>
    </row>
    <row r="362" spans="1:13" x14ac:dyDescent="0.2">
      <c r="A362" t="s">
        <v>505</v>
      </c>
      <c r="B362" t="s">
        <v>182</v>
      </c>
      <c r="C362" t="s">
        <v>500</v>
      </c>
      <c r="D362" t="s">
        <v>133</v>
      </c>
      <c r="E362">
        <v>0.37498220674272298</v>
      </c>
      <c r="F362">
        <v>0.30800096091118401</v>
      </c>
      <c r="G362">
        <v>0.47876990917977102</v>
      </c>
      <c r="H362">
        <v>0.47474601446343401</v>
      </c>
      <c r="I362">
        <v>0.462592935753106</v>
      </c>
      <c r="J362">
        <v>0.45943594701357998</v>
      </c>
      <c r="K362">
        <v>0.45873466896290599</v>
      </c>
      <c r="L362">
        <v>0.45859669819349802</v>
      </c>
      <c r="M362">
        <v>0.458612118231494</v>
      </c>
    </row>
    <row r="363" spans="1:13" x14ac:dyDescent="0.2">
      <c r="A363" t="s">
        <v>505</v>
      </c>
      <c r="B363" t="s">
        <v>182</v>
      </c>
      <c r="C363" t="s">
        <v>500</v>
      </c>
      <c r="D363" t="s">
        <v>141</v>
      </c>
      <c r="E363">
        <v>0.110253629274602</v>
      </c>
      <c r="F363">
        <v>5.10415619775157E-2</v>
      </c>
      <c r="G363">
        <v>6.9684988099320805E-2</v>
      </c>
      <c r="H363">
        <v>6.9040658676098196E-2</v>
      </c>
      <c r="I363">
        <v>6.6765177638673803E-2</v>
      </c>
      <c r="J363">
        <v>6.6229434848786198E-2</v>
      </c>
      <c r="K363">
        <v>6.6102443905475594E-2</v>
      </c>
      <c r="L363">
        <v>6.6105381584131498E-2</v>
      </c>
      <c r="M363">
        <v>6.6121307340381005E-2</v>
      </c>
    </row>
    <row r="364" spans="1:13" x14ac:dyDescent="0.2">
      <c r="A364" t="s">
        <v>505</v>
      </c>
      <c r="B364" t="s">
        <v>184</v>
      </c>
      <c r="C364" t="s">
        <v>500</v>
      </c>
      <c r="D364" t="s">
        <v>145</v>
      </c>
      <c r="E364">
        <v>32.184051509772999</v>
      </c>
      <c r="F364">
        <v>25.790545556992701</v>
      </c>
      <c r="G364">
        <v>17.593987471051999</v>
      </c>
      <c r="H364">
        <v>15.548032809457499</v>
      </c>
      <c r="I364">
        <v>15.5605262464888</v>
      </c>
      <c r="J364">
        <v>15.9871963814061</v>
      </c>
      <c r="K364">
        <v>16.091605975104901</v>
      </c>
      <c r="L364">
        <v>16.2582160020517</v>
      </c>
      <c r="M364">
        <v>16.317714638715799</v>
      </c>
    </row>
    <row r="365" spans="1:13" x14ac:dyDescent="0.2">
      <c r="A365" t="s">
        <v>505</v>
      </c>
      <c r="B365" t="s">
        <v>184</v>
      </c>
      <c r="C365" t="s">
        <v>500</v>
      </c>
      <c r="D365" t="s">
        <v>129</v>
      </c>
      <c r="E365">
        <v>4.0566113456988298</v>
      </c>
      <c r="F365">
        <v>2.5724270871349901</v>
      </c>
      <c r="G365">
        <v>1.4424895677524801</v>
      </c>
      <c r="H365">
        <v>1.13924742539507</v>
      </c>
      <c r="I365">
        <v>1.03965564636638</v>
      </c>
      <c r="J365">
        <v>1.02198349229239</v>
      </c>
      <c r="K365">
        <v>1.0148563657413801</v>
      </c>
      <c r="L365">
        <v>1.01503532465236</v>
      </c>
      <c r="M365">
        <v>1.0151899457145299</v>
      </c>
    </row>
    <row r="366" spans="1:13" x14ac:dyDescent="0.2">
      <c r="A366" t="s">
        <v>505</v>
      </c>
      <c r="B366" t="s">
        <v>184</v>
      </c>
      <c r="C366" t="s">
        <v>500</v>
      </c>
      <c r="D366" t="s">
        <v>149</v>
      </c>
      <c r="E366">
        <v>5.7853229299281397E-2</v>
      </c>
      <c r="F366">
        <v>2.9073352809047302E-2</v>
      </c>
      <c r="G366">
        <v>1.58088583493518E-2</v>
      </c>
      <c r="H366">
        <v>1.27598175965856E-2</v>
      </c>
      <c r="I366">
        <v>1.25765761718582E-2</v>
      </c>
      <c r="J366">
        <v>1.28662791289052E-2</v>
      </c>
      <c r="K366">
        <v>1.2955321110398099E-2</v>
      </c>
      <c r="L366">
        <v>1.30753171444039E-2</v>
      </c>
      <c r="M366">
        <v>1.31164603255322E-2</v>
      </c>
    </row>
    <row r="367" spans="1:13" x14ac:dyDescent="0.2">
      <c r="A367" t="s">
        <v>505</v>
      </c>
      <c r="B367" t="s">
        <v>184</v>
      </c>
      <c r="C367" t="s">
        <v>500</v>
      </c>
      <c r="D367" t="s">
        <v>147</v>
      </c>
      <c r="E367">
        <v>4.2091134803139398E-2</v>
      </c>
      <c r="F367">
        <v>2.9413368678447099E-2</v>
      </c>
      <c r="G367">
        <v>2.1908117014146501E-2</v>
      </c>
      <c r="H367">
        <v>1.51235650548124E-2</v>
      </c>
      <c r="I367">
        <v>1.29093526067743E-2</v>
      </c>
      <c r="J367">
        <v>1.25399672188876E-2</v>
      </c>
      <c r="K367">
        <v>1.2248391252448299E-2</v>
      </c>
      <c r="L367">
        <v>1.22999318738547E-2</v>
      </c>
      <c r="M367">
        <v>1.23186618660251E-2</v>
      </c>
    </row>
    <row r="368" spans="1:13" x14ac:dyDescent="0.2">
      <c r="A368" t="s">
        <v>505</v>
      </c>
      <c r="B368" t="s">
        <v>184</v>
      </c>
      <c r="C368" t="s">
        <v>500</v>
      </c>
      <c r="D368" t="s">
        <v>155</v>
      </c>
      <c r="E368">
        <v>4.3399422117819303E-2</v>
      </c>
      <c r="F368">
        <v>4.3400015102987403E-2</v>
      </c>
      <c r="G368">
        <v>5.51180775849354E-2</v>
      </c>
      <c r="H368">
        <v>5.5092760124654402E-2</v>
      </c>
      <c r="I368">
        <v>5.5018575060889002E-2</v>
      </c>
      <c r="J368">
        <v>5.4999024433032603E-2</v>
      </c>
      <c r="K368">
        <v>5.49947267932255E-2</v>
      </c>
      <c r="L368">
        <v>5.4993686114600697E-2</v>
      </c>
      <c r="M368">
        <v>5.4993670901738401E-2</v>
      </c>
    </row>
    <row r="369" spans="1:13" x14ac:dyDescent="0.2">
      <c r="A369" t="s">
        <v>505</v>
      </c>
      <c r="B369" t="s">
        <v>184</v>
      </c>
      <c r="C369" t="s">
        <v>500</v>
      </c>
      <c r="D369" t="s">
        <v>125</v>
      </c>
      <c r="E369">
        <v>1.9554990283156898E-2</v>
      </c>
      <c r="F369">
        <v>1.95685182638505E-2</v>
      </c>
      <c r="G369">
        <v>2.01604922584692E-2</v>
      </c>
      <c r="H369">
        <v>1.97911521572584E-2</v>
      </c>
      <c r="I369">
        <v>1.9142873562620798E-2</v>
      </c>
      <c r="J369">
        <v>1.89783356086532E-2</v>
      </c>
      <c r="K369">
        <v>1.8939180344523601E-2</v>
      </c>
      <c r="L369">
        <v>1.8932175415884701E-2</v>
      </c>
      <c r="M369">
        <v>1.89319567223225E-2</v>
      </c>
    </row>
    <row r="370" spans="1:13" x14ac:dyDescent="0.2">
      <c r="A370" t="s">
        <v>505</v>
      </c>
      <c r="B370" t="s">
        <v>184</v>
      </c>
      <c r="C370" t="s">
        <v>500</v>
      </c>
      <c r="D370" t="s">
        <v>137</v>
      </c>
      <c r="E370">
        <v>1.6076832062105699</v>
      </c>
      <c r="F370">
        <v>1.07737691728375</v>
      </c>
      <c r="G370">
        <v>0.66089486679656995</v>
      </c>
      <c r="H370">
        <v>0.50665329469086795</v>
      </c>
      <c r="I370">
        <v>0.45395027729947901</v>
      </c>
      <c r="J370">
        <v>0.44710959546622903</v>
      </c>
      <c r="K370">
        <v>0.44246515211993698</v>
      </c>
      <c r="L370">
        <v>0.44466448973498501</v>
      </c>
      <c r="M370">
        <v>0.44515250539012002</v>
      </c>
    </row>
    <row r="371" spans="1:13" x14ac:dyDescent="0.2">
      <c r="A371" t="s">
        <v>505</v>
      </c>
      <c r="B371" t="s">
        <v>184</v>
      </c>
      <c r="C371" t="s">
        <v>500</v>
      </c>
      <c r="D371" t="s">
        <v>120</v>
      </c>
      <c r="E371">
        <v>1130.1167624525301</v>
      </c>
      <c r="F371">
        <v>1130.8984145920599</v>
      </c>
      <c r="G371">
        <v>1405.3513402599599</v>
      </c>
      <c r="H371">
        <v>1379.6052405171799</v>
      </c>
      <c r="I371">
        <v>1334.4147184286501</v>
      </c>
      <c r="J371">
        <v>1322.9454628220101</v>
      </c>
      <c r="K371">
        <v>1320.2157375614299</v>
      </c>
      <c r="L371">
        <v>1319.7277214958499</v>
      </c>
      <c r="M371">
        <v>1319.71246990391</v>
      </c>
    </row>
    <row r="372" spans="1:13" x14ac:dyDescent="0.2">
      <c r="A372" t="s">
        <v>505</v>
      </c>
      <c r="B372" t="s">
        <v>184</v>
      </c>
      <c r="C372" t="s">
        <v>500</v>
      </c>
      <c r="D372" t="s">
        <v>133</v>
      </c>
      <c r="E372">
        <v>0.25577646184958402</v>
      </c>
      <c r="F372">
        <v>0.23859206785442999</v>
      </c>
      <c r="G372">
        <v>0.351764857744302</v>
      </c>
      <c r="H372">
        <v>0.34931824303782499</v>
      </c>
      <c r="I372">
        <v>0.34154946312290901</v>
      </c>
      <c r="J372">
        <v>0.33956199269290699</v>
      </c>
      <c r="K372">
        <v>0.33912280958847202</v>
      </c>
      <c r="L372">
        <v>0.33904138785011401</v>
      </c>
      <c r="M372">
        <v>0.33905343527213999</v>
      </c>
    </row>
    <row r="373" spans="1:13" x14ac:dyDescent="0.2">
      <c r="A373" t="s">
        <v>505</v>
      </c>
      <c r="B373" t="s">
        <v>184</v>
      </c>
      <c r="C373" t="s">
        <v>500</v>
      </c>
      <c r="D373" t="s">
        <v>141</v>
      </c>
      <c r="E373">
        <v>5.4814467904693999E-2</v>
      </c>
      <c r="F373">
        <v>3.9660843522864801E-2</v>
      </c>
      <c r="G373">
        <v>5.2889801360665199E-2</v>
      </c>
      <c r="H373">
        <v>5.2551386947303103E-2</v>
      </c>
      <c r="I373">
        <v>5.0945334073008497E-2</v>
      </c>
      <c r="J373">
        <v>5.0580577350149397E-2</v>
      </c>
      <c r="K373">
        <v>5.0495841537682197E-2</v>
      </c>
      <c r="L373">
        <v>5.0500593811481399E-2</v>
      </c>
      <c r="M373">
        <v>5.0513012114000298E-2</v>
      </c>
    </row>
    <row r="374" spans="1:13" x14ac:dyDescent="0.2">
      <c r="A374" t="s">
        <v>505</v>
      </c>
      <c r="B374" t="s">
        <v>186</v>
      </c>
      <c r="C374" t="s">
        <v>500</v>
      </c>
      <c r="D374" t="s">
        <v>145</v>
      </c>
      <c r="E374">
        <v>130.83848080286899</v>
      </c>
      <c r="F374">
        <v>69.1513563753808</v>
      </c>
      <c r="G374">
        <v>19.817984760190502</v>
      </c>
      <c r="H374">
        <v>17.220719333709599</v>
      </c>
      <c r="I374">
        <v>17.138637099239801</v>
      </c>
      <c r="J374">
        <v>17.632152503072199</v>
      </c>
      <c r="K374">
        <v>17.755687797126999</v>
      </c>
      <c r="L374">
        <v>17.941584451804498</v>
      </c>
      <c r="M374">
        <v>18.0048069260293</v>
      </c>
    </row>
    <row r="375" spans="1:13" x14ac:dyDescent="0.2">
      <c r="A375" t="s">
        <v>505</v>
      </c>
      <c r="B375" t="s">
        <v>186</v>
      </c>
      <c r="C375" t="s">
        <v>500</v>
      </c>
      <c r="D375" t="s">
        <v>129</v>
      </c>
      <c r="E375">
        <v>9.1319765062058504</v>
      </c>
      <c r="F375">
        <v>5.5211126740351997</v>
      </c>
      <c r="G375">
        <v>1.6178749329459601</v>
      </c>
      <c r="H375">
        <v>1.2717662893164099</v>
      </c>
      <c r="I375">
        <v>1.1726866302876999</v>
      </c>
      <c r="J375">
        <v>1.1568218913658399</v>
      </c>
      <c r="K375">
        <v>1.1498419858081399</v>
      </c>
      <c r="L375">
        <v>1.1502565377520699</v>
      </c>
      <c r="M375">
        <v>1.15043111371947</v>
      </c>
    </row>
    <row r="376" spans="1:13" x14ac:dyDescent="0.2">
      <c r="A376" t="s">
        <v>505</v>
      </c>
      <c r="B376" t="s">
        <v>186</v>
      </c>
      <c r="C376" t="s">
        <v>500</v>
      </c>
      <c r="D376" t="s">
        <v>149</v>
      </c>
      <c r="E376">
        <v>0.62504346102021602</v>
      </c>
      <c r="F376">
        <v>0.23204922511968301</v>
      </c>
      <c r="G376">
        <v>1.8847290687364501E-2</v>
      </c>
      <c r="H376">
        <v>1.50181456752262E-2</v>
      </c>
      <c r="I376">
        <v>1.46208045841804E-2</v>
      </c>
      <c r="J376">
        <v>1.49239047594049E-2</v>
      </c>
      <c r="K376">
        <v>1.5019413019286301E-2</v>
      </c>
      <c r="L376">
        <v>1.5153092065068799E-2</v>
      </c>
      <c r="M376">
        <v>1.5197280715758399E-2</v>
      </c>
    </row>
    <row r="377" spans="1:13" x14ac:dyDescent="0.2">
      <c r="A377" t="s">
        <v>505</v>
      </c>
      <c r="B377" t="s">
        <v>186</v>
      </c>
      <c r="C377" t="s">
        <v>500</v>
      </c>
      <c r="D377" t="s">
        <v>147</v>
      </c>
      <c r="E377">
        <v>0.136220551325273</v>
      </c>
      <c r="F377">
        <v>7.8581411328771694E-2</v>
      </c>
      <c r="G377">
        <v>2.7901639783808298E-2</v>
      </c>
      <c r="H377">
        <v>1.918958657892E-2</v>
      </c>
      <c r="I377">
        <v>1.63653759329912E-2</v>
      </c>
      <c r="J377">
        <v>1.5904522358171299E-2</v>
      </c>
      <c r="K377">
        <v>1.55783654289861E-2</v>
      </c>
      <c r="L377">
        <v>1.5635092695124999E-2</v>
      </c>
      <c r="M377">
        <v>1.5654923502366299E-2</v>
      </c>
    </row>
    <row r="378" spans="1:13" x14ac:dyDescent="0.2">
      <c r="A378" t="s">
        <v>505</v>
      </c>
      <c r="B378" t="s">
        <v>186</v>
      </c>
      <c r="C378" t="s">
        <v>500</v>
      </c>
      <c r="D378" t="s">
        <v>155</v>
      </c>
      <c r="E378">
        <v>5.78767923405668E-2</v>
      </c>
      <c r="F378">
        <v>5.7878614167795599E-2</v>
      </c>
      <c r="G378">
        <v>6.6011734406023898E-2</v>
      </c>
      <c r="H378">
        <v>6.6011880543447907E-2</v>
      </c>
      <c r="I378">
        <v>6.60108416242811E-2</v>
      </c>
      <c r="J378">
        <v>6.6010592604017995E-2</v>
      </c>
      <c r="K378">
        <v>6.6010460965888904E-2</v>
      </c>
      <c r="L378">
        <v>6.6010507177606106E-2</v>
      </c>
      <c r="M378">
        <v>6.6010478652079901E-2</v>
      </c>
    </row>
    <row r="379" spans="1:13" x14ac:dyDescent="0.2">
      <c r="A379" t="s">
        <v>505</v>
      </c>
      <c r="B379" t="s">
        <v>186</v>
      </c>
      <c r="C379" t="s">
        <v>500</v>
      </c>
      <c r="D379" t="s">
        <v>125</v>
      </c>
      <c r="E379">
        <v>2.8349118417612802E-2</v>
      </c>
      <c r="F379">
        <v>2.7649475988106201E-2</v>
      </c>
      <c r="G379">
        <v>2.4041393237435399E-2</v>
      </c>
      <c r="H379">
        <v>2.3674756516432201E-2</v>
      </c>
      <c r="I379">
        <v>2.3163709294895699E-2</v>
      </c>
      <c r="J379">
        <v>2.30411322742359E-2</v>
      </c>
      <c r="K379">
        <v>2.30104772532812E-2</v>
      </c>
      <c r="L379">
        <v>2.3006075572322301E-2</v>
      </c>
      <c r="M379">
        <v>2.30058103409179E-2</v>
      </c>
    </row>
    <row r="380" spans="1:13" x14ac:dyDescent="0.2">
      <c r="A380" t="s">
        <v>505</v>
      </c>
      <c r="B380" t="s">
        <v>186</v>
      </c>
      <c r="C380" t="s">
        <v>500</v>
      </c>
      <c r="D380" t="s">
        <v>137</v>
      </c>
      <c r="E380">
        <v>10.6632197589814</v>
      </c>
      <c r="F380">
        <v>4.8239495150941396</v>
      </c>
      <c r="G380">
        <v>0.81908851058061705</v>
      </c>
      <c r="H380">
        <v>0.62586158145999404</v>
      </c>
      <c r="I380">
        <v>0.57122462058997703</v>
      </c>
      <c r="J380">
        <v>0.56704170620868999</v>
      </c>
      <c r="K380">
        <v>0.56343324146208396</v>
      </c>
      <c r="L380">
        <v>0.56643140863739405</v>
      </c>
      <c r="M380">
        <v>0.56703635625762505</v>
      </c>
    </row>
    <row r="381" spans="1:13" x14ac:dyDescent="0.2">
      <c r="A381" t="s">
        <v>505</v>
      </c>
      <c r="B381" t="s">
        <v>186</v>
      </c>
      <c r="C381" t="s">
        <v>500</v>
      </c>
      <c r="D381" t="s">
        <v>120</v>
      </c>
      <c r="E381">
        <v>1638.3455086040899</v>
      </c>
      <c r="F381">
        <v>1597.91146698485</v>
      </c>
      <c r="G381">
        <v>1675.8815285015601</v>
      </c>
      <c r="H381">
        <v>1650.32431693742</v>
      </c>
      <c r="I381">
        <v>1614.69992415768</v>
      </c>
      <c r="J381">
        <v>1606.15558948889</v>
      </c>
      <c r="K381">
        <v>1604.0186206973899</v>
      </c>
      <c r="L381">
        <v>1603.71196653328</v>
      </c>
      <c r="M381">
        <v>1603.6927150798599</v>
      </c>
    </row>
    <row r="382" spans="1:13" x14ac:dyDescent="0.2">
      <c r="A382" t="s">
        <v>505</v>
      </c>
      <c r="B382" t="s">
        <v>186</v>
      </c>
      <c r="C382" t="s">
        <v>500</v>
      </c>
      <c r="D382" t="s">
        <v>133</v>
      </c>
      <c r="E382">
        <v>0.73529708323819798</v>
      </c>
      <c r="F382">
        <v>0.50377232353792301</v>
      </c>
      <c r="G382">
        <v>0.46277242259546703</v>
      </c>
      <c r="H382">
        <v>0.460021400855742</v>
      </c>
      <c r="I382">
        <v>0.452859239004402</v>
      </c>
      <c r="J382">
        <v>0.451173530693247</v>
      </c>
      <c r="K382">
        <v>0.450827249569491</v>
      </c>
      <c r="L382">
        <v>0.45077517726501898</v>
      </c>
      <c r="M382">
        <v>0.45078915116546198</v>
      </c>
    </row>
    <row r="383" spans="1:13" x14ac:dyDescent="0.2">
      <c r="A383" t="s">
        <v>505</v>
      </c>
      <c r="B383" t="s">
        <v>186</v>
      </c>
      <c r="C383" t="s">
        <v>500</v>
      </c>
      <c r="D383" t="s">
        <v>141</v>
      </c>
      <c r="E383">
        <v>0.32686256972546901</v>
      </c>
      <c r="F383">
        <v>0.12210843934221401</v>
      </c>
      <c r="G383">
        <v>6.7146210191433603E-2</v>
      </c>
      <c r="H383">
        <v>6.6587970120787598E-2</v>
      </c>
      <c r="I383">
        <v>6.5405051516030002E-2</v>
      </c>
      <c r="J383">
        <v>6.5233637829240507E-2</v>
      </c>
      <c r="K383">
        <v>6.5212571890131396E-2</v>
      </c>
      <c r="L383">
        <v>6.5238116883072003E-2</v>
      </c>
      <c r="M383">
        <v>6.5252352689838797E-2</v>
      </c>
    </row>
    <row r="384" spans="1:13" x14ac:dyDescent="0.2">
      <c r="A384" t="s">
        <v>505</v>
      </c>
      <c r="B384" t="s">
        <v>188</v>
      </c>
      <c r="C384" t="s">
        <v>500</v>
      </c>
      <c r="D384" t="s">
        <v>145</v>
      </c>
      <c r="E384">
        <v>44.405857011560997</v>
      </c>
      <c r="F384">
        <v>36.848029493126198</v>
      </c>
      <c r="G384">
        <v>14.0750386718197</v>
      </c>
      <c r="H384">
        <v>12.254998131296899</v>
      </c>
      <c r="I384">
        <v>12.2179762392729</v>
      </c>
      <c r="J384">
        <v>12.5483128548097</v>
      </c>
      <c r="K384">
        <v>12.6290552691631</v>
      </c>
      <c r="L384">
        <v>12.756109867155899</v>
      </c>
      <c r="M384">
        <v>12.800533369187299</v>
      </c>
    </row>
    <row r="385" spans="1:13" x14ac:dyDescent="0.2">
      <c r="A385" t="s">
        <v>505</v>
      </c>
      <c r="B385" t="s">
        <v>188</v>
      </c>
      <c r="C385" t="s">
        <v>500</v>
      </c>
      <c r="D385" t="s">
        <v>129</v>
      </c>
      <c r="E385">
        <v>4.9618269183312798</v>
      </c>
      <c r="F385">
        <v>3.5223524226374598</v>
      </c>
      <c r="G385">
        <v>1.2618027970035901</v>
      </c>
      <c r="H385">
        <v>0.99784143742540199</v>
      </c>
      <c r="I385">
        <v>0.92115341275504903</v>
      </c>
      <c r="J385">
        <v>0.90873745362837199</v>
      </c>
      <c r="K385">
        <v>0.903404659383922</v>
      </c>
      <c r="L385">
        <v>0.90367749375583695</v>
      </c>
      <c r="M385">
        <v>0.90380303336619205</v>
      </c>
    </row>
    <row r="386" spans="1:13" x14ac:dyDescent="0.2">
      <c r="A386" t="s">
        <v>505</v>
      </c>
      <c r="B386" t="s">
        <v>188</v>
      </c>
      <c r="C386" t="s">
        <v>500</v>
      </c>
      <c r="D386" t="s">
        <v>149</v>
      </c>
      <c r="E386">
        <v>7.9223624422698202E-2</v>
      </c>
      <c r="F386">
        <v>4.9616772406464199E-2</v>
      </c>
      <c r="G386">
        <v>1.1730401934771701E-2</v>
      </c>
      <c r="H386">
        <v>9.4240573443951908E-3</v>
      </c>
      <c r="I386">
        <v>9.2771376980736696E-3</v>
      </c>
      <c r="J386">
        <v>9.4970065030402697E-3</v>
      </c>
      <c r="K386">
        <v>9.5652604789833208E-3</v>
      </c>
      <c r="L386">
        <v>9.6560772920169392E-3</v>
      </c>
      <c r="M386">
        <v>9.6867337196690894E-3</v>
      </c>
    </row>
    <row r="387" spans="1:13" x14ac:dyDescent="0.2">
      <c r="A387" t="s">
        <v>505</v>
      </c>
      <c r="B387" t="s">
        <v>188</v>
      </c>
      <c r="C387" t="s">
        <v>500</v>
      </c>
      <c r="D387" t="s">
        <v>147</v>
      </c>
      <c r="E387">
        <v>4.23785786247831E-2</v>
      </c>
      <c r="F387">
        <v>3.6476147142376902E-2</v>
      </c>
      <c r="G387">
        <v>1.5910071003880501E-2</v>
      </c>
      <c r="H387">
        <v>1.0887161334639401E-2</v>
      </c>
      <c r="I387">
        <v>9.2481178897355007E-3</v>
      </c>
      <c r="J387">
        <v>8.9851479443452901E-3</v>
      </c>
      <c r="K387">
        <v>8.7728322711615007E-3</v>
      </c>
      <c r="L387">
        <v>8.8121160479205408E-3</v>
      </c>
      <c r="M387">
        <v>8.8260551340968493E-3</v>
      </c>
    </row>
    <row r="388" spans="1:13" x14ac:dyDescent="0.2">
      <c r="A388" t="s">
        <v>505</v>
      </c>
      <c r="B388" t="s">
        <v>188</v>
      </c>
      <c r="C388" t="s">
        <v>500</v>
      </c>
      <c r="D388" t="s">
        <v>155</v>
      </c>
      <c r="E388">
        <v>4.49194482849559E-2</v>
      </c>
      <c r="F388">
        <v>4.5044780297083503E-2</v>
      </c>
      <c r="G388">
        <v>4.5736190408202697E-2</v>
      </c>
      <c r="H388">
        <v>4.5759494534362899E-2</v>
      </c>
      <c r="I388">
        <v>4.5817996189111899E-2</v>
      </c>
      <c r="J388">
        <v>4.5833049406016901E-2</v>
      </c>
      <c r="K388">
        <v>4.5836329184160897E-2</v>
      </c>
      <c r="L388">
        <v>4.58372025008323E-2</v>
      </c>
      <c r="M388">
        <v>4.5837179172897799E-2</v>
      </c>
    </row>
    <row r="389" spans="1:13" x14ac:dyDescent="0.2">
      <c r="A389" t="s">
        <v>505</v>
      </c>
      <c r="B389" t="s">
        <v>188</v>
      </c>
      <c r="C389" t="s">
        <v>500</v>
      </c>
      <c r="D389" t="s">
        <v>125</v>
      </c>
      <c r="E389">
        <v>2.2268353622481699E-2</v>
      </c>
      <c r="F389">
        <v>2.15800397384973E-2</v>
      </c>
      <c r="G389">
        <v>1.6580182769147099E-2</v>
      </c>
      <c r="H389">
        <v>1.6324389370389901E-2</v>
      </c>
      <c r="I389">
        <v>1.5962239345052798E-2</v>
      </c>
      <c r="J389">
        <v>1.5873905588610002E-2</v>
      </c>
      <c r="K389">
        <v>1.5851896144737601E-2</v>
      </c>
      <c r="L389">
        <v>1.58486207061387E-2</v>
      </c>
      <c r="M389">
        <v>1.5848421937017101E-2</v>
      </c>
    </row>
    <row r="390" spans="1:13" x14ac:dyDescent="0.2">
      <c r="A390" t="s">
        <v>505</v>
      </c>
      <c r="B390" t="s">
        <v>188</v>
      </c>
      <c r="C390" t="s">
        <v>500</v>
      </c>
      <c r="D390" t="s">
        <v>137</v>
      </c>
      <c r="E390">
        <v>2.14680819384954</v>
      </c>
      <c r="F390">
        <v>1.6414932721656601</v>
      </c>
      <c r="G390">
        <v>0.47923130880280401</v>
      </c>
      <c r="H390">
        <v>0.36532781197988201</v>
      </c>
      <c r="I390">
        <v>0.334636907672411</v>
      </c>
      <c r="J390">
        <v>0.33199768040625</v>
      </c>
      <c r="K390">
        <v>0.32940217473438299</v>
      </c>
      <c r="L390">
        <v>0.33126268454531199</v>
      </c>
      <c r="M390">
        <v>0.331634896570775</v>
      </c>
    </row>
    <row r="391" spans="1:13" x14ac:dyDescent="0.2">
      <c r="A391" t="s">
        <v>505</v>
      </c>
      <c r="B391" t="s">
        <v>188</v>
      </c>
      <c r="C391" t="s">
        <v>500</v>
      </c>
      <c r="D391" t="s">
        <v>120</v>
      </c>
      <c r="E391">
        <v>1245.3418505198399</v>
      </c>
      <c r="F391">
        <v>1233.52680028807</v>
      </c>
      <c r="G391">
        <v>1155.77413052821</v>
      </c>
      <c r="H391">
        <v>1137.9436610154601</v>
      </c>
      <c r="I391">
        <v>1112.6987382597499</v>
      </c>
      <c r="J391">
        <v>1106.54119248744</v>
      </c>
      <c r="K391">
        <v>1105.0069411203201</v>
      </c>
      <c r="L391">
        <v>1104.77778091038</v>
      </c>
      <c r="M391">
        <v>1104.7649925096</v>
      </c>
    </row>
    <row r="392" spans="1:13" x14ac:dyDescent="0.2">
      <c r="A392" t="s">
        <v>505</v>
      </c>
      <c r="B392" t="s">
        <v>188</v>
      </c>
      <c r="C392" t="s">
        <v>500</v>
      </c>
      <c r="D392" t="s">
        <v>133</v>
      </c>
      <c r="E392">
        <v>0.316522847739098</v>
      </c>
      <c r="F392">
        <v>0.296906260657962</v>
      </c>
      <c r="G392">
        <v>0.23822746383424401</v>
      </c>
      <c r="H392">
        <v>0.23861290236278199</v>
      </c>
      <c r="I392">
        <v>0.23938243498850501</v>
      </c>
      <c r="J392">
        <v>0.23966935323295199</v>
      </c>
      <c r="K392">
        <v>0.239739729662128</v>
      </c>
      <c r="L392">
        <v>0.239781897722738</v>
      </c>
      <c r="M392">
        <v>0.23979416449461</v>
      </c>
    </row>
    <row r="393" spans="1:13" x14ac:dyDescent="0.2">
      <c r="A393" t="s">
        <v>505</v>
      </c>
      <c r="B393" t="s">
        <v>188</v>
      </c>
      <c r="C393" t="s">
        <v>500</v>
      </c>
      <c r="D393" t="s">
        <v>141</v>
      </c>
      <c r="E393">
        <v>8.6551780570898199E-2</v>
      </c>
      <c r="F393">
        <v>6.4372293434568101E-2</v>
      </c>
      <c r="G393">
        <v>3.7426910923255501E-2</v>
      </c>
      <c r="H393">
        <v>3.7415863467985699E-2</v>
      </c>
      <c r="I393">
        <v>3.7155994555793902E-2</v>
      </c>
      <c r="J393">
        <v>3.71692451762419E-2</v>
      </c>
      <c r="K393">
        <v>3.71792258741903E-2</v>
      </c>
      <c r="L393">
        <v>3.7203306400845099E-2</v>
      </c>
      <c r="M393">
        <v>3.7213861680524402E-2</v>
      </c>
    </row>
    <row r="394" spans="1:13" x14ac:dyDescent="0.2">
      <c r="A394" t="s">
        <v>505</v>
      </c>
      <c r="B394" t="s">
        <v>190</v>
      </c>
      <c r="C394" t="s">
        <v>500</v>
      </c>
      <c r="D394" t="s">
        <v>145</v>
      </c>
      <c r="E394">
        <v>90.191733728878702</v>
      </c>
      <c r="F394">
        <v>57.854593707734402</v>
      </c>
      <c r="G394">
        <v>30.439196833936801</v>
      </c>
      <c r="H394">
        <v>28.2649013216366</v>
      </c>
      <c r="I394">
        <v>29.534698697919499</v>
      </c>
      <c r="J394">
        <v>30.882451342188901</v>
      </c>
      <c r="K394">
        <v>31.2274964250777</v>
      </c>
      <c r="L394">
        <v>31.6561745639336</v>
      </c>
      <c r="M394">
        <v>31.800591464728001</v>
      </c>
    </row>
    <row r="395" spans="1:13" x14ac:dyDescent="0.2">
      <c r="A395" t="s">
        <v>505</v>
      </c>
      <c r="B395" t="s">
        <v>190</v>
      </c>
      <c r="C395" t="s">
        <v>500</v>
      </c>
      <c r="D395" t="s">
        <v>129</v>
      </c>
      <c r="E395">
        <v>6.2719490238573599</v>
      </c>
      <c r="F395">
        <v>3.54586562371545</v>
      </c>
      <c r="G395">
        <v>1.5390863619428401</v>
      </c>
      <c r="H395">
        <v>1.17307553707704</v>
      </c>
      <c r="I395">
        <v>1.0487695492759499</v>
      </c>
      <c r="J395">
        <v>1.0243777697646099</v>
      </c>
      <c r="K395">
        <v>1.01315476025102</v>
      </c>
      <c r="L395">
        <v>1.01368282027686</v>
      </c>
      <c r="M395">
        <v>1.0139821488193099</v>
      </c>
    </row>
    <row r="396" spans="1:13" x14ac:dyDescent="0.2">
      <c r="A396" t="s">
        <v>505</v>
      </c>
      <c r="B396" t="s">
        <v>190</v>
      </c>
      <c r="C396" t="s">
        <v>500</v>
      </c>
      <c r="D396" t="s">
        <v>149</v>
      </c>
      <c r="E396">
        <v>0.34764874845075999</v>
      </c>
      <c r="F396">
        <v>0.14142715332318501</v>
      </c>
      <c r="G396">
        <v>2.8640359201048099E-2</v>
      </c>
      <c r="H396">
        <v>2.3851757275478599E-2</v>
      </c>
      <c r="I396">
        <v>2.44690782189021E-2</v>
      </c>
      <c r="J396">
        <v>2.5450390210075498E-2</v>
      </c>
      <c r="K396">
        <v>2.5745715046546401E-2</v>
      </c>
      <c r="L396">
        <v>2.6059342938699701E-2</v>
      </c>
      <c r="M396">
        <v>2.6160400057414299E-2</v>
      </c>
    </row>
    <row r="397" spans="1:13" x14ac:dyDescent="0.2">
      <c r="A397" t="s">
        <v>505</v>
      </c>
      <c r="B397" t="s">
        <v>190</v>
      </c>
      <c r="C397" t="s">
        <v>500</v>
      </c>
      <c r="D397" t="s">
        <v>147</v>
      </c>
      <c r="E397">
        <v>0.10324282903592</v>
      </c>
      <c r="F397">
        <v>6.5839025751757901E-2</v>
      </c>
      <c r="G397">
        <v>3.3013078185438E-2</v>
      </c>
      <c r="H397">
        <v>2.22676216275507E-2</v>
      </c>
      <c r="I397">
        <v>1.8691589461130299E-2</v>
      </c>
      <c r="J397">
        <v>1.8191418075059002E-2</v>
      </c>
      <c r="K397">
        <v>1.75998124004558E-2</v>
      </c>
      <c r="L397">
        <v>1.77356234724158E-2</v>
      </c>
      <c r="M397">
        <v>1.7781712985484099E-2</v>
      </c>
    </row>
    <row r="398" spans="1:13" x14ac:dyDescent="0.2">
      <c r="A398" t="s">
        <v>505</v>
      </c>
      <c r="B398" t="s">
        <v>190</v>
      </c>
      <c r="C398" t="s">
        <v>500</v>
      </c>
      <c r="D398" t="s">
        <v>155</v>
      </c>
      <c r="E398">
        <v>4.4374916412660802E-2</v>
      </c>
      <c r="F398">
        <v>4.4376196385727797E-2</v>
      </c>
      <c r="G398">
        <v>5.2118868523528802E-2</v>
      </c>
      <c r="H398">
        <v>5.2132349413666103E-2</v>
      </c>
      <c r="I398">
        <v>5.21711043619991E-2</v>
      </c>
      <c r="J398">
        <v>5.2181552336128E-2</v>
      </c>
      <c r="K398">
        <v>5.21837897669589E-2</v>
      </c>
      <c r="L398">
        <v>5.2184377186595597E-2</v>
      </c>
      <c r="M398">
        <v>5.2184437559851103E-2</v>
      </c>
    </row>
    <row r="399" spans="1:13" x14ac:dyDescent="0.2">
      <c r="A399" t="s">
        <v>505</v>
      </c>
      <c r="B399" t="s">
        <v>190</v>
      </c>
      <c r="C399" t="s">
        <v>500</v>
      </c>
      <c r="D399" t="s">
        <v>125</v>
      </c>
      <c r="E399">
        <v>2.1480399186289099E-2</v>
      </c>
      <c r="F399">
        <v>2.12159707578937E-2</v>
      </c>
      <c r="G399">
        <v>1.98447183890453E-2</v>
      </c>
      <c r="H399">
        <v>1.9459715058680899E-2</v>
      </c>
      <c r="I399">
        <v>1.8749491555680699E-2</v>
      </c>
      <c r="J399">
        <v>1.8570836872203001E-2</v>
      </c>
      <c r="K399">
        <v>1.8528673088893999E-2</v>
      </c>
      <c r="L399">
        <v>1.8523329942848499E-2</v>
      </c>
      <c r="M399">
        <v>1.85240308404678E-2</v>
      </c>
    </row>
    <row r="400" spans="1:13" x14ac:dyDescent="0.2">
      <c r="A400" t="s">
        <v>505</v>
      </c>
      <c r="B400" t="s">
        <v>190</v>
      </c>
      <c r="C400" t="s">
        <v>500</v>
      </c>
      <c r="D400" t="s">
        <v>137</v>
      </c>
      <c r="E400">
        <v>6.1897171455643996</v>
      </c>
      <c r="F400">
        <v>2.9467128361474</v>
      </c>
      <c r="G400">
        <v>0.87646546659881797</v>
      </c>
      <c r="H400">
        <v>0.63725747288066603</v>
      </c>
      <c r="I400">
        <v>0.56209464698364098</v>
      </c>
      <c r="J400">
        <v>0.55142425018993102</v>
      </c>
      <c r="K400">
        <v>0.54197445474169104</v>
      </c>
      <c r="L400">
        <v>0.54705176135937394</v>
      </c>
      <c r="M400">
        <v>0.54797129774840603</v>
      </c>
    </row>
    <row r="401" spans="1:13" x14ac:dyDescent="0.2">
      <c r="A401" t="s">
        <v>505</v>
      </c>
      <c r="B401" t="s">
        <v>190</v>
      </c>
      <c r="C401" t="s">
        <v>500</v>
      </c>
      <c r="D401" t="s">
        <v>120</v>
      </c>
      <c r="E401">
        <v>1241.38928176117</v>
      </c>
      <c r="F401">
        <v>1226.10777955711</v>
      </c>
      <c r="G401">
        <v>1383.33894651986</v>
      </c>
      <c r="H401">
        <v>1356.5010921445701</v>
      </c>
      <c r="I401">
        <v>1306.9931195674901</v>
      </c>
      <c r="J401">
        <v>1294.5393575191799</v>
      </c>
      <c r="K401">
        <v>1291.60029261402</v>
      </c>
      <c r="L401">
        <v>1291.22786948009</v>
      </c>
      <c r="M401">
        <v>1291.2762589420699</v>
      </c>
    </row>
    <row r="402" spans="1:13" x14ac:dyDescent="0.2">
      <c r="A402" t="s">
        <v>505</v>
      </c>
      <c r="B402" t="s">
        <v>190</v>
      </c>
      <c r="C402" t="s">
        <v>500</v>
      </c>
      <c r="D402" t="s">
        <v>133</v>
      </c>
      <c r="E402">
        <v>0.431302480142082</v>
      </c>
      <c r="F402">
        <v>0.30380256982536802</v>
      </c>
      <c r="G402">
        <v>0.33709491699606497</v>
      </c>
      <c r="H402">
        <v>0.33516632877566999</v>
      </c>
      <c r="I402">
        <v>0.32912031916096701</v>
      </c>
      <c r="J402">
        <v>0.32758501468683399</v>
      </c>
      <c r="K402">
        <v>0.32722883547270099</v>
      </c>
      <c r="L402">
        <v>0.32719882154575503</v>
      </c>
      <c r="M402">
        <v>0.327223389729702</v>
      </c>
    </row>
    <row r="403" spans="1:13" x14ac:dyDescent="0.2">
      <c r="A403" t="s">
        <v>505</v>
      </c>
      <c r="B403" t="s">
        <v>190</v>
      </c>
      <c r="C403" t="s">
        <v>500</v>
      </c>
      <c r="D403" t="s">
        <v>141</v>
      </c>
      <c r="E403">
        <v>0.17747003545562401</v>
      </c>
      <c r="F403">
        <v>6.4774980240540195E-2</v>
      </c>
      <c r="G403">
        <v>5.2197571243419401E-2</v>
      </c>
      <c r="H403">
        <v>5.1709470142354899E-2</v>
      </c>
      <c r="I403">
        <v>5.0080554256354597E-2</v>
      </c>
      <c r="J403">
        <v>4.9730195246478197E-2</v>
      </c>
      <c r="K403">
        <v>4.9636064827908E-2</v>
      </c>
      <c r="L403">
        <v>4.96653353802936E-2</v>
      </c>
      <c r="M403">
        <v>4.9688283166283001E-2</v>
      </c>
    </row>
  </sheetData>
  <phoneticPr fontId="9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108"/>
  <sheetViews>
    <sheetView topLeftCell="A14" workbookViewId="0">
      <selection activeCell="C44" sqref="C44"/>
    </sheetView>
  </sheetViews>
  <sheetFormatPr defaultColWidth="9.140625" defaultRowHeight="12" x14ac:dyDescent="0.2"/>
  <cols>
    <col min="1" max="1" width="46" style="305" customWidth="1"/>
    <col min="2" max="13" width="9.140625" style="304"/>
    <col min="14" max="16384" width="9.140625" style="305"/>
  </cols>
  <sheetData>
    <row r="1" spans="1:13" x14ac:dyDescent="0.2">
      <c r="A1" s="302"/>
      <c r="B1" s="303" t="s">
        <v>511</v>
      </c>
    </row>
    <row r="2" spans="1:13" x14ac:dyDescent="0.2">
      <c r="A2" s="1129" t="s">
        <v>512</v>
      </c>
      <c r="B2" s="1130"/>
      <c r="C2" s="1131"/>
      <c r="D2" s="1131"/>
      <c r="E2" s="1131"/>
      <c r="F2" s="1131"/>
      <c r="G2" s="1131"/>
      <c r="H2" s="1131"/>
      <c r="I2" s="1131"/>
      <c r="J2" s="1131"/>
      <c r="K2" s="1131"/>
      <c r="L2" s="1131"/>
      <c r="M2" s="1131"/>
    </row>
    <row r="3" spans="1:13" x14ac:dyDescent="0.2">
      <c r="A3" s="1132"/>
      <c r="B3" s="1131"/>
      <c r="C3" s="1130">
        <v>2005</v>
      </c>
      <c r="D3" s="1130">
        <v>2010</v>
      </c>
      <c r="E3" s="1130">
        <v>2015</v>
      </c>
      <c r="F3" s="1130">
        <v>2020</v>
      </c>
      <c r="G3" s="1130">
        <v>2025</v>
      </c>
      <c r="H3" s="1130">
        <v>2030</v>
      </c>
      <c r="I3" s="1130">
        <v>2035</v>
      </c>
      <c r="J3" s="1130">
        <v>2040</v>
      </c>
      <c r="K3" s="1130">
        <v>2045</v>
      </c>
      <c r="L3" s="1130">
        <v>2050</v>
      </c>
      <c r="M3" s="1130">
        <v>2055</v>
      </c>
    </row>
    <row r="4" spans="1:13" x14ac:dyDescent="0.2">
      <c r="A4" s="1132" t="s">
        <v>513</v>
      </c>
      <c r="B4" s="1131" t="s">
        <v>89</v>
      </c>
      <c r="C4" s="1133">
        <f>TransDemand!C17</f>
        <v>0</v>
      </c>
      <c r="D4" s="1133">
        <f>TransDemand!D17</f>
        <v>0</v>
      </c>
      <c r="E4" s="1133">
        <f>TransDemand!E17</f>
        <v>0</v>
      </c>
      <c r="F4" s="1133">
        <f>TransDemand!F17</f>
        <v>0</v>
      </c>
      <c r="G4" s="1133">
        <f>TransDemand!G17</f>
        <v>0</v>
      </c>
      <c r="H4" s="1133">
        <f>TransDemand!H17</f>
        <v>0</v>
      </c>
      <c r="I4" s="1133">
        <f>TransDemand!I17</f>
        <v>0</v>
      </c>
      <c r="J4" s="1133">
        <f>TransDemand!J17</f>
        <v>0</v>
      </c>
      <c r="K4" s="1133">
        <f>TransDemand!K17</f>
        <v>0</v>
      </c>
      <c r="L4" s="1133">
        <f>TransDemand!L17</f>
        <v>0</v>
      </c>
      <c r="M4" s="1133">
        <f>TransDemand!M17</f>
        <v>0</v>
      </c>
    </row>
    <row r="5" spans="1:13" x14ac:dyDescent="0.2">
      <c r="A5" s="1132" t="s">
        <v>514</v>
      </c>
      <c r="B5" s="1131" t="s">
        <v>93</v>
      </c>
      <c r="C5" s="1133">
        <f>TransDemand!C95</f>
        <v>8.1762146617053999E-2</v>
      </c>
      <c r="D5" s="1133">
        <f>TransDemand!D95</f>
        <v>8.1762146617053999E-2</v>
      </c>
      <c r="E5" s="1133">
        <f>TransDemand!E95</f>
        <v>7.8708991204952131E-2</v>
      </c>
      <c r="F5" s="1133">
        <f>TransDemand!F95</f>
        <v>8.1963543498152575E-2</v>
      </c>
      <c r="G5" s="1133">
        <f>TransDemand!G95</f>
        <v>8.5365562413495327E-2</v>
      </c>
      <c r="H5" s="1133">
        <f>TransDemand!H95</f>
        <v>8.8785315850784599E-2</v>
      </c>
      <c r="I5" s="1133">
        <f>TransDemand!I95</f>
        <v>9.2129515555389049E-2</v>
      </c>
      <c r="J5" s="1133">
        <f>TransDemand!J95</f>
        <v>9.5354893567507898E-2</v>
      </c>
      <c r="K5" s="1133">
        <f>TransDemand!K95</f>
        <v>9.96654018613847E-2</v>
      </c>
      <c r="L5" s="1133">
        <f>TransDemand!L95</f>
        <v>0.10452850404781337</v>
      </c>
      <c r="M5" s="1133">
        <f>TransDemand!M95</f>
        <v>0.11000703265171524</v>
      </c>
    </row>
    <row r="6" spans="1:13" x14ac:dyDescent="0.2">
      <c r="A6" s="1132" t="s">
        <v>515</v>
      </c>
      <c r="B6" s="1131" t="s">
        <v>96</v>
      </c>
      <c r="C6" s="1133">
        <f>TransDemand!C121</f>
        <v>0</v>
      </c>
      <c r="D6" s="1133">
        <f>TransDemand!D121</f>
        <v>0</v>
      </c>
      <c r="E6" s="1133">
        <f>TransDemand!E121</f>
        <v>0</v>
      </c>
      <c r="F6" s="1133">
        <f>TransDemand!F121</f>
        <v>0</v>
      </c>
      <c r="G6" s="1133">
        <f>TransDemand!G121</f>
        <v>0</v>
      </c>
      <c r="H6" s="1133">
        <f>TransDemand!H121</f>
        <v>0</v>
      </c>
      <c r="I6" s="1133">
        <f>TransDemand!I121</f>
        <v>0</v>
      </c>
      <c r="J6" s="1133">
        <f>TransDemand!J121</f>
        <v>0</v>
      </c>
      <c r="K6" s="1133">
        <f>TransDemand!K121</f>
        <v>0</v>
      </c>
      <c r="L6" s="1133">
        <f>TransDemand!L121</f>
        <v>0</v>
      </c>
      <c r="M6" s="1133">
        <f>TransDemand!M121</f>
        <v>0</v>
      </c>
    </row>
    <row r="7" spans="1:13" x14ac:dyDescent="0.2">
      <c r="A7" s="1132" t="s">
        <v>516</v>
      </c>
      <c r="B7" s="1131" t="s">
        <v>98</v>
      </c>
      <c r="C7" s="1133">
        <f>TransDemand!C30</f>
        <v>0.2675698632123823</v>
      </c>
      <c r="D7" s="1133">
        <f>TransDemand!D30</f>
        <v>0.2675698632123823</v>
      </c>
      <c r="E7" s="1133">
        <f>TransDemand!E30</f>
        <v>0.28773600405839145</v>
      </c>
      <c r="F7" s="1133">
        <f>TransDemand!F30</f>
        <v>0.30020742901235703</v>
      </c>
      <c r="G7" s="1133">
        <f>TransDemand!G30</f>
        <v>0.31667270576210338</v>
      </c>
      <c r="H7" s="1133">
        <f>TransDemand!H30</f>
        <v>0.32848566460351558</v>
      </c>
      <c r="I7" s="1133">
        <f>TransDemand!I30</f>
        <v>0.34455910938941908</v>
      </c>
      <c r="J7" s="1133">
        <f>TransDemand!J30</f>
        <v>0.36460463206240573</v>
      </c>
      <c r="K7" s="1133">
        <f>TransDemand!K30</f>
        <v>0.38877517855016508</v>
      </c>
      <c r="L7" s="1133">
        <f>TransDemand!L30</f>
        <v>0.40971868754183266</v>
      </c>
      <c r="M7" s="1133">
        <f>TransDemand!M30</f>
        <v>0.43213554767769791</v>
      </c>
    </row>
    <row r="8" spans="1:13" x14ac:dyDescent="0.2">
      <c r="A8" s="1132" t="s">
        <v>517</v>
      </c>
      <c r="B8" s="1131" t="s">
        <v>100</v>
      </c>
      <c r="C8" s="1133">
        <f>TransDemand!C43</f>
        <v>0</v>
      </c>
      <c r="D8" s="1133">
        <f>TransDemand!D43</f>
        <v>0</v>
      </c>
      <c r="E8" s="1133">
        <f>TransDemand!E43</f>
        <v>0</v>
      </c>
      <c r="F8" s="1133">
        <f>TransDemand!F43</f>
        <v>0</v>
      </c>
      <c r="G8" s="1133">
        <f>TransDemand!G43</f>
        <v>0</v>
      </c>
      <c r="H8" s="1133">
        <f>TransDemand!H43</f>
        <v>0</v>
      </c>
      <c r="I8" s="1133">
        <f>TransDemand!I43</f>
        <v>0</v>
      </c>
      <c r="J8" s="1133">
        <f>TransDemand!J43</f>
        <v>0</v>
      </c>
      <c r="K8" s="1133">
        <f>TransDemand!K43</f>
        <v>0</v>
      </c>
      <c r="L8" s="1133">
        <f>TransDemand!L43</f>
        <v>0</v>
      </c>
      <c r="M8" s="1133">
        <f>TransDemand!M43</f>
        <v>0</v>
      </c>
    </row>
    <row r="9" spans="1:13" x14ac:dyDescent="0.2">
      <c r="A9" s="1132" t="s">
        <v>518</v>
      </c>
      <c r="B9" s="1131" t="s">
        <v>106</v>
      </c>
      <c r="C9" s="1133">
        <f>TransDemand!C56</f>
        <v>0</v>
      </c>
      <c r="D9" s="1133">
        <f>TransDemand!D56</f>
        <v>0</v>
      </c>
      <c r="E9" s="1133">
        <f>TransDemand!E56</f>
        <v>0</v>
      </c>
      <c r="F9" s="1133">
        <f>TransDemand!F56</f>
        <v>0</v>
      </c>
      <c r="G9" s="1133">
        <f>TransDemand!G56</f>
        <v>0</v>
      </c>
      <c r="H9" s="1133">
        <f>TransDemand!H56</f>
        <v>0</v>
      </c>
      <c r="I9" s="1133">
        <f>TransDemand!I56</f>
        <v>0</v>
      </c>
      <c r="J9" s="1133">
        <f>TransDemand!J56</f>
        <v>0</v>
      </c>
      <c r="K9" s="1133">
        <f>TransDemand!K56</f>
        <v>0</v>
      </c>
      <c r="L9" s="1133">
        <f>TransDemand!L56</f>
        <v>0</v>
      </c>
      <c r="M9" s="1133">
        <f>TransDemand!M56</f>
        <v>0</v>
      </c>
    </row>
    <row r="10" spans="1:13" x14ac:dyDescent="0.2">
      <c r="A10" s="1132" t="s">
        <v>519</v>
      </c>
      <c r="B10" s="1131" t="s">
        <v>110</v>
      </c>
      <c r="C10" s="1133">
        <f>TransDemand!C69</f>
        <v>18.739064026920826</v>
      </c>
      <c r="D10" s="1133">
        <f>TransDemand!D69</f>
        <v>18.739064026920826</v>
      </c>
      <c r="E10" s="1133">
        <f>TransDemand!E69</f>
        <v>19.650375450555931</v>
      </c>
      <c r="F10" s="1133">
        <f>TransDemand!F69</f>
        <v>20.647390161806943</v>
      </c>
      <c r="G10" s="1133">
        <f>TransDemand!G69</f>
        <v>21.878636480643081</v>
      </c>
      <c r="H10" s="1133">
        <f>TransDemand!H69</f>
        <v>22.986326498837812</v>
      </c>
      <c r="I10" s="1133">
        <f>TransDemand!I69</f>
        <v>24.016514915997767</v>
      </c>
      <c r="J10" s="1133">
        <f>TransDemand!J69</f>
        <v>25.472086610394108</v>
      </c>
      <c r="K10" s="1133">
        <f>TransDemand!K69</f>
        <v>26.942197243085683</v>
      </c>
      <c r="L10" s="1133">
        <f>TransDemand!L69</f>
        <v>28.497603683197841</v>
      </c>
      <c r="M10" s="1133">
        <f>TransDemand!M69</f>
        <v>30.143281295349965</v>
      </c>
    </row>
    <row r="11" spans="1:13" x14ac:dyDescent="0.2">
      <c r="A11" s="1132" t="s">
        <v>520</v>
      </c>
      <c r="B11" s="1131" t="s">
        <v>102</v>
      </c>
      <c r="C11" s="1133">
        <f>TransDemand!C82</f>
        <v>0</v>
      </c>
      <c r="D11" s="1133">
        <f>TransDemand!D82</f>
        <v>0</v>
      </c>
      <c r="E11" s="1133">
        <f>TransDemand!E82</f>
        <v>0</v>
      </c>
      <c r="F11" s="1133">
        <f>TransDemand!F82</f>
        <v>0</v>
      </c>
      <c r="G11" s="1133">
        <f>TransDemand!G82</f>
        <v>0</v>
      </c>
      <c r="H11" s="1133">
        <f>TransDemand!H82</f>
        <v>0</v>
      </c>
      <c r="I11" s="1133">
        <f>TransDemand!I82</f>
        <v>0</v>
      </c>
      <c r="J11" s="1133">
        <f>TransDemand!J82</f>
        <v>0</v>
      </c>
      <c r="K11" s="1133">
        <f>TransDemand!K82</f>
        <v>0</v>
      </c>
      <c r="L11" s="1133">
        <f>TransDemand!L82</f>
        <v>0</v>
      </c>
      <c r="M11" s="1133">
        <f>TransDemand!M82</f>
        <v>0</v>
      </c>
    </row>
    <row r="12" spans="1:13" x14ac:dyDescent="0.2">
      <c r="A12" s="1132" t="s">
        <v>521</v>
      </c>
      <c r="B12" s="1131" t="s">
        <v>112</v>
      </c>
      <c r="C12" s="1133">
        <f>TransDemand!C108</f>
        <v>0</v>
      </c>
      <c r="D12" s="1133">
        <f>TransDemand!D108</f>
        <v>0</v>
      </c>
      <c r="E12" s="1133">
        <f>TransDemand!E108</f>
        <v>0</v>
      </c>
      <c r="F12" s="1133">
        <f>TransDemand!F108</f>
        <v>0</v>
      </c>
      <c r="G12" s="1133">
        <f>TransDemand!G108</f>
        <v>0</v>
      </c>
      <c r="H12" s="1133">
        <f>TransDemand!H108</f>
        <v>0</v>
      </c>
      <c r="I12" s="1133">
        <f>TransDemand!I108</f>
        <v>0</v>
      </c>
      <c r="J12" s="1133">
        <f>TransDemand!J108</f>
        <v>0</v>
      </c>
      <c r="K12" s="1133">
        <f>TransDemand!K108</f>
        <v>0</v>
      </c>
      <c r="L12" s="1133">
        <f>TransDemand!L108</f>
        <v>0</v>
      </c>
      <c r="M12" s="1133">
        <f>TransDemand!M108</f>
        <v>0</v>
      </c>
    </row>
    <row r="13" spans="1:13" x14ac:dyDescent="0.2">
      <c r="A13" s="1132" t="s">
        <v>522</v>
      </c>
      <c r="B13" s="1131" t="s">
        <v>108</v>
      </c>
      <c r="C13" s="1133">
        <v>0</v>
      </c>
      <c r="D13" s="1133">
        <v>0</v>
      </c>
      <c r="E13" s="1133">
        <v>0</v>
      </c>
      <c r="F13" s="1133">
        <v>0</v>
      </c>
      <c r="G13" s="1133">
        <v>0</v>
      </c>
      <c r="H13" s="1133">
        <v>0</v>
      </c>
      <c r="I13" s="1133">
        <v>0</v>
      </c>
      <c r="J13" s="1133">
        <v>0</v>
      </c>
      <c r="K13" s="1133">
        <v>0</v>
      </c>
      <c r="L13" s="1133">
        <v>0</v>
      </c>
      <c r="M13" s="1133">
        <v>0</v>
      </c>
    </row>
    <row r="14" spans="1:13" x14ac:dyDescent="0.2">
      <c r="A14" s="306" t="s">
        <v>523</v>
      </c>
      <c r="B14" s="307"/>
    </row>
    <row r="15" spans="1:13" x14ac:dyDescent="0.2">
      <c r="C15" s="307">
        <v>2005</v>
      </c>
      <c r="D15" s="307">
        <v>2010</v>
      </c>
      <c r="E15" s="307">
        <v>2015</v>
      </c>
      <c r="F15" s="307">
        <v>2020</v>
      </c>
      <c r="G15" s="307">
        <v>2025</v>
      </c>
      <c r="H15" s="307">
        <v>2030</v>
      </c>
      <c r="I15" s="307">
        <v>2035</v>
      </c>
      <c r="J15" s="307">
        <v>2040</v>
      </c>
      <c r="K15" s="307">
        <v>2045</v>
      </c>
      <c r="L15" s="307">
        <v>2050</v>
      </c>
      <c r="M15" s="307">
        <v>2055</v>
      </c>
    </row>
    <row r="16" spans="1:13" x14ac:dyDescent="0.2">
      <c r="A16" s="305" t="s">
        <v>513</v>
      </c>
      <c r="B16" s="304" t="s">
        <v>89</v>
      </c>
      <c r="C16" s="309">
        <f>TransDemand!C18</f>
        <v>0</v>
      </c>
      <c r="D16" s="309">
        <f>TransDemand!D18</f>
        <v>0</v>
      </c>
      <c r="E16" s="309">
        <f>TransDemand!E18</f>
        <v>0</v>
      </c>
      <c r="F16" s="309">
        <f>TransDemand!F18</f>
        <v>0</v>
      </c>
      <c r="G16" s="309">
        <f>TransDemand!G18</f>
        <v>0</v>
      </c>
      <c r="H16" s="309">
        <f>TransDemand!H18</f>
        <v>0</v>
      </c>
      <c r="I16" s="309">
        <f>TransDemand!I18</f>
        <v>0</v>
      </c>
      <c r="J16" s="309">
        <f>TransDemand!J18</f>
        <v>0</v>
      </c>
      <c r="K16" s="309">
        <f>TransDemand!K18</f>
        <v>0</v>
      </c>
      <c r="L16" s="309">
        <f>TransDemand!L18</f>
        <v>0</v>
      </c>
      <c r="M16" s="309">
        <f>TransDemand!M18</f>
        <v>0</v>
      </c>
    </row>
    <row r="17" spans="1:13" x14ac:dyDescent="0.2">
      <c r="A17" s="305" t="s">
        <v>514</v>
      </c>
      <c r="B17" s="304" t="s">
        <v>93</v>
      </c>
      <c r="C17" s="309">
        <f>TransDemand!C96</f>
        <v>0.11124683542038477</v>
      </c>
      <c r="D17" s="309">
        <f>TransDemand!D96</f>
        <v>0.11124683542038477</v>
      </c>
      <c r="E17" s="309">
        <f>TransDemand!E96</f>
        <v>0.10662752764386425</v>
      </c>
      <c r="F17" s="309">
        <f>TransDemand!F96</f>
        <v>0.111522525000081</v>
      </c>
      <c r="G17" s="309">
        <f>TransDemand!G96</f>
        <v>0.11662449358233967</v>
      </c>
      <c r="H17" s="309">
        <f>TransDemand!H96</f>
        <v>0.12177343113569911</v>
      </c>
      <c r="I17" s="309">
        <f>TransDemand!I96</f>
        <v>0.12687697801374739</v>
      </c>
      <c r="J17" s="309">
        <f>TransDemand!J96</f>
        <v>0.13184164369805557</v>
      </c>
      <c r="K17" s="309">
        <f>TransDemand!K96</f>
        <v>0.13702255596248838</v>
      </c>
      <c r="L17" s="309">
        <f>TransDemand!L96</f>
        <v>0.14386412471116169</v>
      </c>
      <c r="M17" s="309">
        <f>TransDemand!M96</f>
        <v>0.1515628771092063</v>
      </c>
    </row>
    <row r="18" spans="1:13" x14ac:dyDescent="0.2">
      <c r="A18" s="305" t="s">
        <v>515</v>
      </c>
      <c r="B18" s="304" t="s">
        <v>96</v>
      </c>
      <c r="C18" s="309">
        <f>TransDemand!C122</f>
        <v>0.15428841530029619</v>
      </c>
      <c r="D18" s="309">
        <f>TransDemand!D122</f>
        <v>0.15428841530029619</v>
      </c>
      <c r="E18" s="309">
        <f>TransDemand!E122</f>
        <v>0.15699136492405785</v>
      </c>
      <c r="F18" s="309">
        <f>TransDemand!F122</f>
        <v>0.15768899582849658</v>
      </c>
      <c r="G18" s="309">
        <f>TransDemand!G122</f>
        <v>0.16083143098168579</v>
      </c>
      <c r="H18" s="309">
        <f>TransDemand!H122</f>
        <v>0.16397386613487502</v>
      </c>
      <c r="I18" s="309">
        <f>TransDemand!I122</f>
        <v>0.16654945012943079</v>
      </c>
      <c r="J18" s="309">
        <f>TransDemand!J122</f>
        <v>0.1691250341239865</v>
      </c>
      <c r="K18" s="309">
        <f>TransDemand!K122</f>
        <v>0.17315705779200877</v>
      </c>
      <c r="L18" s="309">
        <f>TransDemand!L122</f>
        <v>0.17620665039987007</v>
      </c>
      <c r="M18" s="309">
        <f>TransDemand!M122</f>
        <v>0.17925624300773135</v>
      </c>
    </row>
    <row r="19" spans="1:13" x14ac:dyDescent="0.2">
      <c r="A19" s="305" t="s">
        <v>516</v>
      </c>
      <c r="B19" s="304" t="s">
        <v>98</v>
      </c>
      <c r="C19" s="309">
        <f>TransDemand!C31</f>
        <v>0.19945283536028208</v>
      </c>
      <c r="D19" s="309">
        <f>TransDemand!D31</f>
        <v>0.19945283536028208</v>
      </c>
      <c r="E19" s="309">
        <f>TransDemand!E31</f>
        <v>0.20218913442155897</v>
      </c>
      <c r="F19" s="309">
        <f>TransDemand!F31</f>
        <v>0.21187607301042322</v>
      </c>
      <c r="G19" s="309">
        <f>TransDemand!G31</f>
        <v>0.22440695335705493</v>
      </c>
      <c r="H19" s="309">
        <f>TransDemand!H31</f>
        <v>0.2336933919190316</v>
      </c>
      <c r="I19" s="309">
        <f>TransDemand!I31</f>
        <v>0.24613103980774226</v>
      </c>
      <c r="J19" s="309">
        <f>TransDemand!J31</f>
        <v>0.2614871891472399</v>
      </c>
      <c r="K19" s="309">
        <f>TransDemand!K31</f>
        <v>0.27724567725744176</v>
      </c>
      <c r="L19" s="309">
        <f>TransDemand!L31</f>
        <v>0.29249749922035634</v>
      </c>
      <c r="M19" s="309">
        <f>TransDemand!M31</f>
        <v>0.30882396571458876</v>
      </c>
    </row>
    <row r="20" spans="1:13" x14ac:dyDescent="0.2">
      <c r="A20" s="305" t="s">
        <v>517</v>
      </c>
      <c r="B20" s="304" t="s">
        <v>100</v>
      </c>
      <c r="C20" s="309">
        <f>TransDemand!C44</f>
        <v>0</v>
      </c>
      <c r="D20" s="309">
        <f>TransDemand!D44</f>
        <v>0</v>
      </c>
      <c r="E20" s="309">
        <f>TransDemand!E44</f>
        <v>0</v>
      </c>
      <c r="F20" s="309">
        <f>TransDemand!F44</f>
        <v>0</v>
      </c>
      <c r="G20" s="309">
        <f>TransDemand!G44</f>
        <v>0</v>
      </c>
      <c r="H20" s="309">
        <f>TransDemand!H44</f>
        <v>0</v>
      </c>
      <c r="I20" s="309">
        <f>TransDemand!I44</f>
        <v>0</v>
      </c>
      <c r="J20" s="309">
        <f>TransDemand!J44</f>
        <v>0</v>
      </c>
      <c r="K20" s="309">
        <f>TransDemand!K44</f>
        <v>0</v>
      </c>
      <c r="L20" s="309">
        <f>TransDemand!L44</f>
        <v>0</v>
      </c>
      <c r="M20" s="309">
        <f>TransDemand!M44</f>
        <v>0</v>
      </c>
    </row>
    <row r="21" spans="1:13" x14ac:dyDescent="0.2">
      <c r="A21" s="305" t="s">
        <v>518</v>
      </c>
      <c r="B21" s="304" t="s">
        <v>106</v>
      </c>
      <c r="C21" s="309">
        <f>TransDemand!C57</f>
        <v>0</v>
      </c>
      <c r="D21" s="309">
        <f>TransDemand!D57</f>
        <v>0</v>
      </c>
      <c r="E21" s="309">
        <f>TransDemand!E57</f>
        <v>0</v>
      </c>
      <c r="F21" s="309">
        <f>TransDemand!F57</f>
        <v>0</v>
      </c>
      <c r="G21" s="309">
        <f>TransDemand!G57</f>
        <v>0</v>
      </c>
      <c r="H21" s="309">
        <f>TransDemand!H57</f>
        <v>0</v>
      </c>
      <c r="I21" s="309">
        <f>TransDemand!I57</f>
        <v>0</v>
      </c>
      <c r="J21" s="309">
        <f>TransDemand!J57</f>
        <v>0</v>
      </c>
      <c r="K21" s="309">
        <f>TransDemand!K57</f>
        <v>0</v>
      </c>
      <c r="L21" s="309">
        <f>TransDemand!L57</f>
        <v>0</v>
      </c>
      <c r="M21" s="309">
        <f>TransDemand!M57</f>
        <v>0</v>
      </c>
    </row>
    <row r="22" spans="1:13" x14ac:dyDescent="0.2">
      <c r="A22" s="305" t="s">
        <v>519</v>
      </c>
      <c r="B22" s="304" t="s">
        <v>110</v>
      </c>
      <c r="C22" s="309">
        <f>TransDemand!C70</f>
        <v>2.8768282534403022</v>
      </c>
      <c r="D22" s="309">
        <f>TransDemand!D70</f>
        <v>2.8768282534403022</v>
      </c>
      <c r="E22" s="309">
        <f>TransDemand!E70</f>
        <v>3.0036304987790357</v>
      </c>
      <c r="F22" s="309">
        <f>TransDemand!F70</f>
        <v>3.1698425591435293</v>
      </c>
      <c r="G22" s="309">
        <f>TransDemand!G70</f>
        <v>3.3725467382407528</v>
      </c>
      <c r="H22" s="309">
        <f>TransDemand!H70</f>
        <v>3.5572274076988877</v>
      </c>
      <c r="I22" s="309">
        <f>TransDemand!I70</f>
        <v>3.7318543412449694</v>
      </c>
      <c r="J22" s="309">
        <f>TransDemand!J70</f>
        <v>3.9737890202360298</v>
      </c>
      <c r="K22" s="309">
        <f>TransDemand!K70</f>
        <v>4.1793747356516882</v>
      </c>
      <c r="L22" s="309">
        <f>TransDemand!L70</f>
        <v>4.4254432379424102</v>
      </c>
      <c r="M22" s="309">
        <f>TransDemand!M70</f>
        <v>4.6859060476789356</v>
      </c>
    </row>
    <row r="23" spans="1:13" x14ac:dyDescent="0.2">
      <c r="A23" s="305" t="s">
        <v>520</v>
      </c>
      <c r="B23" s="304" t="s">
        <v>102</v>
      </c>
      <c r="C23" s="309">
        <f>TransDemand!C83</f>
        <v>1.6792503530572207</v>
      </c>
      <c r="D23" s="309">
        <f>TransDemand!D83</f>
        <v>1.6792503530572207</v>
      </c>
      <c r="E23" s="309">
        <f>TransDemand!E83</f>
        <v>1.87450644719486</v>
      </c>
      <c r="F23" s="309">
        <f>TransDemand!F83</f>
        <v>1.7615035327382063</v>
      </c>
      <c r="G23" s="309">
        <f>TransDemand!G83</f>
        <v>1.6458123739755646</v>
      </c>
      <c r="H23" s="309">
        <f>TransDemand!H83</f>
        <v>1.5707945014637528</v>
      </c>
      <c r="I23" s="309">
        <f>TransDemand!I83</f>
        <v>1.5633757019778434</v>
      </c>
      <c r="J23" s="309">
        <f>TransDemand!J83</f>
        <v>1.5833336226788965</v>
      </c>
      <c r="K23" s="309">
        <f>TransDemand!K83</f>
        <v>1.5833336226788965</v>
      </c>
      <c r="L23" s="309">
        <f>TransDemand!L83</f>
        <v>1.5833336226788965</v>
      </c>
      <c r="M23" s="309">
        <f>TransDemand!M83</f>
        <v>1.5833336226788965</v>
      </c>
    </row>
    <row r="24" spans="1:13" x14ac:dyDescent="0.2">
      <c r="A24" s="305" t="s">
        <v>521</v>
      </c>
      <c r="B24" s="304" t="s">
        <v>112</v>
      </c>
      <c r="C24" s="309">
        <f>TransDemand!C109</f>
        <v>0</v>
      </c>
      <c r="D24" s="309">
        <f>TransDemand!D109</f>
        <v>0</v>
      </c>
      <c r="E24" s="309">
        <f>TransDemand!E109</f>
        <v>0</v>
      </c>
      <c r="F24" s="309">
        <f>TransDemand!F109</f>
        <v>0</v>
      </c>
      <c r="G24" s="309">
        <f>TransDemand!G109</f>
        <v>0</v>
      </c>
      <c r="H24" s="309">
        <f>TransDemand!H109</f>
        <v>0</v>
      </c>
      <c r="I24" s="309">
        <f>TransDemand!I109</f>
        <v>0</v>
      </c>
      <c r="J24" s="309">
        <f>TransDemand!J109</f>
        <v>0</v>
      </c>
      <c r="K24" s="309">
        <f>TransDemand!K109</f>
        <v>0</v>
      </c>
      <c r="L24" s="309">
        <f>TransDemand!L109</f>
        <v>0</v>
      </c>
      <c r="M24" s="309">
        <f>TransDemand!M109</f>
        <v>0</v>
      </c>
    </row>
    <row r="25" spans="1:13" x14ac:dyDescent="0.2">
      <c r="A25" s="305" t="s">
        <v>522</v>
      </c>
      <c r="B25" s="304" t="s">
        <v>108</v>
      </c>
      <c r="C25" s="309">
        <v>0</v>
      </c>
      <c r="D25" s="309">
        <v>0</v>
      </c>
      <c r="E25" s="309">
        <v>0</v>
      </c>
      <c r="F25" s="309">
        <v>0</v>
      </c>
      <c r="G25" s="309">
        <v>0</v>
      </c>
      <c r="H25" s="309">
        <v>0</v>
      </c>
      <c r="I25" s="309">
        <v>0</v>
      </c>
      <c r="J25" s="309">
        <v>0</v>
      </c>
      <c r="K25" s="309">
        <v>0</v>
      </c>
      <c r="L25" s="309">
        <v>0</v>
      </c>
      <c r="M25" s="309">
        <v>0</v>
      </c>
    </row>
    <row r="26" spans="1:13" x14ac:dyDescent="0.2">
      <c r="A26" s="306" t="s">
        <v>524</v>
      </c>
      <c r="B26" s="307"/>
    </row>
    <row r="27" spans="1:13" x14ac:dyDescent="0.2">
      <c r="C27" s="307">
        <v>2005</v>
      </c>
      <c r="D27" s="307">
        <v>2010</v>
      </c>
      <c r="E27" s="307">
        <v>2015</v>
      </c>
      <c r="F27" s="307">
        <v>2020</v>
      </c>
      <c r="G27" s="307">
        <v>2025</v>
      </c>
      <c r="H27" s="307">
        <v>2030</v>
      </c>
      <c r="I27" s="307">
        <v>2035</v>
      </c>
      <c r="J27" s="307">
        <v>2040</v>
      </c>
      <c r="K27" s="307">
        <v>2045</v>
      </c>
      <c r="L27" s="307">
        <v>2050</v>
      </c>
      <c r="M27" s="307">
        <v>2055</v>
      </c>
    </row>
    <row r="28" spans="1:13" x14ac:dyDescent="0.2">
      <c r="A28" s="305" t="s">
        <v>513</v>
      </c>
      <c r="B28" s="304" t="s">
        <v>89</v>
      </c>
      <c r="C28" s="309">
        <f>TransDemand!C21</f>
        <v>0</v>
      </c>
      <c r="D28" s="309">
        <f>TransDemand!D21</f>
        <v>0</v>
      </c>
      <c r="E28" s="309">
        <f>TransDemand!E21</f>
        <v>0</v>
      </c>
      <c r="F28" s="309">
        <f>TransDemand!F21</f>
        <v>0</v>
      </c>
      <c r="G28" s="309">
        <f>TransDemand!G21</f>
        <v>0</v>
      </c>
      <c r="H28" s="309">
        <f>TransDemand!H21</f>
        <v>0</v>
      </c>
      <c r="I28" s="309">
        <f>TransDemand!I21</f>
        <v>0</v>
      </c>
      <c r="J28" s="309">
        <f>TransDemand!J21</f>
        <v>0</v>
      </c>
      <c r="K28" s="309">
        <f>TransDemand!K21</f>
        <v>0</v>
      </c>
      <c r="L28" s="309">
        <f>TransDemand!L21</f>
        <v>0</v>
      </c>
      <c r="M28" s="309">
        <f>TransDemand!M21</f>
        <v>0</v>
      </c>
    </row>
    <row r="29" spans="1:13" x14ac:dyDescent="0.2">
      <c r="A29" s="305" t="s">
        <v>514</v>
      </c>
      <c r="B29" s="304" t="s">
        <v>93</v>
      </c>
      <c r="C29" s="309">
        <f>TransDemand!C97</f>
        <v>6.0358109513202113E-2</v>
      </c>
      <c r="D29" s="309">
        <f>TransDemand!D97</f>
        <v>6.0358109513202113E-2</v>
      </c>
      <c r="E29" s="309">
        <f>TransDemand!E97</f>
        <v>5.8857031648647418E-2</v>
      </c>
      <c r="F29" s="309">
        <f>TransDemand!F97</f>
        <v>6.0922172990039915E-2</v>
      </c>
      <c r="G29" s="309">
        <f>TransDemand!G97</f>
        <v>6.4023283152547114E-2</v>
      </c>
      <c r="H29" s="309">
        <f>TransDemand!H97</f>
        <v>6.71652120048499E-2</v>
      </c>
      <c r="I29" s="309">
        <f>TransDemand!I97</f>
        <v>7.0264245242275189E-2</v>
      </c>
      <c r="J29" s="309">
        <f>TransDemand!J97</f>
        <v>7.329992047312936E-2</v>
      </c>
      <c r="K29" s="309">
        <f>TransDemand!K97</f>
        <v>7.6607213143695896E-2</v>
      </c>
      <c r="L29" s="309">
        <f>TransDemand!L97</f>
        <v>8.0723742054212122E-2</v>
      </c>
      <c r="M29" s="309">
        <f>TransDemand!M97</f>
        <v>8.534025976611348E-2</v>
      </c>
    </row>
    <row r="30" spans="1:13" x14ac:dyDescent="0.2">
      <c r="A30" s="305" t="s">
        <v>515</v>
      </c>
      <c r="B30" s="304" t="s">
        <v>96</v>
      </c>
      <c r="C30" s="309">
        <f>TransDemand!C123</f>
        <v>8.3710759340910296E-2</v>
      </c>
      <c r="D30" s="309">
        <f>TransDemand!D123</f>
        <v>8.3710759340910296E-2</v>
      </c>
      <c r="E30" s="309">
        <f>TransDemand!E123</f>
        <v>8.6657225747195088E-2</v>
      </c>
      <c r="F30" s="309">
        <f>TransDemand!F123</f>
        <v>8.614184697201191E-2</v>
      </c>
      <c r="G30" s="309">
        <f>TransDemand!G123</f>
        <v>8.8291540904311946E-2</v>
      </c>
      <c r="H30" s="309">
        <f>TransDemand!H123</f>
        <v>9.0441234836611969E-2</v>
      </c>
      <c r="I30" s="309">
        <f>TransDemand!I123</f>
        <v>9.2234789889087815E-2</v>
      </c>
      <c r="J30" s="309">
        <f>TransDemand!J123</f>
        <v>9.4028344941563646E-2</v>
      </c>
      <c r="K30" s="309">
        <f>TransDemand!K123</f>
        <v>9.6809459876366369E-2</v>
      </c>
      <c r="L30" s="309">
        <f>TransDemand!L123</f>
        <v>9.8871488800100202E-2</v>
      </c>
      <c r="M30" s="309">
        <f>TransDemand!M123</f>
        <v>0.10093351772383406</v>
      </c>
    </row>
    <row r="31" spans="1:13" x14ac:dyDescent="0.2">
      <c r="A31" s="305" t="s">
        <v>516</v>
      </c>
      <c r="B31" s="304" t="s">
        <v>98</v>
      </c>
      <c r="C31" s="309">
        <f>TransDemand!C32</f>
        <v>0.1082151778421612</v>
      </c>
      <c r="D31" s="309">
        <f>TransDemand!D32</f>
        <v>0.1082151778421612</v>
      </c>
      <c r="E31" s="309">
        <f>TransDemand!E32</f>
        <v>0.11160581649617859</v>
      </c>
      <c r="F31" s="309">
        <f>TransDemand!F32</f>
        <v>0.11574299247960854</v>
      </c>
      <c r="G31" s="309">
        <f>TransDemand!G32</f>
        <v>0.12319255994055422</v>
      </c>
      <c r="H31" s="309">
        <f>TransDemand!H32</f>
        <v>0.12889565536576866</v>
      </c>
      <c r="I31" s="309">
        <f>TransDemand!I32</f>
        <v>0.13630693301123181</v>
      </c>
      <c r="J31" s="309">
        <f>TransDemand!J32</f>
        <v>0.14537887750497983</v>
      </c>
      <c r="K31" s="309">
        <f>TransDemand!K32</f>
        <v>0.15500381336225844</v>
      </c>
      <c r="L31" s="309">
        <f>TransDemand!L32</f>
        <v>0.16412356260444588</v>
      </c>
      <c r="M31" s="309">
        <f>TransDemand!M32</f>
        <v>0.17388900210105243</v>
      </c>
    </row>
    <row r="32" spans="1:13" x14ac:dyDescent="0.2">
      <c r="A32" s="305" t="s">
        <v>517</v>
      </c>
      <c r="B32" s="304" t="s">
        <v>100</v>
      </c>
      <c r="C32" s="309">
        <f>TransDemand!C45</f>
        <v>0</v>
      </c>
      <c r="D32" s="309">
        <f>TransDemand!D45</f>
        <v>0</v>
      </c>
      <c r="E32" s="309">
        <f>TransDemand!E45</f>
        <v>0</v>
      </c>
      <c r="F32" s="309">
        <f>TransDemand!F45</f>
        <v>0</v>
      </c>
      <c r="G32" s="309">
        <f>TransDemand!G45</f>
        <v>0</v>
      </c>
      <c r="H32" s="309">
        <f>TransDemand!H45</f>
        <v>0</v>
      </c>
      <c r="I32" s="309">
        <f>TransDemand!I45</f>
        <v>0</v>
      </c>
      <c r="J32" s="309">
        <f>TransDemand!J45</f>
        <v>0</v>
      </c>
      <c r="K32" s="309">
        <f>TransDemand!K45</f>
        <v>0</v>
      </c>
      <c r="L32" s="309">
        <f>TransDemand!L45</f>
        <v>0</v>
      </c>
      <c r="M32" s="309">
        <f>TransDemand!M45</f>
        <v>0</v>
      </c>
    </row>
    <row r="33" spans="1:13" x14ac:dyDescent="0.2">
      <c r="A33" s="305" t="s">
        <v>518</v>
      </c>
      <c r="B33" s="304" t="s">
        <v>106</v>
      </c>
      <c r="C33" s="309">
        <f>TransDemand!C60</f>
        <v>0</v>
      </c>
      <c r="D33" s="309">
        <f>TransDemand!D60</f>
        <v>0</v>
      </c>
      <c r="E33" s="309">
        <f>TransDemand!E60</f>
        <v>0</v>
      </c>
      <c r="F33" s="309">
        <f>TransDemand!F60</f>
        <v>0</v>
      </c>
      <c r="G33" s="309">
        <f>TransDemand!G60</f>
        <v>0</v>
      </c>
      <c r="H33" s="309">
        <f>TransDemand!H60</f>
        <v>0</v>
      </c>
      <c r="I33" s="309">
        <f>TransDemand!I60</f>
        <v>0</v>
      </c>
      <c r="J33" s="309">
        <f>TransDemand!J60</f>
        <v>0</v>
      </c>
      <c r="K33" s="309">
        <f>TransDemand!K60</f>
        <v>0</v>
      </c>
      <c r="L33" s="309">
        <f>TransDemand!L60</f>
        <v>0</v>
      </c>
      <c r="M33" s="309">
        <f>TransDemand!M60</f>
        <v>0</v>
      </c>
    </row>
    <row r="34" spans="1:13" x14ac:dyDescent="0.2">
      <c r="A34" s="305" t="s">
        <v>519</v>
      </c>
      <c r="B34" s="304" t="s">
        <v>110</v>
      </c>
      <c r="C34" s="309">
        <f>TransDemand!C71</f>
        <v>1.5608526221502397</v>
      </c>
      <c r="D34" s="309">
        <f>TransDemand!D71</f>
        <v>1.5608526221502397</v>
      </c>
      <c r="E34" s="309">
        <f>TransDemand!E71</f>
        <v>1.6579656232670157</v>
      </c>
      <c r="F34" s="309">
        <f>TransDemand!F71</f>
        <v>1.7316115891313677</v>
      </c>
      <c r="G34" s="309">
        <f>TransDemand!G71</f>
        <v>1.8514251006384106</v>
      </c>
      <c r="H34" s="309">
        <f>TransDemand!H71</f>
        <v>1.9620202104785407</v>
      </c>
      <c r="I34" s="309">
        <f>TransDemand!I71</f>
        <v>2.0666943108723328</v>
      </c>
      <c r="J34" s="309">
        <f>TransDemand!J71</f>
        <v>2.2093051253774036</v>
      </c>
      <c r="K34" s="309">
        <f>TransDemand!K71</f>
        <v>2.3366244260477607</v>
      </c>
      <c r="L34" s="309">
        <f>TransDemand!L71</f>
        <v>2.483164855258067</v>
      </c>
      <c r="M34" s="309">
        <f>TransDemand!M71</f>
        <v>2.6384854060297585</v>
      </c>
    </row>
    <row r="35" spans="1:13" x14ac:dyDescent="0.2">
      <c r="A35" s="305" t="s">
        <v>520</v>
      </c>
      <c r="B35" s="304" t="s">
        <v>102</v>
      </c>
      <c r="C35" s="309">
        <f>TransDemand!C86</f>
        <v>0</v>
      </c>
      <c r="D35" s="309">
        <f>TransDemand!D86</f>
        <v>0</v>
      </c>
      <c r="E35" s="309">
        <f>TransDemand!E86</f>
        <v>0</v>
      </c>
      <c r="F35" s="309">
        <f>TransDemand!F86</f>
        <v>0</v>
      </c>
      <c r="G35" s="309">
        <f>TransDemand!G86</f>
        <v>0</v>
      </c>
      <c r="H35" s="309">
        <f>TransDemand!H86</f>
        <v>0</v>
      </c>
      <c r="I35" s="309">
        <f>TransDemand!I86</f>
        <v>0</v>
      </c>
      <c r="J35" s="309">
        <f>TransDemand!J86</f>
        <v>0</v>
      </c>
      <c r="K35" s="309">
        <f>TransDemand!K86</f>
        <v>0</v>
      </c>
      <c r="L35" s="309">
        <f>TransDemand!L86</f>
        <v>0</v>
      </c>
      <c r="M35" s="309">
        <f>TransDemand!M86</f>
        <v>0</v>
      </c>
    </row>
    <row r="36" spans="1:13" x14ac:dyDescent="0.2">
      <c r="A36" s="305" t="s">
        <v>521</v>
      </c>
      <c r="B36" s="304" t="s">
        <v>112</v>
      </c>
      <c r="C36" s="309">
        <f>TransDemand!C110</f>
        <v>0</v>
      </c>
      <c r="D36" s="309">
        <f>TransDemand!D110</f>
        <v>0</v>
      </c>
      <c r="E36" s="309">
        <f>TransDemand!E110</f>
        <v>0</v>
      </c>
      <c r="F36" s="309">
        <f>TransDemand!F110</f>
        <v>0</v>
      </c>
      <c r="G36" s="309">
        <f>TransDemand!G110</f>
        <v>0</v>
      </c>
      <c r="H36" s="309">
        <f>TransDemand!H110</f>
        <v>0</v>
      </c>
      <c r="I36" s="309">
        <f>TransDemand!I110</f>
        <v>0</v>
      </c>
      <c r="J36" s="309">
        <f>TransDemand!J110</f>
        <v>0</v>
      </c>
      <c r="K36" s="309">
        <f>TransDemand!K110</f>
        <v>0</v>
      </c>
      <c r="L36" s="309">
        <f>TransDemand!L110</f>
        <v>0</v>
      </c>
      <c r="M36" s="309">
        <f>TransDemand!M110</f>
        <v>0</v>
      </c>
    </row>
    <row r="37" spans="1:13" x14ac:dyDescent="0.2">
      <c r="A37" s="305" t="s">
        <v>522</v>
      </c>
      <c r="B37" s="304" t="s">
        <v>108</v>
      </c>
      <c r="C37" s="309">
        <v>0</v>
      </c>
      <c r="D37" s="309">
        <v>0</v>
      </c>
      <c r="E37" s="309">
        <v>0</v>
      </c>
      <c r="F37" s="309">
        <v>0</v>
      </c>
      <c r="G37" s="309">
        <v>0</v>
      </c>
      <c r="H37" s="309">
        <v>0</v>
      </c>
      <c r="I37" s="309">
        <v>0</v>
      </c>
      <c r="J37" s="309">
        <v>0</v>
      </c>
      <c r="K37" s="309">
        <v>0</v>
      </c>
      <c r="L37" s="309">
        <v>0</v>
      </c>
      <c r="M37" s="309">
        <v>0</v>
      </c>
    </row>
    <row r="38" spans="1:13" x14ac:dyDescent="0.2">
      <c r="A38" s="306" t="s">
        <v>525</v>
      </c>
      <c r="B38" s="307"/>
    </row>
    <row r="39" spans="1:13" x14ac:dyDescent="0.2">
      <c r="C39" s="307">
        <v>2005</v>
      </c>
      <c r="D39" s="307">
        <v>2010</v>
      </c>
      <c r="E39" s="307">
        <v>2015</v>
      </c>
      <c r="F39" s="307">
        <v>2020</v>
      </c>
      <c r="G39" s="307">
        <v>2025</v>
      </c>
      <c r="H39" s="307">
        <v>2030</v>
      </c>
      <c r="I39" s="307">
        <v>2035</v>
      </c>
      <c r="J39" s="307">
        <v>2040</v>
      </c>
      <c r="K39" s="307">
        <v>2045</v>
      </c>
      <c r="L39" s="307">
        <v>2050</v>
      </c>
      <c r="M39" s="307">
        <v>2055</v>
      </c>
    </row>
    <row r="40" spans="1:13" x14ac:dyDescent="0.2">
      <c r="A40" s="305" t="s">
        <v>513</v>
      </c>
      <c r="B40" s="304" t="s">
        <v>89</v>
      </c>
      <c r="C40" s="309">
        <f>TransDemand!C23</f>
        <v>0</v>
      </c>
      <c r="D40" s="309">
        <f>TransDemand!D23</f>
        <v>0</v>
      </c>
      <c r="E40" s="309">
        <f>TransDemand!E23</f>
        <v>0</v>
      </c>
      <c r="F40" s="309">
        <f>TransDemand!F23</f>
        <v>0</v>
      </c>
      <c r="G40" s="309">
        <f>TransDemand!G23</f>
        <v>0</v>
      </c>
      <c r="H40" s="309">
        <f>TransDemand!H23</f>
        <v>0</v>
      </c>
      <c r="I40" s="309">
        <f>TransDemand!I23</f>
        <v>0</v>
      </c>
      <c r="J40" s="309">
        <f>TransDemand!J23</f>
        <v>0</v>
      </c>
      <c r="K40" s="309">
        <f>TransDemand!K23</f>
        <v>0</v>
      </c>
      <c r="L40" s="309">
        <f>TransDemand!L23</f>
        <v>0</v>
      </c>
      <c r="M40" s="309">
        <f>TransDemand!M23</f>
        <v>0</v>
      </c>
    </row>
    <row r="41" spans="1:13" x14ac:dyDescent="0.2">
      <c r="A41" s="305" t="s">
        <v>514</v>
      </c>
      <c r="B41" s="304" t="s">
        <v>93</v>
      </c>
      <c r="C41" s="309">
        <f>TransDemand!C98</f>
        <v>6.9106738397316583E-2</v>
      </c>
      <c r="D41" s="309">
        <f>TransDemand!D98</f>
        <v>6.9106738397316583E-2</v>
      </c>
      <c r="E41" s="309">
        <f>TransDemand!E98</f>
        <v>6.6503038229413405E-2</v>
      </c>
      <c r="F41" s="309">
        <f>TransDemand!F98</f>
        <v>6.8985669281398224E-2</v>
      </c>
      <c r="G41" s="309">
        <f>TransDemand!G98</f>
        <v>7.1561888711450125E-2</v>
      </c>
      <c r="H41" s="309">
        <f>TransDemand!H98</f>
        <v>7.4139172186383342E-2</v>
      </c>
      <c r="I41" s="309">
        <f>TransDemand!I98</f>
        <v>7.6389636651040427E-2</v>
      </c>
      <c r="J41" s="309">
        <f>TransDemand!J98</f>
        <v>7.8515614468302061E-2</v>
      </c>
      <c r="K41" s="309">
        <f>TransDemand!K98</f>
        <v>8.165849104012754E-2</v>
      </c>
      <c r="L41" s="309">
        <f>TransDemand!L98</f>
        <v>8.5231197934918415E-2</v>
      </c>
      <c r="M41" s="309">
        <f>TransDemand!M98</f>
        <v>8.9278829810808841E-2</v>
      </c>
    </row>
    <row r="42" spans="1:13" x14ac:dyDescent="0.2">
      <c r="A42" s="305" t="s">
        <v>515</v>
      </c>
      <c r="B42" s="304" t="s">
        <v>96</v>
      </c>
      <c r="C42" s="309">
        <f>TransDemand!C124</f>
        <v>9.584424683724839E-2</v>
      </c>
      <c r="D42" s="309">
        <f>TransDemand!D124</f>
        <v>9.584424683724839E-2</v>
      </c>
      <c r="E42" s="309">
        <f>TransDemand!E124</f>
        <v>9.7914703397262826E-2</v>
      </c>
      <c r="F42" s="309">
        <f>TransDemand!F124</f>
        <v>9.7543352031641578E-2</v>
      </c>
      <c r="G42" s="309">
        <f>TransDemand!G124</f>
        <v>9.8687682249944869E-2</v>
      </c>
      <c r="H42" s="309">
        <f>TransDemand!H124</f>
        <v>9.983201246824816E-2</v>
      </c>
      <c r="I42" s="309">
        <f>TransDemand!I124</f>
        <v>0.10027549661877405</v>
      </c>
      <c r="J42" s="309">
        <f>TransDemand!J124</f>
        <v>0.10071898076929993</v>
      </c>
      <c r="K42" s="309">
        <f>TransDemand!K124</f>
        <v>0.10319282072153524</v>
      </c>
      <c r="L42" s="309">
        <f>TransDemand!L124</f>
        <v>0.10439227936660919</v>
      </c>
      <c r="M42" s="309">
        <f>TransDemand!M124</f>
        <v>0.10559173801168314</v>
      </c>
    </row>
    <row r="43" spans="1:13" x14ac:dyDescent="0.2">
      <c r="A43" s="305" t="s">
        <v>516</v>
      </c>
      <c r="B43" s="304" t="s">
        <v>98</v>
      </c>
      <c r="C43" s="309">
        <f>TransDemand!C33</f>
        <v>0.12390046749429048</v>
      </c>
      <c r="D43" s="309">
        <f>TransDemand!D33</f>
        <v>0.12390046749429048</v>
      </c>
      <c r="E43" s="309">
        <f>TransDemand!E33</f>
        <v>0.12610431877328335</v>
      </c>
      <c r="F43" s="309">
        <f>TransDemand!F33</f>
        <v>0.13106242618993627</v>
      </c>
      <c r="G43" s="309">
        <f>TransDemand!G33</f>
        <v>0.13769822212239763</v>
      </c>
      <c r="H43" s="309">
        <f>TransDemand!H33</f>
        <v>0.14227926782319109</v>
      </c>
      <c r="I43" s="309">
        <f>TransDemand!I33</f>
        <v>0.14818969519765024</v>
      </c>
      <c r="J43" s="309">
        <f>TransDemand!J33</f>
        <v>0.15572338720612791</v>
      </c>
      <c r="K43" s="309">
        <f>TransDemand!K33</f>
        <v>0.16522435662664717</v>
      </c>
      <c r="L43" s="309">
        <f>TransDemand!L33</f>
        <v>0.17328790135533109</v>
      </c>
      <c r="M43" s="309">
        <f>TransDemand!M33</f>
        <v>0.18191421806189159</v>
      </c>
    </row>
    <row r="44" spans="1:13" x14ac:dyDescent="0.2">
      <c r="A44" s="305" t="s">
        <v>517</v>
      </c>
      <c r="B44" s="304" t="s">
        <v>100</v>
      </c>
      <c r="C44" s="309">
        <f>TransDemand!C46</f>
        <v>0</v>
      </c>
      <c r="D44" s="309">
        <f>TransDemand!D46</f>
        <v>0</v>
      </c>
      <c r="E44" s="309">
        <f>TransDemand!E46</f>
        <v>0</v>
      </c>
      <c r="F44" s="309">
        <f>TransDemand!F46</f>
        <v>0</v>
      </c>
      <c r="G44" s="309">
        <f>TransDemand!G46</f>
        <v>0</v>
      </c>
      <c r="H44" s="309">
        <f>TransDemand!H46</f>
        <v>0</v>
      </c>
      <c r="I44" s="309">
        <f>TransDemand!I46</f>
        <v>0</v>
      </c>
      <c r="J44" s="309">
        <f>TransDemand!J46</f>
        <v>0</v>
      </c>
      <c r="K44" s="309">
        <f>TransDemand!K46</f>
        <v>0</v>
      </c>
      <c r="L44" s="309">
        <f>TransDemand!L46</f>
        <v>0</v>
      </c>
      <c r="M44" s="309">
        <f>TransDemand!M46</f>
        <v>0</v>
      </c>
    </row>
    <row r="45" spans="1:13" x14ac:dyDescent="0.2">
      <c r="A45" s="305" t="s">
        <v>518</v>
      </c>
      <c r="B45" s="304" t="s">
        <v>106</v>
      </c>
      <c r="C45" s="309">
        <f>TransDemand!C62</f>
        <v>0</v>
      </c>
      <c r="D45" s="309">
        <f>TransDemand!D62</f>
        <v>0</v>
      </c>
      <c r="E45" s="309">
        <f>TransDemand!E62</f>
        <v>0</v>
      </c>
      <c r="F45" s="309">
        <f>TransDemand!F62</f>
        <v>0</v>
      </c>
      <c r="G45" s="309">
        <f>TransDemand!G62</f>
        <v>0</v>
      </c>
      <c r="H45" s="309">
        <f>TransDemand!H62</f>
        <v>0</v>
      </c>
      <c r="I45" s="309">
        <f>TransDemand!I62</f>
        <v>0</v>
      </c>
      <c r="J45" s="309">
        <f>TransDemand!J62</f>
        <v>0</v>
      </c>
      <c r="K45" s="309">
        <f>TransDemand!K62</f>
        <v>0</v>
      </c>
      <c r="L45" s="309">
        <f>TransDemand!L62</f>
        <v>0</v>
      </c>
      <c r="M45" s="309">
        <f>TransDemand!M62</f>
        <v>0</v>
      </c>
    </row>
    <row r="46" spans="1:13" x14ac:dyDescent="0.2">
      <c r="A46" s="305" t="s">
        <v>519</v>
      </c>
      <c r="B46" s="304" t="s">
        <v>110</v>
      </c>
      <c r="C46" s="309">
        <f>TransDemand!C72</f>
        <v>1.7870909925054703</v>
      </c>
      <c r="D46" s="309">
        <f>TransDemand!D72</f>
        <v>1.7870909925054703</v>
      </c>
      <c r="E46" s="309">
        <f>TransDemand!E72</f>
        <v>1.8733488274669627</v>
      </c>
      <c r="F46" s="309">
        <f>TransDemand!F72</f>
        <v>1.9608030795484384</v>
      </c>
      <c r="G46" s="309">
        <f>TransDemand!G72</f>
        <v>2.0694264724566884</v>
      </c>
      <c r="H46" s="309">
        <f>TransDemand!H72</f>
        <v>2.1657425008548916</v>
      </c>
      <c r="I46" s="309">
        <f>TransDemand!I72</f>
        <v>2.246861500211824</v>
      </c>
      <c r="J46" s="309">
        <f>TransDemand!J72</f>
        <v>2.36650938155609</v>
      </c>
      <c r="K46" s="309">
        <f>TransDemand!K72</f>
        <v>2.4906952874093142</v>
      </c>
      <c r="L46" s="309">
        <f>TransDemand!L72</f>
        <v>2.621819924321632</v>
      </c>
      <c r="M46" s="309">
        <f>TransDemand!M72</f>
        <v>2.7602551265817574</v>
      </c>
    </row>
    <row r="47" spans="1:13" x14ac:dyDescent="0.2">
      <c r="A47" s="305" t="s">
        <v>520</v>
      </c>
      <c r="B47" s="304" t="s">
        <v>102</v>
      </c>
      <c r="C47" s="309">
        <f>TransDemand!C88</f>
        <v>0</v>
      </c>
      <c r="D47" s="309">
        <f>TransDemand!D88</f>
        <v>0</v>
      </c>
      <c r="E47" s="309">
        <f>TransDemand!E88</f>
        <v>0</v>
      </c>
      <c r="F47" s="309">
        <f>TransDemand!F88</f>
        <v>0</v>
      </c>
      <c r="G47" s="309">
        <f>TransDemand!G88</f>
        <v>0</v>
      </c>
      <c r="H47" s="309">
        <f>TransDemand!H88</f>
        <v>0</v>
      </c>
      <c r="I47" s="309">
        <f>TransDemand!I88</f>
        <v>0</v>
      </c>
      <c r="J47" s="309">
        <f>TransDemand!J88</f>
        <v>0</v>
      </c>
      <c r="K47" s="309">
        <f>TransDemand!K88</f>
        <v>0</v>
      </c>
      <c r="L47" s="309">
        <f>TransDemand!L88</f>
        <v>0</v>
      </c>
      <c r="M47" s="309">
        <f>TransDemand!M88</f>
        <v>0</v>
      </c>
    </row>
    <row r="48" spans="1:13" x14ac:dyDescent="0.2">
      <c r="A48" s="305" t="s">
        <v>521</v>
      </c>
      <c r="B48" s="304" t="s">
        <v>112</v>
      </c>
      <c r="C48" s="309">
        <f>TransDemand!C111</f>
        <v>0</v>
      </c>
      <c r="D48" s="309">
        <f>TransDemand!D111</f>
        <v>0</v>
      </c>
      <c r="E48" s="309">
        <f>TransDemand!E111</f>
        <v>0</v>
      </c>
      <c r="F48" s="309">
        <f>TransDemand!F111</f>
        <v>0</v>
      </c>
      <c r="G48" s="309">
        <f>TransDemand!G111</f>
        <v>0</v>
      </c>
      <c r="H48" s="309">
        <f>TransDemand!H111</f>
        <v>0</v>
      </c>
      <c r="I48" s="309">
        <f>TransDemand!I111</f>
        <v>0</v>
      </c>
      <c r="J48" s="309">
        <f>TransDemand!J111</f>
        <v>0</v>
      </c>
      <c r="K48" s="309">
        <f>TransDemand!K111</f>
        <v>0</v>
      </c>
      <c r="L48" s="309">
        <f>TransDemand!L111</f>
        <v>0</v>
      </c>
      <c r="M48" s="309">
        <f>TransDemand!M111</f>
        <v>0</v>
      </c>
    </row>
    <row r="49" spans="1:14" x14ac:dyDescent="0.2">
      <c r="A49" s="305" t="s">
        <v>522</v>
      </c>
      <c r="B49" s="304" t="s">
        <v>108</v>
      </c>
      <c r="C49" s="309">
        <v>0</v>
      </c>
      <c r="D49" s="309">
        <v>0</v>
      </c>
      <c r="E49" s="309">
        <v>0</v>
      </c>
      <c r="F49" s="309">
        <v>0</v>
      </c>
      <c r="G49" s="309">
        <v>0</v>
      </c>
      <c r="H49" s="309">
        <v>0</v>
      </c>
      <c r="I49" s="309">
        <v>0</v>
      </c>
      <c r="J49" s="309">
        <v>0</v>
      </c>
      <c r="K49" s="309">
        <v>0</v>
      </c>
      <c r="L49" s="309">
        <v>0</v>
      </c>
      <c r="M49" s="309">
        <v>0</v>
      </c>
    </row>
    <row r="50" spans="1:14" x14ac:dyDescent="0.2">
      <c r="A50" s="306" t="s">
        <v>526</v>
      </c>
      <c r="B50" s="307"/>
    </row>
    <row r="51" spans="1:14" x14ac:dyDescent="0.2">
      <c r="C51" s="307">
        <v>2005</v>
      </c>
      <c r="D51" s="307">
        <v>2010</v>
      </c>
      <c r="E51" s="307">
        <v>2015</v>
      </c>
      <c r="F51" s="307">
        <v>2020</v>
      </c>
      <c r="G51" s="307">
        <v>2025</v>
      </c>
      <c r="H51" s="307">
        <v>2030</v>
      </c>
      <c r="I51" s="307">
        <v>2035</v>
      </c>
      <c r="J51" s="307">
        <v>2040</v>
      </c>
      <c r="K51" s="307">
        <v>2045</v>
      </c>
      <c r="L51" s="307">
        <v>2050</v>
      </c>
      <c r="M51" s="307">
        <v>2055</v>
      </c>
    </row>
    <row r="52" spans="1:14" x14ac:dyDescent="0.2">
      <c r="A52" s="305" t="s">
        <v>513</v>
      </c>
      <c r="B52" s="304" t="s">
        <v>89</v>
      </c>
      <c r="C52" s="309">
        <f>TransDemand!C19</f>
        <v>0</v>
      </c>
      <c r="D52" s="309">
        <f>TransDemand!D19</f>
        <v>0</v>
      </c>
      <c r="E52" s="309">
        <f>TransDemand!E19</f>
        <v>0</v>
      </c>
      <c r="F52" s="309">
        <f>TransDemand!F19</f>
        <v>0</v>
      </c>
      <c r="G52" s="309">
        <f>TransDemand!G19</f>
        <v>0</v>
      </c>
      <c r="H52" s="309">
        <f>TransDemand!H19</f>
        <v>0</v>
      </c>
      <c r="I52" s="309">
        <f>TransDemand!I19</f>
        <v>0</v>
      </c>
      <c r="J52" s="309">
        <f>TransDemand!J19</f>
        <v>0</v>
      </c>
      <c r="K52" s="309">
        <f>TransDemand!K19</f>
        <v>0</v>
      </c>
      <c r="L52" s="309">
        <f>TransDemand!L19</f>
        <v>0</v>
      </c>
      <c r="M52" s="309">
        <f>TransDemand!M19</f>
        <v>0</v>
      </c>
    </row>
    <row r="53" spans="1:14" x14ac:dyDescent="0.2">
      <c r="A53" s="305" t="s">
        <v>514</v>
      </c>
      <c r="B53" s="304" t="s">
        <v>93</v>
      </c>
      <c r="C53" s="309">
        <f>TransDemand!C99</f>
        <v>2.0425596178870693E-2</v>
      </c>
      <c r="D53" s="309">
        <f>TransDemand!D99</f>
        <v>2.0425596178870693E-2</v>
      </c>
      <c r="E53" s="309">
        <f>TransDemand!E99</f>
        <v>1.9190759125819214E-2</v>
      </c>
      <c r="F53" s="309">
        <f>TransDemand!F99</f>
        <v>2.051340015466184E-2</v>
      </c>
      <c r="G53" s="309">
        <f>TransDemand!G99</f>
        <v>2.126140850016699E-2</v>
      </c>
      <c r="H53" s="309">
        <f>TransDemand!H99</f>
        <v>2.2008861835369129E-2</v>
      </c>
      <c r="I53" s="309">
        <f>TransDemand!I99</f>
        <v>2.2652840165929045E-2</v>
      </c>
      <c r="J53" s="309">
        <f>TransDemand!J99</f>
        <v>2.3258740631358264E-2</v>
      </c>
      <c r="K53" s="309">
        <f>TransDemand!K99</f>
        <v>2.4920922392353398E-2</v>
      </c>
      <c r="L53" s="309">
        <f>TransDemand!L99</f>
        <v>2.6213456898755857E-2</v>
      </c>
      <c r="M53" s="309">
        <f>TransDemand!M99</f>
        <v>2.7665324243579068E-2</v>
      </c>
    </row>
    <row r="54" spans="1:14" x14ac:dyDescent="0.2">
      <c r="A54" s="305" t="s">
        <v>515</v>
      </c>
      <c r="B54" s="304" t="s">
        <v>96</v>
      </c>
      <c r="C54" s="309">
        <f>TransDemand!C125</f>
        <v>2.8328292252925324E-2</v>
      </c>
      <c r="D54" s="309">
        <f>TransDemand!D125</f>
        <v>2.8328292252925324E-2</v>
      </c>
      <c r="E54" s="309">
        <f>TransDemand!E125</f>
        <v>2.8255212660973156E-2</v>
      </c>
      <c r="F54" s="309">
        <f>TransDemand!F125</f>
        <v>2.9005238819820499E-2</v>
      </c>
      <c r="G54" s="309">
        <f>TransDemand!G125</f>
        <v>2.9320622527323429E-2</v>
      </c>
      <c r="H54" s="309">
        <f>TransDemand!H125</f>
        <v>2.9636006234826359E-2</v>
      </c>
      <c r="I54" s="309">
        <f>TransDemand!I125</f>
        <v>2.9736033538697412E-2</v>
      </c>
      <c r="J54" s="309">
        <f>TransDemand!J125</f>
        <v>2.983606084256845E-2</v>
      </c>
      <c r="K54" s="309">
        <f>TransDemand!K125</f>
        <v>3.1492870415468319E-2</v>
      </c>
      <c r="L54" s="309">
        <f>TransDemand!L125</f>
        <v>3.21065828246253E-2</v>
      </c>
      <c r="M54" s="309">
        <f>TransDemand!M125</f>
        <v>3.2720295233782275E-2</v>
      </c>
    </row>
    <row r="55" spans="1:14" x14ac:dyDescent="0.2">
      <c r="A55" s="305" t="s">
        <v>516</v>
      </c>
      <c r="B55" s="304" t="s">
        <v>98</v>
      </c>
      <c r="C55" s="309">
        <f>TransDemand!C34</f>
        <v>3.662075470646059E-2</v>
      </c>
      <c r="D55" s="309">
        <f>TransDemand!D34</f>
        <v>3.662075470646059E-2</v>
      </c>
      <c r="E55" s="309">
        <f>TransDemand!E34</f>
        <v>3.6389880383438676E-2</v>
      </c>
      <c r="F55" s="309">
        <f>TransDemand!F34</f>
        <v>3.8972383999178663E-2</v>
      </c>
      <c r="G55" s="309">
        <f>TransDemand!G34</f>
        <v>4.0910856365122643E-2</v>
      </c>
      <c r="H55" s="309">
        <f>TransDemand!H34</f>
        <v>4.2236845316883889E-2</v>
      </c>
      <c r="I55" s="309">
        <f>TransDemand!I34</f>
        <v>4.3944671381080498E-2</v>
      </c>
      <c r="J55" s="309">
        <f>TransDemand!J34</f>
        <v>4.6130058304850063E-2</v>
      </c>
      <c r="K55" s="309">
        <f>TransDemand!K34</f>
        <v>5.0423946320484976E-2</v>
      </c>
      <c r="L55" s="309">
        <f>TransDemand!L34</f>
        <v>5.3295917965653979E-2</v>
      </c>
      <c r="M55" s="309">
        <f>TransDemand!M34</f>
        <v>5.6370763795451057E-2</v>
      </c>
    </row>
    <row r="56" spans="1:14" x14ac:dyDescent="0.2">
      <c r="A56" s="305" t="s">
        <v>517</v>
      </c>
      <c r="B56" s="304" t="s">
        <v>100</v>
      </c>
      <c r="C56" s="309">
        <f>TransDemand!C47</f>
        <v>0</v>
      </c>
      <c r="D56" s="309">
        <f>TransDemand!D47</f>
        <v>0</v>
      </c>
      <c r="E56" s="309">
        <f>TransDemand!E47</f>
        <v>0</v>
      </c>
      <c r="F56" s="309">
        <f>TransDemand!F47</f>
        <v>0</v>
      </c>
      <c r="G56" s="309">
        <f>TransDemand!G47</f>
        <v>0</v>
      </c>
      <c r="H56" s="309">
        <f>TransDemand!H47</f>
        <v>0</v>
      </c>
      <c r="I56" s="309">
        <f>TransDemand!I47</f>
        <v>0</v>
      </c>
      <c r="J56" s="309">
        <f>TransDemand!J47</f>
        <v>0</v>
      </c>
      <c r="K56" s="309">
        <f>TransDemand!K47</f>
        <v>0</v>
      </c>
      <c r="L56" s="309">
        <f>TransDemand!L47</f>
        <v>0</v>
      </c>
      <c r="M56" s="309">
        <f>TransDemand!M47</f>
        <v>0</v>
      </c>
    </row>
    <row r="57" spans="1:14" x14ac:dyDescent="0.2">
      <c r="A57" s="305" t="s">
        <v>518</v>
      </c>
      <c r="B57" s="304" t="s">
        <v>106</v>
      </c>
      <c r="C57" s="309">
        <f>TransDemand!C58</f>
        <v>0</v>
      </c>
      <c r="D57" s="309">
        <f>TransDemand!D58</f>
        <v>0</v>
      </c>
      <c r="E57" s="309">
        <f>TransDemand!E58</f>
        <v>0</v>
      </c>
      <c r="F57" s="309">
        <f>TransDemand!F58</f>
        <v>0</v>
      </c>
      <c r="G57" s="309">
        <f>TransDemand!G58</f>
        <v>0</v>
      </c>
      <c r="H57" s="309">
        <f>TransDemand!H58</f>
        <v>0</v>
      </c>
      <c r="I57" s="309">
        <f>TransDemand!I58</f>
        <v>0</v>
      </c>
      <c r="J57" s="309">
        <f>TransDemand!J58</f>
        <v>0</v>
      </c>
      <c r="K57" s="309">
        <f>TransDemand!K58</f>
        <v>0</v>
      </c>
      <c r="L57" s="309">
        <f>TransDemand!L58</f>
        <v>0</v>
      </c>
      <c r="M57" s="309">
        <f>TransDemand!M58</f>
        <v>0</v>
      </c>
    </row>
    <row r="58" spans="1:14" x14ac:dyDescent="0.2">
      <c r="A58" s="305" t="s">
        <v>519</v>
      </c>
      <c r="B58" s="304" t="s">
        <v>110</v>
      </c>
      <c r="C58" s="309">
        <f>TransDemand!C73</f>
        <v>0.52820317952136719</v>
      </c>
      <c r="D58" s="309">
        <f>TransDemand!D73</f>
        <v>0.52820317952136719</v>
      </c>
      <c r="E58" s="309">
        <f>TransDemand!E73</f>
        <v>0.53395268151433395</v>
      </c>
      <c r="F58" s="309">
        <f>TransDemand!F73</f>
        <v>0.58305933122426457</v>
      </c>
      <c r="G58" s="309">
        <f>TransDemand!G73</f>
        <v>0.6148373440697249</v>
      </c>
      <c r="H58" s="309">
        <f>TransDemand!H73</f>
        <v>0.64291960736319798</v>
      </c>
      <c r="I58" s="309">
        <f>TransDemand!I73</f>
        <v>0.66629187767690168</v>
      </c>
      <c r="J58" s="309">
        <f>TransDemand!J73</f>
        <v>0.70103288728015301</v>
      </c>
      <c r="K58" s="309">
        <f>TransDemand!K73</f>
        <v>0.76012210328532792</v>
      </c>
      <c r="L58" s="309">
        <f>TransDemand!L73</f>
        <v>0.80635923520614583</v>
      </c>
      <c r="M58" s="309">
        <f>TransDemand!M73</f>
        <v>0.85533550600638053</v>
      </c>
    </row>
    <row r="59" spans="1:14" x14ac:dyDescent="0.2">
      <c r="A59" s="305" t="s">
        <v>520</v>
      </c>
      <c r="B59" s="304" t="s">
        <v>102</v>
      </c>
      <c r="C59" s="309">
        <f>TransDemand!C84</f>
        <v>0</v>
      </c>
      <c r="D59" s="309">
        <f>TransDemand!D84</f>
        <v>0</v>
      </c>
      <c r="E59" s="309">
        <f>TransDemand!E84</f>
        <v>0</v>
      </c>
      <c r="F59" s="309">
        <f>TransDemand!F84</f>
        <v>0</v>
      </c>
      <c r="G59" s="309">
        <f>TransDemand!G84</f>
        <v>0</v>
      </c>
      <c r="H59" s="309">
        <f>TransDemand!H84</f>
        <v>0</v>
      </c>
      <c r="I59" s="309">
        <f>TransDemand!I84</f>
        <v>0</v>
      </c>
      <c r="J59" s="309">
        <f>TransDemand!J84</f>
        <v>0</v>
      </c>
      <c r="K59" s="309">
        <f>TransDemand!K84</f>
        <v>0</v>
      </c>
      <c r="L59" s="309">
        <f>TransDemand!L84</f>
        <v>0</v>
      </c>
      <c r="M59" s="309">
        <f>TransDemand!M84</f>
        <v>0</v>
      </c>
    </row>
    <row r="60" spans="1:14" x14ac:dyDescent="0.2">
      <c r="A60" s="305" t="s">
        <v>521</v>
      </c>
      <c r="B60" s="304" t="s">
        <v>112</v>
      </c>
      <c r="C60" s="309">
        <f>TransDemand!C112</f>
        <v>0</v>
      </c>
      <c r="D60" s="309">
        <f>TransDemand!D112</f>
        <v>0</v>
      </c>
      <c r="E60" s="309">
        <f>TransDemand!E112</f>
        <v>0</v>
      </c>
      <c r="F60" s="309">
        <f>TransDemand!F112</f>
        <v>0</v>
      </c>
      <c r="G60" s="309">
        <f>TransDemand!G112</f>
        <v>0</v>
      </c>
      <c r="H60" s="309">
        <f>TransDemand!H112</f>
        <v>0</v>
      </c>
      <c r="I60" s="309">
        <f>TransDemand!I112</f>
        <v>0</v>
      </c>
      <c r="J60" s="309">
        <f>TransDemand!J112</f>
        <v>0</v>
      </c>
      <c r="K60" s="309">
        <f>TransDemand!K112</f>
        <v>0</v>
      </c>
      <c r="L60" s="309">
        <f>TransDemand!L112</f>
        <v>0</v>
      </c>
      <c r="M60" s="309">
        <f>TransDemand!M112</f>
        <v>0</v>
      </c>
    </row>
    <row r="61" spans="1:14" x14ac:dyDescent="0.2">
      <c r="A61" s="305" t="s">
        <v>522</v>
      </c>
      <c r="B61" s="304" t="s">
        <v>108</v>
      </c>
      <c r="C61" s="309">
        <v>0</v>
      </c>
      <c r="D61" s="309">
        <v>0</v>
      </c>
      <c r="E61" s="309">
        <v>0</v>
      </c>
      <c r="F61" s="309">
        <v>0</v>
      </c>
      <c r="G61" s="309">
        <v>0</v>
      </c>
      <c r="H61" s="309">
        <v>0</v>
      </c>
      <c r="I61" s="309">
        <v>0</v>
      </c>
      <c r="J61" s="309">
        <v>0</v>
      </c>
      <c r="K61" s="309">
        <v>0</v>
      </c>
      <c r="L61" s="309">
        <v>0</v>
      </c>
      <c r="M61" s="309">
        <v>0</v>
      </c>
    </row>
    <row r="62" spans="1:14" x14ac:dyDescent="0.2">
      <c r="A62" s="306" t="s">
        <v>527</v>
      </c>
      <c r="B62" s="307"/>
    </row>
    <row r="63" spans="1:14" x14ac:dyDescent="0.2">
      <c r="C63" s="307">
        <v>2005</v>
      </c>
      <c r="D63" s="307">
        <v>2010</v>
      </c>
      <c r="E63" s="307">
        <v>2015</v>
      </c>
      <c r="F63" s="307">
        <v>2020</v>
      </c>
      <c r="G63" s="307">
        <v>2025</v>
      </c>
      <c r="H63" s="307">
        <v>2030</v>
      </c>
      <c r="I63" s="307">
        <v>2035</v>
      </c>
      <c r="J63" s="307">
        <v>2040</v>
      </c>
      <c r="K63" s="307">
        <v>2045</v>
      </c>
      <c r="L63" s="307">
        <v>2050</v>
      </c>
      <c r="M63" s="307">
        <v>2055</v>
      </c>
    </row>
    <row r="64" spans="1:14" x14ac:dyDescent="0.2">
      <c r="A64" s="305" t="s">
        <v>513</v>
      </c>
      <c r="B64" s="304" t="s">
        <v>89</v>
      </c>
      <c r="C64" s="309">
        <f>TransDemand!C22</f>
        <v>1.7477079974788159E-2</v>
      </c>
      <c r="D64" s="309">
        <f>TransDemand!D22</f>
        <v>1.4855517978569936E-2</v>
      </c>
      <c r="E64" s="309">
        <f>TransDemand!E22</f>
        <v>1.9044072748038786E-2</v>
      </c>
      <c r="F64" s="309">
        <f>TransDemand!F22</f>
        <v>1.9869505508434072E-2</v>
      </c>
      <c r="G64" s="309">
        <f>TransDemand!G22</f>
        <v>2.0959275032636986E-2</v>
      </c>
      <c r="H64" s="309">
        <f>TransDemand!H22</f>
        <v>2.1741126606205752E-2</v>
      </c>
      <c r="I64" s="309">
        <f>TransDemand!I22</f>
        <v>2.280496237057611E-2</v>
      </c>
      <c r="J64" s="309">
        <f>TransDemand!J22</f>
        <v>2.4131693772529373E-2</v>
      </c>
      <c r="K64" s="309">
        <f>TransDemand!K22</f>
        <v>2.5731443679320079E-2</v>
      </c>
      <c r="L64" s="309">
        <f>TransDemand!L22</f>
        <v>2.711760913380238E-2</v>
      </c>
      <c r="M64" s="309">
        <f>TransDemand!M22</f>
        <v>2.8601289692330587E-2</v>
      </c>
      <c r="N64" s="465"/>
    </row>
    <row r="65" spans="1:14" x14ac:dyDescent="0.2">
      <c r="A65" s="305" t="s">
        <v>514</v>
      </c>
      <c r="B65" s="304" t="s">
        <v>93</v>
      </c>
      <c r="C65" s="309">
        <f>TransDemand!C100</f>
        <v>9.8047132152094846E-2</v>
      </c>
      <c r="D65" s="309">
        <f>TransDemand!D100</f>
        <v>9.8047132152094846E-2</v>
      </c>
      <c r="E65" s="309">
        <f>TransDemand!E100</f>
        <v>9.4593420001685816E-2</v>
      </c>
      <c r="F65" s="309">
        <f>TransDemand!F100</f>
        <v>9.8125388866803595E-2</v>
      </c>
      <c r="G65" s="309">
        <f>TransDemand!G100</f>
        <v>0.10154328881584043</v>
      </c>
      <c r="H65" s="309">
        <f>TransDemand!H100</f>
        <v>0.10495080054043751</v>
      </c>
      <c r="I65" s="309">
        <f>TransDemand!I100</f>
        <v>0.10854498197158115</v>
      </c>
      <c r="J65" s="309">
        <f>TransDemand!J100</f>
        <v>0.11198197862242722</v>
      </c>
      <c r="K65" s="309">
        <f>TransDemand!K100</f>
        <v>0.11762495234886459</v>
      </c>
      <c r="L65" s="309">
        <f>TransDemand!L100</f>
        <v>0.12316541756658006</v>
      </c>
      <c r="M65" s="309">
        <f>TransDemand!M100</f>
        <v>0.12941804561703046</v>
      </c>
      <c r="N65" s="465"/>
    </row>
    <row r="66" spans="1:14" x14ac:dyDescent="0.2">
      <c r="A66" s="305" t="s">
        <v>515</v>
      </c>
      <c r="B66" s="304" t="s">
        <v>96</v>
      </c>
      <c r="C66" s="309">
        <f>TransDemand!C126</f>
        <v>0.1359817255683794</v>
      </c>
      <c r="D66" s="309">
        <f>TransDemand!D126</f>
        <v>0.1359817255683794</v>
      </c>
      <c r="E66" s="309">
        <f>TransDemand!E126</f>
        <v>0.13927313562497176</v>
      </c>
      <c r="F66" s="309">
        <f>TransDemand!F126</f>
        <v>0.13874590837748482</v>
      </c>
      <c r="G66" s="309">
        <f>TransDemand!G126</f>
        <v>0.14003364083470085</v>
      </c>
      <c r="H66" s="309">
        <f>TransDemand!H126</f>
        <v>0.14132137329191688</v>
      </c>
      <c r="I66" s="309">
        <f>TransDemand!I126</f>
        <v>0.14248532196059252</v>
      </c>
      <c r="J66" s="309">
        <f>TransDemand!J126</f>
        <v>0.14364927062926813</v>
      </c>
      <c r="K66" s="309">
        <f>TransDemand!K126</f>
        <v>0.14864407198206478</v>
      </c>
      <c r="L66" s="309">
        <f>TransDemand!L126</f>
        <v>0.1508546047743381</v>
      </c>
      <c r="M66" s="309">
        <f>TransDemand!M126</f>
        <v>0.15306513756661136</v>
      </c>
      <c r="N66" s="465"/>
    </row>
    <row r="67" spans="1:14" x14ac:dyDescent="0.2">
      <c r="A67" s="305" t="s">
        <v>516</v>
      </c>
      <c r="B67" s="304" t="s">
        <v>98</v>
      </c>
      <c r="C67" s="309">
        <f>TransDemand!C35</f>
        <v>0.17578727909680572</v>
      </c>
      <c r="D67" s="309">
        <f>TransDemand!D35</f>
        <v>0.17578727909680572</v>
      </c>
      <c r="E67" s="309">
        <f>TransDemand!E35</f>
        <v>0.17936983192554035</v>
      </c>
      <c r="F67" s="309">
        <f>TransDemand!F35</f>
        <v>0.18642352346043053</v>
      </c>
      <c r="G67" s="309">
        <f>TransDemand!G35</f>
        <v>0.19538794447951952</v>
      </c>
      <c r="H67" s="309">
        <f>TransDemand!H35</f>
        <v>0.20140935780631417</v>
      </c>
      <c r="I67" s="309">
        <f>TransDemand!I35</f>
        <v>0.21056845534012592</v>
      </c>
      <c r="J67" s="309">
        <f>TransDemand!J35</f>
        <v>0.22209866324320299</v>
      </c>
      <c r="K67" s="309">
        <f>TransDemand!K35</f>
        <v>0.23799738187093039</v>
      </c>
      <c r="L67" s="309">
        <f>TransDemand!L35</f>
        <v>0.25041390062313829</v>
      </c>
      <c r="M67" s="309">
        <f>TransDemand!M35</f>
        <v>0.26370173781858863</v>
      </c>
      <c r="N67" s="465"/>
    </row>
    <row r="68" spans="1:14" x14ac:dyDescent="0.2">
      <c r="A68" s="305" t="s">
        <v>517</v>
      </c>
      <c r="B68" s="304" t="s">
        <v>100</v>
      </c>
      <c r="C68" s="309">
        <f>TransDemand!C48</f>
        <v>0</v>
      </c>
      <c r="D68" s="309">
        <f>TransDemand!D48</f>
        <v>0</v>
      </c>
      <c r="E68" s="309">
        <f>TransDemand!E48</f>
        <v>0</v>
      </c>
      <c r="F68" s="309">
        <f>TransDemand!F48</f>
        <v>0</v>
      </c>
      <c r="G68" s="309">
        <f>TransDemand!G48</f>
        <v>0</v>
      </c>
      <c r="H68" s="309">
        <f>TransDemand!H48</f>
        <v>0</v>
      </c>
      <c r="I68" s="309">
        <f>TransDemand!I48</f>
        <v>0</v>
      </c>
      <c r="J68" s="309">
        <f>TransDemand!J48</f>
        <v>0</v>
      </c>
      <c r="K68" s="309">
        <f>TransDemand!K48</f>
        <v>0</v>
      </c>
      <c r="L68" s="309">
        <f>TransDemand!L48</f>
        <v>0</v>
      </c>
      <c r="M68" s="309">
        <f>TransDemand!M48</f>
        <v>0</v>
      </c>
      <c r="N68" s="465"/>
    </row>
    <row r="69" spans="1:14" x14ac:dyDescent="0.2">
      <c r="A69" s="305" t="s">
        <v>518</v>
      </c>
      <c r="B69" s="304" t="s">
        <v>106</v>
      </c>
      <c r="C69" s="309">
        <f>TransDemand!C59</f>
        <v>0</v>
      </c>
      <c r="D69" s="309">
        <f>TransDemand!D59</f>
        <v>0</v>
      </c>
      <c r="E69" s="309">
        <f>TransDemand!E59</f>
        <v>0</v>
      </c>
      <c r="F69" s="309">
        <f>TransDemand!F59</f>
        <v>0</v>
      </c>
      <c r="G69" s="309">
        <f>TransDemand!G59</f>
        <v>0</v>
      </c>
      <c r="H69" s="309">
        <f>TransDemand!H59</f>
        <v>0</v>
      </c>
      <c r="I69" s="309">
        <f>TransDemand!I59</f>
        <v>0</v>
      </c>
      <c r="J69" s="309">
        <f>TransDemand!J59</f>
        <v>0</v>
      </c>
      <c r="K69" s="309">
        <f>TransDemand!K59</f>
        <v>0</v>
      </c>
      <c r="L69" s="309">
        <f>TransDemand!L59</f>
        <v>0</v>
      </c>
      <c r="M69" s="309">
        <f>TransDemand!M59</f>
        <v>0</v>
      </c>
      <c r="N69" s="465"/>
    </row>
    <row r="70" spans="1:14" x14ac:dyDescent="0.2">
      <c r="A70" s="305" t="s">
        <v>519</v>
      </c>
      <c r="B70" s="304" t="s">
        <v>110</v>
      </c>
      <c r="C70" s="309">
        <f>TransDemand!C74</f>
        <v>2.5354856960924947</v>
      </c>
      <c r="D70" s="309">
        <f>TransDemand!D74</f>
        <v>2.5354856960924947</v>
      </c>
      <c r="E70" s="309">
        <f>TransDemand!E74</f>
        <v>2.6646372431127818</v>
      </c>
      <c r="F70" s="309">
        <f>TransDemand!F74</f>
        <v>2.7890512142033801</v>
      </c>
      <c r="G70" s="309">
        <f>TransDemand!G74</f>
        <v>2.9364285062838604</v>
      </c>
      <c r="H70" s="309">
        <f>TransDemand!H74</f>
        <v>3.0658072180487075</v>
      </c>
      <c r="I70" s="309">
        <f>TransDemand!I74</f>
        <v>3.1926521937424406</v>
      </c>
      <c r="J70" s="309">
        <f>TransDemand!J74</f>
        <v>3.3752063811737045</v>
      </c>
      <c r="K70" s="309">
        <f>TransDemand!K74</f>
        <v>3.5877213840884679</v>
      </c>
      <c r="L70" s="309">
        <f>TransDemand!L74</f>
        <v>3.788724710991735</v>
      </c>
      <c r="M70" s="309">
        <f>TransDemand!M74</f>
        <v>4.0012489483072411</v>
      </c>
      <c r="N70" s="465"/>
    </row>
    <row r="71" spans="1:14" x14ac:dyDescent="0.2">
      <c r="A71" s="305" t="s">
        <v>520</v>
      </c>
      <c r="B71" s="304" t="s">
        <v>102</v>
      </c>
      <c r="C71" s="309">
        <f>TransDemand!C85</f>
        <v>0</v>
      </c>
      <c r="D71" s="309">
        <f>TransDemand!D85</f>
        <v>0</v>
      </c>
      <c r="E71" s="309">
        <f>TransDemand!E85</f>
        <v>0</v>
      </c>
      <c r="F71" s="309">
        <f>TransDemand!F85</f>
        <v>0</v>
      </c>
      <c r="G71" s="309">
        <f>TransDemand!G85</f>
        <v>0</v>
      </c>
      <c r="H71" s="309">
        <f>TransDemand!H85</f>
        <v>0</v>
      </c>
      <c r="I71" s="309">
        <f>TransDemand!I85</f>
        <v>0</v>
      </c>
      <c r="J71" s="309">
        <f>TransDemand!J85</f>
        <v>0</v>
      </c>
      <c r="K71" s="309">
        <f>TransDemand!K85</f>
        <v>0</v>
      </c>
      <c r="L71" s="309">
        <f>TransDemand!L85</f>
        <v>0</v>
      </c>
      <c r="M71" s="309">
        <f>TransDemand!M85</f>
        <v>0</v>
      </c>
      <c r="N71" s="465"/>
    </row>
    <row r="72" spans="1:14" x14ac:dyDescent="0.2">
      <c r="A72" s="305" t="s">
        <v>521</v>
      </c>
      <c r="B72" s="304" t="s">
        <v>112</v>
      </c>
      <c r="C72" s="309">
        <f>TransDemand!C113</f>
        <v>0</v>
      </c>
      <c r="D72" s="309">
        <f>TransDemand!D113</f>
        <v>0</v>
      </c>
      <c r="E72" s="309">
        <f>TransDemand!E113</f>
        <v>0</v>
      </c>
      <c r="F72" s="309">
        <f>TransDemand!F113</f>
        <v>0</v>
      </c>
      <c r="G72" s="309">
        <f>TransDemand!G113</f>
        <v>0</v>
      </c>
      <c r="H72" s="309">
        <f>TransDemand!H113</f>
        <v>0</v>
      </c>
      <c r="I72" s="309">
        <f>TransDemand!I113</f>
        <v>0</v>
      </c>
      <c r="J72" s="309">
        <f>TransDemand!J113</f>
        <v>0</v>
      </c>
      <c r="K72" s="309">
        <f>TransDemand!K113</f>
        <v>0</v>
      </c>
      <c r="L72" s="309">
        <f>TransDemand!L113</f>
        <v>0</v>
      </c>
      <c r="M72" s="309">
        <f>TransDemand!M113</f>
        <v>0</v>
      </c>
      <c r="N72" s="465"/>
    </row>
    <row r="73" spans="1:14" x14ac:dyDescent="0.2">
      <c r="A73" s="305" t="s">
        <v>522</v>
      </c>
      <c r="B73" s="304" t="s">
        <v>108</v>
      </c>
      <c r="C73" s="309">
        <v>0</v>
      </c>
      <c r="D73" s="309">
        <v>0</v>
      </c>
      <c r="E73" s="309">
        <v>0</v>
      </c>
      <c r="F73" s="309">
        <v>0</v>
      </c>
      <c r="G73" s="309">
        <v>0</v>
      </c>
      <c r="H73" s="309">
        <v>0</v>
      </c>
      <c r="I73" s="309">
        <v>0</v>
      </c>
      <c r="J73" s="309">
        <v>0</v>
      </c>
      <c r="K73" s="309">
        <v>0</v>
      </c>
      <c r="L73" s="309">
        <v>0</v>
      </c>
      <c r="M73" s="309">
        <v>0</v>
      </c>
      <c r="N73" s="309"/>
    </row>
    <row r="74" spans="1:14" x14ac:dyDescent="0.2">
      <c r="A74" s="307"/>
      <c r="B74" s="307"/>
      <c r="C74" s="309"/>
      <c r="D74" s="309"/>
      <c r="E74" s="309"/>
      <c r="F74" s="309"/>
      <c r="G74" s="309"/>
      <c r="H74" s="309"/>
      <c r="I74" s="309"/>
      <c r="J74" s="309"/>
      <c r="K74" s="309"/>
      <c r="L74" s="309"/>
      <c r="M74" s="309"/>
      <c r="N74" s="465"/>
    </row>
    <row r="75" spans="1:14" x14ac:dyDescent="0.2">
      <c r="C75" s="307"/>
      <c r="D75" s="307"/>
      <c r="E75" s="307"/>
      <c r="F75" s="307"/>
      <c r="G75" s="307"/>
      <c r="H75" s="307"/>
      <c r="I75" s="307"/>
      <c r="J75" s="307"/>
      <c r="K75" s="307"/>
      <c r="L75" s="307"/>
      <c r="M75" s="307"/>
    </row>
    <row r="76" spans="1:14" x14ac:dyDescent="0.2">
      <c r="C76" s="309"/>
      <c r="D76" s="309"/>
      <c r="E76" s="309"/>
      <c r="F76" s="309"/>
      <c r="G76" s="309"/>
      <c r="H76" s="309"/>
      <c r="I76" s="309"/>
      <c r="J76" s="309"/>
      <c r="K76" s="309"/>
      <c r="L76" s="309"/>
      <c r="M76" s="309"/>
    </row>
    <row r="77" spans="1:14" x14ac:dyDescent="0.2">
      <c r="C77" s="309"/>
      <c r="D77" s="309"/>
      <c r="E77" s="309"/>
      <c r="F77" s="309"/>
      <c r="G77" s="309"/>
      <c r="H77" s="309"/>
      <c r="I77" s="309"/>
      <c r="J77" s="309"/>
      <c r="K77" s="309"/>
      <c r="L77" s="309"/>
      <c r="M77" s="309"/>
    </row>
    <row r="78" spans="1:14" x14ac:dyDescent="0.2">
      <c r="C78" s="309"/>
      <c r="D78" s="309"/>
      <c r="E78" s="309"/>
      <c r="F78" s="309"/>
      <c r="G78" s="309"/>
      <c r="H78" s="309"/>
      <c r="I78" s="309"/>
      <c r="J78" s="309"/>
      <c r="K78" s="309"/>
      <c r="L78" s="309"/>
      <c r="M78" s="309"/>
    </row>
    <row r="79" spans="1:14" x14ac:dyDescent="0.2">
      <c r="C79" s="309"/>
      <c r="D79" s="309"/>
      <c r="E79" s="309"/>
      <c r="F79" s="309"/>
      <c r="G79" s="309"/>
      <c r="H79" s="309"/>
      <c r="I79" s="309"/>
      <c r="J79" s="309"/>
      <c r="K79" s="309"/>
      <c r="L79" s="309"/>
      <c r="M79" s="309"/>
    </row>
    <row r="80" spans="1:14" x14ac:dyDescent="0.2">
      <c r="C80" s="309"/>
      <c r="D80" s="309"/>
      <c r="E80" s="309"/>
      <c r="F80" s="309"/>
      <c r="G80" s="309"/>
      <c r="H80" s="309"/>
      <c r="I80" s="309"/>
      <c r="J80" s="309"/>
      <c r="K80" s="309"/>
      <c r="L80" s="309"/>
      <c r="M80" s="309"/>
    </row>
    <row r="81" spans="1:13" x14ac:dyDescent="0.2">
      <c r="C81" s="309"/>
      <c r="D81" s="309"/>
      <c r="E81" s="309"/>
      <c r="F81" s="309"/>
      <c r="G81" s="309"/>
      <c r="H81" s="309"/>
      <c r="I81" s="309"/>
      <c r="J81" s="309"/>
      <c r="K81" s="309"/>
      <c r="L81" s="309"/>
      <c r="M81" s="309"/>
    </row>
    <row r="82" spans="1:13" x14ac:dyDescent="0.2">
      <c r="C82" s="308"/>
      <c r="D82" s="308"/>
      <c r="E82" s="308"/>
      <c r="F82" s="308"/>
      <c r="G82" s="308"/>
      <c r="H82" s="308"/>
      <c r="I82" s="308"/>
      <c r="J82" s="308"/>
      <c r="K82" s="308"/>
      <c r="L82" s="308"/>
      <c r="M82" s="308"/>
    </row>
    <row r="83" spans="1:13" x14ac:dyDescent="0.2">
      <c r="C83" s="309"/>
      <c r="D83" s="309"/>
      <c r="E83" s="309"/>
      <c r="F83" s="309"/>
      <c r="G83" s="309"/>
      <c r="H83" s="309"/>
      <c r="I83" s="309"/>
      <c r="J83" s="309"/>
      <c r="K83" s="309"/>
      <c r="L83" s="309"/>
      <c r="M83" s="309"/>
    </row>
    <row r="84" spans="1:13" x14ac:dyDescent="0.2">
      <c r="C84" s="309"/>
      <c r="D84" s="309"/>
      <c r="E84" s="309"/>
      <c r="F84" s="309"/>
      <c r="G84" s="309"/>
      <c r="H84" s="309"/>
      <c r="I84" s="309"/>
      <c r="J84" s="309"/>
      <c r="K84" s="309"/>
      <c r="L84" s="309"/>
      <c r="M84" s="309"/>
    </row>
    <row r="86" spans="1:13" x14ac:dyDescent="0.2">
      <c r="A86" s="307"/>
      <c r="B86" s="307"/>
    </row>
    <row r="87" spans="1:13" x14ac:dyDescent="0.2">
      <c r="C87" s="307"/>
      <c r="D87" s="307"/>
      <c r="E87" s="307"/>
      <c r="F87" s="307"/>
      <c r="G87" s="307"/>
      <c r="H87" s="307"/>
      <c r="I87" s="307"/>
      <c r="J87" s="307"/>
      <c r="K87" s="307"/>
      <c r="L87" s="307"/>
      <c r="M87" s="307"/>
    </row>
    <row r="88" spans="1:13" x14ac:dyDescent="0.2">
      <c r="C88" s="309"/>
      <c r="D88" s="309"/>
      <c r="E88" s="309"/>
      <c r="F88" s="309"/>
      <c r="G88" s="309"/>
      <c r="H88" s="309"/>
      <c r="I88" s="309"/>
      <c r="J88" s="309"/>
      <c r="K88" s="309"/>
      <c r="L88" s="309"/>
      <c r="M88" s="309"/>
    </row>
    <row r="89" spans="1:13" x14ac:dyDescent="0.2">
      <c r="C89" s="309"/>
      <c r="D89" s="309"/>
      <c r="E89" s="309"/>
      <c r="F89" s="309"/>
      <c r="G89" s="309"/>
      <c r="H89" s="309"/>
      <c r="I89" s="309"/>
      <c r="J89" s="309"/>
      <c r="K89" s="309"/>
      <c r="L89" s="309"/>
      <c r="M89" s="309"/>
    </row>
    <row r="90" spans="1:13" x14ac:dyDescent="0.2">
      <c r="C90" s="309"/>
      <c r="D90" s="309"/>
      <c r="E90" s="309"/>
      <c r="F90" s="309"/>
      <c r="G90" s="309"/>
      <c r="H90" s="309"/>
      <c r="I90" s="309"/>
      <c r="J90" s="309"/>
      <c r="K90" s="309"/>
      <c r="L90" s="309"/>
      <c r="M90" s="309"/>
    </row>
    <row r="91" spans="1:13" x14ac:dyDescent="0.2">
      <c r="C91" s="309"/>
      <c r="D91" s="309"/>
      <c r="E91" s="309"/>
      <c r="F91" s="309"/>
      <c r="G91" s="309"/>
      <c r="H91" s="309"/>
      <c r="I91" s="309"/>
      <c r="J91" s="309"/>
      <c r="K91" s="309"/>
      <c r="L91" s="309"/>
      <c r="M91" s="309"/>
    </row>
    <row r="92" spans="1:13" x14ac:dyDescent="0.2">
      <c r="C92" s="309"/>
      <c r="D92" s="309"/>
      <c r="E92" s="309"/>
      <c r="F92" s="309"/>
      <c r="G92" s="309"/>
      <c r="H92" s="309"/>
      <c r="I92" s="309"/>
      <c r="J92" s="309"/>
      <c r="K92" s="309"/>
      <c r="L92" s="309"/>
      <c r="M92" s="309"/>
    </row>
    <row r="93" spans="1:13" x14ac:dyDescent="0.2">
      <c r="C93" s="309"/>
      <c r="D93" s="309"/>
      <c r="E93" s="309"/>
      <c r="F93" s="309"/>
      <c r="G93" s="309"/>
      <c r="H93" s="309"/>
      <c r="I93" s="309"/>
      <c r="J93" s="309"/>
      <c r="K93" s="309"/>
      <c r="L93" s="309"/>
      <c r="M93" s="309"/>
    </row>
    <row r="94" spans="1:13" x14ac:dyDescent="0.2">
      <c r="C94" s="308"/>
      <c r="D94" s="308"/>
      <c r="E94" s="308"/>
      <c r="F94" s="308"/>
      <c r="G94" s="308"/>
      <c r="H94" s="308"/>
      <c r="I94" s="308"/>
      <c r="J94" s="308"/>
      <c r="K94" s="308"/>
      <c r="L94" s="308"/>
      <c r="M94" s="308"/>
    </row>
    <row r="95" spans="1:13" x14ac:dyDescent="0.2">
      <c r="C95" s="309"/>
      <c r="D95" s="309"/>
      <c r="E95" s="309"/>
      <c r="F95" s="309"/>
      <c r="G95" s="309"/>
      <c r="H95" s="309"/>
      <c r="I95" s="309"/>
      <c r="J95" s="309"/>
      <c r="K95" s="309"/>
      <c r="L95" s="309"/>
      <c r="M95" s="309"/>
    </row>
    <row r="96" spans="1:13" x14ac:dyDescent="0.2">
      <c r="C96" s="309"/>
      <c r="D96" s="309"/>
      <c r="E96" s="309"/>
      <c r="F96" s="309"/>
      <c r="G96" s="309"/>
      <c r="H96" s="309"/>
      <c r="I96" s="309"/>
      <c r="J96" s="309"/>
      <c r="K96" s="309"/>
      <c r="L96" s="309"/>
      <c r="M96" s="309"/>
    </row>
    <row r="98" spans="1:13" x14ac:dyDescent="0.2">
      <c r="A98" s="307"/>
      <c r="B98" s="307"/>
    </row>
    <row r="99" spans="1:13" x14ac:dyDescent="0.2">
      <c r="C99" s="307"/>
      <c r="D99" s="307"/>
      <c r="E99" s="307"/>
      <c r="F99" s="307"/>
      <c r="G99" s="307"/>
      <c r="H99" s="307"/>
      <c r="I99" s="307"/>
      <c r="J99" s="307"/>
      <c r="K99" s="307"/>
      <c r="L99" s="307"/>
      <c r="M99" s="307"/>
    </row>
    <row r="100" spans="1:13" x14ac:dyDescent="0.2">
      <c r="C100" s="309"/>
      <c r="D100" s="309"/>
      <c r="E100" s="309"/>
      <c r="F100" s="309"/>
      <c r="G100" s="309"/>
      <c r="H100" s="309"/>
      <c r="I100" s="309"/>
      <c r="J100" s="309"/>
      <c r="K100" s="309"/>
      <c r="L100" s="309"/>
      <c r="M100" s="309"/>
    </row>
    <row r="101" spans="1:13" x14ac:dyDescent="0.2">
      <c r="C101" s="309"/>
      <c r="D101" s="309"/>
      <c r="E101" s="309"/>
      <c r="F101" s="309"/>
      <c r="G101" s="309"/>
      <c r="H101" s="309"/>
      <c r="I101" s="309"/>
      <c r="J101" s="309"/>
      <c r="K101" s="309"/>
      <c r="L101" s="309"/>
      <c r="M101" s="309"/>
    </row>
    <row r="102" spans="1:13" x14ac:dyDescent="0.2">
      <c r="C102" s="309"/>
      <c r="D102" s="309"/>
      <c r="E102" s="309"/>
      <c r="F102" s="309"/>
      <c r="G102" s="309"/>
      <c r="H102" s="309"/>
      <c r="I102" s="309"/>
      <c r="J102" s="309"/>
      <c r="K102" s="309"/>
      <c r="L102" s="309"/>
      <c r="M102" s="309"/>
    </row>
    <row r="103" spans="1:13" x14ac:dyDescent="0.2">
      <c r="C103" s="309"/>
      <c r="D103" s="309"/>
      <c r="E103" s="309"/>
      <c r="F103" s="309"/>
      <c r="G103" s="309"/>
      <c r="H103" s="309"/>
      <c r="I103" s="309"/>
      <c r="J103" s="309"/>
      <c r="K103" s="309"/>
      <c r="L103" s="309"/>
      <c r="M103" s="309"/>
    </row>
    <row r="104" spans="1:13" x14ac:dyDescent="0.2">
      <c r="C104" s="309"/>
      <c r="D104" s="309"/>
      <c r="E104" s="309"/>
      <c r="F104" s="309"/>
      <c r="G104" s="309"/>
      <c r="H104" s="309"/>
      <c r="I104" s="309"/>
      <c r="J104" s="309"/>
      <c r="K104" s="309"/>
      <c r="L104" s="309"/>
      <c r="M104" s="309"/>
    </row>
    <row r="105" spans="1:13" x14ac:dyDescent="0.2">
      <c r="C105" s="309"/>
      <c r="D105" s="309"/>
      <c r="E105" s="309"/>
      <c r="F105" s="309"/>
      <c r="G105" s="309"/>
      <c r="H105" s="309"/>
      <c r="I105" s="309"/>
      <c r="J105" s="309"/>
      <c r="K105" s="309"/>
      <c r="L105" s="309"/>
      <c r="M105" s="309"/>
    </row>
    <row r="106" spans="1:13" x14ac:dyDescent="0.2">
      <c r="C106" s="308"/>
      <c r="D106" s="308"/>
      <c r="E106" s="308"/>
      <c r="F106" s="308"/>
      <c r="G106" s="308"/>
      <c r="H106" s="308"/>
      <c r="I106" s="308"/>
      <c r="J106" s="308"/>
      <c r="K106" s="308"/>
      <c r="L106" s="308"/>
      <c r="M106" s="308"/>
    </row>
    <row r="107" spans="1:13" x14ac:dyDescent="0.2">
      <c r="C107" s="309"/>
      <c r="D107" s="309"/>
      <c r="E107" s="309"/>
      <c r="F107" s="309"/>
      <c r="G107" s="309"/>
      <c r="H107" s="309"/>
      <c r="I107" s="309"/>
      <c r="J107" s="309"/>
      <c r="K107" s="309"/>
      <c r="L107" s="309"/>
      <c r="M107" s="309"/>
    </row>
    <row r="108" spans="1:13" x14ac:dyDescent="0.2">
      <c r="C108" s="309"/>
      <c r="D108" s="309"/>
      <c r="E108" s="309"/>
      <c r="F108" s="309"/>
      <c r="G108" s="309"/>
      <c r="H108" s="309"/>
      <c r="I108" s="309"/>
      <c r="J108" s="309"/>
      <c r="K108" s="309"/>
      <c r="L108" s="309"/>
      <c r="M108" s="309"/>
    </row>
  </sheetData>
  <phoneticPr fontId="0" type="noConversion"/>
  <pageMargins left="0.75" right="0.75"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M143"/>
  <sheetViews>
    <sheetView showFormulas="1" topLeftCell="D91" zoomScale="120" zoomScaleNormal="120" workbookViewId="0">
      <selection activeCell="L95" sqref="L95"/>
    </sheetView>
  </sheetViews>
  <sheetFormatPr defaultColWidth="9.140625" defaultRowHeight="11.25" x14ac:dyDescent="0.2"/>
  <cols>
    <col min="1" max="1" width="6.5703125" style="503" customWidth="1"/>
    <col min="2" max="2" width="46" style="506" customWidth="1"/>
    <col min="3" max="13" width="11.5703125" style="503" customWidth="1"/>
    <col min="14" max="16384" width="9.140625" style="503"/>
  </cols>
  <sheetData>
    <row r="1" spans="1:13" ht="14.25" customHeight="1" x14ac:dyDescent="0.2">
      <c r="B1" s="504" t="s">
        <v>707</v>
      </c>
    </row>
    <row r="2" spans="1:13" x14ac:dyDescent="0.2">
      <c r="B2" s="505" t="s">
        <v>708</v>
      </c>
      <c r="C2" s="854"/>
      <c r="D2" s="854"/>
      <c r="E2" s="854"/>
      <c r="F2" s="854"/>
      <c r="G2" s="854"/>
      <c r="H2" s="854"/>
      <c r="I2" s="854"/>
      <c r="J2" s="854"/>
      <c r="K2" s="854"/>
      <c r="L2" s="854"/>
      <c r="M2" s="854"/>
    </row>
    <row r="3" spans="1:13" x14ac:dyDescent="0.2">
      <c r="A3" s="503" t="s">
        <v>709</v>
      </c>
      <c r="B3" s="506" t="s">
        <v>710</v>
      </c>
      <c r="C3" s="854">
        <v>2005</v>
      </c>
      <c r="D3" s="854">
        <v>2010</v>
      </c>
      <c r="E3" s="854">
        <v>2015</v>
      </c>
      <c r="F3" s="854">
        <v>2020</v>
      </c>
      <c r="G3" s="854">
        <v>2025</v>
      </c>
      <c r="H3" s="854">
        <v>2030</v>
      </c>
      <c r="I3" s="854">
        <v>2035</v>
      </c>
      <c r="J3" s="854">
        <v>2040</v>
      </c>
      <c r="K3" s="854">
        <v>2045</v>
      </c>
      <c r="L3" s="854">
        <v>2050</v>
      </c>
      <c r="M3" s="854">
        <v>2055</v>
      </c>
    </row>
    <row r="4" spans="1:13" x14ac:dyDescent="0.2">
      <c r="A4" s="503" t="s">
        <v>89</v>
      </c>
      <c r="B4" s="506" t="s">
        <v>513</v>
      </c>
      <c r="C4" s="310">
        <f>C26</f>
        <v>1.7477079974788159E-2</v>
      </c>
      <c r="D4" s="310">
        <f>D26</f>
        <v>1.4855517978569936E-2</v>
      </c>
      <c r="E4" s="310">
        <f t="shared" ref="E4:M4" si="0">E26</f>
        <v>1.9044072748038786E-2</v>
      </c>
      <c r="F4" s="310">
        <f t="shared" si="0"/>
        <v>1.9869505508434072E-2</v>
      </c>
      <c r="G4" s="310">
        <f t="shared" si="0"/>
        <v>2.0959275032636986E-2</v>
      </c>
      <c r="H4" s="310">
        <f t="shared" si="0"/>
        <v>2.1741126606205752E-2</v>
      </c>
      <c r="I4" s="310">
        <f t="shared" si="0"/>
        <v>2.280496237057611E-2</v>
      </c>
      <c r="J4" s="310">
        <f t="shared" si="0"/>
        <v>2.4131693772529373E-2</v>
      </c>
      <c r="K4" s="310">
        <f t="shared" si="0"/>
        <v>2.5731443679320079E-2</v>
      </c>
      <c r="L4" s="310">
        <f t="shared" si="0"/>
        <v>2.711760913380238E-2</v>
      </c>
      <c r="M4" s="310">
        <f t="shared" si="0"/>
        <v>2.8601289692330587E-2</v>
      </c>
    </row>
    <row r="5" spans="1:13" x14ac:dyDescent="0.2">
      <c r="A5" s="503" t="s">
        <v>93</v>
      </c>
      <c r="B5" s="506" t="s">
        <v>514</v>
      </c>
      <c r="C5" s="310">
        <f>C104</f>
        <v>0.35918441166186899</v>
      </c>
      <c r="D5" s="310">
        <f t="shared" ref="D5:M5" si="1">D104</f>
        <v>0.35918441166186899</v>
      </c>
      <c r="E5" s="310">
        <f t="shared" si="1"/>
        <v>0.3457717766494301</v>
      </c>
      <c r="F5" s="310">
        <f t="shared" si="1"/>
        <v>0.36006915629298458</v>
      </c>
      <c r="G5" s="310">
        <f t="shared" si="1"/>
        <v>0.37501436276234434</v>
      </c>
      <c r="H5" s="310">
        <f t="shared" si="1"/>
        <v>0.390037477702739</v>
      </c>
      <c r="I5" s="310">
        <f t="shared" si="1"/>
        <v>0.40472868204457318</v>
      </c>
      <c r="J5" s="310">
        <f t="shared" si="1"/>
        <v>0.41889789789327248</v>
      </c>
      <c r="K5" s="310">
        <f t="shared" si="1"/>
        <v>0.43783413488752976</v>
      </c>
      <c r="L5" s="310">
        <f t="shared" si="1"/>
        <v>0.45919793916562823</v>
      </c>
      <c r="M5" s="310">
        <f t="shared" si="1"/>
        <v>0.4832653365467382</v>
      </c>
    </row>
    <row r="6" spans="1:13" x14ac:dyDescent="0.2">
      <c r="A6" s="503" t="s">
        <v>96</v>
      </c>
      <c r="B6" s="506" t="s">
        <v>515</v>
      </c>
      <c r="C6" s="310">
        <f>C130</f>
        <v>0.49815343929975958</v>
      </c>
      <c r="D6" s="310">
        <f t="shared" ref="D6:M6" si="2">D130</f>
        <v>0.49815343929975958</v>
      </c>
      <c r="E6" s="310">
        <f t="shared" si="2"/>
        <v>0.50909164235446069</v>
      </c>
      <c r="F6" s="310">
        <f t="shared" si="2"/>
        <v>0.50912534202945536</v>
      </c>
      <c r="G6" s="310">
        <f t="shared" si="2"/>
        <v>0.51716491749796689</v>
      </c>
      <c r="H6" s="310">
        <f t="shared" si="2"/>
        <v>0.52520449296647842</v>
      </c>
      <c r="I6" s="310">
        <f t="shared" si="2"/>
        <v>0.53128109213658259</v>
      </c>
      <c r="J6" s="310">
        <f t="shared" si="2"/>
        <v>0.53735769130668665</v>
      </c>
      <c r="K6" s="310">
        <f t="shared" si="2"/>
        <v>0.55329628078744353</v>
      </c>
      <c r="L6" s="310">
        <f t="shared" si="2"/>
        <v>0.56243160616554289</v>
      </c>
      <c r="M6" s="310">
        <f t="shared" si="2"/>
        <v>0.57156693154364224</v>
      </c>
    </row>
    <row r="7" spans="1:13" x14ac:dyDescent="0.2">
      <c r="A7" s="503" t="s">
        <v>98</v>
      </c>
      <c r="B7" s="506" t="s">
        <v>711</v>
      </c>
      <c r="C7" s="310">
        <f>C39</f>
        <v>0.64397651450000015</v>
      </c>
      <c r="D7" s="310">
        <f t="shared" ref="D7:M7" si="3">D39</f>
        <v>0.64397651450000015</v>
      </c>
      <c r="E7" s="310">
        <f t="shared" si="3"/>
        <v>0.65565898199999995</v>
      </c>
      <c r="F7" s="310">
        <f t="shared" si="3"/>
        <v>0.68407739913957721</v>
      </c>
      <c r="G7" s="310">
        <f t="shared" si="3"/>
        <v>0.72159653626464892</v>
      </c>
      <c r="H7" s="310">
        <f t="shared" si="3"/>
        <v>0.74851451823118942</v>
      </c>
      <c r="I7" s="310">
        <f t="shared" si="3"/>
        <v>0.78514079473783072</v>
      </c>
      <c r="J7" s="310">
        <f t="shared" si="3"/>
        <v>0.83081817540640068</v>
      </c>
      <c r="K7" s="310">
        <f t="shared" si="3"/>
        <v>0.88589517543776264</v>
      </c>
      <c r="L7" s="310">
        <f t="shared" si="3"/>
        <v>0.93361878176892577</v>
      </c>
      <c r="M7" s="310">
        <f t="shared" si="3"/>
        <v>0.98469968749157255</v>
      </c>
    </row>
    <row r="8" spans="1:13" x14ac:dyDescent="0.2">
      <c r="A8" s="503" t="s">
        <v>100</v>
      </c>
      <c r="B8" s="506" t="s">
        <v>712</v>
      </c>
      <c r="C8" s="310">
        <f>C52</f>
        <v>0</v>
      </c>
      <c r="D8" s="310">
        <f t="shared" ref="D8:M8" si="4">D52</f>
        <v>0</v>
      </c>
      <c r="E8" s="310">
        <f t="shared" si="4"/>
        <v>0</v>
      </c>
      <c r="F8" s="310">
        <f t="shared" si="4"/>
        <v>0</v>
      </c>
      <c r="G8" s="310">
        <f t="shared" si="4"/>
        <v>0</v>
      </c>
      <c r="H8" s="310">
        <f t="shared" si="4"/>
        <v>0</v>
      </c>
      <c r="I8" s="310">
        <f t="shared" si="4"/>
        <v>0</v>
      </c>
      <c r="J8" s="310">
        <f t="shared" si="4"/>
        <v>0</v>
      </c>
      <c r="K8" s="310">
        <f t="shared" si="4"/>
        <v>0</v>
      </c>
      <c r="L8" s="310">
        <f t="shared" si="4"/>
        <v>0</v>
      </c>
      <c r="M8" s="310">
        <f t="shared" si="4"/>
        <v>0</v>
      </c>
    </row>
    <row r="9" spans="1:13" x14ac:dyDescent="0.2">
      <c r="A9" s="503" t="s">
        <v>106</v>
      </c>
      <c r="B9" s="506" t="s">
        <v>518</v>
      </c>
      <c r="C9" s="310">
        <f>C65</f>
        <v>0</v>
      </c>
      <c r="D9" s="310">
        <f t="shared" ref="D9:M9" si="5">D65</f>
        <v>0</v>
      </c>
      <c r="E9" s="310">
        <f t="shared" si="5"/>
        <v>0</v>
      </c>
      <c r="F9" s="310">
        <f t="shared" si="5"/>
        <v>0</v>
      </c>
      <c r="G9" s="310">
        <f t="shared" si="5"/>
        <v>0</v>
      </c>
      <c r="H9" s="310">
        <f t="shared" si="5"/>
        <v>0</v>
      </c>
      <c r="I9" s="310">
        <f t="shared" si="5"/>
        <v>0</v>
      </c>
      <c r="J9" s="310">
        <f t="shared" si="5"/>
        <v>0</v>
      </c>
      <c r="K9" s="310">
        <f t="shared" si="5"/>
        <v>0</v>
      </c>
      <c r="L9" s="310">
        <f t="shared" si="5"/>
        <v>0</v>
      </c>
      <c r="M9" s="310">
        <f t="shared" si="5"/>
        <v>0</v>
      </c>
    </row>
    <row r="10" spans="1:13" x14ac:dyDescent="0.2">
      <c r="A10" s="503" t="s">
        <v>110</v>
      </c>
      <c r="B10" s="506" t="s">
        <v>713</v>
      </c>
      <c r="C10" s="310">
        <f>C78</f>
        <v>9.288460743709873</v>
      </c>
      <c r="D10" s="310">
        <f t="shared" ref="D10:M10" si="6">D78</f>
        <v>9.288460743709873</v>
      </c>
      <c r="E10" s="310">
        <f t="shared" si="6"/>
        <v>9.7401738266882187</v>
      </c>
      <c r="F10" s="310">
        <f t="shared" si="6"/>
        <v>10.23436777325098</v>
      </c>
      <c r="G10" s="310">
        <f t="shared" si="6"/>
        <v>10.844664161689437</v>
      </c>
      <c r="H10" s="310">
        <f t="shared" si="6"/>
        <v>11.393716944444225</v>
      </c>
      <c r="I10" s="310">
        <f t="shared" si="6"/>
        <v>11.904354223748468</v>
      </c>
      <c r="J10" s="310">
        <f t="shared" si="6"/>
        <v>12.625842795623381</v>
      </c>
      <c r="K10" s="310">
        <f t="shared" si="6"/>
        <v>13.354537936482558</v>
      </c>
      <c r="L10" s="310">
        <f t="shared" si="6"/>
        <v>14.125511963719992</v>
      </c>
      <c r="M10" s="310">
        <f t="shared" si="6"/>
        <v>14.941231034604074</v>
      </c>
    </row>
    <row r="11" spans="1:13" x14ac:dyDescent="0.2">
      <c r="A11" s="503" t="s">
        <v>102</v>
      </c>
      <c r="B11" s="506" t="s">
        <v>520</v>
      </c>
      <c r="C11" s="310">
        <f>C91</f>
        <v>1.6792503530572207</v>
      </c>
      <c r="D11" s="310">
        <f t="shared" ref="D11:M11" si="7">D91</f>
        <v>1.6792503530572207</v>
      </c>
      <c r="E11" s="310">
        <f t="shared" si="7"/>
        <v>1.87450644719486</v>
      </c>
      <c r="F11" s="310">
        <f t="shared" si="7"/>
        <v>1.7615035327382063</v>
      </c>
      <c r="G11" s="310">
        <f t="shared" si="7"/>
        <v>1.6458123739755646</v>
      </c>
      <c r="H11" s="310">
        <f t="shared" si="7"/>
        <v>1.5707945014637528</v>
      </c>
      <c r="I11" s="310">
        <f t="shared" si="7"/>
        <v>1.5633757019778434</v>
      </c>
      <c r="J11" s="310">
        <f t="shared" si="7"/>
        <v>1.5833336226788965</v>
      </c>
      <c r="K11" s="310">
        <f t="shared" si="7"/>
        <v>1.5833336226788965</v>
      </c>
      <c r="L11" s="310">
        <f t="shared" si="7"/>
        <v>1.5833336226788965</v>
      </c>
      <c r="M11" s="310">
        <f t="shared" si="7"/>
        <v>1.5833336226788965</v>
      </c>
    </row>
    <row r="12" spans="1:13" x14ac:dyDescent="0.2">
      <c r="A12" s="503" t="s">
        <v>112</v>
      </c>
      <c r="B12" s="506" t="s">
        <v>714</v>
      </c>
      <c r="C12" s="310">
        <f>C117</f>
        <v>0</v>
      </c>
      <c r="D12" s="310">
        <f t="shared" ref="D12:M12" si="8">D117</f>
        <v>0</v>
      </c>
      <c r="E12" s="310">
        <f t="shared" si="8"/>
        <v>0</v>
      </c>
      <c r="F12" s="310">
        <f t="shared" si="8"/>
        <v>0</v>
      </c>
      <c r="G12" s="310">
        <f t="shared" si="8"/>
        <v>0</v>
      </c>
      <c r="H12" s="310">
        <f t="shared" si="8"/>
        <v>0</v>
      </c>
      <c r="I12" s="310">
        <f t="shared" si="8"/>
        <v>0</v>
      </c>
      <c r="J12" s="310">
        <f t="shared" si="8"/>
        <v>0</v>
      </c>
      <c r="K12" s="310">
        <f t="shared" si="8"/>
        <v>0</v>
      </c>
      <c r="L12" s="310">
        <f t="shared" si="8"/>
        <v>0</v>
      </c>
      <c r="M12" s="310">
        <f t="shared" si="8"/>
        <v>0</v>
      </c>
    </row>
    <row r="13" spans="1:13" x14ac:dyDescent="0.2">
      <c r="B13" s="505"/>
      <c r="C13" s="507"/>
      <c r="D13" s="507"/>
      <c r="E13" s="507"/>
      <c r="F13" s="507"/>
      <c r="G13" s="507"/>
      <c r="H13" s="507"/>
      <c r="I13" s="507"/>
      <c r="J13" s="507"/>
      <c r="K13" s="507"/>
      <c r="L13" s="507"/>
      <c r="M13" s="507"/>
    </row>
    <row r="14" spans="1:13" x14ac:dyDescent="0.2">
      <c r="B14" s="508" t="s">
        <v>715</v>
      </c>
      <c r="C14" s="509"/>
      <c r="D14" s="509"/>
      <c r="E14" s="509"/>
      <c r="F14" s="509"/>
      <c r="G14" s="509"/>
      <c r="H14" s="509"/>
      <c r="I14" s="509"/>
      <c r="J14" s="509"/>
      <c r="K14" s="509"/>
      <c r="L14" s="509"/>
      <c r="M14" s="509"/>
    </row>
    <row r="15" spans="1:13" x14ac:dyDescent="0.2">
      <c r="B15" s="505" t="s">
        <v>716</v>
      </c>
      <c r="C15" s="854"/>
      <c r="D15" s="854"/>
      <c r="E15" s="854"/>
      <c r="F15" s="854"/>
      <c r="G15" s="854"/>
      <c r="H15" s="854"/>
      <c r="I15" s="854"/>
      <c r="J15" s="854"/>
      <c r="K15" s="854"/>
      <c r="L15" s="854"/>
      <c r="M15" s="854"/>
    </row>
    <row r="16" spans="1:13" x14ac:dyDescent="0.2">
      <c r="B16" s="506" t="s">
        <v>717</v>
      </c>
      <c r="C16" s="854">
        <v>2005</v>
      </c>
      <c r="D16" s="854">
        <v>2010</v>
      </c>
      <c r="E16" s="854">
        <v>2015</v>
      </c>
      <c r="F16" s="854">
        <v>2020</v>
      </c>
      <c r="G16" s="854">
        <v>2025</v>
      </c>
      <c r="H16" s="854">
        <v>2030</v>
      </c>
      <c r="I16" s="854">
        <v>2035</v>
      </c>
      <c r="J16" s="854">
        <v>2040</v>
      </c>
      <c r="K16" s="854">
        <v>2045</v>
      </c>
      <c r="L16" s="854">
        <v>2050</v>
      </c>
      <c r="M16" s="854">
        <v>2055</v>
      </c>
    </row>
    <row r="17" spans="1:13" x14ac:dyDescent="0.2">
      <c r="A17" s="464" t="s">
        <v>718</v>
      </c>
      <c r="B17" s="742" t="s">
        <v>719</v>
      </c>
      <c r="C17" s="743">
        <f>NYCTranscalc!C$31*NYCTranscalc!$C18</f>
        <v>0</v>
      </c>
      <c r="D17" s="743">
        <f>NYCTranscalc!D$31*NYCTranscalc!$C18</f>
        <v>0</v>
      </c>
      <c r="E17" s="743">
        <f>NYCTranscalc!E$31*NYCTranscalc!$C18</f>
        <v>0</v>
      </c>
      <c r="F17" s="743">
        <f>NYCTranscalc!F$31*NYCTranscalc!$C18</f>
        <v>0</v>
      </c>
      <c r="G17" s="743">
        <f>NYCTranscalc!G$31*NYCTranscalc!$C18</f>
        <v>0</v>
      </c>
      <c r="H17" s="743">
        <f>NYCTranscalc!H$31*NYCTranscalc!$C18</f>
        <v>0</v>
      </c>
      <c r="I17" s="743">
        <f>NYCTranscalc!I$31*NYCTranscalc!$C18</f>
        <v>0</v>
      </c>
      <c r="J17" s="743">
        <f>NYCTranscalc!J$31*NYCTranscalc!$C18</f>
        <v>0</v>
      </c>
      <c r="K17" s="743">
        <f>NYCTranscalc!K$31*NYCTranscalc!$C18</f>
        <v>0</v>
      </c>
      <c r="L17" s="743">
        <f>NYCTranscalc!L$31*NYCTranscalc!$C18</f>
        <v>0</v>
      </c>
      <c r="M17" s="743">
        <f>NYCTranscalc!M$31*NYCTranscalc!$C18</f>
        <v>0</v>
      </c>
    </row>
    <row r="18" spans="1:13" x14ac:dyDescent="0.2">
      <c r="A18" s="464"/>
      <c r="B18" s="506" t="s">
        <v>523</v>
      </c>
      <c r="C18" s="310">
        <f>NYCTranscalc!C$31*NYCTranscalc!$C19</f>
        <v>0</v>
      </c>
      <c r="D18" s="310">
        <f>NYCTranscalc!D$31*NYCTranscalc!$C19</f>
        <v>0</v>
      </c>
      <c r="E18" s="310">
        <f>NYCTranscalc!E$31*NYCTranscalc!$C19</f>
        <v>0</v>
      </c>
      <c r="F18" s="310">
        <f>NYCTranscalc!F$31*NYCTranscalc!$C19</f>
        <v>0</v>
      </c>
      <c r="G18" s="310">
        <f>NYCTranscalc!G$31*NYCTranscalc!$C19</f>
        <v>0</v>
      </c>
      <c r="H18" s="310">
        <f>NYCTranscalc!H$31*NYCTranscalc!$C19</f>
        <v>0</v>
      </c>
      <c r="I18" s="310">
        <f>NYCTranscalc!I$31*NYCTranscalc!$C19</f>
        <v>0</v>
      </c>
      <c r="J18" s="310">
        <f>NYCTranscalc!J$31*NYCTranscalc!$C19</f>
        <v>0</v>
      </c>
      <c r="K18" s="310">
        <f>NYCTranscalc!K$31*NYCTranscalc!$C19</f>
        <v>0</v>
      </c>
      <c r="L18" s="310">
        <f>NYCTranscalc!L$31*NYCTranscalc!$C19</f>
        <v>0</v>
      </c>
      <c r="M18" s="310">
        <f>NYCTranscalc!M$31*NYCTranscalc!$C19</f>
        <v>0</v>
      </c>
    </row>
    <row r="19" spans="1:13" x14ac:dyDescent="0.2">
      <c r="B19" s="506" t="s">
        <v>524</v>
      </c>
      <c r="C19" s="310">
        <f>NYCTranscalc!C$31*NYCTranscalc!$C20</f>
        <v>0</v>
      </c>
      <c r="D19" s="310">
        <f>NYCTranscalc!D$31*NYCTranscalc!$C20</f>
        <v>0</v>
      </c>
      <c r="E19" s="310">
        <f>NYCTranscalc!E$31*NYCTranscalc!$C20</f>
        <v>0</v>
      </c>
      <c r="F19" s="310">
        <f>NYCTranscalc!F$31*NYCTranscalc!$C20</f>
        <v>0</v>
      </c>
      <c r="G19" s="310">
        <f>NYCTranscalc!G$31*NYCTranscalc!$C20</f>
        <v>0</v>
      </c>
      <c r="H19" s="310">
        <f>NYCTranscalc!H$31*NYCTranscalc!$C20</f>
        <v>0</v>
      </c>
      <c r="I19" s="310">
        <f>NYCTranscalc!I$31*NYCTranscalc!$C20</f>
        <v>0</v>
      </c>
      <c r="J19" s="310">
        <f>NYCTranscalc!J$31*NYCTranscalc!$C20</f>
        <v>0</v>
      </c>
      <c r="K19" s="310">
        <f>NYCTranscalc!K$31*NYCTranscalc!$C20</f>
        <v>0</v>
      </c>
      <c r="L19" s="310">
        <f>NYCTranscalc!L$31*NYCTranscalc!$C20</f>
        <v>0</v>
      </c>
      <c r="M19" s="310">
        <f>NYCTranscalc!M$31*NYCTranscalc!$C20</f>
        <v>0</v>
      </c>
    </row>
    <row r="20" spans="1:13" x14ac:dyDescent="0.2">
      <c r="B20" s="506" t="s">
        <v>525</v>
      </c>
      <c r="C20" s="310">
        <f>NYCTranscalc!C$31*NYCTranscalc!$C21</f>
        <v>0</v>
      </c>
      <c r="D20" s="310">
        <f>NYCTranscalc!D$31*NYCTranscalc!$C21</f>
        <v>0</v>
      </c>
      <c r="E20" s="310">
        <f>NYCTranscalc!E$31*NYCTranscalc!$C21</f>
        <v>0</v>
      </c>
      <c r="F20" s="310">
        <f>NYCTranscalc!F$31*NYCTranscalc!$C21</f>
        <v>0</v>
      </c>
      <c r="G20" s="310">
        <f>NYCTranscalc!G$31*NYCTranscalc!$C21</f>
        <v>0</v>
      </c>
      <c r="H20" s="310">
        <f>NYCTranscalc!H$31*NYCTranscalc!$C21</f>
        <v>0</v>
      </c>
      <c r="I20" s="310">
        <f>NYCTranscalc!I$31*NYCTranscalc!$C21</f>
        <v>0</v>
      </c>
      <c r="J20" s="310">
        <f>NYCTranscalc!J$31*NYCTranscalc!$C21</f>
        <v>0</v>
      </c>
      <c r="K20" s="310">
        <f>NYCTranscalc!K$31*NYCTranscalc!$C21</f>
        <v>0</v>
      </c>
      <c r="L20" s="310">
        <f>NYCTranscalc!L$31*NYCTranscalc!$C21</f>
        <v>0</v>
      </c>
      <c r="M20" s="310">
        <f>NYCTranscalc!M$31*NYCTranscalc!$C21</f>
        <v>0</v>
      </c>
    </row>
    <row r="21" spans="1:13" x14ac:dyDescent="0.2">
      <c r="B21" s="506" t="s">
        <v>526</v>
      </c>
      <c r="C21" s="310">
        <f>NYCTranscalc!C$31*NYCTranscalc!$C22</f>
        <v>0</v>
      </c>
      <c r="D21" s="310">
        <f>NYCTranscalc!D$31*NYCTranscalc!$C22</f>
        <v>0</v>
      </c>
      <c r="E21" s="310">
        <f>NYCTranscalc!E$31*NYCTranscalc!$C22</f>
        <v>0</v>
      </c>
      <c r="F21" s="310">
        <f>NYCTranscalc!F$31*NYCTranscalc!$C22</f>
        <v>0</v>
      </c>
      <c r="G21" s="310">
        <f>NYCTranscalc!G$31*NYCTranscalc!$C22</f>
        <v>0</v>
      </c>
      <c r="H21" s="310">
        <f>NYCTranscalc!H$31*NYCTranscalc!$C22</f>
        <v>0</v>
      </c>
      <c r="I21" s="310">
        <f>NYCTranscalc!I$31*NYCTranscalc!$C22</f>
        <v>0</v>
      </c>
      <c r="J21" s="310">
        <f>NYCTranscalc!J$31*NYCTranscalc!$C22</f>
        <v>0</v>
      </c>
      <c r="K21" s="310">
        <f>NYCTranscalc!K$31*NYCTranscalc!$C22</f>
        <v>0</v>
      </c>
      <c r="L21" s="310">
        <f>NYCTranscalc!L$31*NYCTranscalc!$C22</f>
        <v>0</v>
      </c>
      <c r="M21" s="310">
        <f>NYCTranscalc!M$31*NYCTranscalc!$C22</f>
        <v>0</v>
      </c>
    </row>
    <row r="22" spans="1:13" x14ac:dyDescent="0.2">
      <c r="B22" s="742" t="s">
        <v>527</v>
      </c>
      <c r="C22" s="743">
        <f>'2015 GHG'!C50</f>
        <v>1.7477079974788159E-2</v>
      </c>
      <c r="D22" s="743">
        <f>D26</f>
        <v>1.4855517978569936E-2</v>
      </c>
      <c r="E22" s="743">
        <f>'2015 GHG'!K50</f>
        <v>1.9044072748038786E-2</v>
      </c>
      <c r="F22" s="743">
        <f>E26*F30/E30</f>
        <v>1.9869505508434072E-2</v>
      </c>
      <c r="G22" s="743">
        <f t="shared" ref="G22:M22" si="9">F26*G30/F30</f>
        <v>2.0959275032636986E-2</v>
      </c>
      <c r="H22" s="743">
        <f t="shared" si="9"/>
        <v>2.1741126606205752E-2</v>
      </c>
      <c r="I22" s="743">
        <f t="shared" si="9"/>
        <v>2.280496237057611E-2</v>
      </c>
      <c r="J22" s="743">
        <f t="shared" si="9"/>
        <v>2.4131693772529373E-2</v>
      </c>
      <c r="K22" s="743">
        <f t="shared" si="9"/>
        <v>2.5731443679320079E-2</v>
      </c>
      <c r="L22" s="743">
        <f t="shared" si="9"/>
        <v>2.711760913380238E-2</v>
      </c>
      <c r="M22" s="743">
        <f t="shared" si="9"/>
        <v>2.8601289692330587E-2</v>
      </c>
    </row>
    <row r="23" spans="1:13" x14ac:dyDescent="0.2">
      <c r="C23" s="310"/>
      <c r="D23" s="310"/>
      <c r="E23" s="310"/>
      <c r="F23" s="310"/>
      <c r="G23" s="310"/>
      <c r="H23" s="310"/>
      <c r="I23" s="310"/>
      <c r="J23" s="310"/>
      <c r="K23" s="310"/>
      <c r="L23" s="310"/>
      <c r="M23" s="310"/>
    </row>
    <row r="24" spans="1:13" x14ac:dyDescent="0.2">
      <c r="C24" s="310"/>
      <c r="D24" s="310"/>
      <c r="E24" s="310"/>
      <c r="F24" s="310"/>
      <c r="G24" s="310"/>
      <c r="H24" s="310"/>
      <c r="I24" s="310"/>
      <c r="J24" s="310"/>
      <c r="K24" s="310"/>
      <c r="L24" s="310"/>
      <c r="M24" s="310"/>
    </row>
    <row r="25" spans="1:13" x14ac:dyDescent="0.2">
      <c r="C25" s="310"/>
      <c r="D25" s="310"/>
      <c r="E25" s="310"/>
      <c r="F25" s="310"/>
      <c r="G25" s="310"/>
      <c r="H25" s="310"/>
      <c r="I25" s="310"/>
      <c r="J25" s="310"/>
      <c r="K25" s="310"/>
      <c r="L25" s="310"/>
      <c r="M25" s="310"/>
    </row>
    <row r="26" spans="1:13" x14ac:dyDescent="0.2">
      <c r="B26" s="505" t="s">
        <v>720</v>
      </c>
      <c r="C26" s="507">
        <f>SUM(C17:C25)</f>
        <v>1.7477079974788159E-2</v>
      </c>
      <c r="D26" s="507">
        <f>C26*0.85</f>
        <v>1.4855517978569936E-2</v>
      </c>
      <c r="E26" s="507">
        <f>SUM(E17:E25)</f>
        <v>1.9044072748038786E-2</v>
      </c>
      <c r="F26" s="507">
        <f t="shared" ref="F26:M26" si="10">SUM(F17:F25)</f>
        <v>1.9869505508434072E-2</v>
      </c>
      <c r="G26" s="507">
        <f t="shared" si="10"/>
        <v>2.0959275032636986E-2</v>
      </c>
      <c r="H26" s="507">
        <f t="shared" si="10"/>
        <v>2.1741126606205752E-2</v>
      </c>
      <c r="I26" s="507">
        <f t="shared" si="10"/>
        <v>2.280496237057611E-2</v>
      </c>
      <c r="J26" s="507">
        <f t="shared" si="10"/>
        <v>2.4131693772529373E-2</v>
      </c>
      <c r="K26" s="507">
        <f t="shared" si="10"/>
        <v>2.5731443679320079E-2</v>
      </c>
      <c r="L26" s="507">
        <f t="shared" si="10"/>
        <v>2.711760913380238E-2</v>
      </c>
      <c r="M26" s="507">
        <f t="shared" si="10"/>
        <v>2.8601289692330587E-2</v>
      </c>
    </row>
    <row r="28" spans="1:13" x14ac:dyDescent="0.2">
      <c r="B28" s="505" t="s">
        <v>721</v>
      </c>
      <c r="C28" s="854"/>
      <c r="D28" s="854"/>
      <c r="E28" s="854"/>
      <c r="F28" s="854"/>
      <c r="G28" s="854"/>
      <c r="H28" s="854"/>
      <c r="I28" s="854"/>
      <c r="J28" s="854"/>
      <c r="K28" s="854"/>
      <c r="L28" s="854"/>
      <c r="M28" s="854"/>
    </row>
    <row r="29" spans="1:13" x14ac:dyDescent="0.2">
      <c r="B29" s="506" t="s">
        <v>717</v>
      </c>
      <c r="C29" s="854">
        <v>2005</v>
      </c>
      <c r="D29" s="854">
        <v>2010</v>
      </c>
      <c r="E29" s="854">
        <v>2015</v>
      </c>
      <c r="F29" s="854">
        <v>2020</v>
      </c>
      <c r="G29" s="854">
        <v>2025</v>
      </c>
      <c r="H29" s="854">
        <v>2030</v>
      </c>
      <c r="I29" s="854">
        <v>2035</v>
      </c>
      <c r="J29" s="854">
        <v>2040</v>
      </c>
      <c r="K29" s="854">
        <v>2045</v>
      </c>
      <c r="L29" s="854">
        <v>2050</v>
      </c>
      <c r="M29" s="854">
        <v>2055</v>
      </c>
    </row>
    <row r="30" spans="1:13" x14ac:dyDescent="0.2">
      <c r="A30" s="464" t="s">
        <v>718</v>
      </c>
      <c r="B30" s="506" t="s">
        <v>719</v>
      </c>
      <c r="C30" s="310">
        <f t="shared" ref="C30:C35" si="11">D30</f>
        <v>0.2675698632123823</v>
      </c>
      <c r="D30" s="310">
        <f>Transcalc!D$33*Transcalc!$K19*(1-Transcalc!$L18)</f>
        <v>0.2675698632123823</v>
      </c>
      <c r="E30" s="310">
        <f>Transcalc!E$33*Transcalc!$K19*(1-Transcalc!$L18)</f>
        <v>0.28773600405839145</v>
      </c>
      <c r="F30" s="310">
        <f>Transcalc!F$33*Transcalc!$K19*(1-Transcalc!$L18)</f>
        <v>0.30020742901235703</v>
      </c>
      <c r="G30" s="310">
        <f>Transcalc!G$33*Transcalc!$K19*(1-Transcalc!$L18)</f>
        <v>0.31667270576210338</v>
      </c>
      <c r="H30" s="310">
        <f>Transcalc!H$33*Transcalc!$K19*(1-Transcalc!$L18)</f>
        <v>0.32848566460351558</v>
      </c>
      <c r="I30" s="310">
        <f>Transcalc!I$33*Transcalc!$K19*(1-Transcalc!$L18)</f>
        <v>0.34455910938941908</v>
      </c>
      <c r="J30" s="310">
        <f>Transcalc!J$33*Transcalc!$K19*(1-Transcalc!$L18)</f>
        <v>0.36460463206240573</v>
      </c>
      <c r="K30" s="310">
        <f>Transcalc!K$33*Transcalc!$K19*(1-Transcalc!$L18)</f>
        <v>0.38877517855016508</v>
      </c>
      <c r="L30" s="310">
        <f>Transcalc!L$33*Transcalc!$K19*(1-Transcalc!$L18)</f>
        <v>0.40971868754183266</v>
      </c>
      <c r="M30" s="310">
        <f>Transcalc!M$33*Transcalc!$K18*(1-Transcalc!$L18)</f>
        <v>0.43213554767769791</v>
      </c>
    </row>
    <row r="31" spans="1:13" x14ac:dyDescent="0.2">
      <c r="A31" s="464"/>
      <c r="B31" s="506" t="s">
        <v>523</v>
      </c>
      <c r="C31" s="463">
        <f t="shared" si="11"/>
        <v>0.19945283536028208</v>
      </c>
      <c r="D31" s="463">
        <f>THS!B23</f>
        <v>0.19945283536028208</v>
      </c>
      <c r="E31" s="462">
        <f>E39*Pop!F50/Pop!F54</f>
        <v>0.20218913442155897</v>
      </c>
      <c r="F31" s="462">
        <f>F39*Pop!G50/Pop!G54</f>
        <v>0.21187607301042322</v>
      </c>
      <c r="G31" s="462">
        <f>G39*Pop!H50/Pop!H54</f>
        <v>0.22440695335705493</v>
      </c>
      <c r="H31" s="462">
        <f>H39*Pop!I50/Pop!I54</f>
        <v>0.2336933919190316</v>
      </c>
      <c r="I31" s="462">
        <f>I39*Pop!J50/Pop!J54</f>
        <v>0.24613103980774226</v>
      </c>
      <c r="J31" s="462">
        <f>J39*Pop!K50/Pop!K54</f>
        <v>0.2614871891472399</v>
      </c>
      <c r="K31" s="462">
        <f>K39*Pop!L50/Pop!L54</f>
        <v>0.27724567725744176</v>
      </c>
      <c r="L31" s="462">
        <f>L39*Pop!M50/Pop!M54</f>
        <v>0.29249749922035634</v>
      </c>
      <c r="M31" s="462">
        <f>M39*Pop!N50/Pop!N54</f>
        <v>0.30882396571458876</v>
      </c>
    </row>
    <row r="32" spans="1:13" x14ac:dyDescent="0.2">
      <c r="B32" s="506" t="s">
        <v>524</v>
      </c>
      <c r="C32" s="463">
        <f t="shared" si="11"/>
        <v>0.1082151778421612</v>
      </c>
      <c r="D32" s="463">
        <f>THS!B22</f>
        <v>0.1082151778421612</v>
      </c>
      <c r="E32" s="462">
        <f>E39*Pop!F49/Pop!F54</f>
        <v>0.11160581649617859</v>
      </c>
      <c r="F32" s="462">
        <f>F39*Pop!G49/Pop!G54</f>
        <v>0.11574299247960854</v>
      </c>
      <c r="G32" s="462">
        <f>G39*Pop!H49/Pop!H54</f>
        <v>0.12319255994055422</v>
      </c>
      <c r="H32" s="462">
        <f>H39*Pop!I49/Pop!I54</f>
        <v>0.12889565536576866</v>
      </c>
      <c r="I32" s="462">
        <f>I39*Pop!J49/Pop!J54</f>
        <v>0.13630693301123181</v>
      </c>
      <c r="J32" s="462">
        <f>J39*Pop!K49/Pop!K54</f>
        <v>0.14537887750497983</v>
      </c>
      <c r="K32" s="462">
        <f>K39*Pop!L49/Pop!L54</f>
        <v>0.15500381336225844</v>
      </c>
      <c r="L32" s="462">
        <f>L39*Pop!M49/Pop!M54</f>
        <v>0.16412356260444588</v>
      </c>
      <c r="M32" s="462">
        <f>M39*Pop!N49/Pop!N54</f>
        <v>0.17388900210105243</v>
      </c>
    </row>
    <row r="33" spans="1:13" x14ac:dyDescent="0.2">
      <c r="B33" s="506" t="s">
        <v>525</v>
      </c>
      <c r="C33" s="463">
        <f t="shared" si="11"/>
        <v>0.12390046749429048</v>
      </c>
      <c r="D33" s="463">
        <f>THS!B24</f>
        <v>0.12390046749429048</v>
      </c>
      <c r="E33" s="462">
        <f>E39*Pop!F51/Pop!F54</f>
        <v>0.12610431877328335</v>
      </c>
      <c r="F33" s="462">
        <f>F39*Pop!G51/Pop!G54</f>
        <v>0.13106242618993627</v>
      </c>
      <c r="G33" s="462">
        <f>G39*Pop!H51/Pop!H54</f>
        <v>0.13769822212239763</v>
      </c>
      <c r="H33" s="462">
        <f>H39*Pop!I51/Pop!I54</f>
        <v>0.14227926782319109</v>
      </c>
      <c r="I33" s="462">
        <f>I39*Pop!J51/Pop!J54</f>
        <v>0.14818969519765024</v>
      </c>
      <c r="J33" s="462">
        <f>J39*Pop!K51/Pop!K54</f>
        <v>0.15572338720612791</v>
      </c>
      <c r="K33" s="462">
        <f>K39*Pop!L51/Pop!L54</f>
        <v>0.16522435662664717</v>
      </c>
      <c r="L33" s="462">
        <f>L39*Pop!M51/Pop!M54</f>
        <v>0.17328790135533109</v>
      </c>
      <c r="M33" s="462">
        <f>M39*Pop!N51/Pop!N54</f>
        <v>0.18191421806189159</v>
      </c>
    </row>
    <row r="34" spans="1:13" x14ac:dyDescent="0.2">
      <c r="B34" s="506" t="s">
        <v>526</v>
      </c>
      <c r="C34" s="463">
        <f t="shared" si="11"/>
        <v>3.662075470646059E-2</v>
      </c>
      <c r="D34" s="463">
        <f>THS!B26</f>
        <v>3.662075470646059E-2</v>
      </c>
      <c r="E34" s="462">
        <f>E39*Pop!F53/Pop!F54</f>
        <v>3.6389880383438676E-2</v>
      </c>
      <c r="F34" s="462">
        <f>F39*Pop!G53/Pop!G54</f>
        <v>3.8972383999178663E-2</v>
      </c>
      <c r="G34" s="462">
        <f>G39*Pop!H53/Pop!H54</f>
        <v>4.0910856365122643E-2</v>
      </c>
      <c r="H34" s="462">
        <f>H39*Pop!I53/Pop!I54</f>
        <v>4.2236845316883889E-2</v>
      </c>
      <c r="I34" s="462">
        <f>I39*Pop!J53/Pop!J54</f>
        <v>4.3944671381080498E-2</v>
      </c>
      <c r="J34" s="462">
        <f>J39*Pop!K53/Pop!K54</f>
        <v>4.6130058304850063E-2</v>
      </c>
      <c r="K34" s="462">
        <f>K39*Pop!L53/Pop!L54</f>
        <v>5.0423946320484976E-2</v>
      </c>
      <c r="L34" s="462">
        <f>L39*Pop!M53/Pop!M54</f>
        <v>5.3295917965653979E-2</v>
      </c>
      <c r="M34" s="462">
        <f>M39*Pop!N53/Pop!N54</f>
        <v>5.6370763795451057E-2</v>
      </c>
    </row>
    <row r="35" spans="1:13" x14ac:dyDescent="0.2">
      <c r="B35" s="506" t="s">
        <v>527</v>
      </c>
      <c r="C35" s="463">
        <f t="shared" si="11"/>
        <v>0.17578727909680572</v>
      </c>
      <c r="D35" s="463">
        <f>THS!B25</f>
        <v>0.17578727909680572</v>
      </c>
      <c r="E35" s="462">
        <f>E39*Pop!F52/Pop!F54</f>
        <v>0.17936983192554035</v>
      </c>
      <c r="F35" s="462">
        <f>F39*Pop!G52/Pop!G54</f>
        <v>0.18642352346043053</v>
      </c>
      <c r="G35" s="462">
        <f>G39*Pop!H52/Pop!H54</f>
        <v>0.19538794447951952</v>
      </c>
      <c r="H35" s="462">
        <f>H39*Pop!I52/Pop!I54</f>
        <v>0.20140935780631417</v>
      </c>
      <c r="I35" s="462">
        <f>I39*Pop!J52/Pop!J54</f>
        <v>0.21056845534012592</v>
      </c>
      <c r="J35" s="462">
        <f>J39*Pop!K52/Pop!K54</f>
        <v>0.22209866324320299</v>
      </c>
      <c r="K35" s="462">
        <f>K39*Pop!L52/Pop!L54</f>
        <v>0.23799738187093039</v>
      </c>
      <c r="L35" s="462">
        <f>L39*Pop!M52/Pop!M54</f>
        <v>0.25041390062313829</v>
      </c>
      <c r="M35" s="462">
        <f>M39*Pop!N52/Pop!N54</f>
        <v>0.26370173781858863</v>
      </c>
    </row>
    <row r="36" spans="1:13" x14ac:dyDescent="0.2">
      <c r="C36" s="310"/>
      <c r="D36" s="310"/>
      <c r="E36" s="310"/>
      <c r="F36" s="310"/>
      <c r="G36" s="310"/>
      <c r="H36" s="310"/>
      <c r="I36" s="310"/>
      <c r="J36" s="310"/>
      <c r="K36" s="310"/>
      <c r="L36" s="310"/>
      <c r="M36" s="310"/>
    </row>
    <row r="37" spans="1:13" x14ac:dyDescent="0.2">
      <c r="C37" s="310"/>
      <c r="D37" s="310"/>
      <c r="E37" s="310"/>
      <c r="F37" s="310"/>
      <c r="G37" s="310"/>
      <c r="H37" s="310"/>
      <c r="I37" s="310"/>
      <c r="J37" s="310"/>
      <c r="K37" s="310"/>
      <c r="L37" s="310"/>
      <c r="M37" s="310"/>
    </row>
    <row r="38" spans="1:13" x14ac:dyDescent="0.2">
      <c r="C38" s="310"/>
      <c r="D38" s="310"/>
      <c r="E38" s="310"/>
      <c r="F38" s="310"/>
      <c r="G38" s="310"/>
      <c r="H38" s="310"/>
      <c r="I38" s="310"/>
      <c r="J38" s="310"/>
      <c r="K38" s="310"/>
      <c r="L38" s="310"/>
      <c r="M38" s="310"/>
    </row>
    <row r="39" spans="1:13" x14ac:dyDescent="0.2">
      <c r="B39" s="505" t="s">
        <v>720</v>
      </c>
      <c r="C39" s="507">
        <f>SUM(C31:C35)</f>
        <v>0.64397651450000015</v>
      </c>
      <c r="D39" s="507">
        <f>SUM(D31:D35)</f>
        <v>0.64397651450000015</v>
      </c>
      <c r="E39" s="507">
        <f>'2015 GHG'!K36/10^9</f>
        <v>0.65565898199999995</v>
      </c>
      <c r="F39" s="507">
        <f t="shared" ref="F39:M39" si="12">E39*F30/E30</f>
        <v>0.68407739913957721</v>
      </c>
      <c r="G39" s="507">
        <f>F39*G30/F30</f>
        <v>0.72159653626464892</v>
      </c>
      <c r="H39" s="507">
        <f t="shared" si="12"/>
        <v>0.74851451823118942</v>
      </c>
      <c r="I39" s="507">
        <f t="shared" si="12"/>
        <v>0.78514079473783072</v>
      </c>
      <c r="J39" s="507">
        <f t="shared" si="12"/>
        <v>0.83081817540640068</v>
      </c>
      <c r="K39" s="507">
        <f t="shared" si="12"/>
        <v>0.88589517543776264</v>
      </c>
      <c r="L39" s="507">
        <f t="shared" si="12"/>
        <v>0.93361878176892577</v>
      </c>
      <c r="M39" s="507">
        <f t="shared" si="12"/>
        <v>0.98469968749157255</v>
      </c>
    </row>
    <row r="40" spans="1:13" x14ac:dyDescent="0.2">
      <c r="E40" s="510">
        <f>SUM(E31:E35)</f>
        <v>0.65565898199999983</v>
      </c>
      <c r="F40" s="510">
        <f t="shared" ref="F40:M40" si="13">SUM(F31:F35)</f>
        <v>0.68407739913957721</v>
      </c>
      <c r="G40" s="510">
        <f t="shared" si="13"/>
        <v>0.72159653626464904</v>
      </c>
      <c r="H40" s="510">
        <f t="shared" si="13"/>
        <v>0.74851451823118942</v>
      </c>
      <c r="I40" s="510">
        <f t="shared" si="13"/>
        <v>0.78514079473783072</v>
      </c>
      <c r="J40" s="510">
        <f t="shared" si="13"/>
        <v>0.83081817540640057</v>
      </c>
      <c r="K40" s="510">
        <f t="shared" si="13"/>
        <v>0.88589517543776264</v>
      </c>
      <c r="L40" s="510">
        <f t="shared" si="13"/>
        <v>0.93361878176892565</v>
      </c>
      <c r="M40" s="510">
        <f t="shared" si="13"/>
        <v>0.98469968749157244</v>
      </c>
    </row>
    <row r="41" spans="1:13" x14ac:dyDescent="0.2">
      <c r="B41" s="505" t="s">
        <v>722</v>
      </c>
      <c r="C41" s="854"/>
      <c r="D41" s="854"/>
      <c r="E41" s="854"/>
      <c r="F41" s="854"/>
      <c r="G41" s="854"/>
      <c r="H41" s="854"/>
      <c r="I41" s="854"/>
      <c r="J41" s="854"/>
      <c r="K41" s="854"/>
      <c r="L41" s="854"/>
      <c r="M41" s="854"/>
    </row>
    <row r="42" spans="1:13" x14ac:dyDescent="0.2">
      <c r="B42" s="506" t="s">
        <v>717</v>
      </c>
      <c r="C42" s="854">
        <v>2005</v>
      </c>
      <c r="D42" s="854">
        <v>2010</v>
      </c>
      <c r="E42" s="854">
        <v>2015</v>
      </c>
      <c r="F42" s="854">
        <v>2020</v>
      </c>
      <c r="G42" s="854">
        <v>2025</v>
      </c>
      <c r="H42" s="854">
        <v>2030</v>
      </c>
      <c r="I42" s="854">
        <v>2035</v>
      </c>
      <c r="J42" s="854">
        <v>2040</v>
      </c>
      <c r="K42" s="854">
        <v>2045</v>
      </c>
      <c r="L42" s="854">
        <v>2050</v>
      </c>
      <c r="M42" s="854">
        <v>2055</v>
      </c>
    </row>
    <row r="43" spans="1:13" x14ac:dyDescent="0.2">
      <c r="A43" s="464" t="s">
        <v>718</v>
      </c>
      <c r="B43" s="506" t="s">
        <v>719</v>
      </c>
      <c r="C43" s="310">
        <f>NYCTranscalc!C$34*NYCTranscalc!$K18*NYCTranscalc!$L18</f>
        <v>0</v>
      </c>
      <c r="D43" s="310">
        <f>NYCTranscalc!D$34*NYCTranscalc!$K18*NYCTranscalc!$L18</f>
        <v>0</v>
      </c>
      <c r="E43" s="310">
        <f>NYCTranscalc!E$34*NYCTranscalc!$K18*NYCTranscalc!$L18</f>
        <v>0</v>
      </c>
      <c r="F43" s="310">
        <f>NYCTranscalc!F$34*NYCTranscalc!$K18*NYCTranscalc!$L18</f>
        <v>0</v>
      </c>
      <c r="G43" s="310">
        <f>NYCTranscalc!G$34*NYCTranscalc!$K18*NYCTranscalc!$L18</f>
        <v>0</v>
      </c>
      <c r="H43" s="310">
        <f>NYCTranscalc!H$34*NYCTranscalc!$K18*NYCTranscalc!$L18</f>
        <v>0</v>
      </c>
      <c r="I43" s="310">
        <f>NYCTranscalc!I$34*NYCTranscalc!$K18*NYCTranscalc!$L18</f>
        <v>0</v>
      </c>
      <c r="J43" s="310">
        <f>NYCTranscalc!J$34*NYCTranscalc!$K18*NYCTranscalc!$L18</f>
        <v>0</v>
      </c>
      <c r="K43" s="310">
        <f>NYCTranscalc!K$34*NYCTranscalc!$K18*NYCTranscalc!$L18</f>
        <v>0</v>
      </c>
      <c r="L43" s="310">
        <f>NYCTranscalc!L$34*NYCTranscalc!$K18*NYCTranscalc!$L18</f>
        <v>0</v>
      </c>
      <c r="M43" s="310">
        <f>NYCTranscalc!M$34*NYCTranscalc!$K18*NYCTranscalc!$L18</f>
        <v>0</v>
      </c>
    </row>
    <row r="44" spans="1:13" x14ac:dyDescent="0.2">
      <c r="A44" s="464" t="s">
        <v>723</v>
      </c>
      <c r="B44" s="506" t="s">
        <v>523</v>
      </c>
      <c r="C44" s="310">
        <f>NYCTranscalc!C$8*NYCTranscalc!$M$26*NYCTranscalc!$K19</f>
        <v>0</v>
      </c>
      <c r="D44" s="310">
        <f>NYCTranscalc!D$8*NYCTranscalc!$M$26*NYCTranscalc!$K19</f>
        <v>0</v>
      </c>
      <c r="E44" s="310">
        <f>NYCTranscalc!E$8*NYCTranscalc!$M$26*NYCTranscalc!$K19</f>
        <v>0</v>
      </c>
      <c r="F44" s="310">
        <f>NYCTranscalc!F$8*NYCTranscalc!$M$26*NYCTranscalc!$K19</f>
        <v>0</v>
      </c>
      <c r="G44" s="310">
        <f>NYCTranscalc!G$8*NYCTranscalc!$M$26*NYCTranscalc!$K19</f>
        <v>0</v>
      </c>
      <c r="H44" s="310">
        <f>NYCTranscalc!H$8*NYCTranscalc!$M$26*NYCTranscalc!$K19</f>
        <v>0</v>
      </c>
      <c r="I44" s="310">
        <f>NYCTranscalc!I$8*NYCTranscalc!$M$26*NYCTranscalc!$K19</f>
        <v>0</v>
      </c>
      <c r="J44" s="310">
        <f>NYCTranscalc!J$8*NYCTranscalc!$M$26*NYCTranscalc!$K19</f>
        <v>0</v>
      </c>
      <c r="K44" s="310">
        <f>NYCTranscalc!K$8*NYCTranscalc!$M$26*NYCTranscalc!$K19</f>
        <v>0</v>
      </c>
      <c r="L44" s="310">
        <f>NYCTranscalc!L$8*NYCTranscalc!$M$26*NYCTranscalc!$K19</f>
        <v>0</v>
      </c>
      <c r="M44" s="310">
        <f>NYCTranscalc!M$8*NYCTranscalc!$M$26*NYCTranscalc!$K19</f>
        <v>0</v>
      </c>
    </row>
    <row r="45" spans="1:13" x14ac:dyDescent="0.2">
      <c r="A45" s="503" t="s">
        <v>724</v>
      </c>
      <c r="B45" s="506" t="s">
        <v>524</v>
      </c>
      <c r="C45" s="310">
        <f>NYCTranscalc!C$8*NYCTranscalc!$M$26*NYCTranscalc!$K20</f>
        <v>0</v>
      </c>
      <c r="D45" s="310">
        <f>NYCTranscalc!D$8*NYCTranscalc!$M$26*NYCTranscalc!$K20</f>
        <v>0</v>
      </c>
      <c r="E45" s="310">
        <f>NYCTranscalc!E$8*NYCTranscalc!$M$26*NYCTranscalc!$K20</f>
        <v>0</v>
      </c>
      <c r="F45" s="310">
        <f>NYCTranscalc!F$8*NYCTranscalc!$M$26*NYCTranscalc!$K20</f>
        <v>0</v>
      </c>
      <c r="G45" s="310">
        <f>NYCTranscalc!G$8*NYCTranscalc!$M$26*NYCTranscalc!$K20</f>
        <v>0</v>
      </c>
      <c r="H45" s="310">
        <f>NYCTranscalc!H$8*NYCTranscalc!$M$26*NYCTranscalc!$K20</f>
        <v>0</v>
      </c>
      <c r="I45" s="310">
        <f>NYCTranscalc!I$8*NYCTranscalc!$M$26*NYCTranscalc!$K20</f>
        <v>0</v>
      </c>
      <c r="J45" s="310">
        <f>NYCTranscalc!J$8*NYCTranscalc!$M$26*NYCTranscalc!$K20</f>
        <v>0</v>
      </c>
      <c r="K45" s="310">
        <f>NYCTranscalc!K$8*NYCTranscalc!$M$26*NYCTranscalc!$K20</f>
        <v>0</v>
      </c>
      <c r="L45" s="310">
        <f>NYCTranscalc!L$8*NYCTranscalc!$M$26*NYCTranscalc!$K20</f>
        <v>0</v>
      </c>
      <c r="M45" s="310">
        <f>NYCTranscalc!M$8*NYCTranscalc!$M$26*NYCTranscalc!$K20</f>
        <v>0</v>
      </c>
    </row>
    <row r="46" spans="1:13" x14ac:dyDescent="0.2">
      <c r="A46" s="503" t="s">
        <v>725</v>
      </c>
      <c r="B46" s="506" t="s">
        <v>525</v>
      </c>
      <c r="C46" s="310">
        <f>NYCTranscalc!C$8*NYCTranscalc!$M$26*NYCTranscalc!$K21</f>
        <v>0</v>
      </c>
      <c r="D46" s="310">
        <f>NYCTranscalc!D$8*NYCTranscalc!$M$26*NYCTranscalc!$K21</f>
        <v>0</v>
      </c>
      <c r="E46" s="310">
        <f>NYCTranscalc!E$8*NYCTranscalc!$M$26*NYCTranscalc!$K21</f>
        <v>0</v>
      </c>
      <c r="F46" s="310">
        <f>NYCTranscalc!F$8*NYCTranscalc!$M$26*NYCTranscalc!$K21</f>
        <v>0</v>
      </c>
      <c r="G46" s="310">
        <f>NYCTranscalc!G$8*NYCTranscalc!$M$26*NYCTranscalc!$K21</f>
        <v>0</v>
      </c>
      <c r="H46" s="310">
        <f>NYCTranscalc!H$8*NYCTranscalc!$M$26*NYCTranscalc!$K21</f>
        <v>0</v>
      </c>
      <c r="I46" s="310">
        <f>NYCTranscalc!I$8*NYCTranscalc!$M$26*NYCTranscalc!$K21</f>
        <v>0</v>
      </c>
      <c r="J46" s="310">
        <f>NYCTranscalc!J$8*NYCTranscalc!$M$26*NYCTranscalc!$K21</f>
        <v>0</v>
      </c>
      <c r="K46" s="310">
        <f>NYCTranscalc!K$8*NYCTranscalc!$M$26*NYCTranscalc!$K21</f>
        <v>0</v>
      </c>
      <c r="L46" s="310">
        <f>NYCTranscalc!L$8*NYCTranscalc!$M$26*NYCTranscalc!$K21</f>
        <v>0</v>
      </c>
      <c r="M46" s="310">
        <f>NYCTranscalc!M$8*NYCTranscalc!$M$26*NYCTranscalc!$K21</f>
        <v>0</v>
      </c>
    </row>
    <row r="47" spans="1:13" x14ac:dyDescent="0.2">
      <c r="A47" s="503" t="s">
        <v>726</v>
      </c>
      <c r="B47" s="506" t="s">
        <v>526</v>
      </c>
      <c r="C47" s="310">
        <f>NYCTranscalc!C$8*NYCTranscalc!$M$26*NYCTranscalc!$K22</f>
        <v>0</v>
      </c>
      <c r="D47" s="310">
        <f>NYCTranscalc!D$8*NYCTranscalc!$M$26*NYCTranscalc!$K22</f>
        <v>0</v>
      </c>
      <c r="E47" s="310">
        <f>NYCTranscalc!E$8*NYCTranscalc!$M$26*NYCTranscalc!$K22</f>
        <v>0</v>
      </c>
      <c r="F47" s="310">
        <f>NYCTranscalc!F$8*NYCTranscalc!$M$26*NYCTranscalc!$K22</f>
        <v>0</v>
      </c>
      <c r="G47" s="310">
        <f>NYCTranscalc!G$8*NYCTranscalc!$M$26*NYCTranscalc!$K22</f>
        <v>0</v>
      </c>
      <c r="H47" s="310">
        <f>NYCTranscalc!H$8*NYCTranscalc!$M$26*NYCTranscalc!$K22</f>
        <v>0</v>
      </c>
      <c r="I47" s="310">
        <f>NYCTranscalc!I$8*NYCTranscalc!$M$26*NYCTranscalc!$K22</f>
        <v>0</v>
      </c>
      <c r="J47" s="310">
        <f>NYCTranscalc!J$8*NYCTranscalc!$M$26*NYCTranscalc!$K22</f>
        <v>0</v>
      </c>
      <c r="K47" s="310">
        <f>NYCTranscalc!K$8*NYCTranscalc!$M$26*NYCTranscalc!$K22</f>
        <v>0</v>
      </c>
      <c r="L47" s="310">
        <f>NYCTranscalc!L$8*NYCTranscalc!$M$26*NYCTranscalc!$K22</f>
        <v>0</v>
      </c>
      <c r="M47" s="310">
        <f>NYCTranscalc!M$8*NYCTranscalc!$M$26*NYCTranscalc!$K22</f>
        <v>0</v>
      </c>
    </row>
    <row r="48" spans="1:13" x14ac:dyDescent="0.2">
      <c r="A48" s="503" t="s">
        <v>727</v>
      </c>
      <c r="B48" s="506" t="s">
        <v>527</v>
      </c>
      <c r="C48" s="310">
        <f>NYCTranscalc!C$8*NYCTranscalc!$M$26*NYCTranscalc!$K23</f>
        <v>0</v>
      </c>
      <c r="D48" s="310">
        <f>NYCTranscalc!D$8*NYCTranscalc!$M$26*NYCTranscalc!$K23</f>
        <v>0</v>
      </c>
      <c r="E48" s="310">
        <f>NYCTranscalc!E$8*NYCTranscalc!$M$26*NYCTranscalc!$K23</f>
        <v>0</v>
      </c>
      <c r="F48" s="310">
        <f>NYCTranscalc!F$8*NYCTranscalc!$M$26*NYCTranscalc!$K23</f>
        <v>0</v>
      </c>
      <c r="G48" s="310">
        <f>NYCTranscalc!G$8*NYCTranscalc!$M$26*NYCTranscalc!$K23</f>
        <v>0</v>
      </c>
      <c r="H48" s="310">
        <f>NYCTranscalc!H$8*NYCTranscalc!$M$26*NYCTranscalc!$K23</f>
        <v>0</v>
      </c>
      <c r="I48" s="310">
        <f>NYCTranscalc!I$8*NYCTranscalc!$M$26*NYCTranscalc!$K23</f>
        <v>0</v>
      </c>
      <c r="J48" s="310">
        <f>NYCTranscalc!J$8*NYCTranscalc!$M$26*NYCTranscalc!$K23</f>
        <v>0</v>
      </c>
      <c r="K48" s="310">
        <f>NYCTranscalc!K$8*NYCTranscalc!$M$26*NYCTranscalc!$K23</f>
        <v>0</v>
      </c>
      <c r="L48" s="310">
        <f>NYCTranscalc!L$8*NYCTranscalc!$M$26*NYCTranscalc!$K23</f>
        <v>0</v>
      </c>
      <c r="M48" s="310">
        <f>NYCTranscalc!M$8*NYCTranscalc!$M$26*NYCTranscalc!$K23</f>
        <v>0</v>
      </c>
    </row>
    <row r="49" spans="1:13" x14ac:dyDescent="0.2">
      <c r="A49" s="503" t="s">
        <v>728</v>
      </c>
      <c r="C49" s="310"/>
      <c r="D49" s="310"/>
      <c r="E49" s="310"/>
      <c r="F49" s="310"/>
      <c r="G49" s="310"/>
      <c r="H49" s="310"/>
      <c r="I49" s="310"/>
      <c r="J49" s="310"/>
      <c r="K49" s="310"/>
      <c r="L49" s="310"/>
      <c r="M49" s="310"/>
    </row>
    <row r="50" spans="1:13" x14ac:dyDescent="0.2">
      <c r="A50" s="503" t="s">
        <v>729</v>
      </c>
      <c r="C50" s="310"/>
      <c r="D50" s="310"/>
      <c r="E50" s="310"/>
      <c r="F50" s="310"/>
      <c r="G50" s="310"/>
      <c r="H50" s="310"/>
      <c r="I50" s="310"/>
      <c r="J50" s="310"/>
      <c r="K50" s="310"/>
      <c r="L50" s="310"/>
      <c r="M50" s="310"/>
    </row>
    <row r="51" spans="1:13" x14ac:dyDescent="0.2">
      <c r="A51" s="503" t="s">
        <v>730</v>
      </c>
      <c r="C51" s="310"/>
      <c r="D51" s="310"/>
      <c r="E51" s="310"/>
      <c r="F51" s="310"/>
      <c r="G51" s="310"/>
      <c r="H51" s="310"/>
      <c r="I51" s="310"/>
      <c r="J51" s="310"/>
      <c r="K51" s="310"/>
      <c r="L51" s="310"/>
      <c r="M51" s="310"/>
    </row>
    <row r="52" spans="1:13" x14ac:dyDescent="0.2">
      <c r="B52" s="505" t="s">
        <v>720</v>
      </c>
      <c r="C52" s="507">
        <f>SUM(C43:C48)</f>
        <v>0</v>
      </c>
      <c r="D52" s="507">
        <f t="shared" ref="D52:M52" si="14">SUM(D43:D48)</f>
        <v>0</v>
      </c>
      <c r="E52" s="507">
        <f t="shared" si="14"/>
        <v>0</v>
      </c>
      <c r="F52" s="507">
        <f t="shared" si="14"/>
        <v>0</v>
      </c>
      <c r="G52" s="507">
        <f t="shared" si="14"/>
        <v>0</v>
      </c>
      <c r="H52" s="507">
        <f t="shared" si="14"/>
        <v>0</v>
      </c>
      <c r="I52" s="507">
        <f t="shared" si="14"/>
        <v>0</v>
      </c>
      <c r="J52" s="507">
        <f t="shared" si="14"/>
        <v>0</v>
      </c>
      <c r="K52" s="507">
        <f t="shared" si="14"/>
        <v>0</v>
      </c>
      <c r="L52" s="507">
        <f t="shared" si="14"/>
        <v>0</v>
      </c>
      <c r="M52" s="507">
        <f t="shared" si="14"/>
        <v>0</v>
      </c>
    </row>
    <row r="53" spans="1:13" x14ac:dyDescent="0.2">
      <c r="C53" s="509"/>
      <c r="D53" s="509"/>
      <c r="E53" s="509"/>
      <c r="F53" s="509"/>
      <c r="G53" s="509"/>
      <c r="H53" s="509"/>
      <c r="I53" s="509"/>
      <c r="J53" s="509"/>
      <c r="K53" s="509"/>
      <c r="L53" s="509"/>
      <c r="M53" s="509"/>
    </row>
    <row r="54" spans="1:13" x14ac:dyDescent="0.2">
      <c r="B54" s="505" t="s">
        <v>731</v>
      </c>
      <c r="C54" s="854"/>
      <c r="D54" s="854"/>
      <c r="E54" s="854"/>
      <c r="F54" s="854"/>
      <c r="G54" s="854"/>
      <c r="H54" s="854"/>
      <c r="I54" s="854"/>
      <c r="J54" s="854"/>
      <c r="K54" s="854"/>
      <c r="L54" s="854"/>
      <c r="M54" s="854"/>
    </row>
    <row r="55" spans="1:13" x14ac:dyDescent="0.2">
      <c r="B55" s="506" t="s">
        <v>717</v>
      </c>
      <c r="C55" s="854">
        <v>2005</v>
      </c>
      <c r="D55" s="854">
        <v>2010</v>
      </c>
      <c r="E55" s="854">
        <v>2015</v>
      </c>
      <c r="F55" s="854">
        <v>2020</v>
      </c>
      <c r="G55" s="854">
        <v>2025</v>
      </c>
      <c r="H55" s="854">
        <v>2030</v>
      </c>
      <c r="I55" s="854">
        <v>2035</v>
      </c>
      <c r="J55" s="854">
        <v>2040</v>
      </c>
      <c r="K55" s="854">
        <v>2045</v>
      </c>
      <c r="L55" s="854">
        <v>2050</v>
      </c>
      <c r="M55" s="854">
        <v>2055</v>
      </c>
    </row>
    <row r="56" spans="1:13" x14ac:dyDescent="0.2">
      <c r="A56" s="464" t="s">
        <v>718</v>
      </c>
      <c r="B56" s="506" t="s">
        <v>719</v>
      </c>
      <c r="C56" s="310">
        <v>0</v>
      </c>
      <c r="D56" s="310">
        <v>0</v>
      </c>
      <c r="E56" s="310">
        <v>0</v>
      </c>
      <c r="F56" s="310">
        <v>0</v>
      </c>
      <c r="G56" s="310">
        <v>0</v>
      </c>
      <c r="H56" s="310">
        <v>0</v>
      </c>
      <c r="I56" s="310">
        <v>0</v>
      </c>
      <c r="J56" s="310">
        <v>0</v>
      </c>
      <c r="K56" s="310">
        <v>0</v>
      </c>
      <c r="L56" s="310">
        <v>0</v>
      </c>
      <c r="M56" s="310">
        <v>0</v>
      </c>
    </row>
    <row r="57" spans="1:13" x14ac:dyDescent="0.2">
      <c r="A57" s="464" t="s">
        <v>723</v>
      </c>
      <c r="B57" s="506" t="s">
        <v>523</v>
      </c>
      <c r="C57" s="310">
        <v>0</v>
      </c>
      <c r="D57" s="310">
        <v>0</v>
      </c>
      <c r="E57" s="310">
        <v>0</v>
      </c>
      <c r="F57" s="310">
        <v>0</v>
      </c>
      <c r="G57" s="310">
        <v>0</v>
      </c>
      <c r="H57" s="310">
        <v>0</v>
      </c>
      <c r="I57" s="310">
        <v>0</v>
      </c>
      <c r="J57" s="310">
        <v>0</v>
      </c>
      <c r="K57" s="310">
        <v>0</v>
      </c>
      <c r="L57" s="310">
        <v>0</v>
      </c>
      <c r="M57" s="310">
        <v>0</v>
      </c>
    </row>
    <row r="58" spans="1:13" x14ac:dyDescent="0.2">
      <c r="A58" s="503" t="s">
        <v>724</v>
      </c>
      <c r="B58" s="506" t="s">
        <v>524</v>
      </c>
      <c r="C58" s="310">
        <v>0</v>
      </c>
      <c r="D58" s="310">
        <v>0</v>
      </c>
      <c r="E58" s="310">
        <v>0</v>
      </c>
      <c r="F58" s="310">
        <v>0</v>
      </c>
      <c r="G58" s="310">
        <v>0</v>
      </c>
      <c r="H58" s="310">
        <v>0</v>
      </c>
      <c r="I58" s="310">
        <v>0</v>
      </c>
      <c r="J58" s="310">
        <v>0</v>
      </c>
      <c r="K58" s="310">
        <v>0</v>
      </c>
      <c r="L58" s="310">
        <v>0</v>
      </c>
      <c r="M58" s="310">
        <v>0</v>
      </c>
    </row>
    <row r="59" spans="1:13" x14ac:dyDescent="0.2">
      <c r="A59" s="503" t="s">
        <v>725</v>
      </c>
      <c r="B59" s="506" t="s">
        <v>525</v>
      </c>
      <c r="C59" s="310">
        <v>0</v>
      </c>
      <c r="D59" s="310">
        <v>0</v>
      </c>
      <c r="E59" s="310">
        <v>0</v>
      </c>
      <c r="F59" s="310">
        <v>0</v>
      </c>
      <c r="G59" s="310">
        <v>0</v>
      </c>
      <c r="H59" s="310">
        <v>0</v>
      </c>
      <c r="I59" s="310">
        <v>0</v>
      </c>
      <c r="J59" s="310">
        <v>0</v>
      </c>
      <c r="K59" s="310">
        <v>0</v>
      </c>
      <c r="L59" s="310">
        <v>0</v>
      </c>
      <c r="M59" s="310">
        <v>0</v>
      </c>
    </row>
    <row r="60" spans="1:13" x14ac:dyDescent="0.2">
      <c r="A60" s="503" t="s">
        <v>726</v>
      </c>
      <c r="B60" s="506" t="s">
        <v>526</v>
      </c>
      <c r="C60" s="310">
        <v>0</v>
      </c>
      <c r="D60" s="310">
        <v>0</v>
      </c>
      <c r="E60" s="310">
        <v>0</v>
      </c>
      <c r="F60" s="310">
        <v>0</v>
      </c>
      <c r="G60" s="310">
        <v>0</v>
      </c>
      <c r="H60" s="310">
        <v>0</v>
      </c>
      <c r="I60" s="310">
        <v>0</v>
      </c>
      <c r="J60" s="310">
        <v>0</v>
      </c>
      <c r="K60" s="310">
        <v>0</v>
      </c>
      <c r="L60" s="310">
        <v>0</v>
      </c>
      <c r="M60" s="310">
        <v>0</v>
      </c>
    </row>
    <row r="61" spans="1:13" x14ac:dyDescent="0.2">
      <c r="A61" s="503" t="s">
        <v>727</v>
      </c>
      <c r="B61" s="506" t="s">
        <v>527</v>
      </c>
      <c r="C61" s="310">
        <v>0</v>
      </c>
      <c r="D61" s="310">
        <v>0</v>
      </c>
      <c r="E61" s="310">
        <v>0</v>
      </c>
      <c r="F61" s="310">
        <v>0</v>
      </c>
      <c r="G61" s="310">
        <v>0</v>
      </c>
      <c r="H61" s="310">
        <v>0</v>
      </c>
      <c r="I61" s="310">
        <v>0</v>
      </c>
      <c r="J61" s="310">
        <v>0</v>
      </c>
      <c r="K61" s="310">
        <v>0</v>
      </c>
      <c r="L61" s="310">
        <v>0</v>
      </c>
      <c r="M61" s="310">
        <v>0</v>
      </c>
    </row>
    <row r="62" spans="1:13" x14ac:dyDescent="0.2">
      <c r="A62" s="503" t="s">
        <v>728</v>
      </c>
      <c r="C62" s="310"/>
      <c r="D62" s="310"/>
      <c r="E62" s="310"/>
      <c r="F62" s="310"/>
      <c r="G62" s="310"/>
      <c r="H62" s="310"/>
      <c r="I62" s="310"/>
      <c r="J62" s="310"/>
      <c r="K62" s="310"/>
      <c r="L62" s="310"/>
      <c r="M62" s="310"/>
    </row>
    <row r="63" spans="1:13" x14ac:dyDescent="0.2">
      <c r="A63" s="503" t="s">
        <v>729</v>
      </c>
      <c r="C63" s="310"/>
      <c r="D63" s="310"/>
      <c r="E63" s="310"/>
      <c r="F63" s="310"/>
      <c r="G63" s="310"/>
      <c r="H63" s="310"/>
      <c r="I63" s="310"/>
      <c r="J63" s="310"/>
      <c r="K63" s="310"/>
      <c r="L63" s="310"/>
      <c r="M63" s="310"/>
    </row>
    <row r="64" spans="1:13" x14ac:dyDescent="0.2">
      <c r="A64" s="503" t="s">
        <v>730</v>
      </c>
      <c r="C64" s="310"/>
      <c r="D64" s="310"/>
      <c r="E64" s="310"/>
      <c r="F64" s="310"/>
      <c r="G64" s="310"/>
      <c r="H64" s="310"/>
      <c r="I64" s="310"/>
      <c r="J64" s="310"/>
      <c r="K64" s="310"/>
      <c r="L64" s="310"/>
      <c r="M64" s="310"/>
    </row>
    <row r="65" spans="1:13" x14ac:dyDescent="0.2">
      <c r="B65" s="505" t="s">
        <v>720</v>
      </c>
      <c r="C65" s="507">
        <f>SUM(C57:C61)</f>
        <v>0</v>
      </c>
      <c r="D65" s="507">
        <f t="shared" ref="D65:M65" si="15">SUM(D57:D61)</f>
        <v>0</v>
      </c>
      <c r="E65" s="507">
        <f t="shared" si="15"/>
        <v>0</v>
      </c>
      <c r="F65" s="507">
        <f t="shared" si="15"/>
        <v>0</v>
      </c>
      <c r="G65" s="507">
        <f t="shared" si="15"/>
        <v>0</v>
      </c>
      <c r="H65" s="507">
        <f t="shared" si="15"/>
        <v>0</v>
      </c>
      <c r="I65" s="507">
        <f t="shared" si="15"/>
        <v>0</v>
      </c>
      <c r="J65" s="507">
        <f t="shared" si="15"/>
        <v>0</v>
      </c>
      <c r="K65" s="507">
        <f t="shared" si="15"/>
        <v>0</v>
      </c>
      <c r="L65" s="507">
        <f t="shared" si="15"/>
        <v>0</v>
      </c>
      <c r="M65" s="507">
        <f t="shared" si="15"/>
        <v>0</v>
      </c>
    </row>
    <row r="67" spans="1:13" x14ac:dyDescent="0.2">
      <c r="B67" s="505" t="s">
        <v>732</v>
      </c>
      <c r="C67" s="854"/>
      <c r="D67" s="854"/>
      <c r="E67" s="854"/>
      <c r="F67" s="854"/>
      <c r="G67" s="854"/>
      <c r="H67" s="854"/>
      <c r="I67" s="854"/>
      <c r="J67" s="854"/>
      <c r="K67" s="854"/>
      <c r="L67" s="854"/>
      <c r="M67" s="854"/>
    </row>
    <row r="68" spans="1:13" x14ac:dyDescent="0.2">
      <c r="B68" s="506" t="s">
        <v>717</v>
      </c>
      <c r="C68" s="854">
        <v>2005</v>
      </c>
      <c r="D68" s="854">
        <v>2010</v>
      </c>
      <c r="E68" s="854">
        <v>2015</v>
      </c>
      <c r="F68" s="854">
        <v>2020</v>
      </c>
      <c r="G68" s="854">
        <v>2025</v>
      </c>
      <c r="H68" s="854">
        <v>2030</v>
      </c>
      <c r="I68" s="854">
        <v>2035</v>
      </c>
      <c r="J68" s="854">
        <v>2040</v>
      </c>
      <c r="K68" s="854">
        <v>2045</v>
      </c>
      <c r="L68" s="854">
        <v>2050</v>
      </c>
      <c r="M68" s="854">
        <v>2055</v>
      </c>
    </row>
    <row r="69" spans="1:13" x14ac:dyDescent="0.2">
      <c r="A69" s="464" t="s">
        <v>718</v>
      </c>
      <c r="B69" s="506" t="s">
        <v>719</v>
      </c>
      <c r="C69" s="310">
        <f>D69</f>
        <v>18.739064026920826</v>
      </c>
      <c r="D69" s="310">
        <f>Transcalc!D$42*Transcalc!$D18</f>
        <v>18.739064026920826</v>
      </c>
      <c r="E69" s="310">
        <f>Transcalc!E$42*Transcalc!$D18</f>
        <v>19.650375450555931</v>
      </c>
      <c r="F69" s="310">
        <f>Transcalc!F$42*Transcalc!$D18</f>
        <v>20.647390161806943</v>
      </c>
      <c r="G69" s="310">
        <f>Transcalc!G$42*Transcalc!$D18</f>
        <v>21.878636480643081</v>
      </c>
      <c r="H69" s="310">
        <f>Transcalc!H$42*Transcalc!$D18</f>
        <v>22.986326498837812</v>
      </c>
      <c r="I69" s="310">
        <f>Transcalc!I$42*Transcalc!$D18</f>
        <v>24.016514915997767</v>
      </c>
      <c r="J69" s="310">
        <f>Transcalc!J$42*Transcalc!$D18</f>
        <v>25.472086610394108</v>
      </c>
      <c r="K69" s="310">
        <f>Transcalc!K$42*Transcalc!$D18</f>
        <v>26.942197243085683</v>
      </c>
      <c r="L69" s="310">
        <f>Transcalc!L$42*Transcalc!$D18</f>
        <v>28.497603683197841</v>
      </c>
      <c r="M69" s="310">
        <f>Transcalc!M$42*Transcalc!$D18</f>
        <v>30.143281295349965</v>
      </c>
    </row>
    <row r="70" spans="1:13" x14ac:dyDescent="0.2">
      <c r="A70" s="464" t="s">
        <v>723</v>
      </c>
      <c r="B70" s="506" t="s">
        <v>523</v>
      </c>
      <c r="C70" s="463">
        <f>D70</f>
        <v>2.8768282534403022</v>
      </c>
      <c r="D70" s="463">
        <f>TRP!B22</f>
        <v>2.8768282534403022</v>
      </c>
      <c r="E70" s="462">
        <f>E78*Pop!F50/Pop!F54</f>
        <v>3.0036304987790357</v>
      </c>
      <c r="F70" s="462">
        <f>F78*Pop!G50/Pop!G54</f>
        <v>3.1698425591435293</v>
      </c>
      <c r="G70" s="462">
        <f>G78*Pop!H50/Pop!H54</f>
        <v>3.3725467382407528</v>
      </c>
      <c r="H70" s="462">
        <f>H78*Pop!I50/Pop!I54</f>
        <v>3.5572274076988877</v>
      </c>
      <c r="I70" s="462">
        <f>I78*Pop!J50/Pop!J54</f>
        <v>3.7318543412449694</v>
      </c>
      <c r="J70" s="462">
        <f>J78*Pop!K50/Pop!K54</f>
        <v>3.9737890202360298</v>
      </c>
      <c r="K70" s="462">
        <f>K78*Pop!L50/Pop!L54</f>
        <v>4.1793747356516882</v>
      </c>
      <c r="L70" s="462">
        <f>L78*Pop!M50/Pop!M54</f>
        <v>4.4254432379424102</v>
      </c>
      <c r="M70" s="462">
        <f>M78*Pop!N50/Pop!N54</f>
        <v>4.6859060476789356</v>
      </c>
    </row>
    <row r="71" spans="1:13" x14ac:dyDescent="0.2">
      <c r="A71" s="503" t="s">
        <v>724</v>
      </c>
      <c r="B71" s="506" t="s">
        <v>524</v>
      </c>
      <c r="C71" s="463">
        <f t="shared" ref="C71:C74" si="16">D71</f>
        <v>1.5608526221502397</v>
      </c>
      <c r="D71" s="463">
        <f>TRP!B21</f>
        <v>1.5608526221502397</v>
      </c>
      <c r="E71" s="462">
        <f>E78*Pop!F49/Pop!F54</f>
        <v>1.6579656232670157</v>
      </c>
      <c r="F71" s="462">
        <f>F78*Pop!G49/Pop!G54</f>
        <v>1.7316115891313677</v>
      </c>
      <c r="G71" s="462">
        <f>G78*Pop!H49/Pop!H54</f>
        <v>1.8514251006384106</v>
      </c>
      <c r="H71" s="462">
        <f>H78*Pop!I49/Pop!I54</f>
        <v>1.9620202104785407</v>
      </c>
      <c r="I71" s="462">
        <f>I78*Pop!J49/Pop!J54</f>
        <v>2.0666943108723328</v>
      </c>
      <c r="J71" s="462">
        <f>J78*Pop!K49/Pop!K54</f>
        <v>2.2093051253774036</v>
      </c>
      <c r="K71" s="462">
        <f>K78*Pop!L49/Pop!L54</f>
        <v>2.3366244260477607</v>
      </c>
      <c r="L71" s="462">
        <f>L78*Pop!M49/Pop!M54</f>
        <v>2.483164855258067</v>
      </c>
      <c r="M71" s="462">
        <f>M78*Pop!N49/Pop!N54</f>
        <v>2.6384854060297585</v>
      </c>
    </row>
    <row r="72" spans="1:13" x14ac:dyDescent="0.2">
      <c r="A72" s="503" t="s">
        <v>725</v>
      </c>
      <c r="B72" s="506" t="s">
        <v>525</v>
      </c>
      <c r="C72" s="463">
        <f t="shared" si="16"/>
        <v>1.7870909925054703</v>
      </c>
      <c r="D72" s="463">
        <f>TRP!B23</f>
        <v>1.7870909925054703</v>
      </c>
      <c r="E72" s="462">
        <f>E78*Pop!F51/Pop!F54</f>
        <v>1.8733488274669627</v>
      </c>
      <c r="F72" s="462">
        <f>F78*Pop!G51/Pop!G54</f>
        <v>1.9608030795484384</v>
      </c>
      <c r="G72" s="462">
        <f>G78*Pop!H51/Pop!H54</f>
        <v>2.0694264724566884</v>
      </c>
      <c r="H72" s="462">
        <f>H78*Pop!I51/Pop!I54</f>
        <v>2.1657425008548916</v>
      </c>
      <c r="I72" s="462">
        <f>I78*Pop!J51/Pop!J54</f>
        <v>2.246861500211824</v>
      </c>
      <c r="J72" s="462">
        <f>J78*Pop!K51/Pop!K54</f>
        <v>2.36650938155609</v>
      </c>
      <c r="K72" s="462">
        <f>K78*Pop!L51/Pop!L54</f>
        <v>2.4906952874093142</v>
      </c>
      <c r="L72" s="462">
        <f>L78*Pop!M51/Pop!M54</f>
        <v>2.621819924321632</v>
      </c>
      <c r="M72" s="462">
        <f>M78*Pop!N51/Pop!N54</f>
        <v>2.7602551265817574</v>
      </c>
    </row>
    <row r="73" spans="1:13" x14ac:dyDescent="0.2">
      <c r="A73" s="503" t="s">
        <v>726</v>
      </c>
      <c r="B73" s="506" t="s">
        <v>526</v>
      </c>
      <c r="C73" s="463">
        <f t="shared" si="16"/>
        <v>0.52820317952136719</v>
      </c>
      <c r="D73" s="463">
        <f>TRP!B25</f>
        <v>0.52820317952136719</v>
      </c>
      <c r="E73" s="462">
        <f>E78*Pop!E53/Pop!F54</f>
        <v>0.53395268151433395</v>
      </c>
      <c r="F73" s="462">
        <f>F78*Pop!G53/Pop!G54</f>
        <v>0.58305933122426457</v>
      </c>
      <c r="G73" s="462">
        <f>G78*Pop!H53/Pop!H54</f>
        <v>0.6148373440697249</v>
      </c>
      <c r="H73" s="462">
        <f>H78*Pop!I53/Pop!I54</f>
        <v>0.64291960736319798</v>
      </c>
      <c r="I73" s="462">
        <f>I78*Pop!J53/Pop!J54</f>
        <v>0.66629187767690168</v>
      </c>
      <c r="J73" s="462">
        <f>J78*Pop!K53/Pop!K54</f>
        <v>0.70103288728015301</v>
      </c>
      <c r="K73" s="462">
        <f>K78*Pop!L53/Pop!L54</f>
        <v>0.76012210328532792</v>
      </c>
      <c r="L73" s="462">
        <f>L78*Pop!M53/Pop!M54</f>
        <v>0.80635923520614583</v>
      </c>
      <c r="M73" s="462">
        <f>M78*Pop!N53/Pop!N54</f>
        <v>0.85533550600638053</v>
      </c>
    </row>
    <row r="74" spans="1:13" x14ac:dyDescent="0.2">
      <c r="A74" s="503" t="s">
        <v>727</v>
      </c>
      <c r="B74" s="506" t="s">
        <v>527</v>
      </c>
      <c r="C74" s="463">
        <f t="shared" si="16"/>
        <v>2.5354856960924947</v>
      </c>
      <c r="D74" s="463">
        <f>TRP!B24</f>
        <v>2.5354856960924947</v>
      </c>
      <c r="E74" s="462">
        <f>E78*Pop!F52/Pop!F54</f>
        <v>2.6646372431127818</v>
      </c>
      <c r="F74" s="462">
        <f>F78*Pop!G52/Pop!G54</f>
        <v>2.7890512142033801</v>
      </c>
      <c r="G74" s="462">
        <f>G78*Pop!H52/Pop!H54</f>
        <v>2.9364285062838604</v>
      </c>
      <c r="H74" s="462">
        <f>H78*Pop!I52/Pop!I54</f>
        <v>3.0658072180487075</v>
      </c>
      <c r="I74" s="462">
        <f>I78*Pop!J52/Pop!J54</f>
        <v>3.1926521937424406</v>
      </c>
      <c r="J74" s="462">
        <f>J78*Pop!K52/Pop!K54</f>
        <v>3.3752063811737045</v>
      </c>
      <c r="K74" s="462">
        <f>K78*Pop!L52/Pop!L54</f>
        <v>3.5877213840884679</v>
      </c>
      <c r="L74" s="462">
        <f>L78*Pop!M52/Pop!M54</f>
        <v>3.788724710991735</v>
      </c>
      <c r="M74" s="462">
        <f>M78*Pop!N52/Pop!N54</f>
        <v>4.0012489483072411</v>
      </c>
    </row>
    <row r="75" spans="1:13" x14ac:dyDescent="0.2">
      <c r="A75" s="503" t="s">
        <v>728</v>
      </c>
      <c r="C75" s="310"/>
      <c r="D75" s="310"/>
      <c r="E75" s="310"/>
      <c r="F75" s="310"/>
      <c r="G75" s="310"/>
      <c r="H75" s="310"/>
      <c r="I75" s="310"/>
      <c r="J75" s="310"/>
      <c r="K75" s="310"/>
      <c r="L75" s="310"/>
      <c r="M75" s="310"/>
    </row>
    <row r="76" spans="1:13" x14ac:dyDescent="0.2">
      <c r="A76" s="503" t="s">
        <v>729</v>
      </c>
      <c r="C76" s="310"/>
      <c r="D76" s="310"/>
      <c r="E76" s="310"/>
      <c r="F76" s="310"/>
      <c r="G76" s="310"/>
      <c r="H76" s="310"/>
      <c r="I76" s="310"/>
      <c r="J76" s="310"/>
      <c r="K76" s="310"/>
      <c r="L76" s="310"/>
      <c r="M76" s="310"/>
    </row>
    <row r="77" spans="1:13" x14ac:dyDescent="0.2">
      <c r="A77" s="503" t="s">
        <v>730</v>
      </c>
      <c r="C77" s="310"/>
      <c r="D77" s="310"/>
      <c r="E77" s="310"/>
      <c r="F77" s="310"/>
      <c r="G77" s="310"/>
      <c r="H77" s="310"/>
      <c r="I77" s="310"/>
      <c r="J77" s="310"/>
      <c r="K77" s="310"/>
      <c r="L77" s="310"/>
      <c r="M77" s="310"/>
    </row>
    <row r="78" spans="1:13" x14ac:dyDescent="0.2">
      <c r="B78" s="505" t="s">
        <v>720</v>
      </c>
      <c r="C78" s="507">
        <f>SUM(C70:C74)</f>
        <v>9.288460743709873</v>
      </c>
      <c r="D78" s="507">
        <f>SUM(D70:D74)</f>
        <v>9.288460743709873</v>
      </c>
      <c r="E78" s="507">
        <f>D78*E69/D69</f>
        <v>9.7401738266882187</v>
      </c>
      <c r="F78" s="507">
        <f t="shared" ref="F78:M78" si="17">E78*F69/E69</f>
        <v>10.23436777325098</v>
      </c>
      <c r="G78" s="507">
        <f t="shared" si="17"/>
        <v>10.844664161689437</v>
      </c>
      <c r="H78" s="507">
        <f t="shared" si="17"/>
        <v>11.393716944444225</v>
      </c>
      <c r="I78" s="507">
        <f t="shared" si="17"/>
        <v>11.904354223748468</v>
      </c>
      <c r="J78" s="507">
        <f t="shared" si="17"/>
        <v>12.625842795623381</v>
      </c>
      <c r="K78" s="507">
        <f t="shared" si="17"/>
        <v>13.354537936482558</v>
      </c>
      <c r="L78" s="507">
        <f t="shared" si="17"/>
        <v>14.125511963719992</v>
      </c>
      <c r="M78" s="507">
        <f t="shared" si="17"/>
        <v>14.941231034604074</v>
      </c>
    </row>
    <row r="80" spans="1:13" x14ac:dyDescent="0.2">
      <c r="B80" s="505" t="s">
        <v>733</v>
      </c>
      <c r="C80" s="854"/>
      <c r="D80" s="854"/>
      <c r="E80" s="854"/>
      <c r="F80" s="854"/>
      <c r="G80" s="854"/>
      <c r="H80" s="854"/>
      <c r="I80" s="854"/>
      <c r="J80" s="854"/>
      <c r="K80" s="854"/>
      <c r="L80" s="854"/>
      <c r="M80" s="854"/>
    </row>
    <row r="81" spans="1:13" x14ac:dyDescent="0.2">
      <c r="B81" s="506" t="s">
        <v>717</v>
      </c>
      <c r="C81" s="854">
        <v>2005</v>
      </c>
      <c r="D81" s="854">
        <v>2010</v>
      </c>
      <c r="E81" s="854">
        <v>2015</v>
      </c>
      <c r="F81" s="854">
        <v>2020</v>
      </c>
      <c r="G81" s="854">
        <v>2025</v>
      </c>
      <c r="H81" s="854">
        <v>2030</v>
      </c>
      <c r="I81" s="854">
        <v>2035</v>
      </c>
      <c r="J81" s="854">
        <v>2040</v>
      </c>
      <c r="K81" s="854">
        <v>2045</v>
      </c>
      <c r="L81" s="854">
        <v>2050</v>
      </c>
      <c r="M81" s="854">
        <v>2055</v>
      </c>
    </row>
    <row r="82" spans="1:13" x14ac:dyDescent="0.2">
      <c r="A82" s="464" t="s">
        <v>718</v>
      </c>
      <c r="B82" s="506" t="s">
        <v>719</v>
      </c>
      <c r="C82" s="310">
        <f>NYCTranscalc!$H18*NYCTranscalc!C$46</f>
        <v>0</v>
      </c>
      <c r="D82" s="310">
        <f>NYCTranscalc!$H18*NYCTranscalc!D$46</f>
        <v>0</v>
      </c>
      <c r="E82" s="310">
        <f>NYCTranscalc!$H18*NYCTranscalc!E$46</f>
        <v>0</v>
      </c>
      <c r="F82" s="310">
        <f>NYCTranscalc!$H18*NYCTranscalc!F$46</f>
        <v>0</v>
      </c>
      <c r="G82" s="310">
        <f>NYCTranscalc!$H18*NYCTranscalc!G$46</f>
        <v>0</v>
      </c>
      <c r="H82" s="310">
        <f>NYCTranscalc!$H18*NYCTranscalc!H$46</f>
        <v>0</v>
      </c>
      <c r="I82" s="310">
        <f>NYCTranscalc!$H18*NYCTranscalc!I$46</f>
        <v>0</v>
      </c>
      <c r="J82" s="310">
        <f>NYCTranscalc!$H18*NYCTranscalc!J$46</f>
        <v>0</v>
      </c>
      <c r="K82" s="310">
        <f>NYCTranscalc!$H18*NYCTranscalc!K$46</f>
        <v>0</v>
      </c>
      <c r="L82" s="310">
        <f>NYCTranscalc!$H18*NYCTranscalc!L$46</f>
        <v>0</v>
      </c>
      <c r="M82" s="310">
        <f>NYCTranscalc!$H18*NYCTranscalc!M$46</f>
        <v>0</v>
      </c>
    </row>
    <row r="83" spans="1:13" x14ac:dyDescent="0.2">
      <c r="A83" s="464" t="s">
        <v>723</v>
      </c>
      <c r="B83" s="506" t="s">
        <v>523</v>
      </c>
      <c r="C83" s="310">
        <f>NYCTranscalc!C11</f>
        <v>1.6792503530572207</v>
      </c>
      <c r="D83" s="310">
        <f>NYCTranscalc!D11</f>
        <v>1.6792503530572207</v>
      </c>
      <c r="E83" s="310">
        <f>NYCTranscalc!E11</f>
        <v>1.87450644719486</v>
      </c>
      <c r="F83" s="310">
        <f>NYCTranscalc!F11</f>
        <v>1.7615035327382063</v>
      </c>
      <c r="G83" s="310">
        <f>NYCTranscalc!G11</f>
        <v>1.6458123739755646</v>
      </c>
      <c r="H83" s="310">
        <f>NYCTranscalc!H11</f>
        <v>1.5707945014637528</v>
      </c>
      <c r="I83" s="310">
        <f>NYCTranscalc!I11</f>
        <v>1.5633757019778434</v>
      </c>
      <c r="J83" s="310">
        <f>NYCTranscalc!J11</f>
        <v>1.5833336226788965</v>
      </c>
      <c r="K83" s="310">
        <f>NYCTranscalc!K11</f>
        <v>1.5833336226788965</v>
      </c>
      <c r="L83" s="310">
        <f>NYCTranscalc!L11</f>
        <v>1.5833336226788965</v>
      </c>
      <c r="M83" s="310">
        <f>NYCTranscalc!M11</f>
        <v>1.5833336226788965</v>
      </c>
    </row>
    <row r="84" spans="1:13" x14ac:dyDescent="0.2">
      <c r="A84" s="503" t="s">
        <v>724</v>
      </c>
      <c r="B84" s="506" t="s">
        <v>524</v>
      </c>
      <c r="C84" s="310">
        <f>NYCTranscalc!$H20*NYCTranscalc!C$46</f>
        <v>0</v>
      </c>
      <c r="D84" s="310">
        <f>NYCTranscalc!$H20*NYCTranscalc!D$46</f>
        <v>0</v>
      </c>
      <c r="E84" s="310">
        <f>NYCTranscalc!$H20*NYCTranscalc!E$46</f>
        <v>0</v>
      </c>
      <c r="F84" s="310">
        <f>NYCTranscalc!$H20*NYCTranscalc!F$46</f>
        <v>0</v>
      </c>
      <c r="G84" s="310">
        <f>NYCTranscalc!$H20*NYCTranscalc!G$46</f>
        <v>0</v>
      </c>
      <c r="H84" s="310">
        <f>NYCTranscalc!$H20*NYCTranscalc!H$46</f>
        <v>0</v>
      </c>
      <c r="I84" s="310">
        <f>NYCTranscalc!$H20*NYCTranscalc!I$46</f>
        <v>0</v>
      </c>
      <c r="J84" s="310">
        <f>NYCTranscalc!$H20*NYCTranscalc!J$46</f>
        <v>0</v>
      </c>
      <c r="K84" s="310">
        <f>NYCTranscalc!$H20*NYCTranscalc!K$46</f>
        <v>0</v>
      </c>
      <c r="L84" s="310">
        <f>NYCTranscalc!$H20*NYCTranscalc!L$46</f>
        <v>0</v>
      </c>
      <c r="M84" s="310">
        <f>NYCTranscalc!$H20*NYCTranscalc!M$46</f>
        <v>0</v>
      </c>
    </row>
    <row r="85" spans="1:13" x14ac:dyDescent="0.2">
      <c r="A85" s="503" t="s">
        <v>725</v>
      </c>
      <c r="B85" s="506" t="s">
        <v>525</v>
      </c>
      <c r="C85" s="310">
        <f>NYCTranscalc!$H21*NYCTranscalc!C$46</f>
        <v>0</v>
      </c>
      <c r="D85" s="310">
        <f>NYCTranscalc!$H21*NYCTranscalc!D$46</f>
        <v>0</v>
      </c>
      <c r="E85" s="310">
        <f>NYCTranscalc!$H21*NYCTranscalc!E$46</f>
        <v>0</v>
      </c>
      <c r="F85" s="310">
        <f>NYCTranscalc!$H21*NYCTranscalc!F$46</f>
        <v>0</v>
      </c>
      <c r="G85" s="310">
        <f>NYCTranscalc!$H21*NYCTranscalc!G$46</f>
        <v>0</v>
      </c>
      <c r="H85" s="310">
        <f>NYCTranscalc!$H21*NYCTranscalc!H$46</f>
        <v>0</v>
      </c>
      <c r="I85" s="310">
        <f>NYCTranscalc!$H21*NYCTranscalc!I$46</f>
        <v>0</v>
      </c>
      <c r="J85" s="310">
        <f>NYCTranscalc!$H21*NYCTranscalc!J$46</f>
        <v>0</v>
      </c>
      <c r="K85" s="310">
        <f>NYCTranscalc!$H21*NYCTranscalc!K$46</f>
        <v>0</v>
      </c>
      <c r="L85" s="310">
        <f>NYCTranscalc!$H21*NYCTranscalc!L$46</f>
        <v>0</v>
      </c>
      <c r="M85" s="310">
        <f>NYCTranscalc!$H21*NYCTranscalc!M$46</f>
        <v>0</v>
      </c>
    </row>
    <row r="86" spans="1:13" x14ac:dyDescent="0.2">
      <c r="A86" s="503" t="s">
        <v>726</v>
      </c>
      <c r="B86" s="506" t="s">
        <v>526</v>
      </c>
      <c r="C86" s="310">
        <f>NYCTranscalc!$H22*NYCTranscalc!C$46</f>
        <v>0</v>
      </c>
      <c r="D86" s="310">
        <f>NYCTranscalc!$H22*NYCTranscalc!D$46</f>
        <v>0</v>
      </c>
      <c r="E86" s="310">
        <f>NYCTranscalc!$H22*NYCTranscalc!E$46</f>
        <v>0</v>
      </c>
      <c r="F86" s="310">
        <f>NYCTranscalc!$H22*NYCTranscalc!F$46</f>
        <v>0</v>
      </c>
      <c r="G86" s="310">
        <f>NYCTranscalc!$H22*NYCTranscalc!G$46</f>
        <v>0</v>
      </c>
      <c r="H86" s="310">
        <f>NYCTranscalc!$H22*NYCTranscalc!H$46</f>
        <v>0</v>
      </c>
      <c r="I86" s="310">
        <f>NYCTranscalc!$H22*NYCTranscalc!I$46</f>
        <v>0</v>
      </c>
      <c r="J86" s="310">
        <f>NYCTranscalc!$H22*NYCTranscalc!J$46</f>
        <v>0</v>
      </c>
      <c r="K86" s="310">
        <f>NYCTranscalc!$H22*NYCTranscalc!K$46</f>
        <v>0</v>
      </c>
      <c r="L86" s="310">
        <f>NYCTranscalc!$H22*NYCTranscalc!L$46</f>
        <v>0</v>
      </c>
      <c r="M86" s="310">
        <f>NYCTranscalc!$H22*NYCTranscalc!M$46</f>
        <v>0</v>
      </c>
    </row>
    <row r="87" spans="1:13" x14ac:dyDescent="0.2">
      <c r="A87" s="503" t="s">
        <v>727</v>
      </c>
      <c r="B87" s="506" t="s">
        <v>527</v>
      </c>
      <c r="C87" s="310">
        <f>NYCTranscalc!$H23*NYCTranscalc!C$46</f>
        <v>0</v>
      </c>
      <c r="D87" s="310">
        <f>NYCTranscalc!$H23*NYCTranscalc!D$46</f>
        <v>0</v>
      </c>
      <c r="E87" s="310">
        <f>NYCTranscalc!$H23*NYCTranscalc!E$46</f>
        <v>0</v>
      </c>
      <c r="F87" s="310">
        <f>NYCTranscalc!$H23*NYCTranscalc!F$46</f>
        <v>0</v>
      </c>
      <c r="G87" s="310">
        <f>NYCTranscalc!$H23*NYCTranscalc!G$46</f>
        <v>0</v>
      </c>
      <c r="H87" s="310">
        <f>NYCTranscalc!$H23*NYCTranscalc!H$46</f>
        <v>0</v>
      </c>
      <c r="I87" s="310">
        <f>NYCTranscalc!$H23*NYCTranscalc!I$46</f>
        <v>0</v>
      </c>
      <c r="J87" s="310">
        <f>NYCTranscalc!$H23*NYCTranscalc!J$46</f>
        <v>0</v>
      </c>
      <c r="K87" s="310">
        <f>NYCTranscalc!$H23*NYCTranscalc!K$46</f>
        <v>0</v>
      </c>
      <c r="L87" s="310">
        <f>NYCTranscalc!$H23*NYCTranscalc!L$46</f>
        <v>0</v>
      </c>
      <c r="M87" s="310">
        <f>NYCTranscalc!$H23*NYCTranscalc!M$46</f>
        <v>0</v>
      </c>
    </row>
    <row r="88" spans="1:13" x14ac:dyDescent="0.2">
      <c r="A88" s="503" t="s">
        <v>728</v>
      </c>
      <c r="C88" s="310"/>
      <c r="D88" s="310"/>
      <c r="E88" s="310"/>
      <c r="F88" s="310"/>
      <c r="G88" s="310"/>
      <c r="H88" s="310"/>
      <c r="I88" s="310"/>
      <c r="J88" s="310"/>
      <c r="K88" s="310"/>
      <c r="L88" s="310"/>
      <c r="M88" s="310"/>
    </row>
    <row r="89" spans="1:13" x14ac:dyDescent="0.2">
      <c r="A89" s="503" t="s">
        <v>729</v>
      </c>
      <c r="C89" s="310"/>
      <c r="D89" s="310"/>
      <c r="E89" s="310"/>
      <c r="F89" s="310"/>
      <c r="G89" s="310"/>
      <c r="H89" s="310"/>
      <c r="I89" s="310"/>
      <c r="J89" s="310"/>
      <c r="K89" s="310"/>
      <c r="L89" s="310"/>
      <c r="M89" s="310"/>
    </row>
    <row r="90" spans="1:13" x14ac:dyDescent="0.2">
      <c r="A90" s="503" t="s">
        <v>730</v>
      </c>
      <c r="C90" s="310"/>
      <c r="D90" s="310"/>
      <c r="E90" s="310"/>
      <c r="F90" s="310"/>
      <c r="G90" s="310"/>
      <c r="H90" s="310"/>
      <c r="I90" s="310"/>
      <c r="J90" s="310"/>
      <c r="K90" s="310"/>
      <c r="L90" s="310"/>
      <c r="M90" s="310"/>
    </row>
    <row r="91" spans="1:13" x14ac:dyDescent="0.2">
      <c r="B91" s="505" t="s">
        <v>720</v>
      </c>
      <c r="C91" s="507">
        <f>SUM(C83:C87)</f>
        <v>1.6792503530572207</v>
      </c>
      <c r="D91" s="507">
        <f>SUM(D83:D87)</f>
        <v>1.6792503530572207</v>
      </c>
      <c r="E91" s="507">
        <f t="shared" ref="E91:M91" si="18">SUM(E83:E87)</f>
        <v>1.87450644719486</v>
      </c>
      <c r="F91" s="507">
        <f t="shared" si="18"/>
        <v>1.7615035327382063</v>
      </c>
      <c r="G91" s="507">
        <f t="shared" si="18"/>
        <v>1.6458123739755646</v>
      </c>
      <c r="H91" s="507">
        <f t="shared" si="18"/>
        <v>1.5707945014637528</v>
      </c>
      <c r="I91" s="507">
        <f t="shared" si="18"/>
        <v>1.5633757019778434</v>
      </c>
      <c r="J91" s="507">
        <f t="shared" si="18"/>
        <v>1.5833336226788965</v>
      </c>
      <c r="K91" s="507">
        <f t="shared" si="18"/>
        <v>1.5833336226788965</v>
      </c>
      <c r="L91" s="507">
        <f t="shared" si="18"/>
        <v>1.5833336226788965</v>
      </c>
      <c r="M91" s="507">
        <f t="shared" si="18"/>
        <v>1.5833336226788965</v>
      </c>
    </row>
    <row r="93" spans="1:13" x14ac:dyDescent="0.2">
      <c r="B93" s="505" t="s">
        <v>734</v>
      </c>
      <c r="C93" s="854"/>
      <c r="D93" s="854"/>
      <c r="E93" s="854"/>
      <c r="F93" s="854"/>
      <c r="G93" s="854"/>
      <c r="H93" s="854"/>
      <c r="I93" s="854"/>
      <c r="J93" s="854"/>
      <c r="K93" s="854"/>
      <c r="L93" s="854"/>
      <c r="M93" s="854"/>
    </row>
    <row r="94" spans="1:13" x14ac:dyDescent="0.2">
      <c r="B94" s="506" t="s">
        <v>717</v>
      </c>
      <c r="C94" s="854">
        <v>2005</v>
      </c>
      <c r="D94" s="854">
        <v>2010</v>
      </c>
      <c r="E94" s="854">
        <v>2015</v>
      </c>
      <c r="F94" s="854">
        <v>2020</v>
      </c>
      <c r="G94" s="854">
        <v>2025</v>
      </c>
      <c r="H94" s="854">
        <v>2030</v>
      </c>
      <c r="I94" s="854">
        <v>2035</v>
      </c>
      <c r="J94" s="854">
        <v>2040</v>
      </c>
      <c r="K94" s="854">
        <v>2045</v>
      </c>
      <c r="L94" s="854">
        <v>2050</v>
      </c>
      <c r="M94" s="854">
        <v>2055</v>
      </c>
    </row>
    <row r="95" spans="1:13" x14ac:dyDescent="0.2">
      <c r="A95" s="464" t="s">
        <v>718</v>
      </c>
      <c r="B95" s="506" t="s">
        <v>719</v>
      </c>
      <c r="C95" s="511">
        <f t="shared" ref="C95:C100" si="19">D95</f>
        <v>8.1762146617053999E-2</v>
      </c>
      <c r="D95" s="511">
        <f>Transcalc!$E18*Transcalc!D$48</f>
        <v>8.1762146617053999E-2</v>
      </c>
      <c r="E95" s="511">
        <f>Transcalc!$E18*Transcalc!E$48</f>
        <v>7.8708991204952131E-2</v>
      </c>
      <c r="F95" s="511">
        <f>Transcalc!$E18*Transcalc!F$48</f>
        <v>8.1963543498152575E-2</v>
      </c>
      <c r="G95" s="511">
        <f>Transcalc!$E18*Transcalc!G$48</f>
        <v>8.5365562413495327E-2</v>
      </c>
      <c r="H95" s="511">
        <f>Transcalc!$E18*Transcalc!H$48</f>
        <v>8.8785315850784599E-2</v>
      </c>
      <c r="I95" s="511">
        <f>Transcalc!$E18*Transcalc!I$48</f>
        <v>9.2129515555389049E-2</v>
      </c>
      <c r="J95" s="511">
        <f>Transcalc!$E18*Transcalc!J$48</f>
        <v>9.5354893567507898E-2</v>
      </c>
      <c r="K95" s="511">
        <f>Transcalc!$E18*Transcalc!K$48</f>
        <v>9.96654018613847E-2</v>
      </c>
      <c r="L95" s="511">
        <f>Transcalc!$E18*Transcalc!L$48</f>
        <v>0.10452850404781337</v>
      </c>
      <c r="M95" s="511">
        <f>Transcalc!$E18*Transcalc!M$48</f>
        <v>0.11000703265171524</v>
      </c>
    </row>
    <row r="96" spans="1:13" x14ac:dyDescent="0.2">
      <c r="A96" s="464" t="s">
        <v>723</v>
      </c>
      <c r="B96" s="506" t="s">
        <v>523</v>
      </c>
      <c r="C96" s="463">
        <f>D96</f>
        <v>0.11124683542038477</v>
      </c>
      <c r="D96" s="514">
        <f>TB!B24</f>
        <v>0.11124683542038477</v>
      </c>
      <c r="E96" s="462">
        <f>E104*Pop!F50/Pop!F54</f>
        <v>0.10662752764386425</v>
      </c>
      <c r="F96" s="462">
        <f>F104*Pop!G50/Pop!G54</f>
        <v>0.111522525000081</v>
      </c>
      <c r="G96" s="462">
        <f>G104*Pop!H50/Pop!H54</f>
        <v>0.11662449358233967</v>
      </c>
      <c r="H96" s="462">
        <f>H104*Pop!I50/Pop!I54</f>
        <v>0.12177343113569911</v>
      </c>
      <c r="I96" s="462">
        <f>I104*Pop!J50/Pop!J54</f>
        <v>0.12687697801374739</v>
      </c>
      <c r="J96" s="462">
        <f>J104*Pop!K50/Pop!K54</f>
        <v>0.13184164369805557</v>
      </c>
      <c r="K96" s="462">
        <f>K104*Pop!L50/Pop!L54</f>
        <v>0.13702255596248838</v>
      </c>
      <c r="L96" s="462">
        <f>L104*Pop!M50/Pop!M54</f>
        <v>0.14386412471116169</v>
      </c>
      <c r="M96" s="462">
        <f>M104*Pop!N50/Pop!N54</f>
        <v>0.1515628771092063</v>
      </c>
    </row>
    <row r="97" spans="1:13" x14ac:dyDescent="0.2">
      <c r="A97" s="503" t="s">
        <v>724</v>
      </c>
      <c r="B97" s="506" t="s">
        <v>524</v>
      </c>
      <c r="C97" s="463">
        <f t="shared" si="19"/>
        <v>6.0358109513202113E-2</v>
      </c>
      <c r="D97" s="514">
        <f>TB!B23</f>
        <v>6.0358109513202113E-2</v>
      </c>
      <c r="E97" s="462">
        <f>E104*Pop!F49/Pop!F54</f>
        <v>5.8857031648647418E-2</v>
      </c>
      <c r="F97" s="462">
        <f>F104*Pop!G49/Pop!G54</f>
        <v>6.0922172990039915E-2</v>
      </c>
      <c r="G97" s="462">
        <f>G104*Pop!H49/Pop!H54</f>
        <v>6.4023283152547114E-2</v>
      </c>
      <c r="H97" s="462">
        <f>H104*Pop!I49/Pop!I54</f>
        <v>6.71652120048499E-2</v>
      </c>
      <c r="I97" s="462">
        <f>I104*Pop!J49/Pop!J54</f>
        <v>7.0264245242275189E-2</v>
      </c>
      <c r="J97" s="462">
        <f>J104*Pop!K49/Pop!K54</f>
        <v>7.329992047312936E-2</v>
      </c>
      <c r="K97" s="462">
        <f>K104*Pop!L49/Pop!L54</f>
        <v>7.6607213143695896E-2</v>
      </c>
      <c r="L97" s="462">
        <f>L104*Pop!M49/Pop!M54</f>
        <v>8.0723742054212122E-2</v>
      </c>
      <c r="M97" s="462">
        <f>M104*Pop!N49/Pop!N54</f>
        <v>8.534025976611348E-2</v>
      </c>
    </row>
    <row r="98" spans="1:13" x14ac:dyDescent="0.2">
      <c r="A98" s="503" t="s">
        <v>725</v>
      </c>
      <c r="B98" s="506" t="s">
        <v>525</v>
      </c>
      <c r="C98" s="463">
        <f t="shared" si="19"/>
        <v>6.9106738397316583E-2</v>
      </c>
      <c r="D98" s="514">
        <f>TB!B25</f>
        <v>6.9106738397316583E-2</v>
      </c>
      <c r="E98" s="462">
        <f>E104*Pop!F51/Pop!F54</f>
        <v>6.6503038229413405E-2</v>
      </c>
      <c r="F98" s="462">
        <f>F104*Pop!G51/Pop!G54</f>
        <v>6.8985669281398224E-2</v>
      </c>
      <c r="G98" s="462">
        <f>G104*Pop!H51/Pop!H54</f>
        <v>7.1561888711450125E-2</v>
      </c>
      <c r="H98" s="462">
        <f>H104*Pop!I51/Pop!I54</f>
        <v>7.4139172186383342E-2</v>
      </c>
      <c r="I98" s="462">
        <f>I104*Pop!J51/Pop!J54</f>
        <v>7.6389636651040427E-2</v>
      </c>
      <c r="J98" s="462">
        <f>J104*Pop!K51/Pop!K54</f>
        <v>7.8515614468302061E-2</v>
      </c>
      <c r="K98" s="462">
        <f>K104*Pop!L51/Pop!L54</f>
        <v>8.165849104012754E-2</v>
      </c>
      <c r="L98" s="462">
        <f>L104*Pop!M51/Pop!M54</f>
        <v>8.5231197934918415E-2</v>
      </c>
      <c r="M98" s="462">
        <f>M104*Pop!N51/Pop!N54</f>
        <v>8.9278829810808841E-2</v>
      </c>
    </row>
    <row r="99" spans="1:13" x14ac:dyDescent="0.2">
      <c r="A99" s="503" t="s">
        <v>726</v>
      </c>
      <c r="B99" s="506" t="s">
        <v>526</v>
      </c>
      <c r="C99" s="463">
        <f t="shared" si="19"/>
        <v>2.0425596178870693E-2</v>
      </c>
      <c r="D99" s="514">
        <f>TB!B27</f>
        <v>2.0425596178870693E-2</v>
      </c>
      <c r="E99" s="462">
        <f>E104*Pop!F53/Pop!F54</f>
        <v>1.9190759125819214E-2</v>
      </c>
      <c r="F99" s="462">
        <f>F104*Pop!G53/Pop!G54</f>
        <v>2.051340015466184E-2</v>
      </c>
      <c r="G99" s="462">
        <f>G104*Pop!H53/Pop!H54</f>
        <v>2.126140850016699E-2</v>
      </c>
      <c r="H99" s="462">
        <f>H104*Pop!I53/Pop!I54</f>
        <v>2.2008861835369129E-2</v>
      </c>
      <c r="I99" s="462">
        <f>I104*Pop!J53/Pop!J54</f>
        <v>2.2652840165929045E-2</v>
      </c>
      <c r="J99" s="462">
        <f>J104*Pop!K53/Pop!K54</f>
        <v>2.3258740631358264E-2</v>
      </c>
      <c r="K99" s="462">
        <f>K104*Pop!L53/Pop!L54</f>
        <v>2.4920922392353398E-2</v>
      </c>
      <c r="L99" s="462">
        <f>L104*Pop!M53/Pop!M54</f>
        <v>2.6213456898755857E-2</v>
      </c>
      <c r="M99" s="462">
        <f>M104*Pop!N53/Pop!N54</f>
        <v>2.7665324243579068E-2</v>
      </c>
    </row>
    <row r="100" spans="1:13" x14ac:dyDescent="0.2">
      <c r="A100" s="503" t="s">
        <v>727</v>
      </c>
      <c r="B100" s="506" t="s">
        <v>527</v>
      </c>
      <c r="C100" s="463">
        <f t="shared" si="19"/>
        <v>9.8047132152094846E-2</v>
      </c>
      <c r="D100" s="514">
        <f>TB!B26</f>
        <v>9.8047132152094846E-2</v>
      </c>
      <c r="E100" s="462">
        <f>E104*Pop!F52/Pop!F54</f>
        <v>9.4593420001685816E-2</v>
      </c>
      <c r="F100" s="462">
        <f>F104*Pop!G52/Pop!G54</f>
        <v>9.8125388866803595E-2</v>
      </c>
      <c r="G100" s="462">
        <f>G104*Pop!H52/Pop!H54</f>
        <v>0.10154328881584043</v>
      </c>
      <c r="H100" s="462">
        <f>H104*Pop!I52/Pop!I54</f>
        <v>0.10495080054043751</v>
      </c>
      <c r="I100" s="462">
        <f>I104*Pop!J52/Pop!J54</f>
        <v>0.10854498197158115</v>
      </c>
      <c r="J100" s="462">
        <f>J104*Pop!K52/Pop!K54</f>
        <v>0.11198197862242722</v>
      </c>
      <c r="K100" s="462">
        <f>K104*Pop!L52/Pop!L54</f>
        <v>0.11762495234886459</v>
      </c>
      <c r="L100" s="462">
        <f>L104*Pop!M52/Pop!M54</f>
        <v>0.12316541756658006</v>
      </c>
      <c r="M100" s="462">
        <f>M104*Pop!N52/Pop!N54</f>
        <v>0.12941804561703046</v>
      </c>
    </row>
    <row r="101" spans="1:13" x14ac:dyDescent="0.2">
      <c r="A101" s="503" t="s">
        <v>728</v>
      </c>
      <c r="C101" s="310"/>
      <c r="D101" s="310"/>
      <c r="E101" s="310"/>
      <c r="F101" s="310"/>
      <c r="G101" s="310"/>
      <c r="H101" s="310"/>
      <c r="I101" s="310"/>
      <c r="J101" s="310"/>
      <c r="K101" s="310"/>
      <c r="L101" s="310"/>
      <c r="M101" s="310"/>
    </row>
    <row r="102" spans="1:13" x14ac:dyDescent="0.2">
      <c r="A102" s="503" t="s">
        <v>729</v>
      </c>
      <c r="C102" s="310"/>
      <c r="D102" s="310"/>
      <c r="E102" s="310"/>
      <c r="F102" s="310"/>
      <c r="G102" s="310"/>
      <c r="H102" s="310"/>
      <c r="I102" s="310"/>
      <c r="J102" s="310"/>
      <c r="K102" s="310"/>
      <c r="L102" s="310"/>
      <c r="M102" s="310"/>
    </row>
    <row r="103" spans="1:13" x14ac:dyDescent="0.2">
      <c r="A103" s="503" t="s">
        <v>730</v>
      </c>
      <c r="C103" s="310"/>
      <c r="D103" s="310"/>
      <c r="E103" s="310"/>
      <c r="F103" s="310"/>
      <c r="G103" s="310"/>
      <c r="H103" s="310"/>
      <c r="I103" s="310"/>
      <c r="J103" s="310"/>
      <c r="K103" s="310"/>
      <c r="L103" s="310"/>
      <c r="M103" s="310"/>
    </row>
    <row r="104" spans="1:13" x14ac:dyDescent="0.2">
      <c r="B104" s="505" t="s">
        <v>720</v>
      </c>
      <c r="C104" s="507">
        <f>SUM(C96:C100)</f>
        <v>0.35918441166186899</v>
      </c>
      <c r="D104" s="507">
        <f>SUM(D96:D100)</f>
        <v>0.35918441166186899</v>
      </c>
      <c r="E104" s="507">
        <f>D104*E95/D95</f>
        <v>0.3457717766494301</v>
      </c>
      <c r="F104" s="507">
        <f>E104*F95/E95</f>
        <v>0.36006915629298458</v>
      </c>
      <c r="G104" s="507">
        <f t="shared" ref="G104:M104" si="20">F104*G95/F95</f>
        <v>0.37501436276234434</v>
      </c>
      <c r="H104" s="507">
        <f t="shared" si="20"/>
        <v>0.390037477702739</v>
      </c>
      <c r="I104" s="507">
        <f t="shared" si="20"/>
        <v>0.40472868204457318</v>
      </c>
      <c r="J104" s="507">
        <f t="shared" si="20"/>
        <v>0.41889789789327248</v>
      </c>
      <c r="K104" s="507">
        <f t="shared" si="20"/>
        <v>0.43783413488752976</v>
      </c>
      <c r="L104" s="507">
        <f t="shared" si="20"/>
        <v>0.45919793916562823</v>
      </c>
      <c r="M104" s="507">
        <f t="shared" si="20"/>
        <v>0.4832653365467382</v>
      </c>
    </row>
    <row r="106" spans="1:13" x14ac:dyDescent="0.2">
      <c r="B106" s="505" t="s">
        <v>735</v>
      </c>
      <c r="C106" s="854"/>
      <c r="D106" s="854"/>
      <c r="E106" s="854"/>
      <c r="F106" s="854"/>
      <c r="G106" s="854"/>
      <c r="H106" s="854"/>
      <c r="I106" s="854"/>
      <c r="J106" s="854"/>
      <c r="K106" s="854"/>
      <c r="L106" s="854"/>
      <c r="M106" s="854"/>
    </row>
    <row r="107" spans="1:13" x14ac:dyDescent="0.2">
      <c r="B107" s="506" t="s">
        <v>717</v>
      </c>
      <c r="C107" s="854">
        <v>2005</v>
      </c>
      <c r="D107" s="854">
        <v>2010</v>
      </c>
      <c r="E107" s="854">
        <v>2015</v>
      </c>
      <c r="F107" s="854">
        <v>2020</v>
      </c>
      <c r="G107" s="854">
        <v>2025</v>
      </c>
      <c r="H107" s="854">
        <v>2030</v>
      </c>
      <c r="I107" s="854">
        <v>2035</v>
      </c>
      <c r="J107" s="854">
        <v>2040</v>
      </c>
      <c r="K107" s="854">
        <v>2045</v>
      </c>
      <c r="L107" s="854">
        <v>2050</v>
      </c>
      <c r="M107" s="854">
        <v>2055</v>
      </c>
    </row>
    <row r="108" spans="1:13" x14ac:dyDescent="0.2">
      <c r="A108" s="464" t="s">
        <v>718</v>
      </c>
      <c r="B108" s="506" t="s">
        <v>719</v>
      </c>
      <c r="C108" s="310">
        <v>0</v>
      </c>
      <c r="D108" s="310">
        <v>0</v>
      </c>
      <c r="E108" s="310">
        <v>0</v>
      </c>
      <c r="F108" s="310">
        <v>0</v>
      </c>
      <c r="G108" s="310">
        <v>0</v>
      </c>
      <c r="H108" s="310">
        <v>0</v>
      </c>
      <c r="I108" s="310">
        <v>0</v>
      </c>
      <c r="J108" s="310">
        <v>0</v>
      </c>
      <c r="K108" s="310">
        <v>0</v>
      </c>
      <c r="L108" s="310">
        <v>0</v>
      </c>
      <c r="M108" s="310">
        <v>0</v>
      </c>
    </row>
    <row r="109" spans="1:13" x14ac:dyDescent="0.2">
      <c r="A109" s="464" t="s">
        <v>723</v>
      </c>
      <c r="B109" s="506" t="s">
        <v>523</v>
      </c>
      <c r="C109" s="310">
        <v>0</v>
      </c>
      <c r="D109" s="310">
        <v>0</v>
      </c>
      <c r="E109" s="310">
        <v>0</v>
      </c>
      <c r="F109" s="310">
        <v>0</v>
      </c>
      <c r="G109" s="310">
        <v>0</v>
      </c>
      <c r="H109" s="310">
        <v>0</v>
      </c>
      <c r="I109" s="310">
        <v>0</v>
      </c>
      <c r="J109" s="310">
        <v>0</v>
      </c>
      <c r="K109" s="310">
        <v>0</v>
      </c>
      <c r="L109" s="310">
        <v>0</v>
      </c>
      <c r="M109" s="310">
        <v>0</v>
      </c>
    </row>
    <row r="110" spans="1:13" x14ac:dyDescent="0.2">
      <c r="A110" s="503" t="s">
        <v>724</v>
      </c>
      <c r="B110" s="506" t="s">
        <v>524</v>
      </c>
      <c r="C110" s="310">
        <v>0</v>
      </c>
      <c r="D110" s="310">
        <v>0</v>
      </c>
      <c r="E110" s="310">
        <v>0</v>
      </c>
      <c r="F110" s="310">
        <v>0</v>
      </c>
      <c r="G110" s="310">
        <v>0</v>
      </c>
      <c r="H110" s="310">
        <v>0</v>
      </c>
      <c r="I110" s="310">
        <v>0</v>
      </c>
      <c r="J110" s="310">
        <v>0</v>
      </c>
      <c r="K110" s="310">
        <v>0</v>
      </c>
      <c r="L110" s="310">
        <v>0</v>
      </c>
      <c r="M110" s="310">
        <v>0</v>
      </c>
    </row>
    <row r="111" spans="1:13" x14ac:dyDescent="0.2">
      <c r="A111" s="503" t="s">
        <v>725</v>
      </c>
      <c r="B111" s="506" t="s">
        <v>525</v>
      </c>
      <c r="C111" s="310">
        <v>0</v>
      </c>
      <c r="D111" s="310">
        <v>0</v>
      </c>
      <c r="E111" s="310">
        <v>0</v>
      </c>
      <c r="F111" s="310">
        <v>0</v>
      </c>
      <c r="G111" s="310">
        <v>0</v>
      </c>
      <c r="H111" s="310">
        <v>0</v>
      </c>
      <c r="I111" s="310">
        <v>0</v>
      </c>
      <c r="J111" s="310">
        <v>0</v>
      </c>
      <c r="K111" s="310">
        <v>0</v>
      </c>
      <c r="L111" s="310">
        <v>0</v>
      </c>
      <c r="M111" s="310">
        <v>0</v>
      </c>
    </row>
    <row r="112" spans="1:13" x14ac:dyDescent="0.2">
      <c r="A112" s="503" t="s">
        <v>726</v>
      </c>
      <c r="B112" s="506" t="s">
        <v>526</v>
      </c>
      <c r="C112" s="310">
        <v>0</v>
      </c>
      <c r="D112" s="310">
        <v>0</v>
      </c>
      <c r="E112" s="310">
        <v>0</v>
      </c>
      <c r="F112" s="310">
        <v>0</v>
      </c>
      <c r="G112" s="310">
        <v>0</v>
      </c>
      <c r="H112" s="310">
        <v>0</v>
      </c>
      <c r="I112" s="310">
        <v>0</v>
      </c>
      <c r="J112" s="310">
        <v>0</v>
      </c>
      <c r="K112" s="310">
        <v>0</v>
      </c>
      <c r="L112" s="310">
        <v>0</v>
      </c>
      <c r="M112" s="310">
        <v>0</v>
      </c>
    </row>
    <row r="113" spans="1:13" x14ac:dyDescent="0.2">
      <c r="A113" s="503" t="s">
        <v>727</v>
      </c>
      <c r="B113" s="506" t="s">
        <v>527</v>
      </c>
      <c r="C113" s="310">
        <v>0</v>
      </c>
      <c r="D113" s="310">
        <v>0</v>
      </c>
      <c r="E113" s="310">
        <v>0</v>
      </c>
      <c r="F113" s="310">
        <v>0</v>
      </c>
      <c r="G113" s="310">
        <v>0</v>
      </c>
      <c r="H113" s="310">
        <v>0</v>
      </c>
      <c r="I113" s="310">
        <v>0</v>
      </c>
      <c r="J113" s="310">
        <v>0</v>
      </c>
      <c r="K113" s="310">
        <v>0</v>
      </c>
      <c r="L113" s="310">
        <v>0</v>
      </c>
      <c r="M113" s="310">
        <v>0</v>
      </c>
    </row>
    <row r="114" spans="1:13" x14ac:dyDescent="0.2">
      <c r="A114" s="503" t="s">
        <v>728</v>
      </c>
      <c r="C114" s="310"/>
      <c r="D114" s="310"/>
      <c r="E114" s="310"/>
      <c r="F114" s="310"/>
      <c r="G114" s="310"/>
      <c r="H114" s="310"/>
      <c r="I114" s="310"/>
      <c r="J114" s="310"/>
      <c r="K114" s="310"/>
      <c r="L114" s="310"/>
      <c r="M114" s="310"/>
    </row>
    <row r="115" spans="1:13" x14ac:dyDescent="0.2">
      <c r="A115" s="503" t="s">
        <v>729</v>
      </c>
      <c r="C115" s="310"/>
      <c r="D115" s="310"/>
      <c r="E115" s="310"/>
      <c r="F115" s="310"/>
      <c r="G115" s="310"/>
      <c r="H115" s="310"/>
      <c r="I115" s="310"/>
      <c r="J115" s="310"/>
      <c r="K115" s="310"/>
      <c r="L115" s="310"/>
      <c r="M115" s="310"/>
    </row>
    <row r="116" spans="1:13" x14ac:dyDescent="0.2">
      <c r="A116" s="503" t="s">
        <v>730</v>
      </c>
      <c r="C116" s="310"/>
      <c r="D116" s="310"/>
      <c r="E116" s="310"/>
      <c r="F116" s="310"/>
      <c r="G116" s="310"/>
      <c r="H116" s="310"/>
      <c r="I116" s="310"/>
      <c r="J116" s="310"/>
      <c r="K116" s="310"/>
      <c r="L116" s="310"/>
      <c r="M116" s="310"/>
    </row>
    <row r="117" spans="1:13" x14ac:dyDescent="0.2">
      <c r="B117" s="505" t="s">
        <v>720</v>
      </c>
      <c r="C117" s="507">
        <f>SUM(C109:C113)</f>
        <v>0</v>
      </c>
      <c r="D117" s="507">
        <f t="shared" ref="D117:M117" si="21">SUM(D109:D113)</f>
        <v>0</v>
      </c>
      <c r="E117" s="507">
        <f t="shared" si="21"/>
        <v>0</v>
      </c>
      <c r="F117" s="507">
        <f t="shared" si="21"/>
        <v>0</v>
      </c>
      <c r="G117" s="507">
        <f t="shared" si="21"/>
        <v>0</v>
      </c>
      <c r="H117" s="507">
        <f t="shared" si="21"/>
        <v>0</v>
      </c>
      <c r="I117" s="507">
        <f t="shared" si="21"/>
        <v>0</v>
      </c>
      <c r="J117" s="507">
        <f t="shared" si="21"/>
        <v>0</v>
      </c>
      <c r="K117" s="507">
        <f t="shared" si="21"/>
        <v>0</v>
      </c>
      <c r="L117" s="507">
        <f t="shared" si="21"/>
        <v>0</v>
      </c>
      <c r="M117" s="507">
        <f t="shared" si="21"/>
        <v>0</v>
      </c>
    </row>
    <row r="119" spans="1:13" x14ac:dyDescent="0.2">
      <c r="B119" s="505" t="s">
        <v>736</v>
      </c>
      <c r="C119" s="854"/>
      <c r="D119" s="854"/>
      <c r="E119" s="854"/>
      <c r="F119" s="854"/>
      <c r="G119" s="854"/>
      <c r="H119" s="854"/>
      <c r="I119" s="854"/>
      <c r="J119" s="854"/>
      <c r="K119" s="854"/>
      <c r="L119" s="854"/>
      <c r="M119" s="854"/>
    </row>
    <row r="120" spans="1:13" x14ac:dyDescent="0.2">
      <c r="B120" s="506" t="s">
        <v>717</v>
      </c>
      <c r="C120" s="854">
        <v>2005</v>
      </c>
      <c r="D120" s="854">
        <v>2010</v>
      </c>
      <c r="E120" s="854">
        <v>2015</v>
      </c>
      <c r="F120" s="854">
        <v>2020</v>
      </c>
      <c r="G120" s="854">
        <v>2025</v>
      </c>
      <c r="H120" s="854">
        <v>2030</v>
      </c>
      <c r="I120" s="854">
        <v>2035</v>
      </c>
      <c r="J120" s="854">
        <v>2040</v>
      </c>
      <c r="K120" s="854">
        <v>2045</v>
      </c>
      <c r="L120" s="854">
        <v>2050</v>
      </c>
      <c r="M120" s="854">
        <v>2055</v>
      </c>
    </row>
    <row r="121" spans="1:13" x14ac:dyDescent="0.2">
      <c r="A121" s="464" t="s">
        <v>718</v>
      </c>
      <c r="B121" s="506" t="s">
        <v>512</v>
      </c>
      <c r="C121" s="310">
        <v>0</v>
      </c>
      <c r="D121" s="310">
        <v>0</v>
      </c>
      <c r="E121" s="310">
        <v>0</v>
      </c>
      <c r="F121" s="310">
        <v>0</v>
      </c>
      <c r="G121" s="310">
        <v>0</v>
      </c>
      <c r="H121" s="310">
        <v>0</v>
      </c>
      <c r="I121" s="310">
        <v>0</v>
      </c>
      <c r="J121" s="310">
        <v>0</v>
      </c>
      <c r="K121" s="310">
        <v>0</v>
      </c>
      <c r="L121" s="310">
        <v>0</v>
      </c>
      <c r="M121" s="310">
        <v>0</v>
      </c>
    </row>
    <row r="122" spans="1:13" x14ac:dyDescent="0.2">
      <c r="A122" s="464" t="s">
        <v>723</v>
      </c>
      <c r="B122" s="506" t="s">
        <v>523</v>
      </c>
      <c r="C122" s="463">
        <f>D122</f>
        <v>0.15428841530029619</v>
      </c>
      <c r="D122" s="463">
        <f>TM!B26</f>
        <v>0.15428841530029619</v>
      </c>
      <c r="E122" s="463">
        <f>TM!C26</f>
        <v>0.15699136492405785</v>
      </c>
      <c r="F122" s="463">
        <f>TM!D26</f>
        <v>0.15768899582849658</v>
      </c>
      <c r="G122" s="463">
        <f>TM!E26</f>
        <v>0.16083143098168579</v>
      </c>
      <c r="H122" s="463">
        <f>TM!F26</f>
        <v>0.16397386613487502</v>
      </c>
      <c r="I122" s="463">
        <f>TM!G26</f>
        <v>0.16654945012943079</v>
      </c>
      <c r="J122" s="463">
        <f>TM!H26</f>
        <v>0.1691250341239865</v>
      </c>
      <c r="K122" s="463">
        <f>TM!I26</f>
        <v>0.17315705779200877</v>
      </c>
      <c r="L122" s="463">
        <f>TM!J26</f>
        <v>0.17620665039987007</v>
      </c>
      <c r="M122" s="463">
        <f>TM!K26</f>
        <v>0.17925624300773135</v>
      </c>
    </row>
    <row r="123" spans="1:13" x14ac:dyDescent="0.2">
      <c r="A123" s="503" t="s">
        <v>724</v>
      </c>
      <c r="B123" s="506" t="s">
        <v>524</v>
      </c>
      <c r="C123" s="463">
        <f>D123</f>
        <v>8.3710759340910296E-2</v>
      </c>
      <c r="D123" s="463">
        <f>TM!B25</f>
        <v>8.3710759340910296E-2</v>
      </c>
      <c r="E123" s="463">
        <f>TM!C25</f>
        <v>8.6657225747195088E-2</v>
      </c>
      <c r="F123" s="463">
        <f>TM!D25</f>
        <v>8.614184697201191E-2</v>
      </c>
      <c r="G123" s="463">
        <f>TM!E25</f>
        <v>8.8291540904311946E-2</v>
      </c>
      <c r="H123" s="463">
        <f>TM!F25</f>
        <v>9.0441234836611969E-2</v>
      </c>
      <c r="I123" s="463">
        <f>TM!G25</f>
        <v>9.2234789889087815E-2</v>
      </c>
      <c r="J123" s="463">
        <f>TM!H25</f>
        <v>9.4028344941563646E-2</v>
      </c>
      <c r="K123" s="463">
        <f>TM!I25</f>
        <v>9.6809459876366369E-2</v>
      </c>
      <c r="L123" s="463">
        <f>TM!J25</f>
        <v>9.8871488800100202E-2</v>
      </c>
      <c r="M123" s="463">
        <f>TM!K25</f>
        <v>0.10093351772383406</v>
      </c>
    </row>
    <row r="124" spans="1:13" x14ac:dyDescent="0.2">
      <c r="A124" s="503" t="s">
        <v>725</v>
      </c>
      <c r="B124" s="506" t="s">
        <v>525</v>
      </c>
      <c r="C124" s="463">
        <f>D124</f>
        <v>9.584424683724839E-2</v>
      </c>
      <c r="D124" s="463">
        <f>TM!B27</f>
        <v>9.584424683724839E-2</v>
      </c>
      <c r="E124" s="463">
        <f>TM!C27</f>
        <v>9.7914703397262826E-2</v>
      </c>
      <c r="F124" s="463">
        <f>TM!D27</f>
        <v>9.7543352031641578E-2</v>
      </c>
      <c r="G124" s="463">
        <f>TM!E27</f>
        <v>9.8687682249944869E-2</v>
      </c>
      <c r="H124" s="463">
        <f>TM!F27</f>
        <v>9.983201246824816E-2</v>
      </c>
      <c r="I124" s="463">
        <f>TM!G27</f>
        <v>0.10027549661877405</v>
      </c>
      <c r="J124" s="463">
        <f>TM!H27</f>
        <v>0.10071898076929993</v>
      </c>
      <c r="K124" s="463">
        <f>TM!I27</f>
        <v>0.10319282072153524</v>
      </c>
      <c r="L124" s="463">
        <f>TM!J27</f>
        <v>0.10439227936660919</v>
      </c>
      <c r="M124" s="463">
        <f>TM!K27</f>
        <v>0.10559173801168314</v>
      </c>
    </row>
    <row r="125" spans="1:13" x14ac:dyDescent="0.2">
      <c r="A125" s="503" t="s">
        <v>726</v>
      </c>
      <c r="B125" s="506" t="s">
        <v>526</v>
      </c>
      <c r="C125" s="463">
        <f>D125</f>
        <v>2.8328292252925324E-2</v>
      </c>
      <c r="D125" s="463">
        <f>TM!B29</f>
        <v>2.8328292252925324E-2</v>
      </c>
      <c r="E125" s="463">
        <f>TM!C29</f>
        <v>2.8255212660973156E-2</v>
      </c>
      <c r="F125" s="463">
        <f>TM!D29</f>
        <v>2.9005238819820499E-2</v>
      </c>
      <c r="G125" s="463">
        <f>TM!E29</f>
        <v>2.9320622527323429E-2</v>
      </c>
      <c r="H125" s="463">
        <f>TM!F29</f>
        <v>2.9636006234826359E-2</v>
      </c>
      <c r="I125" s="463">
        <f>TM!G29</f>
        <v>2.9736033538697412E-2</v>
      </c>
      <c r="J125" s="463">
        <f>TM!H29</f>
        <v>2.983606084256845E-2</v>
      </c>
      <c r="K125" s="463">
        <f>TM!I29</f>
        <v>3.1492870415468319E-2</v>
      </c>
      <c r="L125" s="463">
        <f>TM!J29</f>
        <v>3.21065828246253E-2</v>
      </c>
      <c r="M125" s="463">
        <f>TM!K29</f>
        <v>3.2720295233782275E-2</v>
      </c>
    </row>
    <row r="126" spans="1:13" x14ac:dyDescent="0.2">
      <c r="A126" s="503" t="s">
        <v>727</v>
      </c>
      <c r="B126" s="506" t="s">
        <v>527</v>
      </c>
      <c r="C126" s="463">
        <f>D126</f>
        <v>0.1359817255683794</v>
      </c>
      <c r="D126" s="463">
        <f>TM!B28</f>
        <v>0.1359817255683794</v>
      </c>
      <c r="E126" s="463">
        <f>TM!C28</f>
        <v>0.13927313562497176</v>
      </c>
      <c r="F126" s="463">
        <f>TM!D28</f>
        <v>0.13874590837748482</v>
      </c>
      <c r="G126" s="463">
        <f>TM!E28</f>
        <v>0.14003364083470085</v>
      </c>
      <c r="H126" s="463">
        <f>TM!F28</f>
        <v>0.14132137329191688</v>
      </c>
      <c r="I126" s="463">
        <f>TM!G28</f>
        <v>0.14248532196059252</v>
      </c>
      <c r="J126" s="463">
        <f>TM!H28</f>
        <v>0.14364927062926813</v>
      </c>
      <c r="K126" s="463">
        <f>TM!I28</f>
        <v>0.14864407198206478</v>
      </c>
      <c r="L126" s="463">
        <f>TM!J28</f>
        <v>0.1508546047743381</v>
      </c>
      <c r="M126" s="463">
        <f>TM!K28</f>
        <v>0.15306513756661136</v>
      </c>
    </row>
    <row r="127" spans="1:13" x14ac:dyDescent="0.2">
      <c r="A127" s="503" t="s">
        <v>728</v>
      </c>
      <c r="C127" s="310"/>
      <c r="D127" s="310"/>
      <c r="E127" s="310"/>
      <c r="F127" s="310"/>
      <c r="G127" s="310"/>
      <c r="H127" s="310"/>
      <c r="I127" s="310"/>
      <c r="J127" s="310"/>
      <c r="K127" s="310"/>
      <c r="L127" s="310"/>
      <c r="M127" s="310"/>
    </row>
    <row r="128" spans="1:13" x14ac:dyDescent="0.2">
      <c r="A128" s="503" t="s">
        <v>729</v>
      </c>
      <c r="C128" s="310"/>
      <c r="D128" s="310"/>
      <c r="E128" s="310"/>
      <c r="F128" s="310"/>
      <c r="G128" s="310"/>
      <c r="H128" s="310"/>
      <c r="I128" s="310"/>
      <c r="J128" s="310"/>
      <c r="K128" s="310"/>
      <c r="L128" s="310"/>
      <c r="M128" s="310"/>
    </row>
    <row r="129" spans="1:13" x14ac:dyDescent="0.2">
      <c r="A129" s="503" t="s">
        <v>730</v>
      </c>
      <c r="C129" s="310"/>
      <c r="D129" s="310"/>
      <c r="E129" s="310"/>
      <c r="F129" s="310"/>
      <c r="G129" s="310"/>
      <c r="H129" s="310"/>
      <c r="I129" s="310"/>
      <c r="J129" s="310"/>
      <c r="K129" s="310"/>
      <c r="L129" s="310"/>
      <c r="M129" s="310"/>
    </row>
    <row r="130" spans="1:13" x14ac:dyDescent="0.2">
      <c r="B130" s="505" t="s">
        <v>720</v>
      </c>
      <c r="C130" s="507">
        <f>SUM(C122:C126)</f>
        <v>0.49815343929975958</v>
      </c>
      <c r="D130" s="507">
        <f t="shared" ref="D130:M130" si="22">SUM(D122:D126)</f>
        <v>0.49815343929975958</v>
      </c>
      <c r="E130" s="507">
        <f t="shared" si="22"/>
        <v>0.50909164235446069</v>
      </c>
      <c r="F130" s="507">
        <f t="shared" si="22"/>
        <v>0.50912534202945536</v>
      </c>
      <c r="G130" s="507">
        <f t="shared" si="22"/>
        <v>0.51716491749796689</v>
      </c>
      <c r="H130" s="507">
        <f t="shared" si="22"/>
        <v>0.52520449296647842</v>
      </c>
      <c r="I130" s="507">
        <f t="shared" si="22"/>
        <v>0.53128109213658259</v>
      </c>
      <c r="J130" s="507">
        <f t="shared" si="22"/>
        <v>0.53735769130668665</v>
      </c>
      <c r="K130" s="507">
        <f t="shared" si="22"/>
        <v>0.55329628078744353</v>
      </c>
      <c r="L130" s="507">
        <f t="shared" si="22"/>
        <v>0.56243160616554289</v>
      </c>
      <c r="M130" s="507">
        <f t="shared" si="22"/>
        <v>0.57156693154364224</v>
      </c>
    </row>
    <row r="132" spans="1:13" x14ac:dyDescent="0.2">
      <c r="B132" s="505" t="s">
        <v>737</v>
      </c>
      <c r="C132" s="854"/>
      <c r="D132" s="854"/>
      <c r="E132" s="854"/>
      <c r="F132" s="854"/>
      <c r="G132" s="854"/>
      <c r="H132" s="854"/>
      <c r="I132" s="854"/>
      <c r="J132" s="854"/>
      <c r="K132" s="854"/>
      <c r="L132" s="854"/>
      <c r="M132" s="854"/>
    </row>
    <row r="133" spans="1:13" x14ac:dyDescent="0.2">
      <c r="B133" s="506" t="s">
        <v>717</v>
      </c>
      <c r="C133" s="854">
        <v>2005</v>
      </c>
      <c r="D133" s="854">
        <v>2010</v>
      </c>
      <c r="E133" s="854">
        <v>2015</v>
      </c>
      <c r="F133" s="854">
        <v>2020</v>
      </c>
      <c r="G133" s="854">
        <v>2025</v>
      </c>
      <c r="H133" s="854">
        <v>2030</v>
      </c>
      <c r="I133" s="854">
        <v>2035</v>
      </c>
      <c r="J133" s="854">
        <v>2040</v>
      </c>
      <c r="K133" s="854">
        <v>2045</v>
      </c>
      <c r="L133" s="854">
        <v>2050</v>
      </c>
      <c r="M133" s="854">
        <v>2055</v>
      </c>
    </row>
    <row r="134" spans="1:13" x14ac:dyDescent="0.2">
      <c r="A134" s="464" t="s">
        <v>718</v>
      </c>
      <c r="B134" s="506" t="s">
        <v>719</v>
      </c>
      <c r="C134" s="310">
        <f>NYCTranscalc!$E58*NYCTranscalc!C$53</f>
        <v>0</v>
      </c>
      <c r="D134" s="310">
        <f>NYCTranscalc!$E58*NYCTranscalc!D$53</f>
        <v>0</v>
      </c>
      <c r="E134" s="310">
        <f>NYCTranscalc!$E58*NYCTranscalc!E$53</f>
        <v>0</v>
      </c>
      <c r="F134" s="310">
        <f>NYCTranscalc!$E58*NYCTranscalc!F$53</f>
        <v>0</v>
      </c>
      <c r="G134" s="310">
        <f>NYCTranscalc!$E58*NYCTranscalc!G$53</f>
        <v>0</v>
      </c>
      <c r="H134" s="310">
        <f>NYCTranscalc!$E58*NYCTranscalc!H$53</f>
        <v>0</v>
      </c>
      <c r="I134" s="310">
        <f>NYCTranscalc!$E58*NYCTranscalc!I$53</f>
        <v>0</v>
      </c>
      <c r="J134" s="310">
        <f>NYCTranscalc!$E58*NYCTranscalc!J$53</f>
        <v>0</v>
      </c>
      <c r="K134" s="310">
        <f>NYCTranscalc!$E58*NYCTranscalc!K$53</f>
        <v>0</v>
      </c>
      <c r="L134" s="310">
        <f>NYCTranscalc!$E58*NYCTranscalc!L$53</f>
        <v>0</v>
      </c>
      <c r="M134" s="310">
        <f>NYCTranscalc!$E58*NYCTranscalc!M$53</f>
        <v>0</v>
      </c>
    </row>
    <row r="135" spans="1:13" x14ac:dyDescent="0.2">
      <c r="A135" s="464" t="s">
        <v>723</v>
      </c>
      <c r="B135" s="506" t="s">
        <v>523</v>
      </c>
      <c r="C135" s="463">
        <f>D135</f>
        <v>1.3386394102397626E-2</v>
      </c>
      <c r="D135" s="463">
        <f>TSW!C62</f>
        <v>1.3386394102397626E-2</v>
      </c>
      <c r="E135" s="463">
        <f>TSW!D62</f>
        <v>1.3605985314318442E-2</v>
      </c>
      <c r="F135" s="463">
        <f>TSW!E62</f>
        <v>1.4062725840489078E-2</v>
      </c>
      <c r="G135" s="463">
        <f>TSW!F62</f>
        <v>1.4730156525164594E-2</v>
      </c>
      <c r="H135" s="463">
        <f>TSW!G62</f>
        <v>1.5213816410121574E-2</v>
      </c>
      <c r="I135" s="463">
        <f>TSW!H62</f>
        <v>1.5850984552711077E-2</v>
      </c>
      <c r="J135" s="463">
        <f>TSW!I62</f>
        <v>1.6509831336318823E-2</v>
      </c>
      <c r="K135" s="463">
        <f>TSW!J62</f>
        <v>1.7193653387469431E-2</v>
      </c>
      <c r="L135" s="463">
        <f>TSW!K62</f>
        <v>1.7908615145675797E-2</v>
      </c>
      <c r="M135" s="463">
        <f>TSW!L62</f>
        <v>1.8651286146812666E-2</v>
      </c>
    </row>
    <row r="136" spans="1:13" x14ac:dyDescent="0.2">
      <c r="A136" s="503" t="s">
        <v>724</v>
      </c>
      <c r="B136" s="506" t="s">
        <v>524</v>
      </c>
      <c r="C136" s="463">
        <f>D136</f>
        <v>7.0042361553582519E-3</v>
      </c>
      <c r="D136" s="463">
        <f>TSW!C61</f>
        <v>7.0042361553582519E-3</v>
      </c>
      <c r="E136" s="463">
        <f>TSW!D61</f>
        <v>7.3548148719992709E-3</v>
      </c>
      <c r="F136" s="463">
        <f>TSW!E61</f>
        <v>7.6322987735375995E-3</v>
      </c>
      <c r="G136" s="463">
        <f>TSW!F61</f>
        <v>7.9919972314967825E-3</v>
      </c>
      <c r="H136" s="463">
        <f>TSW!G61</f>
        <v>8.3978320958355626E-3</v>
      </c>
      <c r="I136" s="463">
        <f>TSW!H61</f>
        <v>8.6590258154755143E-3</v>
      </c>
      <c r="J136" s="463">
        <f>TSW!I61</f>
        <v>9.0633928943893646E-3</v>
      </c>
      <c r="K136" s="463">
        <f>TSW!J61</f>
        <v>9.4833114591344071E-3</v>
      </c>
      <c r="L136" s="463">
        <f>TSW!K61</f>
        <v>9.9177592833976907E-3</v>
      </c>
      <c r="M136" s="463">
        <f>TSW!L61</f>
        <v>1.0369544500021359E-2</v>
      </c>
    </row>
    <row r="137" spans="1:13" x14ac:dyDescent="0.2">
      <c r="A137" s="503" t="s">
        <v>725</v>
      </c>
      <c r="B137" s="506" t="s">
        <v>525</v>
      </c>
      <c r="C137" s="463">
        <f>D137</f>
        <v>8.6552156844737667E-3</v>
      </c>
      <c r="D137" s="463">
        <f>TSW!C63</f>
        <v>8.6552156844737667E-3</v>
      </c>
      <c r="E137" s="463">
        <f>TSW!D63</f>
        <v>8.4836863746391919E-3</v>
      </c>
      <c r="F137" s="463">
        <f>TSW!E63</f>
        <v>8.9397868000442478E-3</v>
      </c>
      <c r="G137" s="463">
        <f>TSW!F63</f>
        <v>9.1504002760113261E-3</v>
      </c>
      <c r="H137" s="463">
        <f>TSW!G63</f>
        <v>9.488778711224416E-3</v>
      </c>
      <c r="I137" s="463">
        <f>TSW!H63</f>
        <v>9.8051113722280262E-3</v>
      </c>
      <c r="J137" s="463">
        <f>TSW!I63</f>
        <v>1.0130588150424081E-2</v>
      </c>
      <c r="K137" s="463">
        <f>TSW!J63</f>
        <v>1.046799139285229E-2</v>
      </c>
      <c r="L137" s="463">
        <f>TSW!K63</f>
        <v>1.0782354886741268E-2</v>
      </c>
      <c r="M137" s="463">
        <f>TSW!L63</f>
        <v>1.1107394836451994E-2</v>
      </c>
    </row>
    <row r="138" spans="1:13" x14ac:dyDescent="0.2">
      <c r="A138" s="503" t="s">
        <v>726</v>
      </c>
      <c r="B138" s="506" t="s">
        <v>526</v>
      </c>
      <c r="C138" s="463">
        <f>D138</f>
        <v>2.2050744818645162E-3</v>
      </c>
      <c r="D138" s="463">
        <f>TSW!C65</f>
        <v>2.2050744818645162E-3</v>
      </c>
      <c r="E138" s="463">
        <f>TSW!D65</f>
        <v>2.4489080355100681E-3</v>
      </c>
      <c r="F138" s="463">
        <f>TSW!E65</f>
        <v>2.6160934495422935E-3</v>
      </c>
      <c r="G138" s="463">
        <f>TSW!F65</f>
        <v>2.7045464052763298E-3</v>
      </c>
      <c r="H138" s="463">
        <f>TSW!G65</f>
        <v>2.7381736457984872E-3</v>
      </c>
      <c r="I138" s="463">
        <f>TSW!H65</f>
        <v>2.9156225522591938E-3</v>
      </c>
      <c r="J138" s="463">
        <f>TSW!I65</f>
        <v>3.0098503112684668E-3</v>
      </c>
      <c r="K138" s="463">
        <f>TSW!J65</f>
        <v>3.1075148192905404E-3</v>
      </c>
      <c r="L138" s="463">
        <f>TSW!K65</f>
        <v>3.1974358377622578E-3</v>
      </c>
      <c r="M138" s="463">
        <f>TSW!L65</f>
        <v>3.2903520827111707E-3</v>
      </c>
    </row>
    <row r="139" spans="1:13" x14ac:dyDescent="0.2">
      <c r="A139" s="503" t="s">
        <v>727</v>
      </c>
      <c r="B139" s="506" t="s">
        <v>527</v>
      </c>
      <c r="C139" s="463">
        <f>D139</f>
        <v>1.1355356522052331E-2</v>
      </c>
      <c r="D139" s="463">
        <f>TSW!C64</f>
        <v>1.1355356522052331E-2</v>
      </c>
      <c r="E139" s="463">
        <f>TSW!D64</f>
        <v>1.2303808070028037E-2</v>
      </c>
      <c r="F139" s="463">
        <f>TSW!E64</f>
        <v>1.2596628963674351E-2</v>
      </c>
      <c r="G139" s="463">
        <f>TSW!F64</f>
        <v>1.2982388199954243E-2</v>
      </c>
      <c r="H139" s="463">
        <f>TSW!G64</f>
        <v>1.3496767273061525E-2</v>
      </c>
      <c r="I139" s="463">
        <f>TSW!H64</f>
        <v>1.3946814987872109E-2</v>
      </c>
      <c r="J139" s="463">
        <f>TSW!I64</f>
        <v>1.4374875467313497E-2</v>
      </c>
      <c r="K139" s="463">
        <f>TSW!J64</f>
        <v>1.481840226066126E-2</v>
      </c>
      <c r="L139" s="463">
        <f>TSW!K64</f>
        <v>1.5321064061856357E-2</v>
      </c>
      <c r="M139" s="463">
        <f>TSW!L64</f>
        <v>1.5841792228838483E-2</v>
      </c>
    </row>
    <row r="140" spans="1:13" x14ac:dyDescent="0.2">
      <c r="A140" s="503" t="s">
        <v>728</v>
      </c>
      <c r="C140" s="310"/>
      <c r="D140" s="310"/>
      <c r="E140" s="310"/>
      <c r="F140" s="310"/>
      <c r="G140" s="310"/>
      <c r="H140" s="310"/>
      <c r="I140" s="310"/>
      <c r="J140" s="310"/>
      <c r="K140" s="310"/>
      <c r="L140" s="310"/>
      <c r="M140" s="310"/>
    </row>
    <row r="141" spans="1:13" x14ac:dyDescent="0.2">
      <c r="A141" s="503" t="s">
        <v>729</v>
      </c>
      <c r="C141" s="310"/>
      <c r="D141" s="310"/>
      <c r="E141" s="310"/>
      <c r="F141" s="310"/>
      <c r="G141" s="310"/>
      <c r="H141" s="310"/>
      <c r="I141" s="310"/>
      <c r="J141" s="310"/>
      <c r="K141" s="310"/>
      <c r="L141" s="310"/>
      <c r="M141" s="310"/>
    </row>
    <row r="142" spans="1:13" x14ac:dyDescent="0.2">
      <c r="A142" s="503" t="s">
        <v>730</v>
      </c>
      <c r="C142" s="310"/>
      <c r="D142" s="310"/>
      <c r="E142" s="310"/>
      <c r="F142" s="310"/>
      <c r="G142" s="310"/>
      <c r="H142" s="310"/>
      <c r="I142" s="310"/>
      <c r="J142" s="310"/>
      <c r="K142" s="310"/>
      <c r="L142" s="310"/>
      <c r="M142" s="310"/>
    </row>
    <row r="143" spans="1:13" x14ac:dyDescent="0.2">
      <c r="B143" s="505" t="s">
        <v>720</v>
      </c>
      <c r="C143" s="507">
        <f>SUM(C135:C139)</f>
        <v>4.2606276946146493E-2</v>
      </c>
      <c r="D143" s="507">
        <f t="shared" ref="D143:M143" si="23">SUM(D135:D139)</f>
        <v>4.2606276946146493E-2</v>
      </c>
      <c r="E143" s="507">
        <f t="shared" si="23"/>
        <v>4.419720266649501E-2</v>
      </c>
      <c r="F143" s="507">
        <f t="shared" si="23"/>
        <v>4.5847533827287568E-2</v>
      </c>
      <c r="G143" s="507">
        <f t="shared" si="23"/>
        <v>4.7559488637903276E-2</v>
      </c>
      <c r="H143" s="507">
        <f t="shared" si="23"/>
        <v>4.9335368136041564E-2</v>
      </c>
      <c r="I143" s="507">
        <f t="shared" si="23"/>
        <v>5.1177559280545917E-2</v>
      </c>
      <c r="J143" s="507">
        <f t="shared" si="23"/>
        <v>5.3088538159714226E-2</v>
      </c>
      <c r="K143" s="507">
        <f t="shared" si="23"/>
        <v>5.507087331940793E-2</v>
      </c>
      <c r="L143" s="507">
        <f t="shared" si="23"/>
        <v>5.7127229215433374E-2</v>
      </c>
      <c r="M143" s="507">
        <f t="shared" si="23"/>
        <v>5.926036979483567E-2</v>
      </c>
    </row>
  </sheetData>
  <phoneticPr fontId="0" type="noConversion"/>
  <pageMargins left="0.75" right="0.75" top="1" bottom="1" header="0.5" footer="0.5"/>
  <pageSetup orientation="portrait" r:id="rId1"/>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AN419"/>
  <sheetViews>
    <sheetView showFormulas="1" topLeftCell="A6" zoomScaleNormal="100" workbookViewId="0">
      <pane ySplit="2" topLeftCell="A59" activePane="bottomLeft" state="frozen"/>
      <selection activeCell="A6" sqref="A6"/>
      <selection pane="bottomLeft" activeCell="B225" sqref="B225"/>
    </sheetView>
  </sheetViews>
  <sheetFormatPr defaultColWidth="9.140625" defaultRowHeight="11.25" x14ac:dyDescent="0.2"/>
  <cols>
    <col min="1" max="1" width="25.5703125" style="12" customWidth="1"/>
    <col min="2" max="3" width="9.42578125" style="12" bestFit="1" customWidth="1"/>
    <col min="4" max="9" width="11.5703125" style="12" bestFit="1" customWidth="1"/>
    <col min="10" max="13" width="9.42578125" style="12" bestFit="1" customWidth="1"/>
    <col min="14" max="14" width="10.5703125" style="12" customWidth="1"/>
    <col min="15" max="20" width="11.5703125" style="12" bestFit="1" customWidth="1"/>
    <col min="21" max="36" width="9.42578125" style="12" bestFit="1" customWidth="1"/>
    <col min="37" max="16384" width="9.140625" style="12"/>
  </cols>
  <sheetData>
    <row r="1" spans="1:39" x14ac:dyDescent="0.2">
      <c r="A1" s="69"/>
      <c r="B1" s="129" t="s">
        <v>528</v>
      </c>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row>
    <row r="2" spans="1:39" x14ac:dyDescent="0.2">
      <c r="A2" s="12" t="s">
        <v>529</v>
      </c>
      <c r="B2" s="513"/>
      <c r="G2" s="513"/>
      <c r="L2" s="513"/>
      <c r="Q2" s="513"/>
      <c r="V2" s="513"/>
      <c r="AA2" s="513"/>
      <c r="AF2" s="513"/>
    </row>
    <row r="3" spans="1:39" x14ac:dyDescent="0.2">
      <c r="A3" s="111" t="s">
        <v>530</v>
      </c>
      <c r="B3" s="513"/>
      <c r="G3" s="513"/>
      <c r="L3" s="513"/>
      <c r="Q3" s="513"/>
      <c r="V3" s="513"/>
      <c r="AA3" s="513"/>
      <c r="AB3" s="17"/>
      <c r="AF3" s="513"/>
    </row>
    <row r="4" spans="1:39" x14ac:dyDescent="0.2">
      <c r="A4" s="13" t="s">
        <v>531</v>
      </c>
      <c r="B4" s="513"/>
      <c r="G4" s="513"/>
      <c r="L4" s="513"/>
      <c r="Q4" s="513"/>
      <c r="V4" s="513"/>
      <c r="AA4" s="513"/>
      <c r="AB4" s="17"/>
      <c r="AF4" s="513"/>
    </row>
    <row r="5" spans="1:39" x14ac:dyDescent="0.2">
      <c r="A5" s="12" t="s">
        <v>532</v>
      </c>
      <c r="B5" s="513"/>
      <c r="G5" s="513"/>
      <c r="L5" s="513"/>
      <c r="Q5" s="513"/>
      <c r="V5" s="513"/>
      <c r="AA5" s="513"/>
      <c r="AB5" s="17"/>
      <c r="AF5" s="513"/>
    </row>
    <row r="6" spans="1:39" x14ac:dyDescent="0.2">
      <c r="B6" s="12" t="s">
        <v>533</v>
      </c>
      <c r="G6" s="513"/>
      <c r="L6" s="513"/>
      <c r="Q6" s="513"/>
      <c r="V6" s="513"/>
      <c r="AA6" s="513"/>
      <c r="AB6" s="25" t="s">
        <v>534</v>
      </c>
      <c r="AC6" s="25" t="s">
        <v>534</v>
      </c>
      <c r="AD6" s="25" t="s">
        <v>534</v>
      </c>
      <c r="AE6" s="25" t="s">
        <v>534</v>
      </c>
      <c r="AF6" s="60" t="s">
        <v>534</v>
      </c>
      <c r="AG6" s="25" t="s">
        <v>535</v>
      </c>
    </row>
    <row r="7" spans="1:39" x14ac:dyDescent="0.2">
      <c r="B7" s="60" t="s">
        <v>172</v>
      </c>
      <c r="C7" s="25" t="s">
        <v>536</v>
      </c>
      <c r="D7" s="25" t="s">
        <v>537</v>
      </c>
      <c r="E7" s="25" t="s">
        <v>538</v>
      </c>
      <c r="F7" s="25" t="s">
        <v>539</v>
      </c>
      <c r="G7" s="60" t="s">
        <v>173</v>
      </c>
      <c r="H7" s="25" t="s">
        <v>540</v>
      </c>
      <c r="I7" s="25" t="s">
        <v>541</v>
      </c>
      <c r="J7" s="25" t="s">
        <v>542</v>
      </c>
      <c r="K7" s="25" t="s">
        <v>543</v>
      </c>
      <c r="L7" s="60" t="s">
        <v>174</v>
      </c>
      <c r="M7" s="25" t="s">
        <v>544</v>
      </c>
      <c r="N7" s="25" t="s">
        <v>545</v>
      </c>
      <c r="O7" s="25" t="s">
        <v>546</v>
      </c>
      <c r="P7" s="25" t="s">
        <v>547</v>
      </c>
      <c r="Q7" s="60" t="s">
        <v>175</v>
      </c>
      <c r="R7" s="25" t="s">
        <v>548</v>
      </c>
      <c r="S7" s="25" t="s">
        <v>549</v>
      </c>
      <c r="T7" s="25" t="s">
        <v>550</v>
      </c>
      <c r="U7" s="25" t="s">
        <v>551</v>
      </c>
      <c r="V7" s="60" t="s">
        <v>176</v>
      </c>
      <c r="W7" s="25" t="s">
        <v>552</v>
      </c>
      <c r="X7" s="25" t="s">
        <v>553</v>
      </c>
      <c r="Y7" s="25" t="s">
        <v>554</v>
      </c>
      <c r="Z7" s="25" t="s">
        <v>555</v>
      </c>
      <c r="AA7" s="60" t="s">
        <v>177</v>
      </c>
      <c r="AB7" s="13">
        <v>2031</v>
      </c>
      <c r="AC7" s="13">
        <v>2032</v>
      </c>
      <c r="AD7" s="13">
        <v>2033</v>
      </c>
      <c r="AE7" s="13">
        <v>2034</v>
      </c>
      <c r="AF7" s="61">
        <v>2035</v>
      </c>
      <c r="AG7" s="13">
        <v>2035</v>
      </c>
    </row>
    <row r="8" spans="1:39" x14ac:dyDescent="0.2">
      <c r="B8" s="513"/>
      <c r="G8" s="513"/>
      <c r="L8" s="513"/>
      <c r="Q8" s="513"/>
      <c r="V8" s="513"/>
      <c r="AA8" s="513"/>
      <c r="AF8" s="513"/>
    </row>
    <row r="9" spans="1:39" x14ac:dyDescent="0.2">
      <c r="A9" s="13" t="s">
        <v>556</v>
      </c>
      <c r="B9" s="513"/>
      <c r="G9" s="513"/>
      <c r="L9" s="513"/>
      <c r="Q9" s="513"/>
      <c r="V9" s="513"/>
      <c r="AA9" s="513"/>
      <c r="AF9" s="513"/>
    </row>
    <row r="10" spans="1:39" x14ac:dyDescent="0.2">
      <c r="A10" s="111" t="s">
        <v>557</v>
      </c>
      <c r="B10" s="513"/>
      <c r="G10" s="513"/>
      <c r="L10" s="513"/>
      <c r="Q10" s="513"/>
      <c r="V10" s="513"/>
      <c r="AA10" s="513"/>
      <c r="AF10" s="513"/>
    </row>
    <row r="11" spans="1:39" x14ac:dyDescent="0.2">
      <c r="B11" s="513"/>
      <c r="G11" s="513"/>
      <c r="L11" s="513"/>
      <c r="Q11" s="513"/>
      <c r="V11" s="513"/>
      <c r="AA11" s="513"/>
      <c r="AF11" s="513"/>
      <c r="AI11" s="12" t="s">
        <v>558</v>
      </c>
    </row>
    <row r="12" spans="1:39" x14ac:dyDescent="0.2">
      <c r="A12" s="111" t="s">
        <v>559</v>
      </c>
      <c r="B12" s="513"/>
      <c r="G12" s="513"/>
      <c r="L12" s="513"/>
      <c r="Q12" s="513"/>
      <c r="V12" s="513"/>
      <c r="AA12" s="513"/>
      <c r="AF12" s="513"/>
    </row>
    <row r="13" spans="1:39" x14ac:dyDescent="0.2">
      <c r="A13" s="111" t="s">
        <v>560</v>
      </c>
      <c r="B13" s="513"/>
      <c r="G13" s="513"/>
      <c r="L13" s="513"/>
      <c r="Q13" s="513"/>
      <c r="V13" s="513"/>
      <c r="AA13" s="513"/>
      <c r="AF13" s="513"/>
      <c r="AI13" s="12">
        <v>2010</v>
      </c>
      <c r="AJ13" s="12">
        <v>2035</v>
      </c>
    </row>
    <row r="14" spans="1:39" x14ac:dyDescent="0.2">
      <c r="A14" s="111" t="s">
        <v>561</v>
      </c>
      <c r="B14" s="639">
        <v>34.663028717041001</v>
      </c>
      <c r="C14" s="133">
        <v>34.960433959960902</v>
      </c>
      <c r="D14" s="53">
        <v>39.681533999999999</v>
      </c>
      <c r="E14" s="53">
        <v>37.897689999999997</v>
      </c>
      <c r="F14" s="53">
        <v>40.569000000000003</v>
      </c>
      <c r="G14" s="640">
        <v>41.288643</v>
      </c>
      <c r="H14" s="53">
        <v>44.353400999999998</v>
      </c>
      <c r="I14" s="53">
        <v>45.805466000000003</v>
      </c>
      <c r="J14" s="53">
        <v>48.473838999999998</v>
      </c>
      <c r="K14" s="53">
        <v>51.497574</v>
      </c>
      <c r="L14" s="640">
        <v>53.835396000000003</v>
      </c>
      <c r="M14" s="53">
        <v>55.801968000000002</v>
      </c>
      <c r="N14" s="53">
        <v>57.315781000000001</v>
      </c>
      <c r="O14" s="53">
        <v>58.234673000000001</v>
      </c>
      <c r="P14" s="53">
        <v>59.324806000000002</v>
      </c>
      <c r="Q14" s="640">
        <v>60.412047999999999</v>
      </c>
      <c r="R14" s="53">
        <v>61.716071999999997</v>
      </c>
      <c r="S14" s="53">
        <v>63.278354999999998</v>
      </c>
      <c r="T14" s="53">
        <v>64.195815999999994</v>
      </c>
      <c r="U14" s="53">
        <v>64.657852000000005</v>
      </c>
      <c r="V14" s="640">
        <v>65.249808999999999</v>
      </c>
      <c r="W14" s="53">
        <v>65.877380000000002</v>
      </c>
      <c r="X14" s="53">
        <v>66.423644999999993</v>
      </c>
      <c r="Y14" s="53">
        <v>66.859650000000002</v>
      </c>
      <c r="Z14" s="53">
        <v>67.260185000000007</v>
      </c>
      <c r="AA14" s="640">
        <v>67.745688999999999</v>
      </c>
      <c r="AB14" s="53">
        <v>68.260002</v>
      </c>
      <c r="AC14" s="53">
        <v>68.633087000000003</v>
      </c>
      <c r="AD14" s="53">
        <v>69.192543000000001</v>
      </c>
      <c r="AE14" s="53">
        <v>69.744438000000002</v>
      </c>
      <c r="AF14" s="640">
        <v>70.193969999999993</v>
      </c>
      <c r="AG14" s="641">
        <v>2.1454000000000001E-2</v>
      </c>
      <c r="AI14" s="27">
        <f>G14/G$18</f>
        <v>0.69905270927382568</v>
      </c>
      <c r="AJ14" s="27">
        <f>AF14/AF$18</f>
        <v>0.76369066569834254</v>
      </c>
      <c r="AK14" s="111" t="s">
        <v>561</v>
      </c>
    </row>
    <row r="15" spans="1:39" x14ac:dyDescent="0.2">
      <c r="A15" s="111" t="s">
        <v>562</v>
      </c>
      <c r="B15" s="639">
        <v>14.1160936355591</v>
      </c>
      <c r="C15" s="133">
        <v>13.649705886840801</v>
      </c>
      <c r="D15" s="53">
        <v>15.783099999999999</v>
      </c>
      <c r="E15" s="53">
        <v>15.796631</v>
      </c>
      <c r="F15" s="53">
        <v>19.966571999999999</v>
      </c>
      <c r="G15" s="640">
        <v>16.918002999999999</v>
      </c>
      <c r="H15" s="53">
        <v>17.834551000000001</v>
      </c>
      <c r="I15" s="53">
        <v>17.951343999999999</v>
      </c>
      <c r="J15" s="53">
        <v>18.518692000000001</v>
      </c>
      <c r="K15" s="53">
        <v>19.081634999999999</v>
      </c>
      <c r="L15" s="640">
        <v>19.315619000000002</v>
      </c>
      <c r="M15" s="53">
        <v>19.436008000000001</v>
      </c>
      <c r="N15" s="53">
        <v>19.447486999999999</v>
      </c>
      <c r="O15" s="53">
        <v>19.288515</v>
      </c>
      <c r="P15" s="53">
        <v>19.208214000000002</v>
      </c>
      <c r="Q15" s="640">
        <v>19.172118999999999</v>
      </c>
      <c r="R15" s="53">
        <v>19.224976000000002</v>
      </c>
      <c r="S15" s="53">
        <v>19.361560999999998</v>
      </c>
      <c r="T15" s="53">
        <v>19.296471</v>
      </c>
      <c r="U15" s="53">
        <v>19.121970999999998</v>
      </c>
      <c r="V15" s="640">
        <v>19.025997</v>
      </c>
      <c r="W15" s="53">
        <v>18.952034000000001</v>
      </c>
      <c r="X15" s="53">
        <v>18.876987</v>
      </c>
      <c r="Y15" s="53">
        <v>18.795649000000001</v>
      </c>
      <c r="Z15" s="53">
        <v>18.740780000000001</v>
      </c>
      <c r="AA15" s="640">
        <v>18.716656</v>
      </c>
      <c r="AB15" s="53">
        <v>18.723572000000001</v>
      </c>
      <c r="AC15" s="53">
        <v>18.715553</v>
      </c>
      <c r="AD15" s="53">
        <v>18.755732999999999</v>
      </c>
      <c r="AE15" s="53">
        <v>18.791843</v>
      </c>
      <c r="AF15" s="640">
        <v>18.821131000000001</v>
      </c>
      <c r="AG15" s="641">
        <v>4.2729999999999999E-3</v>
      </c>
      <c r="AI15" s="27">
        <f>G15/G$18</f>
        <v>0.28643653492445148</v>
      </c>
      <c r="AJ15" s="27">
        <f>AF15/AF$18</f>
        <v>0.20476861563159504</v>
      </c>
      <c r="AK15" s="111" t="s">
        <v>562</v>
      </c>
    </row>
    <row r="16" spans="1:39" x14ac:dyDescent="0.2">
      <c r="A16" s="111" t="s">
        <v>563</v>
      </c>
      <c r="B16" s="639">
        <v>0.35084646940231301</v>
      </c>
      <c r="C16" s="133">
        <v>0.367501080036163</v>
      </c>
      <c r="D16" s="53">
        <v>0.340947</v>
      </c>
      <c r="E16" s="53">
        <v>0.31032900000000002</v>
      </c>
      <c r="F16" s="53">
        <v>0.48998599999999998</v>
      </c>
      <c r="G16" s="640">
        <v>0.40219700000000003</v>
      </c>
      <c r="H16" s="53">
        <v>0.417491</v>
      </c>
      <c r="I16" s="53">
        <v>0.41837600000000003</v>
      </c>
      <c r="J16" s="53">
        <v>0.44021100000000002</v>
      </c>
      <c r="K16" s="53">
        <v>0.46605600000000003</v>
      </c>
      <c r="L16" s="640">
        <v>0.48468800000000001</v>
      </c>
      <c r="M16" s="53">
        <v>0.50787899999999997</v>
      </c>
      <c r="N16" s="53">
        <v>0.53335399999999999</v>
      </c>
      <c r="O16" s="53">
        <v>0.55982299999999996</v>
      </c>
      <c r="P16" s="53">
        <v>0.59242099999999998</v>
      </c>
      <c r="Q16" s="640">
        <v>0.629776</v>
      </c>
      <c r="R16" s="53">
        <v>0.67264199999999996</v>
      </c>
      <c r="S16" s="53">
        <v>0.72144799999999998</v>
      </c>
      <c r="T16" s="53">
        <v>0.76392899999999997</v>
      </c>
      <c r="U16" s="53">
        <v>0.80128900000000003</v>
      </c>
      <c r="V16" s="640">
        <v>0.84243500000000004</v>
      </c>
      <c r="W16" s="53">
        <v>0.88694799999999996</v>
      </c>
      <c r="X16" s="53">
        <v>0.93302200000000002</v>
      </c>
      <c r="Y16" s="53">
        <v>0.97960999999999998</v>
      </c>
      <c r="Z16" s="53">
        <v>1.02545</v>
      </c>
      <c r="AA16" s="640">
        <v>1.0716570000000001</v>
      </c>
      <c r="AB16" s="53">
        <v>1.1166290000000001</v>
      </c>
      <c r="AC16" s="53">
        <v>1.157524</v>
      </c>
      <c r="AD16" s="53">
        <v>1.1983239999999999</v>
      </c>
      <c r="AE16" s="53">
        <v>1.2340370000000001</v>
      </c>
      <c r="AF16" s="640">
        <v>1.263336</v>
      </c>
      <c r="AG16" s="641">
        <v>4.6847E-2</v>
      </c>
      <c r="AI16" s="27">
        <f>G16/G$18</f>
        <v>6.8095457269400899E-3</v>
      </c>
      <c r="AJ16" s="27">
        <f>AF16/AF$18</f>
        <v>1.3744740621461948E-2</v>
      </c>
      <c r="AK16" s="111" t="s">
        <v>563</v>
      </c>
    </row>
    <row r="17" spans="1:40" x14ac:dyDescent="0.2">
      <c r="A17" s="111" t="s">
        <v>564</v>
      </c>
      <c r="B17" s="639">
        <v>0.25121560692787198</v>
      </c>
      <c r="C17" s="133">
        <v>0.32437503337860102</v>
      </c>
      <c r="D17" s="53">
        <v>0.32399299999999998</v>
      </c>
      <c r="E17" s="53">
        <v>0.30029299999999998</v>
      </c>
      <c r="F17" s="53">
        <v>0.576098</v>
      </c>
      <c r="G17" s="640">
        <v>0.454878</v>
      </c>
      <c r="H17" s="53">
        <v>0.431425</v>
      </c>
      <c r="I17" s="53">
        <v>0.40191199999999999</v>
      </c>
      <c r="J17" s="53">
        <v>0.39066499999999998</v>
      </c>
      <c r="K17" s="53">
        <v>0.38464500000000001</v>
      </c>
      <c r="L17" s="640">
        <v>0.37958799999999998</v>
      </c>
      <c r="M17" s="53">
        <v>0.38075999999999999</v>
      </c>
      <c r="N17" s="53">
        <v>0.38741500000000001</v>
      </c>
      <c r="O17" s="53">
        <v>0.428647</v>
      </c>
      <c r="P17" s="53">
        <v>0.48207</v>
      </c>
      <c r="Q17" s="640">
        <v>0.54332499999999995</v>
      </c>
      <c r="R17" s="53">
        <v>0.61339900000000003</v>
      </c>
      <c r="S17" s="53">
        <v>0.69206699999999999</v>
      </c>
      <c r="T17" s="53">
        <v>0.76492400000000005</v>
      </c>
      <c r="U17" s="53">
        <v>0.83102600000000004</v>
      </c>
      <c r="V17" s="640">
        <v>0.89720299999999997</v>
      </c>
      <c r="W17" s="53">
        <v>0.961924</v>
      </c>
      <c r="X17" s="53">
        <v>1.022416</v>
      </c>
      <c r="Y17" s="53">
        <v>1.0776319999999999</v>
      </c>
      <c r="Z17" s="53">
        <v>1.1279269999999999</v>
      </c>
      <c r="AA17" s="640">
        <v>1.229806</v>
      </c>
      <c r="AB17" s="53">
        <v>1.3278829999999999</v>
      </c>
      <c r="AC17" s="53">
        <v>1.4157310000000001</v>
      </c>
      <c r="AD17" s="53">
        <v>1.4992620000000001</v>
      </c>
      <c r="AE17" s="53">
        <v>1.57267</v>
      </c>
      <c r="AF17" s="640">
        <v>1.6356599999999999</v>
      </c>
      <c r="AG17" s="641">
        <v>5.2524000000000001E-2</v>
      </c>
      <c r="AI17" s="27">
        <f>G17/G$18</f>
        <v>7.7014809687269026E-3</v>
      </c>
      <c r="AJ17" s="27">
        <f>AF17/AF$18</f>
        <v>1.7795521100404367E-2</v>
      </c>
      <c r="AK17" s="111" t="s">
        <v>564</v>
      </c>
    </row>
    <row r="18" spans="1:40" x14ac:dyDescent="0.2">
      <c r="A18" s="111" t="s">
        <v>565</v>
      </c>
      <c r="B18" s="639">
        <v>49.381179809570298</v>
      </c>
      <c r="C18" s="133">
        <v>49.302024841308601</v>
      </c>
      <c r="D18" s="53">
        <v>56.129570000000001</v>
      </c>
      <c r="E18" s="53">
        <v>54.304946999999999</v>
      </c>
      <c r="F18" s="53">
        <v>61.601677000000002</v>
      </c>
      <c r="G18" s="640">
        <v>59.063704999999999</v>
      </c>
      <c r="H18" s="53">
        <v>63.036864999999999</v>
      </c>
      <c r="I18" s="53">
        <v>64.577110000000005</v>
      </c>
      <c r="J18" s="53">
        <v>67.823402000000002</v>
      </c>
      <c r="K18" s="53">
        <v>71.429931999999994</v>
      </c>
      <c r="L18" s="640">
        <v>74.015288999999996</v>
      </c>
      <c r="M18" s="53">
        <v>76.126609999999999</v>
      </c>
      <c r="N18" s="53">
        <v>77.684005999999997</v>
      </c>
      <c r="O18" s="53">
        <v>78.511657999999997</v>
      </c>
      <c r="P18" s="53">
        <v>79.607483000000002</v>
      </c>
      <c r="Q18" s="640">
        <v>80.757277999999999</v>
      </c>
      <c r="R18" s="53">
        <v>82.227097000000001</v>
      </c>
      <c r="S18" s="53">
        <v>84.053382999999997</v>
      </c>
      <c r="T18" s="53">
        <v>85.021148999999994</v>
      </c>
      <c r="U18" s="53">
        <v>85.412139999999994</v>
      </c>
      <c r="V18" s="640">
        <v>86.015427000000003</v>
      </c>
      <c r="W18" s="53">
        <v>86.678284000000005</v>
      </c>
      <c r="X18" s="53">
        <v>87.256073000000001</v>
      </c>
      <c r="Y18" s="53">
        <v>87.712554999999995</v>
      </c>
      <c r="Z18" s="53">
        <v>88.154358000000002</v>
      </c>
      <c r="AA18" s="640">
        <v>88.763779</v>
      </c>
      <c r="AB18" s="53">
        <v>89.428100999999998</v>
      </c>
      <c r="AC18" s="53">
        <v>89.921913000000004</v>
      </c>
      <c r="AD18" s="53">
        <v>90.645859000000002</v>
      </c>
      <c r="AE18" s="53">
        <v>91.342995000000002</v>
      </c>
      <c r="AF18" s="640">
        <v>91.914139000000006</v>
      </c>
      <c r="AG18" s="641">
        <v>1.7846999999999998E-2</v>
      </c>
    </row>
    <row r="19" spans="1:40" x14ac:dyDescent="0.2">
      <c r="A19" s="111" t="s">
        <v>566</v>
      </c>
      <c r="B19" s="513"/>
      <c r="G19" s="513"/>
      <c r="L19" s="513"/>
      <c r="Q19" s="513"/>
      <c r="V19" s="513"/>
      <c r="AA19" s="513"/>
      <c r="AF19" s="513"/>
      <c r="AI19" s="12">
        <v>2010</v>
      </c>
      <c r="AJ19" s="12">
        <v>2035</v>
      </c>
    </row>
    <row r="20" spans="1:40" x14ac:dyDescent="0.2">
      <c r="A20" s="111" t="s">
        <v>561</v>
      </c>
      <c r="B20" s="639">
        <v>176.78933715820301</v>
      </c>
      <c r="C20" s="133">
        <v>183.60368347168</v>
      </c>
      <c r="D20" s="53">
        <v>177.66456600000001</v>
      </c>
      <c r="E20" s="53">
        <v>166.054123</v>
      </c>
      <c r="F20" s="53">
        <v>172.040222</v>
      </c>
      <c r="G20" s="640">
        <v>169.428787</v>
      </c>
      <c r="H20" s="53">
        <v>172.95489499999999</v>
      </c>
      <c r="I20" s="53">
        <v>173.84170499999999</v>
      </c>
      <c r="J20" s="53">
        <v>179.80900600000001</v>
      </c>
      <c r="K20" s="53">
        <v>188.03845200000001</v>
      </c>
      <c r="L20" s="640">
        <v>194.69035299999999</v>
      </c>
      <c r="M20" s="53">
        <v>200.12217699999999</v>
      </c>
      <c r="N20" s="53">
        <v>203.98966999999999</v>
      </c>
      <c r="O20" s="53">
        <v>206.226181</v>
      </c>
      <c r="P20" s="53">
        <v>209.057312</v>
      </c>
      <c r="Q20" s="640">
        <v>211.45517000000001</v>
      </c>
      <c r="R20" s="53">
        <v>214.38797</v>
      </c>
      <c r="S20" s="53">
        <v>218.63294999999999</v>
      </c>
      <c r="T20" s="53">
        <v>221.66980000000001</v>
      </c>
      <c r="U20" s="53">
        <v>223.79960600000001</v>
      </c>
      <c r="V20" s="640">
        <v>226.495667</v>
      </c>
      <c r="W20" s="53">
        <v>229.15974399999999</v>
      </c>
      <c r="X20" s="53">
        <v>231.37887599999999</v>
      </c>
      <c r="Y20" s="53">
        <v>233.061035</v>
      </c>
      <c r="Z20" s="53">
        <v>234.4879</v>
      </c>
      <c r="AA20" s="640">
        <v>236.39494300000001</v>
      </c>
      <c r="AB20" s="53">
        <v>238.288025</v>
      </c>
      <c r="AC20" s="53">
        <v>239.852081</v>
      </c>
      <c r="AD20" s="53">
        <v>242.26164199999999</v>
      </c>
      <c r="AE20" s="53">
        <v>245.065338</v>
      </c>
      <c r="AF20" s="640">
        <v>247.798462</v>
      </c>
      <c r="AG20" s="641">
        <v>1.5324000000000001E-2</v>
      </c>
      <c r="AI20" s="27" t="e">
        <f>(G20-#REF!)/G$24</f>
        <v>#REF!</v>
      </c>
      <c r="AJ20" s="27" t="e">
        <f>(AF20-#REF!)/AF$24</f>
        <v>#REF!</v>
      </c>
      <c r="AK20" s="111" t="s">
        <v>561</v>
      </c>
      <c r="AN20" s="27"/>
    </row>
    <row r="21" spans="1:40" x14ac:dyDescent="0.2">
      <c r="A21" s="111" t="s">
        <v>562</v>
      </c>
      <c r="B21" s="639">
        <v>1.80298852920532</v>
      </c>
      <c r="C21" s="133">
        <v>1.8428202867507899</v>
      </c>
      <c r="D21" s="53">
        <v>6.49458</v>
      </c>
      <c r="E21" s="53">
        <v>6.3707969999999996</v>
      </c>
      <c r="F21" s="53">
        <v>5.8514090000000003</v>
      </c>
      <c r="G21" s="640">
        <v>4.5641489999999996</v>
      </c>
      <c r="H21" s="53">
        <v>4.5015320000000001</v>
      </c>
      <c r="I21" s="53">
        <v>4.2701950000000002</v>
      </c>
      <c r="J21" s="53">
        <v>4.141235</v>
      </c>
      <c r="K21" s="53">
        <v>4.0204000000000004</v>
      </c>
      <c r="L21" s="640">
        <v>3.8615740000000001</v>
      </c>
      <c r="M21" s="53">
        <v>3.7112069999999999</v>
      </c>
      <c r="N21" s="53">
        <v>3.5850919999999999</v>
      </c>
      <c r="O21" s="53">
        <v>3.4758499999999999</v>
      </c>
      <c r="P21" s="53">
        <v>3.4217659999999999</v>
      </c>
      <c r="Q21" s="640">
        <v>3.3917980000000001</v>
      </c>
      <c r="R21" s="53">
        <v>3.400887</v>
      </c>
      <c r="S21" s="53">
        <v>3.4470260000000001</v>
      </c>
      <c r="T21" s="53">
        <v>3.4669379999999999</v>
      </c>
      <c r="U21" s="53">
        <v>3.4655659999999999</v>
      </c>
      <c r="V21" s="640">
        <v>3.4833539999999998</v>
      </c>
      <c r="W21" s="53">
        <v>3.5106389999999998</v>
      </c>
      <c r="X21" s="53">
        <v>3.520416</v>
      </c>
      <c r="Y21" s="53">
        <v>3.5244879999999998</v>
      </c>
      <c r="Z21" s="53">
        <v>3.5276360000000002</v>
      </c>
      <c r="AA21" s="640">
        <v>3.5373649999999999</v>
      </c>
      <c r="AB21" s="53">
        <v>3.5356350000000001</v>
      </c>
      <c r="AC21" s="53">
        <v>3.536368</v>
      </c>
      <c r="AD21" s="53">
        <v>3.5490849999999998</v>
      </c>
      <c r="AE21" s="53">
        <v>3.560289</v>
      </c>
      <c r="AF21" s="640">
        <v>3.5664319999999998</v>
      </c>
      <c r="AG21" s="641">
        <v>-9.8180000000000003E-3</v>
      </c>
      <c r="AI21" s="27">
        <f>G21/G$24</f>
        <v>2.6124388244067931E-2</v>
      </c>
      <c r="AJ21" s="27">
        <f>AF21/AF$24</f>
        <v>1.4078889701601312E-2</v>
      </c>
      <c r="AK21" s="111" t="s">
        <v>562</v>
      </c>
      <c r="AN21" s="27"/>
    </row>
    <row r="22" spans="1:40" x14ac:dyDescent="0.2">
      <c r="A22" s="111" t="s">
        <v>563</v>
      </c>
      <c r="B22" s="639">
        <v>0.17936179041862499</v>
      </c>
      <c r="C22" s="133">
        <v>0.20611794292926799</v>
      </c>
      <c r="D22" s="53">
        <v>0.705426</v>
      </c>
      <c r="E22" s="53">
        <v>0.58397399999999999</v>
      </c>
      <c r="F22" s="53">
        <v>0.82510399999999995</v>
      </c>
      <c r="G22" s="640">
        <v>0.62343199999999999</v>
      </c>
      <c r="H22" s="53">
        <v>0.58957599999999999</v>
      </c>
      <c r="I22" s="53">
        <v>0.534744</v>
      </c>
      <c r="J22" s="53">
        <v>0.50366100000000003</v>
      </c>
      <c r="K22" s="53">
        <v>0.47417399999999998</v>
      </c>
      <c r="L22" s="640">
        <v>0.44156899999999999</v>
      </c>
      <c r="M22" s="53">
        <v>0.41182299999999999</v>
      </c>
      <c r="N22" s="53">
        <v>0.38524900000000001</v>
      </c>
      <c r="O22" s="53">
        <v>0.359462</v>
      </c>
      <c r="P22" s="53">
        <v>0.33876499999999998</v>
      </c>
      <c r="Q22" s="640">
        <v>0.322577</v>
      </c>
      <c r="R22" s="53">
        <v>0.31470100000000001</v>
      </c>
      <c r="S22" s="53">
        <v>0.31552200000000002</v>
      </c>
      <c r="T22" s="53">
        <v>0.31085000000000002</v>
      </c>
      <c r="U22" s="53">
        <v>0.30618499999999998</v>
      </c>
      <c r="V22" s="640">
        <v>0.305894</v>
      </c>
      <c r="W22" s="53">
        <v>0.31117600000000001</v>
      </c>
      <c r="X22" s="53">
        <v>0.31305500000000003</v>
      </c>
      <c r="Y22" s="53">
        <v>0.31421100000000002</v>
      </c>
      <c r="Z22" s="53">
        <v>0.316139</v>
      </c>
      <c r="AA22" s="640">
        <v>0.31824400000000003</v>
      </c>
      <c r="AB22" s="53">
        <v>0.321855</v>
      </c>
      <c r="AC22" s="53">
        <v>0.32464199999999999</v>
      </c>
      <c r="AD22" s="53">
        <v>0.32847799999999999</v>
      </c>
      <c r="AE22" s="53">
        <v>0.33174700000000001</v>
      </c>
      <c r="AF22" s="640">
        <v>0.334476</v>
      </c>
      <c r="AG22" s="641">
        <v>-2.4598999999999999E-2</v>
      </c>
      <c r="AI22" s="27">
        <f>G22/G$24</f>
        <v>3.5684154070727662E-3</v>
      </c>
      <c r="AJ22" s="27">
        <f>AF22/AF$24</f>
        <v>1.3203814657990957E-3</v>
      </c>
      <c r="AK22" s="111" t="s">
        <v>563</v>
      </c>
      <c r="AN22" s="27"/>
    </row>
    <row r="23" spans="1:40" x14ac:dyDescent="0.2">
      <c r="A23" s="111" t="s">
        <v>564</v>
      </c>
      <c r="B23" s="639">
        <v>0.23658041656017301</v>
      </c>
      <c r="C23" s="133">
        <v>0.31865936517715499</v>
      </c>
      <c r="D23" s="53">
        <v>6.7993999999999999E-2</v>
      </c>
      <c r="E23" s="53">
        <v>8.7350999999999998E-2</v>
      </c>
      <c r="F23" s="53">
        <v>0.101836</v>
      </c>
      <c r="G23" s="640">
        <v>9.2052999999999996E-2</v>
      </c>
      <c r="H23" s="53">
        <v>0.114277</v>
      </c>
      <c r="I23" s="53">
        <v>0.140463</v>
      </c>
      <c r="J23" s="53">
        <v>0.23663200000000001</v>
      </c>
      <c r="K23" s="53">
        <v>0.29417399999999999</v>
      </c>
      <c r="L23" s="640">
        <v>0.35567599999999999</v>
      </c>
      <c r="M23" s="53">
        <v>0.418568</v>
      </c>
      <c r="N23" s="53">
        <v>0.48046</v>
      </c>
      <c r="O23" s="53">
        <v>0.54323699999999997</v>
      </c>
      <c r="P23" s="53">
        <v>0.61316499999999996</v>
      </c>
      <c r="Q23" s="640">
        <v>0.68588899999999997</v>
      </c>
      <c r="R23" s="53">
        <v>0.76490499999999995</v>
      </c>
      <c r="S23" s="53">
        <v>0.853244</v>
      </c>
      <c r="T23" s="53">
        <v>0.93850699999999998</v>
      </c>
      <c r="U23" s="53">
        <v>1.0161979999999999</v>
      </c>
      <c r="V23" s="640">
        <v>1.090838</v>
      </c>
      <c r="W23" s="53">
        <v>1.1610549999999999</v>
      </c>
      <c r="X23" s="53">
        <v>1.2256720000000001</v>
      </c>
      <c r="Y23" s="53">
        <v>1.283606</v>
      </c>
      <c r="Z23" s="53">
        <v>1.336735</v>
      </c>
      <c r="AA23" s="640">
        <v>1.3887229999999999</v>
      </c>
      <c r="AB23" s="53">
        <v>1.438493</v>
      </c>
      <c r="AC23" s="53">
        <v>1.4840260000000001</v>
      </c>
      <c r="AD23" s="53">
        <v>1.531819</v>
      </c>
      <c r="AE23" s="53">
        <v>1.5777410000000001</v>
      </c>
      <c r="AF23" s="640">
        <v>1.618366</v>
      </c>
      <c r="AG23" s="641">
        <v>0.121506</v>
      </c>
      <c r="AI23" s="27">
        <f>G23/G$24</f>
        <v>5.2689522428632052E-4</v>
      </c>
      <c r="AJ23" s="27">
        <f>AF23/AF$24</f>
        <v>6.388681015317749E-3</v>
      </c>
      <c r="AK23" s="111" t="s">
        <v>564</v>
      </c>
      <c r="AN23" s="27"/>
    </row>
    <row r="24" spans="1:40" x14ac:dyDescent="0.2">
      <c r="A24" s="111" t="s">
        <v>567</v>
      </c>
      <c r="B24" s="639">
        <v>179.00827026367199</v>
      </c>
      <c r="C24" s="133">
        <v>185.97129821777301</v>
      </c>
      <c r="D24" s="53">
        <v>184.932526</v>
      </c>
      <c r="E24" s="53">
        <v>173.09625199999999</v>
      </c>
      <c r="F24" s="53">
        <v>178.81852699999999</v>
      </c>
      <c r="G24" s="640">
        <v>174.708359</v>
      </c>
      <c r="H24" s="53">
        <v>178.16021699999999</v>
      </c>
      <c r="I24" s="53">
        <v>178.787094</v>
      </c>
      <c r="J24" s="53">
        <v>184.690552</v>
      </c>
      <c r="K24" s="53">
        <v>192.82704200000001</v>
      </c>
      <c r="L24" s="640">
        <v>199.34922800000001</v>
      </c>
      <c r="M24" s="53">
        <v>204.66377299999999</v>
      </c>
      <c r="N24" s="53">
        <v>208.44042999999999</v>
      </c>
      <c r="O24" s="53">
        <v>210.604736</v>
      </c>
      <c r="P24" s="53">
        <v>213.430969</v>
      </c>
      <c r="Q24" s="640">
        <v>215.855301</v>
      </c>
      <c r="R24" s="53">
        <v>218.868469</v>
      </c>
      <c r="S24" s="53">
        <v>223.24870300000001</v>
      </c>
      <c r="T24" s="53">
        <v>226.386124</v>
      </c>
      <c r="U24" s="53">
        <v>228.58753999999999</v>
      </c>
      <c r="V24" s="640">
        <v>231.375687</v>
      </c>
      <c r="W24" s="53">
        <v>234.14269999999999</v>
      </c>
      <c r="X24" s="53">
        <v>236.43808000000001</v>
      </c>
      <c r="Y24" s="53">
        <v>238.183289</v>
      </c>
      <c r="Z24" s="53">
        <v>239.66842700000001</v>
      </c>
      <c r="AA24" s="640">
        <v>241.63931299999999</v>
      </c>
      <c r="AB24" s="53">
        <v>243.58393899999999</v>
      </c>
      <c r="AC24" s="53">
        <v>245.19697600000001</v>
      </c>
      <c r="AD24" s="53">
        <v>247.67103599999999</v>
      </c>
      <c r="AE24" s="53">
        <v>250.53512599999999</v>
      </c>
      <c r="AF24" s="640">
        <v>253.31770299999999</v>
      </c>
      <c r="AG24" s="641">
        <v>1.4971999999999999E-2</v>
      </c>
      <c r="AI24" s="53"/>
    </row>
    <row r="25" spans="1:40" x14ac:dyDescent="0.2">
      <c r="A25" s="111" t="s">
        <v>568</v>
      </c>
      <c r="B25" s="639">
        <v>228.38946533203099</v>
      </c>
      <c r="C25" s="133">
        <v>235.27334594726599</v>
      </c>
      <c r="D25" s="53">
        <v>241.062164</v>
      </c>
      <c r="E25" s="53">
        <v>227.40121500000001</v>
      </c>
      <c r="F25" s="53">
        <v>240.42022700000001</v>
      </c>
      <c r="G25" s="640">
        <v>233.77207899999999</v>
      </c>
      <c r="H25" s="53">
        <v>241.19708299999999</v>
      </c>
      <c r="I25" s="53">
        <v>243.36421200000001</v>
      </c>
      <c r="J25" s="53">
        <v>252.51397700000001</v>
      </c>
      <c r="K25" s="53">
        <v>264.25711100000001</v>
      </c>
      <c r="L25" s="640">
        <v>273.36447099999998</v>
      </c>
      <c r="M25" s="53">
        <v>280.790527</v>
      </c>
      <c r="N25" s="53">
        <v>286.12435900000003</v>
      </c>
      <c r="O25" s="53">
        <v>289.11648600000001</v>
      </c>
      <c r="P25" s="53">
        <v>293.038208</v>
      </c>
      <c r="Q25" s="640">
        <v>296.61282299999999</v>
      </c>
      <c r="R25" s="53">
        <v>301.09570300000001</v>
      </c>
      <c r="S25" s="53">
        <v>307.30230699999998</v>
      </c>
      <c r="T25" s="53">
        <v>311.40713499999998</v>
      </c>
      <c r="U25" s="53">
        <v>313.99951199999998</v>
      </c>
      <c r="V25" s="640">
        <v>317.39135700000003</v>
      </c>
      <c r="W25" s="53">
        <v>320.82074</v>
      </c>
      <c r="X25" s="53">
        <v>323.69369499999999</v>
      </c>
      <c r="Y25" s="53">
        <v>325.89599600000003</v>
      </c>
      <c r="Z25" s="53">
        <v>327.82290599999999</v>
      </c>
      <c r="AA25" s="640">
        <v>330.40283199999999</v>
      </c>
      <c r="AB25" s="53">
        <v>333.01217700000001</v>
      </c>
      <c r="AC25" s="53">
        <v>335.11914100000001</v>
      </c>
      <c r="AD25" s="53">
        <v>338.31707799999998</v>
      </c>
      <c r="AE25" s="53">
        <v>341.87820399999998</v>
      </c>
      <c r="AF25" s="640">
        <v>345.231537</v>
      </c>
      <c r="AG25" s="641">
        <v>1.5716999999999998E-2</v>
      </c>
    </row>
    <row r="26" spans="1:40" x14ac:dyDescent="0.2">
      <c r="B26" s="513">
        <f>B14/B20</f>
        <v>0.19606967973426015</v>
      </c>
      <c r="C26" s="12">
        <f>C14/C20</f>
        <v>0.19041248682439088</v>
      </c>
      <c r="D26" s="12">
        <f>D14/D20</f>
        <v>0.22335086220850586</v>
      </c>
      <c r="E26" s="12">
        <f>E14/E20</f>
        <v>0.22822492639944866</v>
      </c>
      <c r="G26" s="513"/>
      <c r="L26" s="513"/>
      <c r="Q26" s="513"/>
      <c r="V26" s="513"/>
      <c r="AA26" s="513"/>
      <c r="AF26" s="513"/>
    </row>
    <row r="27" spans="1:40" x14ac:dyDescent="0.2">
      <c r="A27" s="111" t="s">
        <v>569</v>
      </c>
      <c r="B27" s="513"/>
      <c r="G27" s="513"/>
      <c r="L27" s="513"/>
      <c r="Q27" s="513"/>
      <c r="V27" s="513"/>
      <c r="AA27" s="513"/>
      <c r="AF27" s="513"/>
      <c r="AI27" s="12" t="s">
        <v>570</v>
      </c>
    </row>
    <row r="28" spans="1:40" x14ac:dyDescent="0.2">
      <c r="A28" s="111" t="s">
        <v>571</v>
      </c>
      <c r="B28" s="513"/>
      <c r="G28" s="513"/>
      <c r="L28" s="513"/>
      <c r="Q28" s="513"/>
      <c r="V28" s="513"/>
      <c r="AA28" s="513"/>
      <c r="AF28" s="513"/>
      <c r="AI28" s="12">
        <v>2010</v>
      </c>
      <c r="AJ28" s="12">
        <v>2035</v>
      </c>
    </row>
    <row r="29" spans="1:40" x14ac:dyDescent="0.2">
      <c r="A29" s="111" t="s">
        <v>561</v>
      </c>
      <c r="B29" s="639">
        <v>519.48193359375</v>
      </c>
      <c r="C29" s="133">
        <v>522.79815673828102</v>
      </c>
      <c r="D29" s="53">
        <v>618.30261199999995</v>
      </c>
      <c r="E29" s="53">
        <v>590.83520499999997</v>
      </c>
      <c r="F29" s="53">
        <v>548.52972399999999</v>
      </c>
      <c r="G29" s="640">
        <v>557.60723900000005</v>
      </c>
      <c r="H29" s="53">
        <v>596.31542999999999</v>
      </c>
      <c r="I29" s="53">
        <v>615.83593800000006</v>
      </c>
      <c r="J29" s="53">
        <v>651.200378</v>
      </c>
      <c r="K29" s="53">
        <v>690.64050299999997</v>
      </c>
      <c r="L29" s="640">
        <v>719.28680399999996</v>
      </c>
      <c r="M29" s="53">
        <v>740.18817100000001</v>
      </c>
      <c r="N29" s="53">
        <v>752.70599400000003</v>
      </c>
      <c r="O29" s="53">
        <v>757.21679700000004</v>
      </c>
      <c r="P29" s="53">
        <v>763.82440199999996</v>
      </c>
      <c r="Q29" s="640">
        <v>770.42938200000003</v>
      </c>
      <c r="R29" s="53">
        <v>780.03936799999997</v>
      </c>
      <c r="S29" s="53">
        <v>793.19750999999997</v>
      </c>
      <c r="T29" s="53">
        <v>798.95056199999999</v>
      </c>
      <c r="U29" s="53">
        <v>799.53265399999998</v>
      </c>
      <c r="V29" s="640">
        <v>802.05401600000005</v>
      </c>
      <c r="W29" s="53">
        <v>805.39904799999999</v>
      </c>
      <c r="X29" s="53">
        <v>808.19311500000003</v>
      </c>
      <c r="Y29" s="53">
        <v>810.100098</v>
      </c>
      <c r="Z29" s="53">
        <v>811.96087599999998</v>
      </c>
      <c r="AA29" s="640">
        <v>815.52313200000003</v>
      </c>
      <c r="AB29" s="53">
        <v>819.94348100000002</v>
      </c>
      <c r="AC29" s="53">
        <v>823.10943599999996</v>
      </c>
      <c r="AD29" s="53">
        <v>829.04797399999995</v>
      </c>
      <c r="AE29" s="53">
        <v>835.40039100000001</v>
      </c>
      <c r="AF29" s="640">
        <v>840.79925500000002</v>
      </c>
      <c r="AG29" s="641">
        <v>1.6563999999999999E-2</v>
      </c>
      <c r="AI29" s="27">
        <f>G29/G$33</f>
        <v>0.67111333698424203</v>
      </c>
      <c r="AJ29" s="27">
        <f>AF29/AF$33</f>
        <v>0.73790034861451836</v>
      </c>
      <c r="AK29" s="111" t="s">
        <v>561</v>
      </c>
    </row>
    <row r="30" spans="1:40" x14ac:dyDescent="0.2">
      <c r="A30" s="111" t="s">
        <v>562</v>
      </c>
      <c r="B30" s="639">
        <v>205.95259094238301</v>
      </c>
      <c r="C30" s="133">
        <v>198.61874389648401</v>
      </c>
      <c r="D30" s="53">
        <v>251.35449199999999</v>
      </c>
      <c r="E30" s="53">
        <v>252.37237500000001</v>
      </c>
      <c r="F30" s="53">
        <v>310.95208700000001</v>
      </c>
      <c r="G30" s="640">
        <v>258.51861600000001</v>
      </c>
      <c r="H30" s="53">
        <v>272.062408</v>
      </c>
      <c r="I30" s="53">
        <v>274.20837399999999</v>
      </c>
      <c r="J30" s="53">
        <v>283.52981599999998</v>
      </c>
      <c r="K30" s="53">
        <v>293.25277699999998</v>
      </c>
      <c r="L30" s="640">
        <v>297.93335000000002</v>
      </c>
      <c r="M30" s="53">
        <v>300.23584</v>
      </c>
      <c r="N30" s="53">
        <v>300.33923299999998</v>
      </c>
      <c r="O30" s="53">
        <v>297.62905899999998</v>
      </c>
      <c r="P30" s="53">
        <v>295.91802999999999</v>
      </c>
      <c r="Q30" s="640">
        <v>294.61273199999999</v>
      </c>
      <c r="R30" s="53">
        <v>294.54153400000001</v>
      </c>
      <c r="S30" s="53">
        <v>295.66467299999999</v>
      </c>
      <c r="T30" s="53">
        <v>293.587311</v>
      </c>
      <c r="U30" s="53">
        <v>289.64538599999997</v>
      </c>
      <c r="V30" s="640">
        <v>286.59124800000001</v>
      </c>
      <c r="W30" s="53">
        <v>283.50845299999997</v>
      </c>
      <c r="X30" s="53">
        <v>280.07595800000001</v>
      </c>
      <c r="Y30" s="53">
        <v>276.205353</v>
      </c>
      <c r="Z30" s="53">
        <v>272.50366200000002</v>
      </c>
      <c r="AA30" s="640">
        <v>269.41751099999999</v>
      </c>
      <c r="AB30" s="53">
        <v>267.03625499999998</v>
      </c>
      <c r="AC30" s="53">
        <v>264.68710299999998</v>
      </c>
      <c r="AD30" s="53">
        <v>263.22454800000003</v>
      </c>
      <c r="AE30" s="53">
        <v>261.87042200000002</v>
      </c>
      <c r="AF30" s="640">
        <v>260.63168300000001</v>
      </c>
      <c r="AG30" s="641">
        <v>3.2600000000000001E-4</v>
      </c>
      <c r="AI30" s="27">
        <f>G30/G$33</f>
        <v>0.31114246538020257</v>
      </c>
      <c r="AJ30" s="27">
        <f>AF30/AF$33</f>
        <v>0.22873499066752698</v>
      </c>
      <c r="AK30" s="111" t="s">
        <v>562</v>
      </c>
    </row>
    <row r="31" spans="1:40" x14ac:dyDescent="0.2">
      <c r="A31" s="111" t="s">
        <v>563</v>
      </c>
      <c r="B31" s="639">
        <v>6.3498687744140598</v>
      </c>
      <c r="C31" s="133">
        <v>6.4819750785827601</v>
      </c>
      <c r="D31" s="53">
        <v>6.0405059999999997</v>
      </c>
      <c r="E31" s="53">
        <v>5.4870710000000003</v>
      </c>
      <c r="F31" s="53">
        <v>8.3932699999999993</v>
      </c>
      <c r="G31" s="640">
        <v>6.8051409999999999</v>
      </c>
      <c r="H31" s="53">
        <v>6.9852369999999997</v>
      </c>
      <c r="I31" s="53">
        <v>6.9441030000000001</v>
      </c>
      <c r="J31" s="53">
        <v>7.2414059999999996</v>
      </c>
      <c r="K31" s="53">
        <v>7.6029929999999997</v>
      </c>
      <c r="L31" s="640">
        <v>7.8405769999999997</v>
      </c>
      <c r="M31" s="53">
        <v>8.1305840000000007</v>
      </c>
      <c r="N31" s="53">
        <v>8.4404869999999992</v>
      </c>
      <c r="O31" s="53">
        <v>8.7615789999999993</v>
      </c>
      <c r="P31" s="53">
        <v>9.1736970000000007</v>
      </c>
      <c r="Q31" s="640">
        <v>9.6440190000000001</v>
      </c>
      <c r="R31" s="53">
        <v>10.19289</v>
      </c>
      <c r="S31" s="53">
        <v>10.820316</v>
      </c>
      <c r="T31" s="53">
        <v>11.335872</v>
      </c>
      <c r="U31" s="53">
        <v>11.758489000000001</v>
      </c>
      <c r="V31" s="640">
        <v>12.212474</v>
      </c>
      <c r="W31" s="53">
        <v>12.684711999999999</v>
      </c>
      <c r="X31" s="53">
        <v>13.145295000000001</v>
      </c>
      <c r="Y31" s="53">
        <v>13.580814</v>
      </c>
      <c r="Z31" s="53">
        <v>13.973299000000001</v>
      </c>
      <c r="AA31" s="640">
        <v>14.391781999999999</v>
      </c>
      <c r="AB31" s="53">
        <v>14.813559</v>
      </c>
      <c r="AC31" s="53">
        <v>15.195923000000001</v>
      </c>
      <c r="AD31" s="53">
        <v>15.593773000000001</v>
      </c>
      <c r="AE31" s="53">
        <v>15.9422</v>
      </c>
      <c r="AF31" s="640">
        <v>16.222940000000001</v>
      </c>
      <c r="AG31" s="641">
        <v>3.5360999999999997E-2</v>
      </c>
      <c r="AI31" s="27">
        <f>G31/G$33</f>
        <v>8.1903902347980114E-3</v>
      </c>
      <c r="AJ31" s="27">
        <f>AF31/AF$33</f>
        <v>1.4237540067221414E-2</v>
      </c>
      <c r="AK31" s="111" t="s">
        <v>563</v>
      </c>
    </row>
    <row r="32" spans="1:40" x14ac:dyDescent="0.2">
      <c r="A32" s="111" t="s">
        <v>564</v>
      </c>
      <c r="B32" s="639">
        <v>4.05958795547485</v>
      </c>
      <c r="C32" s="133">
        <v>5.2013621330261204</v>
      </c>
      <c r="D32" s="53">
        <v>6.3068330000000001</v>
      </c>
      <c r="E32" s="53">
        <v>5.8346679999999997</v>
      </c>
      <c r="F32" s="53">
        <v>10.058491</v>
      </c>
      <c r="G32" s="640">
        <v>7.9379530000000003</v>
      </c>
      <c r="H32" s="53">
        <v>7.5185240000000002</v>
      </c>
      <c r="I32" s="53">
        <v>6.980245</v>
      </c>
      <c r="J32" s="53">
        <v>6.7495390000000004</v>
      </c>
      <c r="K32" s="53">
        <v>6.6000550000000002</v>
      </c>
      <c r="L32" s="640">
        <v>6.4528080000000001</v>
      </c>
      <c r="M32" s="53">
        <v>6.3901209999999997</v>
      </c>
      <c r="N32" s="53">
        <v>6.4000690000000002</v>
      </c>
      <c r="O32" s="53">
        <v>6.8301889999999998</v>
      </c>
      <c r="P32" s="53">
        <v>7.437093</v>
      </c>
      <c r="Q32" s="640">
        <v>8.162941</v>
      </c>
      <c r="R32" s="53">
        <v>9.0249959999999998</v>
      </c>
      <c r="S32" s="53">
        <v>10.017434</v>
      </c>
      <c r="T32" s="53">
        <v>10.935957</v>
      </c>
      <c r="U32" s="53">
        <v>11.767343</v>
      </c>
      <c r="V32" s="640">
        <v>12.606529</v>
      </c>
      <c r="W32" s="53">
        <v>13.431303</v>
      </c>
      <c r="X32" s="53">
        <v>14.206797</v>
      </c>
      <c r="Y32" s="53">
        <v>14.919250999999999</v>
      </c>
      <c r="Z32" s="53">
        <v>15.568892999999999</v>
      </c>
      <c r="AA32" s="640">
        <v>16.805427999999999</v>
      </c>
      <c r="AB32" s="53">
        <v>17.99897</v>
      </c>
      <c r="AC32" s="53">
        <v>19.070122000000001</v>
      </c>
      <c r="AD32" s="53">
        <v>20.100200999999998</v>
      </c>
      <c r="AE32" s="53">
        <v>21.008472000000001</v>
      </c>
      <c r="AF32" s="640">
        <v>21.794453000000001</v>
      </c>
      <c r="AG32" s="641">
        <v>4.1227E-2</v>
      </c>
      <c r="AI32" s="27">
        <f>G32/G$33</f>
        <v>9.5537965687243782E-3</v>
      </c>
      <c r="AJ32" s="27">
        <f>AF32/AF$33</f>
        <v>1.9127198758712907E-2</v>
      </c>
      <c r="AK32" s="111" t="s">
        <v>564</v>
      </c>
    </row>
    <row r="33" spans="1:37" x14ac:dyDescent="0.2">
      <c r="A33" s="111" t="s">
        <v>565</v>
      </c>
      <c r="B33" s="639">
        <v>735.84393310546898</v>
      </c>
      <c r="C33" s="133">
        <v>733.10021972656295</v>
      </c>
      <c r="D33" s="53">
        <v>882.00439500000005</v>
      </c>
      <c r="E33" s="53">
        <v>854.52929700000004</v>
      </c>
      <c r="F33" s="53">
        <v>877.93359399999997</v>
      </c>
      <c r="G33" s="640">
        <v>830.86895800000002</v>
      </c>
      <c r="H33" s="53">
        <v>882.88159199999996</v>
      </c>
      <c r="I33" s="53">
        <v>903.96856700000001</v>
      </c>
      <c r="J33" s="53">
        <v>948.72106900000006</v>
      </c>
      <c r="K33" s="53">
        <v>998.09631300000001</v>
      </c>
      <c r="L33" s="640">
        <v>1031.5135499999999</v>
      </c>
      <c r="M33" s="53">
        <v>1054.944702</v>
      </c>
      <c r="N33" s="53">
        <v>1067.8857419999999</v>
      </c>
      <c r="O33" s="53">
        <v>1070.4375</v>
      </c>
      <c r="P33" s="53">
        <v>1076.3532709999999</v>
      </c>
      <c r="Q33" s="640">
        <v>1082.849121</v>
      </c>
      <c r="R33" s="53">
        <v>1093.798828</v>
      </c>
      <c r="S33" s="53">
        <v>1109.6999510000001</v>
      </c>
      <c r="T33" s="53">
        <v>1114.8095699999999</v>
      </c>
      <c r="U33" s="53">
        <v>1112.703857</v>
      </c>
      <c r="V33" s="640">
        <v>1113.4643550000001</v>
      </c>
      <c r="W33" s="53">
        <v>1115.0235600000001</v>
      </c>
      <c r="X33" s="53">
        <v>1115.6210940000001</v>
      </c>
      <c r="Y33" s="53">
        <v>1114.8054199999999</v>
      </c>
      <c r="Z33" s="53">
        <v>1114.0067140000001</v>
      </c>
      <c r="AA33" s="640">
        <v>1116.137817</v>
      </c>
      <c r="AB33" s="53">
        <v>1119.7923579999999</v>
      </c>
      <c r="AC33" s="53">
        <v>1122.0626219999999</v>
      </c>
      <c r="AD33" s="53">
        <v>1127.9664310000001</v>
      </c>
      <c r="AE33" s="53">
        <v>1134.221436</v>
      </c>
      <c r="AF33" s="640">
        <v>1139.4482419999999</v>
      </c>
      <c r="AG33" s="641">
        <v>1.2713E-2</v>
      </c>
      <c r="AI33" s="53"/>
    </row>
    <row r="34" spans="1:37" x14ac:dyDescent="0.2">
      <c r="A34" s="111" t="s">
        <v>566</v>
      </c>
      <c r="B34" s="513"/>
      <c r="G34" s="513"/>
      <c r="L34" s="513"/>
      <c r="Q34" s="513"/>
      <c r="V34" s="513"/>
      <c r="AA34" s="513"/>
      <c r="AF34" s="513"/>
    </row>
    <row r="35" spans="1:37" x14ac:dyDescent="0.2">
      <c r="A35" s="111" t="s">
        <v>561</v>
      </c>
      <c r="B35" s="639">
        <v>3970.11889648438</v>
      </c>
      <c r="C35" s="133">
        <v>4118.05078125</v>
      </c>
      <c r="D35" s="53">
        <v>4011.2553710000002</v>
      </c>
      <c r="E35" s="53">
        <v>3750.5720209999999</v>
      </c>
      <c r="F35" s="53">
        <v>3910.343018</v>
      </c>
      <c r="G35" s="640">
        <v>3868.5620119999999</v>
      </c>
      <c r="H35" s="53">
        <v>3960.4333499999998</v>
      </c>
      <c r="I35" s="53">
        <v>3993.1357419999999</v>
      </c>
      <c r="J35" s="53">
        <v>4142.7895509999998</v>
      </c>
      <c r="K35" s="53">
        <v>4279.7714839999999</v>
      </c>
      <c r="L35" s="640">
        <v>4364.7714839999999</v>
      </c>
      <c r="M35" s="53">
        <v>4414.7314450000003</v>
      </c>
      <c r="N35" s="53">
        <v>4425.9741210000002</v>
      </c>
      <c r="O35" s="53">
        <v>4403.1528319999998</v>
      </c>
      <c r="P35" s="53">
        <v>4395.5410160000001</v>
      </c>
      <c r="Q35" s="640">
        <v>4383.7631840000004</v>
      </c>
      <c r="R35" s="53">
        <v>4386.7338870000003</v>
      </c>
      <c r="S35" s="53">
        <v>4418.0239259999998</v>
      </c>
      <c r="T35" s="53">
        <v>4426.7104490000002</v>
      </c>
      <c r="U35" s="53">
        <v>4421.1025390000004</v>
      </c>
      <c r="V35" s="640">
        <v>4431.3081050000001</v>
      </c>
      <c r="W35" s="53">
        <v>4443.8930659999996</v>
      </c>
      <c r="X35" s="53">
        <v>4450.75</v>
      </c>
      <c r="Y35" s="53">
        <v>4450.626953</v>
      </c>
      <c r="Z35" s="53">
        <v>4449.0390619999998</v>
      </c>
      <c r="AA35" s="640">
        <v>4460.1347660000001</v>
      </c>
      <c r="AB35" s="53">
        <v>4473.5771480000003</v>
      </c>
      <c r="AC35" s="53">
        <v>4483.0815430000002</v>
      </c>
      <c r="AD35" s="53">
        <v>4509.5439450000003</v>
      </c>
      <c r="AE35" s="53">
        <v>4545.4946289999998</v>
      </c>
      <c r="AF35" s="640">
        <v>4582.5649409999996</v>
      </c>
      <c r="AG35" s="641">
        <v>6.7980000000000002E-3</v>
      </c>
      <c r="AI35" s="27">
        <f>G35/G$39</f>
        <v>0.96919999386576516</v>
      </c>
      <c r="AJ35" s="27">
        <f>AF35/AF$39</f>
        <v>0.97414720924420717</v>
      </c>
      <c r="AK35" s="111" t="s">
        <v>561</v>
      </c>
    </row>
    <row r="36" spans="1:37" x14ac:dyDescent="0.2">
      <c r="A36" s="111" t="s">
        <v>562</v>
      </c>
      <c r="B36" s="639">
        <v>31.1826076507568</v>
      </c>
      <c r="C36" s="133">
        <v>31.7300109863281</v>
      </c>
      <c r="D36" s="53">
        <v>101.158867</v>
      </c>
      <c r="E36" s="53">
        <v>98.926308000000006</v>
      </c>
      <c r="F36" s="53">
        <v>136.55517599999999</v>
      </c>
      <c r="G36" s="640">
        <v>106.485527</v>
      </c>
      <c r="H36" s="53">
        <v>105.10256200000001</v>
      </c>
      <c r="I36" s="53">
        <v>99.826881</v>
      </c>
      <c r="J36" s="53">
        <v>96.985686999999999</v>
      </c>
      <c r="K36" s="53">
        <v>94.196067999999997</v>
      </c>
      <c r="L36" s="640">
        <v>90.501853999999994</v>
      </c>
      <c r="M36" s="53">
        <v>87.002212999999998</v>
      </c>
      <c r="N36" s="53">
        <v>84.050849999999997</v>
      </c>
      <c r="O36" s="53">
        <v>81.469077999999996</v>
      </c>
      <c r="P36" s="53">
        <v>80.137282999999996</v>
      </c>
      <c r="Q36" s="640">
        <v>79.367965999999996</v>
      </c>
      <c r="R36" s="53">
        <v>79.492485000000002</v>
      </c>
      <c r="S36" s="53">
        <v>80.469299000000007</v>
      </c>
      <c r="T36" s="53">
        <v>80.812331999999998</v>
      </c>
      <c r="U36" s="53">
        <v>80.660163999999995</v>
      </c>
      <c r="V36" s="640">
        <v>80.945144999999997</v>
      </c>
      <c r="W36" s="53">
        <v>81.453659000000002</v>
      </c>
      <c r="X36" s="53">
        <v>81.561477999999994</v>
      </c>
      <c r="Y36" s="53">
        <v>81.542831000000007</v>
      </c>
      <c r="Z36" s="53">
        <v>81.512054000000006</v>
      </c>
      <c r="AA36" s="640">
        <v>81.651268000000002</v>
      </c>
      <c r="AB36" s="53">
        <v>81.525261</v>
      </c>
      <c r="AC36" s="53">
        <v>81.464371</v>
      </c>
      <c r="AD36" s="53">
        <v>81.682213000000004</v>
      </c>
      <c r="AE36" s="53">
        <v>81.883674999999997</v>
      </c>
      <c r="AF36" s="640">
        <v>81.971717999999996</v>
      </c>
      <c r="AG36" s="641">
        <v>-1.0411E-2</v>
      </c>
      <c r="AI36" s="27">
        <f>G36/G$39</f>
        <v>2.667807102356274E-2</v>
      </c>
      <c r="AJ36" s="27">
        <f>AF36/AF$39</f>
        <v>1.74252894077324E-2</v>
      </c>
      <c r="AK36" s="111" t="s">
        <v>562</v>
      </c>
    </row>
    <row r="37" spans="1:37" x14ac:dyDescent="0.2">
      <c r="A37" s="111" t="s">
        <v>563</v>
      </c>
      <c r="B37" s="639">
        <v>3.3519840240478498</v>
      </c>
      <c r="C37" s="133">
        <v>3.7799224853515598</v>
      </c>
      <c r="D37" s="53">
        <v>16.854807000000001</v>
      </c>
      <c r="E37" s="53">
        <v>13.963946999999999</v>
      </c>
      <c r="F37" s="53">
        <v>18.985469999999999</v>
      </c>
      <c r="G37" s="640">
        <v>14.362627</v>
      </c>
      <c r="H37" s="53">
        <v>13.592226</v>
      </c>
      <c r="I37" s="53">
        <v>12.337058000000001</v>
      </c>
      <c r="J37" s="53">
        <v>11.630523</v>
      </c>
      <c r="K37" s="53">
        <v>10.939959</v>
      </c>
      <c r="L37" s="640">
        <v>10.171037999999999</v>
      </c>
      <c r="M37" s="53">
        <v>9.4677199999999999</v>
      </c>
      <c r="N37" s="53">
        <v>8.8367540000000009</v>
      </c>
      <c r="O37" s="53">
        <v>8.2234970000000001</v>
      </c>
      <c r="P37" s="53">
        <v>7.7258620000000002</v>
      </c>
      <c r="Q37" s="640">
        <v>7.3301470000000002</v>
      </c>
      <c r="R37" s="53">
        <v>7.1220829999999999</v>
      </c>
      <c r="S37" s="53">
        <v>7.1089729999999998</v>
      </c>
      <c r="T37" s="53">
        <v>6.9699980000000004</v>
      </c>
      <c r="U37" s="53">
        <v>6.8347499999999997</v>
      </c>
      <c r="V37" s="640">
        <v>6.8041119999999999</v>
      </c>
      <c r="W37" s="53">
        <v>6.9084510000000003</v>
      </c>
      <c r="X37" s="53">
        <v>6.9339560000000002</v>
      </c>
      <c r="Y37" s="53">
        <v>6.94564</v>
      </c>
      <c r="Z37" s="53">
        <v>6.9755849999999997</v>
      </c>
      <c r="AA37" s="640">
        <v>7.0116889999999996</v>
      </c>
      <c r="AB37" s="53">
        <v>7.0810890000000004</v>
      </c>
      <c r="AC37" s="53">
        <v>7.1333840000000004</v>
      </c>
      <c r="AD37" s="53">
        <v>7.2097090000000001</v>
      </c>
      <c r="AE37" s="53">
        <v>7.2745009999999999</v>
      </c>
      <c r="AF37" s="640">
        <v>7.3283940000000003</v>
      </c>
      <c r="AG37" s="641">
        <v>-2.6556E-2</v>
      </c>
      <c r="AI37" s="27">
        <f>G37/G$39</f>
        <v>3.5983029242174841E-3</v>
      </c>
      <c r="AJ37" s="27">
        <f>AF37/AF$39</f>
        <v>1.5578468947532573E-3</v>
      </c>
      <c r="AK37" s="111" t="s">
        <v>563</v>
      </c>
    </row>
    <row r="38" spans="1:37" x14ac:dyDescent="0.2">
      <c r="A38" s="111" t="s">
        <v>564</v>
      </c>
      <c r="B38" s="639">
        <v>4.1806263923645002</v>
      </c>
      <c r="C38" s="133">
        <v>5.5803079605102504</v>
      </c>
      <c r="D38" s="53">
        <v>1.530951</v>
      </c>
      <c r="E38" s="53">
        <v>1.965382</v>
      </c>
      <c r="F38" s="53">
        <v>2.3167930000000001</v>
      </c>
      <c r="G38" s="640">
        <v>2.0899139999999998</v>
      </c>
      <c r="H38" s="53">
        <v>2.5783879999999999</v>
      </c>
      <c r="I38" s="53">
        <v>3.1559819999999998</v>
      </c>
      <c r="J38" s="53">
        <v>5.294829</v>
      </c>
      <c r="K38" s="53">
        <v>6.507142</v>
      </c>
      <c r="L38" s="640">
        <v>7.7684009999999999</v>
      </c>
      <c r="M38" s="53">
        <v>9.0223049999999994</v>
      </c>
      <c r="N38" s="53">
        <v>10.215626</v>
      </c>
      <c r="O38" s="53">
        <v>11.410223999999999</v>
      </c>
      <c r="P38" s="53">
        <v>12.747334</v>
      </c>
      <c r="Q38" s="640">
        <v>14.143552</v>
      </c>
      <c r="R38" s="53">
        <v>15.672101</v>
      </c>
      <c r="S38" s="53">
        <v>17.39076</v>
      </c>
      <c r="T38" s="53">
        <v>19.046858</v>
      </c>
      <c r="U38" s="53">
        <v>20.552734000000001</v>
      </c>
      <c r="V38" s="640">
        <v>22.001418999999999</v>
      </c>
      <c r="W38" s="53">
        <v>23.363918000000002</v>
      </c>
      <c r="X38" s="53">
        <v>24.616351999999999</v>
      </c>
      <c r="Y38" s="53">
        <v>25.736778000000001</v>
      </c>
      <c r="Z38" s="53">
        <v>26.764385000000001</v>
      </c>
      <c r="AA38" s="640">
        <v>27.772933999999999</v>
      </c>
      <c r="AB38" s="53">
        <v>28.750916</v>
      </c>
      <c r="AC38" s="53">
        <v>29.641421999999999</v>
      </c>
      <c r="AD38" s="53">
        <v>30.586860999999999</v>
      </c>
      <c r="AE38" s="53">
        <v>31.501743000000001</v>
      </c>
      <c r="AF38" s="640">
        <v>32.315826000000001</v>
      </c>
      <c r="AG38" s="641">
        <v>0.115762</v>
      </c>
      <c r="AI38" s="27">
        <f>G38/G$39</f>
        <v>5.235910991466295E-4</v>
      </c>
      <c r="AJ38" s="27">
        <f>AF38/AF$39</f>
        <v>6.8695964198276695E-3</v>
      </c>
      <c r="AK38" s="111" t="s">
        <v>564</v>
      </c>
    </row>
    <row r="39" spans="1:37" x14ac:dyDescent="0.2">
      <c r="A39" s="111" t="s">
        <v>567</v>
      </c>
      <c r="B39" s="639">
        <v>4008.833984375</v>
      </c>
      <c r="C39" s="133">
        <v>4159.14111328125</v>
      </c>
      <c r="D39" s="53">
        <v>4130.8002930000002</v>
      </c>
      <c r="E39" s="53">
        <v>3865.4277339999999</v>
      </c>
      <c r="F39" s="53">
        <v>4068.2006839999999</v>
      </c>
      <c r="G39" s="640">
        <v>3991.5002439999998</v>
      </c>
      <c r="H39" s="53">
        <v>4081.7065429999998</v>
      </c>
      <c r="I39" s="53">
        <v>4108.4555659999996</v>
      </c>
      <c r="J39" s="53">
        <v>4256.7006840000004</v>
      </c>
      <c r="K39" s="53">
        <v>4391.4140619999998</v>
      </c>
      <c r="L39" s="640">
        <v>4473.2124020000001</v>
      </c>
      <c r="M39" s="53">
        <v>4520.2236329999996</v>
      </c>
      <c r="N39" s="53">
        <v>4529.0771480000003</v>
      </c>
      <c r="O39" s="53">
        <v>4504.2563479999999</v>
      </c>
      <c r="P39" s="53">
        <v>4496.1513670000004</v>
      </c>
      <c r="Q39" s="640">
        <v>4484.6044920000004</v>
      </c>
      <c r="R39" s="53">
        <v>4489.0200199999999</v>
      </c>
      <c r="S39" s="53">
        <v>4522.9931640000004</v>
      </c>
      <c r="T39" s="53">
        <v>4533.5395509999998</v>
      </c>
      <c r="U39" s="53">
        <v>4529.1499020000001</v>
      </c>
      <c r="V39" s="640">
        <v>4541.0576170000004</v>
      </c>
      <c r="W39" s="53">
        <v>4555.6196289999998</v>
      </c>
      <c r="X39" s="53">
        <v>4563.8618159999996</v>
      </c>
      <c r="Y39" s="53">
        <v>4564.8520509999998</v>
      </c>
      <c r="Z39" s="53">
        <v>4564.2915039999998</v>
      </c>
      <c r="AA39" s="640">
        <v>4576.5708009999998</v>
      </c>
      <c r="AB39" s="53">
        <v>4590.9340819999998</v>
      </c>
      <c r="AC39" s="53">
        <v>4601.3203119999998</v>
      </c>
      <c r="AD39" s="53">
        <v>4629.0224609999996</v>
      </c>
      <c r="AE39" s="53">
        <v>4666.154297</v>
      </c>
      <c r="AF39" s="640">
        <v>4704.1811520000001</v>
      </c>
      <c r="AG39" s="641">
        <v>6.5929999999999999E-3</v>
      </c>
    </row>
    <row r="40" spans="1:37" x14ac:dyDescent="0.2">
      <c r="A40" s="111" t="s">
        <v>572</v>
      </c>
      <c r="B40" s="513"/>
      <c r="G40" s="513"/>
      <c r="L40" s="513"/>
      <c r="Q40" s="513"/>
      <c r="V40" s="513"/>
      <c r="AA40" s="513"/>
      <c r="AF40" s="513"/>
    </row>
    <row r="41" spans="1:37" x14ac:dyDescent="0.2">
      <c r="A41" s="111" t="s">
        <v>561</v>
      </c>
      <c r="B41" s="639">
        <v>4489.6005859375</v>
      </c>
      <c r="C41" s="133">
        <v>4640.84912109375</v>
      </c>
      <c r="D41" s="53">
        <v>4629.5581050000001</v>
      </c>
      <c r="E41" s="53">
        <v>4341.4072269999997</v>
      </c>
      <c r="F41" s="53">
        <v>4458.8725590000004</v>
      </c>
      <c r="G41" s="640">
        <v>4426.1694340000004</v>
      </c>
      <c r="H41" s="53">
        <v>4556.7490230000003</v>
      </c>
      <c r="I41" s="53">
        <v>4608.9716799999997</v>
      </c>
      <c r="J41" s="53">
        <v>4793.9897460000002</v>
      </c>
      <c r="K41" s="53">
        <v>4970.4121089999999</v>
      </c>
      <c r="L41" s="640">
        <v>5084.0581050000001</v>
      </c>
      <c r="M41" s="53">
        <v>5154.9194340000004</v>
      </c>
      <c r="N41" s="53">
        <v>5178.6801759999998</v>
      </c>
      <c r="O41" s="53">
        <v>5160.3696289999998</v>
      </c>
      <c r="P41" s="53">
        <v>5159.3652339999999</v>
      </c>
      <c r="Q41" s="640">
        <v>5154.1923829999996</v>
      </c>
      <c r="R41" s="53">
        <v>5166.7734380000002</v>
      </c>
      <c r="S41" s="53">
        <v>5211.2216799999997</v>
      </c>
      <c r="T41" s="53">
        <v>5225.6611329999996</v>
      </c>
      <c r="U41" s="53">
        <v>5220.6352539999998</v>
      </c>
      <c r="V41" s="640">
        <v>5233.3623049999997</v>
      </c>
      <c r="W41" s="53">
        <v>5249.2919920000004</v>
      </c>
      <c r="X41" s="53">
        <v>5258.9433589999999</v>
      </c>
      <c r="Y41" s="53">
        <v>5260.7270509999998</v>
      </c>
      <c r="Z41" s="53">
        <v>5261</v>
      </c>
      <c r="AA41" s="640">
        <v>5275.6577150000003</v>
      </c>
      <c r="AB41" s="53">
        <v>5293.5205079999996</v>
      </c>
      <c r="AC41" s="53">
        <v>5306.1909180000002</v>
      </c>
      <c r="AD41" s="53">
        <v>5338.591797</v>
      </c>
      <c r="AE41" s="53">
        <v>5380.8950199999999</v>
      </c>
      <c r="AF41" s="640">
        <v>5423.3642579999996</v>
      </c>
      <c r="AG41" s="641">
        <v>8.1600000000000006E-3</v>
      </c>
    </row>
    <row r="42" spans="1:37" x14ac:dyDescent="0.2">
      <c r="A42" s="111" t="s">
        <v>562</v>
      </c>
      <c r="B42" s="639">
        <v>237.13519287109401</v>
      </c>
      <c r="C42" s="133">
        <v>230.34875488281301</v>
      </c>
      <c r="D42" s="53">
        <v>352.51336700000002</v>
      </c>
      <c r="E42" s="53">
        <v>351.298676</v>
      </c>
      <c r="F42" s="53">
        <v>447.50726300000002</v>
      </c>
      <c r="G42" s="640">
        <v>365.00414999999998</v>
      </c>
      <c r="H42" s="53">
        <v>377.16497800000002</v>
      </c>
      <c r="I42" s="53">
        <v>374.03524800000002</v>
      </c>
      <c r="J42" s="53">
        <v>380.51550300000002</v>
      </c>
      <c r="K42" s="53">
        <v>387.44885299999999</v>
      </c>
      <c r="L42" s="640">
        <v>388.43521099999998</v>
      </c>
      <c r="M42" s="53">
        <v>387.23803700000002</v>
      </c>
      <c r="N42" s="53">
        <v>384.39007600000002</v>
      </c>
      <c r="O42" s="53">
        <v>379.09814499999999</v>
      </c>
      <c r="P42" s="53">
        <v>376.05529799999999</v>
      </c>
      <c r="Q42" s="640">
        <v>373.98071299999998</v>
      </c>
      <c r="R42" s="53">
        <v>374.03402699999998</v>
      </c>
      <c r="S42" s="53">
        <v>376.13397200000003</v>
      </c>
      <c r="T42" s="53">
        <v>374.39965799999999</v>
      </c>
      <c r="U42" s="53">
        <v>370.305542</v>
      </c>
      <c r="V42" s="640">
        <v>367.53637700000002</v>
      </c>
      <c r="W42" s="53">
        <v>364.96209700000003</v>
      </c>
      <c r="X42" s="53">
        <v>361.637451</v>
      </c>
      <c r="Y42" s="53">
        <v>357.74816900000002</v>
      </c>
      <c r="Z42" s="53">
        <v>354.015717</v>
      </c>
      <c r="AA42" s="640">
        <v>351.06878699999999</v>
      </c>
      <c r="AB42" s="53">
        <v>348.56152300000002</v>
      </c>
      <c r="AC42" s="53">
        <v>346.15148900000003</v>
      </c>
      <c r="AD42" s="53">
        <v>344.906769</v>
      </c>
      <c r="AE42" s="53">
        <v>343.75408900000002</v>
      </c>
      <c r="AF42" s="640">
        <v>342.60339399999998</v>
      </c>
      <c r="AG42" s="641">
        <v>-2.5300000000000001E-3</v>
      </c>
    </row>
    <row r="43" spans="1:37" x14ac:dyDescent="0.2">
      <c r="A43" s="111" t="s">
        <v>563</v>
      </c>
      <c r="B43" s="639">
        <v>9.7018527984619105</v>
      </c>
      <c r="C43" s="133">
        <v>10.2618980407715</v>
      </c>
      <c r="D43" s="53">
        <v>22.895313000000002</v>
      </c>
      <c r="E43" s="53">
        <v>19.451018999999999</v>
      </c>
      <c r="F43" s="53">
        <v>27.378740000000001</v>
      </c>
      <c r="G43" s="640">
        <v>21.167767999999999</v>
      </c>
      <c r="H43" s="53">
        <v>20.577463000000002</v>
      </c>
      <c r="I43" s="53">
        <v>19.281161999999998</v>
      </c>
      <c r="J43" s="53">
        <v>18.871929000000002</v>
      </c>
      <c r="K43" s="53">
        <v>18.542952</v>
      </c>
      <c r="L43" s="640">
        <v>18.011616</v>
      </c>
      <c r="M43" s="53">
        <v>17.598305</v>
      </c>
      <c r="N43" s="53">
        <v>17.277241</v>
      </c>
      <c r="O43" s="53">
        <v>16.985077</v>
      </c>
      <c r="P43" s="53">
        <v>16.899559</v>
      </c>
      <c r="Q43" s="640">
        <v>16.974167000000001</v>
      </c>
      <c r="R43" s="53">
        <v>17.314972000000001</v>
      </c>
      <c r="S43" s="53">
        <v>17.929289000000001</v>
      </c>
      <c r="T43" s="53">
        <v>18.305869999999999</v>
      </c>
      <c r="U43" s="53">
        <v>18.593239000000001</v>
      </c>
      <c r="V43" s="640">
        <v>19.016586</v>
      </c>
      <c r="W43" s="53">
        <v>19.593163000000001</v>
      </c>
      <c r="X43" s="53">
        <v>20.079249999999998</v>
      </c>
      <c r="Y43" s="53">
        <v>20.526454999999999</v>
      </c>
      <c r="Z43" s="53">
        <v>20.948882999999999</v>
      </c>
      <c r="AA43" s="640">
        <v>21.403471</v>
      </c>
      <c r="AB43" s="53">
        <v>21.894648</v>
      </c>
      <c r="AC43" s="53">
        <v>22.329308000000001</v>
      </c>
      <c r="AD43" s="53">
        <v>22.803481999999999</v>
      </c>
      <c r="AE43" s="53">
        <v>23.216702000000002</v>
      </c>
      <c r="AF43" s="640">
        <v>23.551334000000001</v>
      </c>
      <c r="AG43" s="641">
        <v>4.2770000000000004E-3</v>
      </c>
    </row>
    <row r="44" spans="1:37" x14ac:dyDescent="0.2">
      <c r="A44" s="111" t="s">
        <v>564</v>
      </c>
      <c r="B44" s="639">
        <v>8.2402143478393608</v>
      </c>
      <c r="C44" s="133">
        <v>10.781669616699199</v>
      </c>
      <c r="D44" s="53">
        <v>7.8377850000000002</v>
      </c>
      <c r="E44" s="53">
        <v>7.8000509999999998</v>
      </c>
      <c r="F44" s="53">
        <v>12.375283</v>
      </c>
      <c r="G44" s="640">
        <v>10.027866</v>
      </c>
      <c r="H44" s="53">
        <v>10.096912</v>
      </c>
      <c r="I44" s="53">
        <v>10.136227</v>
      </c>
      <c r="J44" s="53">
        <v>12.044369</v>
      </c>
      <c r="K44" s="53">
        <v>13.107196999999999</v>
      </c>
      <c r="L44" s="640">
        <v>14.221209999999999</v>
      </c>
      <c r="M44" s="53">
        <v>15.412426</v>
      </c>
      <c r="N44" s="53">
        <v>16.615694000000001</v>
      </c>
      <c r="O44" s="53">
        <v>18.240414000000001</v>
      </c>
      <c r="P44" s="53">
        <v>20.184426999999999</v>
      </c>
      <c r="Q44" s="640">
        <v>22.306491999999999</v>
      </c>
      <c r="R44" s="53">
        <v>24.697098</v>
      </c>
      <c r="S44" s="53">
        <v>27.408194999999999</v>
      </c>
      <c r="T44" s="53">
        <v>29.982814999999999</v>
      </c>
      <c r="U44" s="53">
        <v>32.320076</v>
      </c>
      <c r="V44" s="640">
        <v>34.607948</v>
      </c>
      <c r="W44" s="53">
        <v>36.795219000000003</v>
      </c>
      <c r="X44" s="53">
        <v>38.823151000000003</v>
      </c>
      <c r="Y44" s="53">
        <v>40.656028999999997</v>
      </c>
      <c r="Z44" s="53">
        <v>42.333278999999997</v>
      </c>
      <c r="AA44" s="640">
        <v>44.578361999999998</v>
      </c>
      <c r="AB44" s="53">
        <v>46.749885999999996</v>
      </c>
      <c r="AC44" s="53">
        <v>48.711544000000004</v>
      </c>
      <c r="AD44" s="53">
        <v>50.687061</v>
      </c>
      <c r="AE44" s="53">
        <v>52.510216</v>
      </c>
      <c r="AF44" s="640">
        <v>54.110278999999998</v>
      </c>
      <c r="AG44" s="641">
        <v>6.9750999999999994E-2</v>
      </c>
    </row>
    <row r="45" spans="1:37" x14ac:dyDescent="0.2">
      <c r="A45" s="111" t="s">
        <v>573</v>
      </c>
      <c r="B45" s="639">
        <v>4744.677734375</v>
      </c>
      <c r="C45" s="133">
        <v>4892.2412109375</v>
      </c>
      <c r="D45" s="64">
        <v>5012.8046880000002</v>
      </c>
      <c r="E45" s="64">
        <v>4719.9575199999999</v>
      </c>
      <c r="F45" s="64">
        <v>4946.1333009999998</v>
      </c>
      <c r="G45" s="642">
        <v>4822.3691410000001</v>
      </c>
      <c r="H45" s="64">
        <v>4964.5883789999998</v>
      </c>
      <c r="I45" s="64">
        <v>5012.4248049999997</v>
      </c>
      <c r="J45" s="64">
        <v>5205.421875</v>
      </c>
      <c r="K45" s="64">
        <v>5389.5102539999998</v>
      </c>
      <c r="L45" s="642">
        <v>5504.7260740000002</v>
      </c>
      <c r="M45" s="64">
        <v>5575.1684569999998</v>
      </c>
      <c r="N45" s="64">
        <v>5596.9633789999998</v>
      </c>
      <c r="O45" s="64">
        <v>5574.6933589999999</v>
      </c>
      <c r="P45" s="64">
        <v>5572.5043949999999</v>
      </c>
      <c r="Q45" s="642">
        <v>5567.4541019999997</v>
      </c>
      <c r="R45" s="64">
        <v>5582.8188479999999</v>
      </c>
      <c r="S45" s="64">
        <v>5632.6933589999999</v>
      </c>
      <c r="T45" s="64">
        <v>5648.3491210000002</v>
      </c>
      <c r="U45" s="64">
        <v>5641.8535160000001</v>
      </c>
      <c r="V45" s="642">
        <v>5654.5219729999999</v>
      </c>
      <c r="W45" s="64">
        <v>5670.6430659999996</v>
      </c>
      <c r="X45" s="64">
        <v>5679.4833980000003</v>
      </c>
      <c r="Y45" s="64">
        <v>5679.6572269999997</v>
      </c>
      <c r="Z45" s="64">
        <v>5678.2983400000003</v>
      </c>
      <c r="AA45" s="642">
        <v>5692.7084960000002</v>
      </c>
      <c r="AB45" s="64">
        <v>5710.7265619999998</v>
      </c>
      <c r="AC45" s="64">
        <v>5723.3833009999998</v>
      </c>
      <c r="AD45" s="64">
        <v>5756.9892579999996</v>
      </c>
      <c r="AE45" s="64">
        <v>5800.3759769999997</v>
      </c>
      <c r="AF45" s="642">
        <v>5843.6289059999999</v>
      </c>
      <c r="AG45" s="643">
        <v>7.7130000000000002E-3</v>
      </c>
    </row>
    <row r="46" spans="1:37" x14ac:dyDescent="0.2">
      <c r="B46" s="513"/>
      <c r="G46" s="513"/>
      <c r="L46" s="513"/>
      <c r="Q46" s="513"/>
      <c r="V46" s="513"/>
      <c r="AA46" s="513"/>
      <c r="AF46" s="513"/>
    </row>
    <row r="47" spans="1:37" x14ac:dyDescent="0.2">
      <c r="A47" s="111" t="s">
        <v>574</v>
      </c>
      <c r="B47" s="513"/>
      <c r="G47" s="513"/>
      <c r="L47" s="513"/>
      <c r="Q47" s="513"/>
      <c r="V47" s="513"/>
      <c r="AA47" s="513"/>
      <c r="AF47" s="513"/>
    </row>
    <row r="48" spans="1:37" x14ac:dyDescent="0.2">
      <c r="A48" s="111" t="s">
        <v>560</v>
      </c>
      <c r="B48" s="513"/>
      <c r="G48" s="513"/>
      <c r="L48" s="513"/>
      <c r="Q48" s="513"/>
      <c r="V48" s="513"/>
      <c r="AA48" s="513"/>
      <c r="AF48" s="513"/>
    </row>
    <row r="49" spans="1:33" x14ac:dyDescent="0.2">
      <c r="A49" s="111" t="s">
        <v>561</v>
      </c>
      <c r="B49" s="639">
        <v>8.3741769790649396</v>
      </c>
      <c r="C49" s="133">
        <v>8.3872251510620099</v>
      </c>
      <c r="D49" s="53">
        <v>8.0514860000000006</v>
      </c>
      <c r="E49" s="53">
        <v>8.0461500000000008</v>
      </c>
      <c r="F49" s="53">
        <v>13.941272</v>
      </c>
      <c r="G49" s="640">
        <v>13.873877999999999</v>
      </c>
      <c r="H49" s="53">
        <v>13.812996</v>
      </c>
      <c r="I49" s="53">
        <v>13.787825</v>
      </c>
      <c r="J49" s="53">
        <v>13.788589</v>
      </c>
      <c r="K49" s="53">
        <v>13.821984</v>
      </c>
      <c r="L49" s="640">
        <v>13.895642</v>
      </c>
      <c r="M49" s="53">
        <v>14.014388</v>
      </c>
      <c r="N49" s="53">
        <v>14.175454999999999</v>
      </c>
      <c r="O49" s="53">
        <v>14.354706999999999</v>
      </c>
      <c r="P49" s="53">
        <v>14.549474</v>
      </c>
      <c r="Q49" s="640">
        <v>14.740007</v>
      </c>
      <c r="R49" s="53">
        <v>14.921288000000001</v>
      </c>
      <c r="S49" s="53">
        <v>15.094569</v>
      </c>
      <c r="T49" s="53">
        <v>15.256893</v>
      </c>
      <c r="U49" s="53">
        <v>15.407249</v>
      </c>
      <c r="V49" s="640">
        <v>15.544876</v>
      </c>
      <c r="W49" s="53">
        <v>15.669857</v>
      </c>
      <c r="X49" s="53">
        <v>15.782177000000001</v>
      </c>
      <c r="Y49" s="53">
        <v>15.88133</v>
      </c>
      <c r="Z49" s="53">
        <v>15.967166000000001</v>
      </c>
      <c r="AA49" s="640">
        <v>16.040457</v>
      </c>
      <c r="AB49" s="53">
        <v>16.103255999999998</v>
      </c>
      <c r="AC49" s="53">
        <v>16.156956000000001</v>
      </c>
      <c r="AD49" s="53">
        <v>16.201810999999999</v>
      </c>
      <c r="AE49" s="53">
        <v>16.238728999999999</v>
      </c>
      <c r="AF49" s="640">
        <v>16.268749</v>
      </c>
      <c r="AG49" s="641">
        <v>6.3899999999999998E-3</v>
      </c>
    </row>
    <row r="50" spans="1:33" x14ac:dyDescent="0.2">
      <c r="A50" s="111" t="s">
        <v>562</v>
      </c>
      <c r="B50" s="639">
        <v>8.5568742752075195</v>
      </c>
      <c r="C50" s="133">
        <v>8.5765132904052699</v>
      </c>
      <c r="D50" s="53">
        <v>7.8983220000000003</v>
      </c>
      <c r="E50" s="53">
        <v>7.8650320000000002</v>
      </c>
      <c r="F50" s="53">
        <v>9.0928959999999996</v>
      </c>
      <c r="G50" s="640">
        <v>9.232863</v>
      </c>
      <c r="H50" s="53">
        <v>9.3282439999999998</v>
      </c>
      <c r="I50" s="53">
        <v>9.4098690000000005</v>
      </c>
      <c r="J50" s="53">
        <v>9.4922769999999996</v>
      </c>
      <c r="K50" s="53">
        <v>9.5755700000000008</v>
      </c>
      <c r="L50" s="640">
        <v>9.6633449999999996</v>
      </c>
      <c r="M50" s="53">
        <v>9.7573089999999993</v>
      </c>
      <c r="N50" s="53">
        <v>9.8587559999999996</v>
      </c>
      <c r="O50" s="53">
        <v>9.9649219999999996</v>
      </c>
      <c r="P50" s="53">
        <v>10.076549</v>
      </c>
      <c r="Q50" s="640">
        <v>10.193218999999999</v>
      </c>
      <c r="R50" s="53">
        <v>10.312701000000001</v>
      </c>
      <c r="S50" s="53">
        <v>10.435452</v>
      </c>
      <c r="T50" s="53">
        <v>10.560364999999999</v>
      </c>
      <c r="U50" s="53">
        <v>10.688254000000001</v>
      </c>
      <c r="V50" s="640">
        <v>10.820406</v>
      </c>
      <c r="W50" s="53">
        <v>10.961319</v>
      </c>
      <c r="X50" s="53">
        <v>11.113746000000001</v>
      </c>
      <c r="Y50" s="53">
        <v>11.279361</v>
      </c>
      <c r="Z50" s="53">
        <v>11.456569</v>
      </c>
      <c r="AA50" s="640">
        <v>11.629659</v>
      </c>
      <c r="AB50" s="53">
        <v>11.794188999999999</v>
      </c>
      <c r="AC50" s="53">
        <v>11.948489</v>
      </c>
      <c r="AD50" s="53">
        <v>12.093949</v>
      </c>
      <c r="AE50" s="53">
        <v>12.228524999999999</v>
      </c>
      <c r="AF50" s="640">
        <v>12.351212</v>
      </c>
      <c r="AG50" s="641">
        <v>1.1707E-2</v>
      </c>
    </row>
    <row r="51" spans="1:33" x14ac:dyDescent="0.2">
      <c r="A51" s="111" t="s">
        <v>563</v>
      </c>
      <c r="B51" s="639">
        <v>6.9267544746398899</v>
      </c>
      <c r="C51" s="133">
        <v>7.0551457405090297</v>
      </c>
      <c r="D51" s="53">
        <v>6.918806</v>
      </c>
      <c r="E51" s="53">
        <v>6.936064</v>
      </c>
      <c r="F51" s="53">
        <v>8.4629370000000002</v>
      </c>
      <c r="G51" s="640">
        <v>8.6685479999999995</v>
      </c>
      <c r="H51" s="53">
        <v>8.8661779999999997</v>
      </c>
      <c r="I51" s="53">
        <v>9.0430580000000003</v>
      </c>
      <c r="J51" s="53">
        <v>9.2310560000000006</v>
      </c>
      <c r="K51" s="53">
        <v>9.4139160000000004</v>
      </c>
      <c r="L51" s="640">
        <v>9.5928939999999994</v>
      </c>
      <c r="M51" s="53">
        <v>9.7857280000000006</v>
      </c>
      <c r="N51" s="53">
        <v>9.9793679999999991</v>
      </c>
      <c r="O51" s="53">
        <v>10.164808000000001</v>
      </c>
      <c r="P51" s="53">
        <v>10.345886</v>
      </c>
      <c r="Q51" s="640">
        <v>10.526769</v>
      </c>
      <c r="R51" s="53">
        <v>10.693871</v>
      </c>
      <c r="S51" s="53">
        <v>10.850225999999999</v>
      </c>
      <c r="T51" s="53">
        <v>11.000893</v>
      </c>
      <c r="U51" s="53">
        <v>11.156801</v>
      </c>
      <c r="V51" s="640">
        <v>11.313601</v>
      </c>
      <c r="W51" s="53">
        <v>11.478806000000001</v>
      </c>
      <c r="X51" s="53">
        <v>11.658182</v>
      </c>
      <c r="Y51" s="53">
        <v>11.85397</v>
      </c>
      <c r="Z51" s="53">
        <v>12.060943</v>
      </c>
      <c r="AA51" s="640">
        <v>12.244344999999999</v>
      </c>
      <c r="AB51" s="53">
        <v>12.403930000000001</v>
      </c>
      <c r="AC51" s="53">
        <v>12.545403</v>
      </c>
      <c r="AD51" s="53">
        <v>12.670261</v>
      </c>
      <c r="AE51" s="53">
        <v>12.780468000000001</v>
      </c>
      <c r="AF51" s="640">
        <v>12.878292999999999</v>
      </c>
      <c r="AG51" s="641">
        <v>1.5959999999999998E-2</v>
      </c>
    </row>
    <row r="52" spans="1:33" x14ac:dyDescent="0.2">
      <c r="A52" s="111" t="s">
        <v>564</v>
      </c>
      <c r="B52" s="639">
        <v>7.7168469429016104</v>
      </c>
      <c r="C52" s="133">
        <v>7.7738347053527797</v>
      </c>
      <c r="D52" s="53">
        <v>5.9772910000000001</v>
      </c>
      <c r="E52" s="53">
        <v>5.9762320000000004</v>
      </c>
      <c r="F52" s="53">
        <v>8.6825460000000003</v>
      </c>
      <c r="G52" s="640">
        <v>8.6917980000000004</v>
      </c>
      <c r="H52" s="53">
        <v>8.7164710000000003</v>
      </c>
      <c r="I52" s="53">
        <v>8.7685659999999999</v>
      </c>
      <c r="J52" s="53">
        <v>8.8393730000000001</v>
      </c>
      <c r="K52" s="53">
        <v>8.9326209999999993</v>
      </c>
      <c r="L52" s="640">
        <v>9.0563059999999993</v>
      </c>
      <c r="M52" s="53">
        <v>9.2173040000000004</v>
      </c>
      <c r="N52" s="53">
        <v>9.4152740000000001</v>
      </c>
      <c r="O52" s="53">
        <v>9.7785499999999992</v>
      </c>
      <c r="P52" s="53">
        <v>10.090028999999999</v>
      </c>
      <c r="Q52" s="640">
        <v>10.326328</v>
      </c>
      <c r="R52" s="53">
        <v>10.506669</v>
      </c>
      <c r="S52" s="53">
        <v>10.640677</v>
      </c>
      <c r="T52" s="53">
        <v>10.743276</v>
      </c>
      <c r="U52" s="53">
        <v>10.821503999999999</v>
      </c>
      <c r="V52" s="640">
        <v>10.880049</v>
      </c>
      <c r="W52" s="53">
        <v>10.923505</v>
      </c>
      <c r="X52" s="53">
        <v>10.956263</v>
      </c>
      <c r="Y52" s="53">
        <v>10.980499</v>
      </c>
      <c r="Z52" s="53">
        <v>10.999079999999999</v>
      </c>
      <c r="AA52" s="640">
        <v>11.017599000000001</v>
      </c>
      <c r="AB52" s="53">
        <v>11.030868999999999</v>
      </c>
      <c r="AC52" s="53">
        <v>11.040463000000001</v>
      </c>
      <c r="AD52" s="53">
        <v>11.047701</v>
      </c>
      <c r="AE52" s="53">
        <v>11.053471999999999</v>
      </c>
      <c r="AF52" s="640">
        <v>11.057638000000001</v>
      </c>
      <c r="AG52" s="641">
        <v>9.6760000000000006E-3</v>
      </c>
    </row>
    <row r="53" spans="1:33" x14ac:dyDescent="0.2">
      <c r="A53" s="111" t="s">
        <v>575</v>
      </c>
      <c r="B53" s="639">
        <v>8.4131669998168892</v>
      </c>
      <c r="C53" s="133">
        <v>8.4269866943359393</v>
      </c>
      <c r="D53" s="53">
        <v>7.9584859999999997</v>
      </c>
      <c r="E53" s="53">
        <v>7.9426389999999998</v>
      </c>
      <c r="F53" s="53">
        <v>11.214619000000001</v>
      </c>
      <c r="G53" s="640">
        <v>11.479673999999999</v>
      </c>
      <c r="H53" s="53">
        <v>11.596023000000001</v>
      </c>
      <c r="I53" s="53">
        <v>11.694876000000001</v>
      </c>
      <c r="J53" s="53">
        <v>11.80119</v>
      </c>
      <c r="K53" s="53">
        <v>11.926536</v>
      </c>
      <c r="L53" s="640">
        <v>12.07353</v>
      </c>
      <c r="M53" s="53">
        <v>12.24478</v>
      </c>
      <c r="N53" s="53">
        <v>12.43797</v>
      </c>
      <c r="O53" s="53">
        <v>12.636350999999999</v>
      </c>
      <c r="P53" s="53">
        <v>12.842038000000001</v>
      </c>
      <c r="Q53" s="640">
        <v>13.044537</v>
      </c>
      <c r="R53" s="53">
        <v>13.239943999999999</v>
      </c>
      <c r="S53" s="53">
        <v>13.429525</v>
      </c>
      <c r="T53" s="53">
        <v>13.610018999999999</v>
      </c>
      <c r="U53" s="53">
        <v>13.780581</v>
      </c>
      <c r="V53" s="640">
        <v>13.940573000000001</v>
      </c>
      <c r="W53" s="53">
        <v>14.093256999999999</v>
      </c>
      <c r="X53" s="53">
        <v>14.239637</v>
      </c>
      <c r="Y53" s="53">
        <v>14.379625000000001</v>
      </c>
      <c r="Z53" s="53">
        <v>14.512282000000001</v>
      </c>
      <c r="AA53" s="640">
        <v>14.624492999999999</v>
      </c>
      <c r="AB53" s="53">
        <v>14.722721</v>
      </c>
      <c r="AC53" s="53">
        <v>14.808336000000001</v>
      </c>
      <c r="AD53" s="53">
        <v>14.883744999999999</v>
      </c>
      <c r="AE53" s="53">
        <v>14.949095</v>
      </c>
      <c r="AF53" s="640">
        <v>15.004977999999999</v>
      </c>
      <c r="AG53" s="641">
        <v>1.077E-2</v>
      </c>
    </row>
    <row r="54" spans="1:33" x14ac:dyDescent="0.2">
      <c r="A54" s="111" t="s">
        <v>566</v>
      </c>
      <c r="B54" s="513"/>
      <c r="G54" s="513"/>
      <c r="L54" s="513"/>
      <c r="Q54" s="513"/>
      <c r="V54" s="513"/>
      <c r="AA54" s="513"/>
      <c r="AF54" s="513"/>
    </row>
    <row r="55" spans="1:33" x14ac:dyDescent="0.2">
      <c r="A55" s="111" t="s">
        <v>561</v>
      </c>
      <c r="B55" s="639">
        <v>5.5694117546081499</v>
      </c>
      <c r="C55" s="133">
        <v>5.5763034820556596</v>
      </c>
      <c r="D55" s="53">
        <v>5.5395820000000002</v>
      </c>
      <c r="E55" s="53">
        <v>5.537439</v>
      </c>
      <c r="F55" s="53">
        <v>6.1022730000000003</v>
      </c>
      <c r="G55" s="640">
        <v>6.0745500000000003</v>
      </c>
      <c r="H55" s="53">
        <v>6.0571219999999997</v>
      </c>
      <c r="I55" s="53">
        <v>6.0383240000000002</v>
      </c>
      <c r="J55" s="53">
        <v>6.0199809999999996</v>
      </c>
      <c r="K55" s="53">
        <v>6.0940029999999998</v>
      </c>
      <c r="L55" s="640">
        <v>6.1867029999999996</v>
      </c>
      <c r="M55" s="53">
        <v>6.287344</v>
      </c>
      <c r="N55" s="53">
        <v>6.392576</v>
      </c>
      <c r="O55" s="53">
        <v>6.4961599999999997</v>
      </c>
      <c r="P55" s="53">
        <v>6.5967409999999997</v>
      </c>
      <c r="Q55" s="640">
        <v>6.690334</v>
      </c>
      <c r="R55" s="53">
        <v>6.7785320000000002</v>
      </c>
      <c r="S55" s="53">
        <v>6.8637879999999996</v>
      </c>
      <c r="T55" s="53">
        <v>6.9454739999999999</v>
      </c>
      <c r="U55" s="53">
        <v>7.0211009999999998</v>
      </c>
      <c r="V55" s="640">
        <v>7.089315</v>
      </c>
      <c r="W55" s="53">
        <v>7.1523899999999996</v>
      </c>
      <c r="X55" s="53">
        <v>7.2105259999999998</v>
      </c>
      <c r="Y55" s="53">
        <v>7.2631480000000002</v>
      </c>
      <c r="Z55" s="53">
        <v>7.3102229999999997</v>
      </c>
      <c r="AA55" s="640">
        <v>7.351343</v>
      </c>
      <c r="AB55" s="53">
        <v>7.3879469999999996</v>
      </c>
      <c r="AC55" s="53">
        <v>7.420674</v>
      </c>
      <c r="AD55" s="53">
        <v>7.4512400000000003</v>
      </c>
      <c r="AE55" s="53">
        <v>7.4778599999999997</v>
      </c>
      <c r="AF55" s="640">
        <v>7.5000879999999999</v>
      </c>
      <c r="AG55" s="641">
        <v>8.4679999999999998E-3</v>
      </c>
    </row>
    <row r="56" spans="1:33" x14ac:dyDescent="0.2">
      <c r="A56" s="111" t="s">
        <v>562</v>
      </c>
      <c r="B56" s="639">
        <v>7.2316441535949698</v>
      </c>
      <c r="C56" s="133">
        <v>7.26389455795288</v>
      </c>
      <c r="D56" s="53">
        <v>8.0297830000000001</v>
      </c>
      <c r="E56" s="53">
        <v>8.0545019999999994</v>
      </c>
      <c r="F56" s="53">
        <v>5.3593109999999999</v>
      </c>
      <c r="G56" s="640">
        <v>5.3607529999999999</v>
      </c>
      <c r="H56" s="53">
        <v>5.3567780000000003</v>
      </c>
      <c r="I56" s="53">
        <v>5.3500360000000002</v>
      </c>
      <c r="J56" s="53">
        <v>5.3404639999999999</v>
      </c>
      <c r="K56" s="53">
        <v>5.3381769999999999</v>
      </c>
      <c r="L56" s="640">
        <v>5.3365859999999996</v>
      </c>
      <c r="M56" s="53">
        <v>5.3350860000000004</v>
      </c>
      <c r="N56" s="53">
        <v>5.3347600000000002</v>
      </c>
      <c r="O56" s="53">
        <v>5.3361099999999997</v>
      </c>
      <c r="P56" s="53">
        <v>5.3403840000000002</v>
      </c>
      <c r="Q56" s="640">
        <v>5.3449220000000004</v>
      </c>
      <c r="R56" s="53">
        <v>5.3508509999999996</v>
      </c>
      <c r="S56" s="53">
        <v>5.3576090000000001</v>
      </c>
      <c r="T56" s="53">
        <v>5.3656819999999996</v>
      </c>
      <c r="U56" s="53">
        <v>5.3736790000000001</v>
      </c>
      <c r="V56" s="640">
        <v>5.3822450000000002</v>
      </c>
      <c r="W56" s="53">
        <v>5.3905390000000004</v>
      </c>
      <c r="X56" s="53">
        <v>5.3984050000000003</v>
      </c>
      <c r="Y56" s="53">
        <v>5.4058859999999997</v>
      </c>
      <c r="Z56" s="53">
        <v>5.412757</v>
      </c>
      <c r="AA56" s="640">
        <v>5.4184330000000003</v>
      </c>
      <c r="AB56" s="53">
        <v>5.42415</v>
      </c>
      <c r="AC56" s="53">
        <v>5.4293319999999996</v>
      </c>
      <c r="AD56" s="53">
        <v>5.4343240000000002</v>
      </c>
      <c r="AE56" s="53">
        <v>5.4380649999999999</v>
      </c>
      <c r="AF56" s="640">
        <v>5.4416000000000002</v>
      </c>
      <c r="AG56" s="641">
        <v>5.9900000000000003E-4</v>
      </c>
    </row>
    <row r="57" spans="1:33" x14ac:dyDescent="0.2">
      <c r="A57" s="111" t="s">
        <v>563</v>
      </c>
      <c r="B57" s="639">
        <v>6.6924419403076199</v>
      </c>
      <c r="C57" s="133">
        <v>6.8200793266296396</v>
      </c>
      <c r="D57" s="53">
        <v>5.2346050000000002</v>
      </c>
      <c r="E57" s="53">
        <v>5.2304820000000003</v>
      </c>
      <c r="F57" s="53">
        <v>5.4355529999999996</v>
      </c>
      <c r="G57" s="640">
        <v>5.4288970000000001</v>
      </c>
      <c r="H57" s="53">
        <v>5.4250790000000002</v>
      </c>
      <c r="I57" s="53">
        <v>5.4211419999999997</v>
      </c>
      <c r="J57" s="53">
        <v>5.4162169999999996</v>
      </c>
      <c r="K57" s="53">
        <v>5.4209959999999997</v>
      </c>
      <c r="L57" s="640">
        <v>5.4298739999999999</v>
      </c>
      <c r="M57" s="53">
        <v>5.4402920000000003</v>
      </c>
      <c r="N57" s="53">
        <v>5.4526260000000004</v>
      </c>
      <c r="O57" s="53">
        <v>5.4670500000000004</v>
      </c>
      <c r="P57" s="53">
        <v>5.4841350000000002</v>
      </c>
      <c r="Q57" s="640">
        <v>5.5039949999999997</v>
      </c>
      <c r="R57" s="53">
        <v>5.5264730000000002</v>
      </c>
      <c r="S57" s="53">
        <v>5.551094</v>
      </c>
      <c r="T57" s="53">
        <v>5.5779519999999998</v>
      </c>
      <c r="U57" s="53">
        <v>5.6029619999999998</v>
      </c>
      <c r="V57" s="640">
        <v>5.6228449999999999</v>
      </c>
      <c r="W57" s="53">
        <v>5.6335540000000002</v>
      </c>
      <c r="X57" s="53">
        <v>5.6467219999999996</v>
      </c>
      <c r="Y57" s="53">
        <v>5.6580459999999997</v>
      </c>
      <c r="Z57" s="53">
        <v>5.6683149999999998</v>
      </c>
      <c r="AA57" s="640">
        <v>5.6766779999999999</v>
      </c>
      <c r="AB57" s="53">
        <v>5.6848289999999997</v>
      </c>
      <c r="AC57" s="53">
        <v>5.6920080000000004</v>
      </c>
      <c r="AD57" s="53">
        <v>5.6982980000000003</v>
      </c>
      <c r="AE57" s="53">
        <v>5.7037500000000003</v>
      </c>
      <c r="AF57" s="640">
        <v>5.7083849999999998</v>
      </c>
      <c r="AG57" s="641">
        <v>2.0100000000000001E-3</v>
      </c>
    </row>
    <row r="58" spans="1:33" x14ac:dyDescent="0.2">
      <c r="A58" s="111" t="s">
        <v>564</v>
      </c>
      <c r="B58" s="639">
        <v>7.0777316093444798</v>
      </c>
      <c r="C58" s="133">
        <v>7.1420869827270499</v>
      </c>
      <c r="D58" s="53">
        <v>5.5547579999999996</v>
      </c>
      <c r="E58" s="53">
        <v>5.5587780000000002</v>
      </c>
      <c r="F58" s="53">
        <v>5.4975820000000004</v>
      </c>
      <c r="G58" s="640">
        <v>5.5089059999999996</v>
      </c>
      <c r="H58" s="53">
        <v>5.5433029999999999</v>
      </c>
      <c r="I58" s="53">
        <v>5.5665149999999999</v>
      </c>
      <c r="J58" s="53">
        <v>5.5895700000000001</v>
      </c>
      <c r="K58" s="53">
        <v>5.654191</v>
      </c>
      <c r="L58" s="640">
        <v>5.7263739999999999</v>
      </c>
      <c r="M58" s="53">
        <v>5.8023600000000002</v>
      </c>
      <c r="N58" s="53">
        <v>5.8823270000000001</v>
      </c>
      <c r="O58" s="53">
        <v>5.9545890000000004</v>
      </c>
      <c r="P58" s="53">
        <v>6.0160980000000004</v>
      </c>
      <c r="Q58" s="640">
        <v>6.0652980000000003</v>
      </c>
      <c r="R58" s="53">
        <v>6.1043149999999997</v>
      </c>
      <c r="S58" s="53">
        <v>6.1363649999999996</v>
      </c>
      <c r="T58" s="53">
        <v>6.1627000000000001</v>
      </c>
      <c r="U58" s="53">
        <v>6.1839389999999996</v>
      </c>
      <c r="V58" s="640">
        <v>6.2010620000000003</v>
      </c>
      <c r="W58" s="53">
        <v>6.2153219999999996</v>
      </c>
      <c r="X58" s="53">
        <v>6.2274050000000001</v>
      </c>
      <c r="Y58" s="53">
        <v>6.2378410000000004</v>
      </c>
      <c r="Z58" s="53">
        <v>6.2466160000000004</v>
      </c>
      <c r="AA58" s="640">
        <v>6.2538919999999996</v>
      </c>
      <c r="AB58" s="53">
        <v>6.2576689999999999</v>
      </c>
      <c r="AC58" s="53">
        <v>6.2618010000000002</v>
      </c>
      <c r="AD58" s="53">
        <v>6.2636710000000004</v>
      </c>
      <c r="AE58" s="53">
        <v>6.2640890000000002</v>
      </c>
      <c r="AF58" s="640">
        <v>6.2635129999999997</v>
      </c>
      <c r="AG58" s="641">
        <v>5.1479999999999998E-3</v>
      </c>
    </row>
    <row r="59" spans="1:33" x14ac:dyDescent="0.2">
      <c r="A59" s="111" t="s">
        <v>576</v>
      </c>
      <c r="B59" s="639">
        <v>5.5848541259765598</v>
      </c>
      <c r="C59" s="133">
        <v>5.5924091339111301</v>
      </c>
      <c r="D59" s="53">
        <v>5.5993259999999996</v>
      </c>
      <c r="E59" s="53">
        <v>5.6007600000000002</v>
      </c>
      <c r="F59" s="53">
        <v>6.0709169999999997</v>
      </c>
      <c r="G59" s="640">
        <v>6.0506080000000004</v>
      </c>
      <c r="H59" s="53">
        <v>6.0345019999999998</v>
      </c>
      <c r="I59" s="53">
        <v>6.0173839999999998</v>
      </c>
      <c r="J59" s="53">
        <v>6.0004460000000002</v>
      </c>
      <c r="K59" s="53">
        <v>6.073499</v>
      </c>
      <c r="L59" s="640">
        <v>6.1648930000000002</v>
      </c>
      <c r="M59" s="53">
        <v>6.2640380000000002</v>
      </c>
      <c r="N59" s="53">
        <v>6.3675579999999998</v>
      </c>
      <c r="O59" s="53">
        <v>6.4693519999999998</v>
      </c>
      <c r="P59" s="53">
        <v>6.5680319999999996</v>
      </c>
      <c r="Q59" s="640">
        <v>6.6596669999999998</v>
      </c>
      <c r="R59" s="53">
        <v>6.7457630000000002</v>
      </c>
      <c r="S59" s="53">
        <v>6.8287699999999996</v>
      </c>
      <c r="T59" s="53">
        <v>6.9083620000000003</v>
      </c>
      <c r="U59" s="53">
        <v>6.9820799999999998</v>
      </c>
      <c r="V59" s="640">
        <v>7.04847</v>
      </c>
      <c r="W59" s="53">
        <v>7.109686</v>
      </c>
      <c r="X59" s="53">
        <v>7.1662160000000004</v>
      </c>
      <c r="Y59" s="53">
        <v>7.2173610000000004</v>
      </c>
      <c r="Z59" s="53">
        <v>7.2630739999999996</v>
      </c>
      <c r="AA59" s="640">
        <v>7.3030020000000002</v>
      </c>
      <c r="AB59" s="53">
        <v>7.3386469999999999</v>
      </c>
      <c r="AC59" s="53">
        <v>7.3704669999999997</v>
      </c>
      <c r="AD59" s="53">
        <v>7.4001859999999997</v>
      </c>
      <c r="AE59" s="53">
        <v>7.4261559999999998</v>
      </c>
      <c r="AF59" s="640">
        <v>7.44794</v>
      </c>
      <c r="AG59" s="641">
        <v>8.3459999999999993E-3</v>
      </c>
    </row>
    <row r="60" spans="1:33" x14ac:dyDescent="0.2">
      <c r="A60" s="111" t="s">
        <v>577</v>
      </c>
      <c r="B60" s="639">
        <v>6.0204105377197301</v>
      </c>
      <c r="C60" s="133">
        <v>6.0148034095764196</v>
      </c>
      <c r="D60" s="53">
        <v>6.0145730000000004</v>
      </c>
      <c r="E60" s="53">
        <v>6.0257550000000002</v>
      </c>
      <c r="F60" s="53">
        <v>6.6702830000000004</v>
      </c>
      <c r="G60" s="640">
        <v>6.6640449999999998</v>
      </c>
      <c r="H60" s="53">
        <v>6.6787419999999997</v>
      </c>
      <c r="I60" s="53">
        <v>6.6756380000000002</v>
      </c>
      <c r="J60" s="53">
        <v>6.6708550000000004</v>
      </c>
      <c r="K60" s="53">
        <v>6.7435609999999997</v>
      </c>
      <c r="L60" s="640">
        <v>6.8309499999999996</v>
      </c>
      <c r="M60" s="53">
        <v>6.9286380000000003</v>
      </c>
      <c r="N60" s="53">
        <v>7.0332600000000003</v>
      </c>
      <c r="O60" s="53">
        <v>7.1355139999999997</v>
      </c>
      <c r="P60" s="53">
        <v>7.2352920000000003</v>
      </c>
      <c r="Q60" s="640">
        <v>7.3301179999999997</v>
      </c>
      <c r="R60" s="53">
        <v>7.420185</v>
      </c>
      <c r="S60" s="53">
        <v>7.5058369999999996</v>
      </c>
      <c r="T60" s="53">
        <v>7.5850160000000004</v>
      </c>
      <c r="U60" s="53">
        <v>7.6571100000000003</v>
      </c>
      <c r="V60" s="640">
        <v>7.72262</v>
      </c>
      <c r="W60" s="53">
        <v>7.7840299999999996</v>
      </c>
      <c r="X60" s="53">
        <v>7.8417349999999999</v>
      </c>
      <c r="Y60" s="53">
        <v>7.8950769999999997</v>
      </c>
      <c r="Z60" s="53">
        <v>7.9438909999999998</v>
      </c>
      <c r="AA60" s="640">
        <v>7.9863489999999997</v>
      </c>
      <c r="AB60" s="53">
        <v>8.0241919999999993</v>
      </c>
      <c r="AC60" s="53">
        <v>8.0572490000000005</v>
      </c>
      <c r="AD60" s="53">
        <v>8.0868409999999997</v>
      </c>
      <c r="AE60" s="53">
        <v>8.1111540000000009</v>
      </c>
      <c r="AF60" s="640">
        <v>8.1304449999999999</v>
      </c>
      <c r="AG60" s="641">
        <v>7.9869999999999993E-3</v>
      </c>
    </row>
    <row r="61" spans="1:33" x14ac:dyDescent="0.2">
      <c r="B61" s="513"/>
      <c r="G61" s="513"/>
      <c r="L61" s="513"/>
      <c r="Q61" s="513"/>
      <c r="V61" s="513"/>
      <c r="AA61" s="513"/>
      <c r="AF61" s="513"/>
    </row>
    <row r="62" spans="1:33" x14ac:dyDescent="0.2">
      <c r="A62" s="111" t="s">
        <v>578</v>
      </c>
      <c r="B62" s="513"/>
      <c r="G62" s="513"/>
      <c r="L62" s="513"/>
      <c r="Q62" s="513"/>
      <c r="V62" s="513"/>
      <c r="AA62" s="513"/>
      <c r="AF62" s="513"/>
    </row>
    <row r="63" spans="1:33" x14ac:dyDescent="0.2">
      <c r="A63" s="111" t="s">
        <v>560</v>
      </c>
      <c r="B63" s="513"/>
      <c r="G63" s="513"/>
      <c r="L63" s="513"/>
      <c r="Q63" s="513"/>
      <c r="V63" s="513"/>
      <c r="AA63" s="513"/>
      <c r="AF63" s="513"/>
    </row>
    <row r="64" spans="1:33" x14ac:dyDescent="0.2">
      <c r="A64" s="111" t="s">
        <v>561</v>
      </c>
      <c r="B64" s="639">
        <v>2.2839496135711701</v>
      </c>
      <c r="C64" s="133">
        <v>2.3639793395996098</v>
      </c>
      <c r="D64" s="53">
        <v>2.2367530000000002</v>
      </c>
      <c r="E64" s="53">
        <v>2.270178</v>
      </c>
      <c r="F64" s="53">
        <v>2.416344</v>
      </c>
      <c r="G64" s="640">
        <v>2.424185</v>
      </c>
      <c r="H64" s="53">
        <v>2.4907219999999999</v>
      </c>
      <c r="I64" s="53">
        <v>2.530332</v>
      </c>
      <c r="J64" s="53">
        <v>2.583196</v>
      </c>
      <c r="K64" s="53">
        <v>2.656631</v>
      </c>
      <c r="L64" s="640">
        <v>2.7396760000000002</v>
      </c>
      <c r="M64" s="53">
        <v>2.8190770000000001</v>
      </c>
      <c r="N64" s="53">
        <v>2.889465</v>
      </c>
      <c r="O64" s="53">
        <v>2.9510589999999999</v>
      </c>
      <c r="P64" s="53">
        <v>3.011136</v>
      </c>
      <c r="Q64" s="640">
        <v>3.068092</v>
      </c>
      <c r="R64" s="53">
        <v>3.125289</v>
      </c>
      <c r="S64" s="53">
        <v>3.1901229999999998</v>
      </c>
      <c r="T64" s="53">
        <v>3.2633399999999999</v>
      </c>
      <c r="U64" s="53">
        <v>3.3408250000000002</v>
      </c>
      <c r="V64" s="640">
        <v>3.4190399999999999</v>
      </c>
      <c r="W64" s="53">
        <v>3.498224</v>
      </c>
      <c r="X64" s="53">
        <v>3.5789490000000002</v>
      </c>
      <c r="Y64" s="53">
        <v>3.6594000000000002</v>
      </c>
      <c r="Z64" s="53">
        <v>3.7362229999999998</v>
      </c>
      <c r="AA64" s="640">
        <v>3.8125429999999998</v>
      </c>
      <c r="AB64" s="53">
        <v>3.8918170000000001</v>
      </c>
      <c r="AC64" s="53">
        <v>3.9680550000000001</v>
      </c>
      <c r="AD64" s="53">
        <v>4.0485309999999997</v>
      </c>
      <c r="AE64" s="53">
        <v>4.1338710000000001</v>
      </c>
      <c r="AF64" s="640">
        <v>4.2200839999999999</v>
      </c>
      <c r="AG64" s="641">
        <v>2.2422000000000001E-2</v>
      </c>
    </row>
    <row r="65" spans="1:33" x14ac:dyDescent="0.2">
      <c r="A65" s="111" t="s">
        <v>562</v>
      </c>
      <c r="B65" s="639">
        <v>1.8989447355270399</v>
      </c>
      <c r="C65" s="133">
        <v>1.8685606718063399</v>
      </c>
      <c r="D65" s="53">
        <v>1.5123329999999999</v>
      </c>
      <c r="E65" s="53">
        <v>1.546797</v>
      </c>
      <c r="F65" s="53">
        <v>1.430796</v>
      </c>
      <c r="G65" s="640">
        <v>1.406075</v>
      </c>
      <c r="H65" s="53">
        <v>1.3889400000000001</v>
      </c>
      <c r="I65" s="53">
        <v>1.364479</v>
      </c>
      <c r="J65" s="53">
        <v>1.348981</v>
      </c>
      <c r="K65" s="53">
        <v>1.3459719999999999</v>
      </c>
      <c r="L65" s="640">
        <v>1.348163</v>
      </c>
      <c r="M65" s="53">
        <v>1.3504929999999999</v>
      </c>
      <c r="N65" s="53">
        <v>1.350474</v>
      </c>
      <c r="O65" s="53">
        <v>1.3472740000000001</v>
      </c>
      <c r="P65" s="53">
        <v>1.3440989999999999</v>
      </c>
      <c r="Q65" s="640">
        <v>1.3399490000000001</v>
      </c>
      <c r="R65" s="53">
        <v>1.33701</v>
      </c>
      <c r="S65" s="53">
        <v>1.3377110000000001</v>
      </c>
      <c r="T65" s="53">
        <v>1.3418639999999999</v>
      </c>
      <c r="U65" s="53">
        <v>1.3483769999999999</v>
      </c>
      <c r="V65" s="640">
        <v>1.3567990000000001</v>
      </c>
      <c r="W65" s="53">
        <v>1.3664700000000001</v>
      </c>
      <c r="X65" s="53">
        <v>1.3770519999999999</v>
      </c>
      <c r="Y65" s="53">
        <v>1.3876759999999999</v>
      </c>
      <c r="Z65" s="53">
        <v>1.398385</v>
      </c>
      <c r="AA65" s="640">
        <v>1.410919</v>
      </c>
      <c r="AB65" s="53">
        <v>1.4263349999999999</v>
      </c>
      <c r="AC65" s="53">
        <v>1.4435119999999999</v>
      </c>
      <c r="AD65" s="53">
        <v>1.4623170000000001</v>
      </c>
      <c r="AE65" s="53">
        <v>1.4821580000000001</v>
      </c>
      <c r="AF65" s="640">
        <v>1.5045949999999999</v>
      </c>
      <c r="AG65" s="641">
        <v>2.712E-3</v>
      </c>
    </row>
    <row r="66" spans="1:33" x14ac:dyDescent="0.2">
      <c r="A66" s="111" t="s">
        <v>563</v>
      </c>
      <c r="B66" s="639">
        <v>3.8607131689786897E-2</v>
      </c>
      <c r="C66" s="133">
        <v>4.01168763637543E-2</v>
      </c>
      <c r="D66" s="53">
        <v>3.1928999999999999E-2</v>
      </c>
      <c r="E66" s="53">
        <v>3.1067999999999998E-2</v>
      </c>
      <c r="F66" s="53">
        <v>3.7051000000000001E-2</v>
      </c>
      <c r="G66" s="640">
        <v>3.5859000000000002E-2</v>
      </c>
      <c r="H66" s="53">
        <v>3.4884999999999999E-2</v>
      </c>
      <c r="I66" s="53">
        <v>3.4129E-2</v>
      </c>
      <c r="J66" s="53">
        <v>3.3709999999999997E-2</v>
      </c>
      <c r="K66" s="53">
        <v>3.3624000000000001E-2</v>
      </c>
      <c r="L66" s="640">
        <v>3.3654000000000003E-2</v>
      </c>
      <c r="M66" s="53">
        <v>3.3974999999999998E-2</v>
      </c>
      <c r="N66" s="53">
        <v>3.4473999999999998E-2</v>
      </c>
      <c r="O66" s="53">
        <v>3.5131000000000003E-2</v>
      </c>
      <c r="P66" s="53">
        <v>3.5985999999999997E-2</v>
      </c>
      <c r="Q66" s="640">
        <v>3.7012000000000003E-2</v>
      </c>
      <c r="R66" s="53">
        <v>3.8306E-2</v>
      </c>
      <c r="S66" s="53">
        <v>3.9954000000000003E-2</v>
      </c>
      <c r="T66" s="53">
        <v>4.1956E-2</v>
      </c>
      <c r="U66" s="53">
        <v>4.4234999999999997E-2</v>
      </c>
      <c r="V66" s="640">
        <v>4.6793000000000001E-2</v>
      </c>
      <c r="W66" s="53">
        <v>4.9626999999999998E-2</v>
      </c>
      <c r="X66" s="53">
        <v>5.271E-2</v>
      </c>
      <c r="Y66" s="53">
        <v>5.5982999999999998E-2</v>
      </c>
      <c r="Z66" s="53">
        <v>5.9131999999999997E-2</v>
      </c>
      <c r="AA66" s="640">
        <v>6.2507999999999994E-2</v>
      </c>
      <c r="AB66" s="53">
        <v>6.6055000000000003E-2</v>
      </c>
      <c r="AC66" s="53">
        <v>6.9582000000000005E-2</v>
      </c>
      <c r="AD66" s="53">
        <v>7.3183999999999999E-2</v>
      </c>
      <c r="AE66" s="53">
        <v>7.6757000000000006E-2</v>
      </c>
      <c r="AF66" s="640">
        <v>8.0281000000000005E-2</v>
      </c>
      <c r="AG66" s="641">
        <v>3.2763E-2</v>
      </c>
    </row>
    <row r="67" spans="1:33" x14ac:dyDescent="0.2">
      <c r="A67" s="111" t="s">
        <v>564</v>
      </c>
      <c r="B67" s="639">
        <v>2.3326493799686401E-2</v>
      </c>
      <c r="C67" s="133">
        <v>2.7588060125708601E-2</v>
      </c>
      <c r="D67" s="53">
        <v>2.2970000000000001E-2</v>
      </c>
      <c r="E67" s="53">
        <v>2.2759999999999999E-2</v>
      </c>
      <c r="F67" s="53">
        <v>3.4257000000000003E-2</v>
      </c>
      <c r="G67" s="640">
        <v>3.3745999999999998E-2</v>
      </c>
      <c r="H67" s="53">
        <v>3.2167000000000001E-2</v>
      </c>
      <c r="I67" s="53">
        <v>3.1122E-2</v>
      </c>
      <c r="J67" s="53">
        <v>3.0213E-2</v>
      </c>
      <c r="K67" s="53">
        <v>2.9488E-2</v>
      </c>
      <c r="L67" s="640">
        <v>2.8958000000000001E-2</v>
      </c>
      <c r="M67" s="53">
        <v>2.8589E-2</v>
      </c>
      <c r="N67" s="53">
        <v>2.8361000000000001E-2</v>
      </c>
      <c r="O67" s="53">
        <v>2.9437000000000001E-2</v>
      </c>
      <c r="P67" s="53">
        <v>3.0868E-2</v>
      </c>
      <c r="Q67" s="640">
        <v>3.2646000000000001E-2</v>
      </c>
      <c r="R67" s="53">
        <v>3.4818000000000002E-2</v>
      </c>
      <c r="S67" s="53">
        <v>3.7482000000000001E-2</v>
      </c>
      <c r="T67" s="53">
        <v>4.0578000000000003E-2</v>
      </c>
      <c r="U67" s="53">
        <v>4.4014999999999999E-2</v>
      </c>
      <c r="V67" s="640">
        <v>4.7702000000000001E-2</v>
      </c>
      <c r="W67" s="53">
        <v>5.16E-2</v>
      </c>
      <c r="X67" s="53">
        <v>5.5663999999999998E-2</v>
      </c>
      <c r="Y67" s="53">
        <v>5.9803000000000002E-2</v>
      </c>
      <c r="Z67" s="53">
        <v>6.3839999999999994E-2</v>
      </c>
      <c r="AA67" s="640">
        <v>7.0058999999999996E-2</v>
      </c>
      <c r="AB67" s="53">
        <v>7.6261999999999996E-2</v>
      </c>
      <c r="AC67" s="53">
        <v>8.2450999999999997E-2</v>
      </c>
      <c r="AD67" s="53">
        <v>8.8707999999999995E-2</v>
      </c>
      <c r="AE67" s="53">
        <v>9.4772999999999996E-2</v>
      </c>
      <c r="AF67" s="640">
        <v>0.100837</v>
      </c>
      <c r="AG67" s="641">
        <v>4.4759E-2</v>
      </c>
    </row>
    <row r="68" spans="1:33" x14ac:dyDescent="0.2">
      <c r="A68" s="111" t="s">
        <v>565</v>
      </c>
      <c r="B68" s="639">
        <v>4.2448282241821298</v>
      </c>
      <c r="C68" s="133">
        <v>4.3002452850341797</v>
      </c>
      <c r="D68" s="53">
        <v>3.8039830000000001</v>
      </c>
      <c r="E68" s="53">
        <v>3.870803</v>
      </c>
      <c r="F68" s="53">
        <v>3.9184489999999998</v>
      </c>
      <c r="G68" s="640">
        <v>3.8998650000000001</v>
      </c>
      <c r="H68" s="53">
        <v>3.9467159999999999</v>
      </c>
      <c r="I68" s="53">
        <v>3.960064</v>
      </c>
      <c r="J68" s="53">
        <v>3.9961000000000002</v>
      </c>
      <c r="K68" s="53">
        <v>4.065715</v>
      </c>
      <c r="L68" s="640">
        <v>4.1504529999999997</v>
      </c>
      <c r="M68" s="53">
        <v>4.2321350000000004</v>
      </c>
      <c r="N68" s="53">
        <v>4.3027740000000003</v>
      </c>
      <c r="O68" s="53">
        <v>4.3629009999999999</v>
      </c>
      <c r="P68" s="53">
        <v>4.4220889999999997</v>
      </c>
      <c r="Q68" s="640">
        <v>4.4776990000000003</v>
      </c>
      <c r="R68" s="53">
        <v>4.5354219999999996</v>
      </c>
      <c r="S68" s="53">
        <v>4.6052710000000001</v>
      </c>
      <c r="T68" s="53">
        <v>4.6877380000000004</v>
      </c>
      <c r="U68" s="53">
        <v>4.7774520000000003</v>
      </c>
      <c r="V68" s="640">
        <v>4.8703320000000003</v>
      </c>
      <c r="W68" s="53">
        <v>4.9659209999999998</v>
      </c>
      <c r="X68" s="53">
        <v>5.0643760000000002</v>
      </c>
      <c r="Y68" s="53">
        <v>5.1628590000000001</v>
      </c>
      <c r="Z68" s="53">
        <v>5.2575820000000002</v>
      </c>
      <c r="AA68" s="640">
        <v>5.3560299999999996</v>
      </c>
      <c r="AB68" s="53">
        <v>5.4604679999999997</v>
      </c>
      <c r="AC68" s="53">
        <v>5.5636010000000002</v>
      </c>
      <c r="AD68" s="53">
        <v>5.6727410000000003</v>
      </c>
      <c r="AE68" s="53">
        <v>5.7875569999999996</v>
      </c>
      <c r="AF68" s="640">
        <v>5.9057979999999999</v>
      </c>
      <c r="AG68" s="641">
        <v>1.6737999999999999E-2</v>
      </c>
    </row>
    <row r="69" spans="1:33" x14ac:dyDescent="0.2">
      <c r="A69" s="111" t="s">
        <v>566</v>
      </c>
      <c r="B69" s="513"/>
      <c r="G69" s="513"/>
      <c r="L69" s="513"/>
      <c r="Q69" s="513"/>
      <c r="V69" s="513"/>
      <c r="AA69" s="513"/>
      <c r="AF69" s="513"/>
    </row>
    <row r="70" spans="1:33" x14ac:dyDescent="0.2">
      <c r="A70" s="111" t="s">
        <v>561</v>
      </c>
      <c r="B70" s="639">
        <v>4.61373090744019</v>
      </c>
      <c r="C70" s="133">
        <v>4.8187537193298304</v>
      </c>
      <c r="D70" s="53">
        <v>4.2511960000000002</v>
      </c>
      <c r="E70" s="53">
        <v>4.2523359999999997</v>
      </c>
      <c r="F70" s="53">
        <v>4.594481</v>
      </c>
      <c r="G70" s="640">
        <v>4.5690179999999998</v>
      </c>
      <c r="H70" s="53">
        <v>4.579955</v>
      </c>
      <c r="I70" s="53">
        <v>4.588724</v>
      </c>
      <c r="J70" s="53">
        <v>4.6067400000000003</v>
      </c>
      <c r="K70" s="53">
        <v>4.6516659999999996</v>
      </c>
      <c r="L70" s="640">
        <v>4.7145429999999999</v>
      </c>
      <c r="M70" s="53">
        <v>4.772062</v>
      </c>
      <c r="N70" s="53">
        <v>4.8206410000000002</v>
      </c>
      <c r="O70" s="53">
        <v>4.8602879999999997</v>
      </c>
      <c r="P70" s="53">
        <v>4.8986159999999996</v>
      </c>
      <c r="Q70" s="640">
        <v>4.9328659999999998</v>
      </c>
      <c r="R70" s="53">
        <v>4.967085</v>
      </c>
      <c r="S70" s="53">
        <v>5.0168970000000002</v>
      </c>
      <c r="T70" s="53">
        <v>5.0854819999999998</v>
      </c>
      <c r="U70" s="53">
        <v>5.1628699999999998</v>
      </c>
      <c r="V70" s="640">
        <v>5.245355</v>
      </c>
      <c r="W70" s="53">
        <v>5.3341469999999997</v>
      </c>
      <c r="X70" s="53">
        <v>5.4263199999999996</v>
      </c>
      <c r="Y70" s="53">
        <v>5.519819</v>
      </c>
      <c r="Z70" s="53">
        <v>5.6051479999999998</v>
      </c>
      <c r="AA70" s="640">
        <v>5.700088</v>
      </c>
      <c r="AB70" s="53">
        <v>5.7882069999999999</v>
      </c>
      <c r="AC70" s="53">
        <v>5.8813810000000002</v>
      </c>
      <c r="AD70" s="53">
        <v>5.9749470000000002</v>
      </c>
      <c r="AE70" s="53">
        <v>6.0875199999999996</v>
      </c>
      <c r="AF70" s="640">
        <v>6.2208779999999999</v>
      </c>
      <c r="AG70" s="641">
        <v>1.2421E-2</v>
      </c>
    </row>
    <row r="71" spans="1:33" x14ac:dyDescent="0.2">
      <c r="A71" s="111" t="s">
        <v>562</v>
      </c>
      <c r="B71" s="639">
        <v>0.290865898132324</v>
      </c>
      <c r="C71" s="133">
        <v>0.28495445847511303</v>
      </c>
      <c r="D71" s="53">
        <v>0.50868400000000003</v>
      </c>
      <c r="E71" s="53">
        <v>0.51365400000000005</v>
      </c>
      <c r="F71" s="53">
        <v>0.41312700000000002</v>
      </c>
      <c r="G71" s="640">
        <v>0.39325900000000003</v>
      </c>
      <c r="H71" s="53">
        <v>0.38164500000000001</v>
      </c>
      <c r="I71" s="53">
        <v>0.36921700000000002</v>
      </c>
      <c r="J71" s="53">
        <v>0.35759099999999999</v>
      </c>
      <c r="K71" s="53">
        <v>0.34798200000000001</v>
      </c>
      <c r="L71" s="640">
        <v>0.339341</v>
      </c>
      <c r="M71" s="53">
        <v>0.33094200000000001</v>
      </c>
      <c r="N71" s="53">
        <v>0.32241500000000001</v>
      </c>
      <c r="O71" s="53">
        <v>0.31279699999999999</v>
      </c>
      <c r="P71" s="53">
        <v>0.30312899999999998</v>
      </c>
      <c r="Q71" s="640">
        <v>0.29429499999999997</v>
      </c>
      <c r="R71" s="53">
        <v>0.28628700000000001</v>
      </c>
      <c r="S71" s="53">
        <v>0.27991100000000002</v>
      </c>
      <c r="T71" s="53">
        <v>0.27570800000000001</v>
      </c>
      <c r="U71" s="53">
        <v>0.27261999999999997</v>
      </c>
      <c r="V71" s="640">
        <v>0.27076600000000001</v>
      </c>
      <c r="W71" s="53">
        <v>0.26991100000000001</v>
      </c>
      <c r="X71" s="53">
        <v>0.26915099999999997</v>
      </c>
      <c r="Y71" s="53">
        <v>0.26855699999999999</v>
      </c>
      <c r="Z71" s="53">
        <v>0.26770500000000003</v>
      </c>
      <c r="AA71" s="640">
        <v>0.26724599999999998</v>
      </c>
      <c r="AB71" s="53">
        <v>0.26527299999999998</v>
      </c>
      <c r="AC71" s="53">
        <v>0.26519700000000002</v>
      </c>
      <c r="AD71" s="53">
        <v>0.26566600000000001</v>
      </c>
      <c r="AE71" s="53">
        <v>0.26640599999999998</v>
      </c>
      <c r="AF71" s="640">
        <v>0.26717800000000003</v>
      </c>
      <c r="AG71" s="641">
        <v>-1.5343000000000001E-2</v>
      </c>
    </row>
    <row r="72" spans="1:33" x14ac:dyDescent="0.2">
      <c r="A72" s="111" t="s">
        <v>563</v>
      </c>
      <c r="B72" s="639">
        <v>2.7103533968329398E-2</v>
      </c>
      <c r="C72" s="133">
        <v>2.6443067938089398E-2</v>
      </c>
      <c r="D72" s="53">
        <v>3.9266000000000002E-2</v>
      </c>
      <c r="E72" s="53">
        <v>3.6282000000000002E-2</v>
      </c>
      <c r="F72" s="53">
        <v>4.1015999999999997E-2</v>
      </c>
      <c r="G72" s="640">
        <v>3.9761999999999999E-2</v>
      </c>
      <c r="H72" s="53">
        <v>3.8563E-2</v>
      </c>
      <c r="I72" s="53">
        <v>3.7345999999999997E-2</v>
      </c>
      <c r="J72" s="53">
        <v>3.6108000000000001E-2</v>
      </c>
      <c r="K72" s="53">
        <v>3.4869999999999998E-2</v>
      </c>
      <c r="L72" s="640">
        <v>3.3671E-2</v>
      </c>
      <c r="M72" s="53">
        <v>3.2535000000000001E-2</v>
      </c>
      <c r="N72" s="53">
        <v>3.1433000000000003E-2</v>
      </c>
      <c r="O72" s="53">
        <v>3.0265E-2</v>
      </c>
      <c r="P72" s="53">
        <v>2.9085E-2</v>
      </c>
      <c r="Q72" s="640">
        <v>2.7931999999999998E-2</v>
      </c>
      <c r="R72" s="53">
        <v>2.6797000000000001E-2</v>
      </c>
      <c r="S72" s="53">
        <v>2.5746000000000002E-2</v>
      </c>
      <c r="T72" s="53">
        <v>2.4802000000000001E-2</v>
      </c>
      <c r="U72" s="53">
        <v>2.3962000000000001E-2</v>
      </c>
      <c r="V72" s="640">
        <v>2.3248999999999999E-2</v>
      </c>
      <c r="W72" s="53">
        <v>2.2657E-2</v>
      </c>
      <c r="X72" s="53">
        <v>2.213E-2</v>
      </c>
      <c r="Y72" s="53">
        <v>2.1651E-2</v>
      </c>
      <c r="Z72" s="53">
        <v>2.1413999999999999E-2</v>
      </c>
      <c r="AA72" s="640">
        <v>2.1148E-2</v>
      </c>
      <c r="AB72" s="53">
        <v>2.1142999999999999E-2</v>
      </c>
      <c r="AC72" s="53">
        <v>2.1055999999999998E-2</v>
      </c>
      <c r="AD72" s="53">
        <v>2.1054E-2</v>
      </c>
      <c r="AE72" s="53">
        <v>2.1093000000000001E-2</v>
      </c>
      <c r="AF72" s="640">
        <v>2.1307E-2</v>
      </c>
      <c r="AG72" s="641">
        <v>-2.4646000000000001E-2</v>
      </c>
    </row>
    <row r="73" spans="1:33" x14ac:dyDescent="0.2">
      <c r="A73" s="111" t="s">
        <v>564</v>
      </c>
      <c r="B73" s="639">
        <v>1.5944212675094601E-2</v>
      </c>
      <c r="C73" s="133">
        <v>1.8486620858311702E-2</v>
      </c>
      <c r="D73" s="53">
        <v>3.5660000000000002E-3</v>
      </c>
      <c r="E73" s="53">
        <v>4.3489999999999996E-3</v>
      </c>
      <c r="F73" s="53">
        <v>4.4549999999999998E-3</v>
      </c>
      <c r="G73" s="640">
        <v>4.751E-3</v>
      </c>
      <c r="H73" s="53">
        <v>5.3309999999999998E-3</v>
      </c>
      <c r="I73" s="53">
        <v>6.123E-3</v>
      </c>
      <c r="J73" s="53">
        <v>8.5939999999999992E-3</v>
      </c>
      <c r="K73" s="53">
        <v>9.9880000000000004E-3</v>
      </c>
      <c r="L73" s="640">
        <v>1.1723000000000001E-2</v>
      </c>
      <c r="M73" s="53">
        <v>1.3646999999999999E-2</v>
      </c>
      <c r="N73" s="53">
        <v>1.5696000000000002E-2</v>
      </c>
      <c r="O73" s="53">
        <v>1.7968999999999999E-2</v>
      </c>
      <c r="P73" s="53">
        <v>2.0492E-2</v>
      </c>
      <c r="Q73" s="640">
        <v>2.3178000000000001E-2</v>
      </c>
      <c r="R73" s="53">
        <v>2.6061000000000001E-2</v>
      </c>
      <c r="S73" s="53">
        <v>2.9286E-2</v>
      </c>
      <c r="T73" s="53">
        <v>3.2870000000000003E-2</v>
      </c>
      <c r="U73" s="53">
        <v>3.6648E-2</v>
      </c>
      <c r="V73" s="640">
        <v>4.0481999999999997E-2</v>
      </c>
      <c r="W73" s="53">
        <v>4.4384E-2</v>
      </c>
      <c r="X73" s="53">
        <v>4.8377999999999997E-2</v>
      </c>
      <c r="Y73" s="53">
        <v>5.2417999999999999E-2</v>
      </c>
      <c r="Z73" s="53">
        <v>5.6469999999999999E-2</v>
      </c>
      <c r="AA73" s="640">
        <v>6.0504000000000002E-2</v>
      </c>
      <c r="AB73" s="53">
        <v>6.4543000000000003E-2</v>
      </c>
      <c r="AC73" s="53">
        <v>6.8581000000000003E-2</v>
      </c>
      <c r="AD73" s="53">
        <v>7.2735999999999995E-2</v>
      </c>
      <c r="AE73" s="53">
        <v>7.6953999999999995E-2</v>
      </c>
      <c r="AF73" s="640">
        <v>8.1198999999999993E-2</v>
      </c>
      <c r="AG73" s="641">
        <v>0.120243</v>
      </c>
    </row>
    <row r="74" spans="1:33" x14ac:dyDescent="0.2">
      <c r="A74" s="111" t="s">
        <v>567</v>
      </c>
      <c r="B74" s="639">
        <v>4.9476432800293004</v>
      </c>
      <c r="C74" s="133">
        <v>5.1486387252807599</v>
      </c>
      <c r="D74" s="53">
        <v>4.8027129999999998</v>
      </c>
      <c r="E74" s="53">
        <v>4.8066209999999998</v>
      </c>
      <c r="F74" s="53">
        <v>5.0530759999999999</v>
      </c>
      <c r="G74" s="640">
        <v>5.0067909999999998</v>
      </c>
      <c r="H74" s="53">
        <v>5.0054970000000001</v>
      </c>
      <c r="I74" s="53">
        <v>5.0014089999999998</v>
      </c>
      <c r="J74" s="53">
        <v>5.0090349999999999</v>
      </c>
      <c r="K74" s="53">
        <v>5.0445039999999999</v>
      </c>
      <c r="L74" s="640">
        <v>5.0992769999999998</v>
      </c>
      <c r="M74" s="53">
        <v>5.1491850000000001</v>
      </c>
      <c r="N74" s="53">
        <v>5.1901859999999997</v>
      </c>
      <c r="O74" s="53">
        <v>5.2213200000000004</v>
      </c>
      <c r="P74" s="53">
        <v>5.251322</v>
      </c>
      <c r="Q74" s="640">
        <v>5.2782710000000002</v>
      </c>
      <c r="R74" s="53">
        <v>5.3062269999999998</v>
      </c>
      <c r="S74" s="53">
        <v>5.3518400000000002</v>
      </c>
      <c r="T74" s="53">
        <v>5.4188650000000003</v>
      </c>
      <c r="U74" s="53">
        <v>5.4961039999999999</v>
      </c>
      <c r="V74" s="640">
        <v>5.5798540000000001</v>
      </c>
      <c r="W74" s="53">
        <v>5.6711020000000003</v>
      </c>
      <c r="X74" s="53">
        <v>5.7659789999999997</v>
      </c>
      <c r="Y74" s="53">
        <v>5.8624470000000004</v>
      </c>
      <c r="Z74" s="53">
        <v>5.950736</v>
      </c>
      <c r="AA74" s="640">
        <v>6.0489879999999996</v>
      </c>
      <c r="AB74" s="53">
        <v>6.1391640000000001</v>
      </c>
      <c r="AC74" s="53">
        <v>6.2362169999999999</v>
      </c>
      <c r="AD74" s="53">
        <v>6.334403</v>
      </c>
      <c r="AE74" s="53">
        <v>6.4519690000000001</v>
      </c>
      <c r="AF74" s="640">
        <v>6.5905620000000003</v>
      </c>
      <c r="AG74" s="641">
        <v>1.1054E-2</v>
      </c>
    </row>
    <row r="75" spans="1:33" x14ac:dyDescent="0.2">
      <c r="A75" s="111" t="s">
        <v>579</v>
      </c>
      <c r="B75" s="639">
        <v>9.1924724578857404</v>
      </c>
      <c r="C75" s="133">
        <v>9.4488821029663104</v>
      </c>
      <c r="D75" s="53">
        <v>8.6066970000000005</v>
      </c>
      <c r="E75" s="53">
        <v>8.6774280000000008</v>
      </c>
      <c r="F75" s="53">
        <v>8.9715290000000003</v>
      </c>
      <c r="G75" s="640">
        <v>8.9066510000000001</v>
      </c>
      <c r="H75" s="53">
        <v>8.9522069999999996</v>
      </c>
      <c r="I75" s="53">
        <v>8.9614729999999998</v>
      </c>
      <c r="J75" s="53">
        <v>9.0051360000000003</v>
      </c>
      <c r="K75" s="53">
        <v>9.1102240000000005</v>
      </c>
      <c r="L75" s="640">
        <v>9.2497260000000008</v>
      </c>
      <c r="M75" s="53">
        <v>9.3813239999999993</v>
      </c>
      <c r="N75" s="53">
        <v>9.4929559999999995</v>
      </c>
      <c r="O75" s="53">
        <v>9.5842270000000003</v>
      </c>
      <c r="P75" s="53">
        <v>9.6734220000000004</v>
      </c>
      <c r="Q75" s="640">
        <v>9.7559769999999997</v>
      </c>
      <c r="R75" s="53">
        <v>9.8416540000000001</v>
      </c>
      <c r="S75" s="53">
        <v>9.9571100000000001</v>
      </c>
      <c r="T75" s="53">
        <v>10.106593</v>
      </c>
      <c r="U75" s="53">
        <v>10.273548</v>
      </c>
      <c r="V75" s="640">
        <v>10.450186</v>
      </c>
      <c r="W75" s="53">
        <v>10.637019</v>
      </c>
      <c r="X75" s="53">
        <v>10.830365</v>
      </c>
      <c r="Y75" s="53">
        <v>11.025308000000001</v>
      </c>
      <c r="Z75" s="53">
        <v>11.208316</v>
      </c>
      <c r="AA75" s="640">
        <v>11.405009</v>
      </c>
      <c r="AB75" s="53">
        <v>11.599633000000001</v>
      </c>
      <c r="AC75" s="53">
        <v>11.799815000000001</v>
      </c>
      <c r="AD75" s="53">
        <v>12.007154</v>
      </c>
      <c r="AE75" s="53">
        <v>12.239523999999999</v>
      </c>
      <c r="AF75" s="640">
        <v>12.496357</v>
      </c>
      <c r="AG75" s="641">
        <v>1.3638000000000001E-2</v>
      </c>
    </row>
    <row r="76" spans="1:33" x14ac:dyDescent="0.2">
      <c r="B76" s="513"/>
      <c r="G76" s="513"/>
      <c r="L76" s="513"/>
      <c r="Q76" s="513"/>
      <c r="V76" s="513"/>
      <c r="AA76" s="513"/>
      <c r="AF76" s="513"/>
    </row>
    <row r="77" spans="1:33" x14ac:dyDescent="0.2">
      <c r="A77" s="111" t="s">
        <v>580</v>
      </c>
      <c r="B77" s="513"/>
      <c r="G77" s="513"/>
      <c r="L77" s="513"/>
      <c r="Q77" s="513"/>
      <c r="V77" s="513"/>
      <c r="AA77" s="513"/>
      <c r="AF77" s="513"/>
    </row>
    <row r="78" spans="1:33" x14ac:dyDescent="0.2">
      <c r="B78" s="513"/>
      <c r="G78" s="513"/>
      <c r="L78" s="513"/>
      <c r="Q78" s="513"/>
      <c r="V78" s="513"/>
      <c r="AA78" s="513"/>
      <c r="AF78" s="513"/>
    </row>
    <row r="79" spans="1:33" x14ac:dyDescent="0.2">
      <c r="A79" s="111" t="s">
        <v>574</v>
      </c>
      <c r="B79" s="513"/>
      <c r="G79" s="513"/>
      <c r="L79" s="513"/>
      <c r="Q79" s="513"/>
      <c r="V79" s="513"/>
      <c r="AA79" s="513"/>
      <c r="AF79" s="513"/>
    </row>
    <row r="80" spans="1:33" x14ac:dyDescent="0.2">
      <c r="A80" s="111" t="s">
        <v>560</v>
      </c>
      <c r="B80" s="513"/>
      <c r="G80" s="513"/>
      <c r="L80" s="513"/>
      <c r="Q80" s="513"/>
      <c r="V80" s="513"/>
      <c r="AA80" s="513"/>
      <c r="AF80" s="513"/>
    </row>
    <row r="81" spans="1:34" x14ac:dyDescent="0.2">
      <c r="A81" s="111" t="s">
        <v>561</v>
      </c>
      <c r="B81" s="639">
        <v>8.5112466812133807</v>
      </c>
      <c r="C81" s="133">
        <v>8.4965276718139595</v>
      </c>
      <c r="D81" s="53">
        <v>7.9943309999999999</v>
      </c>
      <c r="E81" s="53">
        <v>7.9963850000000001</v>
      </c>
      <c r="F81" s="53">
        <v>13.149324999999999</v>
      </c>
      <c r="G81" s="640">
        <v>13.5</v>
      </c>
      <c r="H81" s="53">
        <v>13.580309</v>
      </c>
      <c r="I81" s="53">
        <v>13.725611000000001</v>
      </c>
      <c r="J81" s="53">
        <v>13.906098</v>
      </c>
      <c r="K81" s="53">
        <v>14.156351000000001</v>
      </c>
      <c r="L81" s="640">
        <v>14.492471</v>
      </c>
      <c r="M81" s="53">
        <v>14.915016</v>
      </c>
      <c r="N81" s="53">
        <v>15.405138000000001</v>
      </c>
      <c r="O81" s="53">
        <v>15.761526999999999</v>
      </c>
      <c r="P81" s="53">
        <v>16.057547</v>
      </c>
      <c r="Q81" s="640">
        <v>16.130917</v>
      </c>
      <c r="R81" s="53">
        <v>16.165217999999999</v>
      </c>
      <c r="S81" s="53">
        <v>16.198839</v>
      </c>
      <c r="T81" s="53">
        <v>16.232973000000001</v>
      </c>
      <c r="U81" s="53">
        <v>16.263807</v>
      </c>
      <c r="V81" s="640">
        <v>16.290631999999999</v>
      </c>
      <c r="W81" s="53">
        <v>16.313976</v>
      </c>
      <c r="X81" s="53">
        <v>16.332716000000001</v>
      </c>
      <c r="Y81" s="53">
        <v>16.34676</v>
      </c>
      <c r="Z81" s="53">
        <v>16.357130000000002</v>
      </c>
      <c r="AA81" s="640">
        <v>16.365407999999999</v>
      </c>
      <c r="AB81" s="53">
        <v>16.372475000000001</v>
      </c>
      <c r="AC81" s="53">
        <v>16.374706</v>
      </c>
      <c r="AD81" s="53">
        <v>16.375612</v>
      </c>
      <c r="AE81" s="53">
        <v>16.375651999999999</v>
      </c>
      <c r="AF81" s="640">
        <v>16.375273</v>
      </c>
      <c r="AG81" s="641">
        <v>7.7530000000000003E-3</v>
      </c>
      <c r="AH81" s="111" t="s">
        <v>561</v>
      </c>
    </row>
    <row r="82" spans="1:34" x14ac:dyDescent="0.2">
      <c r="A82" s="111" t="s">
        <v>562</v>
      </c>
      <c r="B82" s="639">
        <v>8.9401903152465803</v>
      </c>
      <c r="C82" s="133">
        <v>8.9386768341064506</v>
      </c>
      <c r="D82" s="53">
        <v>7.5647640000000003</v>
      </c>
      <c r="E82" s="53">
        <v>7.6450579999999997</v>
      </c>
      <c r="F82" s="53">
        <v>10.239668</v>
      </c>
      <c r="G82" s="640">
        <v>10.130000000000001</v>
      </c>
      <c r="H82" s="53">
        <v>10.075488999999999</v>
      </c>
      <c r="I82" s="53">
        <v>10.146146</v>
      </c>
      <c r="J82" s="53">
        <v>10.228024</v>
      </c>
      <c r="K82" s="53">
        <v>10.340999</v>
      </c>
      <c r="L82" s="640">
        <v>10.490849000000001</v>
      </c>
      <c r="M82" s="53">
        <v>10.674357000000001</v>
      </c>
      <c r="N82" s="53">
        <v>10.881918000000001</v>
      </c>
      <c r="O82" s="53">
        <v>11.041586000000001</v>
      </c>
      <c r="P82" s="53">
        <v>11.174891000000001</v>
      </c>
      <c r="Q82" s="640">
        <v>11.313167999999999</v>
      </c>
      <c r="R82" s="53">
        <v>11.397017</v>
      </c>
      <c r="S82" s="53">
        <v>11.475936000000001</v>
      </c>
      <c r="T82" s="53">
        <v>11.569747</v>
      </c>
      <c r="U82" s="53">
        <v>11.699251</v>
      </c>
      <c r="V82" s="640">
        <v>11.872249999999999</v>
      </c>
      <c r="W82" s="53">
        <v>12.093495000000001</v>
      </c>
      <c r="X82" s="53">
        <v>12.361208</v>
      </c>
      <c r="Y82" s="53">
        <v>12.664292</v>
      </c>
      <c r="Z82" s="53">
        <v>12.948145</v>
      </c>
      <c r="AA82" s="640">
        <v>12.968864999999999</v>
      </c>
      <c r="AB82" s="53">
        <v>12.978495000000001</v>
      </c>
      <c r="AC82" s="53">
        <v>12.992229</v>
      </c>
      <c r="AD82" s="53">
        <v>13.011419999999999</v>
      </c>
      <c r="AE82" s="53">
        <v>13.037492</v>
      </c>
      <c r="AF82" s="640">
        <v>13.071588</v>
      </c>
      <c r="AG82" s="641">
        <v>1.025E-2</v>
      </c>
      <c r="AH82" s="111" t="s">
        <v>562</v>
      </c>
    </row>
    <row r="83" spans="1:34" x14ac:dyDescent="0.2">
      <c r="A83" s="111" t="s">
        <v>563</v>
      </c>
      <c r="B83" s="639">
        <v>7.9657363891601598</v>
      </c>
      <c r="C83" s="133">
        <v>7.9538373947143599</v>
      </c>
      <c r="D83" s="53">
        <v>7.5797739999999996</v>
      </c>
      <c r="E83" s="53">
        <v>7.6413029999999997</v>
      </c>
      <c r="F83" s="53">
        <v>9.7319289999999992</v>
      </c>
      <c r="G83" s="640">
        <v>9.9474090000000004</v>
      </c>
      <c r="H83" s="53">
        <v>10.11711</v>
      </c>
      <c r="I83" s="53">
        <v>10.179582999999999</v>
      </c>
      <c r="J83" s="53">
        <v>10.269807</v>
      </c>
      <c r="K83" s="53">
        <v>10.395358999999999</v>
      </c>
      <c r="L83" s="640">
        <v>10.560824</v>
      </c>
      <c r="M83" s="53">
        <v>10.756795</v>
      </c>
      <c r="N83" s="53">
        <v>10.976983000000001</v>
      </c>
      <c r="O83" s="53">
        <v>11.154261</v>
      </c>
      <c r="P83" s="53">
        <v>11.311734</v>
      </c>
      <c r="Q83" s="640">
        <v>11.474164</v>
      </c>
      <c r="R83" s="53">
        <v>11.546333000000001</v>
      </c>
      <c r="S83" s="53">
        <v>11.639336999999999</v>
      </c>
      <c r="T83" s="53">
        <v>11.760654000000001</v>
      </c>
      <c r="U83" s="53">
        <v>11.915559</v>
      </c>
      <c r="V83" s="640">
        <v>12.111039999999999</v>
      </c>
      <c r="W83" s="53">
        <v>12.352665</v>
      </c>
      <c r="X83" s="53">
        <v>12.638249999999999</v>
      </c>
      <c r="Y83" s="53">
        <v>12.956201</v>
      </c>
      <c r="Z83" s="53">
        <v>13.251383000000001</v>
      </c>
      <c r="AA83" s="640">
        <v>13.275492</v>
      </c>
      <c r="AB83" s="53">
        <v>13.290046</v>
      </c>
      <c r="AC83" s="53">
        <v>13.307396000000001</v>
      </c>
      <c r="AD83" s="53">
        <v>13.327864</v>
      </c>
      <c r="AE83" s="53">
        <v>13.355157</v>
      </c>
      <c r="AF83" s="640">
        <v>13.390311000000001</v>
      </c>
      <c r="AG83" s="641">
        <v>1.196E-2</v>
      </c>
      <c r="AH83" s="111" t="s">
        <v>563</v>
      </c>
    </row>
    <row r="84" spans="1:34" x14ac:dyDescent="0.2">
      <c r="A84" s="111" t="s">
        <v>564</v>
      </c>
      <c r="B84" s="639">
        <v>7.9490623474121103</v>
      </c>
      <c r="C84" s="133">
        <v>7.9436664581298801</v>
      </c>
      <c r="D84" s="53">
        <v>5.9477310000000001</v>
      </c>
      <c r="E84" s="53">
        <v>5.9378799999999998</v>
      </c>
      <c r="F84" s="53">
        <v>8.8712330000000001</v>
      </c>
      <c r="G84" s="640">
        <v>9.1656589999999998</v>
      </c>
      <c r="H84" s="53">
        <v>9.3869520000000009</v>
      </c>
      <c r="I84" s="53">
        <v>9.4727899999999998</v>
      </c>
      <c r="J84" s="53">
        <v>9.5885259999999999</v>
      </c>
      <c r="K84" s="53">
        <v>9.7514620000000001</v>
      </c>
      <c r="L84" s="640">
        <v>9.9705639999999995</v>
      </c>
      <c r="M84" s="53">
        <v>10.243475</v>
      </c>
      <c r="N84" s="53">
        <v>10.557168000000001</v>
      </c>
      <c r="O84" s="53">
        <v>10.772951000000001</v>
      </c>
      <c r="P84" s="53">
        <v>10.946211</v>
      </c>
      <c r="Q84" s="640">
        <v>10.977606</v>
      </c>
      <c r="R84" s="53">
        <v>11.006626000000001</v>
      </c>
      <c r="S84" s="53">
        <v>11.026300000000001</v>
      </c>
      <c r="T84" s="53">
        <v>11.043953999999999</v>
      </c>
      <c r="U84" s="53">
        <v>11.056988</v>
      </c>
      <c r="V84" s="640">
        <v>11.065984</v>
      </c>
      <c r="W84" s="53">
        <v>11.070829</v>
      </c>
      <c r="X84" s="53">
        <v>11.071151</v>
      </c>
      <c r="Y84" s="53">
        <v>11.071148000000001</v>
      </c>
      <c r="Z84" s="53">
        <v>11.071148000000001</v>
      </c>
      <c r="AA84" s="640">
        <v>11.071148000000001</v>
      </c>
      <c r="AB84" s="53">
        <v>11.071147</v>
      </c>
      <c r="AC84" s="53">
        <v>11.071147</v>
      </c>
      <c r="AD84" s="53">
        <v>11.071147</v>
      </c>
      <c r="AE84" s="53">
        <v>11.071147</v>
      </c>
      <c r="AF84" s="640">
        <v>11.071147</v>
      </c>
      <c r="AG84" s="641">
        <v>7.5839999999999996E-3</v>
      </c>
      <c r="AH84" s="111" t="s">
        <v>564</v>
      </c>
    </row>
    <row r="85" spans="1:34" x14ac:dyDescent="0.2">
      <c r="A85" s="111" t="s">
        <v>575</v>
      </c>
      <c r="B85" s="639">
        <v>8.5848302841186506</v>
      </c>
      <c r="C85" s="133">
        <v>8.5663871765136701</v>
      </c>
      <c r="D85" s="53">
        <v>7.8056549999999998</v>
      </c>
      <c r="E85" s="53">
        <v>7.8468489999999997</v>
      </c>
      <c r="F85" s="53">
        <v>11.630621</v>
      </c>
      <c r="G85" s="640">
        <v>11.917812</v>
      </c>
      <c r="H85" s="53">
        <v>12.688291</v>
      </c>
      <c r="I85" s="53">
        <v>12.807484000000001</v>
      </c>
      <c r="J85" s="53">
        <v>12.965251</v>
      </c>
      <c r="K85" s="53">
        <v>13.184153</v>
      </c>
      <c r="L85" s="640">
        <v>13.474218</v>
      </c>
      <c r="M85" s="53">
        <v>13.830178</v>
      </c>
      <c r="N85" s="53">
        <v>14.241253</v>
      </c>
      <c r="O85" s="53">
        <v>14.503092000000001</v>
      </c>
      <c r="P85" s="53">
        <v>14.750021</v>
      </c>
      <c r="Q85" s="640">
        <v>14.842968000000001</v>
      </c>
      <c r="R85" s="53">
        <v>14.892199</v>
      </c>
      <c r="S85" s="53">
        <v>14.939572999999999</v>
      </c>
      <c r="T85" s="53">
        <v>14.991972000000001</v>
      </c>
      <c r="U85" s="53">
        <v>15.052229000000001</v>
      </c>
      <c r="V85" s="640">
        <v>15.121093999999999</v>
      </c>
      <c r="W85" s="53">
        <v>15.199903000000001</v>
      </c>
      <c r="X85" s="53">
        <v>15.286925999999999</v>
      </c>
      <c r="Y85" s="53">
        <v>15.377848999999999</v>
      </c>
      <c r="Z85" s="53">
        <v>15.458534999999999</v>
      </c>
      <c r="AA85" s="640">
        <v>15.379128</v>
      </c>
      <c r="AB85" s="53">
        <v>15.385494</v>
      </c>
      <c r="AC85" s="53">
        <v>15.389492000000001</v>
      </c>
      <c r="AD85" s="53">
        <v>15.395467</v>
      </c>
      <c r="AE85" s="53">
        <v>15.404202</v>
      </c>
      <c r="AF85" s="640">
        <v>15.414998000000001</v>
      </c>
      <c r="AG85" s="641">
        <v>1.0345E-2</v>
      </c>
      <c r="AH85" s="111" t="s">
        <v>575</v>
      </c>
    </row>
    <row r="86" spans="1:34" x14ac:dyDescent="0.2">
      <c r="A86" s="111"/>
      <c r="B86" s="639"/>
      <c r="C86" s="133"/>
      <c r="D86" s="53"/>
      <c r="E86" s="53"/>
      <c r="G86" s="513"/>
      <c r="L86" s="513"/>
      <c r="Q86" s="513"/>
      <c r="V86" s="513"/>
      <c r="AA86" s="513"/>
      <c r="AF86" s="513"/>
      <c r="AG86" s="644"/>
      <c r="AH86" s="111"/>
    </row>
    <row r="87" spans="1:34" x14ac:dyDescent="0.2">
      <c r="A87" s="111" t="s">
        <v>566</v>
      </c>
      <c r="B87" s="60"/>
      <c r="C87" s="25"/>
      <c r="D87" s="25"/>
      <c r="E87" s="25"/>
      <c r="F87" s="25"/>
      <c r="G87" s="60"/>
      <c r="H87" s="25"/>
      <c r="I87" s="25"/>
      <c r="J87" s="25"/>
      <c r="K87" s="25"/>
      <c r="L87" s="60"/>
      <c r="M87" s="25"/>
      <c r="N87" s="25"/>
      <c r="O87" s="25"/>
      <c r="P87" s="25"/>
      <c r="Q87" s="60"/>
      <c r="R87" s="25"/>
      <c r="S87" s="25"/>
      <c r="T87" s="25"/>
      <c r="U87" s="25"/>
      <c r="V87" s="60"/>
      <c r="W87" s="25"/>
      <c r="X87" s="25"/>
      <c r="Y87" s="25"/>
      <c r="Z87" s="25"/>
      <c r="AA87" s="60"/>
      <c r="AB87" s="25"/>
      <c r="AC87" s="25"/>
      <c r="AD87" s="25"/>
      <c r="AE87" s="25"/>
      <c r="AF87" s="60"/>
    </row>
    <row r="88" spans="1:34" x14ac:dyDescent="0.2">
      <c r="A88" s="111" t="s">
        <v>561</v>
      </c>
      <c r="B88" s="639">
        <v>5.6251721382141104</v>
      </c>
      <c r="C88" s="133">
        <v>5.6051683425903303</v>
      </c>
      <c r="D88" s="53">
        <v>5.5215019999999999</v>
      </c>
      <c r="E88" s="53">
        <v>5.527107</v>
      </c>
      <c r="F88" s="53">
        <v>5.820989</v>
      </c>
      <c r="G88" s="640">
        <v>5.79</v>
      </c>
      <c r="H88" s="53">
        <v>5.9437530000000001</v>
      </c>
      <c r="I88" s="53">
        <v>5.9121769999999998</v>
      </c>
      <c r="J88" s="53">
        <v>5.9067420000000004</v>
      </c>
      <c r="K88" s="53">
        <v>6.7443569999999999</v>
      </c>
      <c r="L88" s="640">
        <v>6.8459709999999996</v>
      </c>
      <c r="M88" s="53">
        <v>6.9865240000000002</v>
      </c>
      <c r="N88" s="53">
        <v>7.1498390000000001</v>
      </c>
      <c r="O88" s="53">
        <v>7.2286739999999998</v>
      </c>
      <c r="P88" s="53">
        <v>7.285399</v>
      </c>
      <c r="Q88" s="640">
        <v>7.3198429999999997</v>
      </c>
      <c r="R88" s="53">
        <v>7.3552710000000001</v>
      </c>
      <c r="S88" s="53">
        <v>7.3895479999999996</v>
      </c>
      <c r="T88" s="53">
        <v>7.4257109999999997</v>
      </c>
      <c r="U88" s="53">
        <v>7.4655490000000002</v>
      </c>
      <c r="V88" s="640">
        <v>7.4979610000000001</v>
      </c>
      <c r="W88" s="53">
        <v>7.5300849999999997</v>
      </c>
      <c r="X88" s="53">
        <v>7.5517469999999998</v>
      </c>
      <c r="Y88" s="53">
        <v>7.5665319999999996</v>
      </c>
      <c r="Z88" s="53">
        <v>7.5786350000000002</v>
      </c>
      <c r="AA88" s="640">
        <v>7.5950220000000002</v>
      </c>
      <c r="AB88" s="53">
        <v>7.6069529999999999</v>
      </c>
      <c r="AC88" s="53">
        <v>7.6193840000000002</v>
      </c>
      <c r="AD88" s="53">
        <v>7.6274449999999998</v>
      </c>
      <c r="AE88" s="53">
        <v>7.6305189999999996</v>
      </c>
      <c r="AF88" s="640">
        <v>7.6315530000000003</v>
      </c>
      <c r="AG88" s="641">
        <v>1.1108E-2</v>
      </c>
      <c r="AH88" s="639"/>
    </row>
    <row r="89" spans="1:34" x14ac:dyDescent="0.2">
      <c r="A89" s="111" t="s">
        <v>562</v>
      </c>
      <c r="B89" s="639">
        <v>7.5010519027709996</v>
      </c>
      <c r="C89" s="133">
        <v>7.5033364295959499</v>
      </c>
      <c r="D89" s="53">
        <v>8.2513590000000008</v>
      </c>
      <c r="E89" s="53">
        <v>8.2534419999999997</v>
      </c>
      <c r="F89" s="53">
        <v>5.4522870000000001</v>
      </c>
      <c r="G89" s="640">
        <v>5.5</v>
      </c>
      <c r="H89" s="53">
        <v>5.2138179999999998</v>
      </c>
      <c r="I89" s="53">
        <v>5.1718989999999998</v>
      </c>
      <c r="J89" s="53">
        <v>5.1543590000000004</v>
      </c>
      <c r="K89" s="53">
        <v>5.3318019999999997</v>
      </c>
      <c r="L89" s="640">
        <v>5.3479179999999999</v>
      </c>
      <c r="M89" s="53">
        <v>5.3666869999999998</v>
      </c>
      <c r="N89" s="53">
        <v>5.3885160000000001</v>
      </c>
      <c r="O89" s="53">
        <v>5.4000190000000003</v>
      </c>
      <c r="P89" s="53">
        <v>5.4092729999999998</v>
      </c>
      <c r="Q89" s="640">
        <v>5.4178290000000002</v>
      </c>
      <c r="R89" s="53">
        <v>5.4244060000000003</v>
      </c>
      <c r="S89" s="53">
        <v>5.4315790000000002</v>
      </c>
      <c r="T89" s="53">
        <v>5.4385719999999997</v>
      </c>
      <c r="U89" s="53">
        <v>5.4425140000000001</v>
      </c>
      <c r="V89" s="640">
        <v>5.4461849999999998</v>
      </c>
      <c r="W89" s="53">
        <v>5.4495120000000004</v>
      </c>
      <c r="X89" s="53">
        <v>5.4522930000000001</v>
      </c>
      <c r="Y89" s="53">
        <v>5.4544800000000002</v>
      </c>
      <c r="Z89" s="53">
        <v>5.4561539999999997</v>
      </c>
      <c r="AA89" s="640">
        <v>5.4574870000000004</v>
      </c>
      <c r="AB89" s="53">
        <v>5.4585850000000002</v>
      </c>
      <c r="AC89" s="53">
        <v>5.4594500000000004</v>
      </c>
      <c r="AD89" s="53">
        <v>5.4598089999999999</v>
      </c>
      <c r="AE89" s="53">
        <v>5.4598940000000002</v>
      </c>
      <c r="AF89" s="640">
        <v>5.4596850000000003</v>
      </c>
      <c r="AG89" s="641">
        <v>-2.9399999999999999E-4</v>
      </c>
      <c r="AH89" s="639"/>
    </row>
    <row r="90" spans="1:34" x14ac:dyDescent="0.2">
      <c r="A90" s="111" t="s">
        <v>563</v>
      </c>
      <c r="B90" s="639">
        <v>7.2789463996887198</v>
      </c>
      <c r="C90" s="133">
        <v>7.2805476188659703</v>
      </c>
      <c r="D90" s="53">
        <v>5.2048350000000001</v>
      </c>
      <c r="E90" s="53">
        <v>5.2159940000000002</v>
      </c>
      <c r="F90" s="53">
        <v>5.098973</v>
      </c>
      <c r="G90" s="640">
        <v>5.15</v>
      </c>
      <c r="H90" s="53">
        <v>5.2968710000000003</v>
      </c>
      <c r="I90" s="53">
        <v>5.2589540000000001</v>
      </c>
      <c r="J90" s="53">
        <v>5.2452579999999998</v>
      </c>
      <c r="K90" s="53">
        <v>5.5271319999999999</v>
      </c>
      <c r="L90" s="640">
        <v>5.5812670000000004</v>
      </c>
      <c r="M90" s="53">
        <v>5.608193</v>
      </c>
      <c r="N90" s="53">
        <v>5.6389449999999997</v>
      </c>
      <c r="O90" s="53">
        <v>5.6560860000000002</v>
      </c>
      <c r="P90" s="53">
        <v>5.6716519999999999</v>
      </c>
      <c r="Q90" s="640">
        <v>5.6894020000000003</v>
      </c>
      <c r="R90" s="53">
        <v>5.7065659999999996</v>
      </c>
      <c r="S90" s="53">
        <v>5.7238939999999996</v>
      </c>
      <c r="T90" s="53">
        <v>5.738029</v>
      </c>
      <c r="U90" s="53">
        <v>5.7447509999999999</v>
      </c>
      <c r="V90" s="640">
        <v>5.7489939999999997</v>
      </c>
      <c r="W90" s="53">
        <v>5.7489330000000001</v>
      </c>
      <c r="X90" s="53">
        <v>5.7488590000000004</v>
      </c>
      <c r="Y90" s="53">
        <v>5.7487729999999999</v>
      </c>
      <c r="Z90" s="53">
        <v>5.7486759999999997</v>
      </c>
      <c r="AA90" s="640">
        <v>5.7485889999999999</v>
      </c>
      <c r="AB90" s="53">
        <v>5.7485090000000003</v>
      </c>
      <c r="AC90" s="53">
        <v>5.7484130000000002</v>
      </c>
      <c r="AD90" s="53">
        <v>5.7482499999999996</v>
      </c>
      <c r="AE90" s="53">
        <v>5.7480560000000001</v>
      </c>
      <c r="AF90" s="640">
        <v>5.7478109999999996</v>
      </c>
      <c r="AG90" s="641">
        <v>4.4029999999999998E-3</v>
      </c>
      <c r="AH90" s="639"/>
    </row>
    <row r="91" spans="1:34" x14ac:dyDescent="0.2">
      <c r="A91" s="111" t="s">
        <v>564</v>
      </c>
      <c r="B91" s="639">
        <v>7.27439641952515</v>
      </c>
      <c r="C91" s="133">
        <v>7.2754096984863299</v>
      </c>
      <c r="D91" s="53">
        <v>5.5459569999999996</v>
      </c>
      <c r="E91" s="53">
        <v>5.5884369999999999</v>
      </c>
      <c r="F91" s="53">
        <v>5.5795250000000003</v>
      </c>
      <c r="G91" s="640">
        <v>5.56</v>
      </c>
      <c r="H91" s="53">
        <v>5.6585609999999997</v>
      </c>
      <c r="I91" s="53">
        <v>5.6247109999999996</v>
      </c>
      <c r="J91" s="53">
        <v>5.6148220000000002</v>
      </c>
      <c r="K91" s="53">
        <v>5.8979739999999996</v>
      </c>
      <c r="L91" s="640">
        <v>5.9759070000000003</v>
      </c>
      <c r="M91" s="53">
        <v>6.0732559999999998</v>
      </c>
      <c r="N91" s="53">
        <v>6.182436</v>
      </c>
      <c r="O91" s="53">
        <v>6.2183120000000001</v>
      </c>
      <c r="P91" s="53">
        <v>6.2341309999999996</v>
      </c>
      <c r="Q91" s="640">
        <v>6.2416460000000002</v>
      </c>
      <c r="R91" s="53">
        <v>6.2504860000000004</v>
      </c>
      <c r="S91" s="53">
        <v>6.2584759999999999</v>
      </c>
      <c r="T91" s="53">
        <v>6.264138</v>
      </c>
      <c r="U91" s="53">
        <v>6.2686849999999996</v>
      </c>
      <c r="V91" s="640">
        <v>6.2725419999999996</v>
      </c>
      <c r="W91" s="53">
        <v>6.2763090000000004</v>
      </c>
      <c r="X91" s="53">
        <v>6.2795019999999999</v>
      </c>
      <c r="Y91" s="53">
        <v>6.2820660000000004</v>
      </c>
      <c r="Z91" s="53">
        <v>6.2839179999999999</v>
      </c>
      <c r="AA91" s="640">
        <v>6.2851520000000001</v>
      </c>
      <c r="AB91" s="53">
        <v>6.2720840000000004</v>
      </c>
      <c r="AC91" s="53">
        <v>6.2863769999999999</v>
      </c>
      <c r="AD91" s="53">
        <v>6.2725429999999998</v>
      </c>
      <c r="AE91" s="53">
        <v>6.2654759999999996</v>
      </c>
      <c r="AF91" s="640">
        <v>6.2616170000000002</v>
      </c>
      <c r="AG91" s="641">
        <v>4.7650000000000001E-3</v>
      </c>
      <c r="AH91" s="639"/>
    </row>
    <row r="92" spans="1:34" x14ac:dyDescent="0.2">
      <c r="A92" s="111" t="s">
        <v>576</v>
      </c>
      <c r="B92" s="639">
        <v>5.6443276405334499</v>
      </c>
      <c r="C92" s="133">
        <v>5.6260013580322301</v>
      </c>
      <c r="D92" s="53">
        <v>5.5634160000000001</v>
      </c>
      <c r="E92" s="53">
        <v>5.5819159999999997</v>
      </c>
      <c r="F92" s="53">
        <v>5.8200669999999999</v>
      </c>
      <c r="G92" s="640">
        <v>5.7893569999999999</v>
      </c>
      <c r="H92" s="53">
        <v>5.934742</v>
      </c>
      <c r="I92" s="53">
        <v>5.9028419999999997</v>
      </c>
      <c r="J92" s="53">
        <v>5.8961980000000001</v>
      </c>
      <c r="K92" s="53">
        <v>6.7234619999999996</v>
      </c>
      <c r="L92" s="640">
        <v>6.8233249999999996</v>
      </c>
      <c r="M92" s="53">
        <v>6.9611890000000001</v>
      </c>
      <c r="N92" s="53">
        <v>7.1213610000000003</v>
      </c>
      <c r="O92" s="53">
        <v>7.198245</v>
      </c>
      <c r="P92" s="53">
        <v>7.253374</v>
      </c>
      <c r="Q92" s="640">
        <v>7.2866920000000004</v>
      </c>
      <c r="R92" s="53">
        <v>7.3209920000000004</v>
      </c>
      <c r="S92" s="53">
        <v>7.3542180000000004</v>
      </c>
      <c r="T92" s="53">
        <v>7.3893009999999997</v>
      </c>
      <c r="U92" s="53">
        <v>7.4279190000000002</v>
      </c>
      <c r="V92" s="640">
        <v>7.4592879999999999</v>
      </c>
      <c r="W92" s="53">
        <v>7.490386</v>
      </c>
      <c r="X92" s="53">
        <v>7.5113390000000004</v>
      </c>
      <c r="Y92" s="53">
        <v>7.5256270000000001</v>
      </c>
      <c r="Z92" s="53">
        <v>7.5373140000000003</v>
      </c>
      <c r="AA92" s="640">
        <v>7.5531540000000001</v>
      </c>
      <c r="AB92" s="53">
        <v>7.5645100000000003</v>
      </c>
      <c r="AC92" s="53">
        <v>7.5766049999999998</v>
      </c>
      <c r="AD92" s="53">
        <v>7.584276</v>
      </c>
      <c r="AE92" s="53">
        <v>7.5872590000000004</v>
      </c>
      <c r="AF92" s="640">
        <v>7.5883099999999999</v>
      </c>
      <c r="AG92" s="641">
        <v>1.0881999999999999E-2</v>
      </c>
      <c r="AH92" s="639"/>
    </row>
    <row r="93" spans="1:34" x14ac:dyDescent="0.2">
      <c r="A93" s="111" t="s">
        <v>577</v>
      </c>
      <c r="B93" s="639">
        <v>5.9775533676147496</v>
      </c>
      <c r="C93" s="133">
        <v>5.9354758262634304</v>
      </c>
      <c r="D93" s="53">
        <v>6.0583429999999998</v>
      </c>
      <c r="E93" s="53">
        <v>6.0046419999999996</v>
      </c>
      <c r="F93" s="53">
        <v>6.6360330000000003</v>
      </c>
      <c r="G93" s="640">
        <v>6.6290250000000004</v>
      </c>
      <c r="H93" s="53">
        <v>6.7424210000000002</v>
      </c>
      <c r="I93" s="53">
        <v>6.55565</v>
      </c>
      <c r="J93" s="53">
        <v>6.568314</v>
      </c>
      <c r="K93" s="53">
        <v>7.3053330000000001</v>
      </c>
      <c r="L93" s="640">
        <v>7.4132800000000003</v>
      </c>
      <c r="M93" s="53">
        <v>7.5949559999999998</v>
      </c>
      <c r="N93" s="53">
        <v>7.7901009999999999</v>
      </c>
      <c r="O93" s="53">
        <v>7.862374</v>
      </c>
      <c r="P93" s="53">
        <v>7.9205569999999996</v>
      </c>
      <c r="Q93" s="640">
        <v>7.9670319999999997</v>
      </c>
      <c r="R93" s="53">
        <v>8.0034559999999999</v>
      </c>
      <c r="S93" s="53">
        <v>8.0274289999999997</v>
      </c>
      <c r="T93" s="53">
        <v>8.0453510000000001</v>
      </c>
      <c r="U93" s="53">
        <v>8.0824909999999992</v>
      </c>
      <c r="V93" s="640">
        <v>8.1235140000000001</v>
      </c>
      <c r="W93" s="53">
        <v>8.1624590000000001</v>
      </c>
      <c r="X93" s="53">
        <v>8.1877479999999991</v>
      </c>
      <c r="Y93" s="53">
        <v>8.2067969999999999</v>
      </c>
      <c r="Z93" s="53">
        <v>8.2228530000000006</v>
      </c>
      <c r="AA93" s="640">
        <v>8.2312539999999998</v>
      </c>
      <c r="AB93" s="53">
        <v>8.2373910000000006</v>
      </c>
      <c r="AC93" s="53">
        <v>8.2438409999999998</v>
      </c>
      <c r="AD93" s="53">
        <v>8.2411499999999993</v>
      </c>
      <c r="AE93" s="53">
        <v>8.2344200000000001</v>
      </c>
      <c r="AF93" s="640">
        <v>8.2318850000000001</v>
      </c>
      <c r="AG93" s="641">
        <v>8.6999999999999994E-3</v>
      </c>
      <c r="AH93" s="639"/>
    </row>
    <row r="94" spans="1:34" x14ac:dyDescent="0.2">
      <c r="B94" s="513"/>
      <c r="G94" s="513"/>
      <c r="L94" s="513"/>
      <c r="Q94" s="513"/>
      <c r="V94" s="513"/>
      <c r="AA94" s="513"/>
      <c r="AF94" s="513"/>
    </row>
    <row r="95" spans="1:34" x14ac:dyDescent="0.2">
      <c r="A95" s="111" t="s">
        <v>581</v>
      </c>
      <c r="B95" s="513"/>
      <c r="G95" s="513"/>
      <c r="L95" s="513"/>
      <c r="Q95" s="513"/>
      <c r="V95" s="513"/>
      <c r="AA95" s="513"/>
      <c r="AF95" s="513"/>
    </row>
    <row r="96" spans="1:34" x14ac:dyDescent="0.2">
      <c r="A96" s="111" t="s">
        <v>560</v>
      </c>
      <c r="B96" s="513"/>
      <c r="G96" s="513"/>
      <c r="L96" s="513"/>
      <c r="Q96" s="513"/>
      <c r="V96" s="513"/>
      <c r="AA96" s="513"/>
      <c r="AF96" s="513"/>
    </row>
    <row r="97" spans="1:33" x14ac:dyDescent="0.2">
      <c r="A97" s="111" t="s">
        <v>561</v>
      </c>
      <c r="B97" s="639">
        <v>0.15442076325416601</v>
      </c>
      <c r="C97" s="133">
        <v>0.15477836132049599</v>
      </c>
      <c r="D97" s="53">
        <v>0.16237799999999999</v>
      </c>
      <c r="E97" s="53">
        <v>0.12040099999999999</v>
      </c>
      <c r="F97" s="53">
        <v>0.10766100000000001</v>
      </c>
      <c r="G97" s="640">
        <v>0.13284000000000001</v>
      </c>
      <c r="H97" s="53">
        <v>0.17988199999999999</v>
      </c>
      <c r="I97" s="53">
        <v>0.154636</v>
      </c>
      <c r="J97" s="53">
        <v>0.17252000000000001</v>
      </c>
      <c r="K97" s="53">
        <v>0.19139100000000001</v>
      </c>
      <c r="L97" s="640">
        <v>0.20536699999999999</v>
      </c>
      <c r="M97" s="53">
        <v>0.20633199999999999</v>
      </c>
      <c r="N97" s="53">
        <v>0.20208799999999999</v>
      </c>
      <c r="O97" s="53">
        <v>0.19928499999999999</v>
      </c>
      <c r="P97" s="53">
        <v>0.20250599999999999</v>
      </c>
      <c r="Q97" s="640">
        <v>0.20388700000000001</v>
      </c>
      <c r="R97" s="53">
        <v>0.20805599999999999</v>
      </c>
      <c r="S97" s="53">
        <v>0.21977099999999999</v>
      </c>
      <c r="T97" s="53">
        <v>0.23081099999999999</v>
      </c>
      <c r="U97" s="53">
        <v>0.23699600000000001</v>
      </c>
      <c r="V97" s="640">
        <v>0.23896500000000001</v>
      </c>
      <c r="W97" s="53">
        <v>0.24232200000000001</v>
      </c>
      <c r="X97" s="53">
        <v>0.24726000000000001</v>
      </c>
      <c r="Y97" s="53">
        <v>0.25085299999999999</v>
      </c>
      <c r="Z97" s="53">
        <v>0.25339099999999998</v>
      </c>
      <c r="AA97" s="640">
        <v>0.25513000000000002</v>
      </c>
      <c r="AB97" s="53">
        <v>0.259108</v>
      </c>
      <c r="AC97" s="53">
        <v>0.26320300000000002</v>
      </c>
      <c r="AD97" s="53">
        <v>0.27260099999999998</v>
      </c>
      <c r="AE97" s="53">
        <v>0.28151100000000001</v>
      </c>
      <c r="AF97" s="640">
        <v>0.28726699999999999</v>
      </c>
      <c r="AG97" s="641">
        <v>3.1331999999999999E-2</v>
      </c>
    </row>
    <row r="98" spans="1:33" x14ac:dyDescent="0.2">
      <c r="A98" s="111" t="s">
        <v>562</v>
      </c>
      <c r="B98" s="639">
        <v>6.2897108495235401E-2</v>
      </c>
      <c r="C98" s="133">
        <v>6.2315560877323199E-2</v>
      </c>
      <c r="D98" s="53">
        <v>0.122241</v>
      </c>
      <c r="E98" s="53">
        <v>8.4690000000000001E-2</v>
      </c>
      <c r="F98" s="53">
        <v>7.3249999999999996E-2</v>
      </c>
      <c r="G98" s="640">
        <v>7.3800000000000004E-2</v>
      </c>
      <c r="H98" s="53">
        <v>7.2220000000000006E-2</v>
      </c>
      <c r="I98" s="53">
        <v>6.1255999999999998E-2</v>
      </c>
      <c r="J98" s="53">
        <v>6.7423999999999998E-2</v>
      </c>
      <c r="K98" s="53">
        <v>7.3861999999999997E-2</v>
      </c>
      <c r="L98" s="640">
        <v>7.8337000000000004E-2</v>
      </c>
      <c r="M98" s="53">
        <v>7.7876000000000001E-2</v>
      </c>
      <c r="N98" s="53">
        <v>7.5528999999999999E-2</v>
      </c>
      <c r="O98" s="53">
        <v>7.3731000000000005E-2</v>
      </c>
      <c r="P98" s="53">
        <v>7.4288000000000007E-2</v>
      </c>
      <c r="Q98" s="640">
        <v>7.4207999999999996E-2</v>
      </c>
      <c r="R98" s="53">
        <v>7.5175000000000006E-2</v>
      </c>
      <c r="S98" s="53">
        <v>7.8875000000000001E-2</v>
      </c>
      <c r="T98" s="53">
        <v>8.2324999999999995E-2</v>
      </c>
      <c r="U98" s="53">
        <v>8.4045999999999996E-2</v>
      </c>
      <c r="V98" s="640">
        <v>8.4294999999999995E-2</v>
      </c>
      <c r="W98" s="53">
        <v>8.5063E-2</v>
      </c>
      <c r="X98" s="53">
        <v>8.6404999999999996E-2</v>
      </c>
      <c r="Y98" s="53">
        <v>8.7295999999999999E-2</v>
      </c>
      <c r="Z98" s="53">
        <v>8.7840000000000001E-2</v>
      </c>
      <c r="AA98" s="640">
        <v>8.8566000000000006E-2</v>
      </c>
      <c r="AB98" s="53">
        <v>8.9649000000000006E-2</v>
      </c>
      <c r="AC98" s="53">
        <v>9.0787000000000007E-2</v>
      </c>
      <c r="AD98" s="53">
        <v>9.3754000000000004E-2</v>
      </c>
      <c r="AE98" s="53">
        <v>9.6549999999999997E-2</v>
      </c>
      <c r="AF98" s="640">
        <v>9.8271999999999998E-2</v>
      </c>
      <c r="AG98" s="641">
        <v>1.1521E-2</v>
      </c>
    </row>
    <row r="99" spans="1:33" x14ac:dyDescent="0.2">
      <c r="A99" s="111" t="s">
        <v>563</v>
      </c>
      <c r="B99" s="639">
        <v>2.5359382852911901E-3</v>
      </c>
      <c r="C99" s="133">
        <v>3.2393678557127701E-3</v>
      </c>
      <c r="D99" s="53">
        <v>0</v>
      </c>
      <c r="E99" s="53">
        <v>9.6000000000000002E-5</v>
      </c>
      <c r="F99" s="53">
        <v>1.3439999999999999E-3</v>
      </c>
      <c r="G99" s="640">
        <v>1.6019999999999999E-3</v>
      </c>
      <c r="H99" s="53">
        <v>1.671E-3</v>
      </c>
      <c r="I99" s="53">
        <v>1.8209999999999999E-3</v>
      </c>
      <c r="J99" s="53">
        <v>2.1120000000000002E-3</v>
      </c>
      <c r="K99" s="53">
        <v>2.248E-3</v>
      </c>
      <c r="L99" s="640">
        <v>2.2989999999999998E-3</v>
      </c>
      <c r="M99" s="53">
        <v>2.516E-3</v>
      </c>
      <c r="N99" s="53">
        <v>2.6020000000000001E-3</v>
      </c>
      <c r="O99" s="53">
        <v>2.745E-3</v>
      </c>
      <c r="P99" s="53">
        <v>2.9169999999999999E-3</v>
      </c>
      <c r="Q99" s="640">
        <v>3.1029999999999999E-3</v>
      </c>
      <c r="R99" s="53">
        <v>3.2820000000000002E-3</v>
      </c>
      <c r="S99" s="53">
        <v>3.594E-3</v>
      </c>
      <c r="T99" s="53">
        <v>3.9189999999999997E-3</v>
      </c>
      <c r="U99" s="53">
        <v>4.1729999999999996E-3</v>
      </c>
      <c r="V99" s="640">
        <v>4.4000000000000003E-3</v>
      </c>
      <c r="W99" s="53">
        <v>4.6860000000000001E-3</v>
      </c>
      <c r="X99" s="53">
        <v>5.0049999999999999E-3</v>
      </c>
      <c r="Y99" s="53">
        <v>5.2909999999999997E-3</v>
      </c>
      <c r="Z99" s="53">
        <v>5.5310000000000003E-3</v>
      </c>
      <c r="AA99" s="640">
        <v>5.6559999999999996E-3</v>
      </c>
      <c r="AB99" s="53">
        <v>5.8069999999999997E-3</v>
      </c>
      <c r="AC99" s="53">
        <v>5.9789999999999999E-3</v>
      </c>
      <c r="AD99" s="53">
        <v>6.1980000000000004E-3</v>
      </c>
      <c r="AE99" s="53">
        <v>6.3330000000000001E-3</v>
      </c>
      <c r="AF99" s="640">
        <v>6.3870000000000003E-3</v>
      </c>
      <c r="AG99" s="641">
        <v>5.6878999999999999E-2</v>
      </c>
    </row>
    <row r="100" spans="1:33" x14ac:dyDescent="0.2">
      <c r="A100" s="111" t="s">
        <v>564</v>
      </c>
      <c r="B100" s="639">
        <v>3.8051605224609401E-3</v>
      </c>
      <c r="C100" s="133">
        <v>5.2801556885242497E-3</v>
      </c>
      <c r="D100" s="53">
        <v>0</v>
      </c>
      <c r="E100" s="53">
        <v>1.4E-5</v>
      </c>
      <c r="F100" s="53">
        <v>1.63E-4</v>
      </c>
      <c r="G100" s="640">
        <v>4.55E-4</v>
      </c>
      <c r="H100" s="53">
        <v>6.9999999999999994E-5</v>
      </c>
      <c r="I100" s="53">
        <v>7.1599999999999995E-4</v>
      </c>
      <c r="J100" s="53">
        <v>9.5699999999999995E-4</v>
      </c>
      <c r="K100" s="53">
        <v>1.2179999999999999E-3</v>
      </c>
      <c r="L100" s="640">
        <v>1.48E-3</v>
      </c>
      <c r="M100" s="53">
        <v>1.689E-3</v>
      </c>
      <c r="N100" s="53">
        <v>1.8439999999999999E-3</v>
      </c>
      <c r="O100" s="53">
        <v>3.1519999999999999E-3</v>
      </c>
      <c r="P100" s="53">
        <v>3.4740000000000001E-3</v>
      </c>
      <c r="Q100" s="640">
        <v>3.7659999999999998E-3</v>
      </c>
      <c r="R100" s="53">
        <v>4.0730000000000002E-3</v>
      </c>
      <c r="S100" s="53">
        <v>4.4819999999999999E-3</v>
      </c>
      <c r="T100" s="53">
        <v>4.836E-3</v>
      </c>
      <c r="U100" s="53">
        <v>5.1070000000000004E-3</v>
      </c>
      <c r="V100" s="640">
        <v>5.3E-3</v>
      </c>
      <c r="W100" s="53">
        <v>5.4990000000000004E-3</v>
      </c>
      <c r="X100" s="53">
        <v>5.6930000000000001E-3</v>
      </c>
      <c r="Y100" s="53">
        <v>5.8380000000000003E-3</v>
      </c>
      <c r="Z100" s="53">
        <v>5.9480000000000002E-3</v>
      </c>
      <c r="AA100" s="640">
        <v>8.3059999999999991E-3</v>
      </c>
      <c r="AB100" s="53">
        <v>8.4729999999999996E-3</v>
      </c>
      <c r="AC100" s="53">
        <v>8.6339999999999993E-3</v>
      </c>
      <c r="AD100" s="53">
        <v>8.8940000000000009E-3</v>
      </c>
      <c r="AE100" s="53">
        <v>9.0799999999999995E-3</v>
      </c>
      <c r="AF100" s="640">
        <v>9.1839999999999995E-3</v>
      </c>
      <c r="AG100" s="641">
        <v>0.127719</v>
      </c>
    </row>
    <row r="101" spans="1:33" x14ac:dyDescent="0.2">
      <c r="A101" s="111" t="s">
        <v>565</v>
      </c>
      <c r="B101" s="639">
        <v>0.22365894913673401</v>
      </c>
      <c r="C101" s="133">
        <v>0.22561344504356401</v>
      </c>
      <c r="D101" s="53">
        <v>0.28461900000000001</v>
      </c>
      <c r="E101" s="53">
        <v>0.20520099999999999</v>
      </c>
      <c r="F101" s="53">
        <v>0.182418</v>
      </c>
      <c r="G101" s="640">
        <v>0.20869699999999999</v>
      </c>
      <c r="H101" s="53">
        <v>0.25384400000000001</v>
      </c>
      <c r="I101" s="53">
        <v>0.21842900000000001</v>
      </c>
      <c r="J101" s="53">
        <v>0.24301300000000001</v>
      </c>
      <c r="K101" s="53">
        <v>0.26871899999999999</v>
      </c>
      <c r="L101" s="640">
        <v>0.28748299999999999</v>
      </c>
      <c r="M101" s="53">
        <v>0.288412</v>
      </c>
      <c r="N101" s="53">
        <v>0.28206300000000001</v>
      </c>
      <c r="O101" s="53">
        <v>0.27891199999999999</v>
      </c>
      <c r="P101" s="53">
        <v>0.28318500000000002</v>
      </c>
      <c r="Q101" s="640">
        <v>0.28496500000000002</v>
      </c>
      <c r="R101" s="53">
        <v>0.29058600000000001</v>
      </c>
      <c r="S101" s="53">
        <v>0.30672300000000002</v>
      </c>
      <c r="T101" s="53">
        <v>0.32189099999999998</v>
      </c>
      <c r="U101" s="53">
        <v>0.330322</v>
      </c>
      <c r="V101" s="640">
        <v>0.33295999999999998</v>
      </c>
      <c r="W101" s="53">
        <v>0.33756999999999998</v>
      </c>
      <c r="X101" s="53">
        <v>0.34436299999999997</v>
      </c>
      <c r="Y101" s="53">
        <v>0.349277</v>
      </c>
      <c r="Z101" s="53">
        <v>0.35271000000000002</v>
      </c>
      <c r="AA101" s="640">
        <v>0.35765799999999998</v>
      </c>
      <c r="AB101" s="53">
        <v>0.36303600000000003</v>
      </c>
      <c r="AC101" s="53">
        <v>0.36860300000000001</v>
      </c>
      <c r="AD101" s="53">
        <v>0.38144699999999998</v>
      </c>
      <c r="AE101" s="53">
        <v>0.39347399999999999</v>
      </c>
      <c r="AF101" s="640">
        <v>0.40111000000000002</v>
      </c>
      <c r="AG101" s="641">
        <v>2.6478999999999999E-2</v>
      </c>
    </row>
    <row r="102" spans="1:33" x14ac:dyDescent="0.2">
      <c r="A102" s="111" t="s">
        <v>566</v>
      </c>
      <c r="B102" s="513"/>
      <c r="G102" s="513"/>
      <c r="L102" s="513"/>
      <c r="Q102" s="513"/>
      <c r="V102" s="513"/>
      <c r="AA102" s="513"/>
      <c r="AF102" s="513"/>
    </row>
    <row r="103" spans="1:33" x14ac:dyDescent="0.2">
      <c r="A103" s="111" t="s">
        <v>561</v>
      </c>
      <c r="B103" s="639">
        <v>0.35813724994659402</v>
      </c>
      <c r="C103" s="133">
        <v>0.39134824275970498</v>
      </c>
      <c r="D103" s="53">
        <v>0.1991</v>
      </c>
      <c r="E103" s="53">
        <v>0.178922</v>
      </c>
      <c r="F103" s="53">
        <v>0.12776399999999999</v>
      </c>
      <c r="G103" s="640">
        <v>0.151255</v>
      </c>
      <c r="H103" s="53">
        <v>0.18291399999999999</v>
      </c>
      <c r="I103" s="53">
        <v>0.19140299999999999</v>
      </c>
      <c r="J103" s="53">
        <v>0.20981900000000001</v>
      </c>
      <c r="K103" s="53">
        <v>0.23852599999999999</v>
      </c>
      <c r="L103" s="640">
        <v>0.256714</v>
      </c>
      <c r="M103" s="53">
        <v>0.249329</v>
      </c>
      <c r="N103" s="53">
        <v>0.239235</v>
      </c>
      <c r="O103" s="53">
        <v>0.24085100000000001</v>
      </c>
      <c r="P103" s="53">
        <v>0.246423</v>
      </c>
      <c r="Q103" s="640">
        <v>0.24591399999999999</v>
      </c>
      <c r="R103" s="53">
        <v>0.25058399999999997</v>
      </c>
      <c r="S103" s="53">
        <v>0.26786199999999999</v>
      </c>
      <c r="T103" s="53">
        <v>0.28742699999999999</v>
      </c>
      <c r="U103" s="53">
        <v>0.29636299999999999</v>
      </c>
      <c r="V103" s="640">
        <v>0.297068</v>
      </c>
      <c r="W103" s="53">
        <v>0.30045899999999998</v>
      </c>
      <c r="X103" s="53">
        <v>0.30759399999999998</v>
      </c>
      <c r="Y103" s="53">
        <v>0.31324400000000002</v>
      </c>
      <c r="Z103" s="53">
        <v>0.317359</v>
      </c>
      <c r="AA103" s="640">
        <v>0.32296599999999998</v>
      </c>
      <c r="AB103" s="53">
        <v>0.32945200000000002</v>
      </c>
      <c r="AC103" s="53">
        <v>0.33620100000000003</v>
      </c>
      <c r="AD103" s="53">
        <v>0.351549</v>
      </c>
      <c r="AE103" s="53">
        <v>0.366537</v>
      </c>
      <c r="AF103" s="640">
        <v>0.37530400000000003</v>
      </c>
      <c r="AG103" s="641">
        <v>3.7019999999999997E-2</v>
      </c>
    </row>
    <row r="104" spans="1:33" x14ac:dyDescent="0.2">
      <c r="A104" s="111" t="s">
        <v>562</v>
      </c>
      <c r="B104" s="639">
        <v>1.2219258584082101E-2</v>
      </c>
      <c r="C104" s="133">
        <v>1.3406184501946E-2</v>
      </c>
      <c r="D104" s="53">
        <v>2.5842E-2</v>
      </c>
      <c r="E104" s="53">
        <v>2.6540999999999999E-2</v>
      </c>
      <c r="F104" s="53">
        <v>1.5699999999999999E-4</v>
      </c>
      <c r="G104" s="640">
        <v>1.01E-4</v>
      </c>
      <c r="H104" s="53">
        <v>7.9380000000000006E-3</v>
      </c>
      <c r="I104" s="53">
        <v>8.293E-3</v>
      </c>
      <c r="J104" s="53">
        <v>9.1240000000000002E-3</v>
      </c>
      <c r="K104" s="53">
        <v>1.031E-2</v>
      </c>
      <c r="L104" s="640">
        <v>1.1088000000000001E-2</v>
      </c>
      <c r="M104" s="53">
        <v>1.0763E-2</v>
      </c>
      <c r="N104" s="53">
        <v>1.0324E-2</v>
      </c>
      <c r="O104" s="53">
        <v>1.039E-2</v>
      </c>
      <c r="P104" s="53">
        <v>1.0628E-2</v>
      </c>
      <c r="Q104" s="640">
        <v>1.0605E-2</v>
      </c>
      <c r="R104" s="53">
        <v>1.0803999999999999E-2</v>
      </c>
      <c r="S104" s="53">
        <v>1.1547999999999999E-2</v>
      </c>
      <c r="T104" s="53">
        <v>1.2390999999999999E-2</v>
      </c>
      <c r="U104" s="53">
        <v>1.2775E-2</v>
      </c>
      <c r="V104" s="640">
        <v>1.2803999999999999E-2</v>
      </c>
      <c r="W104" s="53">
        <v>1.295E-2</v>
      </c>
      <c r="X104" s="53">
        <v>1.3257E-2</v>
      </c>
      <c r="Y104" s="53">
        <v>1.35E-2</v>
      </c>
      <c r="Z104" s="53">
        <v>1.3677E-2</v>
      </c>
      <c r="AA104" s="640">
        <v>1.3918E-2</v>
      </c>
      <c r="AB104" s="53">
        <v>1.4198000000000001E-2</v>
      </c>
      <c r="AC104" s="53">
        <v>1.4489E-2</v>
      </c>
      <c r="AD104" s="53">
        <v>1.515E-2</v>
      </c>
      <c r="AE104" s="53">
        <v>1.5795E-2</v>
      </c>
      <c r="AF104" s="640">
        <v>1.6171999999999999E-2</v>
      </c>
      <c r="AG104" s="641">
        <v>0.225268</v>
      </c>
    </row>
    <row r="105" spans="1:33" x14ac:dyDescent="0.2">
      <c r="A105" s="111" t="s">
        <v>563</v>
      </c>
      <c r="B105" s="639">
        <v>1.19064550381154E-3</v>
      </c>
      <c r="C105" s="133">
        <v>1.49631104432046E-3</v>
      </c>
      <c r="D105" s="53">
        <v>7.2700000000000004E-3</v>
      </c>
      <c r="E105" s="53">
        <v>2.0999999999999999E-5</v>
      </c>
      <c r="F105" s="53">
        <v>1.45E-4</v>
      </c>
      <c r="G105" s="640">
        <v>1.5899999999999999E-4</v>
      </c>
      <c r="H105" s="53">
        <v>2.72E-4</v>
      </c>
      <c r="I105" s="53">
        <v>3.6099999999999999E-4</v>
      </c>
      <c r="J105" s="53">
        <v>4.3399999999999998E-4</v>
      </c>
      <c r="K105" s="53">
        <v>4.4700000000000002E-4</v>
      </c>
      <c r="L105" s="640">
        <v>4.8299999999999998E-4</v>
      </c>
      <c r="M105" s="53">
        <v>5.1500000000000005E-4</v>
      </c>
      <c r="N105" s="53">
        <v>5.2499999999999997E-4</v>
      </c>
      <c r="O105" s="53">
        <v>5.6499999999999996E-4</v>
      </c>
      <c r="P105" s="53">
        <v>6.0599999999999998E-4</v>
      </c>
      <c r="Q105" s="640">
        <v>6.3199999999999997E-4</v>
      </c>
      <c r="R105" s="53">
        <v>6.6600000000000003E-4</v>
      </c>
      <c r="S105" s="53">
        <v>7.3200000000000001E-4</v>
      </c>
      <c r="T105" s="53">
        <v>8.0099999999999995E-4</v>
      </c>
      <c r="U105" s="53">
        <v>8.3799999999999999E-4</v>
      </c>
      <c r="V105" s="640">
        <v>8.5599999999999999E-4</v>
      </c>
      <c r="W105" s="53">
        <v>8.7900000000000001E-4</v>
      </c>
      <c r="X105" s="53">
        <v>9.1E-4</v>
      </c>
      <c r="Y105" s="53">
        <v>9.3199999999999999E-4</v>
      </c>
      <c r="Z105" s="53">
        <v>9.4899999999999997E-4</v>
      </c>
      <c r="AA105" s="640">
        <v>9.7199999999999999E-4</v>
      </c>
      <c r="AB105" s="53">
        <v>1.0059999999999999E-3</v>
      </c>
      <c r="AC105" s="53">
        <v>1.0430000000000001E-3</v>
      </c>
      <c r="AD105" s="53">
        <v>1.088E-3</v>
      </c>
      <c r="AE105" s="53">
        <v>1.1150000000000001E-3</v>
      </c>
      <c r="AF105" s="640">
        <v>1.119E-3</v>
      </c>
      <c r="AG105" s="641">
        <v>8.1184999999999993E-2</v>
      </c>
    </row>
    <row r="106" spans="1:33" x14ac:dyDescent="0.2">
      <c r="A106" s="111" t="s">
        <v>564</v>
      </c>
      <c r="B106" s="639">
        <v>2.3779207840561901E-3</v>
      </c>
      <c r="C106" s="133">
        <v>3.3644605427980401E-3</v>
      </c>
      <c r="D106" s="53">
        <v>0</v>
      </c>
      <c r="E106" s="53">
        <v>4.7399999999999997E-4</v>
      </c>
      <c r="F106" s="53">
        <v>3.0299999999999999E-4</v>
      </c>
      <c r="G106" s="640">
        <v>4.0499999999999998E-4</v>
      </c>
      <c r="H106" s="53">
        <v>6.8900000000000005E-4</v>
      </c>
      <c r="I106" s="53">
        <v>9.1600000000000004E-4</v>
      </c>
      <c r="J106" s="53">
        <v>2.6099999999999999E-3</v>
      </c>
      <c r="K106" s="53">
        <v>1.5460000000000001E-3</v>
      </c>
      <c r="L106" s="640">
        <v>1.902E-3</v>
      </c>
      <c r="M106" s="53">
        <v>2.1090000000000002E-3</v>
      </c>
      <c r="N106" s="53">
        <v>2.2680000000000001E-3</v>
      </c>
      <c r="O106" s="53">
        <v>2.5209999999999998E-3</v>
      </c>
      <c r="P106" s="53">
        <v>2.8050000000000002E-3</v>
      </c>
      <c r="Q106" s="640">
        <v>3.0049999999999999E-3</v>
      </c>
      <c r="R106" s="53">
        <v>3.2450000000000001E-3</v>
      </c>
      <c r="S106" s="53">
        <v>3.6359999999999999E-3</v>
      </c>
      <c r="T106" s="53">
        <v>4.0509999999999999E-3</v>
      </c>
      <c r="U106" s="53">
        <v>4.3080000000000002E-3</v>
      </c>
      <c r="V106" s="640">
        <v>4.4349999999999997E-3</v>
      </c>
      <c r="W106" s="53">
        <v>4.5859999999999998E-3</v>
      </c>
      <c r="X106" s="53">
        <v>4.7749999999999997E-3</v>
      </c>
      <c r="Y106" s="53">
        <v>4.9290000000000002E-3</v>
      </c>
      <c r="Z106" s="53">
        <v>5.0499999999999998E-3</v>
      </c>
      <c r="AA106" s="640">
        <v>5.189E-3</v>
      </c>
      <c r="AB106" s="53">
        <v>5.3369999999999997E-3</v>
      </c>
      <c r="AC106" s="53">
        <v>5.4920000000000004E-3</v>
      </c>
      <c r="AD106" s="53">
        <v>5.7600000000000004E-3</v>
      </c>
      <c r="AE106" s="53">
        <v>6.0000000000000001E-3</v>
      </c>
      <c r="AF106" s="640">
        <v>6.1279999999999998E-3</v>
      </c>
      <c r="AG106" s="641">
        <v>0.11479399999999999</v>
      </c>
    </row>
    <row r="107" spans="1:33" x14ac:dyDescent="0.2">
      <c r="A107" s="111" t="s">
        <v>567</v>
      </c>
      <c r="B107" s="639">
        <v>0.37392508983612099</v>
      </c>
      <c r="C107" s="133">
        <v>0.409615218639374</v>
      </c>
      <c r="D107" s="53">
        <v>0.232212</v>
      </c>
      <c r="E107" s="53">
        <v>0.205957</v>
      </c>
      <c r="F107" s="53">
        <v>0.12836900000000001</v>
      </c>
      <c r="G107" s="640">
        <v>0.15192</v>
      </c>
      <c r="H107" s="53">
        <v>0.19181300000000001</v>
      </c>
      <c r="I107" s="53">
        <v>0.20097300000000001</v>
      </c>
      <c r="J107" s="53">
        <v>0.22198799999999999</v>
      </c>
      <c r="K107" s="53">
        <v>0.25082900000000002</v>
      </c>
      <c r="L107" s="640">
        <v>0.27018700000000001</v>
      </c>
      <c r="M107" s="53">
        <v>0.26271600000000001</v>
      </c>
      <c r="N107" s="53">
        <v>0.25235200000000002</v>
      </c>
      <c r="O107" s="53">
        <v>0.25432700000000003</v>
      </c>
      <c r="P107" s="53">
        <v>0.26046200000000003</v>
      </c>
      <c r="Q107" s="640">
        <v>0.260156</v>
      </c>
      <c r="R107" s="53">
        <v>0.26529999999999998</v>
      </c>
      <c r="S107" s="53">
        <v>0.28377799999999997</v>
      </c>
      <c r="T107" s="53">
        <v>0.30467</v>
      </c>
      <c r="U107" s="53">
        <v>0.31428299999999998</v>
      </c>
      <c r="V107" s="640">
        <v>0.31516300000000003</v>
      </c>
      <c r="W107" s="53">
        <v>0.31887399999999999</v>
      </c>
      <c r="X107" s="53">
        <v>0.32653599999999999</v>
      </c>
      <c r="Y107" s="53">
        <v>0.33260600000000001</v>
      </c>
      <c r="Z107" s="53">
        <v>0.33703499999999997</v>
      </c>
      <c r="AA107" s="640">
        <v>0.34304600000000002</v>
      </c>
      <c r="AB107" s="53">
        <v>0.34999200000000003</v>
      </c>
      <c r="AC107" s="53">
        <v>0.35722399999999999</v>
      </c>
      <c r="AD107" s="53">
        <v>0.37354700000000002</v>
      </c>
      <c r="AE107" s="53">
        <v>0.38944699999999999</v>
      </c>
      <c r="AF107" s="640">
        <v>0.39872299999999999</v>
      </c>
      <c r="AG107" s="641">
        <v>3.9350999999999997E-2</v>
      </c>
    </row>
    <row r="108" spans="1:33" x14ac:dyDescent="0.2">
      <c r="A108" s="111" t="s">
        <v>582</v>
      </c>
      <c r="B108" s="639">
        <v>0.597584068775177</v>
      </c>
      <c r="C108" s="133">
        <v>0.63522857427597001</v>
      </c>
      <c r="D108" s="53">
        <v>0.51683100000000004</v>
      </c>
      <c r="E108" s="53">
        <v>0.41115800000000002</v>
      </c>
      <c r="F108" s="53">
        <v>0.31078699999999998</v>
      </c>
      <c r="G108" s="640">
        <v>0.36061700000000002</v>
      </c>
      <c r="H108" s="53">
        <v>0.44565700000000003</v>
      </c>
      <c r="I108" s="53">
        <v>0.419402</v>
      </c>
      <c r="J108" s="53">
        <v>0.46500000000000002</v>
      </c>
      <c r="K108" s="53">
        <v>0.51954900000000004</v>
      </c>
      <c r="L108" s="640">
        <v>0.55767</v>
      </c>
      <c r="M108" s="53">
        <v>0.55112799999999995</v>
      </c>
      <c r="N108" s="53">
        <v>0.53441499999999997</v>
      </c>
      <c r="O108" s="53">
        <v>0.53323900000000002</v>
      </c>
      <c r="P108" s="53">
        <v>0.54364699999999999</v>
      </c>
      <c r="Q108" s="640">
        <v>0.54512099999999997</v>
      </c>
      <c r="R108" s="53">
        <v>0.55588599999999999</v>
      </c>
      <c r="S108" s="53">
        <v>0.59050100000000005</v>
      </c>
      <c r="T108" s="53">
        <v>0.62656100000000003</v>
      </c>
      <c r="U108" s="53">
        <v>0.64460499999999998</v>
      </c>
      <c r="V108" s="640">
        <v>0.648123</v>
      </c>
      <c r="W108" s="53">
        <v>0.65644400000000003</v>
      </c>
      <c r="X108" s="53">
        <v>0.67089900000000002</v>
      </c>
      <c r="Y108" s="53">
        <v>0.68188300000000002</v>
      </c>
      <c r="Z108" s="53">
        <v>0.68974500000000005</v>
      </c>
      <c r="AA108" s="640">
        <v>0.70070399999999999</v>
      </c>
      <c r="AB108" s="53">
        <v>0.713028</v>
      </c>
      <c r="AC108" s="53">
        <v>0.72582800000000003</v>
      </c>
      <c r="AD108" s="53">
        <v>0.75499400000000005</v>
      </c>
      <c r="AE108" s="53">
        <v>0.78292099999999998</v>
      </c>
      <c r="AF108" s="640">
        <v>0.79983300000000002</v>
      </c>
      <c r="AG108" s="641">
        <v>3.2377000000000003E-2</v>
      </c>
    </row>
    <row r="109" spans="1:33" x14ac:dyDescent="0.2">
      <c r="B109" s="513"/>
      <c r="G109" s="513"/>
      <c r="L109" s="513"/>
      <c r="Q109" s="513"/>
      <c r="V109" s="513"/>
      <c r="AA109" s="513"/>
      <c r="AF109" s="513"/>
    </row>
    <row r="110" spans="1:33" x14ac:dyDescent="0.2">
      <c r="A110" s="111" t="s">
        <v>583</v>
      </c>
      <c r="B110" s="513"/>
      <c r="G110" s="513"/>
      <c r="L110" s="513"/>
      <c r="Q110" s="513"/>
      <c r="V110" s="513"/>
      <c r="AA110" s="513"/>
      <c r="AF110" s="513"/>
    </row>
    <row r="111" spans="1:33" x14ac:dyDescent="0.2">
      <c r="A111" s="111" t="s">
        <v>584</v>
      </c>
      <c r="B111" s="639">
        <v>1587.57189941406</v>
      </c>
      <c r="C111" s="133">
        <v>1655.60827636719</v>
      </c>
      <c r="D111" s="53">
        <v>1770.545044</v>
      </c>
      <c r="E111" s="53">
        <v>1806.3632809999999</v>
      </c>
      <c r="F111" s="53">
        <v>1532.2139890000001</v>
      </c>
      <c r="G111" s="640">
        <v>1559.268188</v>
      </c>
      <c r="H111" s="53">
        <v>1516.719971</v>
      </c>
      <c r="I111" s="53">
        <v>1475.177612</v>
      </c>
      <c r="J111" s="53">
        <v>1483.071533</v>
      </c>
      <c r="K111" s="53">
        <v>1496.776001</v>
      </c>
      <c r="L111" s="640">
        <v>1502.9094239999999</v>
      </c>
      <c r="M111" s="53">
        <v>1544.4094239999999</v>
      </c>
      <c r="N111" s="53">
        <v>1566.5513920000001</v>
      </c>
      <c r="O111" s="53">
        <v>1585.951538</v>
      </c>
      <c r="P111" s="53">
        <v>1622.025024</v>
      </c>
      <c r="Q111" s="640">
        <v>1661.982422</v>
      </c>
      <c r="R111" s="53">
        <v>1674.490112</v>
      </c>
      <c r="S111" s="53">
        <v>1729.0245359999999</v>
      </c>
      <c r="T111" s="53">
        <v>1757.9404300000001</v>
      </c>
      <c r="U111" s="53">
        <v>1774.1152340000001</v>
      </c>
      <c r="V111" s="640">
        <v>1782.236572</v>
      </c>
      <c r="W111" s="53">
        <v>1786.5341800000001</v>
      </c>
      <c r="X111" s="53">
        <v>1810.194336</v>
      </c>
      <c r="Y111" s="53">
        <v>1812.024658</v>
      </c>
      <c r="Z111" s="53">
        <v>1811.663086</v>
      </c>
      <c r="AA111" s="640">
        <v>1826.002686</v>
      </c>
      <c r="AB111" s="53">
        <v>1817.9539789999999</v>
      </c>
      <c r="AC111" s="53">
        <v>1827.3980710000001</v>
      </c>
      <c r="AD111" s="53">
        <v>1841.994019</v>
      </c>
      <c r="AE111" s="53">
        <v>1861.02124</v>
      </c>
      <c r="AF111" s="640">
        <v>1870.8969729999999</v>
      </c>
      <c r="AG111" s="641">
        <v>7.3150000000000003E-3</v>
      </c>
    </row>
    <row r="112" spans="1:33" x14ac:dyDescent="0.2">
      <c r="A112" s="111" t="s">
        <v>585</v>
      </c>
      <c r="B112" s="639">
        <v>2.9127993583679199</v>
      </c>
      <c r="C112" s="133">
        <v>2.9157152175903298</v>
      </c>
      <c r="D112" s="53">
        <v>3.125</v>
      </c>
      <c r="E112" s="53">
        <v>3.1281279999999998</v>
      </c>
      <c r="F112" s="53">
        <v>3.436426</v>
      </c>
      <c r="G112" s="640">
        <v>3.4398659999999999</v>
      </c>
      <c r="H112" s="53">
        <v>3.4433090000000002</v>
      </c>
      <c r="I112" s="53">
        <v>3.4467560000000002</v>
      </c>
      <c r="J112" s="53">
        <v>3.4502060000000001</v>
      </c>
      <c r="K112" s="53">
        <v>3.4536600000000002</v>
      </c>
      <c r="L112" s="640">
        <v>3.4571170000000002</v>
      </c>
      <c r="M112" s="53">
        <v>3.4605779999999999</v>
      </c>
      <c r="N112" s="53">
        <v>3.4640420000000001</v>
      </c>
      <c r="O112" s="53">
        <v>3.4675090000000002</v>
      </c>
      <c r="P112" s="53">
        <v>3.47098</v>
      </c>
      <c r="Q112" s="640">
        <v>3.4744549999999998</v>
      </c>
      <c r="R112" s="53">
        <v>3.477932</v>
      </c>
      <c r="S112" s="53">
        <v>3.481414</v>
      </c>
      <c r="T112" s="53">
        <v>3.484899</v>
      </c>
      <c r="U112" s="53">
        <v>3.4883869999999999</v>
      </c>
      <c r="V112" s="640">
        <v>3.491879</v>
      </c>
      <c r="W112" s="53">
        <v>3.4953750000000001</v>
      </c>
      <c r="X112" s="53">
        <v>3.4988730000000001</v>
      </c>
      <c r="Y112" s="53">
        <v>3.5023759999999999</v>
      </c>
      <c r="Z112" s="53">
        <v>3.5058820000000002</v>
      </c>
      <c r="AA112" s="640">
        <v>3.5093909999999999</v>
      </c>
      <c r="AB112" s="53">
        <v>3.5129039999999998</v>
      </c>
      <c r="AC112" s="53">
        <v>3.5164200000000001</v>
      </c>
      <c r="AD112" s="53">
        <v>3.5199400000000001</v>
      </c>
      <c r="AE112" s="53">
        <v>3.5234640000000002</v>
      </c>
      <c r="AF112" s="640">
        <v>3.5269910000000002</v>
      </c>
      <c r="AG112" s="641">
        <v>1.0009999999999999E-3</v>
      </c>
    </row>
    <row r="113" spans="1:33" x14ac:dyDescent="0.2">
      <c r="A113" s="111" t="s">
        <v>586</v>
      </c>
      <c r="B113" s="513"/>
      <c r="G113" s="513"/>
      <c r="L113" s="513"/>
      <c r="Q113" s="513"/>
      <c r="V113" s="513"/>
      <c r="AA113" s="513"/>
      <c r="AF113" s="513"/>
    </row>
    <row r="114" spans="1:33" x14ac:dyDescent="0.2">
      <c r="A114" s="111" t="s">
        <v>587</v>
      </c>
      <c r="B114" s="639">
        <v>545.03302001953102</v>
      </c>
      <c r="C114" s="133">
        <v>567.82238769531295</v>
      </c>
      <c r="D114" s="53">
        <v>605.03375200000005</v>
      </c>
      <c r="E114" s="53">
        <v>577.45819100000006</v>
      </c>
      <c r="F114" s="53">
        <v>361.83822600000002</v>
      </c>
      <c r="G114" s="640">
        <v>453.29324300000002</v>
      </c>
      <c r="H114" s="53">
        <v>440.48321499999997</v>
      </c>
      <c r="I114" s="53">
        <v>427.99014299999999</v>
      </c>
      <c r="J114" s="53">
        <v>429.88583399999999</v>
      </c>
      <c r="K114" s="53">
        <v>433.467804</v>
      </c>
      <c r="L114" s="640">
        <v>434.80749500000002</v>
      </c>
      <c r="M114" s="53">
        <v>446.37701399999997</v>
      </c>
      <c r="N114" s="53">
        <v>452.32549999999998</v>
      </c>
      <c r="O114" s="53">
        <v>457.46676600000001</v>
      </c>
      <c r="P114" s="53">
        <v>467.40273999999999</v>
      </c>
      <c r="Q114" s="640">
        <v>478.44152800000001</v>
      </c>
      <c r="R114" s="53">
        <v>481.55169699999999</v>
      </c>
      <c r="S114" s="53">
        <v>496.73431399999998</v>
      </c>
      <c r="T114" s="53">
        <v>504.533569</v>
      </c>
      <c r="U114" s="53">
        <v>508.65603599999997</v>
      </c>
      <c r="V114" s="640">
        <v>510.46664399999997</v>
      </c>
      <c r="W114" s="53">
        <v>511.18118299999998</v>
      </c>
      <c r="X114" s="53">
        <v>517.42571999999996</v>
      </c>
      <c r="Y114" s="53">
        <v>517.42437700000005</v>
      </c>
      <c r="Z114" s="53">
        <v>516.79846199999997</v>
      </c>
      <c r="AA114" s="640">
        <v>520.36529499999995</v>
      </c>
      <c r="AB114" s="53">
        <v>517.54113800000005</v>
      </c>
      <c r="AC114" s="53">
        <v>519.69787599999995</v>
      </c>
      <c r="AD114" s="53">
        <v>523.31561299999998</v>
      </c>
      <c r="AE114" s="53">
        <v>528.18212900000003</v>
      </c>
      <c r="AF114" s="640">
        <v>530.44305399999996</v>
      </c>
      <c r="AG114" s="641">
        <v>6.3070000000000001E-3</v>
      </c>
    </row>
    <row r="115" spans="1:33" x14ac:dyDescent="0.2">
      <c r="A115" s="111" t="s">
        <v>588</v>
      </c>
      <c r="B115" s="639">
        <v>0</v>
      </c>
      <c r="C115" s="133">
        <v>0</v>
      </c>
      <c r="D115" s="53">
        <v>0</v>
      </c>
      <c r="E115" s="53">
        <v>0</v>
      </c>
      <c r="F115" s="53">
        <v>0</v>
      </c>
      <c r="G115" s="640">
        <v>0</v>
      </c>
      <c r="H115" s="53">
        <v>0</v>
      </c>
      <c r="I115" s="53">
        <v>0</v>
      </c>
      <c r="J115" s="53">
        <v>0</v>
      </c>
      <c r="K115" s="53">
        <v>0</v>
      </c>
      <c r="L115" s="640">
        <v>0</v>
      </c>
      <c r="M115" s="53">
        <v>0</v>
      </c>
      <c r="N115" s="53">
        <v>0</v>
      </c>
      <c r="O115" s="53">
        <v>0</v>
      </c>
      <c r="P115" s="53">
        <v>0</v>
      </c>
      <c r="Q115" s="640">
        <v>0</v>
      </c>
      <c r="R115" s="53">
        <v>0</v>
      </c>
      <c r="S115" s="53">
        <v>0</v>
      </c>
      <c r="T115" s="53">
        <v>0</v>
      </c>
      <c r="U115" s="53">
        <v>0</v>
      </c>
      <c r="V115" s="640">
        <v>0</v>
      </c>
      <c r="W115" s="53">
        <v>0</v>
      </c>
      <c r="X115" s="53">
        <v>0</v>
      </c>
      <c r="Y115" s="53">
        <v>0</v>
      </c>
      <c r="Z115" s="53">
        <v>0</v>
      </c>
      <c r="AA115" s="640">
        <v>0</v>
      </c>
      <c r="AB115" s="53">
        <v>0</v>
      </c>
      <c r="AC115" s="53">
        <v>0</v>
      </c>
      <c r="AD115" s="53">
        <v>0</v>
      </c>
      <c r="AE115" s="53">
        <v>0</v>
      </c>
      <c r="AF115" s="640">
        <v>0</v>
      </c>
      <c r="AG115" s="645" t="s">
        <v>589</v>
      </c>
    </row>
    <row r="116" spans="1:33" x14ac:dyDescent="0.2">
      <c r="A116" s="111" t="s">
        <v>590</v>
      </c>
      <c r="B116" s="639">
        <v>0</v>
      </c>
      <c r="C116" s="133">
        <v>0</v>
      </c>
      <c r="D116" s="53">
        <v>0</v>
      </c>
      <c r="E116" s="53">
        <v>0</v>
      </c>
      <c r="F116" s="53">
        <v>0</v>
      </c>
      <c r="G116" s="640">
        <v>0</v>
      </c>
      <c r="H116" s="53">
        <v>0</v>
      </c>
      <c r="I116" s="53">
        <v>0</v>
      </c>
      <c r="J116" s="53">
        <v>0</v>
      </c>
      <c r="K116" s="53">
        <v>0</v>
      </c>
      <c r="L116" s="640">
        <v>0</v>
      </c>
      <c r="M116" s="53">
        <v>0</v>
      </c>
      <c r="N116" s="53">
        <v>0</v>
      </c>
      <c r="O116" s="53">
        <v>0</v>
      </c>
      <c r="P116" s="53">
        <v>0</v>
      </c>
      <c r="Q116" s="640">
        <v>0</v>
      </c>
      <c r="R116" s="53">
        <v>0</v>
      </c>
      <c r="S116" s="53">
        <v>0</v>
      </c>
      <c r="T116" s="53">
        <v>0</v>
      </c>
      <c r="U116" s="53">
        <v>0</v>
      </c>
      <c r="V116" s="640">
        <v>0</v>
      </c>
      <c r="W116" s="53">
        <v>0</v>
      </c>
      <c r="X116" s="53">
        <v>0</v>
      </c>
      <c r="Y116" s="53">
        <v>0</v>
      </c>
      <c r="Z116" s="53">
        <v>0</v>
      </c>
      <c r="AA116" s="640">
        <v>0</v>
      </c>
      <c r="AB116" s="53">
        <v>0</v>
      </c>
      <c r="AC116" s="53">
        <v>0</v>
      </c>
      <c r="AD116" s="53">
        <v>0</v>
      </c>
      <c r="AE116" s="53">
        <v>0</v>
      </c>
      <c r="AF116" s="640">
        <v>0</v>
      </c>
      <c r="AG116" s="645" t="s">
        <v>589</v>
      </c>
    </row>
    <row r="117" spans="1:33" x14ac:dyDescent="0.2">
      <c r="B117" s="513"/>
      <c r="G117" s="513"/>
      <c r="L117" s="513"/>
      <c r="Q117" s="513"/>
      <c r="V117" s="513"/>
      <c r="AA117" s="513"/>
      <c r="AF117" s="513"/>
    </row>
    <row r="118" spans="1:33" x14ac:dyDescent="0.2">
      <c r="A118" s="111" t="s">
        <v>591</v>
      </c>
      <c r="B118" s="513"/>
      <c r="G118" s="513"/>
      <c r="L118" s="513"/>
      <c r="Q118" s="513"/>
      <c r="V118" s="513"/>
      <c r="AA118" s="513"/>
      <c r="AF118" s="513"/>
    </row>
    <row r="119" spans="1:33" x14ac:dyDescent="0.2">
      <c r="A119" s="111" t="s">
        <v>592</v>
      </c>
      <c r="B119" s="639">
        <v>609.66827392578102</v>
      </c>
      <c r="C119" s="133">
        <v>619.49761962890602</v>
      </c>
      <c r="D119" s="53">
        <v>584.49633800000004</v>
      </c>
      <c r="E119" s="53">
        <v>576.07605000000001</v>
      </c>
      <c r="F119" s="53">
        <v>477</v>
      </c>
      <c r="G119" s="640">
        <v>521.80175799999995</v>
      </c>
      <c r="H119" s="53">
        <v>500.36541699999998</v>
      </c>
      <c r="I119" s="53">
        <v>514.94006300000001</v>
      </c>
      <c r="J119" s="53">
        <v>516.88470500000005</v>
      </c>
      <c r="K119" s="53">
        <v>534.91046100000005</v>
      </c>
      <c r="L119" s="640">
        <v>549.01873799999998</v>
      </c>
      <c r="M119" s="53">
        <v>562.631348</v>
      </c>
      <c r="N119" s="53">
        <v>569.22125200000005</v>
      </c>
      <c r="O119" s="53">
        <v>574.49139400000001</v>
      </c>
      <c r="P119" s="53">
        <v>581.04638699999998</v>
      </c>
      <c r="Q119" s="640">
        <v>586.77136199999995</v>
      </c>
      <c r="R119" s="53">
        <v>591.504639</v>
      </c>
      <c r="S119" s="53">
        <v>595.95929000000001</v>
      </c>
      <c r="T119" s="53">
        <v>599.24896200000001</v>
      </c>
      <c r="U119" s="53">
        <v>601.35022000000004</v>
      </c>
      <c r="V119" s="640">
        <v>604.00207499999999</v>
      </c>
      <c r="W119" s="53">
        <v>607.95404099999996</v>
      </c>
      <c r="X119" s="53">
        <v>611.32171600000004</v>
      </c>
      <c r="Y119" s="53">
        <v>613.67511000000002</v>
      </c>
      <c r="Z119" s="53">
        <v>615.10455300000001</v>
      </c>
      <c r="AA119" s="640">
        <v>616.67211899999995</v>
      </c>
      <c r="AB119" s="53">
        <v>616.80529799999999</v>
      </c>
      <c r="AC119" s="53">
        <v>618.68896500000005</v>
      </c>
      <c r="AD119" s="53">
        <v>622.04187000000002</v>
      </c>
      <c r="AE119" s="53">
        <v>624.11547900000005</v>
      </c>
      <c r="AF119" s="640">
        <v>627.12817399999994</v>
      </c>
      <c r="AG119" s="641">
        <v>7.3819999999999997E-3</v>
      </c>
    </row>
    <row r="120" spans="1:33" x14ac:dyDescent="0.2">
      <c r="A120" s="111" t="s">
        <v>585</v>
      </c>
      <c r="B120" s="639">
        <v>1.96274697780609</v>
      </c>
      <c r="C120" s="133">
        <v>1.9647117853164699</v>
      </c>
      <c r="D120" s="53">
        <v>1.9532240000000001</v>
      </c>
      <c r="E120" s="53">
        <v>1.957139</v>
      </c>
      <c r="F120" s="53">
        <v>2.3971390000000001</v>
      </c>
      <c r="G120" s="640">
        <v>2.401942</v>
      </c>
      <c r="H120" s="53">
        <v>2.4067560000000001</v>
      </c>
      <c r="I120" s="53">
        <v>2.4115790000000001</v>
      </c>
      <c r="J120" s="53">
        <v>2.4164119999999998</v>
      </c>
      <c r="K120" s="53">
        <v>2.4212549999999999</v>
      </c>
      <c r="L120" s="640">
        <v>2.426107</v>
      </c>
      <c r="M120" s="53">
        <v>2.4309690000000002</v>
      </c>
      <c r="N120" s="53">
        <v>2.4358409999999999</v>
      </c>
      <c r="O120" s="53">
        <v>2.4407220000000001</v>
      </c>
      <c r="P120" s="53">
        <v>2.4456129999999998</v>
      </c>
      <c r="Q120" s="640">
        <v>2.4505140000000001</v>
      </c>
      <c r="R120" s="53">
        <v>2.455425</v>
      </c>
      <c r="S120" s="53">
        <v>2.4603459999999999</v>
      </c>
      <c r="T120" s="53">
        <v>2.4652759999999998</v>
      </c>
      <c r="U120" s="53">
        <v>2.4702169999999999</v>
      </c>
      <c r="V120" s="640">
        <v>2.4751669999999999</v>
      </c>
      <c r="W120" s="53">
        <v>2.480127</v>
      </c>
      <c r="X120" s="53">
        <v>2.4850970000000001</v>
      </c>
      <c r="Y120" s="53">
        <v>2.490078</v>
      </c>
      <c r="Z120" s="53">
        <v>2.4950679999999998</v>
      </c>
      <c r="AA120" s="640">
        <v>2.5000680000000002</v>
      </c>
      <c r="AB120" s="53">
        <v>2.5050780000000001</v>
      </c>
      <c r="AC120" s="53">
        <v>2.5100980000000002</v>
      </c>
      <c r="AD120" s="53">
        <v>2.5151279999999998</v>
      </c>
      <c r="AE120" s="53">
        <v>2.5201690000000001</v>
      </c>
      <c r="AF120" s="640">
        <v>2.5252189999999999</v>
      </c>
      <c r="AG120" s="641">
        <v>2.0040000000000001E-3</v>
      </c>
    </row>
    <row r="121" spans="1:33" x14ac:dyDescent="0.2">
      <c r="A121" s="111" t="s">
        <v>586</v>
      </c>
      <c r="B121" s="513"/>
      <c r="G121" s="513"/>
      <c r="L121" s="513"/>
      <c r="Q121" s="513"/>
      <c r="V121" s="513"/>
      <c r="AA121" s="513"/>
      <c r="AF121" s="513"/>
    </row>
    <row r="122" spans="1:33" x14ac:dyDescent="0.2">
      <c r="A122" s="111" t="s">
        <v>587</v>
      </c>
      <c r="B122" s="639">
        <v>219.46594238281301</v>
      </c>
      <c r="C122" s="133">
        <v>223.51828002929699</v>
      </c>
      <c r="D122" s="53">
        <v>214.572586</v>
      </c>
      <c r="E122" s="53">
        <v>213.44682299999999</v>
      </c>
      <c r="F122" s="53">
        <v>114.653023</v>
      </c>
      <c r="G122" s="640">
        <v>147.85343900000001</v>
      </c>
      <c r="H122" s="53">
        <v>146.606064</v>
      </c>
      <c r="I122" s="53">
        <v>147.78741500000001</v>
      </c>
      <c r="J122" s="53">
        <v>146.788284</v>
      </c>
      <c r="K122" s="53">
        <v>150.38647499999999</v>
      </c>
      <c r="L122" s="640">
        <v>154.04373200000001</v>
      </c>
      <c r="M122" s="53">
        <v>157.55096399999999</v>
      </c>
      <c r="N122" s="53">
        <v>159.07806400000001</v>
      </c>
      <c r="O122" s="53">
        <v>160.22895800000001</v>
      </c>
      <c r="P122" s="53">
        <v>161.73254399999999</v>
      </c>
      <c r="Q122" s="640">
        <v>163.00067100000001</v>
      </c>
      <c r="R122" s="53">
        <v>163.98397800000001</v>
      </c>
      <c r="S122" s="53">
        <v>164.88746599999999</v>
      </c>
      <c r="T122" s="53">
        <v>165.46507299999999</v>
      </c>
      <c r="U122" s="53">
        <v>165.70971700000001</v>
      </c>
      <c r="V122" s="640">
        <v>166.10534699999999</v>
      </c>
      <c r="W122" s="53">
        <v>166.85629299999999</v>
      </c>
      <c r="X122" s="53">
        <v>167.44262699999999</v>
      </c>
      <c r="Y122" s="53">
        <v>167.74887100000001</v>
      </c>
      <c r="Z122" s="53">
        <v>167.801605</v>
      </c>
      <c r="AA122" s="640">
        <v>167.891876</v>
      </c>
      <c r="AB122" s="53">
        <v>167.588257</v>
      </c>
      <c r="AC122" s="53">
        <v>167.76011700000001</v>
      </c>
      <c r="AD122" s="53">
        <v>168.32891799999999</v>
      </c>
      <c r="AE122" s="53">
        <v>168.548935</v>
      </c>
      <c r="AF122" s="640">
        <v>169.02034</v>
      </c>
      <c r="AG122" s="641">
        <v>5.3660000000000001E-3</v>
      </c>
    </row>
    <row r="123" spans="1:33" x14ac:dyDescent="0.2">
      <c r="A123" s="111" t="s">
        <v>588</v>
      </c>
      <c r="B123" s="639">
        <v>91.172294616699205</v>
      </c>
      <c r="C123" s="133">
        <v>91.794639587402301</v>
      </c>
      <c r="D123" s="53">
        <v>84.744011</v>
      </c>
      <c r="E123" s="53">
        <v>81.205933000000002</v>
      </c>
      <c r="F123" s="53">
        <v>59.692115999999999</v>
      </c>
      <c r="G123" s="640">
        <v>70.451522999999995</v>
      </c>
      <c r="H123" s="53">
        <v>61.317570000000003</v>
      </c>
      <c r="I123" s="53">
        <v>66.102905000000007</v>
      </c>
      <c r="J123" s="53">
        <v>67.807945000000004</v>
      </c>
      <c r="K123" s="53">
        <v>71.671982</v>
      </c>
      <c r="L123" s="640">
        <v>73.419250000000005</v>
      </c>
      <c r="M123" s="53">
        <v>75.092781000000002</v>
      </c>
      <c r="N123" s="53">
        <v>75.821715999999995</v>
      </c>
      <c r="O123" s="53">
        <v>76.371223000000001</v>
      </c>
      <c r="P123" s="53">
        <v>77.088393999999994</v>
      </c>
      <c r="Q123" s="640">
        <v>77.693520000000007</v>
      </c>
      <c r="R123" s="53">
        <v>78.165206999999995</v>
      </c>
      <c r="S123" s="53">
        <v>78.596687000000003</v>
      </c>
      <c r="T123" s="53">
        <v>78.871437</v>
      </c>
      <c r="U123" s="53">
        <v>78.988358000000005</v>
      </c>
      <c r="V123" s="640">
        <v>79.177109000000002</v>
      </c>
      <c r="W123" s="53">
        <v>79.534164000000004</v>
      </c>
      <c r="X123" s="53">
        <v>79.812515000000005</v>
      </c>
      <c r="Y123" s="53">
        <v>79.957938999999996</v>
      </c>
      <c r="Z123" s="53">
        <v>79.982239000000007</v>
      </c>
      <c r="AA123" s="640">
        <v>80.024039999999999</v>
      </c>
      <c r="AB123" s="53">
        <v>79.878922000000003</v>
      </c>
      <c r="AC123" s="53">
        <v>79.959854000000007</v>
      </c>
      <c r="AD123" s="53">
        <v>80.230202000000006</v>
      </c>
      <c r="AE123" s="53">
        <v>80.335257999999996</v>
      </c>
      <c r="AF123" s="640">
        <v>80.560669000000004</v>
      </c>
      <c r="AG123" s="641">
        <v>5.378E-3</v>
      </c>
    </row>
    <row r="124" spans="1:33" x14ac:dyDescent="0.2">
      <c r="A124" s="111" t="s">
        <v>593</v>
      </c>
      <c r="B124" s="639">
        <v>0</v>
      </c>
      <c r="C124" s="133">
        <v>0</v>
      </c>
      <c r="D124" s="53">
        <v>0</v>
      </c>
      <c r="E124" s="53">
        <v>0</v>
      </c>
      <c r="F124" s="53">
        <v>0</v>
      </c>
      <c r="G124" s="640">
        <v>0</v>
      </c>
      <c r="H124" s="53">
        <v>0</v>
      </c>
      <c r="I124" s="53">
        <v>0</v>
      </c>
      <c r="J124" s="53">
        <v>0</v>
      </c>
      <c r="K124" s="53">
        <v>0</v>
      </c>
      <c r="L124" s="640">
        <v>0</v>
      </c>
      <c r="M124" s="53">
        <v>0</v>
      </c>
      <c r="N124" s="53">
        <v>0</v>
      </c>
      <c r="O124" s="53">
        <v>0</v>
      </c>
      <c r="P124" s="53">
        <v>0</v>
      </c>
      <c r="Q124" s="640">
        <v>0</v>
      </c>
      <c r="R124" s="53">
        <v>0</v>
      </c>
      <c r="S124" s="53">
        <v>0</v>
      </c>
      <c r="T124" s="53">
        <v>0</v>
      </c>
      <c r="U124" s="53">
        <v>0</v>
      </c>
      <c r="V124" s="640">
        <v>0</v>
      </c>
      <c r="W124" s="53">
        <v>0</v>
      </c>
      <c r="X124" s="53">
        <v>0</v>
      </c>
      <c r="Y124" s="53">
        <v>0</v>
      </c>
      <c r="Z124" s="53">
        <v>0</v>
      </c>
      <c r="AA124" s="640">
        <v>0</v>
      </c>
      <c r="AB124" s="53">
        <v>0</v>
      </c>
      <c r="AC124" s="53">
        <v>0</v>
      </c>
      <c r="AD124" s="53">
        <v>0</v>
      </c>
      <c r="AE124" s="53">
        <v>0</v>
      </c>
      <c r="AF124" s="640">
        <v>0</v>
      </c>
      <c r="AG124" s="645" t="s">
        <v>589</v>
      </c>
    </row>
    <row r="125" spans="1:33" x14ac:dyDescent="0.2">
      <c r="B125" s="639"/>
      <c r="G125" s="513"/>
      <c r="L125" s="513"/>
      <c r="Q125" s="513"/>
      <c r="V125" s="513"/>
      <c r="AA125" s="513"/>
      <c r="AF125" s="513"/>
    </row>
    <row r="126" spans="1:33" x14ac:dyDescent="0.2">
      <c r="A126" s="111" t="s">
        <v>594</v>
      </c>
      <c r="B126" s="513"/>
      <c r="G126" s="513"/>
      <c r="L126" s="513"/>
      <c r="Q126" s="513"/>
      <c r="V126" s="513"/>
      <c r="AA126" s="513"/>
      <c r="AF126" s="513"/>
    </row>
    <row r="127" spans="1:33" x14ac:dyDescent="0.2">
      <c r="A127" s="111" t="s">
        <v>595</v>
      </c>
      <c r="B127" s="639">
        <v>2427.32543945313</v>
      </c>
      <c r="C127" s="133">
        <v>2604.32495117188</v>
      </c>
      <c r="D127" s="53">
        <v>2713.8295899999998</v>
      </c>
      <c r="E127" s="53">
        <v>2714.3203119999998</v>
      </c>
      <c r="F127" s="53">
        <v>2629.0361330000001</v>
      </c>
      <c r="G127" s="640">
        <v>2977.091797</v>
      </c>
      <c r="H127" s="53">
        <v>3150.2846679999998</v>
      </c>
      <c r="I127" s="53">
        <v>3259.3134770000001</v>
      </c>
      <c r="J127" s="53">
        <v>3404.6567380000001</v>
      </c>
      <c r="K127" s="53">
        <v>3601.8146969999998</v>
      </c>
      <c r="L127" s="640">
        <v>3803.360596</v>
      </c>
      <c r="M127" s="53">
        <v>3993.8413089999999</v>
      </c>
      <c r="N127" s="53">
        <v>4180.0107420000004</v>
      </c>
      <c r="O127" s="53">
        <v>4336.8061520000001</v>
      </c>
      <c r="P127" s="53">
        <v>4534.7001950000003</v>
      </c>
      <c r="Q127" s="640">
        <v>4747.1689450000003</v>
      </c>
      <c r="R127" s="53">
        <v>5003.2446289999998</v>
      </c>
      <c r="S127" s="53">
        <v>5329.8515619999998</v>
      </c>
      <c r="T127" s="53">
        <v>5657.1621089999999</v>
      </c>
      <c r="U127" s="53">
        <v>5982.3681640000004</v>
      </c>
      <c r="V127" s="640">
        <v>6328.8012699999999</v>
      </c>
      <c r="W127" s="53">
        <v>6679.6826170000004</v>
      </c>
      <c r="X127" s="53">
        <v>7047.2001950000003</v>
      </c>
      <c r="Y127" s="53">
        <v>7422.8876950000003</v>
      </c>
      <c r="Z127" s="53">
        <v>7799.1650390000004</v>
      </c>
      <c r="AA127" s="640">
        <v>8199.3798829999996</v>
      </c>
      <c r="AB127" s="53">
        <v>8626.0722659999992</v>
      </c>
      <c r="AC127" s="53">
        <v>9066.6835940000001</v>
      </c>
      <c r="AD127" s="53">
        <v>9536.171875</v>
      </c>
      <c r="AE127" s="53">
        <v>10027.796875</v>
      </c>
      <c r="AF127" s="640">
        <v>10526.677734000001</v>
      </c>
      <c r="AG127" s="641">
        <v>5.1816000000000001E-2</v>
      </c>
    </row>
    <row r="128" spans="1:33" x14ac:dyDescent="0.2">
      <c r="A128" s="111" t="s">
        <v>596</v>
      </c>
      <c r="B128" s="639">
        <v>843.5</v>
      </c>
      <c r="C128" s="133">
        <v>927.34997558593795</v>
      </c>
      <c r="D128" s="53">
        <v>998.72497599999997</v>
      </c>
      <c r="E128" s="53">
        <v>1058.474976</v>
      </c>
      <c r="F128" s="53">
        <v>1018.599976</v>
      </c>
      <c r="G128" s="640">
        <v>1164.900024</v>
      </c>
      <c r="H128" s="53">
        <v>1250.7067870000001</v>
      </c>
      <c r="I128" s="53">
        <v>1299.112061</v>
      </c>
      <c r="J128" s="53">
        <v>1403.408203</v>
      </c>
      <c r="K128" s="53">
        <v>1534.751953</v>
      </c>
      <c r="L128" s="640">
        <v>1662.3317870000001</v>
      </c>
      <c r="M128" s="53">
        <v>1788.8905030000001</v>
      </c>
      <c r="N128" s="53">
        <v>1913.887939</v>
      </c>
      <c r="O128" s="53">
        <v>2034.2430420000001</v>
      </c>
      <c r="P128" s="53">
        <v>2172.1767580000001</v>
      </c>
      <c r="Q128" s="640">
        <v>2313.3823240000002</v>
      </c>
      <c r="R128" s="53">
        <v>2484.7460940000001</v>
      </c>
      <c r="S128" s="53">
        <v>2689.0935060000002</v>
      </c>
      <c r="T128" s="53">
        <v>2883.7214359999998</v>
      </c>
      <c r="U128" s="53">
        <v>3074.8930660000001</v>
      </c>
      <c r="V128" s="640">
        <v>3273.233643</v>
      </c>
      <c r="W128" s="53">
        <v>3471.2058109999998</v>
      </c>
      <c r="X128" s="53">
        <v>3674.0590820000002</v>
      </c>
      <c r="Y128" s="53">
        <v>3882.9665530000002</v>
      </c>
      <c r="Z128" s="53">
        <v>4096.7001950000003</v>
      </c>
      <c r="AA128" s="640">
        <v>4322.1381840000004</v>
      </c>
      <c r="AB128" s="53">
        <v>4560.359375</v>
      </c>
      <c r="AC128" s="53">
        <v>4804.1591799999997</v>
      </c>
      <c r="AD128" s="53">
        <v>5053.5307620000003</v>
      </c>
      <c r="AE128" s="53">
        <v>5312.8315430000002</v>
      </c>
      <c r="AF128" s="640">
        <v>5580.955078</v>
      </c>
      <c r="AG128" s="641">
        <v>6.4673999999999995E-2</v>
      </c>
    </row>
    <row r="129" spans="1:33" x14ac:dyDescent="0.2">
      <c r="A129" s="111" t="s">
        <v>597</v>
      </c>
      <c r="B129" s="639">
        <v>1583.82543945313</v>
      </c>
      <c r="C129" s="133">
        <v>1676.97497558594</v>
      </c>
      <c r="D129" s="53">
        <v>1715.1044919999999</v>
      </c>
      <c r="E129" s="53">
        <v>1655.8452150000001</v>
      </c>
      <c r="F129" s="53">
        <v>1610.4361570000001</v>
      </c>
      <c r="G129" s="640">
        <v>1812.19165</v>
      </c>
      <c r="H129" s="53">
        <v>1899.577759</v>
      </c>
      <c r="I129" s="53">
        <v>1960.201294</v>
      </c>
      <c r="J129" s="53">
        <v>2001.248413</v>
      </c>
      <c r="K129" s="53">
        <v>2067.0627439999998</v>
      </c>
      <c r="L129" s="640">
        <v>2141.0288089999999</v>
      </c>
      <c r="M129" s="53">
        <v>2204.9506839999999</v>
      </c>
      <c r="N129" s="53">
        <v>2266.1228030000002</v>
      </c>
      <c r="O129" s="53">
        <v>2302.5629880000001</v>
      </c>
      <c r="P129" s="53">
        <v>2362.523193</v>
      </c>
      <c r="Q129" s="640">
        <v>2433.7866210000002</v>
      </c>
      <c r="R129" s="53">
        <v>2518.4985350000002</v>
      </c>
      <c r="S129" s="53">
        <v>2640.758057</v>
      </c>
      <c r="T129" s="53">
        <v>2773.4404300000001</v>
      </c>
      <c r="U129" s="53">
        <v>2907.4750979999999</v>
      </c>
      <c r="V129" s="640">
        <v>3055.5676269999999</v>
      </c>
      <c r="W129" s="53">
        <v>3208.476807</v>
      </c>
      <c r="X129" s="53">
        <v>3373.1411130000001</v>
      </c>
      <c r="Y129" s="53">
        <v>3539.921143</v>
      </c>
      <c r="Z129" s="53">
        <v>3702.4648440000001</v>
      </c>
      <c r="AA129" s="640">
        <v>3877.2416990000002</v>
      </c>
      <c r="AB129" s="53">
        <v>4065.7133789999998</v>
      </c>
      <c r="AC129" s="53">
        <v>4262.5239259999998</v>
      </c>
      <c r="AD129" s="53">
        <v>4482.6416019999997</v>
      </c>
      <c r="AE129" s="53">
        <v>4714.9653319999998</v>
      </c>
      <c r="AF129" s="640">
        <v>4945.7226559999999</v>
      </c>
      <c r="AG129" s="641">
        <v>4.0977E-2</v>
      </c>
    </row>
    <row r="130" spans="1:33" x14ac:dyDescent="0.2">
      <c r="A130" s="111" t="s">
        <v>586</v>
      </c>
      <c r="B130" s="513"/>
      <c r="G130" s="513"/>
      <c r="L130" s="513"/>
      <c r="Q130" s="513"/>
      <c r="V130" s="513"/>
      <c r="AA130" s="513"/>
      <c r="AF130" s="513"/>
    </row>
    <row r="131" spans="1:33" x14ac:dyDescent="0.2">
      <c r="A131" s="111" t="s">
        <v>587</v>
      </c>
      <c r="B131" s="639">
        <v>49.8196830749512</v>
      </c>
      <c r="C131" s="133">
        <v>50.914924621582003</v>
      </c>
      <c r="D131" s="53">
        <v>65.409744000000003</v>
      </c>
      <c r="E131" s="53">
        <v>63.458824</v>
      </c>
      <c r="F131" s="53">
        <v>40.531272999999999</v>
      </c>
      <c r="G131" s="640">
        <v>49.146839</v>
      </c>
      <c r="H131" s="53">
        <v>48.530045000000001</v>
      </c>
      <c r="I131" s="53">
        <v>49.182975999999996</v>
      </c>
      <c r="J131" s="53">
        <v>49.276896999999998</v>
      </c>
      <c r="K131" s="53">
        <v>49.387988999999997</v>
      </c>
      <c r="L131" s="640">
        <v>49.455466999999999</v>
      </c>
      <c r="M131" s="53">
        <v>49.517161999999999</v>
      </c>
      <c r="N131" s="53">
        <v>49.573794999999997</v>
      </c>
      <c r="O131" s="53">
        <v>49.619228</v>
      </c>
      <c r="P131" s="53">
        <v>49.673763000000001</v>
      </c>
      <c r="Q131" s="640">
        <v>49.729835999999999</v>
      </c>
      <c r="R131" s="53">
        <v>49.792636999999999</v>
      </c>
      <c r="S131" s="53">
        <v>49.869343000000001</v>
      </c>
      <c r="T131" s="53">
        <v>49.941490000000002</v>
      </c>
      <c r="U131" s="53">
        <v>50.008671</v>
      </c>
      <c r="V131" s="640">
        <v>50.077083999999999</v>
      </c>
      <c r="W131" s="53">
        <v>50.143410000000003</v>
      </c>
      <c r="X131" s="53">
        <v>50.209023000000002</v>
      </c>
      <c r="Y131" s="53">
        <v>50.272877000000001</v>
      </c>
      <c r="Z131" s="53">
        <v>50.333691000000002</v>
      </c>
      <c r="AA131" s="640">
        <v>50.395282999999999</v>
      </c>
      <c r="AB131" s="53">
        <v>50.456856000000002</v>
      </c>
      <c r="AC131" s="53">
        <v>50.517605000000003</v>
      </c>
      <c r="AD131" s="53">
        <v>50.579490999999997</v>
      </c>
      <c r="AE131" s="53">
        <v>50.641089999999998</v>
      </c>
      <c r="AF131" s="640">
        <v>50.700507999999999</v>
      </c>
      <c r="AG131" s="641">
        <v>1.2459999999999999E-3</v>
      </c>
    </row>
    <row r="132" spans="1:33" x14ac:dyDescent="0.2">
      <c r="A132" s="111" t="s">
        <v>588</v>
      </c>
      <c r="B132" s="639">
        <v>717.06756591796898</v>
      </c>
      <c r="C132" s="133">
        <v>724.45715332031295</v>
      </c>
      <c r="D132" s="53">
        <v>895.03619400000002</v>
      </c>
      <c r="E132" s="53">
        <v>836.47595200000001</v>
      </c>
      <c r="F132" s="53">
        <v>731.114014</v>
      </c>
      <c r="G132" s="640">
        <v>811.36804199999995</v>
      </c>
      <c r="H132" s="53">
        <v>703.24566700000003</v>
      </c>
      <c r="I132" s="53">
        <v>762.18652299999997</v>
      </c>
      <c r="J132" s="53">
        <v>788.67108199999996</v>
      </c>
      <c r="K132" s="53">
        <v>815.50256300000001</v>
      </c>
      <c r="L132" s="640">
        <v>816.66430700000001</v>
      </c>
      <c r="M132" s="53">
        <v>817.70416299999999</v>
      </c>
      <c r="N132" s="53">
        <v>818.65106200000002</v>
      </c>
      <c r="O132" s="53">
        <v>819.41168200000004</v>
      </c>
      <c r="P132" s="53">
        <v>820.31762700000002</v>
      </c>
      <c r="Q132" s="640">
        <v>821.25073199999997</v>
      </c>
      <c r="R132" s="53">
        <v>822.31939699999998</v>
      </c>
      <c r="S132" s="53">
        <v>823.59472700000003</v>
      </c>
      <c r="T132" s="53">
        <v>824.78033400000004</v>
      </c>
      <c r="U132" s="53">
        <v>825.89300500000002</v>
      </c>
      <c r="V132" s="640">
        <v>827.02453600000001</v>
      </c>
      <c r="W132" s="53">
        <v>828.11059599999999</v>
      </c>
      <c r="X132" s="53">
        <v>829.18243399999994</v>
      </c>
      <c r="Y132" s="53">
        <v>830.23120100000006</v>
      </c>
      <c r="Z132" s="53">
        <v>831.22692900000004</v>
      </c>
      <c r="AA132" s="640">
        <v>832.23126200000002</v>
      </c>
      <c r="AB132" s="53">
        <v>833.24401899999998</v>
      </c>
      <c r="AC132" s="53">
        <v>834.23681599999998</v>
      </c>
      <c r="AD132" s="53">
        <v>835.250854</v>
      </c>
      <c r="AE132" s="53">
        <v>836.27020300000004</v>
      </c>
      <c r="AF132" s="640">
        <v>837.25891100000001</v>
      </c>
      <c r="AG132" s="641">
        <v>1.2570000000000001E-3</v>
      </c>
    </row>
    <row r="133" spans="1:33" x14ac:dyDescent="0.2">
      <c r="B133" s="513"/>
      <c r="D133" s="133"/>
      <c r="E133" s="133"/>
      <c r="F133" s="133"/>
      <c r="G133" s="639"/>
      <c r="H133" s="133"/>
      <c r="I133" s="133"/>
      <c r="J133" s="133"/>
      <c r="K133" s="133"/>
      <c r="L133" s="639"/>
      <c r="M133" s="133"/>
      <c r="N133" s="133"/>
      <c r="O133" s="133"/>
      <c r="P133" s="133"/>
      <c r="Q133" s="639"/>
      <c r="R133" s="133"/>
      <c r="S133" s="133"/>
      <c r="T133" s="133"/>
      <c r="U133" s="133"/>
      <c r="V133" s="639"/>
      <c r="W133" s="133"/>
      <c r="X133" s="133"/>
      <c r="Y133" s="133"/>
      <c r="Z133" s="133"/>
      <c r="AA133" s="639"/>
      <c r="AB133" s="134"/>
      <c r="AF133" s="513"/>
    </row>
    <row r="134" spans="1:33" x14ac:dyDescent="0.2">
      <c r="B134" s="513"/>
      <c r="G134" s="513"/>
      <c r="L134" s="513"/>
      <c r="Q134" s="513"/>
      <c r="V134" s="513"/>
      <c r="AA134" s="513"/>
      <c r="AF134" s="513"/>
    </row>
    <row r="135" spans="1:33" x14ac:dyDescent="0.2">
      <c r="B135" s="513"/>
      <c r="G135" s="513"/>
      <c r="L135" s="513"/>
      <c r="Q135" s="513"/>
      <c r="V135" s="513"/>
      <c r="AA135" s="513"/>
      <c r="AF135" s="513"/>
    </row>
    <row r="136" spans="1:33" x14ac:dyDescent="0.2">
      <c r="A136" s="111" t="s">
        <v>598</v>
      </c>
      <c r="B136" s="513"/>
      <c r="G136" s="513"/>
      <c r="L136" s="513"/>
      <c r="Q136" s="513"/>
      <c r="V136" s="513"/>
      <c r="AA136" s="513"/>
      <c r="AF136" s="513"/>
    </row>
    <row r="137" spans="1:33" x14ac:dyDescent="0.2">
      <c r="A137" s="111" t="s">
        <v>599</v>
      </c>
      <c r="B137" s="513"/>
      <c r="G137" s="513"/>
      <c r="L137" s="513"/>
      <c r="Q137" s="513"/>
      <c r="V137" s="513"/>
      <c r="AA137" s="513"/>
      <c r="AF137" s="513"/>
    </row>
    <row r="138" spans="1:33" x14ac:dyDescent="0.2">
      <c r="A138" s="111" t="s">
        <v>600</v>
      </c>
      <c r="B138" s="513"/>
      <c r="G138" s="513"/>
      <c r="L138" s="513"/>
      <c r="Q138" s="513"/>
      <c r="V138" s="513"/>
      <c r="AA138" s="513"/>
      <c r="AF138" s="513"/>
    </row>
    <row r="139" spans="1:33" x14ac:dyDescent="0.2">
      <c r="A139" s="111" t="s">
        <v>601</v>
      </c>
      <c r="B139" s="513"/>
      <c r="G139" s="513"/>
      <c r="L139" s="513"/>
      <c r="Q139" s="513"/>
      <c r="V139" s="513"/>
      <c r="AA139" s="513"/>
      <c r="AF139" s="513"/>
    </row>
    <row r="140" spans="1:33" x14ac:dyDescent="0.2">
      <c r="A140" s="111" t="s">
        <v>602</v>
      </c>
      <c r="B140" s="513"/>
      <c r="G140" s="513"/>
      <c r="L140" s="513"/>
      <c r="Q140" s="513"/>
      <c r="V140" s="513"/>
      <c r="AA140" s="513"/>
      <c r="AF140" s="513"/>
    </row>
    <row r="141" spans="1:33" x14ac:dyDescent="0.2">
      <c r="A141" s="111" t="s">
        <v>603</v>
      </c>
      <c r="B141" s="513"/>
      <c r="G141" s="513"/>
      <c r="L141" s="513"/>
      <c r="Q141" s="513"/>
      <c r="V141" s="513"/>
      <c r="AA141" s="513"/>
      <c r="AF141" s="513"/>
    </row>
    <row r="142" spans="1:33" x14ac:dyDescent="0.2">
      <c r="A142" s="111" t="s">
        <v>604</v>
      </c>
      <c r="B142" s="513"/>
      <c r="G142" s="513"/>
      <c r="L142" s="513"/>
      <c r="Q142" s="513"/>
      <c r="V142" s="513"/>
      <c r="AA142" s="513"/>
      <c r="AF142" s="513"/>
    </row>
    <row r="143" spans="1:33" x14ac:dyDescent="0.2">
      <c r="A143" s="111" t="s">
        <v>605</v>
      </c>
      <c r="B143" s="513"/>
      <c r="G143" s="513"/>
      <c r="L143" s="513"/>
      <c r="Q143" s="513"/>
      <c r="V143" s="513"/>
      <c r="AA143" s="513"/>
      <c r="AF143" s="513"/>
    </row>
    <row r="144" spans="1:33" x14ac:dyDescent="0.2">
      <c r="A144" s="111" t="s">
        <v>606</v>
      </c>
      <c r="B144" s="513"/>
      <c r="G144" s="513"/>
      <c r="L144" s="513"/>
      <c r="Q144" s="513"/>
      <c r="V144" s="513"/>
      <c r="AA144" s="513"/>
      <c r="AF144" s="513"/>
    </row>
    <row r="145" spans="1:34" x14ac:dyDescent="0.2">
      <c r="A145" s="111"/>
      <c r="B145" s="513"/>
      <c r="G145" s="513"/>
      <c r="L145" s="513"/>
      <c r="Q145" s="513"/>
      <c r="V145" s="513"/>
      <c r="AA145" s="513"/>
      <c r="AF145" s="513"/>
    </row>
    <row r="146" spans="1:34" ht="12.75" x14ac:dyDescent="0.2">
      <c r="A146" s="58" t="s">
        <v>607</v>
      </c>
      <c r="B146" s="646"/>
      <c r="C146"/>
      <c r="G146" s="513"/>
      <c r="L146" s="513"/>
      <c r="Q146" s="513"/>
      <c r="V146" s="513"/>
      <c r="AA146" s="513"/>
      <c r="AF146" s="513"/>
    </row>
    <row r="147" spans="1:34" ht="12.75" x14ac:dyDescent="0.2">
      <c r="A147"/>
      <c r="B147" s="12" t="s">
        <v>533</v>
      </c>
      <c r="C147"/>
      <c r="D147" s="25" t="s">
        <v>534</v>
      </c>
      <c r="E147" s="25" t="s">
        <v>534</v>
      </c>
      <c r="F147" s="25" t="s">
        <v>534</v>
      </c>
      <c r="G147" s="25" t="s">
        <v>534</v>
      </c>
      <c r="H147" s="25" t="s">
        <v>534</v>
      </c>
      <c r="I147" s="25" t="s">
        <v>534</v>
      </c>
      <c r="J147" s="25" t="s">
        <v>534</v>
      </c>
      <c r="K147" s="25" t="s">
        <v>534</v>
      </c>
      <c r="L147" s="25" t="s">
        <v>534</v>
      </c>
      <c r="M147" s="25" t="s">
        <v>534</v>
      </c>
      <c r="N147" s="25" t="s">
        <v>534</v>
      </c>
      <c r="O147" s="25" t="s">
        <v>534</v>
      </c>
      <c r="P147" s="25" t="s">
        <v>534</v>
      </c>
      <c r="Q147" s="25" t="s">
        <v>534</v>
      </c>
      <c r="R147" s="25" t="s">
        <v>534</v>
      </c>
      <c r="S147" s="25" t="s">
        <v>534</v>
      </c>
      <c r="T147" s="25" t="s">
        <v>534</v>
      </c>
      <c r="U147" s="25" t="s">
        <v>534</v>
      </c>
      <c r="V147" s="25" t="s">
        <v>534</v>
      </c>
      <c r="W147" s="25" t="s">
        <v>534</v>
      </c>
      <c r="X147" s="25" t="s">
        <v>534</v>
      </c>
      <c r="Y147" s="25" t="s">
        <v>534</v>
      </c>
      <c r="Z147" s="25" t="s">
        <v>534</v>
      </c>
      <c r="AA147" s="25" t="s">
        <v>534</v>
      </c>
      <c r="AB147" s="25" t="s">
        <v>534</v>
      </c>
      <c r="AC147" s="25" t="s">
        <v>534</v>
      </c>
      <c r="AD147" s="25" t="s">
        <v>534</v>
      </c>
      <c r="AE147" s="25" t="s">
        <v>534</v>
      </c>
      <c r="AF147" s="25" t="s">
        <v>534</v>
      </c>
      <c r="AG147" s="25" t="s">
        <v>535</v>
      </c>
      <c r="AH147" s="12" t="s">
        <v>608</v>
      </c>
    </row>
    <row r="148" spans="1:34" ht="12.75" x14ac:dyDescent="0.2">
      <c r="A148"/>
      <c r="B148" s="647" t="s">
        <v>172</v>
      </c>
      <c r="C148" s="59" t="s">
        <v>536</v>
      </c>
      <c r="D148" s="13">
        <v>2007</v>
      </c>
      <c r="E148" s="13">
        <v>2008</v>
      </c>
      <c r="F148" s="13">
        <v>2009</v>
      </c>
      <c r="G148" s="13">
        <v>2010</v>
      </c>
      <c r="H148" s="13">
        <v>2011</v>
      </c>
      <c r="I148" s="13">
        <v>2012</v>
      </c>
      <c r="J148" s="13">
        <v>2013</v>
      </c>
      <c r="K148" s="13">
        <v>2014</v>
      </c>
      <c r="L148" s="13">
        <v>2015</v>
      </c>
      <c r="M148" s="13">
        <v>2016</v>
      </c>
      <c r="N148" s="13">
        <v>2017</v>
      </c>
      <c r="O148" s="13">
        <v>2018</v>
      </c>
      <c r="P148" s="13">
        <v>2019</v>
      </c>
      <c r="Q148" s="13">
        <v>2020</v>
      </c>
      <c r="R148" s="13">
        <v>2021</v>
      </c>
      <c r="S148" s="13">
        <v>2022</v>
      </c>
      <c r="T148" s="13">
        <v>2023</v>
      </c>
      <c r="U148" s="13">
        <v>2024</v>
      </c>
      <c r="V148" s="13">
        <v>2025</v>
      </c>
      <c r="W148" s="13">
        <v>2026</v>
      </c>
      <c r="X148" s="13">
        <v>2027</v>
      </c>
      <c r="Y148" s="13">
        <v>2028</v>
      </c>
      <c r="Z148" s="13">
        <v>2029</v>
      </c>
      <c r="AA148" s="13">
        <v>2030</v>
      </c>
      <c r="AB148" s="13">
        <v>2031</v>
      </c>
      <c r="AC148" s="13">
        <v>2032</v>
      </c>
      <c r="AD148" s="13">
        <v>2033</v>
      </c>
      <c r="AE148" s="13">
        <v>2034</v>
      </c>
      <c r="AF148" s="13">
        <v>2035</v>
      </c>
      <c r="AG148" s="13">
        <v>2035</v>
      </c>
    </row>
    <row r="149" spans="1:34" ht="12.75" x14ac:dyDescent="0.2">
      <c r="A149" s="648"/>
      <c r="B149" s="513"/>
      <c r="D149"/>
      <c r="E149"/>
      <c r="F149"/>
      <c r="G149" s="646"/>
      <c r="H149"/>
      <c r="I149"/>
      <c r="J149"/>
      <c r="K149"/>
      <c r="L149" s="646"/>
      <c r="M149"/>
      <c r="N149"/>
      <c r="O149"/>
      <c r="P149"/>
      <c r="Q149" s="646"/>
      <c r="R149"/>
      <c r="S149"/>
      <c r="T149"/>
      <c r="U149"/>
      <c r="V149" s="646"/>
      <c r="W149"/>
      <c r="X149"/>
      <c r="Y149"/>
      <c r="Z149"/>
      <c r="AA149" s="646"/>
      <c r="AB149"/>
      <c r="AF149" s="513"/>
    </row>
    <row r="150" spans="1:34" x14ac:dyDescent="0.2">
      <c r="A150" s="13" t="s">
        <v>609</v>
      </c>
      <c r="B150" s="649">
        <v>584.02819824218795</v>
      </c>
      <c r="C150" s="650">
        <v>568.52545166015602</v>
      </c>
      <c r="D150" s="90">
        <v>609.84222399999999</v>
      </c>
      <c r="E150" s="90">
        <v>598.034851</v>
      </c>
      <c r="F150" s="90">
        <v>552.09576400000003</v>
      </c>
      <c r="G150" s="651">
        <v>564.766479</v>
      </c>
      <c r="H150" s="90">
        <v>570.22448699999995</v>
      </c>
      <c r="I150" s="90">
        <v>575.86962900000003</v>
      </c>
      <c r="J150" s="90">
        <v>581.52258300000005</v>
      </c>
      <c r="K150" s="90">
        <v>588.089966</v>
      </c>
      <c r="L150" s="651">
        <v>594.64166299999999</v>
      </c>
      <c r="M150" s="90">
        <v>601.02655000000004</v>
      </c>
      <c r="N150" s="90">
        <v>607.19378700000004</v>
      </c>
      <c r="O150" s="90">
        <v>613.34228499999995</v>
      </c>
      <c r="P150" s="90">
        <v>619.54247999999995</v>
      </c>
      <c r="Q150" s="651">
        <v>625.72100799999998</v>
      </c>
      <c r="R150" s="90">
        <v>631.85827600000005</v>
      </c>
      <c r="S150" s="90">
        <v>638.00384499999996</v>
      </c>
      <c r="T150" s="90">
        <v>644.09960899999999</v>
      </c>
      <c r="U150" s="90">
        <v>650.17767300000003</v>
      </c>
      <c r="V150" s="651">
        <v>656.21893299999999</v>
      </c>
      <c r="W150" s="90">
        <v>662.21923800000002</v>
      </c>
      <c r="X150" s="90">
        <v>668.20318599999996</v>
      </c>
      <c r="Y150" s="90">
        <v>674.15368699999999</v>
      </c>
      <c r="Z150" s="90">
        <v>680.07733199999996</v>
      </c>
      <c r="AA150" s="651">
        <v>685.99047900000005</v>
      </c>
      <c r="AB150" s="90">
        <v>691.89233400000001</v>
      </c>
      <c r="AC150" s="90">
        <v>697.78625499999998</v>
      </c>
      <c r="AD150" s="90">
        <v>703.67828399999996</v>
      </c>
      <c r="AE150" s="90">
        <v>709.567139</v>
      </c>
      <c r="AF150" s="651">
        <v>715.46026600000005</v>
      </c>
      <c r="AG150" s="641">
        <v>9.5049999999999996E-3</v>
      </c>
      <c r="AH150" s="105">
        <f>(AF150/AA150)^0.2-1</f>
        <v>8.4479473293408436E-3</v>
      </c>
    </row>
    <row r="151" spans="1:34" x14ac:dyDescent="0.2">
      <c r="A151" s="13" t="s">
        <v>610</v>
      </c>
      <c r="B151" s="639">
        <v>0.77035981416702304</v>
      </c>
      <c r="C151" s="133">
        <v>0.791797995567322</v>
      </c>
      <c r="D151" s="53">
        <v>0.81486199999999998</v>
      </c>
      <c r="E151" s="53">
        <v>0.81492399999999998</v>
      </c>
      <c r="F151" s="53">
        <v>0.82359199999999999</v>
      </c>
      <c r="G151" s="640">
        <v>0.82421699999999998</v>
      </c>
      <c r="H151" s="53">
        <v>0.82484299999999999</v>
      </c>
      <c r="I151" s="53">
        <v>0.82546900000000001</v>
      </c>
      <c r="J151" s="53">
        <v>0.82609600000000005</v>
      </c>
      <c r="K151" s="53">
        <v>0.82672299999999999</v>
      </c>
      <c r="L151" s="640">
        <v>0.82735000000000003</v>
      </c>
      <c r="M151" s="53">
        <v>0.82797799999999999</v>
      </c>
      <c r="N151" s="53">
        <v>0.82860599999999995</v>
      </c>
      <c r="O151" s="53">
        <v>0.82923500000000006</v>
      </c>
      <c r="P151" s="53">
        <v>0.82986499999999996</v>
      </c>
      <c r="Q151" s="640">
        <v>0.83049499999999998</v>
      </c>
      <c r="R151" s="53">
        <v>0.831125</v>
      </c>
      <c r="S151" s="53">
        <v>0.83175600000000005</v>
      </c>
      <c r="T151" s="53">
        <v>0.83238699999999999</v>
      </c>
      <c r="U151" s="53">
        <v>0.83301899999999995</v>
      </c>
      <c r="V151" s="640">
        <v>0.83365100000000003</v>
      </c>
      <c r="W151" s="53">
        <v>0.83428400000000003</v>
      </c>
      <c r="X151" s="53">
        <v>0.83491700000000002</v>
      </c>
      <c r="Y151" s="53">
        <v>0.83555100000000004</v>
      </c>
      <c r="Z151" s="53">
        <v>0.83618499999999996</v>
      </c>
      <c r="AA151" s="640">
        <v>0.83681899999999998</v>
      </c>
      <c r="AB151" s="53">
        <v>0.83745499999999995</v>
      </c>
      <c r="AC151" s="53">
        <v>0.83809</v>
      </c>
      <c r="AD151" s="53">
        <v>0.83872599999999997</v>
      </c>
      <c r="AE151" s="53">
        <v>0.83936299999999997</v>
      </c>
      <c r="AF151" s="640">
        <v>0.84</v>
      </c>
      <c r="AG151" s="641">
        <v>7.5900000000000002E-4</v>
      </c>
    </row>
    <row r="152" spans="1:34" x14ac:dyDescent="0.2">
      <c r="A152" s="13" t="s">
        <v>611</v>
      </c>
      <c r="B152" s="513"/>
      <c r="D152" s="90">
        <v>38.299553000000003</v>
      </c>
      <c r="E152" s="90">
        <v>35.420990000000003</v>
      </c>
      <c r="F152" s="90">
        <v>30.297492999999999</v>
      </c>
      <c r="G152" s="651">
        <v>35.149014000000001</v>
      </c>
      <c r="H152" s="90">
        <v>35.495502000000002</v>
      </c>
      <c r="I152" s="90">
        <v>35.402943</v>
      </c>
      <c r="J152" s="90">
        <v>36.622546999999997</v>
      </c>
      <c r="K152" s="90">
        <v>38.154117999999997</v>
      </c>
      <c r="L152" s="651">
        <v>39.523380000000003</v>
      </c>
      <c r="M152" s="90">
        <v>40.728828</v>
      </c>
      <c r="N152" s="90">
        <v>41.708035000000002</v>
      </c>
      <c r="O152" s="90">
        <v>42.448569999999997</v>
      </c>
      <c r="P152" s="90">
        <v>43.402068999999997</v>
      </c>
      <c r="Q152" s="651">
        <v>44.237304999999999</v>
      </c>
      <c r="R152" s="90">
        <v>45.728538999999998</v>
      </c>
      <c r="S152" s="90">
        <v>47.891029000000003</v>
      </c>
      <c r="T152" s="90">
        <v>49.927643000000003</v>
      </c>
      <c r="U152" s="90">
        <v>51.739952000000002</v>
      </c>
      <c r="V152" s="651">
        <v>53.513451000000003</v>
      </c>
      <c r="W152" s="90">
        <v>55.132122000000003</v>
      </c>
      <c r="X152" s="90">
        <v>56.688160000000003</v>
      </c>
      <c r="Y152" s="90">
        <v>58.194794000000002</v>
      </c>
      <c r="Z152" s="90">
        <v>59.618625999999999</v>
      </c>
      <c r="AA152" s="651">
        <v>61.087673000000002</v>
      </c>
      <c r="AB152" s="90">
        <v>62.568890000000003</v>
      </c>
      <c r="AC152" s="90">
        <v>63.992184000000002</v>
      </c>
      <c r="AD152" s="90">
        <v>65.380538999999999</v>
      </c>
      <c r="AE152" s="90">
        <v>66.728904999999997</v>
      </c>
      <c r="AF152" s="651">
        <v>68.035422999999994</v>
      </c>
      <c r="AG152" s="641">
        <v>2.6769000000000001E-2</v>
      </c>
    </row>
    <row r="153" spans="1:34" x14ac:dyDescent="0.2">
      <c r="A153" s="13"/>
      <c r="B153" s="513"/>
      <c r="D153" s="90"/>
      <c r="E153" s="90"/>
      <c r="F153" s="90"/>
      <c r="G153" s="651"/>
      <c r="H153" s="90"/>
      <c r="I153" s="90"/>
      <c r="J153" s="90"/>
      <c r="K153" s="90"/>
      <c r="L153" s="651"/>
      <c r="M153" s="90"/>
      <c r="N153" s="90"/>
      <c r="O153" s="90"/>
      <c r="P153" s="90"/>
      <c r="Q153" s="651"/>
      <c r="R153" s="90"/>
      <c r="S153" s="90"/>
      <c r="T153" s="90"/>
      <c r="U153" s="90"/>
      <c r="V153" s="651"/>
      <c r="W153" s="90"/>
      <c r="X153" s="90"/>
      <c r="Y153" s="90"/>
      <c r="Z153" s="90"/>
      <c r="AA153" s="651"/>
      <c r="AB153" s="90"/>
      <c r="AC153" s="90"/>
      <c r="AD153" s="90"/>
      <c r="AE153" s="90"/>
      <c r="AF153" s="651"/>
      <c r="AG153" s="641"/>
    </row>
    <row r="154" spans="1:34" x14ac:dyDescent="0.2">
      <c r="A154" s="13"/>
      <c r="B154" s="513"/>
      <c r="D154" s="90"/>
      <c r="E154" s="90"/>
      <c r="F154" s="90"/>
      <c r="G154" s="651"/>
      <c r="H154" s="90"/>
      <c r="I154" s="90"/>
      <c r="J154" s="90"/>
      <c r="K154" s="90"/>
      <c r="L154" s="651"/>
      <c r="M154" s="90"/>
      <c r="N154" s="90"/>
      <c r="O154" s="90"/>
      <c r="P154" s="90"/>
      <c r="Q154" s="651"/>
      <c r="R154" s="90"/>
      <c r="S154" s="90"/>
      <c r="T154" s="90"/>
      <c r="U154" s="90"/>
      <c r="V154" s="651"/>
      <c r="W154" s="90"/>
      <c r="X154" s="90"/>
      <c r="Y154" s="90"/>
      <c r="Z154" s="90"/>
      <c r="AA154" s="651"/>
      <c r="AB154" s="90"/>
      <c r="AC154" s="90"/>
      <c r="AD154" s="90"/>
      <c r="AE154" s="90"/>
      <c r="AF154" s="651"/>
      <c r="AG154" s="641"/>
    </row>
    <row r="155" spans="1:34" x14ac:dyDescent="0.2">
      <c r="A155" s="13"/>
      <c r="B155" s="513"/>
      <c r="D155" s="90"/>
      <c r="E155" s="90"/>
      <c r="F155" s="90"/>
      <c r="G155" s="651"/>
      <c r="H155" s="90"/>
      <c r="I155" s="90"/>
      <c r="J155" s="90"/>
      <c r="K155" s="90"/>
      <c r="L155" s="651"/>
      <c r="M155" s="90"/>
      <c r="N155" s="90"/>
      <c r="O155" s="90"/>
      <c r="P155" s="90"/>
      <c r="Q155" s="651"/>
      <c r="R155" s="90"/>
      <c r="S155" s="90"/>
      <c r="T155" s="90"/>
      <c r="U155" s="90"/>
      <c r="V155" s="651"/>
      <c r="W155" s="90"/>
      <c r="X155" s="90"/>
      <c r="Y155" s="90"/>
      <c r="Z155" s="90"/>
      <c r="AA155" s="651"/>
      <c r="AB155" s="90"/>
      <c r="AC155" s="90"/>
      <c r="AD155" s="90"/>
      <c r="AE155" s="90"/>
      <c r="AF155" s="651"/>
      <c r="AG155" s="641"/>
    </row>
    <row r="156" spans="1:34" x14ac:dyDescent="0.2">
      <c r="A156" s="13"/>
      <c r="B156" s="513"/>
      <c r="D156" s="90"/>
      <c r="E156" s="90"/>
      <c r="F156" s="90"/>
      <c r="G156" s="651"/>
      <c r="H156" s="90"/>
      <c r="I156" s="90"/>
      <c r="J156" s="90"/>
      <c r="K156" s="90"/>
      <c r="L156" s="651"/>
      <c r="M156" s="90"/>
      <c r="N156" s="90"/>
      <c r="O156" s="90"/>
      <c r="P156" s="90"/>
      <c r="Q156" s="651"/>
      <c r="R156" s="90"/>
      <c r="S156" s="90"/>
      <c r="T156" s="90"/>
      <c r="U156" s="90"/>
      <c r="V156" s="651"/>
      <c r="W156" s="90"/>
      <c r="X156" s="90"/>
      <c r="Y156" s="90"/>
      <c r="Z156" s="90"/>
      <c r="AA156" s="651"/>
      <c r="AB156" s="90"/>
      <c r="AC156" s="90"/>
      <c r="AD156" s="90"/>
      <c r="AE156" s="90"/>
      <c r="AF156" s="651"/>
      <c r="AG156" s="641"/>
    </row>
    <row r="157" spans="1:34" x14ac:dyDescent="0.2">
      <c r="B157" s="513"/>
      <c r="G157" s="513"/>
      <c r="L157" s="513"/>
      <c r="Q157" s="513"/>
      <c r="V157" s="513"/>
      <c r="AA157" s="652"/>
      <c r="AB157" s="34"/>
      <c r="AC157" s="34"/>
      <c r="AD157" s="34"/>
      <c r="AE157" s="34"/>
      <c r="AF157" s="652"/>
      <c r="AG157" s="34"/>
    </row>
    <row r="158" spans="1:34" x14ac:dyDescent="0.2">
      <c r="A158" s="57" t="s">
        <v>612</v>
      </c>
      <c r="B158" s="512"/>
      <c r="C158" s="512"/>
      <c r="D158" s="512"/>
      <c r="E158" s="512"/>
      <c r="F158" s="512"/>
      <c r="G158" s="512"/>
      <c r="H158" s="512"/>
      <c r="I158" s="512"/>
      <c r="J158" s="512"/>
      <c r="K158" s="512"/>
      <c r="L158" s="512"/>
      <c r="M158" s="512"/>
      <c r="N158" s="512"/>
      <c r="O158" s="512"/>
      <c r="P158" s="512"/>
      <c r="Q158" s="512"/>
      <c r="R158" s="512"/>
      <c r="S158" s="512"/>
      <c r="T158" s="512"/>
      <c r="U158" s="512"/>
      <c r="V158" s="512"/>
      <c r="W158" s="512"/>
      <c r="X158" s="512"/>
      <c r="Y158" s="512"/>
      <c r="Z158" s="512"/>
    </row>
    <row r="159" spans="1:34" x14ac:dyDescent="0.2">
      <c r="A159" s="25" t="s">
        <v>613</v>
      </c>
      <c r="K159" s="12" t="s">
        <v>614</v>
      </c>
    </row>
    <row r="160" spans="1:34" x14ac:dyDescent="0.2">
      <c r="A160" s="13" t="s">
        <v>615</v>
      </c>
      <c r="K160" s="12" t="s">
        <v>616</v>
      </c>
      <c r="V160" s="12" t="s">
        <v>617</v>
      </c>
    </row>
    <row r="161" spans="1:21" x14ac:dyDescent="0.2">
      <c r="K161" s="12" t="s">
        <v>618</v>
      </c>
    </row>
    <row r="162" spans="1:21" x14ac:dyDescent="0.2">
      <c r="B162" s="12" t="s">
        <v>533</v>
      </c>
      <c r="J162" s="25" t="s">
        <v>619</v>
      </c>
      <c r="K162" s="13" t="s">
        <v>620</v>
      </c>
      <c r="L162" s="13" t="s">
        <v>621</v>
      </c>
      <c r="M162" s="17"/>
      <c r="N162" s="17"/>
      <c r="O162" s="17"/>
      <c r="P162" s="17"/>
      <c r="Q162" s="17"/>
      <c r="R162" s="17"/>
    </row>
    <row r="163" spans="1:21" x14ac:dyDescent="0.2">
      <c r="A163" s="13" t="s">
        <v>622</v>
      </c>
      <c r="B163" s="12">
        <v>2005</v>
      </c>
      <c r="C163" s="12">
        <v>2010</v>
      </c>
      <c r="D163" s="12">
        <v>2015</v>
      </c>
      <c r="E163" s="12">
        <v>2020</v>
      </c>
      <c r="F163" s="12">
        <v>2025</v>
      </c>
      <c r="G163" s="12">
        <v>2030</v>
      </c>
      <c r="H163" s="12">
        <v>2035</v>
      </c>
      <c r="I163" s="12">
        <v>2040</v>
      </c>
      <c r="J163" s="13">
        <v>2035</v>
      </c>
      <c r="K163" s="31">
        <v>2010</v>
      </c>
      <c r="L163" s="31">
        <v>2010</v>
      </c>
      <c r="M163" s="31">
        <v>2015</v>
      </c>
      <c r="N163" s="31">
        <v>2020</v>
      </c>
      <c r="O163" s="31">
        <v>2025</v>
      </c>
      <c r="P163" s="31">
        <v>2030</v>
      </c>
      <c r="Q163" s="31">
        <v>2035</v>
      </c>
    </row>
    <row r="164" spans="1:21" x14ac:dyDescent="0.2">
      <c r="A164" s="13" t="s">
        <v>623</v>
      </c>
      <c r="K164" s="31"/>
      <c r="L164" s="31"/>
      <c r="M164" s="31"/>
      <c r="N164" s="31"/>
      <c r="O164" s="31"/>
      <c r="P164" s="31"/>
    </row>
    <row r="165" spans="1:21" ht="12.75" x14ac:dyDescent="0.2">
      <c r="A165" s="12" t="s">
        <v>624</v>
      </c>
      <c r="B165" s="53">
        <f>C165*(1-J165)^5</f>
        <v>342.79252868729344</v>
      </c>
      <c r="C165" s="53">
        <v>343.58032200000002</v>
      </c>
      <c r="D165" s="653">
        <v>324.87469499999997</v>
      </c>
      <c r="E165" s="653">
        <v>315.66113300000001</v>
      </c>
      <c r="F165" s="653">
        <v>299.91186499999998</v>
      </c>
      <c r="G165" s="653">
        <v>291.03237899999999</v>
      </c>
      <c r="H165" s="653">
        <v>291.64770499999997</v>
      </c>
      <c r="I165" s="653">
        <v>303.47326700000002</v>
      </c>
      <c r="J165" s="641">
        <v>4.5899999999999999E-4</v>
      </c>
      <c r="K165" s="654">
        <f>C165/C167</f>
        <v>0.62013244206582163</v>
      </c>
      <c r="L165" s="654">
        <f>C165*TechData!K15/(C165*TechData!K15+TechData!K16*C166)</f>
        <v>0.57463963472759749</v>
      </c>
      <c r="M165" s="655">
        <f>D165/D167</f>
        <v>0.60788876880440523</v>
      </c>
      <c r="N165" s="655">
        <f>E165/E167</f>
        <v>0.59605367132291376</v>
      </c>
      <c r="O165" s="655">
        <f>F165/F167</f>
        <v>0.5874685324273865</v>
      </c>
      <c r="P165" s="655">
        <f>G165/G167</f>
        <v>0.58230618913368914</v>
      </c>
      <c r="Q165" s="655">
        <f>H165/H167</f>
        <v>0.57764639906612147</v>
      </c>
    </row>
    <row r="166" spans="1:21" ht="12.75" x14ac:dyDescent="0.2">
      <c r="A166" s="12" t="s">
        <v>625</v>
      </c>
      <c r="B166" s="53">
        <f>C166*(1-J166)^5</f>
        <v>201.35923301398378</v>
      </c>
      <c r="C166" s="53">
        <v>210.46313499999999</v>
      </c>
      <c r="D166" s="653">
        <v>209.55642700000001</v>
      </c>
      <c r="E166" s="653">
        <v>213.923935</v>
      </c>
      <c r="F166" s="653">
        <v>210.60377500000001</v>
      </c>
      <c r="G166" s="653">
        <v>208.760254</v>
      </c>
      <c r="H166" s="653">
        <v>213.24194299999999</v>
      </c>
      <c r="I166" s="653">
        <v>222.80422999999999</v>
      </c>
      <c r="J166" s="641">
        <v>8.8050000000000003E-3</v>
      </c>
      <c r="K166" s="654">
        <f>C166/C167</f>
        <v>0.37986755793417842</v>
      </c>
      <c r="L166" s="654">
        <f>1-L165</f>
        <v>0.42536036527240251</v>
      </c>
      <c r="M166" s="655">
        <f>D166/D167</f>
        <v>0.3921111750611424</v>
      </c>
      <c r="N166" s="655">
        <f>E166/E167</f>
        <v>0.40394630035302559</v>
      </c>
      <c r="O166" s="655">
        <f>F166/F167</f>
        <v>0.41253149695467206</v>
      </c>
      <c r="P166" s="655">
        <f>G166/G167</f>
        <v>0.41769368881570729</v>
      </c>
      <c r="Q166" s="655">
        <f>H166/H167</f>
        <v>0.42235353953432664</v>
      </c>
      <c r="R166" s="134">
        <f>Q166+$J166</f>
        <v>0.43115853953432665</v>
      </c>
      <c r="S166" s="134">
        <f>R166+$J166</f>
        <v>0.43996353953432665</v>
      </c>
      <c r="T166" s="134">
        <f>S166+$J166</f>
        <v>0.44876853953432666</v>
      </c>
      <c r="U166" s="134">
        <f>T166+$J166</f>
        <v>0.45757353953432667</v>
      </c>
    </row>
    <row r="167" spans="1:21" ht="15" x14ac:dyDescent="0.25">
      <c r="A167" s="13" t="s">
        <v>626</v>
      </c>
      <c r="C167" s="64">
        <v>554.04345699999999</v>
      </c>
      <c r="D167" s="656">
        <v>534.431152</v>
      </c>
      <c r="E167" s="656">
        <v>529.58508300000005</v>
      </c>
      <c r="F167" s="656">
        <v>510.515625</v>
      </c>
      <c r="G167" s="656">
        <v>499.79269399999998</v>
      </c>
      <c r="H167" s="656">
        <v>504.889679</v>
      </c>
      <c r="I167" s="656">
        <v>526.277466</v>
      </c>
      <c r="J167" s="643">
        <v>3.8279999999999998E-3</v>
      </c>
      <c r="K167" s="31"/>
      <c r="L167" s="31"/>
      <c r="M167" s="31"/>
      <c r="N167" s="31"/>
      <c r="O167" s="31"/>
      <c r="P167" s="31"/>
    </row>
    <row r="168" spans="1:21" x14ac:dyDescent="0.2">
      <c r="B168" s="53"/>
      <c r="K168" s="657"/>
      <c r="L168" s="657"/>
      <c r="M168" s="657"/>
      <c r="N168" s="657"/>
      <c r="O168" s="657"/>
      <c r="P168" s="657"/>
    </row>
    <row r="169" spans="1:21" x14ac:dyDescent="0.2">
      <c r="A169" s="12" t="s">
        <v>627</v>
      </c>
      <c r="B169" s="53"/>
      <c r="K169" s="31">
        <v>2010</v>
      </c>
      <c r="L169" s="31">
        <v>2010</v>
      </c>
      <c r="M169" s="31">
        <v>2015</v>
      </c>
      <c r="N169" s="31">
        <v>2020</v>
      </c>
      <c r="O169" s="31">
        <v>2025</v>
      </c>
      <c r="P169" s="31">
        <v>2030</v>
      </c>
      <c r="Q169" s="31">
        <v>2035</v>
      </c>
      <c r="R169" s="31">
        <v>2040</v>
      </c>
    </row>
    <row r="170" spans="1:21" ht="12.75" x14ac:dyDescent="0.2">
      <c r="A170" s="12" t="s">
        <v>624</v>
      </c>
      <c r="B170" s="133">
        <f>D42</f>
        <v>352.51336700000002</v>
      </c>
      <c r="C170" s="53">
        <v>365.00396699999999</v>
      </c>
      <c r="D170" s="653">
        <v>420.92413299999998</v>
      </c>
      <c r="E170" s="653">
        <v>421.17611699999998</v>
      </c>
      <c r="F170" s="653">
        <v>431.42450000000002</v>
      </c>
      <c r="G170" s="653">
        <v>426.327606</v>
      </c>
      <c r="H170" s="653">
        <v>419.20513899999997</v>
      </c>
      <c r="I170" s="653">
        <v>420.41894500000001</v>
      </c>
      <c r="J170" s="641">
        <v>-2.4710000000000001E-3</v>
      </c>
      <c r="K170" s="658">
        <f>C170/C174</f>
        <v>7.5689776181924864E-2</v>
      </c>
      <c r="M170" s="659"/>
      <c r="N170" s="658"/>
      <c r="O170" s="658"/>
      <c r="P170" s="658"/>
      <c r="Q170" s="134">
        <f t="shared" ref="Q170:R173" si="0">H170/H$174</f>
        <v>6.1616507229622655E-2</v>
      </c>
      <c r="R170" s="134">
        <f t="shared" si="0"/>
        <v>5.8154478800182353E-2</v>
      </c>
    </row>
    <row r="171" spans="1:21" ht="12.75" x14ac:dyDescent="0.2">
      <c r="A171" s="12" t="s">
        <v>628</v>
      </c>
      <c r="B171" s="133">
        <f>D41</f>
        <v>4629.5581050000001</v>
      </c>
      <c r="C171" s="53">
        <v>4426.1684569999998</v>
      </c>
      <c r="D171" s="653">
        <v>5040.8745120000003</v>
      </c>
      <c r="E171" s="653">
        <v>5399.5615230000003</v>
      </c>
      <c r="F171" s="653">
        <v>5687.8237300000001</v>
      </c>
      <c r="G171" s="653">
        <v>5887.4248049999997</v>
      </c>
      <c r="H171" s="653">
        <v>6069.9755859999996</v>
      </c>
      <c r="I171" s="653">
        <v>6156.4321289999998</v>
      </c>
      <c r="J171" s="641">
        <v>8.1600000000000006E-3</v>
      </c>
      <c r="K171" s="658">
        <f>C171/C174</f>
        <v>0.91784125692482055</v>
      </c>
      <c r="M171" s="659"/>
      <c r="N171" s="658"/>
      <c r="O171" s="658"/>
      <c r="P171" s="658"/>
      <c r="Q171" s="134">
        <f t="shared" si="0"/>
        <v>0.89219014697814103</v>
      </c>
      <c r="R171" s="134">
        <f t="shared" si="0"/>
        <v>0.85158888767653418</v>
      </c>
    </row>
    <row r="172" spans="1:21" ht="12.75" x14ac:dyDescent="0.2">
      <c r="A172" s="12" t="s">
        <v>629</v>
      </c>
      <c r="B172" s="133">
        <f>D44</f>
        <v>7.8377850000000002</v>
      </c>
      <c r="C172" s="53">
        <v>10.027866</v>
      </c>
      <c r="D172" s="653">
        <v>24.823608</v>
      </c>
      <c r="E172" s="653">
        <v>24.62323</v>
      </c>
      <c r="F172" s="653">
        <v>43.866917000000001</v>
      </c>
      <c r="G172" s="653">
        <v>124.437881</v>
      </c>
      <c r="H172" s="653">
        <v>278.42587300000002</v>
      </c>
      <c r="I172" s="653">
        <v>613.02539100000001</v>
      </c>
      <c r="J172" s="641">
        <v>6.9750999999999994E-2</v>
      </c>
      <c r="K172" s="658">
        <f>C172/C174</f>
        <v>2.0794484491790037E-3</v>
      </c>
      <c r="M172" s="824">
        <f>D172/D174</f>
        <v>4.507810540303336E-3</v>
      </c>
      <c r="N172" s="824">
        <f>E172/E174</f>
        <v>4.1972313724295621E-3</v>
      </c>
      <c r="O172" s="824">
        <f>F172/F174</f>
        <v>7.0878827946763137E-3</v>
      </c>
      <c r="P172" s="824">
        <f>G172/G174</f>
        <v>1.9235005437359808E-2</v>
      </c>
      <c r="Q172" s="825">
        <f t="shared" si="0"/>
        <v>4.0924187755767234E-2</v>
      </c>
      <c r="R172" s="825">
        <f t="shared" si="0"/>
        <v>8.4796778377537199E-2</v>
      </c>
    </row>
    <row r="173" spans="1:21" ht="12.75" x14ac:dyDescent="0.2">
      <c r="A173" s="12" t="s">
        <v>630</v>
      </c>
      <c r="B173" s="133">
        <f>D43</f>
        <v>22.895313000000002</v>
      </c>
      <c r="C173" s="53">
        <v>21.167767999999999</v>
      </c>
      <c r="D173" s="653">
        <v>20.176891000000001</v>
      </c>
      <c r="E173" s="653">
        <v>21.180145</v>
      </c>
      <c r="F173" s="653">
        <v>25.886707000000001</v>
      </c>
      <c r="G173" s="653">
        <v>31.154105999999999</v>
      </c>
      <c r="H173" s="653">
        <v>35.848396000000001</v>
      </c>
      <c r="I173" s="653">
        <v>39.471375000000002</v>
      </c>
      <c r="J173" s="641">
        <v>4.2770000000000004E-3</v>
      </c>
      <c r="K173" s="658">
        <f>C173/C174</f>
        <v>4.3894964631738132E-3</v>
      </c>
      <c r="L173" s="105"/>
      <c r="M173" s="658">
        <f>D173/D174</f>
        <v>3.663996060538481E-3</v>
      </c>
      <c r="N173" s="658">
        <f>E173/E174</f>
        <v>3.6103293136849689E-3</v>
      </c>
      <c r="O173" s="658">
        <f>F173/F174</f>
        <v>4.1826952451690848E-3</v>
      </c>
      <c r="P173" s="658">
        <f>G173/G174</f>
        <v>4.8156509375636494E-3</v>
      </c>
      <c r="Q173" s="134">
        <f t="shared" si="0"/>
        <v>5.2691456898012311E-3</v>
      </c>
      <c r="R173" s="134">
        <f t="shared" si="0"/>
        <v>5.4598805975585802E-3</v>
      </c>
    </row>
    <row r="174" spans="1:21" ht="15" x14ac:dyDescent="0.25">
      <c r="A174" s="12" t="s">
        <v>631</v>
      </c>
      <c r="B174" s="133">
        <v>4744.677734375</v>
      </c>
      <c r="C174" s="64">
        <v>4822.3681640000004</v>
      </c>
      <c r="D174" s="656">
        <v>5506.7993159999996</v>
      </c>
      <c r="E174" s="656">
        <v>5866.5410160000001</v>
      </c>
      <c r="F174" s="656">
        <v>6189.0014650000003</v>
      </c>
      <c r="G174" s="656">
        <v>6469.3447269999997</v>
      </c>
      <c r="H174" s="656">
        <v>6803.455078</v>
      </c>
      <c r="I174" s="656">
        <v>7229.3476559999999</v>
      </c>
      <c r="J174" s="643">
        <v>7.7159999999999998E-3</v>
      </c>
      <c r="K174" s="658">
        <f>SUM(K170:K173)</f>
        <v>0.99999997801909812</v>
      </c>
      <c r="M174" s="659"/>
      <c r="N174" s="658"/>
      <c r="O174" s="655"/>
      <c r="P174" s="655"/>
    </row>
    <row r="175" spans="1:21" x14ac:dyDescent="0.2">
      <c r="B175" s="53"/>
      <c r="K175" s="657"/>
      <c r="L175" s="657"/>
      <c r="M175" s="657"/>
      <c r="N175" s="657"/>
      <c r="O175" s="657"/>
      <c r="P175" s="657"/>
    </row>
    <row r="176" spans="1:21" x14ac:dyDescent="0.2">
      <c r="A176" s="12" t="s">
        <v>632</v>
      </c>
      <c r="B176" s="53"/>
      <c r="K176" s="657"/>
      <c r="L176" s="657"/>
      <c r="M176" s="657"/>
      <c r="N176" s="657"/>
      <c r="O176" s="657"/>
      <c r="P176" s="657"/>
    </row>
    <row r="177" spans="1:17" ht="12.75" x14ac:dyDescent="0.2">
      <c r="A177" s="12" t="s">
        <v>628</v>
      </c>
      <c r="B177" s="133">
        <v>545.03302001953102</v>
      </c>
      <c r="C177" s="53">
        <v>453.29324300000002</v>
      </c>
      <c r="D177" s="653">
        <v>444.44882200000001</v>
      </c>
      <c r="E177" s="653">
        <v>441.72460899999999</v>
      </c>
      <c r="F177" s="653">
        <v>424.19229100000001</v>
      </c>
      <c r="G177" s="653">
        <v>367.96743800000002</v>
      </c>
      <c r="H177" s="653">
        <v>315.824005</v>
      </c>
      <c r="I177" s="653">
        <v>270.92327899999998</v>
      </c>
      <c r="J177" s="641">
        <v>6.3070000000000001E-3</v>
      </c>
      <c r="K177" s="657"/>
      <c r="L177" s="657"/>
      <c r="M177" s="657"/>
      <c r="N177" s="657"/>
      <c r="O177" s="657"/>
      <c r="P177" s="657"/>
    </row>
    <row r="178" spans="1:17" ht="12.75" x14ac:dyDescent="0.2">
      <c r="A178" s="12" t="s">
        <v>633</v>
      </c>
      <c r="B178" s="133"/>
      <c r="C178" s="53"/>
      <c r="D178" s="653">
        <v>0</v>
      </c>
      <c r="E178" s="653">
        <v>4.9626029999999997</v>
      </c>
      <c r="F178" s="653">
        <v>33.399459999999998</v>
      </c>
      <c r="G178" s="653">
        <v>79.599022000000005</v>
      </c>
      <c r="H178" s="653">
        <v>117.406792</v>
      </c>
      <c r="I178" s="653">
        <v>148.10519400000001</v>
      </c>
      <c r="J178" s="641"/>
      <c r="K178" s="657"/>
      <c r="L178" s="657"/>
      <c r="M178" s="657"/>
      <c r="N178" s="657"/>
      <c r="O178" s="657"/>
      <c r="P178" s="657"/>
    </row>
    <row r="179" spans="1:17" ht="15" x14ac:dyDescent="0.25">
      <c r="A179" s="12" t="s">
        <v>631</v>
      </c>
      <c r="B179" s="133">
        <v>545.03302001953102</v>
      </c>
      <c r="C179" s="64">
        <v>453.29324300000002</v>
      </c>
      <c r="D179" s="656">
        <v>444.44882200000001</v>
      </c>
      <c r="E179" s="656">
        <v>446.68722500000001</v>
      </c>
      <c r="F179" s="656">
        <v>457.59173600000003</v>
      </c>
      <c r="G179" s="656">
        <v>447.56646699999999</v>
      </c>
      <c r="H179" s="656">
        <v>433.23080399999998</v>
      </c>
      <c r="I179" s="656">
        <v>419.02847300000002</v>
      </c>
      <c r="J179" s="643">
        <v>6.3070000000000001E-3</v>
      </c>
      <c r="K179" s="657"/>
      <c r="L179" s="657"/>
      <c r="M179" s="657"/>
      <c r="N179" s="657"/>
      <c r="O179" s="657"/>
      <c r="P179" s="657"/>
    </row>
    <row r="180" spans="1:17" x14ac:dyDescent="0.2">
      <c r="B180" s="53"/>
      <c r="K180" s="657"/>
      <c r="L180" s="657"/>
      <c r="M180" s="657"/>
      <c r="N180" s="657"/>
      <c r="O180" s="657"/>
      <c r="P180" s="657"/>
    </row>
    <row r="181" spans="1:17" x14ac:dyDescent="0.2">
      <c r="A181" s="12" t="s">
        <v>591</v>
      </c>
      <c r="B181" s="53"/>
      <c r="K181" s="657"/>
      <c r="L181" s="657"/>
      <c r="M181" s="657"/>
      <c r="N181" s="657"/>
      <c r="O181" s="657"/>
      <c r="P181" s="657"/>
    </row>
    <row r="182" spans="1:17" ht="12.75" x14ac:dyDescent="0.2">
      <c r="A182" s="12" t="s">
        <v>628</v>
      </c>
      <c r="B182" s="133">
        <v>219.46594238281301</v>
      </c>
      <c r="C182" s="53">
        <v>147.85343900000001</v>
      </c>
      <c r="D182" s="653">
        <v>79.117064999999997</v>
      </c>
      <c r="E182" s="653">
        <v>75.037254000000004</v>
      </c>
      <c r="F182" s="653">
        <v>69.783332999999999</v>
      </c>
      <c r="G182" s="653">
        <v>65.304665</v>
      </c>
      <c r="H182" s="653">
        <v>62.429340000000003</v>
      </c>
      <c r="I182" s="653">
        <v>60.655589999999997</v>
      </c>
      <c r="J182" s="641">
        <v>5.3660000000000001E-3</v>
      </c>
      <c r="K182" s="658">
        <f>C182/C186</f>
        <v>0.67727933275286711</v>
      </c>
      <c r="L182" s="134">
        <f>H182/H$186</f>
        <v>0.80116355382097337</v>
      </c>
      <c r="M182" s="659"/>
      <c r="N182" s="658"/>
      <c r="O182" s="658"/>
      <c r="P182" s="658"/>
      <c r="Q182" s="12">
        <f>H182/H186</f>
        <v>0.80116355382097337</v>
      </c>
    </row>
    <row r="183" spans="1:17" ht="12.75" x14ac:dyDescent="0.2">
      <c r="A183" s="12" t="s">
        <v>634</v>
      </c>
      <c r="B183" s="133">
        <v>91.172294616699205</v>
      </c>
      <c r="C183" s="53">
        <v>70.451522999999995</v>
      </c>
      <c r="D183" s="653">
        <v>18.760693</v>
      </c>
      <c r="E183" s="653">
        <v>17.629079999999998</v>
      </c>
      <c r="F183" s="653">
        <v>16.238686000000001</v>
      </c>
      <c r="G183" s="653">
        <v>15.06856</v>
      </c>
      <c r="H183" s="653">
        <v>14.252580999999999</v>
      </c>
      <c r="I183" s="653">
        <v>13.687599000000001</v>
      </c>
      <c r="J183" s="641">
        <v>5.378E-3</v>
      </c>
      <c r="K183" s="658">
        <f>C183/C186</f>
        <v>0.32272066724713294</v>
      </c>
      <c r="L183" s="134">
        <f>H183/H$186</f>
        <v>0.18290516037941906</v>
      </c>
      <c r="M183" s="659"/>
      <c r="N183" s="658"/>
      <c r="O183" s="658"/>
      <c r="P183" s="658"/>
      <c r="Q183" s="12">
        <f>H183/H186</f>
        <v>0.18290516037941906</v>
      </c>
    </row>
    <row r="184" spans="1:17" ht="12.75" x14ac:dyDescent="0.2">
      <c r="A184" s="12" t="s">
        <v>635</v>
      </c>
      <c r="B184" s="133"/>
      <c r="C184" s="53"/>
      <c r="D184" s="653">
        <v>0</v>
      </c>
      <c r="E184" s="653">
        <v>0</v>
      </c>
      <c r="F184" s="653">
        <v>0</v>
      </c>
      <c r="G184" s="653">
        <v>0</v>
      </c>
      <c r="H184" s="653">
        <v>0</v>
      </c>
      <c r="I184" s="653">
        <v>0</v>
      </c>
      <c r="J184" s="641"/>
      <c r="K184" s="658"/>
      <c r="L184" s="134"/>
      <c r="M184" s="659"/>
      <c r="N184" s="658"/>
      <c r="O184" s="658"/>
      <c r="P184" s="658"/>
    </row>
    <row r="185" spans="1:17" ht="12.75" x14ac:dyDescent="0.2">
      <c r="A185" s="12" t="s">
        <v>636</v>
      </c>
      <c r="B185" s="133"/>
      <c r="C185" s="53"/>
      <c r="D185" s="653">
        <v>0.22108700000000001</v>
      </c>
      <c r="E185" s="653">
        <v>0.57464800000000005</v>
      </c>
      <c r="F185" s="653">
        <v>0.83677900000000005</v>
      </c>
      <c r="G185" s="653">
        <v>1.030875</v>
      </c>
      <c r="H185" s="653">
        <v>1.24142</v>
      </c>
      <c r="I185" s="653">
        <v>1.451797</v>
      </c>
      <c r="J185" s="641"/>
      <c r="K185" s="658"/>
      <c r="L185" s="134"/>
      <c r="M185" s="659"/>
      <c r="N185" s="658"/>
      <c r="O185" s="658"/>
      <c r="P185" s="658"/>
    </row>
    <row r="186" spans="1:17" ht="15" x14ac:dyDescent="0.25">
      <c r="A186" s="12" t="s">
        <v>631</v>
      </c>
      <c r="B186" s="53">
        <f>B182+B183</f>
        <v>310.63823699951223</v>
      </c>
      <c r="C186" s="64">
        <v>218.30496199999999</v>
      </c>
      <c r="D186" s="656">
        <v>98.098845999999995</v>
      </c>
      <c r="E186" s="656">
        <v>93.240982000000002</v>
      </c>
      <c r="F186" s="656">
        <v>86.858795000000001</v>
      </c>
      <c r="G186" s="656">
        <v>81.404099000000002</v>
      </c>
      <c r="H186" s="656">
        <v>77.923339999999996</v>
      </c>
      <c r="I186" s="656">
        <v>75.794983000000002</v>
      </c>
      <c r="J186" s="643">
        <v>5.3699999999999998E-3</v>
      </c>
      <c r="K186" s="658"/>
      <c r="L186" s="134"/>
      <c r="M186" s="657"/>
      <c r="N186" s="657"/>
      <c r="O186" s="657"/>
      <c r="P186" s="657"/>
    </row>
    <row r="187" spans="1:17" x14ac:dyDescent="0.2">
      <c r="B187" s="53"/>
      <c r="K187" s="657"/>
      <c r="L187" s="657"/>
      <c r="M187" s="657"/>
      <c r="N187" s="657"/>
      <c r="O187" s="657"/>
      <c r="P187" s="657"/>
    </row>
    <row r="188" spans="1:17" x14ac:dyDescent="0.2">
      <c r="A188" s="12" t="s">
        <v>594</v>
      </c>
      <c r="B188" s="53"/>
      <c r="K188" s="657"/>
      <c r="L188" s="657"/>
      <c r="M188" s="657"/>
      <c r="N188" s="657"/>
      <c r="O188" s="657"/>
      <c r="P188" s="657"/>
    </row>
    <row r="189" spans="1:17" ht="12.75" x14ac:dyDescent="0.2">
      <c r="A189" s="12" t="s">
        <v>628</v>
      </c>
      <c r="B189" s="133">
        <v>49.8196830749512</v>
      </c>
      <c r="C189" s="53">
        <v>49.146839</v>
      </c>
      <c r="D189" s="653">
        <v>43.375973000000002</v>
      </c>
      <c r="E189" s="653">
        <v>43.684092999999997</v>
      </c>
      <c r="F189" s="653">
        <v>43.958579999999998</v>
      </c>
      <c r="G189" s="653">
        <v>44.224705</v>
      </c>
      <c r="H189" s="653">
        <v>44.489947999999998</v>
      </c>
      <c r="I189" s="653">
        <v>44.735022999999998</v>
      </c>
      <c r="J189" s="641">
        <v>1.2459999999999999E-3</v>
      </c>
      <c r="K189" s="657"/>
      <c r="L189" s="657"/>
      <c r="M189" s="657"/>
      <c r="N189" s="657"/>
      <c r="O189" s="657"/>
      <c r="P189" s="657"/>
    </row>
    <row r="190" spans="1:17" ht="12.75" x14ac:dyDescent="0.2">
      <c r="A190" s="12" t="s">
        <v>634</v>
      </c>
      <c r="B190" s="133">
        <v>717.06756591796898</v>
      </c>
      <c r="C190" s="53">
        <v>811.36804199999995</v>
      </c>
      <c r="D190" s="653">
        <v>538.42517099999998</v>
      </c>
      <c r="E190" s="653">
        <v>544.87628199999995</v>
      </c>
      <c r="F190" s="653">
        <v>551.01049799999998</v>
      </c>
      <c r="G190" s="653">
        <v>557.253784</v>
      </c>
      <c r="H190" s="653">
        <v>562.85668899999996</v>
      </c>
      <c r="I190" s="653">
        <v>567.57611099999997</v>
      </c>
      <c r="J190" s="641">
        <v>1.2570000000000001E-3</v>
      </c>
      <c r="K190" s="657"/>
      <c r="L190" s="657"/>
      <c r="M190" s="657"/>
      <c r="N190" s="657"/>
      <c r="O190" s="657"/>
      <c r="P190" s="657"/>
    </row>
    <row r="191" spans="1:17" ht="15" x14ac:dyDescent="0.25">
      <c r="A191" s="12" t="s">
        <v>631</v>
      </c>
      <c r="B191" s="133">
        <v>766.88726806640602</v>
      </c>
      <c r="C191" s="64">
        <v>860.51489300000003</v>
      </c>
      <c r="D191" s="656">
        <v>581.80114700000001</v>
      </c>
      <c r="E191" s="656">
        <v>588.56036400000005</v>
      </c>
      <c r="F191" s="656">
        <v>594.96905500000003</v>
      </c>
      <c r="G191" s="656">
        <v>601.47851600000001</v>
      </c>
      <c r="H191" s="656">
        <v>607.34661900000003</v>
      </c>
      <c r="I191" s="656">
        <v>612.31115699999998</v>
      </c>
      <c r="J191" s="643">
        <v>1.2570000000000001E-3</v>
      </c>
      <c r="K191" s="657"/>
      <c r="L191" s="657"/>
      <c r="M191" s="657"/>
      <c r="N191" s="657"/>
      <c r="O191" s="657"/>
      <c r="P191" s="657"/>
    </row>
    <row r="192" spans="1:17" x14ac:dyDescent="0.2">
      <c r="K192" s="657"/>
      <c r="L192" s="657"/>
      <c r="M192" s="657"/>
      <c r="N192" s="657"/>
      <c r="O192" s="657"/>
      <c r="P192" s="657"/>
    </row>
    <row r="193" spans="1:17" x14ac:dyDescent="0.2">
      <c r="A193" s="12" t="s">
        <v>637</v>
      </c>
      <c r="K193" s="657"/>
      <c r="L193" s="657"/>
      <c r="M193" s="657"/>
      <c r="N193" s="657"/>
      <c r="O193" s="657"/>
      <c r="P193" s="657"/>
    </row>
    <row r="194" spans="1:17" ht="12.75" x14ac:dyDescent="0.2">
      <c r="A194" s="12" t="s">
        <v>638</v>
      </c>
      <c r="B194" s="133">
        <v>2688.080078125</v>
      </c>
      <c r="C194" s="53">
        <v>2483.01001</v>
      </c>
      <c r="D194" s="653">
        <v>2495.7536620000001</v>
      </c>
      <c r="E194" s="653">
        <v>2570.6440429999998</v>
      </c>
      <c r="F194" s="653">
        <v>2627.7963869999999</v>
      </c>
      <c r="G194" s="653">
        <v>2658.451904</v>
      </c>
      <c r="H194" s="653">
        <v>2665.8911130000001</v>
      </c>
      <c r="I194" s="653">
        <v>2674.056885</v>
      </c>
      <c r="J194" s="641">
        <v>4.1700000000000001E-3</v>
      </c>
      <c r="K194" s="658">
        <f>B194/B196</f>
        <v>0.98709292324265363</v>
      </c>
      <c r="L194" s="658"/>
      <c r="M194" s="659"/>
      <c r="N194" s="658"/>
      <c r="O194" s="658"/>
      <c r="P194" s="658"/>
    </row>
    <row r="195" spans="1:17" ht="12.75" x14ac:dyDescent="0.2">
      <c r="A195" s="12" t="s">
        <v>639</v>
      </c>
      <c r="B195" s="133">
        <v>35.148998260497997</v>
      </c>
      <c r="C195" s="53">
        <v>32.208244000000001</v>
      </c>
      <c r="D195" s="653">
        <v>26.797699000000001</v>
      </c>
      <c r="E195" s="653">
        <v>26.650933999999999</v>
      </c>
      <c r="F195" s="653">
        <v>26.594031999999999</v>
      </c>
      <c r="G195" s="653">
        <v>26.57197</v>
      </c>
      <c r="H195" s="653">
        <v>26.563417000000001</v>
      </c>
      <c r="I195" s="653">
        <v>26.560101</v>
      </c>
      <c r="J195" s="641">
        <v>-7.6800000000000002E-4</v>
      </c>
      <c r="K195" s="658">
        <f>B195/B196</f>
        <v>1.2907103372532983E-2</v>
      </c>
      <c r="L195" s="658"/>
      <c r="M195" s="659"/>
      <c r="N195" s="658"/>
      <c r="O195" s="658"/>
      <c r="P195" s="658"/>
    </row>
    <row r="196" spans="1:17" ht="15" x14ac:dyDescent="0.25">
      <c r="A196" s="12" t="s">
        <v>631</v>
      </c>
      <c r="B196" s="133">
        <v>2723.22900390625</v>
      </c>
      <c r="C196" s="64">
        <v>2515.2182619999999</v>
      </c>
      <c r="D196" s="656">
        <v>2522.5512699999999</v>
      </c>
      <c r="E196" s="656">
        <v>2597.294922</v>
      </c>
      <c r="F196" s="656">
        <v>2654.3903810000002</v>
      </c>
      <c r="G196" s="656">
        <v>2685.0239259999998</v>
      </c>
      <c r="H196" s="656">
        <v>2692.4545899999998</v>
      </c>
      <c r="I196" s="656">
        <v>2700.616943</v>
      </c>
      <c r="J196" s="643">
        <v>4.1110000000000001E-3</v>
      </c>
      <c r="K196" s="657"/>
      <c r="L196" s="657"/>
      <c r="M196" s="657"/>
      <c r="N196" s="657"/>
      <c r="O196" s="657"/>
      <c r="P196" s="657"/>
    </row>
    <row r="197" spans="1:17" x14ac:dyDescent="0.2">
      <c r="B197" s="53"/>
      <c r="K197" s="17"/>
      <c r="L197" s="17"/>
      <c r="M197" s="17"/>
      <c r="N197" s="17"/>
      <c r="O197" s="17"/>
      <c r="P197" s="17"/>
    </row>
    <row r="198" spans="1:17" x14ac:dyDescent="0.2">
      <c r="A198" s="12" t="s">
        <v>640</v>
      </c>
      <c r="B198" s="53"/>
      <c r="K198" s="17"/>
      <c r="L198" s="17"/>
      <c r="M198" s="17"/>
      <c r="N198" s="17"/>
      <c r="O198" s="17"/>
      <c r="P198" s="17"/>
    </row>
    <row r="199" spans="1:17" x14ac:dyDescent="0.2">
      <c r="A199" s="12" t="s">
        <v>641</v>
      </c>
      <c r="B199" s="53"/>
      <c r="K199" s="17"/>
      <c r="L199" s="17"/>
      <c r="M199" s="17"/>
      <c r="N199" s="17"/>
      <c r="O199" s="17"/>
      <c r="P199" s="17"/>
    </row>
    <row r="200" spans="1:17" ht="12.75" x14ac:dyDescent="0.2">
      <c r="A200" s="12" t="s">
        <v>642</v>
      </c>
      <c r="B200" s="133">
        <v>531.47747802734398</v>
      </c>
      <c r="C200" s="53">
        <v>591.081726</v>
      </c>
      <c r="D200" s="653">
        <v>516.50372300000004</v>
      </c>
      <c r="E200" s="653">
        <v>505.64236499999998</v>
      </c>
      <c r="F200" s="653">
        <v>513.068848</v>
      </c>
      <c r="G200" s="653">
        <v>540.837402</v>
      </c>
      <c r="H200" s="653">
        <v>571.55822799999999</v>
      </c>
      <c r="I200" s="653">
        <v>605.54363999999998</v>
      </c>
      <c r="J200" s="641">
        <v>-1.351E-3</v>
      </c>
      <c r="K200" s="17"/>
      <c r="L200" s="17"/>
      <c r="M200" s="17"/>
      <c r="N200" s="17"/>
      <c r="O200" s="17"/>
      <c r="P200" s="17"/>
    </row>
    <row r="201" spans="1:17" ht="12.75" x14ac:dyDescent="0.2">
      <c r="A201" s="12" t="s">
        <v>643</v>
      </c>
      <c r="B201" s="133">
        <v>19.760156631469702</v>
      </c>
      <c r="C201" s="53">
        <v>22.169333999999999</v>
      </c>
      <c r="D201" s="653">
        <v>13.408099999999999</v>
      </c>
      <c r="E201" s="653">
        <v>13.203166</v>
      </c>
      <c r="F201" s="653">
        <v>13.467281</v>
      </c>
      <c r="G201" s="653">
        <v>14.269983999999999</v>
      </c>
      <c r="H201" s="653">
        <v>15.142314000000001</v>
      </c>
      <c r="I201" s="653">
        <v>16.087814000000002</v>
      </c>
      <c r="J201" s="641">
        <v>-1.34E-3</v>
      </c>
      <c r="K201" s="17"/>
      <c r="L201" s="17"/>
      <c r="M201" s="17"/>
      <c r="N201" s="17"/>
      <c r="O201" s="17"/>
      <c r="P201" s="17"/>
    </row>
    <row r="202" spans="1:17" ht="12.75" x14ac:dyDescent="0.2">
      <c r="A202" s="12" t="s">
        <v>644</v>
      </c>
      <c r="B202" s="133">
        <v>128.31816101074199</v>
      </c>
      <c r="C202" s="53">
        <v>151.97833299999999</v>
      </c>
      <c r="D202" s="653">
        <v>122.248192</v>
      </c>
      <c r="E202" s="653">
        <v>119.79946099999999</v>
      </c>
      <c r="F202" s="653">
        <v>121.59481</v>
      </c>
      <c r="G202" s="653">
        <v>128.17010500000001</v>
      </c>
      <c r="H202" s="653">
        <v>135.45893899999999</v>
      </c>
      <c r="I202" s="653">
        <v>143.50663800000001</v>
      </c>
      <c r="J202" s="641">
        <v>-1.351E-3</v>
      </c>
      <c r="K202" s="17"/>
      <c r="L202" s="17"/>
      <c r="M202" s="17"/>
      <c r="N202" s="17"/>
      <c r="O202" s="17"/>
      <c r="P202" s="17"/>
    </row>
    <row r="203" spans="1:17" ht="15" x14ac:dyDescent="0.25">
      <c r="A203" s="12" t="s">
        <v>631</v>
      </c>
      <c r="B203" s="133">
        <v>679.55578613281295</v>
      </c>
      <c r="C203" s="64">
        <v>765.22937000000002</v>
      </c>
      <c r="D203" s="656">
        <v>652.15997300000004</v>
      </c>
      <c r="E203" s="656">
        <v>638.64495799999997</v>
      </c>
      <c r="F203" s="656">
        <v>648.13091999999995</v>
      </c>
      <c r="G203" s="656">
        <v>683.277466</v>
      </c>
      <c r="H203" s="656">
        <v>722.15948500000002</v>
      </c>
      <c r="I203" s="656">
        <v>765.13812299999995</v>
      </c>
      <c r="J203" s="643">
        <v>-1.351E-3</v>
      </c>
      <c r="K203" s="17"/>
      <c r="L203" s="17"/>
      <c r="M203" s="17"/>
      <c r="N203" s="17"/>
      <c r="O203" s="17"/>
      <c r="P203" s="17"/>
    </row>
    <row r="204" spans="1:17" ht="12.75" x14ac:dyDescent="0.2">
      <c r="B204"/>
      <c r="I204" s="134"/>
      <c r="J204" s="17"/>
      <c r="K204" s="17"/>
      <c r="L204" s="17"/>
      <c r="M204" s="25" t="s">
        <v>619</v>
      </c>
      <c r="N204" s="25" t="s">
        <v>645</v>
      </c>
      <c r="O204" s="17">
        <v>2010</v>
      </c>
      <c r="P204" s="17">
        <v>2035</v>
      </c>
      <c r="Q204" s="17">
        <v>2055</v>
      </c>
    </row>
    <row r="205" spans="1:17" x14ac:dyDescent="0.2">
      <c r="A205" s="13" t="s">
        <v>646</v>
      </c>
      <c r="B205" s="13">
        <v>2005</v>
      </c>
      <c r="C205" s="13">
        <v>2010</v>
      </c>
      <c r="D205" s="13">
        <v>2015</v>
      </c>
      <c r="E205" s="13">
        <v>2020</v>
      </c>
      <c r="F205" s="13">
        <v>2025</v>
      </c>
      <c r="G205" s="13">
        <v>2030</v>
      </c>
      <c r="H205" s="13">
        <v>2035</v>
      </c>
      <c r="I205" s="62">
        <v>2040</v>
      </c>
      <c r="J205" s="63">
        <v>2045</v>
      </c>
      <c r="K205" s="13">
        <v>2050</v>
      </c>
      <c r="L205" s="62">
        <v>2055</v>
      </c>
      <c r="M205" s="13">
        <v>2035</v>
      </c>
      <c r="N205" s="13"/>
      <c r="O205" s="17" t="s">
        <v>647</v>
      </c>
      <c r="P205" s="17" t="s">
        <v>647</v>
      </c>
      <c r="Q205" s="17" t="s">
        <v>647</v>
      </c>
    </row>
    <row r="206" spans="1:17" ht="12.75" x14ac:dyDescent="0.2">
      <c r="A206" s="12" t="s">
        <v>648</v>
      </c>
      <c r="B206"/>
      <c r="I206" s="134"/>
      <c r="J206" s="17"/>
      <c r="K206" s="17"/>
      <c r="L206" s="17"/>
      <c r="M206" s="17"/>
      <c r="N206" s="17"/>
      <c r="O206" s="17"/>
      <c r="P206" s="17"/>
      <c r="Q206" s="17"/>
    </row>
    <row r="207" spans="1:17" ht="12.75" x14ac:dyDescent="0.2">
      <c r="A207" s="12" t="s">
        <v>649</v>
      </c>
      <c r="B207" s="133">
        <v>0.19670888781547499</v>
      </c>
      <c r="C207" s="53">
        <v>11.562298</v>
      </c>
      <c r="D207" s="653">
        <v>11.142871</v>
      </c>
      <c r="E207" s="653">
        <v>11.029153000000001</v>
      </c>
      <c r="F207" s="653">
        <v>10.946679</v>
      </c>
      <c r="G207" s="653">
        <v>10.877763</v>
      </c>
      <c r="H207" s="653">
        <v>10.80598</v>
      </c>
      <c r="I207" s="653">
        <v>10.730579000000001</v>
      </c>
      <c r="J207" s="53">
        <f t="shared" ref="J207:L210" si="1">I207*(1+$N207)^5</f>
        <v>10.733744894358495</v>
      </c>
      <c r="K207" s="53">
        <f t="shared" si="1"/>
        <v>10.736911722766035</v>
      </c>
      <c r="L207" s="53">
        <f t="shared" si="1"/>
        <v>10.7400794854982</v>
      </c>
      <c r="M207" s="641">
        <v>1.18E-4</v>
      </c>
      <c r="N207" s="641">
        <f>M207*0.5</f>
        <v>5.8999999999999998E-5</v>
      </c>
      <c r="O207" s="658">
        <f>(C207+C219)/C224</f>
        <v>9.9279878642966835E-2</v>
      </c>
      <c r="P207" s="658">
        <f>(H207+H219)/H224</f>
        <v>9.9277885073090891E-2</v>
      </c>
      <c r="Q207" s="658">
        <f>(L207+L219)/L224</f>
        <v>8.8550387847134704E-2</v>
      </c>
    </row>
    <row r="208" spans="1:17" ht="12.75" x14ac:dyDescent="0.2">
      <c r="A208" s="12" t="s">
        <v>650</v>
      </c>
      <c r="B208" s="133">
        <v>90.025444030761705</v>
      </c>
      <c r="C208" s="53">
        <v>86.507392999999993</v>
      </c>
      <c r="D208" s="653">
        <v>70.440437000000003</v>
      </c>
      <c r="E208" s="653">
        <v>62.142364999999998</v>
      </c>
      <c r="F208" s="653">
        <v>52.852119000000002</v>
      </c>
      <c r="G208" s="653">
        <v>43.169857</v>
      </c>
      <c r="H208" s="653">
        <v>32.556583000000003</v>
      </c>
      <c r="I208" s="653">
        <v>22.577643999999999</v>
      </c>
      <c r="J208" s="53">
        <f t="shared" si="1"/>
        <v>20.28660776336071</v>
      </c>
      <c r="K208" s="53">
        <f t="shared" si="1"/>
        <v>18.228051365521001</v>
      </c>
      <c r="L208" s="53">
        <f t="shared" si="1"/>
        <v>16.378384225684314</v>
      </c>
      <c r="M208" s="641">
        <v>-4.2345000000000001E-2</v>
      </c>
      <c r="N208" s="641">
        <f>M208*0.5</f>
        <v>-2.11725E-2</v>
      </c>
      <c r="O208" s="660">
        <f>(SUM(B208,B214,B220))/B224</f>
        <v>0.93214265708499455</v>
      </c>
      <c r="P208" s="660">
        <f>SUM(H208,H214,H220)/H224</f>
        <v>0.65659561802127187</v>
      </c>
      <c r="Q208" s="658">
        <f>SUM(L208,L214,L220)/L224</f>
        <v>0.54811445165725603</v>
      </c>
    </row>
    <row r="209" spans="1:17" ht="12.75" x14ac:dyDescent="0.2">
      <c r="A209" s="12" t="s">
        <v>651</v>
      </c>
      <c r="B209" s="133">
        <f>C209*(1-M209)^5</f>
        <v>4.7780216831176689</v>
      </c>
      <c r="C209" s="53">
        <v>7.8765559999999999</v>
      </c>
      <c r="D209" s="653">
        <v>18.270439</v>
      </c>
      <c r="E209" s="653">
        <v>28.404281999999998</v>
      </c>
      <c r="F209" s="653">
        <v>39.868462000000001</v>
      </c>
      <c r="G209" s="653">
        <v>51.850673999999998</v>
      </c>
      <c r="H209" s="653">
        <v>64.839934999999997</v>
      </c>
      <c r="I209" s="653">
        <v>77.068732999999995</v>
      </c>
      <c r="J209" s="53">
        <f t="shared" si="1"/>
        <v>88.712967221911128</v>
      </c>
      <c r="K209" s="53">
        <f t="shared" si="1"/>
        <v>102.11651660753108</v>
      </c>
      <c r="L209" s="53">
        <f t="shared" si="1"/>
        <v>117.5451942439439</v>
      </c>
      <c r="M209" s="641">
        <v>9.5138E-2</v>
      </c>
      <c r="N209" s="641">
        <f>M209*0.3</f>
        <v>2.8541399999999998E-2</v>
      </c>
      <c r="O209" s="660">
        <f>(B209+B221)/B224</f>
        <v>2.2575585289844415E-2</v>
      </c>
      <c r="P209" s="660">
        <f>(H209+H221)/H224</f>
        <v>0.24342497640285621</v>
      </c>
      <c r="Q209" s="658">
        <f>(L209+L221)/L224</f>
        <v>0.36271189345457228</v>
      </c>
    </row>
    <row r="210" spans="1:17" ht="12.75" x14ac:dyDescent="0.2">
      <c r="A210" s="12" t="s">
        <v>652</v>
      </c>
      <c r="B210" s="133"/>
      <c r="C210" s="53">
        <v>7.3424000000000003E-2</v>
      </c>
      <c r="D210" s="653">
        <v>7.2303999999999993E-2</v>
      </c>
      <c r="E210" s="653">
        <v>7.1137000000000006E-2</v>
      </c>
      <c r="F210" s="653">
        <v>6.9864999999999997E-2</v>
      </c>
      <c r="G210" s="653">
        <v>6.8430000000000005E-2</v>
      </c>
      <c r="H210" s="653">
        <v>6.6793000000000005E-2</v>
      </c>
      <c r="I210" s="653">
        <v>6.5005999999999994E-2</v>
      </c>
      <c r="J210" s="53">
        <f t="shared" si="1"/>
        <v>6.4726468702530585E-2</v>
      </c>
      <c r="K210" s="53">
        <f t="shared" si="1"/>
        <v>6.444813941327987E-2</v>
      </c>
      <c r="L210" s="53">
        <f t="shared" si="1"/>
        <v>6.4171006963510871E-2</v>
      </c>
      <c r="M210" s="641">
        <v>-1.7229999999999999E-3</v>
      </c>
      <c r="N210" s="641">
        <f>M210*0.5</f>
        <v>-8.6149999999999996E-4</v>
      </c>
      <c r="O210" s="660"/>
      <c r="P210" s="660">
        <f>(H210+H222)/H224</f>
        <v>7.014489135774598E-4</v>
      </c>
      <c r="Q210" s="658">
        <f>(L210+L222)/L224</f>
        <v>6.2326704103699069E-4</v>
      </c>
    </row>
    <row r="211" spans="1:17" ht="12.75" x14ac:dyDescent="0.2">
      <c r="A211" s="12" t="s">
        <v>653</v>
      </c>
      <c r="B211" s="65">
        <f>B207+B208+B209</f>
        <v>95.000174601694852</v>
      </c>
      <c r="C211" s="53">
        <v>106.01966899999999</v>
      </c>
      <c r="D211" s="653">
        <v>99.926047999999994</v>
      </c>
      <c r="E211" s="653">
        <v>101.646935</v>
      </c>
      <c r="F211" s="653">
        <v>103.737122</v>
      </c>
      <c r="G211" s="653">
        <v>105.96672100000001</v>
      </c>
      <c r="H211" s="653">
        <v>108.269295</v>
      </c>
      <c r="I211" s="653">
        <v>110.441963</v>
      </c>
      <c r="J211" s="53">
        <f>SUM(J207:J210)</f>
        <v>119.79804634833286</v>
      </c>
      <c r="K211" s="53">
        <f>SUM(K207:K210)</f>
        <v>131.14592783523142</v>
      </c>
      <c r="L211" s="53">
        <f>SUM(L207:L210)</f>
        <v>144.72782896208992</v>
      </c>
      <c r="M211" s="641">
        <v>4.0829999999999998E-3</v>
      </c>
      <c r="N211" s="661">
        <f>EXP(LN(L211/H211)/20)-1</f>
        <v>1.4617472481569971E-2</v>
      </c>
      <c r="O211" s="660"/>
      <c r="P211" s="660"/>
      <c r="Q211" s="658"/>
    </row>
    <row r="212" spans="1:17" x14ac:dyDescent="0.2">
      <c r="A212" s="12" t="s">
        <v>654</v>
      </c>
      <c r="B212" s="133"/>
      <c r="N212" s="134"/>
      <c r="O212" s="660">
        <f>SUM(O207:O211)</f>
        <v>1.0539981210178058</v>
      </c>
      <c r="P212" s="660">
        <f>SUM(P207:P211)</f>
        <v>0.99999992841079643</v>
      </c>
      <c r="Q212" s="660">
        <f>SUM(Q207:Q211)</f>
        <v>1.0000000000000002</v>
      </c>
    </row>
    <row r="213" spans="1:17" ht="12.75" x14ac:dyDescent="0.2">
      <c r="A213" s="12" t="s">
        <v>649</v>
      </c>
      <c r="B213" s="133"/>
      <c r="C213" s="53">
        <v>0</v>
      </c>
      <c r="D213" s="653">
        <v>0</v>
      </c>
      <c r="E213" s="653">
        <v>0</v>
      </c>
      <c r="F213" s="653">
        <v>0</v>
      </c>
      <c r="G213" s="653">
        <v>0</v>
      </c>
      <c r="H213" s="653">
        <v>0</v>
      </c>
      <c r="I213" s="653">
        <v>0</v>
      </c>
      <c r="J213" s="12">
        <v>0</v>
      </c>
      <c r="K213" s="12">
        <v>0</v>
      </c>
      <c r="L213" s="12">
        <v>0</v>
      </c>
      <c r="M213" s="645" t="s">
        <v>589</v>
      </c>
      <c r="N213" s="660"/>
      <c r="O213" s="658"/>
    </row>
    <row r="214" spans="1:17" ht="12.75" x14ac:dyDescent="0.2">
      <c r="A214" s="12" t="s">
        <v>650</v>
      </c>
      <c r="B214" s="133">
        <f>C214*(1-M214)^5</f>
        <v>28.625736550969492</v>
      </c>
      <c r="C214" s="53">
        <v>29.96529</v>
      </c>
      <c r="D214" s="653">
        <v>28.555005999999999</v>
      </c>
      <c r="E214" s="653">
        <v>29.662451000000001</v>
      </c>
      <c r="F214" s="653">
        <v>30.768394000000001</v>
      </c>
      <c r="G214" s="653">
        <v>31.834842999999999</v>
      </c>
      <c r="H214" s="653">
        <v>32.824139000000002</v>
      </c>
      <c r="I214" s="653">
        <v>33.740803</v>
      </c>
      <c r="J214" s="53">
        <f>I214*(1+$N214)^5</f>
        <v>34.515852803731562</v>
      </c>
      <c r="K214" s="53">
        <f>J214*(1+$N214)^5</f>
        <v>35.308706042617423</v>
      </c>
      <c r="L214" s="53">
        <f>K214*(1+$N214)^5</f>
        <v>36.119771673993952</v>
      </c>
      <c r="M214" s="641">
        <v>9.1050000000000002E-3</v>
      </c>
      <c r="N214" s="641">
        <f>M214*0.5</f>
        <v>4.5525000000000001E-3</v>
      </c>
      <c r="O214" s="662"/>
    </row>
    <row r="215" spans="1:17" ht="12.75" x14ac:dyDescent="0.2">
      <c r="A215" s="12" t="s">
        <v>651</v>
      </c>
      <c r="B215" s="133"/>
      <c r="C215" s="53">
        <v>0</v>
      </c>
      <c r="D215" s="653">
        <v>0</v>
      </c>
      <c r="E215" s="653">
        <v>0</v>
      </c>
      <c r="F215" s="653">
        <v>0</v>
      </c>
      <c r="G215" s="653">
        <v>0</v>
      </c>
      <c r="H215" s="653">
        <v>0</v>
      </c>
      <c r="I215" s="653">
        <v>0</v>
      </c>
      <c r="J215" s="12">
        <v>0</v>
      </c>
      <c r="K215" s="12">
        <v>0</v>
      </c>
      <c r="L215" s="12">
        <v>0</v>
      </c>
      <c r="M215" s="645" t="s">
        <v>589</v>
      </c>
      <c r="N215" s="657"/>
      <c r="O215" s="657"/>
    </row>
    <row r="216" spans="1:17" ht="12.75" x14ac:dyDescent="0.2">
      <c r="A216" s="12" t="s">
        <v>652</v>
      </c>
      <c r="B216" s="133"/>
      <c r="C216" s="53">
        <v>0</v>
      </c>
      <c r="D216" s="653">
        <v>0</v>
      </c>
      <c r="E216" s="653">
        <v>0</v>
      </c>
      <c r="F216" s="653">
        <v>0</v>
      </c>
      <c r="G216" s="653">
        <v>0</v>
      </c>
      <c r="H216" s="653">
        <v>0</v>
      </c>
      <c r="I216" s="653">
        <v>0</v>
      </c>
      <c r="J216" s="12">
        <v>0</v>
      </c>
      <c r="K216" s="12">
        <v>0</v>
      </c>
      <c r="L216" s="12">
        <v>0</v>
      </c>
      <c r="M216" s="645" t="s">
        <v>589</v>
      </c>
      <c r="N216" s="657"/>
      <c r="O216" s="657"/>
    </row>
    <row r="217" spans="1:17" ht="12.75" x14ac:dyDescent="0.2">
      <c r="A217" s="12" t="s">
        <v>655</v>
      </c>
      <c r="B217" s="65">
        <f>B214</f>
        <v>28.625736550969492</v>
      </c>
      <c r="C217" s="53">
        <v>29.96529</v>
      </c>
      <c r="D217" s="653">
        <v>28.555005999999999</v>
      </c>
      <c r="E217" s="653">
        <v>29.662451000000001</v>
      </c>
      <c r="F217" s="653">
        <v>30.768394000000001</v>
      </c>
      <c r="G217" s="653">
        <v>31.834842999999999</v>
      </c>
      <c r="H217" s="653">
        <v>32.824139000000002</v>
      </c>
      <c r="I217" s="653">
        <v>33.740803</v>
      </c>
      <c r="J217" s="53">
        <f>SUM(J213:J216)</f>
        <v>34.515852803731562</v>
      </c>
      <c r="K217" s="53">
        <f>SUM(K213:K216)</f>
        <v>35.308706042617423</v>
      </c>
      <c r="L217" s="53">
        <f>SUM(L213:L216)</f>
        <v>36.119771673993952</v>
      </c>
      <c r="M217" s="641">
        <v>9.1050000000000002E-3</v>
      </c>
      <c r="N217" s="641">
        <f>M217*0.5</f>
        <v>4.5525000000000001E-3</v>
      </c>
      <c r="O217" s="657"/>
    </row>
    <row r="218" spans="1:17" x14ac:dyDescent="0.2">
      <c r="A218" s="12" t="s">
        <v>656</v>
      </c>
      <c r="B218" s="133"/>
      <c r="N218" s="657"/>
      <c r="O218" s="657"/>
    </row>
    <row r="219" spans="1:17" ht="12.75" x14ac:dyDescent="0.2">
      <c r="A219" s="12" t="s">
        <v>649</v>
      </c>
      <c r="B219" s="133">
        <v>10.9795475006104</v>
      </c>
      <c r="C219" s="53">
        <v>13.483807000000001</v>
      </c>
      <c r="D219" s="653">
        <v>13.900589999999999</v>
      </c>
      <c r="E219" s="653">
        <v>14.650613</v>
      </c>
      <c r="F219" s="653">
        <v>15.41818</v>
      </c>
      <c r="G219" s="653">
        <v>16.184425000000001</v>
      </c>
      <c r="H219" s="653">
        <v>16.929455000000001</v>
      </c>
      <c r="I219" s="653">
        <v>17.654305000000001</v>
      </c>
      <c r="J219" s="53">
        <f t="shared" ref="J219:L222" si="2">I219*(1+$N219)^5</f>
        <v>18.191548504386521</v>
      </c>
      <c r="K219" s="53">
        <f t="shared" si="2"/>
        <v>18.74514102862998</v>
      </c>
      <c r="L219" s="53">
        <f t="shared" si="2"/>
        <v>19.315580094707101</v>
      </c>
      <c r="M219" s="641">
        <v>1.2026999999999999E-2</v>
      </c>
      <c r="N219" s="641">
        <f>M219*0.5</f>
        <v>6.0134999999999997E-3</v>
      </c>
      <c r="O219" s="657"/>
    </row>
    <row r="220" spans="1:17" ht="12.75" x14ac:dyDescent="0.2">
      <c r="A220" s="12" t="s">
        <v>650</v>
      </c>
      <c r="B220" s="133">
        <v>111.41641998291</v>
      </c>
      <c r="C220" s="53">
        <v>101.66235399999999</v>
      </c>
      <c r="D220" s="653">
        <v>98.042350999999996</v>
      </c>
      <c r="E220" s="653">
        <v>103.07868999999999</v>
      </c>
      <c r="F220" s="653">
        <v>108.173149</v>
      </c>
      <c r="G220" s="653">
        <v>113.21350099999999</v>
      </c>
      <c r="H220" s="653">
        <v>118.053535</v>
      </c>
      <c r="I220" s="653">
        <v>122.70906100000001</v>
      </c>
      <c r="J220" s="53">
        <f t="shared" si="2"/>
        <v>126.21875094110908</v>
      </c>
      <c r="K220" s="53">
        <f t="shared" si="2"/>
        <v>129.82882404367615</v>
      </c>
      <c r="L220" s="53">
        <f t="shared" si="2"/>
        <v>133.54215143856274</v>
      </c>
      <c r="M220" s="641">
        <v>1.1311999999999999E-2</v>
      </c>
      <c r="N220" s="641">
        <f>M220*0.5</f>
        <v>5.6559999999999996E-3</v>
      </c>
      <c r="O220" s="657"/>
    </row>
    <row r="221" spans="1:17" ht="12.75" x14ac:dyDescent="0.2">
      <c r="A221" s="12" t="s">
        <v>651</v>
      </c>
      <c r="B221" s="65">
        <f>C221*(1-M221)^5</f>
        <v>0.79399103349736322</v>
      </c>
      <c r="C221" s="53">
        <v>1.045701</v>
      </c>
      <c r="D221" s="653">
        <v>1.3702049999999999</v>
      </c>
      <c r="E221" s="653">
        <v>1.72512</v>
      </c>
      <c r="F221" s="653">
        <v>2.154487</v>
      </c>
      <c r="G221" s="653">
        <v>2.633267</v>
      </c>
      <c r="H221" s="653">
        <v>3.1661229999999998</v>
      </c>
      <c r="I221" s="653">
        <v>3.743725</v>
      </c>
      <c r="J221" s="53">
        <f t="shared" si="2"/>
        <v>4.2728473588215508</v>
      </c>
      <c r="K221" s="53">
        <f t="shared" si="2"/>
        <v>4.8767536482482834</v>
      </c>
      <c r="L221" s="53">
        <f t="shared" si="2"/>
        <v>5.566013514758974</v>
      </c>
      <c r="M221" s="641">
        <v>5.3585000000000001E-2</v>
      </c>
      <c r="N221" s="641">
        <f>M221*0.5</f>
        <v>2.67925E-2</v>
      </c>
      <c r="O221" s="657"/>
    </row>
    <row r="222" spans="1:17" ht="12.75" x14ac:dyDescent="0.2">
      <c r="A222" s="12" t="s">
        <v>652</v>
      </c>
      <c r="B222" s="133"/>
      <c r="C222" s="53">
        <v>0.100942</v>
      </c>
      <c r="D222" s="653">
        <v>0.106062</v>
      </c>
      <c r="E222" s="653">
        <v>0.11178399999999999</v>
      </c>
      <c r="F222" s="653">
        <v>0.117641</v>
      </c>
      <c r="G222" s="653">
        <v>0.123487</v>
      </c>
      <c r="H222" s="653">
        <v>0.12917200000000001</v>
      </c>
      <c r="I222" s="653">
        <v>0.13470199999999999</v>
      </c>
      <c r="J222" s="53">
        <f t="shared" si="2"/>
        <v>0.13880115737424228</v>
      </c>
      <c r="K222" s="53">
        <f t="shared" si="2"/>
        <v>0.14302505744850988</v>
      </c>
      <c r="L222" s="53">
        <f t="shared" si="2"/>
        <v>0.14737749630570196</v>
      </c>
      <c r="M222" s="641">
        <v>1.2026999999999999E-2</v>
      </c>
      <c r="N222" s="641">
        <f>M222*0.5</f>
        <v>6.0134999999999997E-3</v>
      </c>
      <c r="O222" s="657"/>
    </row>
    <row r="223" spans="1:17" ht="12.75" x14ac:dyDescent="0.2">
      <c r="A223" s="12" t="s">
        <v>657</v>
      </c>
      <c r="B223" s="65">
        <f>B219+B220+B221</f>
        <v>123.18995851701776</v>
      </c>
      <c r="C223" s="53">
        <v>116.29280900000001</v>
      </c>
      <c r="D223" s="653">
        <v>113.41920500000001</v>
      </c>
      <c r="E223" s="653">
        <v>119.566208</v>
      </c>
      <c r="F223" s="653">
        <v>125.863457</v>
      </c>
      <c r="G223" s="653">
        <v>132.15467799999999</v>
      </c>
      <c r="H223" s="653">
        <v>138.27827500000001</v>
      </c>
      <c r="I223" s="653">
        <v>144.241806</v>
      </c>
      <c r="J223" s="53">
        <f>SUM(J219:J222)</f>
        <v>148.82194796169142</v>
      </c>
      <c r="K223" s="53">
        <f>SUM(K219:K222)</f>
        <v>153.59374377800293</v>
      </c>
      <c r="L223" s="53">
        <f>SUM(L219:L222)</f>
        <v>158.57112254433449</v>
      </c>
      <c r="M223" s="641">
        <v>1.2038999999999999E-2</v>
      </c>
      <c r="N223" s="641">
        <f>M223*0.5</f>
        <v>6.0194999999999997E-3</v>
      </c>
      <c r="O223" s="657"/>
    </row>
    <row r="224" spans="1:17" ht="15" x14ac:dyDescent="0.25">
      <c r="A224" s="13" t="s">
        <v>658</v>
      </c>
      <c r="B224" s="65">
        <f>B211+B217+B223</f>
        <v>246.81586966968212</v>
      </c>
      <c r="C224" s="64">
        <v>252.27775600000001</v>
      </c>
      <c r="D224" s="656">
        <v>241.90026900000001</v>
      </c>
      <c r="E224" s="656">
        <v>250.87558000000001</v>
      </c>
      <c r="F224" s="656">
        <v>260.368988</v>
      </c>
      <c r="G224" s="656">
        <v>269.95623799999998</v>
      </c>
      <c r="H224" s="656">
        <v>279.371735</v>
      </c>
      <c r="I224" s="656">
        <v>288.42456099999998</v>
      </c>
      <c r="J224" s="64">
        <f>J211+J217+J223</f>
        <v>303.13584711375586</v>
      </c>
      <c r="K224" s="64">
        <f>K211+K217+K223</f>
        <v>320.04837765585177</v>
      </c>
      <c r="L224" s="64">
        <f>L211+L217+L223</f>
        <v>339.4187231804184</v>
      </c>
      <c r="M224" s="643">
        <v>8.5120000000000005E-3</v>
      </c>
      <c r="N224" s="641">
        <f>EXP(LN(L224/H224)/20)-1</f>
        <v>9.7820968820896415E-3</v>
      </c>
      <c r="O224" s="657"/>
    </row>
    <row r="225" spans="1:17" x14ac:dyDescent="0.2">
      <c r="A225" s="13" t="s">
        <v>659</v>
      </c>
      <c r="B225" s="64">
        <f>B211-B209*(1-'Rail&amp;Bus2'!$I30/'Rail&amp;Bus2'!$I10)+'AEO Data'!B217+'AEO Data'!B223-'AEO Data'!B221*(1-'Rail&amp;Bus2'!$I30/'Rail&amp;Bus2'!$I10)</f>
        <v>245.9814136589813</v>
      </c>
      <c r="C225" s="64">
        <f>C211-C209*(1-'Rail&amp;Bus2'!$I30/'Rail&amp;Bus2'!$I10)+'AEO Data'!C217+'AEO Data'!C223-'AEO Data'!C221*(1-'Rail&amp;Bus2'!$I30/'Rail&amp;Bus2'!$I10)</f>
        <v>250.94158458454106</v>
      </c>
      <c r="D225" s="64">
        <f>D211-D209*(1-'Rail&amp;Bus2'!$I30/'Rail&amp;Bus2'!$I10)+'AEO Data'!D217+'AEO Data'!D223-'AEO Data'!D221*(1-'Rail&amp;Bus2'!$I30/'Rail&amp;Bus2'!$I10)</f>
        <v>238.9589065169082</v>
      </c>
      <c r="E225" s="64">
        <f>E211-E209*(1-'Rail&amp;Bus2'!$I30/'Rail&amp;Bus2'!$I10)+'AEO Data'!E217+'AEO Data'!E223-'AEO Data'!E221*(1-'Rail&amp;Bus2'!$I30/'Rail&amp;Bus2'!$I10)</f>
        <v>246.36346133333333</v>
      </c>
      <c r="F225" s="64">
        <f>F211-F209*(1-'Rail&amp;Bus2'!$I30/'Rail&amp;Bus2'!$I10)+'AEO Data'!F217+'AEO Data'!F223-'AEO Data'!F221*(1-'Rail&amp;Bus2'!$I30/'Rail&amp;Bus2'!$I10)</f>
        <v>254.07568112077291</v>
      </c>
      <c r="G225" s="64">
        <f>G211-G209*(1-'Rail&amp;Bus2'!$I30/'Rail&amp;Bus2'!$I10)+'AEO Data'!G217+'AEO Data'!G223-'AEO Data'!G221*(1-'Rail&amp;Bus2'!$I30/'Rail&amp;Bus2'!$I10)</f>
        <v>261.79681122222223</v>
      </c>
      <c r="H225" s="64">
        <f>H211-H209*(1-'Rail&amp;Bus2'!$I30/'Rail&amp;Bus2'!$I10)+'AEO Data'!H217+'AEO Data'!H223-'AEO Data'!H221*(1-'Rail&amp;Bus2'!$I30/'Rail&amp;Bus2'!$I10)</f>
        <v>269.18722688405796</v>
      </c>
      <c r="I225" s="64">
        <f>I211-I209*(1-'Rail&amp;Bus2'!$I30/'Rail&amp;Bus2'!$I10)+'AEO Data'!I217+'AEO Data'!I223-'AEO Data'!I221*(1-'Rail&amp;Bus2'!$I30/'Rail&amp;Bus2'!$I10)</f>
        <v>276.32222321739135</v>
      </c>
      <c r="J225" s="64">
        <f>J211-J209*(1-'Rail&amp;Bus2'!$I30/'Rail&amp;Bus2'!$I10)+'AEO Data'!J217+'AEO Data'!J223-'AEO Data'!J221*(1-'Rail&amp;Bus2'!$I30/'Rail&amp;Bus2'!$I10)</f>
        <v>289.21043526833211</v>
      </c>
      <c r="K225" s="64">
        <f>K211-K209*(1-'Rail&amp;Bus2'!$I30/'Rail&amp;Bus2'!$I10)+'AEO Data'!K217+'AEO Data'!K223-'AEO Data'!K221*(1-'Rail&amp;Bus2'!$I30/'Rail&amp;Bus2'!$I10)</f>
        <v>304.0252309025708</v>
      </c>
      <c r="L225" s="64">
        <f>L211-L209*(1-'Rail&amp;Bus2'!$I30/'Rail&amp;Bus2'!$I10)+'AEO Data'!L217+'AEO Data'!L223-'AEO Data'!L221*(1-'Rail&amp;Bus2'!$I30/'Rail&amp;Bus2'!$I10)</f>
        <v>320.98177902331793</v>
      </c>
      <c r="N225" s="657"/>
      <c r="O225" s="657"/>
    </row>
    <row r="226" spans="1:17" x14ac:dyDescent="0.2">
      <c r="A226" s="12" t="s">
        <v>649</v>
      </c>
      <c r="B226" s="53">
        <f>B207+B213+B219</f>
        <v>11.176256388425875</v>
      </c>
      <c r="C226" s="53">
        <f t="shared" ref="C226:L226" si="3">C207+C213+C219</f>
        <v>25.046105000000001</v>
      </c>
      <c r="D226" s="53">
        <f t="shared" si="3"/>
        <v>25.043461000000001</v>
      </c>
      <c r="E226" s="53">
        <f t="shared" si="3"/>
        <v>25.679766000000001</v>
      </c>
      <c r="F226" s="53">
        <f t="shared" si="3"/>
        <v>26.364858999999999</v>
      </c>
      <c r="G226" s="53">
        <f t="shared" si="3"/>
        <v>27.062187999999999</v>
      </c>
      <c r="H226" s="53">
        <f t="shared" si="3"/>
        <v>27.735435000000003</v>
      </c>
      <c r="I226" s="53">
        <f t="shared" si="3"/>
        <v>28.384884</v>
      </c>
      <c r="J226" s="53">
        <f t="shared" si="3"/>
        <v>28.925293398745016</v>
      </c>
      <c r="K226" s="53">
        <f t="shared" si="3"/>
        <v>29.482052751396015</v>
      </c>
      <c r="L226" s="53">
        <f t="shared" si="3"/>
        <v>30.055659580205301</v>
      </c>
      <c r="N226" s="657"/>
      <c r="O226" s="657">
        <f>C226/C$230</f>
        <v>9.927987392055887E-2</v>
      </c>
      <c r="P226" s="134">
        <f>H226/H$230</f>
        <v>9.9277894312483878E-2</v>
      </c>
      <c r="Q226" s="134">
        <f>L226/L$230</f>
        <v>8.8550387847134704E-2</v>
      </c>
    </row>
    <row r="227" spans="1:17" x14ac:dyDescent="0.2">
      <c r="A227" s="12" t="s">
        <v>650</v>
      </c>
      <c r="B227" s="53">
        <f t="shared" ref="B227:L229" si="4">B208+B214+B220</f>
        <v>230.0676005646412</v>
      </c>
      <c r="C227" s="53">
        <f t="shared" si="4"/>
        <v>218.13503699999998</v>
      </c>
      <c r="D227" s="53">
        <f t="shared" si="4"/>
        <v>197.03779399999999</v>
      </c>
      <c r="E227" s="53">
        <f t="shared" si="4"/>
        <v>194.88350600000001</v>
      </c>
      <c r="F227" s="53">
        <f t="shared" si="4"/>
        <v>191.79366199999998</v>
      </c>
      <c r="G227" s="53">
        <f t="shared" si="4"/>
        <v>188.21820099999999</v>
      </c>
      <c r="H227" s="53">
        <f t="shared" si="4"/>
        <v>183.434257</v>
      </c>
      <c r="I227" s="53">
        <f t="shared" si="4"/>
        <v>179.02750800000001</v>
      </c>
      <c r="J227" s="53">
        <f t="shared" si="4"/>
        <v>181.02121150820136</v>
      </c>
      <c r="K227" s="53">
        <f t="shared" si="4"/>
        <v>183.36558145181459</v>
      </c>
      <c r="L227" s="53">
        <f t="shared" si="4"/>
        <v>186.04030733824101</v>
      </c>
      <c r="N227" s="657"/>
      <c r="O227" s="657">
        <f>C227/C$230</f>
        <v>0.86466214890564586</v>
      </c>
      <c r="P227" s="134">
        <f>H227/H$230</f>
        <v>0.65659567912798211</v>
      </c>
      <c r="Q227" s="134">
        <f>L227/L$230</f>
        <v>0.54811445165725603</v>
      </c>
    </row>
    <row r="228" spans="1:17" x14ac:dyDescent="0.2">
      <c r="A228" s="12" t="s">
        <v>651</v>
      </c>
      <c r="B228" s="53">
        <f t="shared" si="4"/>
        <v>5.5720127166150322</v>
      </c>
      <c r="C228" s="53">
        <f t="shared" si="4"/>
        <v>8.9222570000000001</v>
      </c>
      <c r="D228" s="53">
        <f t="shared" si="4"/>
        <v>19.640643999999998</v>
      </c>
      <c r="E228" s="53">
        <f t="shared" si="4"/>
        <v>30.129401999999999</v>
      </c>
      <c r="F228" s="53">
        <f t="shared" si="4"/>
        <v>42.022949000000004</v>
      </c>
      <c r="G228" s="53">
        <f t="shared" si="4"/>
        <v>54.483941000000002</v>
      </c>
      <c r="H228" s="53">
        <f t="shared" si="4"/>
        <v>68.006057999999996</v>
      </c>
      <c r="I228" s="53">
        <f t="shared" si="4"/>
        <v>80.812457999999992</v>
      </c>
      <c r="J228" s="53">
        <f t="shared" si="4"/>
        <v>92.985814580732679</v>
      </c>
      <c r="K228" s="53">
        <f t="shared" si="4"/>
        <v>106.99327025577936</v>
      </c>
      <c r="L228" s="53">
        <f t="shared" si="4"/>
        <v>123.11120775870288</v>
      </c>
      <c r="N228" s="657"/>
      <c r="O228" s="657">
        <f>C228/C$230</f>
        <v>3.5366798551983381E-2</v>
      </c>
      <c r="P228" s="134">
        <f>H228/H$230</f>
        <v>0.24342499905743853</v>
      </c>
      <c r="Q228" s="134">
        <f>L228/L$230</f>
        <v>0.36271189345457228</v>
      </c>
    </row>
    <row r="229" spans="1:17" x14ac:dyDescent="0.2">
      <c r="A229" s="12" t="s">
        <v>652</v>
      </c>
      <c r="B229" s="53">
        <f t="shared" si="4"/>
        <v>0</v>
      </c>
      <c r="C229" s="53">
        <f t="shared" si="4"/>
        <v>0.17436600000000002</v>
      </c>
      <c r="D229" s="53">
        <f t="shared" si="4"/>
        <v>0.178366</v>
      </c>
      <c r="E229" s="53">
        <f t="shared" si="4"/>
        <v>0.182921</v>
      </c>
      <c r="F229" s="53">
        <f t="shared" si="4"/>
        <v>0.18750600000000001</v>
      </c>
      <c r="G229" s="53">
        <f t="shared" si="4"/>
        <v>0.191917</v>
      </c>
      <c r="H229" s="53">
        <f t="shared" si="4"/>
        <v>0.195965</v>
      </c>
      <c r="I229" s="53">
        <f t="shared" si="4"/>
        <v>0.199708</v>
      </c>
      <c r="J229" s="53">
        <f t="shared" si="4"/>
        <v>0.20352762607677288</v>
      </c>
      <c r="K229" s="53">
        <f t="shared" si="4"/>
        <v>0.20747319686178975</v>
      </c>
      <c r="L229" s="53">
        <f t="shared" si="4"/>
        <v>0.21154850326921282</v>
      </c>
      <c r="N229" s="657"/>
      <c r="O229" s="657">
        <f>C229/C$230</f>
        <v>6.9116673015753025E-4</v>
      </c>
      <c r="P229" s="134">
        <f>H229/H$230</f>
        <v>7.0144897885848561E-4</v>
      </c>
      <c r="Q229" s="134">
        <f>L229/L$230</f>
        <v>6.2326704103699069E-4</v>
      </c>
    </row>
    <row r="230" spans="1:17" x14ac:dyDescent="0.2">
      <c r="B230" s="53">
        <f>B211+B217+B223</f>
        <v>246.81586966968212</v>
      </c>
      <c r="C230" s="53">
        <f t="shared" ref="C230:L230" si="5">C211+C217+C223</f>
        <v>252.27776800000001</v>
      </c>
      <c r="D230" s="53">
        <f t="shared" si="5"/>
        <v>241.90025900000001</v>
      </c>
      <c r="E230" s="53">
        <f t="shared" si="5"/>
        <v>250.87559399999998</v>
      </c>
      <c r="F230" s="53">
        <f t="shared" si="5"/>
        <v>260.36897299999998</v>
      </c>
      <c r="G230" s="53">
        <f t="shared" si="5"/>
        <v>269.95624199999997</v>
      </c>
      <c r="H230" s="53">
        <f t="shared" si="5"/>
        <v>279.37170900000001</v>
      </c>
      <c r="I230" s="53">
        <f t="shared" si="5"/>
        <v>288.42457200000001</v>
      </c>
      <c r="J230" s="53">
        <f t="shared" si="5"/>
        <v>303.13584711375586</v>
      </c>
      <c r="K230" s="53">
        <f t="shared" si="5"/>
        <v>320.04837765585177</v>
      </c>
      <c r="L230" s="53">
        <f t="shared" si="5"/>
        <v>339.4187231804184</v>
      </c>
      <c r="N230" s="657"/>
      <c r="O230" s="657"/>
    </row>
    <row r="231" spans="1:17" x14ac:dyDescent="0.2">
      <c r="A231" s="13" t="s">
        <v>660</v>
      </c>
      <c r="B231" s="53"/>
      <c r="N231" s="657"/>
      <c r="O231" s="657"/>
    </row>
    <row r="232" spans="1:17" ht="12.75" x14ac:dyDescent="0.2">
      <c r="A232" s="12" t="s">
        <v>661</v>
      </c>
      <c r="B232" s="133">
        <v>1.36828517913818</v>
      </c>
      <c r="C232" s="53">
        <v>1.5326470000000001</v>
      </c>
      <c r="D232" s="653">
        <v>1.924868</v>
      </c>
      <c r="E232" s="653">
        <v>1.7826519999999999</v>
      </c>
      <c r="F232" s="653">
        <v>1.8393250000000001</v>
      </c>
      <c r="G232" s="653">
        <v>1.8539099999999999</v>
      </c>
      <c r="H232" s="653">
        <v>1.897953</v>
      </c>
      <c r="I232" s="653">
        <v>1.955946</v>
      </c>
      <c r="J232" s="53">
        <f>I232*(1+$M232)^5</f>
        <v>2.0811844544689553</v>
      </c>
      <c r="K232" s="53">
        <f>J232*(1+$M232)^5</f>
        <v>2.2144418780085151</v>
      </c>
      <c r="L232" s="53">
        <f>K232*(1+$M232)^5</f>
        <v>2.356231722059996</v>
      </c>
      <c r="M232" s="641">
        <v>1.2489999999999999E-2</v>
      </c>
      <c r="N232" s="658"/>
      <c r="O232" s="658"/>
    </row>
    <row r="233" spans="1:17" ht="12.75" x14ac:dyDescent="0.2">
      <c r="A233" s="12" t="s">
        <v>662</v>
      </c>
      <c r="B233" s="133">
        <v>12.019849777221699</v>
      </c>
      <c r="C233" s="53">
        <v>13.532938</v>
      </c>
      <c r="D233" s="653">
        <v>15.645352000000001</v>
      </c>
      <c r="E233" s="653">
        <v>14.504189</v>
      </c>
      <c r="F233" s="653">
        <v>14.969709</v>
      </c>
      <c r="G233" s="653">
        <v>15.087745999999999</v>
      </c>
      <c r="H233" s="653">
        <v>15.447141999999999</v>
      </c>
      <c r="I233" s="653">
        <v>15.918385000000001</v>
      </c>
      <c r="J233" s="53">
        <f t="shared" ref="J233:L237" si="6">I233*(1+$M233)^5</f>
        <v>16.93754929864528</v>
      </c>
      <c r="K233" s="53">
        <f t="shared" si="6"/>
        <v>18.021964931997761</v>
      </c>
      <c r="L233" s="53">
        <f t="shared" si="6"/>
        <v>19.175809574537148</v>
      </c>
      <c r="M233" s="641">
        <v>1.2489E-2</v>
      </c>
      <c r="N233" s="658"/>
      <c r="O233" s="658"/>
    </row>
    <row r="234" spans="1:17" ht="12.75" x14ac:dyDescent="0.2">
      <c r="A234" s="12" t="s">
        <v>663</v>
      </c>
      <c r="B234" s="133">
        <v>14.6827716827393</v>
      </c>
      <c r="C234" s="53">
        <v>14.905403</v>
      </c>
      <c r="D234" s="653">
        <v>15.049543</v>
      </c>
      <c r="E234" s="653">
        <v>16.083096000000001</v>
      </c>
      <c r="F234" s="653">
        <v>16.900376999999999</v>
      </c>
      <c r="G234" s="653">
        <v>17.791706000000001</v>
      </c>
      <c r="H234" s="653">
        <v>18.633559999999999</v>
      </c>
      <c r="I234" s="653">
        <v>19.735019999999999</v>
      </c>
      <c r="J234" s="53">
        <f t="shared" si="6"/>
        <v>20.79844664931235</v>
      </c>
      <c r="K234" s="53">
        <f t="shared" si="6"/>
        <v>21.919176318255168</v>
      </c>
      <c r="L234" s="53">
        <f t="shared" si="6"/>
        <v>23.100296794839874</v>
      </c>
      <c r="M234" s="641">
        <v>1.0552000000000001E-2</v>
      </c>
      <c r="N234" s="658"/>
      <c r="O234" s="658"/>
    </row>
    <row r="235" spans="1:17" ht="12.75" x14ac:dyDescent="0.2">
      <c r="A235" s="12" t="s">
        <v>664</v>
      </c>
      <c r="B235" s="133">
        <v>4.6282238960266104</v>
      </c>
      <c r="C235" s="53">
        <v>6.2289719999999997</v>
      </c>
      <c r="D235" s="653">
        <v>6.0705520000000002</v>
      </c>
      <c r="E235" s="653">
        <v>6.5991879999999998</v>
      </c>
      <c r="F235" s="653">
        <v>6.9609680000000003</v>
      </c>
      <c r="G235" s="653">
        <v>7.3803830000000001</v>
      </c>
      <c r="H235" s="653">
        <v>7.778664</v>
      </c>
      <c r="I235" s="653">
        <v>8.3944659999999995</v>
      </c>
      <c r="J235" s="53">
        <f t="shared" si="6"/>
        <v>8.8760824373346896</v>
      </c>
      <c r="K235" s="53">
        <f t="shared" si="6"/>
        <v>9.3853306969569381</v>
      </c>
      <c r="L235" s="53">
        <f t="shared" si="6"/>
        <v>9.9237961018410967</v>
      </c>
      <c r="M235" s="641">
        <v>1.1220000000000001E-2</v>
      </c>
      <c r="N235" s="658"/>
      <c r="O235" s="658"/>
    </row>
    <row r="236" spans="1:17" ht="12.75" x14ac:dyDescent="0.2">
      <c r="A236" s="12" t="s">
        <v>665</v>
      </c>
      <c r="B236" s="133">
        <v>9.2629423141479492</v>
      </c>
      <c r="C236" s="53">
        <v>11.359215000000001</v>
      </c>
      <c r="D236" s="653">
        <v>9.9248899999999995</v>
      </c>
      <c r="E236" s="653">
        <v>11.122033999999999</v>
      </c>
      <c r="F236" s="653">
        <v>11.820027</v>
      </c>
      <c r="G236" s="653">
        <v>12.692145</v>
      </c>
      <c r="H236" s="653">
        <v>13.443154</v>
      </c>
      <c r="I236" s="653">
        <v>14.499079</v>
      </c>
      <c r="J236" s="53">
        <f t="shared" si="6"/>
        <v>15.397607662714559</v>
      </c>
      <c r="K236" s="53">
        <f t="shared" si="6"/>
        <v>16.35181943176433</v>
      </c>
      <c r="L236" s="53">
        <f t="shared" si="6"/>
        <v>17.36516506888881</v>
      </c>
      <c r="M236" s="641">
        <v>1.2097999999999999E-2</v>
      </c>
      <c r="N236" s="658"/>
      <c r="O236" s="658"/>
    </row>
    <row r="237" spans="1:17" ht="15" x14ac:dyDescent="0.25">
      <c r="A237" s="13" t="s">
        <v>666</v>
      </c>
      <c r="B237" s="133">
        <v>41.962074279785199</v>
      </c>
      <c r="C237" s="64">
        <v>47.559176999999998</v>
      </c>
      <c r="D237" s="656">
        <v>48.615208000000003</v>
      </c>
      <c r="E237" s="656">
        <v>50.091163999999999</v>
      </c>
      <c r="F237" s="656">
        <v>52.490406</v>
      </c>
      <c r="G237" s="656">
        <v>54.805889000000001</v>
      </c>
      <c r="H237" s="656">
        <v>57.200470000000003</v>
      </c>
      <c r="I237" s="656">
        <v>60.502898999999999</v>
      </c>
      <c r="J237" s="53">
        <f t="shared" si="6"/>
        <v>64.103934203089636</v>
      </c>
      <c r="K237" s="53">
        <f t="shared" si="6"/>
        <v>67.91929722762616</v>
      </c>
      <c r="L237" s="53">
        <f t="shared" si="6"/>
        <v>71.961744520701984</v>
      </c>
      <c r="M237" s="643">
        <v>1.163E-2</v>
      </c>
      <c r="N237" s="658"/>
      <c r="O237" s="655"/>
    </row>
    <row r="238" spans="1:17" x14ac:dyDescent="0.2">
      <c r="A238" s="12" t="s">
        <v>667</v>
      </c>
      <c r="B238" s="27">
        <f>B232/B233</f>
        <v>0.11383546421113835</v>
      </c>
      <c r="C238" s="27">
        <f t="shared" ref="C238:I238" si="7">C232/C233</f>
        <v>0.11325308665420622</v>
      </c>
      <c r="D238" s="27">
        <f t="shared" si="7"/>
        <v>0.12303130028650042</v>
      </c>
      <c r="E238" s="27">
        <f t="shared" si="7"/>
        <v>0.12290601011886979</v>
      </c>
      <c r="F238" s="27">
        <f t="shared" si="7"/>
        <v>0.12286978992043199</v>
      </c>
      <c r="G238" s="27">
        <f t="shared" si="7"/>
        <v>0.12287521277200716</v>
      </c>
      <c r="H238" s="27">
        <f t="shared" si="7"/>
        <v>0.12286758288361692</v>
      </c>
      <c r="I238" s="27">
        <f t="shared" si="7"/>
        <v>0.12287339450578685</v>
      </c>
      <c r="J238" s="53"/>
      <c r="K238" s="53"/>
      <c r="L238" s="53"/>
      <c r="M238" s="663">
        <f>AVERAGE(B238:I238)</f>
        <v>0.1205639801690697</v>
      </c>
      <c r="N238" s="664" t="s">
        <v>668</v>
      </c>
      <c r="O238" s="17"/>
      <c r="P238" s="17"/>
    </row>
    <row r="239" spans="1:17" x14ac:dyDescent="0.2">
      <c r="A239" s="12" t="s">
        <v>669</v>
      </c>
      <c r="B239" s="27">
        <f>B236/(B235+B236)</f>
        <v>0.66682250964381407</v>
      </c>
      <c r="C239" s="27">
        <f t="shared" ref="C239:L239" si="8">C236/(C235+C236)</f>
        <v>0.64584342888780977</v>
      </c>
      <c r="D239" s="27">
        <f t="shared" si="8"/>
        <v>0.62048238491940388</v>
      </c>
      <c r="E239" s="27">
        <f t="shared" si="8"/>
        <v>0.62761100786390467</v>
      </c>
      <c r="F239" s="27">
        <f t="shared" si="8"/>
        <v>0.62936106420346738</v>
      </c>
      <c r="G239" s="27">
        <f t="shared" si="8"/>
        <v>0.63231422569195073</v>
      </c>
      <c r="H239" s="27">
        <f t="shared" si="8"/>
        <v>0.63345911269241872</v>
      </c>
      <c r="I239" s="27">
        <f t="shared" si="8"/>
        <v>0.63332607510108196</v>
      </c>
      <c r="J239" s="27">
        <f>J236/(J235+J236)</f>
        <v>0.6343332060041138</v>
      </c>
      <c r="K239" s="27">
        <f t="shared" si="8"/>
        <v>0.63533916342651253</v>
      </c>
      <c r="L239" s="27">
        <f t="shared" si="8"/>
        <v>0.63634393996333793</v>
      </c>
      <c r="M239" s="134"/>
      <c r="N239" s="665"/>
      <c r="O239" s="17"/>
      <c r="P239" s="17"/>
    </row>
    <row r="240" spans="1:17" ht="15" x14ac:dyDescent="0.25">
      <c r="A240" s="12" t="s">
        <v>670</v>
      </c>
      <c r="B240" s="133">
        <v>238.76042175293</v>
      </c>
      <c r="C240" s="64">
        <v>254.235229</v>
      </c>
      <c r="D240" s="656">
        <v>242.32740799999999</v>
      </c>
      <c r="E240" s="656">
        <v>253.949341</v>
      </c>
      <c r="F240" s="656">
        <v>263.08783</v>
      </c>
      <c r="G240" s="656">
        <v>271.47833300000002</v>
      </c>
      <c r="H240" s="656">
        <v>278.05593900000002</v>
      </c>
      <c r="I240" s="656">
        <v>282.41995200000002</v>
      </c>
      <c r="J240" s="511"/>
      <c r="K240" s="17"/>
      <c r="L240" s="17"/>
      <c r="M240" s="17"/>
      <c r="N240" s="17"/>
      <c r="O240" s="17"/>
      <c r="P240" s="17"/>
    </row>
    <row r="241" spans="1:20" ht="12.75" x14ac:dyDescent="0.2">
      <c r="A241" s="12" t="s">
        <v>671</v>
      </c>
      <c r="B241" s="133"/>
      <c r="C241" s="53">
        <v>206.328171</v>
      </c>
      <c r="D241" s="653">
        <v>199.05697599999999</v>
      </c>
      <c r="E241" s="653">
        <v>205.48741100000001</v>
      </c>
      <c r="F241" s="653">
        <v>210.385254</v>
      </c>
      <c r="G241" s="653">
        <v>213.90718100000001</v>
      </c>
      <c r="H241" s="653">
        <v>215.80641199999999</v>
      </c>
      <c r="I241" s="653">
        <v>215.47401400000001</v>
      </c>
      <c r="J241" s="511"/>
      <c r="K241" s="17"/>
      <c r="L241" s="17"/>
      <c r="M241" s="17"/>
      <c r="N241" s="17"/>
      <c r="O241" s="17"/>
      <c r="P241" s="17"/>
    </row>
    <row r="242" spans="1:20" ht="12.75" x14ac:dyDescent="0.2">
      <c r="A242" s="12" t="s">
        <v>672</v>
      </c>
      <c r="B242" s="133"/>
      <c r="C242" s="53">
        <v>47.907066</v>
      </c>
      <c r="D242" s="653">
        <v>43.270428000000003</v>
      </c>
      <c r="E242" s="653">
        <v>48.461933000000002</v>
      </c>
      <c r="F242" s="653">
        <v>52.702576000000001</v>
      </c>
      <c r="G242" s="653">
        <v>57.571167000000003</v>
      </c>
      <c r="H242" s="653">
        <v>62.249516</v>
      </c>
      <c r="I242" s="653">
        <v>66.945946000000006</v>
      </c>
      <c r="J242" s="511"/>
      <c r="K242" s="17"/>
      <c r="L242" s="17"/>
      <c r="M242" s="17"/>
      <c r="N242" s="17"/>
      <c r="O242" s="17"/>
      <c r="P242" s="17"/>
    </row>
    <row r="243" spans="1:20" ht="12.75" x14ac:dyDescent="0.2">
      <c r="B243" s="133"/>
      <c r="D243" s="666"/>
      <c r="E243" s="666"/>
      <c r="F243" s="666"/>
      <c r="G243" s="666"/>
      <c r="H243" s="666"/>
      <c r="I243" s="666"/>
      <c r="J243" s="511"/>
      <c r="K243" s="17"/>
      <c r="L243" s="17"/>
      <c r="M243" s="17"/>
      <c r="N243" s="17"/>
      <c r="O243" s="17"/>
      <c r="P243" s="17"/>
    </row>
    <row r="244" spans="1:20" ht="12.75" x14ac:dyDescent="0.2">
      <c r="A244" s="12" t="s">
        <v>673</v>
      </c>
      <c r="B244" s="133">
        <v>150.99998474121099</v>
      </c>
      <c r="C244" s="53">
        <v>140</v>
      </c>
      <c r="D244" s="653">
        <v>118.059967</v>
      </c>
      <c r="E244" s="653">
        <v>120.06572</v>
      </c>
      <c r="F244" s="653">
        <v>119.96706399999999</v>
      </c>
      <c r="G244" s="653">
        <v>121.44622</v>
      </c>
      <c r="H244" s="653">
        <v>121.83532700000001</v>
      </c>
      <c r="I244" s="653">
        <v>122.65640999999999</v>
      </c>
      <c r="J244" s="511"/>
      <c r="K244" s="17"/>
      <c r="L244" s="17"/>
      <c r="M244" s="17"/>
      <c r="N244" s="17"/>
      <c r="O244" s="17"/>
      <c r="P244" s="17"/>
    </row>
    <row r="245" spans="1:20" ht="12.75" x14ac:dyDescent="0.2">
      <c r="A245" s="12" t="s">
        <v>674</v>
      </c>
      <c r="B245" s="133">
        <v>601.73669433593795</v>
      </c>
      <c r="C245" s="53">
        <v>647.27655000000004</v>
      </c>
      <c r="D245" s="653">
        <v>707.91821300000004</v>
      </c>
      <c r="E245" s="653">
        <v>741.00201400000003</v>
      </c>
      <c r="F245" s="653">
        <v>764.92065400000001</v>
      </c>
      <c r="G245" s="653">
        <v>819.284851</v>
      </c>
      <c r="H245" s="653">
        <v>834.17938200000003</v>
      </c>
      <c r="I245" s="653">
        <v>846.31488000000002</v>
      </c>
      <c r="J245" s="511"/>
      <c r="K245" s="17"/>
      <c r="L245" s="17"/>
      <c r="M245" s="17"/>
      <c r="N245" s="17"/>
      <c r="O245" s="17"/>
      <c r="P245" s="17"/>
    </row>
    <row r="246" spans="1:20" ht="12.75" x14ac:dyDescent="0.2">
      <c r="B246" s="53"/>
      <c r="D246" s="666"/>
      <c r="E246" s="666"/>
      <c r="F246" s="666"/>
      <c r="G246" s="666"/>
      <c r="H246" s="666"/>
      <c r="I246" s="666"/>
      <c r="J246" s="511"/>
      <c r="K246" s="17"/>
      <c r="L246" s="17"/>
      <c r="M246" s="17"/>
      <c r="N246" s="17"/>
      <c r="O246" s="17"/>
      <c r="P246" s="17"/>
    </row>
    <row r="247" spans="1:20" ht="15" x14ac:dyDescent="0.25">
      <c r="A247" s="12" t="s">
        <v>675</v>
      </c>
      <c r="B247" s="133">
        <v>1972.51159667969</v>
      </c>
      <c r="C247" s="64">
        <v>2106.578125</v>
      </c>
      <c r="D247" s="656">
        <v>2010.980957</v>
      </c>
      <c r="E247" s="656">
        <v>2054.6286620000001</v>
      </c>
      <c r="F247" s="656">
        <v>2108.9658199999999</v>
      </c>
      <c r="G247" s="656">
        <v>2220.2490229999999</v>
      </c>
      <c r="H247" s="656">
        <v>2292.8022460000002</v>
      </c>
      <c r="I247" s="656">
        <v>2365.4570309999999</v>
      </c>
      <c r="J247" s="511"/>
      <c r="K247" s="17"/>
      <c r="L247" s="17"/>
      <c r="M247" s="17"/>
      <c r="N247" s="17"/>
      <c r="O247" s="17"/>
      <c r="P247" s="17"/>
    </row>
    <row r="248" spans="1:20" x14ac:dyDescent="0.2">
      <c r="I248" s="134"/>
      <c r="J248" s="511"/>
      <c r="K248" s="17"/>
      <c r="L248" s="17"/>
      <c r="M248" s="17"/>
      <c r="N248" s="17"/>
      <c r="O248" s="17"/>
      <c r="P248" s="17"/>
    </row>
    <row r="249" spans="1:20" ht="15" x14ac:dyDescent="0.25">
      <c r="A249" s="12" t="s">
        <v>676</v>
      </c>
      <c r="B249" s="133">
        <v>27899.853515625</v>
      </c>
      <c r="C249" s="64">
        <v>27586.464843999998</v>
      </c>
      <c r="D249" s="656">
        <v>26716.158202999999</v>
      </c>
      <c r="E249" s="656">
        <v>26413.951172000001</v>
      </c>
      <c r="F249" s="656">
        <v>25607.609375</v>
      </c>
      <c r="G249" s="656">
        <v>25092.625</v>
      </c>
      <c r="H249" s="656">
        <v>25111.738281000002</v>
      </c>
      <c r="I249" s="656">
        <v>25513.041015999999</v>
      </c>
      <c r="J249" s="511"/>
      <c r="K249" s="17"/>
      <c r="L249" s="17"/>
      <c r="M249" s="17"/>
      <c r="N249" s="17"/>
      <c r="O249" s="17"/>
      <c r="P249" s="17"/>
    </row>
    <row r="252" spans="1:20" ht="12.75" x14ac:dyDescent="0.2">
      <c r="A252" s="1" t="s">
        <v>677</v>
      </c>
    </row>
    <row r="253" spans="1:20" ht="15" x14ac:dyDescent="0.25">
      <c r="A253" s="58" t="s">
        <v>678</v>
      </c>
      <c r="N253" s="667"/>
      <c r="O253" s="668"/>
      <c r="P253" s="668"/>
      <c r="Q253" s="668"/>
      <c r="R253" s="668"/>
      <c r="S253" s="668"/>
      <c r="T253" s="668"/>
    </row>
    <row r="254" spans="1:20" ht="12.75" x14ac:dyDescent="0.2">
      <c r="B254" s="12" t="s">
        <v>533</v>
      </c>
      <c r="J254" s="59"/>
      <c r="K254" s="59" t="s">
        <v>679</v>
      </c>
      <c r="N254" s="669"/>
      <c r="O254"/>
      <c r="P254"/>
      <c r="Q254"/>
      <c r="R254"/>
      <c r="S254"/>
      <c r="T254"/>
    </row>
    <row r="255" spans="1:20" ht="15" x14ac:dyDescent="0.25">
      <c r="A255"/>
      <c r="B255" s="12">
        <v>2005</v>
      </c>
      <c r="C255" s="12">
        <v>2010</v>
      </c>
      <c r="D255" s="12">
        <v>2015</v>
      </c>
      <c r="E255" s="12">
        <v>2020</v>
      </c>
      <c r="F255" s="12">
        <v>2025</v>
      </c>
      <c r="G255" s="12">
        <v>2030</v>
      </c>
      <c r="H255" s="12">
        <v>2035</v>
      </c>
      <c r="I255" s="12">
        <v>2040</v>
      </c>
      <c r="J255" s="59"/>
      <c r="K255" s="59">
        <v>2035</v>
      </c>
      <c r="N255" s="670"/>
      <c r="O255"/>
      <c r="P255"/>
      <c r="Q255"/>
      <c r="R255"/>
      <c r="S255"/>
      <c r="T255"/>
    </row>
    <row r="256" spans="1:20" ht="15" x14ac:dyDescent="0.25">
      <c r="A256" s="111" t="s">
        <v>680</v>
      </c>
      <c r="N256" s="670"/>
      <c r="O256"/>
      <c r="P256"/>
      <c r="Q256"/>
      <c r="R256"/>
      <c r="S256"/>
      <c r="T256"/>
    </row>
    <row r="257" spans="1:20" ht="15" x14ac:dyDescent="0.25">
      <c r="A257" s="111" t="s">
        <v>681</v>
      </c>
      <c r="N257" s="670"/>
      <c r="O257"/>
      <c r="P257"/>
      <c r="Q257"/>
      <c r="R257"/>
      <c r="S257"/>
      <c r="T257"/>
    </row>
    <row r="258" spans="1:20" ht="12.75" x14ac:dyDescent="0.2">
      <c r="A258" s="111" t="s">
        <v>682</v>
      </c>
      <c r="N258" s="669"/>
      <c r="O258" s="671"/>
      <c r="P258" s="671"/>
      <c r="Q258" s="671"/>
      <c r="R258" s="671"/>
      <c r="S258" s="671"/>
      <c r="T258" s="671"/>
    </row>
    <row r="259" spans="1:20" ht="12.75" x14ac:dyDescent="0.2">
      <c r="A259" s="111" t="s">
        <v>683</v>
      </c>
      <c r="B259" s="460">
        <v>2687.05810546875</v>
      </c>
      <c r="C259" s="12">
        <v>2662</v>
      </c>
      <c r="D259" s="672">
        <v>2717.0371089999999</v>
      </c>
      <c r="E259" s="672">
        <v>2850.9252929999998</v>
      </c>
      <c r="F259" s="672">
        <v>2977.2258299999999</v>
      </c>
      <c r="G259" s="672">
        <v>3138.2302249999998</v>
      </c>
      <c r="H259" s="672">
        <v>3302.7231449999999</v>
      </c>
      <c r="I259" s="672">
        <v>3433.77124</v>
      </c>
      <c r="J259" s="673"/>
      <c r="K259" s="134"/>
      <c r="N259" s="669"/>
      <c r="O259" s="671"/>
      <c r="P259" s="671"/>
      <c r="Q259" s="671"/>
      <c r="R259" s="671"/>
      <c r="S259" s="671"/>
      <c r="T259" s="671"/>
    </row>
    <row r="260" spans="1:20" ht="12.75" x14ac:dyDescent="0.2">
      <c r="A260" s="111" t="s">
        <v>684</v>
      </c>
      <c r="B260" s="460">
        <v>68.601478576660199</v>
      </c>
      <c r="C260" s="12">
        <v>64</v>
      </c>
      <c r="D260" s="672">
        <v>68.422759999999997</v>
      </c>
      <c r="E260" s="672">
        <v>75.933967999999993</v>
      </c>
      <c r="F260" s="672">
        <v>82.905579000000003</v>
      </c>
      <c r="G260" s="672">
        <v>89.853836000000001</v>
      </c>
      <c r="H260" s="672">
        <v>96.334641000000005</v>
      </c>
      <c r="I260" s="672">
        <v>102.842247</v>
      </c>
      <c r="J260" s="673"/>
      <c r="K260" s="134">
        <f>((I260/G260)^0.1-1)*0.9</f>
        <v>1.2233470728501783E-2</v>
      </c>
      <c r="N260" s="669"/>
      <c r="O260" s="671"/>
      <c r="P260" s="671"/>
      <c r="Q260" s="671"/>
      <c r="R260" s="671"/>
      <c r="S260" s="671"/>
      <c r="T260" s="671"/>
    </row>
    <row r="261" spans="1:20" ht="15" x14ac:dyDescent="0.25">
      <c r="A261" s="111" t="s">
        <v>685</v>
      </c>
      <c r="B261" s="460">
        <f>B18</f>
        <v>49.381179809570298</v>
      </c>
      <c r="C261" s="15">
        <f>G18</f>
        <v>59.063704999999999</v>
      </c>
      <c r="D261" s="15">
        <f>L18</f>
        <v>74.015288999999996</v>
      </c>
      <c r="E261" s="15">
        <f>Q18</f>
        <v>80.757277999999999</v>
      </c>
      <c r="F261" s="15">
        <f>V18</f>
        <v>86.015427000000003</v>
      </c>
      <c r="G261" s="15">
        <f>AA18</f>
        <v>88.763779</v>
      </c>
      <c r="H261" s="15">
        <f>AF18</f>
        <v>91.914139000000006</v>
      </c>
      <c r="I261" s="15">
        <f>H261*H261/G261</f>
        <v>95.176310013922702</v>
      </c>
      <c r="J261" s="641"/>
      <c r="K261" s="134">
        <f>((H261/F261)^0.1-1)*0.5</f>
        <v>3.3274332174152432E-3</v>
      </c>
      <c r="N261" s="670"/>
      <c r="O261"/>
      <c r="P261"/>
      <c r="Q261"/>
      <c r="R261"/>
      <c r="S261"/>
      <c r="T261"/>
    </row>
    <row r="262" spans="1:20" ht="12.75" x14ac:dyDescent="0.2">
      <c r="A262" s="111" t="s">
        <v>686</v>
      </c>
      <c r="B262" s="460">
        <f>B24</f>
        <v>179.00827026367199</v>
      </c>
      <c r="C262" s="15">
        <f>G24</f>
        <v>174.708359</v>
      </c>
      <c r="D262" s="672">
        <v>274.53289799999999</v>
      </c>
      <c r="E262" s="672">
        <v>309.59799199999998</v>
      </c>
      <c r="F262" s="672">
        <v>338.696167</v>
      </c>
      <c r="G262" s="672">
        <v>361.94619799999998</v>
      </c>
      <c r="H262" s="672">
        <v>384.871216</v>
      </c>
      <c r="I262" s="672">
        <v>410.513306</v>
      </c>
      <c r="J262" s="641"/>
      <c r="K262" s="134">
        <f>((I262/G262)^0.1-1)*0.9</f>
        <v>1.1403792431774562E-2</v>
      </c>
      <c r="N262" s="669"/>
      <c r="O262" s="671"/>
      <c r="P262" s="671"/>
      <c r="Q262" s="671"/>
      <c r="R262" s="671"/>
      <c r="S262" s="671"/>
      <c r="T262" s="671"/>
    </row>
    <row r="263" spans="1:20" ht="15" x14ac:dyDescent="0.25">
      <c r="A263" s="111" t="s">
        <v>687</v>
      </c>
      <c r="N263" s="670"/>
      <c r="O263"/>
      <c r="P263"/>
      <c r="Q263"/>
      <c r="R263"/>
      <c r="S263"/>
      <c r="T263"/>
    </row>
    <row r="264" spans="1:20" ht="12.75" x14ac:dyDescent="0.2">
      <c r="A264" s="111" t="s">
        <v>688</v>
      </c>
      <c r="B264" s="460">
        <v>1028.64306640625</v>
      </c>
      <c r="C264" s="12">
        <v>999</v>
      </c>
      <c r="D264" s="672">
        <v>1020.053467</v>
      </c>
      <c r="E264" s="672">
        <v>1064.3248289999999</v>
      </c>
      <c r="F264" s="672">
        <v>1101.150513</v>
      </c>
      <c r="G264" s="672">
        <v>1134.899414</v>
      </c>
      <c r="H264" s="672">
        <v>1164.7761230000001</v>
      </c>
      <c r="I264" s="672">
        <v>1198.734375</v>
      </c>
      <c r="J264" s="673"/>
      <c r="K264" s="134">
        <f>((I264/G264)^0.1-1)*0.9</f>
        <v>4.9385058898685722E-3</v>
      </c>
      <c r="N264" s="669"/>
      <c r="O264" s="671"/>
      <c r="P264" s="671"/>
      <c r="Q264" s="671"/>
      <c r="R264" s="671"/>
      <c r="S264" s="671"/>
      <c r="T264" s="671"/>
    </row>
    <row r="265" spans="1:20" ht="12.75" x14ac:dyDescent="0.2">
      <c r="A265" s="111" t="s">
        <v>689</v>
      </c>
      <c r="N265" s="669"/>
      <c r="O265" s="671"/>
      <c r="P265" s="671"/>
      <c r="Q265" s="671"/>
      <c r="R265" s="671"/>
      <c r="S265" s="671"/>
      <c r="T265" s="671"/>
    </row>
    <row r="266" spans="1:20" ht="12.75" x14ac:dyDescent="0.2">
      <c r="A266" s="111" t="s">
        <v>690</v>
      </c>
      <c r="B266" s="460">
        <v>1587.57189941406</v>
      </c>
      <c r="C266" s="12">
        <v>1559</v>
      </c>
      <c r="D266" s="672">
        <v>1558.542236</v>
      </c>
      <c r="E266" s="672">
        <v>1623.826172</v>
      </c>
      <c r="F266" s="672">
        <v>1720.8376459999999</v>
      </c>
      <c r="G266" s="672">
        <v>1737.848755</v>
      </c>
      <c r="H266" s="672">
        <v>1737.373413</v>
      </c>
      <c r="I266" s="672">
        <v>1735.960327</v>
      </c>
      <c r="J266" s="673"/>
      <c r="K266" s="134">
        <f>((I266/G266)^0.1-1)*0.9</f>
        <v>-9.7846078352814564E-5</v>
      </c>
      <c r="N266" s="669"/>
      <c r="O266"/>
      <c r="P266"/>
      <c r="Q266"/>
      <c r="R266"/>
      <c r="S266"/>
      <c r="T266"/>
    </row>
    <row r="267" spans="1:20" ht="15" x14ac:dyDescent="0.25">
      <c r="A267" s="111" t="s">
        <v>691</v>
      </c>
      <c r="B267" s="460">
        <v>609.66827392578102</v>
      </c>
      <c r="C267" s="12">
        <v>522</v>
      </c>
      <c r="D267" s="672">
        <v>394.12048299999998</v>
      </c>
      <c r="E267" s="672">
        <v>390.13168300000001</v>
      </c>
      <c r="F267" s="672">
        <v>378.13439899999997</v>
      </c>
      <c r="G267" s="672">
        <v>368.623199</v>
      </c>
      <c r="H267" s="672">
        <v>366.77600100000001</v>
      </c>
      <c r="I267" s="672">
        <v>370.68676799999997</v>
      </c>
      <c r="J267" s="673"/>
      <c r="K267" s="134"/>
      <c r="N267" s="670"/>
      <c r="O267"/>
      <c r="P267"/>
      <c r="Q267"/>
      <c r="R267"/>
      <c r="S267"/>
      <c r="T267"/>
    </row>
    <row r="268" spans="1:20" ht="15" x14ac:dyDescent="0.25">
      <c r="N268" s="670"/>
      <c r="O268"/>
      <c r="P268"/>
      <c r="Q268"/>
      <c r="R268"/>
      <c r="S268"/>
      <c r="T268"/>
    </row>
    <row r="269" spans="1:20" ht="12.75" x14ac:dyDescent="0.2">
      <c r="N269" s="669"/>
      <c r="O269" s="671"/>
      <c r="P269" s="671"/>
      <c r="Q269" s="671"/>
      <c r="R269" s="671"/>
      <c r="S269" s="671"/>
      <c r="T269" s="671"/>
    </row>
    <row r="270" spans="1:20" ht="12.75" x14ac:dyDescent="0.2">
      <c r="A270" s="13" t="s">
        <v>692</v>
      </c>
      <c r="N270" s="669"/>
      <c r="O270" s="671"/>
      <c r="P270" s="671"/>
      <c r="Q270" s="671"/>
      <c r="R270" s="671"/>
      <c r="S270" s="671"/>
      <c r="T270" s="671"/>
    </row>
    <row r="271" spans="1:20" ht="12.75" x14ac:dyDescent="0.2">
      <c r="A271" s="13" t="s">
        <v>693</v>
      </c>
      <c r="N271" s="669"/>
      <c r="O271" s="671"/>
      <c r="P271" s="671"/>
      <c r="Q271" s="671"/>
      <c r="R271" s="671"/>
      <c r="S271" s="671"/>
      <c r="T271" s="671"/>
    </row>
    <row r="272" spans="1:20" ht="12.75" x14ac:dyDescent="0.2">
      <c r="N272" s="669"/>
      <c r="O272" s="671"/>
      <c r="P272" s="671"/>
      <c r="Q272" s="671"/>
      <c r="R272" s="671"/>
      <c r="S272" s="671"/>
      <c r="T272" s="671"/>
    </row>
    <row r="273" spans="1:20" ht="12.75" x14ac:dyDescent="0.2">
      <c r="A273" s="54" t="s">
        <v>694</v>
      </c>
      <c r="B273" s="13">
        <v>2007</v>
      </c>
      <c r="C273" s="13">
        <v>2010</v>
      </c>
      <c r="D273" s="13">
        <v>2015</v>
      </c>
      <c r="E273" s="13">
        <v>2020</v>
      </c>
      <c r="F273" s="13">
        <v>2025</v>
      </c>
      <c r="G273" s="13">
        <v>2030</v>
      </c>
      <c r="H273" s="13">
        <v>2035</v>
      </c>
      <c r="J273" s="13"/>
      <c r="N273" s="669"/>
      <c r="O273" s="671"/>
      <c r="P273" s="671"/>
      <c r="Q273" s="671"/>
      <c r="R273" s="671"/>
      <c r="S273" s="671"/>
      <c r="T273" s="671"/>
    </row>
    <row r="274" spans="1:20" ht="12.75" x14ac:dyDescent="0.2">
      <c r="A274" s="13" t="s">
        <v>695</v>
      </c>
      <c r="N274" s="669"/>
      <c r="O274" s="671"/>
      <c r="P274" s="671"/>
      <c r="Q274" s="671"/>
      <c r="R274" s="671"/>
      <c r="S274" s="671"/>
      <c r="T274" s="671"/>
    </row>
    <row r="275" spans="1:20" ht="12.75" x14ac:dyDescent="0.2">
      <c r="A275" s="12" t="s">
        <v>696</v>
      </c>
      <c r="B275" s="90">
        <v>2749.1499020000001</v>
      </c>
      <c r="C275" s="90">
        <v>2515.218018</v>
      </c>
      <c r="D275" s="674">
        <v>2522.5512699999999</v>
      </c>
      <c r="E275" s="674">
        <v>2597.2946780000002</v>
      </c>
      <c r="F275" s="674">
        <v>2654.389893</v>
      </c>
      <c r="G275" s="674">
        <v>2685.0234380000002</v>
      </c>
      <c r="H275" s="674">
        <v>2692.454346</v>
      </c>
      <c r="I275" s="674">
        <v>2700.6171880000002</v>
      </c>
      <c r="J275" s="147"/>
      <c r="N275" s="669"/>
      <c r="O275" s="671"/>
      <c r="P275" s="671"/>
      <c r="Q275" s="671"/>
      <c r="R275" s="671"/>
      <c r="S275" s="671"/>
      <c r="T275" s="671"/>
    </row>
    <row r="276" spans="1:20" ht="12.75" x14ac:dyDescent="0.2">
      <c r="A276" s="12" t="s">
        <v>697</v>
      </c>
      <c r="B276" s="90">
        <v>160.99749800000001</v>
      </c>
      <c r="C276" s="90">
        <v>150.446777</v>
      </c>
      <c r="D276" s="674">
        <v>145.64291399999999</v>
      </c>
      <c r="E276" s="674">
        <v>149.06256099999999</v>
      </c>
      <c r="F276" s="674">
        <v>151.727081</v>
      </c>
      <c r="G276" s="674">
        <v>153.164749</v>
      </c>
      <c r="H276" s="674">
        <v>153.510437</v>
      </c>
      <c r="I276" s="674">
        <v>153.89604199999999</v>
      </c>
      <c r="J276" s="147"/>
      <c r="N276" s="669"/>
      <c r="O276" s="671"/>
      <c r="P276" s="671"/>
      <c r="Q276" s="671"/>
      <c r="R276" s="671"/>
      <c r="S276" s="671"/>
      <c r="T276" s="671"/>
    </row>
    <row r="277" spans="1:20" ht="12.75" x14ac:dyDescent="0.2">
      <c r="A277" s="12" t="s">
        <v>698</v>
      </c>
      <c r="B277" s="90">
        <v>1621.741211</v>
      </c>
      <c r="C277" s="90">
        <v>1530.026001</v>
      </c>
      <c r="D277" s="674">
        <v>1573.6345209999999</v>
      </c>
      <c r="E277" s="674">
        <v>1613.6451420000001</v>
      </c>
      <c r="F277" s="674">
        <v>1635.189331</v>
      </c>
      <c r="G277" s="674">
        <v>1639.1573490000001</v>
      </c>
      <c r="H277" s="674">
        <v>1629.3066409999999</v>
      </c>
      <c r="I277" s="674">
        <v>1623.540405</v>
      </c>
      <c r="J277" s="147"/>
      <c r="N277" s="669"/>
      <c r="O277" s="671"/>
      <c r="P277" s="671"/>
      <c r="Q277" s="671"/>
      <c r="R277" s="671"/>
      <c r="S277" s="671"/>
      <c r="T277" s="671"/>
    </row>
    <row r="278" spans="1:20" ht="12.75" x14ac:dyDescent="0.2">
      <c r="A278" s="12" t="s">
        <v>699</v>
      </c>
      <c r="B278" s="90">
        <v>633.98150599999997</v>
      </c>
      <c r="C278" s="90">
        <v>679.248108</v>
      </c>
      <c r="D278" s="674">
        <v>647.64813200000003</v>
      </c>
      <c r="E278" s="674">
        <v>662.63433799999996</v>
      </c>
      <c r="F278" s="674">
        <v>669.68035899999995</v>
      </c>
      <c r="G278" s="674">
        <v>669.27874799999995</v>
      </c>
      <c r="H278" s="674">
        <v>663.137024</v>
      </c>
      <c r="I278" s="674">
        <v>659.785706</v>
      </c>
      <c r="J278" s="147"/>
      <c r="N278" s="669"/>
      <c r="O278" s="671"/>
      <c r="P278" s="671"/>
      <c r="Q278" s="671"/>
      <c r="R278" s="671"/>
      <c r="S278" s="671"/>
      <c r="T278" s="671"/>
    </row>
    <row r="279" spans="1:20" ht="12.75" x14ac:dyDescent="0.2">
      <c r="A279" s="12" t="s">
        <v>700</v>
      </c>
      <c r="B279" s="90">
        <v>332.429596</v>
      </c>
      <c r="C279" s="90">
        <v>155.497086</v>
      </c>
      <c r="D279" s="674">
        <v>155.62579299999999</v>
      </c>
      <c r="E279" s="674">
        <v>171.952744</v>
      </c>
      <c r="F279" s="674">
        <v>197.79315199999999</v>
      </c>
      <c r="G279" s="674">
        <v>223.422653</v>
      </c>
      <c r="H279" s="674">
        <v>246.50018299999999</v>
      </c>
      <c r="I279" s="674">
        <v>263.39505000000003</v>
      </c>
      <c r="J279" s="147"/>
      <c r="N279" s="669"/>
      <c r="O279" s="671"/>
      <c r="P279" s="671"/>
      <c r="Q279" s="671"/>
      <c r="R279" s="671"/>
      <c r="S279" s="671"/>
      <c r="T279" s="671"/>
    </row>
    <row r="280" spans="1:20" ht="12.75" x14ac:dyDescent="0.2">
      <c r="B280" s="90"/>
      <c r="N280" s="669"/>
      <c r="O280" s="671"/>
      <c r="P280" s="671"/>
      <c r="Q280" s="671"/>
      <c r="R280" s="671"/>
      <c r="S280" s="671"/>
      <c r="T280" s="671"/>
    </row>
    <row r="281" spans="1:20" ht="12.75" x14ac:dyDescent="0.2">
      <c r="A281" s="13" t="s">
        <v>701</v>
      </c>
      <c r="N281" s="669"/>
      <c r="O281" s="671"/>
      <c r="P281" s="671"/>
      <c r="Q281" s="671"/>
      <c r="R281" s="671"/>
      <c r="S281" s="671"/>
      <c r="T281" s="671"/>
    </row>
    <row r="282" spans="1:20" ht="12.75" x14ac:dyDescent="0.2">
      <c r="A282" s="12" t="s">
        <v>702</v>
      </c>
      <c r="C282" s="90">
        <f>C277+C278</f>
        <v>2209.274109</v>
      </c>
      <c r="N282" s="669"/>
      <c r="O282" s="671"/>
      <c r="P282" s="671"/>
      <c r="Q282" s="671"/>
      <c r="R282" s="671"/>
      <c r="S282" s="671"/>
      <c r="T282" s="671"/>
    </row>
    <row r="283" spans="1:20" ht="12.75" x14ac:dyDescent="0.2">
      <c r="A283" s="12" t="s">
        <v>703</v>
      </c>
      <c r="C283" s="90">
        <f>C279</f>
        <v>155.497086</v>
      </c>
      <c r="N283" s="669"/>
      <c r="O283" s="671"/>
      <c r="P283" s="671"/>
      <c r="Q283" s="671"/>
      <c r="R283" s="671"/>
      <c r="S283" s="671"/>
      <c r="T283" s="671"/>
    </row>
    <row r="284" spans="1:20" ht="12.75" x14ac:dyDescent="0.2">
      <c r="A284" s="12" t="s">
        <v>704</v>
      </c>
      <c r="C284" s="90">
        <f>C276-C195</f>
        <v>118.23853299999999</v>
      </c>
      <c r="N284" s="669"/>
      <c r="O284" s="671"/>
      <c r="P284" s="671"/>
      <c r="Q284" s="671"/>
      <c r="R284" s="671"/>
      <c r="S284" s="671"/>
      <c r="T284" s="671"/>
    </row>
    <row r="285" spans="1:20" ht="15" x14ac:dyDescent="0.25">
      <c r="A285" s="59" t="s">
        <v>705</v>
      </c>
      <c r="C285" s="90">
        <f>SUM(C282:C284)</f>
        <v>2483.009728</v>
      </c>
      <c r="N285" s="670"/>
      <c r="O285"/>
      <c r="P285"/>
      <c r="Q285"/>
      <c r="R285"/>
      <c r="S285"/>
      <c r="T285"/>
    </row>
    <row r="286" spans="1:20" ht="12.75" x14ac:dyDescent="0.2">
      <c r="A286"/>
      <c r="N286" s="669"/>
      <c r="O286" s="671"/>
      <c r="P286" s="671"/>
      <c r="Q286" s="671"/>
      <c r="R286" s="671"/>
      <c r="S286" s="671"/>
      <c r="T286" s="671"/>
    </row>
    <row r="287" spans="1:20" ht="15" x14ac:dyDescent="0.25">
      <c r="N287" s="670"/>
      <c r="O287"/>
      <c r="P287"/>
      <c r="Q287"/>
      <c r="R287"/>
      <c r="S287"/>
      <c r="T287"/>
    </row>
    <row r="288" spans="1:20" ht="12.75" x14ac:dyDescent="0.2">
      <c r="A288" s="12" t="s">
        <v>612</v>
      </c>
      <c r="N288" s="669"/>
      <c r="O288" s="671"/>
      <c r="P288" s="671"/>
      <c r="Q288" s="671"/>
      <c r="R288" s="671"/>
      <c r="S288" s="671"/>
      <c r="T288" s="671"/>
    </row>
    <row r="289" spans="1:22" ht="12.75" x14ac:dyDescent="0.2">
      <c r="A289" s="12" t="s">
        <v>613</v>
      </c>
      <c r="K289" s="12" t="s">
        <v>614</v>
      </c>
      <c r="N289" s="669"/>
      <c r="O289" s="671"/>
      <c r="P289" s="671"/>
      <c r="Q289" s="671"/>
      <c r="R289" s="671"/>
      <c r="S289" s="671"/>
      <c r="T289" s="671"/>
    </row>
    <row r="290" spans="1:22" ht="12.75" x14ac:dyDescent="0.2">
      <c r="A290" s="12" t="s">
        <v>615</v>
      </c>
      <c r="K290" s="12" t="s">
        <v>616</v>
      </c>
      <c r="N290" s="669"/>
      <c r="O290"/>
      <c r="P290"/>
      <c r="Q290"/>
      <c r="R290"/>
      <c r="S290"/>
      <c r="T290"/>
      <c r="V290" s="12" t="s">
        <v>617</v>
      </c>
    </row>
    <row r="291" spans="1:22" ht="15" x14ac:dyDescent="0.25">
      <c r="K291" s="12" t="s">
        <v>618</v>
      </c>
      <c r="N291" s="670"/>
      <c r="O291"/>
      <c r="P291"/>
      <c r="Q291"/>
      <c r="R291"/>
      <c r="S291"/>
      <c r="T291"/>
    </row>
    <row r="292" spans="1:22" ht="15" x14ac:dyDescent="0.25">
      <c r="B292" s="12" t="s">
        <v>533</v>
      </c>
      <c r="J292" s="12" t="s">
        <v>619</v>
      </c>
      <c r="K292" s="12" t="s">
        <v>620</v>
      </c>
      <c r="L292" s="12" t="s">
        <v>621</v>
      </c>
      <c r="N292" s="670"/>
      <c r="O292"/>
      <c r="P292"/>
      <c r="Q292"/>
      <c r="R292"/>
      <c r="S292"/>
      <c r="T292"/>
    </row>
    <row r="293" spans="1:22" ht="12.75" x14ac:dyDescent="0.2">
      <c r="A293" s="12" t="s">
        <v>622</v>
      </c>
      <c r="B293" s="12">
        <v>2005</v>
      </c>
      <c r="C293" s="12">
        <v>2010</v>
      </c>
      <c r="D293" s="12">
        <v>2015</v>
      </c>
      <c r="E293" s="12">
        <v>2020</v>
      </c>
      <c r="F293" s="12">
        <v>2025</v>
      </c>
      <c r="G293" s="12">
        <v>2030</v>
      </c>
      <c r="H293" s="12">
        <v>2035</v>
      </c>
      <c r="I293" s="12">
        <v>2040</v>
      </c>
      <c r="J293" s="12">
        <v>2035</v>
      </c>
      <c r="K293" s="12">
        <v>2010</v>
      </c>
      <c r="L293" s="12">
        <v>2010</v>
      </c>
      <c r="M293" s="12">
        <v>2015</v>
      </c>
      <c r="N293" s="669">
        <v>2020</v>
      </c>
      <c r="O293" s="671">
        <v>2025</v>
      </c>
      <c r="P293" s="671">
        <v>2030</v>
      </c>
      <c r="Q293" s="671">
        <v>2035</v>
      </c>
      <c r="R293" s="671"/>
      <c r="S293" s="671"/>
      <c r="T293" s="671"/>
    </row>
    <row r="294" spans="1:22" ht="12.75" x14ac:dyDescent="0.2">
      <c r="A294" s="12" t="s">
        <v>623</v>
      </c>
      <c r="N294" s="669"/>
      <c r="O294" s="671"/>
      <c r="P294" s="671"/>
      <c r="Q294" s="671"/>
      <c r="R294" s="671"/>
      <c r="S294" s="671"/>
      <c r="T294" s="671"/>
    </row>
    <row r="295" spans="1:22" ht="12.75" x14ac:dyDescent="0.2">
      <c r="A295" s="12" t="s">
        <v>624</v>
      </c>
      <c r="B295" s="12">
        <f>C295*(1-J295)^5</f>
        <v>342.79252868729344</v>
      </c>
      <c r="C295" s="12">
        <v>343.58032200000002</v>
      </c>
      <c r="D295" s="12">
        <v>546.331909</v>
      </c>
      <c r="E295" s="12">
        <v>524.68951400000003</v>
      </c>
      <c r="F295" s="12">
        <v>476.58239700000001</v>
      </c>
      <c r="G295" s="12">
        <v>439.58340500000003</v>
      </c>
      <c r="H295" s="12">
        <v>428.10925300000002</v>
      </c>
      <c r="I295" s="12">
        <v>428.98358200000001</v>
      </c>
      <c r="J295" s="12">
        <v>4.5899999999999999E-4</v>
      </c>
      <c r="K295" s="12">
        <f>C295/C297</f>
        <v>0.62013244206582163</v>
      </c>
      <c r="L295" s="12">
        <v>0.57463963472759749</v>
      </c>
      <c r="M295" s="12">
        <f>D295/D297</f>
        <v>0.68372281415056912</v>
      </c>
      <c r="N295" s="669">
        <f>E295/E297</f>
        <v>0.6360865137960241</v>
      </c>
      <c r="O295" s="671">
        <f>F295/F297</f>
        <v>0.60471320449999677</v>
      </c>
      <c r="P295" s="671">
        <f>G295/G297</f>
        <v>0.58568121591701439</v>
      </c>
      <c r="Q295" s="671">
        <f>H295/H297</f>
        <v>0.56893874693974611</v>
      </c>
      <c r="R295" s="671"/>
      <c r="S295" s="671"/>
      <c r="T295" s="671"/>
    </row>
    <row r="296" spans="1:22" ht="12.75" x14ac:dyDescent="0.2">
      <c r="A296" s="12" t="s">
        <v>625</v>
      </c>
      <c r="B296" s="12">
        <f>C296*(1-J296)^5</f>
        <v>201.35923301398378</v>
      </c>
      <c r="C296" s="12">
        <v>210.46313499999999</v>
      </c>
      <c r="D296" s="12">
        <v>252.72276299999999</v>
      </c>
      <c r="E296" s="12">
        <v>300.18179300000003</v>
      </c>
      <c r="F296" s="12">
        <v>311.53070100000002</v>
      </c>
      <c r="G296" s="12">
        <v>310.96722399999999</v>
      </c>
      <c r="H296" s="12">
        <v>324.36059599999999</v>
      </c>
      <c r="I296" s="12">
        <v>341.24511699999999</v>
      </c>
      <c r="J296" s="12">
        <v>8.8050000000000003E-3</v>
      </c>
      <c r="K296" s="12">
        <f>C296/C297</f>
        <v>0.37986755793417842</v>
      </c>
      <c r="L296" s="12">
        <f>1-L295</f>
        <v>0.42536036527240251</v>
      </c>
      <c r="M296" s="12">
        <f>D296/D297</f>
        <v>0.31627718584943082</v>
      </c>
      <c r="N296" s="669">
        <f>E296/E297</f>
        <v>0.36391348620397579</v>
      </c>
      <c r="O296" s="671">
        <f>F296/F297</f>
        <v>0.39528679550000323</v>
      </c>
      <c r="P296" s="671">
        <f>G296/G297</f>
        <v>0.4143187840829855</v>
      </c>
      <c r="Q296" s="671">
        <f>H296/H297</f>
        <v>0.43106125306025378</v>
      </c>
      <c r="R296" s="671">
        <f>Q296+$J296</f>
        <v>0.43986625306025379</v>
      </c>
      <c r="S296" s="671">
        <f>R296+$J296</f>
        <v>0.44867125306025379</v>
      </c>
      <c r="T296" s="671">
        <f>S296+$J296</f>
        <v>0.4574762530602538</v>
      </c>
      <c r="U296" s="12">
        <f>T296+$J296</f>
        <v>0.46628125306025381</v>
      </c>
    </row>
    <row r="297" spans="1:22" ht="12.75" x14ac:dyDescent="0.2">
      <c r="A297" s="12" t="s">
        <v>626</v>
      </c>
      <c r="C297" s="12">
        <v>554.04345699999999</v>
      </c>
      <c r="D297" s="12">
        <f t="shared" ref="D297:I297" si="9">SUM(D295:D296)</f>
        <v>799.05467199999998</v>
      </c>
      <c r="E297" s="12">
        <f t="shared" si="9"/>
        <v>824.87130700000012</v>
      </c>
      <c r="F297" s="12">
        <f t="shared" si="9"/>
        <v>788.11309800000004</v>
      </c>
      <c r="G297" s="12">
        <f t="shared" si="9"/>
        <v>750.55062900000007</v>
      </c>
      <c r="H297" s="12">
        <f t="shared" si="9"/>
        <v>752.46984900000007</v>
      </c>
      <c r="I297" s="12">
        <f t="shared" si="9"/>
        <v>770.22869900000001</v>
      </c>
      <c r="J297" s="12">
        <v>3.8279999999999998E-3</v>
      </c>
      <c r="N297" s="669"/>
      <c r="O297" s="671"/>
      <c r="P297" s="671"/>
      <c r="Q297" s="671"/>
      <c r="R297" s="671"/>
      <c r="S297" s="671"/>
      <c r="T297" s="671"/>
    </row>
    <row r="298" spans="1:22" ht="12.75" x14ac:dyDescent="0.2">
      <c r="N298" s="669"/>
      <c r="O298" s="671"/>
      <c r="P298" s="671"/>
      <c r="Q298" s="671"/>
      <c r="R298" s="671"/>
      <c r="S298" s="671"/>
      <c r="T298" s="671"/>
    </row>
    <row r="299" spans="1:22" ht="12.75" x14ac:dyDescent="0.2">
      <c r="A299" s="12" t="s">
        <v>627</v>
      </c>
      <c r="K299" s="12">
        <v>2010</v>
      </c>
      <c r="L299" s="12">
        <v>2010</v>
      </c>
      <c r="M299" s="12">
        <v>2015</v>
      </c>
      <c r="N299" s="669">
        <v>2020</v>
      </c>
      <c r="O299" s="671">
        <v>2025</v>
      </c>
      <c r="P299" s="671">
        <v>2030</v>
      </c>
      <c r="Q299" s="671">
        <v>2035</v>
      </c>
      <c r="R299" s="671">
        <v>2040</v>
      </c>
      <c r="S299" s="671"/>
      <c r="T299" s="671"/>
    </row>
    <row r="300" spans="1:22" ht="12.75" x14ac:dyDescent="0.2">
      <c r="A300" s="12" t="s">
        <v>624</v>
      </c>
      <c r="B300" s="12">
        <v>352.51336700000002</v>
      </c>
      <c r="C300" s="12">
        <v>365.00396699999999</v>
      </c>
      <c r="D300" s="12">
        <v>486.18136600000003</v>
      </c>
      <c r="E300" s="12">
        <v>478.84823599999999</v>
      </c>
      <c r="F300" s="12">
        <v>529.33685300000002</v>
      </c>
      <c r="G300" s="12">
        <v>562.59393299999999</v>
      </c>
      <c r="H300" s="12">
        <v>603.49444600000004</v>
      </c>
      <c r="I300" s="12">
        <v>641.78515600000003</v>
      </c>
      <c r="J300" s="12">
        <v>-2.4710000000000001E-3</v>
      </c>
      <c r="K300" s="12">
        <f>C300/C304</f>
        <v>7.5689776181924864E-2</v>
      </c>
      <c r="N300" s="669"/>
      <c r="O300" s="671"/>
      <c r="P300" s="671"/>
      <c r="Q300" s="671">
        <f t="shared" ref="Q300:R303" si="10">H300/H$304</f>
        <v>9.2574808938519909E-2</v>
      </c>
      <c r="R300" s="671">
        <f t="shared" si="10"/>
        <v>9.1881365360516901E-2</v>
      </c>
      <c r="S300" s="671"/>
      <c r="T300" s="671"/>
    </row>
    <row r="301" spans="1:22" ht="12.75" x14ac:dyDescent="0.2">
      <c r="A301" s="12" t="s">
        <v>628</v>
      </c>
      <c r="B301" s="12">
        <v>4629.5581050000001</v>
      </c>
      <c r="C301" s="12">
        <v>4426.1684569999998</v>
      </c>
      <c r="D301" s="12">
        <v>5043.2729490000002</v>
      </c>
      <c r="E301" s="12">
        <v>5246.1210940000001</v>
      </c>
      <c r="F301" s="12">
        <v>5395.3496089999999</v>
      </c>
      <c r="G301" s="12">
        <v>5548.8007809999999</v>
      </c>
      <c r="H301" s="12">
        <v>5782.6938479999999</v>
      </c>
      <c r="I301" s="12">
        <v>5989.1611329999996</v>
      </c>
      <c r="J301" s="12">
        <v>8.1600000000000006E-3</v>
      </c>
      <c r="K301" s="12">
        <f>C301/C304</f>
        <v>0.91784125692482055</v>
      </c>
      <c r="N301" s="669"/>
      <c r="O301" s="671"/>
      <c r="P301" s="671"/>
      <c r="Q301" s="671">
        <f t="shared" si="10"/>
        <v>0.88705336341828478</v>
      </c>
      <c r="R301" s="671">
        <f t="shared" si="10"/>
        <v>0.8574400593711774</v>
      </c>
      <c r="S301" s="671"/>
      <c r="T301" s="671"/>
    </row>
    <row r="302" spans="1:22" ht="12.75" x14ac:dyDescent="0.2">
      <c r="A302" s="12" t="s">
        <v>629</v>
      </c>
      <c r="B302" s="12">
        <v>7.8377850000000002</v>
      </c>
      <c r="C302" s="12">
        <v>10.027866</v>
      </c>
      <c r="D302" s="12">
        <v>34.852061999999997</v>
      </c>
      <c r="E302" s="12">
        <v>33.557220000000001</v>
      </c>
      <c r="F302" s="12">
        <v>34.423740000000002</v>
      </c>
      <c r="G302" s="12">
        <v>46.298366999999999</v>
      </c>
      <c r="H302" s="12">
        <v>126.525589</v>
      </c>
      <c r="I302" s="12">
        <v>342.07330300000001</v>
      </c>
      <c r="J302" s="12">
        <v>6.9750999999999994E-2</v>
      </c>
      <c r="K302" s="12">
        <f>C302/C304</f>
        <v>2.0794484491790037E-3</v>
      </c>
      <c r="M302" s="12">
        <f>D302/D304</f>
        <v>6.2625795571812585E-3</v>
      </c>
      <c r="N302" s="669">
        <f>E302/E304</f>
        <v>5.826255499626112E-3</v>
      </c>
      <c r="O302" s="671">
        <f>F302/F304</f>
        <v>5.7749268537851499E-3</v>
      </c>
      <c r="P302" s="671">
        <f>G302/G304</f>
        <v>7.5149051011475423E-3</v>
      </c>
      <c r="Q302" s="671">
        <f t="shared" si="10"/>
        <v>1.9408765573807277E-2</v>
      </c>
      <c r="R302" s="671">
        <f t="shared" si="10"/>
        <v>4.8973027560989278E-2</v>
      </c>
      <c r="S302" s="671"/>
      <c r="T302" s="671"/>
    </row>
    <row r="303" spans="1:22" ht="12.75" x14ac:dyDescent="0.2">
      <c r="A303" s="12" t="s">
        <v>630</v>
      </c>
      <c r="B303" s="12">
        <v>22.895313000000002</v>
      </c>
      <c r="C303" s="12">
        <v>21.167767999999999</v>
      </c>
      <c r="D303" s="12">
        <v>0.82244600000000001</v>
      </c>
      <c r="E303" s="12">
        <v>1.128172</v>
      </c>
      <c r="F303" s="12">
        <v>1.7860780000000001</v>
      </c>
      <c r="G303" s="12">
        <v>3.1787299999999998</v>
      </c>
      <c r="H303" s="12">
        <v>6.2781940000000001</v>
      </c>
      <c r="I303" s="12">
        <v>11.913136</v>
      </c>
      <c r="J303" s="12">
        <v>4.2770000000000004E-3</v>
      </c>
      <c r="K303" s="12">
        <f>C303/C304</f>
        <v>4.3894964631738132E-3</v>
      </c>
      <c r="M303" s="12">
        <f>D303/D304</f>
        <v>1.4778561757652954E-4</v>
      </c>
      <c r="N303" s="669">
        <f>E303/E304</f>
        <v>1.9587493599065089E-4</v>
      </c>
      <c r="O303" s="671">
        <f>F303/F304</f>
        <v>2.9963245728543362E-4</v>
      </c>
      <c r="P303" s="671">
        <f>G303/G304</f>
        <v>5.1595457550739803E-4</v>
      </c>
      <c r="Q303" s="671">
        <f t="shared" si="10"/>
        <v>9.6306206938806191E-4</v>
      </c>
      <c r="R303" s="671">
        <f t="shared" si="10"/>
        <v>1.7055477073164447E-3</v>
      </c>
      <c r="S303" s="671"/>
      <c r="T303" s="671"/>
    </row>
    <row r="304" spans="1:22" ht="12.75" x14ac:dyDescent="0.2">
      <c r="A304" s="12" t="s">
        <v>631</v>
      </c>
      <c r="B304" s="12">
        <v>4744.677734375</v>
      </c>
      <c r="C304" s="12">
        <v>4822.3681640000004</v>
      </c>
      <c r="D304" s="12">
        <f t="shared" ref="D304:I304" si="11">SUM(D300:D303)</f>
        <v>5565.128823</v>
      </c>
      <c r="E304" s="12">
        <f t="shared" si="11"/>
        <v>5759.6547219999993</v>
      </c>
      <c r="F304" s="12">
        <f t="shared" si="11"/>
        <v>5960.8962799999999</v>
      </c>
      <c r="G304" s="12">
        <f t="shared" si="11"/>
        <v>6160.871811</v>
      </c>
      <c r="H304" s="12">
        <f t="shared" si="11"/>
        <v>6518.9920769999999</v>
      </c>
      <c r="I304" s="12">
        <f t="shared" si="11"/>
        <v>6984.9327279999998</v>
      </c>
      <c r="J304" s="12">
        <v>7.7159999999999998E-3</v>
      </c>
      <c r="K304" s="12">
        <f>SUM(K300:K303)</f>
        <v>0.99999997801909812</v>
      </c>
      <c r="N304" s="669"/>
      <c r="O304" s="671"/>
      <c r="P304" s="671"/>
      <c r="Q304" s="671"/>
      <c r="R304" s="671"/>
      <c r="S304" s="671"/>
      <c r="T304" s="671"/>
    </row>
    <row r="305" spans="1:20" ht="12.75" x14ac:dyDescent="0.2">
      <c r="N305" s="669"/>
      <c r="O305" s="671"/>
      <c r="P305" s="671"/>
      <c r="Q305" s="671"/>
      <c r="R305" s="671"/>
      <c r="S305" s="671"/>
      <c r="T305" s="671"/>
    </row>
    <row r="306" spans="1:20" ht="15" x14ac:dyDescent="0.25">
      <c r="A306" s="12" t="s">
        <v>632</v>
      </c>
      <c r="N306" s="670"/>
      <c r="O306" s="675"/>
      <c r="P306" s="675"/>
      <c r="Q306" s="675"/>
      <c r="R306" s="675"/>
      <c r="S306" s="675"/>
      <c r="T306" s="675"/>
    </row>
    <row r="307" spans="1:20" ht="12.75" x14ac:dyDescent="0.2">
      <c r="A307" s="12" t="s">
        <v>628</v>
      </c>
      <c r="B307" s="12">
        <v>545.03302001953102</v>
      </c>
      <c r="C307" s="12">
        <v>453.29324300000002</v>
      </c>
      <c r="D307" s="12">
        <v>481.83017000000001</v>
      </c>
      <c r="E307" s="12">
        <v>497.16394000000003</v>
      </c>
      <c r="F307" s="12">
        <v>505.82913200000002</v>
      </c>
      <c r="G307" s="12">
        <v>455.32061800000002</v>
      </c>
      <c r="H307" s="12">
        <v>400.34982300000001</v>
      </c>
      <c r="I307" s="12">
        <v>356.00891100000001</v>
      </c>
      <c r="J307" s="12">
        <v>6.3070000000000001E-3</v>
      </c>
      <c r="N307" s="669"/>
      <c r="O307"/>
      <c r="P307"/>
      <c r="Q307"/>
      <c r="R307"/>
      <c r="S307"/>
      <c r="T307"/>
    </row>
    <row r="308" spans="1:20" ht="15" x14ac:dyDescent="0.25">
      <c r="A308" s="12" t="s">
        <v>706</v>
      </c>
      <c r="D308" s="12">
        <v>0</v>
      </c>
      <c r="E308" s="12">
        <v>0</v>
      </c>
      <c r="F308" s="12">
        <v>0</v>
      </c>
      <c r="G308" s="12">
        <v>0</v>
      </c>
      <c r="H308" s="12">
        <v>0</v>
      </c>
      <c r="I308" s="12">
        <v>0</v>
      </c>
      <c r="N308" s="670"/>
      <c r="O308"/>
      <c r="P308"/>
      <c r="Q308"/>
      <c r="R308"/>
      <c r="S308"/>
      <c r="T308"/>
    </row>
    <row r="309" spans="1:20" ht="12.75" x14ac:dyDescent="0.2">
      <c r="A309" s="12" t="s">
        <v>629</v>
      </c>
      <c r="D309" s="12">
        <v>0</v>
      </c>
      <c r="E309" s="12">
        <v>0</v>
      </c>
      <c r="F309" s="12">
        <v>0</v>
      </c>
      <c r="G309" s="12">
        <v>0</v>
      </c>
      <c r="H309" s="12">
        <v>0</v>
      </c>
      <c r="I309" s="12">
        <v>0</v>
      </c>
      <c r="N309" s="669"/>
      <c r="O309" s="671"/>
      <c r="P309" s="671"/>
      <c r="Q309" s="671"/>
      <c r="R309" s="671"/>
      <c r="S309" s="671"/>
      <c r="T309" s="671"/>
    </row>
    <row r="310" spans="1:20" ht="12.75" x14ac:dyDescent="0.2">
      <c r="A310" s="12" t="s">
        <v>633</v>
      </c>
      <c r="D310" s="12">
        <v>0</v>
      </c>
      <c r="E310" s="12">
        <v>0.53262299999999996</v>
      </c>
      <c r="F310" s="12">
        <v>12.784708</v>
      </c>
      <c r="G310" s="12">
        <v>57.490493999999998</v>
      </c>
      <c r="H310" s="12">
        <v>105.942413</v>
      </c>
      <c r="I310" s="12">
        <v>149.62011699999999</v>
      </c>
      <c r="N310" s="669"/>
      <c r="O310" s="671"/>
      <c r="P310" s="671"/>
      <c r="Q310" s="671"/>
      <c r="R310" s="671"/>
      <c r="S310" s="671"/>
      <c r="T310" s="671"/>
    </row>
    <row r="311" spans="1:20" ht="12.75" x14ac:dyDescent="0.2">
      <c r="A311" s="12" t="s">
        <v>631</v>
      </c>
      <c r="B311" s="12">
        <v>545.03302001953102</v>
      </c>
      <c r="C311" s="12">
        <v>453.29324300000002</v>
      </c>
      <c r="D311" s="12">
        <f t="shared" ref="D311:I311" si="12">SUM(D307:D310)</f>
        <v>481.83017000000001</v>
      </c>
      <c r="E311" s="12">
        <f t="shared" si="12"/>
        <v>497.69656300000003</v>
      </c>
      <c r="F311" s="12">
        <f t="shared" si="12"/>
        <v>518.61383999999998</v>
      </c>
      <c r="G311" s="12">
        <f t="shared" si="12"/>
        <v>512.81111199999998</v>
      </c>
      <c r="H311" s="12">
        <f t="shared" si="12"/>
        <v>506.292236</v>
      </c>
      <c r="I311" s="12">
        <f t="shared" si="12"/>
        <v>505.62902800000001</v>
      </c>
      <c r="J311" s="12">
        <v>6.3070000000000001E-3</v>
      </c>
      <c r="N311" s="669"/>
      <c r="O311" s="671"/>
      <c r="P311" s="671"/>
      <c r="Q311" s="671"/>
      <c r="R311" s="671"/>
      <c r="S311" s="671"/>
      <c r="T311" s="671"/>
    </row>
    <row r="312" spans="1:20" ht="12.75" x14ac:dyDescent="0.2">
      <c r="N312" s="669"/>
      <c r="O312" s="671"/>
      <c r="P312" s="671"/>
      <c r="Q312" s="671"/>
      <c r="R312" s="671"/>
      <c r="S312" s="671"/>
      <c r="T312" s="671"/>
    </row>
    <row r="313" spans="1:20" ht="12.75" x14ac:dyDescent="0.2">
      <c r="A313" s="12" t="s">
        <v>591</v>
      </c>
      <c r="N313" s="669"/>
      <c r="O313" s="671"/>
      <c r="P313" s="671"/>
      <c r="Q313" s="671"/>
      <c r="R313" s="671"/>
      <c r="S313" s="671"/>
      <c r="T313" s="671"/>
    </row>
    <row r="314" spans="1:20" ht="12.75" x14ac:dyDescent="0.2">
      <c r="A314" s="12" t="s">
        <v>628</v>
      </c>
      <c r="B314" s="12">
        <v>219.46594238281301</v>
      </c>
      <c r="C314" s="12">
        <v>147.85343900000001</v>
      </c>
      <c r="D314" s="12">
        <v>98.977706999999995</v>
      </c>
      <c r="E314" s="12">
        <v>90.028282000000004</v>
      </c>
      <c r="F314" s="12">
        <v>80.926192999999998</v>
      </c>
      <c r="G314" s="12">
        <v>74.304244999999995</v>
      </c>
      <c r="H314" s="12">
        <v>71.129974000000004</v>
      </c>
      <c r="I314" s="12">
        <v>69.291259999999994</v>
      </c>
      <c r="J314" s="12">
        <v>5.3660000000000001E-3</v>
      </c>
      <c r="K314" s="12">
        <f>C314/C318</f>
        <v>0.67727933275286711</v>
      </c>
      <c r="L314" s="12">
        <f>H314/H$318</f>
        <v>0.97953581883419893</v>
      </c>
      <c r="N314" s="669"/>
      <c r="O314" s="671"/>
      <c r="P314" s="671"/>
      <c r="Q314" s="671">
        <f>H314/H318</f>
        <v>0.97953581883419893</v>
      </c>
      <c r="R314" s="671"/>
      <c r="S314" s="671"/>
      <c r="T314" s="671"/>
    </row>
    <row r="315" spans="1:20" ht="12.75" x14ac:dyDescent="0.2">
      <c r="A315" s="12" t="s">
        <v>634</v>
      </c>
      <c r="B315" s="12">
        <v>91.172294616699205</v>
      </c>
      <c r="C315" s="12">
        <v>70.451522999999995</v>
      </c>
      <c r="D315" s="12">
        <v>2.6047470000000001</v>
      </c>
      <c r="E315" s="12">
        <v>1.4788570000000001</v>
      </c>
      <c r="F315" s="12">
        <v>1.0513939999999999</v>
      </c>
      <c r="G315" s="12">
        <v>0.744533</v>
      </c>
      <c r="H315" s="12">
        <v>0.48835600000000001</v>
      </c>
      <c r="I315" s="12">
        <v>0.260911</v>
      </c>
      <c r="J315" s="12">
        <v>5.378E-3</v>
      </c>
      <c r="K315" s="12">
        <f>C315/C318</f>
        <v>0.32272066724713294</v>
      </c>
      <c r="L315" s="12">
        <f>H315/H$318</f>
        <v>6.7251844397214879E-3</v>
      </c>
      <c r="N315" s="669"/>
      <c r="O315" s="671"/>
      <c r="P315" s="671"/>
      <c r="Q315" s="671">
        <f>H315/H318</f>
        <v>6.7251844397214879E-3</v>
      </c>
      <c r="R315" s="671"/>
      <c r="S315" s="671"/>
      <c r="T315" s="671"/>
    </row>
    <row r="316" spans="1:20" ht="12.75" x14ac:dyDescent="0.2">
      <c r="A316" s="12" t="s">
        <v>635</v>
      </c>
      <c r="D316" s="12">
        <v>0</v>
      </c>
      <c r="E316" s="12">
        <v>0</v>
      </c>
      <c r="F316" s="12">
        <v>0</v>
      </c>
      <c r="G316" s="12">
        <v>0</v>
      </c>
      <c r="H316" s="12">
        <v>0</v>
      </c>
      <c r="I316" s="12">
        <v>0</v>
      </c>
      <c r="N316" s="669"/>
      <c r="O316" s="671"/>
      <c r="P316" s="671"/>
      <c r="Q316" s="671"/>
      <c r="R316" s="671"/>
      <c r="S316" s="671"/>
      <c r="T316" s="671"/>
    </row>
    <row r="317" spans="1:20" ht="12.75" x14ac:dyDescent="0.2">
      <c r="A317" s="12" t="s">
        <v>636</v>
      </c>
      <c r="D317" s="12">
        <v>0.19464600000000001</v>
      </c>
      <c r="E317" s="12">
        <v>0.48545700000000003</v>
      </c>
      <c r="F317" s="12">
        <v>0.68351200000000001</v>
      </c>
      <c r="G317" s="12">
        <v>0.82690600000000003</v>
      </c>
      <c r="H317" s="12">
        <v>0.99767099999999997</v>
      </c>
      <c r="I317" s="12">
        <v>1.1705570000000001</v>
      </c>
      <c r="N317" s="669"/>
      <c r="O317" s="671"/>
      <c r="P317" s="671"/>
      <c r="Q317" s="671"/>
      <c r="R317" s="671"/>
      <c r="S317" s="671"/>
      <c r="T317" s="671"/>
    </row>
    <row r="318" spans="1:20" ht="12.75" x14ac:dyDescent="0.2">
      <c r="A318" s="12" t="s">
        <v>631</v>
      </c>
      <c r="B318" s="12">
        <f>B314+B315</f>
        <v>310.63823699951223</v>
      </c>
      <c r="C318" s="12">
        <v>218.30496199999999</v>
      </c>
      <c r="D318" s="12">
        <f t="shared" ref="D318:I318" si="13">SUM(D314:D317)</f>
        <v>101.7771</v>
      </c>
      <c r="E318" s="12">
        <f t="shared" si="13"/>
        <v>91.992596000000006</v>
      </c>
      <c r="F318" s="12">
        <f t="shared" si="13"/>
        <v>82.661098999999993</v>
      </c>
      <c r="G318" s="12">
        <f t="shared" si="13"/>
        <v>75.875683999999993</v>
      </c>
      <c r="H318" s="12">
        <f t="shared" si="13"/>
        <v>72.616000999999997</v>
      </c>
      <c r="I318" s="12">
        <f t="shared" si="13"/>
        <v>70.722727999999989</v>
      </c>
      <c r="J318" s="12">
        <v>5.3699999999999998E-3</v>
      </c>
      <c r="N318" s="669"/>
      <c r="O318" s="671"/>
      <c r="P318" s="671"/>
      <c r="Q318" s="671"/>
      <c r="R318" s="671"/>
      <c r="S318" s="671"/>
      <c r="T318" s="671"/>
    </row>
    <row r="319" spans="1:20" ht="12.75" x14ac:dyDescent="0.2">
      <c r="N319" s="669"/>
      <c r="O319" s="671"/>
      <c r="P319" s="671"/>
      <c r="Q319" s="671"/>
      <c r="R319" s="671"/>
      <c r="S319" s="671"/>
      <c r="T319" s="671"/>
    </row>
    <row r="320" spans="1:20" ht="12.75" x14ac:dyDescent="0.2">
      <c r="A320" s="12" t="s">
        <v>594</v>
      </c>
      <c r="N320" s="669"/>
      <c r="O320" s="671"/>
      <c r="P320" s="671"/>
      <c r="Q320" s="671"/>
      <c r="R320" s="671"/>
      <c r="S320" s="671"/>
      <c r="T320" s="671"/>
    </row>
    <row r="321" spans="1:20" ht="12.75" x14ac:dyDescent="0.2">
      <c r="A321" s="12" t="s">
        <v>628</v>
      </c>
      <c r="B321" s="12">
        <v>49.8196830749512</v>
      </c>
      <c r="C321" s="12">
        <v>49.146839</v>
      </c>
      <c r="D321" s="12">
        <v>298.99685699999998</v>
      </c>
      <c r="E321" s="12">
        <v>283.93829299999999</v>
      </c>
      <c r="F321" s="12">
        <v>288.00616500000001</v>
      </c>
      <c r="G321" s="12">
        <v>290.66430700000001</v>
      </c>
      <c r="H321" s="12">
        <v>294.18817100000001</v>
      </c>
      <c r="I321" s="12">
        <v>296.31951900000001</v>
      </c>
      <c r="J321" s="12">
        <v>1.2459999999999999E-3</v>
      </c>
      <c r="N321" s="669"/>
      <c r="O321" s="671"/>
      <c r="P321" s="671"/>
      <c r="Q321" s="671"/>
      <c r="R321" s="671"/>
      <c r="S321" s="671"/>
      <c r="T321" s="671"/>
    </row>
    <row r="322" spans="1:20" ht="15" x14ac:dyDescent="0.25">
      <c r="A322" s="12" t="s">
        <v>634</v>
      </c>
      <c r="B322" s="12">
        <v>717.06756591796898</v>
      </c>
      <c r="C322" s="12">
        <v>811.36804199999995</v>
      </c>
      <c r="D322" s="12">
        <v>426.677277</v>
      </c>
      <c r="E322" s="12">
        <v>354.47332799999998</v>
      </c>
      <c r="F322" s="12">
        <v>383.49230999999997</v>
      </c>
      <c r="G322" s="12">
        <v>398.69958500000001</v>
      </c>
      <c r="H322" s="12">
        <v>423.69613600000002</v>
      </c>
      <c r="I322" s="12">
        <v>435.14001500000001</v>
      </c>
      <c r="J322" s="12">
        <v>1.2570000000000001E-3</v>
      </c>
      <c r="N322" s="670"/>
      <c r="O322" s="675"/>
      <c r="P322" s="675"/>
      <c r="Q322" s="675"/>
      <c r="R322" s="675"/>
      <c r="S322" s="675"/>
      <c r="T322" s="675"/>
    </row>
    <row r="323" spans="1:20" x14ac:dyDescent="0.2">
      <c r="A323" s="12" t="s">
        <v>629</v>
      </c>
      <c r="D323" s="12">
        <v>0</v>
      </c>
      <c r="E323" s="12">
        <v>0</v>
      </c>
      <c r="F323" s="12">
        <v>0</v>
      </c>
      <c r="G323" s="12">
        <v>0</v>
      </c>
      <c r="H323" s="12">
        <v>0</v>
      </c>
      <c r="I323" s="12">
        <v>0</v>
      </c>
    </row>
    <row r="324" spans="1:20" x14ac:dyDescent="0.2">
      <c r="A324" s="12" t="s">
        <v>633</v>
      </c>
      <c r="D324" s="12">
        <v>0.33884700000000001</v>
      </c>
      <c r="E324" s="12">
        <v>2.7549830000000002</v>
      </c>
      <c r="F324" s="12">
        <v>4.4507919999999999</v>
      </c>
      <c r="G324" s="12">
        <v>6.3176829999999997</v>
      </c>
      <c r="H324" s="12">
        <v>9.7586309999999994</v>
      </c>
      <c r="I324" s="12">
        <v>13.496737</v>
      </c>
    </row>
    <row r="325" spans="1:20" x14ac:dyDescent="0.2">
      <c r="A325" s="12" t="s">
        <v>631</v>
      </c>
      <c r="B325" s="12">
        <v>766.88726806640602</v>
      </c>
      <c r="C325" s="12">
        <v>860.51489300000003</v>
      </c>
      <c r="D325" s="12">
        <f t="shared" ref="D325:I325" si="14">SUM(D321:D324)</f>
        <v>726.01298099999997</v>
      </c>
      <c r="E325" s="12">
        <f t="shared" si="14"/>
        <v>641.16660400000001</v>
      </c>
      <c r="F325" s="12">
        <f t="shared" si="14"/>
        <v>675.94926699999996</v>
      </c>
      <c r="G325" s="12">
        <f t="shared" si="14"/>
        <v>695.68157500000007</v>
      </c>
      <c r="H325" s="12">
        <f t="shared" si="14"/>
        <v>727.64293800000007</v>
      </c>
      <c r="I325" s="12">
        <f t="shared" si="14"/>
        <v>744.95627100000013</v>
      </c>
      <c r="J325" s="12">
        <v>1.2570000000000001E-3</v>
      </c>
    </row>
    <row r="327" spans="1:20" x14ac:dyDescent="0.2">
      <c r="A327" s="12" t="s">
        <v>637</v>
      </c>
    </row>
    <row r="328" spans="1:20" x14ac:dyDescent="0.2">
      <c r="A328" s="12" t="s">
        <v>638</v>
      </c>
      <c r="B328" s="12">
        <v>2688.080078125</v>
      </c>
      <c r="C328" s="12">
        <v>2483.01001</v>
      </c>
      <c r="D328" s="12">
        <v>2351.2385250000002</v>
      </c>
      <c r="E328" s="12">
        <v>2494.5539549999999</v>
      </c>
      <c r="F328" s="12">
        <v>2642.3332519999999</v>
      </c>
      <c r="G328" s="12">
        <v>2798.650635</v>
      </c>
      <c r="H328" s="12">
        <v>2904.2626949999999</v>
      </c>
      <c r="I328" s="12">
        <v>2972.8100589999999</v>
      </c>
      <c r="J328" s="12">
        <v>4.1700000000000001E-3</v>
      </c>
      <c r="K328" s="12">
        <f>B328/B330</f>
        <v>0.98709292324265363</v>
      </c>
    </row>
    <row r="329" spans="1:20" x14ac:dyDescent="0.2">
      <c r="A329" s="12" t="s">
        <v>639</v>
      </c>
      <c r="B329" s="12">
        <v>35.148998260497997</v>
      </c>
      <c r="C329" s="12">
        <v>32.208244000000001</v>
      </c>
      <c r="D329" s="12">
        <v>22.597695999999999</v>
      </c>
      <c r="E329" s="12">
        <v>22.450932000000002</v>
      </c>
      <c r="F329" s="12">
        <v>22.394030000000001</v>
      </c>
      <c r="G329" s="12">
        <v>22.371967000000001</v>
      </c>
      <c r="H329" s="12">
        <v>22.363415</v>
      </c>
      <c r="I329" s="12">
        <v>22.360098000000001</v>
      </c>
      <c r="J329" s="12">
        <v>-7.6800000000000002E-4</v>
      </c>
      <c r="K329" s="12">
        <f>B329/B330</f>
        <v>1.2907103372532983E-2</v>
      </c>
    </row>
    <row r="330" spans="1:20" x14ac:dyDescent="0.2">
      <c r="A330" s="12" t="s">
        <v>631</v>
      </c>
      <c r="B330" s="12">
        <v>2723.22900390625</v>
      </c>
      <c r="C330" s="12">
        <v>2515.2182619999999</v>
      </c>
      <c r="D330" s="12">
        <f t="shared" ref="D330:I330" si="15">SUM(D328:D329)</f>
        <v>2373.836221</v>
      </c>
      <c r="E330" s="12">
        <f t="shared" si="15"/>
        <v>2517.0048870000001</v>
      </c>
      <c r="F330" s="12">
        <f t="shared" si="15"/>
        <v>2664.7272819999998</v>
      </c>
      <c r="G330" s="12">
        <f t="shared" si="15"/>
        <v>2821.022602</v>
      </c>
      <c r="H330" s="12">
        <f t="shared" si="15"/>
        <v>2926.6261099999997</v>
      </c>
      <c r="I330" s="12">
        <f t="shared" si="15"/>
        <v>2995.170157</v>
      </c>
      <c r="J330" s="12">
        <v>4.1110000000000001E-3</v>
      </c>
    </row>
    <row r="332" spans="1:20" x14ac:dyDescent="0.2">
      <c r="A332" s="12" t="s">
        <v>640</v>
      </c>
    </row>
    <row r="333" spans="1:20" x14ac:dyDescent="0.2">
      <c r="A333" s="12" t="s">
        <v>641</v>
      </c>
    </row>
    <row r="334" spans="1:20" x14ac:dyDescent="0.2">
      <c r="A334" s="12" t="s">
        <v>642</v>
      </c>
      <c r="B334" s="12">
        <v>531.47747802734398</v>
      </c>
      <c r="C334" s="12">
        <v>591.081726</v>
      </c>
      <c r="D334" s="12">
        <v>491.838257</v>
      </c>
      <c r="E334" s="12">
        <v>500.720215</v>
      </c>
      <c r="F334" s="12">
        <v>502.43850700000002</v>
      </c>
      <c r="G334" s="12">
        <v>528.00769000000003</v>
      </c>
      <c r="H334" s="12">
        <v>561.53741500000001</v>
      </c>
      <c r="I334" s="12">
        <v>601.13360599999999</v>
      </c>
      <c r="J334" s="12">
        <v>-1.351E-3</v>
      </c>
    </row>
    <row r="335" spans="1:20" x14ac:dyDescent="0.2">
      <c r="A335" s="12" t="s">
        <v>643</v>
      </c>
      <c r="B335" s="12">
        <v>19.760156631469702</v>
      </c>
      <c r="C335" s="12">
        <v>22.169333999999999</v>
      </c>
      <c r="D335" s="12">
        <v>25.663264999999999</v>
      </c>
      <c r="E335" s="12">
        <v>21.570685999999998</v>
      </c>
      <c r="F335" s="12">
        <v>21.613565000000001</v>
      </c>
      <c r="G335" s="12">
        <v>22.709081999999999</v>
      </c>
      <c r="H335" s="12">
        <v>24.125171999999999</v>
      </c>
      <c r="I335" s="12">
        <v>25.828856999999999</v>
      </c>
      <c r="J335" s="12">
        <v>-1.34E-3</v>
      </c>
    </row>
    <row r="336" spans="1:20" x14ac:dyDescent="0.2">
      <c r="A336" s="12" t="s">
        <v>644</v>
      </c>
      <c r="B336" s="12">
        <v>128.31816101074199</v>
      </c>
      <c r="C336" s="12">
        <v>151.97833299999999</v>
      </c>
      <c r="D336" s="12">
        <v>128.898865</v>
      </c>
      <c r="E336" s="12">
        <v>131.226608</v>
      </c>
      <c r="F336" s="12">
        <v>131.676941</v>
      </c>
      <c r="G336" s="12">
        <v>138.37799100000001</v>
      </c>
      <c r="H336" s="12">
        <v>147.16532900000001</v>
      </c>
      <c r="I336" s="12">
        <v>157.54252600000001</v>
      </c>
      <c r="J336" s="12">
        <v>-1.351E-3</v>
      </c>
    </row>
    <row r="337" spans="1:17" x14ac:dyDescent="0.2">
      <c r="A337" s="12" t="s">
        <v>631</v>
      </c>
      <c r="B337" s="12">
        <v>679.55578613281295</v>
      </c>
      <c r="C337" s="12">
        <v>765.22937000000002</v>
      </c>
      <c r="D337" s="12">
        <f t="shared" ref="D337:I337" si="16">SUM(D334:D336)</f>
        <v>646.40038700000002</v>
      </c>
      <c r="E337" s="12">
        <f t="shared" si="16"/>
        <v>653.51750900000002</v>
      </c>
      <c r="F337" s="12">
        <f t="shared" si="16"/>
        <v>655.72901300000012</v>
      </c>
      <c r="G337" s="12">
        <f t="shared" si="16"/>
        <v>689.09476300000006</v>
      </c>
      <c r="H337" s="12">
        <f t="shared" si="16"/>
        <v>732.82791600000007</v>
      </c>
      <c r="I337" s="12">
        <f t="shared" si="16"/>
        <v>784.50498900000002</v>
      </c>
      <c r="J337" s="12">
        <v>-1.351E-3</v>
      </c>
    </row>
    <row r="338" spans="1:17" x14ac:dyDescent="0.2">
      <c r="M338" s="12" t="s">
        <v>619</v>
      </c>
      <c r="N338" s="12" t="s">
        <v>645</v>
      </c>
      <c r="O338" s="12">
        <v>2010</v>
      </c>
      <c r="P338" s="12">
        <v>2035</v>
      </c>
      <c r="Q338" s="12">
        <v>2055</v>
      </c>
    </row>
    <row r="339" spans="1:17" x14ac:dyDescent="0.2">
      <c r="A339" s="12" t="s">
        <v>646</v>
      </c>
      <c r="B339" s="12">
        <v>2005</v>
      </c>
      <c r="C339" s="12">
        <v>2010</v>
      </c>
      <c r="D339" s="12">
        <v>2015</v>
      </c>
      <c r="E339" s="12">
        <v>2020</v>
      </c>
      <c r="F339" s="12">
        <v>2025</v>
      </c>
      <c r="G339" s="12">
        <v>2030</v>
      </c>
      <c r="H339" s="12">
        <v>2035</v>
      </c>
      <c r="I339" s="12">
        <v>2040</v>
      </c>
      <c r="J339" s="12">
        <v>2045</v>
      </c>
      <c r="K339" s="12">
        <v>2050</v>
      </c>
      <c r="L339" s="12">
        <v>2055</v>
      </c>
      <c r="M339" s="12">
        <v>2035</v>
      </c>
      <c r="O339" s="12" t="s">
        <v>647</v>
      </c>
      <c r="P339" s="12" t="s">
        <v>647</v>
      </c>
      <c r="Q339" s="12" t="s">
        <v>647</v>
      </c>
    </row>
    <row r="340" spans="1:17" x14ac:dyDescent="0.2">
      <c r="A340" s="12" t="s">
        <v>648</v>
      </c>
    </row>
    <row r="341" spans="1:17" x14ac:dyDescent="0.2">
      <c r="A341" s="12" t="s">
        <v>649</v>
      </c>
      <c r="B341" s="12">
        <v>0.19670888781547499</v>
      </c>
      <c r="C341" s="12">
        <v>11.562298</v>
      </c>
      <c r="D341" s="12">
        <v>11.014538</v>
      </c>
      <c r="E341" s="12">
        <v>10.922402</v>
      </c>
      <c r="F341" s="12">
        <v>10.851221000000001</v>
      </c>
      <c r="G341" s="12">
        <v>10.784019000000001</v>
      </c>
      <c r="H341" s="12">
        <v>10.707018</v>
      </c>
      <c r="I341" s="12">
        <v>10.62078</v>
      </c>
      <c r="J341" s="12">
        <f t="shared" ref="J341:L344" si="17">I341*(1+$N341)^5</f>
        <v>10.623913499831165</v>
      </c>
      <c r="K341" s="12">
        <f t="shared" si="17"/>
        <v>10.627047924153864</v>
      </c>
      <c r="L341" s="12">
        <f t="shared" si="17"/>
        <v>10.630183273240855</v>
      </c>
      <c r="M341" s="12">
        <v>1.18E-4</v>
      </c>
      <c r="N341" s="12">
        <f>M341*0.5</f>
        <v>5.8999999999999998E-5</v>
      </c>
      <c r="O341" s="12">
        <f>(C341+C353)/C358</f>
        <v>9.9279878642966835E-2</v>
      </c>
      <c r="P341" s="12">
        <f>(H341+H353)/H358</f>
        <v>9.1756380609739216E-2</v>
      </c>
      <c r="Q341" s="12">
        <f>(L341+L353)/L358</f>
        <v>8.6663718730854405E-2</v>
      </c>
    </row>
    <row r="342" spans="1:17" x14ac:dyDescent="0.2">
      <c r="A342" s="12" t="s">
        <v>650</v>
      </c>
      <c r="B342" s="12">
        <v>90.025444030761705</v>
      </c>
      <c r="C342" s="12">
        <v>86.507392999999993</v>
      </c>
      <c r="D342" s="12">
        <v>81.917809000000005</v>
      </c>
      <c r="E342" s="12">
        <v>79.482697000000002</v>
      </c>
      <c r="F342" s="12">
        <v>74.017723000000004</v>
      </c>
      <c r="G342" s="12">
        <v>67.029503000000005</v>
      </c>
      <c r="H342" s="12">
        <v>57.526328999999997</v>
      </c>
      <c r="I342" s="12">
        <v>45.125084000000001</v>
      </c>
      <c r="J342" s="12">
        <f t="shared" si="17"/>
        <v>40.546076437236067</v>
      </c>
      <c r="K342" s="12">
        <f t="shared" si="17"/>
        <v>36.43171754437487</v>
      </c>
      <c r="L342" s="12">
        <f t="shared" si="17"/>
        <v>32.734857718913446</v>
      </c>
      <c r="M342" s="12">
        <v>-4.2345000000000001E-2</v>
      </c>
      <c r="N342" s="12">
        <f>M342*0.5</f>
        <v>-2.11725E-2</v>
      </c>
      <c r="O342" s="12">
        <f>(SUM(B342,B348,B354))/B358</f>
        <v>0.93214265708499455</v>
      </c>
      <c r="P342" s="12">
        <f>SUM(H342,H348,H354)/H358</f>
        <v>0.75345390979552873</v>
      </c>
      <c r="Q342" s="12">
        <f>SUM(L342,L348,L354)/L358</f>
        <v>0.64551895670044646</v>
      </c>
    </row>
    <row r="343" spans="1:17" x14ac:dyDescent="0.2">
      <c r="A343" s="12" t="s">
        <v>651</v>
      </c>
      <c r="B343" s="12">
        <f>C343*(1-M343)^5</f>
        <v>4.7780216831176689</v>
      </c>
      <c r="C343" s="12">
        <v>7.8765559999999999</v>
      </c>
      <c r="D343" s="12">
        <v>14.365652000000001</v>
      </c>
      <c r="E343" s="12">
        <v>17.926804000000001</v>
      </c>
      <c r="F343" s="12">
        <v>24.668240000000001</v>
      </c>
      <c r="G343" s="12">
        <v>32.935074</v>
      </c>
      <c r="H343" s="12">
        <v>43.629570000000001</v>
      </c>
      <c r="I343" s="12">
        <v>57.111167999999999</v>
      </c>
      <c r="J343" s="12">
        <f t="shared" si="17"/>
        <v>65.740034610262242</v>
      </c>
      <c r="K343" s="12">
        <f t="shared" si="17"/>
        <v>75.672627647161363</v>
      </c>
      <c r="L343" s="12">
        <f t="shared" si="17"/>
        <v>87.105925772239075</v>
      </c>
      <c r="M343" s="12">
        <v>9.5138E-2</v>
      </c>
      <c r="N343" s="12">
        <f>M343*0.3</f>
        <v>2.8541399999999998E-2</v>
      </c>
      <c r="O343" s="12">
        <f>(B343+B355)/B358</f>
        <v>2.2575585289844415E-2</v>
      </c>
      <c r="P343" s="12">
        <f>(H343+H355)/H358</f>
        <v>0.15413403176290771</v>
      </c>
      <c r="Q343" s="12">
        <f>(L343+L355)/L358</f>
        <v>0.26720041407341022</v>
      </c>
    </row>
    <row r="344" spans="1:17" x14ac:dyDescent="0.2">
      <c r="A344" s="12" t="s">
        <v>652</v>
      </c>
      <c r="C344" s="12">
        <v>7.3424000000000003E-2</v>
      </c>
      <c r="D344" s="12">
        <v>7.2290999999999994E-2</v>
      </c>
      <c r="E344" s="12">
        <v>7.1254999999999999E-2</v>
      </c>
      <c r="F344" s="12">
        <v>7.0045999999999997E-2</v>
      </c>
      <c r="G344" s="12">
        <v>6.8610000000000004E-2</v>
      </c>
      <c r="H344" s="12">
        <v>6.6928000000000001E-2</v>
      </c>
      <c r="I344" s="12">
        <v>6.5062999999999996E-2</v>
      </c>
      <c r="J344" s="12">
        <f t="shared" si="17"/>
        <v>6.4783223597710174E-2</v>
      </c>
      <c r="K344" s="12">
        <f t="shared" si="17"/>
        <v>6.4504650257610513E-2</v>
      </c>
      <c r="L344" s="12">
        <f t="shared" si="17"/>
        <v>6.4227274806431839E-2</v>
      </c>
      <c r="M344" s="12">
        <v>-1.7229999999999999E-3</v>
      </c>
      <c r="N344" s="12">
        <f>M344*0.5</f>
        <v>-8.6149999999999996E-4</v>
      </c>
      <c r="P344" s="12">
        <f>(H344+H356)/H358</f>
        <v>6.5567783182428048E-4</v>
      </c>
      <c r="Q344" s="12">
        <f>(L344+L356)/L358</f>
        <v>6.1691049528901025E-4</v>
      </c>
    </row>
    <row r="345" spans="1:17" x14ac:dyDescent="0.2">
      <c r="A345" s="12" t="s">
        <v>653</v>
      </c>
      <c r="B345" s="12">
        <f>B341+B342+B343</f>
        <v>95.000174601694852</v>
      </c>
      <c r="C345" s="12">
        <v>106.01966899999999</v>
      </c>
      <c r="D345" s="12">
        <f t="shared" ref="D345:I345" si="18">SUM(D341:D344)</f>
        <v>107.37029000000001</v>
      </c>
      <c r="E345" s="12">
        <f t="shared" si="18"/>
        <v>108.403158</v>
      </c>
      <c r="F345" s="12">
        <f t="shared" si="18"/>
        <v>109.60723</v>
      </c>
      <c r="G345" s="12">
        <f t="shared" si="18"/>
        <v>110.81720600000001</v>
      </c>
      <c r="H345" s="12">
        <f t="shared" si="18"/>
        <v>111.929845</v>
      </c>
      <c r="I345" s="12">
        <f t="shared" si="18"/>
        <v>112.922095</v>
      </c>
      <c r="J345" s="12">
        <f>SUM(J341:J344)</f>
        <v>116.97480777092719</v>
      </c>
      <c r="K345" s="12">
        <f>SUM(K341:K344)</f>
        <v>122.7958977659477</v>
      </c>
      <c r="L345" s="12">
        <f>SUM(L341:L344)</f>
        <v>130.53519403919981</v>
      </c>
      <c r="M345" s="12">
        <v>4.0829999999999998E-3</v>
      </c>
      <c r="N345" s="12">
        <f>EXP(LN(L345/H345)/20)-1</f>
        <v>7.7181619073889429E-3</v>
      </c>
    </row>
    <row r="346" spans="1:17" x14ac:dyDescent="0.2">
      <c r="A346" s="12" t="s">
        <v>654</v>
      </c>
      <c r="O346" s="12">
        <f>SUM(O341:O345)</f>
        <v>1.0539981210178058</v>
      </c>
      <c r="P346" s="12">
        <f>SUM(P341:P345)</f>
        <v>1</v>
      </c>
      <c r="Q346" s="12">
        <f>SUM(Q341:Q345)</f>
        <v>1.0000000000000002</v>
      </c>
    </row>
    <row r="347" spans="1:17" x14ac:dyDescent="0.2">
      <c r="A347" s="12" t="s">
        <v>649</v>
      </c>
      <c r="C347" s="12">
        <v>0</v>
      </c>
      <c r="D347" s="12">
        <v>0</v>
      </c>
      <c r="E347" s="12">
        <v>0</v>
      </c>
      <c r="F347" s="12">
        <v>0</v>
      </c>
      <c r="G347" s="12">
        <v>0</v>
      </c>
      <c r="H347" s="12">
        <v>0</v>
      </c>
      <c r="I347" s="12">
        <v>0</v>
      </c>
      <c r="J347" s="12">
        <v>0</v>
      </c>
      <c r="K347" s="12">
        <v>0</v>
      </c>
      <c r="L347" s="12">
        <v>0</v>
      </c>
      <c r="M347" s="12" t="s">
        <v>589</v>
      </c>
    </row>
    <row r="348" spans="1:17" x14ac:dyDescent="0.2">
      <c r="A348" s="12" t="s">
        <v>650</v>
      </c>
      <c r="B348" s="12">
        <f>C348*(1-M348)^5</f>
        <v>28.625736550969492</v>
      </c>
      <c r="C348" s="12">
        <v>29.96529</v>
      </c>
      <c r="D348" s="12">
        <v>31.627523</v>
      </c>
      <c r="E348" s="12">
        <v>32.913563000000003</v>
      </c>
      <c r="F348" s="12">
        <v>34.168987000000001</v>
      </c>
      <c r="G348" s="12">
        <v>35.350341999999998</v>
      </c>
      <c r="H348" s="12">
        <v>36.420932999999998</v>
      </c>
      <c r="I348" s="12">
        <v>37.389102999999999</v>
      </c>
      <c r="J348" s="12">
        <f>I348*(1+$N348)^5</f>
        <v>38.24795680208198</v>
      </c>
      <c r="K348" s="12">
        <f>J348*(1+$N348)^5</f>
        <v>39.126539075674785</v>
      </c>
      <c r="L348" s="12">
        <f>K348*(1+$N348)^5</f>
        <v>40.025302997544017</v>
      </c>
      <c r="M348" s="12">
        <v>9.1050000000000002E-3</v>
      </c>
      <c r="N348" s="12">
        <f>M348*0.5</f>
        <v>4.5525000000000001E-3</v>
      </c>
    </row>
    <row r="349" spans="1:17" x14ac:dyDescent="0.2">
      <c r="A349" s="12" t="s">
        <v>651</v>
      </c>
      <c r="C349" s="12">
        <v>0</v>
      </c>
      <c r="D349" s="12">
        <v>0</v>
      </c>
      <c r="E349" s="12">
        <v>0</v>
      </c>
      <c r="F349" s="12">
        <v>0</v>
      </c>
      <c r="G349" s="12">
        <v>0</v>
      </c>
      <c r="H349" s="12">
        <v>0</v>
      </c>
      <c r="I349" s="12">
        <v>0</v>
      </c>
      <c r="J349" s="12">
        <v>0</v>
      </c>
      <c r="K349" s="12">
        <v>0</v>
      </c>
      <c r="L349" s="12">
        <v>0</v>
      </c>
      <c r="M349" s="12" t="s">
        <v>589</v>
      </c>
    </row>
    <row r="350" spans="1:17" x14ac:dyDescent="0.2">
      <c r="A350" s="12" t="s">
        <v>652</v>
      </c>
      <c r="C350" s="12">
        <v>0</v>
      </c>
      <c r="D350" s="12">
        <v>0</v>
      </c>
      <c r="E350" s="12">
        <v>0</v>
      </c>
      <c r="F350" s="12">
        <v>0</v>
      </c>
      <c r="G350" s="12">
        <v>0</v>
      </c>
      <c r="H350" s="12">
        <v>0</v>
      </c>
      <c r="I350" s="12">
        <v>0</v>
      </c>
      <c r="J350" s="12">
        <v>0</v>
      </c>
      <c r="K350" s="12">
        <v>0</v>
      </c>
      <c r="L350" s="12">
        <v>0</v>
      </c>
      <c r="M350" s="12" t="s">
        <v>589</v>
      </c>
    </row>
    <row r="351" spans="1:17" x14ac:dyDescent="0.2">
      <c r="A351" s="12" t="s">
        <v>655</v>
      </c>
      <c r="B351" s="12">
        <f>B348</f>
        <v>28.625736550969492</v>
      </c>
      <c r="C351" s="12">
        <v>29.96529</v>
      </c>
      <c r="D351" s="12">
        <f t="shared" ref="D351:I351" si="19">SUM(D347:D350)</f>
        <v>31.627523</v>
      </c>
      <c r="E351" s="12">
        <f t="shared" si="19"/>
        <v>32.913563000000003</v>
      </c>
      <c r="F351" s="12">
        <f t="shared" si="19"/>
        <v>34.168987000000001</v>
      </c>
      <c r="G351" s="12">
        <f t="shared" si="19"/>
        <v>35.350341999999998</v>
      </c>
      <c r="H351" s="12">
        <f t="shared" si="19"/>
        <v>36.420932999999998</v>
      </c>
      <c r="I351" s="12">
        <f t="shared" si="19"/>
        <v>37.389102999999999</v>
      </c>
      <c r="J351" s="12">
        <f>SUM(J347:J350)</f>
        <v>38.24795680208198</v>
      </c>
      <c r="K351" s="12">
        <f>SUM(K347:K350)</f>
        <v>39.126539075674785</v>
      </c>
      <c r="L351" s="12">
        <f>SUM(L347:L350)</f>
        <v>40.025302997544017</v>
      </c>
      <c r="M351" s="12">
        <v>9.1050000000000002E-3</v>
      </c>
      <c r="N351" s="12">
        <f>M351*0.5</f>
        <v>4.5525000000000001E-3</v>
      </c>
    </row>
    <row r="352" spans="1:17" x14ac:dyDescent="0.2">
      <c r="A352" s="12" t="s">
        <v>656</v>
      </c>
    </row>
    <row r="353" spans="1:17" x14ac:dyDescent="0.2">
      <c r="A353" s="12" t="s">
        <v>649</v>
      </c>
      <c r="B353" s="12">
        <v>10.9795475006104</v>
      </c>
      <c r="C353" s="12">
        <v>13.483807000000001</v>
      </c>
      <c r="D353" s="12">
        <v>13.740634999999999</v>
      </c>
      <c r="E353" s="12">
        <v>14.508106</v>
      </c>
      <c r="F353" s="12">
        <v>15.281214</v>
      </c>
      <c r="G353" s="12">
        <v>16.039701000000001</v>
      </c>
      <c r="H353" s="12">
        <v>16.765689999999999</v>
      </c>
      <c r="I353" s="12">
        <v>17.461288</v>
      </c>
      <c r="J353" s="12">
        <f t="shared" ref="J353:L356" si="20">I353*(1+$N353)^5</f>
        <v>17.992657745578896</v>
      </c>
      <c r="K353" s="12">
        <f t="shared" si="20"/>
        <v>18.540197764880819</v>
      </c>
      <c r="L353" s="12">
        <f t="shared" si="20"/>
        <v>19.104400140404731</v>
      </c>
      <c r="M353" s="12">
        <v>1.2026999999999999E-2</v>
      </c>
      <c r="N353" s="12">
        <f>M353*0.5</f>
        <v>6.0134999999999997E-3</v>
      </c>
    </row>
    <row r="354" spans="1:17" x14ac:dyDescent="0.2">
      <c r="A354" s="12" t="s">
        <v>650</v>
      </c>
      <c r="B354" s="12">
        <v>111.41641998291</v>
      </c>
      <c r="C354" s="12">
        <v>101.66235399999999</v>
      </c>
      <c r="D354" s="12">
        <v>108.674797</v>
      </c>
      <c r="E354" s="12">
        <v>114.643074</v>
      </c>
      <c r="F354" s="12">
        <v>120.550369</v>
      </c>
      <c r="G354" s="12">
        <v>126.275406</v>
      </c>
      <c r="H354" s="12">
        <v>131.643799</v>
      </c>
      <c r="I354" s="12">
        <v>136.65505999999999</v>
      </c>
      <c r="J354" s="12">
        <f t="shared" si="20"/>
        <v>140.56362946972854</v>
      </c>
      <c r="K354" s="12">
        <f t="shared" si="20"/>
        <v>144.58399074065122</v>
      </c>
      <c r="L354" s="12">
        <f t="shared" si="20"/>
        <v>148.71934125032442</v>
      </c>
      <c r="M354" s="12">
        <v>1.1311999999999999E-2</v>
      </c>
      <c r="N354" s="12">
        <f>M354*0.5</f>
        <v>5.6559999999999996E-3</v>
      </c>
    </row>
    <row r="355" spans="1:17" x14ac:dyDescent="0.2">
      <c r="A355" s="12" t="s">
        <v>651</v>
      </c>
      <c r="B355" s="12">
        <f>C355*(1-M355)^5</f>
        <v>0.79399103349736322</v>
      </c>
      <c r="C355" s="12">
        <v>1.045701</v>
      </c>
      <c r="D355" s="12">
        <v>1.2813190000000001</v>
      </c>
      <c r="E355" s="12">
        <v>1.4545349999999999</v>
      </c>
      <c r="F355" s="12">
        <v>1.733838</v>
      </c>
      <c r="G355" s="12">
        <v>2.0784229999999999</v>
      </c>
      <c r="H355" s="12">
        <v>2.5195829999999999</v>
      </c>
      <c r="I355" s="12">
        <v>3.0747049999999998</v>
      </c>
      <c r="J355" s="12">
        <f t="shared" si="20"/>
        <v>3.5092708835198678</v>
      </c>
      <c r="K355" s="12">
        <f t="shared" si="20"/>
        <v>4.0052564827911343</v>
      </c>
      <c r="L355" s="12">
        <f t="shared" si="20"/>
        <v>4.5713426023270927</v>
      </c>
      <c r="M355" s="12">
        <v>5.3585000000000001E-2</v>
      </c>
      <c r="N355" s="12">
        <f>M355*0.5</f>
        <v>2.67925E-2</v>
      </c>
    </row>
    <row r="356" spans="1:17" x14ac:dyDescent="0.2">
      <c r="A356" s="12" t="s">
        <v>652</v>
      </c>
      <c r="C356" s="12">
        <v>0.100942</v>
      </c>
      <c r="D356" s="12">
        <v>0.106042</v>
      </c>
      <c r="E356" s="12">
        <v>0.111965</v>
      </c>
      <c r="F356" s="12">
        <v>0.117932</v>
      </c>
      <c r="G356" s="12">
        <v>0.12378500000000001</v>
      </c>
      <c r="H356" s="12">
        <v>0.129388</v>
      </c>
      <c r="I356" s="12">
        <v>0.13475599999999999</v>
      </c>
      <c r="J356" s="12">
        <f t="shared" si="20"/>
        <v>0.13885680066460329</v>
      </c>
      <c r="K356" s="12">
        <f t="shared" si="20"/>
        <v>0.14308239403669876</v>
      </c>
      <c r="L356" s="12">
        <f t="shared" si="20"/>
        <v>0.14743657772097796</v>
      </c>
      <c r="M356" s="12">
        <v>1.2026999999999999E-2</v>
      </c>
      <c r="N356" s="12">
        <f>M356*0.5</f>
        <v>6.0134999999999997E-3</v>
      </c>
    </row>
    <row r="357" spans="1:17" x14ac:dyDescent="0.2">
      <c r="A357" s="12" t="s">
        <v>657</v>
      </c>
      <c r="B357" s="12">
        <f>B353+B354+B355</f>
        <v>123.18995851701776</v>
      </c>
      <c r="C357" s="12">
        <v>116.29280900000001</v>
      </c>
      <c r="D357" s="12">
        <f t="shared" ref="D357:I357" si="21">SUM(D353:D356)</f>
        <v>123.80279299999999</v>
      </c>
      <c r="E357" s="12">
        <f t="shared" si="21"/>
        <v>130.71768</v>
      </c>
      <c r="F357" s="12">
        <f t="shared" si="21"/>
        <v>137.68335299999998</v>
      </c>
      <c r="G357" s="12">
        <f t="shared" si="21"/>
        <v>144.517315</v>
      </c>
      <c r="H357" s="12">
        <f t="shared" si="21"/>
        <v>151.05846000000003</v>
      </c>
      <c r="I357" s="12">
        <f t="shared" si="21"/>
        <v>157.32580899999999</v>
      </c>
      <c r="J357" s="12">
        <f>SUM(J353:J356)</f>
        <v>162.20441489949189</v>
      </c>
      <c r="K357" s="12">
        <f>SUM(K353:K356)</f>
        <v>167.27252738235987</v>
      </c>
      <c r="L357" s="12">
        <f>SUM(L353:L356)</f>
        <v>172.54252057077721</v>
      </c>
      <c r="M357" s="12">
        <v>1.2038999999999999E-2</v>
      </c>
      <c r="N357" s="12">
        <f>M357*0.5</f>
        <v>6.0194999999999997E-3</v>
      </c>
    </row>
    <row r="358" spans="1:17" x14ac:dyDescent="0.2">
      <c r="A358" s="12" t="s">
        <v>658</v>
      </c>
      <c r="B358" s="12">
        <f>B345+B351+B357</f>
        <v>246.81586966968212</v>
      </c>
      <c r="C358" s="12">
        <v>252.27775600000001</v>
      </c>
      <c r="D358" s="12">
        <f t="shared" ref="D358:I358" si="22">D345+D351+D357</f>
        <v>262.80060600000002</v>
      </c>
      <c r="E358" s="12">
        <f t="shared" si="22"/>
        <v>272.034401</v>
      </c>
      <c r="F358" s="12">
        <f t="shared" si="22"/>
        <v>281.45956999999999</v>
      </c>
      <c r="G358" s="12">
        <f t="shared" si="22"/>
        <v>290.68486300000001</v>
      </c>
      <c r="H358" s="12">
        <f t="shared" si="22"/>
        <v>299.40923800000002</v>
      </c>
      <c r="I358" s="12">
        <f t="shared" si="22"/>
        <v>307.63700699999998</v>
      </c>
      <c r="J358" s="12">
        <f>J345+J351+J357</f>
        <v>317.42717947250105</v>
      </c>
      <c r="K358" s="12">
        <f>K345+K351+K357</f>
        <v>329.19496422398231</v>
      </c>
      <c r="L358" s="12">
        <f>L345+L351+L357</f>
        <v>343.103017607521</v>
      </c>
      <c r="M358" s="12">
        <v>8.5120000000000005E-3</v>
      </c>
      <c r="N358" s="12">
        <f>EXP(LN(L358/H358)/20)-1</f>
        <v>6.8342183315228677E-3</v>
      </c>
    </row>
    <row r="359" spans="1:17" x14ac:dyDescent="0.2">
      <c r="A359" s="12" t="s">
        <v>659</v>
      </c>
      <c r="B359" s="12">
        <v>245.9814136589813</v>
      </c>
      <c r="C359" s="12">
        <v>250.94158458454106</v>
      </c>
      <c r="D359" s="12">
        <v>260.45733981159418</v>
      </c>
      <c r="E359" s="12">
        <v>269.13188163285025</v>
      </c>
      <c r="F359" s="12">
        <v>277.50563561352658</v>
      </c>
      <c r="G359" s="12">
        <v>285.44129581642511</v>
      </c>
      <c r="H359" s="12">
        <v>292.49801218840588</v>
      </c>
      <c r="I359" s="12">
        <v>298.62366370048306</v>
      </c>
      <c r="J359" s="12">
        <v>307.05651053381871</v>
      </c>
      <c r="K359" s="12">
        <v>317.26252747022136</v>
      </c>
      <c r="L359" s="12">
        <v>329.37357161905948</v>
      </c>
    </row>
    <row r="360" spans="1:17" x14ac:dyDescent="0.2">
      <c r="A360" s="12" t="s">
        <v>649</v>
      </c>
      <c r="B360" s="12">
        <f>B341+B347+B353</f>
        <v>11.176256388425875</v>
      </c>
      <c r="C360" s="12">
        <f t="shared" ref="C360:L364" si="23">C341+C347+C353</f>
        <v>25.046105000000001</v>
      </c>
      <c r="D360" s="12">
        <f t="shared" si="23"/>
        <v>24.755172999999999</v>
      </c>
      <c r="E360" s="12">
        <f t="shared" si="23"/>
        <v>25.430508</v>
      </c>
      <c r="F360" s="12">
        <f t="shared" si="23"/>
        <v>26.132435000000001</v>
      </c>
      <c r="G360" s="12">
        <f t="shared" si="23"/>
        <v>26.823720000000002</v>
      </c>
      <c r="H360" s="12">
        <f t="shared" si="23"/>
        <v>27.472707999999997</v>
      </c>
      <c r="I360" s="12">
        <f t="shared" si="23"/>
        <v>28.082068</v>
      </c>
      <c r="J360" s="12">
        <f t="shared" si="23"/>
        <v>28.616571245410061</v>
      </c>
      <c r="K360" s="12">
        <f t="shared" si="23"/>
        <v>29.167245689034683</v>
      </c>
      <c r="L360" s="12">
        <f t="shared" si="23"/>
        <v>29.734583413645588</v>
      </c>
      <c r="O360" s="12">
        <f>C360/C$364</f>
        <v>9.927987392055887E-2</v>
      </c>
      <c r="P360" s="12">
        <f>H360/H$364</f>
        <v>9.1756380609739216E-2</v>
      </c>
      <c r="Q360" s="12">
        <f>L360/L$364</f>
        <v>8.6663718730854405E-2</v>
      </c>
    </row>
    <row r="361" spans="1:17" x14ac:dyDescent="0.2">
      <c r="A361" s="12" t="s">
        <v>650</v>
      </c>
      <c r="B361" s="12">
        <f>B342+B348+B354</f>
        <v>230.0676005646412</v>
      </c>
      <c r="C361" s="12">
        <f>C342+C348+C354</f>
        <v>218.13503699999998</v>
      </c>
      <c r="D361" s="12">
        <f t="shared" si="23"/>
        <v>222.22012899999999</v>
      </c>
      <c r="E361" s="12">
        <f t="shared" si="23"/>
        <v>227.039334</v>
      </c>
      <c r="F361" s="12">
        <f t="shared" si="23"/>
        <v>228.73707899999999</v>
      </c>
      <c r="G361" s="12">
        <f t="shared" si="23"/>
        <v>228.65525100000002</v>
      </c>
      <c r="H361" s="12">
        <f t="shared" si="23"/>
        <v>225.591061</v>
      </c>
      <c r="I361" s="12">
        <f t="shared" si="23"/>
        <v>219.16924699999998</v>
      </c>
      <c r="J361" s="12">
        <f t="shared" ref="J361:L364" si="24">J342+J348+J354</f>
        <v>219.35766270904659</v>
      </c>
      <c r="K361" s="12">
        <f t="shared" si="24"/>
        <v>220.14224736070088</v>
      </c>
      <c r="L361" s="12">
        <f t="shared" si="24"/>
        <v>221.47950196678187</v>
      </c>
      <c r="O361" s="12">
        <f>C361/C$364</f>
        <v>0.86466214890564586</v>
      </c>
      <c r="P361" s="12">
        <f>H361/H$364</f>
        <v>0.75345390979552873</v>
      </c>
      <c r="Q361" s="12">
        <f>L361/L$364</f>
        <v>0.64551895670044646</v>
      </c>
    </row>
    <row r="362" spans="1:17" x14ac:dyDescent="0.2">
      <c r="A362" s="12" t="s">
        <v>651</v>
      </c>
      <c r="B362" s="12">
        <f>B343+B349+B355</f>
        <v>5.5720127166150322</v>
      </c>
      <c r="C362" s="12">
        <f>C343+C349+C355</f>
        <v>8.9222570000000001</v>
      </c>
      <c r="D362" s="12">
        <f t="shared" si="23"/>
        <v>15.646971000000001</v>
      </c>
      <c r="E362" s="12">
        <f t="shared" si="23"/>
        <v>19.381339000000001</v>
      </c>
      <c r="F362" s="12">
        <f t="shared" si="23"/>
        <v>26.402077999999999</v>
      </c>
      <c r="G362" s="12">
        <f t="shared" si="23"/>
        <v>35.013497000000001</v>
      </c>
      <c r="H362" s="12">
        <f t="shared" si="23"/>
        <v>46.149152999999998</v>
      </c>
      <c r="I362" s="12">
        <f t="shared" si="23"/>
        <v>60.185873000000001</v>
      </c>
      <c r="J362" s="12">
        <f t="shared" si="24"/>
        <v>69.249305493782117</v>
      </c>
      <c r="K362" s="12">
        <f t="shared" si="24"/>
        <v>79.677884129952503</v>
      </c>
      <c r="L362" s="12">
        <f t="shared" si="24"/>
        <v>91.677268374566168</v>
      </c>
      <c r="O362" s="12">
        <f>C362/C$364</f>
        <v>3.5366798551983381E-2</v>
      </c>
      <c r="P362" s="12">
        <f>H362/H$364</f>
        <v>0.15413403176290771</v>
      </c>
      <c r="Q362" s="12">
        <f>L362/L$364</f>
        <v>0.26720041407341022</v>
      </c>
    </row>
    <row r="363" spans="1:17" x14ac:dyDescent="0.2">
      <c r="A363" s="12" t="s">
        <v>652</v>
      </c>
      <c r="B363" s="12">
        <f>B344+B350+B356</f>
        <v>0</v>
      </c>
      <c r="C363" s="12">
        <f>C344+C350+C356</f>
        <v>0.17436600000000002</v>
      </c>
      <c r="D363" s="12">
        <f t="shared" si="23"/>
        <v>0.17833299999999999</v>
      </c>
      <c r="E363" s="12">
        <f t="shared" si="23"/>
        <v>0.18321999999999999</v>
      </c>
      <c r="F363" s="12">
        <f t="shared" si="23"/>
        <v>0.18797799999999998</v>
      </c>
      <c r="G363" s="12">
        <f t="shared" si="23"/>
        <v>0.19239500000000001</v>
      </c>
      <c r="H363" s="12">
        <f t="shared" si="23"/>
        <v>0.19631599999999999</v>
      </c>
      <c r="I363" s="12">
        <f t="shared" si="23"/>
        <v>0.19981899999999997</v>
      </c>
      <c r="J363" s="12">
        <f t="shared" si="24"/>
        <v>0.20364002426231348</v>
      </c>
      <c r="K363" s="12">
        <f t="shared" si="24"/>
        <v>0.20758704429430927</v>
      </c>
      <c r="L363" s="12">
        <f t="shared" si="24"/>
        <v>0.2116638525274098</v>
      </c>
      <c r="O363" s="12">
        <f>C363/C$364</f>
        <v>6.9116673015753025E-4</v>
      </c>
      <c r="P363" s="12">
        <f>H363/H$364</f>
        <v>6.5567783182428048E-4</v>
      </c>
      <c r="Q363" s="12">
        <f>L363/L$364</f>
        <v>6.1691049528901025E-4</v>
      </c>
    </row>
    <row r="364" spans="1:17" x14ac:dyDescent="0.2">
      <c r="B364" s="12">
        <f>B345+B351+B357</f>
        <v>246.81586966968212</v>
      </c>
      <c r="C364" s="12">
        <f>C345+C351+C357</f>
        <v>252.27776800000001</v>
      </c>
      <c r="D364" s="12">
        <f t="shared" si="23"/>
        <v>262.80060600000002</v>
      </c>
      <c r="E364" s="12">
        <f t="shared" si="23"/>
        <v>272.034401</v>
      </c>
      <c r="F364" s="12">
        <f t="shared" si="23"/>
        <v>281.45956999999999</v>
      </c>
      <c r="G364" s="12">
        <f t="shared" si="23"/>
        <v>290.68486300000001</v>
      </c>
      <c r="H364" s="12">
        <f t="shared" si="23"/>
        <v>299.40923800000002</v>
      </c>
      <c r="I364" s="12">
        <f t="shared" si="23"/>
        <v>307.63700699999998</v>
      </c>
      <c r="J364" s="12">
        <f t="shared" si="24"/>
        <v>317.42717947250105</v>
      </c>
      <c r="K364" s="12">
        <f t="shared" si="24"/>
        <v>329.19496422398231</v>
      </c>
      <c r="L364" s="12">
        <f t="shared" si="24"/>
        <v>343.103017607521</v>
      </c>
    </row>
    <row r="365" spans="1:17" x14ac:dyDescent="0.2">
      <c r="A365" s="12" t="s">
        <v>660</v>
      </c>
    </row>
    <row r="366" spans="1:17" x14ac:dyDescent="0.2">
      <c r="A366" s="12" t="s">
        <v>661</v>
      </c>
      <c r="B366" s="12">
        <v>1.36828517913818</v>
      </c>
      <c r="C366" s="12">
        <v>1.5326470000000001</v>
      </c>
      <c r="D366" s="12">
        <v>1.742138</v>
      </c>
      <c r="E366" s="12">
        <v>1.554813</v>
      </c>
      <c r="F366" s="12">
        <v>1.646631</v>
      </c>
      <c r="G366" s="12">
        <v>1.68591</v>
      </c>
      <c r="H366" s="12">
        <v>1.763234</v>
      </c>
      <c r="I366" s="12">
        <v>1.8461419999999999</v>
      </c>
      <c r="J366" s="12">
        <f>I366*(1+$M366)^5</f>
        <v>1.9643497474583789</v>
      </c>
      <c r="K366" s="12">
        <f>J366*(1+$M366)^5</f>
        <v>2.0901262905777545</v>
      </c>
      <c r="L366" s="12">
        <f>K366*(1+$M366)^5</f>
        <v>2.2239562563727655</v>
      </c>
      <c r="M366" s="12">
        <v>1.2489999999999999E-2</v>
      </c>
    </row>
    <row r="367" spans="1:17" x14ac:dyDescent="0.2">
      <c r="A367" s="12" t="s">
        <v>662</v>
      </c>
      <c r="B367" s="12">
        <v>12.019849777221699</v>
      </c>
      <c r="C367" s="12">
        <v>13.532938</v>
      </c>
      <c r="D367" s="12">
        <v>15.679235</v>
      </c>
      <c r="E367" s="12">
        <v>13.993314</v>
      </c>
      <c r="F367" s="12">
        <v>14.819673999999999</v>
      </c>
      <c r="G367" s="12">
        <v>15.173185999999999</v>
      </c>
      <c r="H367" s="12">
        <v>15.869107</v>
      </c>
      <c r="I367" s="12">
        <v>16.615271</v>
      </c>
      <c r="J367" s="12">
        <f t="shared" ref="J367:L371" si="25">I367*(1+$M367)^5</f>
        <v>17.679052973831908</v>
      </c>
      <c r="K367" s="12">
        <f t="shared" si="25"/>
        <v>18.810942900152206</v>
      </c>
      <c r="L367" s="12">
        <f t="shared" si="25"/>
        <v>20.015301346545481</v>
      </c>
      <c r="M367" s="12">
        <v>1.2489E-2</v>
      </c>
    </row>
    <row r="368" spans="1:17" x14ac:dyDescent="0.2">
      <c r="A368" s="12" t="s">
        <v>663</v>
      </c>
      <c r="B368" s="12">
        <v>14.6827716827393</v>
      </c>
      <c r="C368" s="12">
        <v>14.905403</v>
      </c>
      <c r="D368" s="12">
        <v>15.280471</v>
      </c>
      <c r="E368" s="12">
        <v>16.462076</v>
      </c>
      <c r="F368" s="12">
        <v>17.390951000000001</v>
      </c>
      <c r="G368" s="12">
        <v>18.285793000000002</v>
      </c>
      <c r="H368" s="12">
        <v>19.070450000000001</v>
      </c>
      <c r="I368" s="12">
        <v>20.155982999999999</v>
      </c>
      <c r="J368" s="12">
        <f t="shared" si="25"/>
        <v>21.242093349281969</v>
      </c>
      <c r="K368" s="12">
        <f t="shared" si="25"/>
        <v>22.386729035225386</v>
      </c>
      <c r="L368" s="12">
        <f t="shared" si="25"/>
        <v>23.59304371071055</v>
      </c>
      <c r="M368" s="12">
        <v>1.0552000000000001E-2</v>
      </c>
    </row>
    <row r="369" spans="1:14" x14ac:dyDescent="0.2">
      <c r="A369" s="12" t="s">
        <v>664</v>
      </c>
      <c r="B369" s="12">
        <v>4.6282238960266104</v>
      </c>
      <c r="C369" s="12">
        <v>6.2289719999999997</v>
      </c>
      <c r="D369" s="12">
        <v>6.2737400000000001</v>
      </c>
      <c r="E369" s="12">
        <v>6.8573700000000004</v>
      </c>
      <c r="F369" s="12">
        <v>7.269692</v>
      </c>
      <c r="G369" s="12">
        <v>7.6791720000000003</v>
      </c>
      <c r="H369" s="12">
        <v>8.0227120000000003</v>
      </c>
      <c r="I369" s="12">
        <v>8.6227889999999991</v>
      </c>
      <c r="J369" s="12">
        <f t="shared" si="25"/>
        <v>9.1175050329279728</v>
      </c>
      <c r="K369" s="12">
        <f t="shared" si="25"/>
        <v>9.6406044523954968</v>
      </c>
      <c r="L369" s="12">
        <f t="shared" si="25"/>
        <v>10.193715700938961</v>
      </c>
      <c r="M369" s="12">
        <v>1.1220000000000001E-2</v>
      </c>
    </row>
    <row r="370" spans="1:14" x14ac:dyDescent="0.2">
      <c r="A370" s="12" t="s">
        <v>665</v>
      </c>
      <c r="B370" s="12">
        <v>9.2629423141479492</v>
      </c>
      <c r="C370" s="12">
        <v>11.359215000000001</v>
      </c>
      <c r="D370" s="12">
        <v>11.808797999999999</v>
      </c>
      <c r="E370" s="12">
        <v>13.095337000000001</v>
      </c>
      <c r="F370" s="12">
        <v>13.97372</v>
      </c>
      <c r="G370" s="12">
        <v>14.883554</v>
      </c>
      <c r="H370" s="12">
        <v>15.603406</v>
      </c>
      <c r="I370" s="12">
        <v>16.708776</v>
      </c>
      <c r="J370" s="12">
        <f t="shared" si="25"/>
        <v>17.744242746189681</v>
      </c>
      <c r="K370" s="12">
        <f t="shared" si="25"/>
        <v>18.843878847601111</v>
      </c>
      <c r="L370" s="12">
        <f t="shared" si="25"/>
        <v>20.011660970954615</v>
      </c>
      <c r="M370" s="12">
        <v>1.2097999999999999E-2</v>
      </c>
    </row>
    <row r="371" spans="1:14" x14ac:dyDescent="0.2">
      <c r="A371" s="12" t="s">
        <v>666</v>
      </c>
      <c r="B371" s="12">
        <v>41.962074279785199</v>
      </c>
      <c r="C371" s="12">
        <v>47.559176999999998</v>
      </c>
      <c r="D371" s="12">
        <f t="shared" ref="D371:I371" si="26">SUM(D366:D370)</f>
        <v>50.784381999999994</v>
      </c>
      <c r="E371" s="12">
        <f t="shared" si="26"/>
        <v>51.962910000000001</v>
      </c>
      <c r="F371" s="12">
        <f t="shared" si="26"/>
        <v>55.100667999999999</v>
      </c>
      <c r="G371" s="12">
        <f t="shared" si="26"/>
        <v>57.707615000000004</v>
      </c>
      <c r="H371" s="12">
        <f t="shared" si="26"/>
        <v>60.328909000000003</v>
      </c>
      <c r="I371" s="12">
        <f t="shared" si="26"/>
        <v>63.948960999999997</v>
      </c>
      <c r="J371" s="12">
        <f t="shared" si="25"/>
        <v>67.755100268830844</v>
      </c>
      <c r="K371" s="12">
        <f t="shared" si="25"/>
        <v>71.787774823101842</v>
      </c>
      <c r="L371" s="12">
        <f t="shared" si="25"/>
        <v>76.060467678521249</v>
      </c>
      <c r="M371" s="12">
        <v>1.163E-2</v>
      </c>
    </row>
    <row r="372" spans="1:14" x14ac:dyDescent="0.2">
      <c r="A372" s="12" t="s">
        <v>667</v>
      </c>
      <c r="B372" s="12">
        <f>B366/B367</f>
        <v>0.11383546421113835</v>
      </c>
      <c r="C372" s="12">
        <f t="shared" ref="C372:I372" si="27">C366/C367</f>
        <v>0.11325308665420622</v>
      </c>
      <c r="D372" s="12">
        <f t="shared" si="27"/>
        <v>0.11111116071670588</v>
      </c>
      <c r="E372" s="12">
        <f t="shared" si="27"/>
        <v>0.11111113493201111</v>
      </c>
      <c r="F372" s="12">
        <f t="shared" si="27"/>
        <v>0.11111114859881534</v>
      </c>
      <c r="G372" s="12">
        <f t="shared" si="27"/>
        <v>0.1111111404025496</v>
      </c>
      <c r="H372" s="12">
        <f t="shared" si="27"/>
        <v>0.11111110410938688</v>
      </c>
      <c r="I372" s="12">
        <f t="shared" si="27"/>
        <v>0.11111115792213079</v>
      </c>
      <c r="M372" s="12">
        <f>AVERAGE(B372:I372)</f>
        <v>0.111719424693368</v>
      </c>
      <c r="N372" s="12" t="s">
        <v>668</v>
      </c>
    </row>
    <row r="373" spans="1:14" x14ac:dyDescent="0.2">
      <c r="A373" s="12" t="s">
        <v>669</v>
      </c>
      <c r="B373" s="12">
        <f>B370/(B369+B370)</f>
        <v>0.66682250964381407</v>
      </c>
      <c r="C373" s="12">
        <f t="shared" ref="C373:L373" si="28">C370/(C369+C370)</f>
        <v>0.64584342888780977</v>
      </c>
      <c r="D373" s="12">
        <f t="shared" si="28"/>
        <v>0.65304980971144644</v>
      </c>
      <c r="E373" s="12">
        <f t="shared" si="28"/>
        <v>0.65631881428419714</v>
      </c>
      <c r="F373" s="12">
        <f t="shared" si="28"/>
        <v>0.65779075414062493</v>
      </c>
      <c r="G373" s="12">
        <f t="shared" si="28"/>
        <v>0.65965229556038574</v>
      </c>
      <c r="H373" s="12">
        <f t="shared" si="28"/>
        <v>0.66043037624716849</v>
      </c>
      <c r="I373" s="12">
        <f t="shared" si="28"/>
        <v>0.65960298939287809</v>
      </c>
      <c r="J373" s="12">
        <f>J370/(J369+J370)</f>
        <v>0.66057662710927811</v>
      </c>
      <c r="K373" s="12">
        <f t="shared" si="28"/>
        <v>0.66154890889677309</v>
      </c>
      <c r="L373" s="12">
        <f t="shared" si="28"/>
        <v>0.66251982845079627</v>
      </c>
    </row>
    <row r="374" spans="1:14" x14ac:dyDescent="0.2">
      <c r="A374" s="12" t="s">
        <v>670</v>
      </c>
      <c r="B374" s="12">
        <v>238.76042175293</v>
      </c>
      <c r="C374" s="12">
        <v>254.235229</v>
      </c>
      <c r="D374" s="12">
        <v>242.32740799999999</v>
      </c>
      <c r="E374" s="12">
        <v>253.949341</v>
      </c>
      <c r="F374" s="12">
        <v>263.08783</v>
      </c>
      <c r="G374" s="12">
        <v>271.47833300000002</v>
      </c>
      <c r="H374" s="12">
        <v>278.05593900000002</v>
      </c>
      <c r="I374" s="12">
        <v>282.41995200000002</v>
      </c>
    </row>
    <row r="375" spans="1:14" x14ac:dyDescent="0.2">
      <c r="A375" s="12" t="s">
        <v>671</v>
      </c>
      <c r="C375" s="12">
        <v>206.328171</v>
      </c>
      <c r="D375" s="12">
        <v>198.111267</v>
      </c>
      <c r="E375" s="12">
        <v>211.57408100000001</v>
      </c>
      <c r="F375" s="12">
        <v>218.46978799999999</v>
      </c>
      <c r="G375" s="12">
        <v>222.84683200000001</v>
      </c>
      <c r="H375" s="12">
        <v>224.423889</v>
      </c>
      <c r="I375" s="12">
        <v>223.34747300000001</v>
      </c>
    </row>
    <row r="376" spans="1:14" x14ac:dyDescent="0.2">
      <c r="A376" s="12" t="s">
        <v>672</v>
      </c>
      <c r="C376" s="12">
        <v>47.907066</v>
      </c>
      <c r="D376" s="12">
        <v>49.508136999999998</v>
      </c>
      <c r="E376" s="12">
        <v>55.511932000000002</v>
      </c>
      <c r="F376" s="12">
        <v>60.396110999999998</v>
      </c>
      <c r="G376" s="12">
        <v>65.688605999999993</v>
      </c>
      <c r="H376" s="12">
        <v>70.346091999999999</v>
      </c>
      <c r="I376" s="12">
        <v>75.197609</v>
      </c>
    </row>
    <row r="378" spans="1:14" x14ac:dyDescent="0.2">
      <c r="A378" s="12" t="s">
        <v>673</v>
      </c>
      <c r="B378" s="12">
        <v>150.99998474121099</v>
      </c>
      <c r="C378" s="12">
        <v>140</v>
      </c>
      <c r="D378" s="12">
        <v>133.882599</v>
      </c>
      <c r="E378" s="12">
        <v>137.64695699999999</v>
      </c>
      <c r="F378" s="12">
        <v>136.721069</v>
      </c>
      <c r="G378" s="12">
        <v>137.664185</v>
      </c>
      <c r="H378" s="12">
        <v>138.44519</v>
      </c>
      <c r="I378" s="12">
        <v>139.92749000000001</v>
      </c>
    </row>
    <row r="379" spans="1:14" x14ac:dyDescent="0.2">
      <c r="A379" s="12" t="s">
        <v>674</v>
      </c>
      <c r="B379" s="12">
        <v>601.73669433593795</v>
      </c>
      <c r="C379" s="12">
        <v>647.27655000000004</v>
      </c>
      <c r="D379" s="12">
        <v>891.51519800000005</v>
      </c>
      <c r="E379" s="12">
        <v>833.78912400000002</v>
      </c>
      <c r="F379" s="12">
        <v>890.49902299999997</v>
      </c>
      <c r="G379" s="12">
        <v>940.95318599999996</v>
      </c>
      <c r="H379" s="12">
        <v>997.70752000000005</v>
      </c>
      <c r="I379" s="12">
        <v>1069.1917719999999</v>
      </c>
    </row>
    <row r="381" spans="1:14" x14ac:dyDescent="0.2">
      <c r="A381" s="12" t="s">
        <v>675</v>
      </c>
      <c r="B381" s="12">
        <v>1972.51159667969</v>
      </c>
      <c r="C381" s="12">
        <v>2106.578125</v>
      </c>
      <c r="D381" s="12">
        <v>2010.980957</v>
      </c>
      <c r="E381" s="12">
        <v>2054.6286620000001</v>
      </c>
      <c r="F381" s="12">
        <v>2108.9658199999999</v>
      </c>
      <c r="G381" s="12">
        <v>2220.2490229999999</v>
      </c>
      <c r="H381" s="12">
        <v>2292.8022460000002</v>
      </c>
      <c r="I381" s="12">
        <v>2365.4570309999999</v>
      </c>
    </row>
    <row r="383" spans="1:14" x14ac:dyDescent="0.2">
      <c r="A383" s="12" t="s">
        <v>676</v>
      </c>
      <c r="B383" s="12">
        <v>27899.853515625</v>
      </c>
      <c r="C383" s="12">
        <v>27586.464843999998</v>
      </c>
      <c r="D383" s="12">
        <v>28136.337890999999</v>
      </c>
      <c r="E383" s="12">
        <v>28278.126952999999</v>
      </c>
      <c r="F383" s="12">
        <v>27108.894531000002</v>
      </c>
      <c r="G383" s="12">
        <v>26242.542968999998</v>
      </c>
      <c r="H383" s="12">
        <v>26131.845702999999</v>
      </c>
      <c r="I383" s="12">
        <v>26566.5625</v>
      </c>
    </row>
    <row r="386" spans="1:11" x14ac:dyDescent="0.2">
      <c r="A386" s="12" t="s">
        <v>677</v>
      </c>
    </row>
    <row r="387" spans="1:11" x14ac:dyDescent="0.2">
      <c r="A387" s="12" t="s">
        <v>678</v>
      </c>
    </row>
    <row r="388" spans="1:11" x14ac:dyDescent="0.2">
      <c r="B388" s="12" t="s">
        <v>533</v>
      </c>
      <c r="K388" s="12" t="s">
        <v>679</v>
      </c>
    </row>
    <row r="389" spans="1:11" x14ac:dyDescent="0.2">
      <c r="B389" s="12">
        <v>2005</v>
      </c>
      <c r="C389" s="12">
        <v>2010</v>
      </c>
      <c r="D389" s="12">
        <v>2015</v>
      </c>
      <c r="E389" s="12">
        <v>2020</v>
      </c>
      <c r="F389" s="12">
        <v>2025</v>
      </c>
      <c r="G389" s="12">
        <v>2030</v>
      </c>
      <c r="H389" s="12">
        <v>2035</v>
      </c>
      <c r="I389" s="12">
        <v>2040</v>
      </c>
      <c r="K389" s="12">
        <v>2035</v>
      </c>
    </row>
    <row r="390" spans="1:11" x14ac:dyDescent="0.2">
      <c r="A390" s="12" t="s">
        <v>680</v>
      </c>
    </row>
    <row r="391" spans="1:11" x14ac:dyDescent="0.2">
      <c r="A391" s="12" t="s">
        <v>681</v>
      </c>
    </row>
    <row r="392" spans="1:11" x14ac:dyDescent="0.2">
      <c r="A392" s="12" t="s">
        <v>682</v>
      </c>
    </row>
    <row r="393" spans="1:11" x14ac:dyDescent="0.2">
      <c r="A393" s="12" t="s">
        <v>683</v>
      </c>
      <c r="B393" s="460">
        <v>2687.05810546875</v>
      </c>
      <c r="C393" s="12">
        <v>2662</v>
      </c>
      <c r="D393" s="676">
        <v>2751.9343260000001</v>
      </c>
      <c r="E393" s="676">
        <v>3030.6010740000002</v>
      </c>
      <c r="F393" s="676">
        <v>3126.2282709999999</v>
      </c>
      <c r="G393" s="676">
        <v>3231.9309079999998</v>
      </c>
      <c r="H393" s="676">
        <v>3335.5920409999999</v>
      </c>
      <c r="I393" s="676">
        <v>3438.3703609999998</v>
      </c>
    </row>
    <row r="394" spans="1:11" x14ac:dyDescent="0.2">
      <c r="A394" s="12" t="s">
        <v>684</v>
      </c>
      <c r="B394" s="460">
        <v>68.601478576660199</v>
      </c>
      <c r="C394" s="12">
        <v>64</v>
      </c>
      <c r="D394" s="676">
        <v>96.090423999999999</v>
      </c>
      <c r="E394" s="676">
        <v>109.556091</v>
      </c>
      <c r="F394" s="676">
        <v>117.975876</v>
      </c>
      <c r="G394" s="676">
        <v>124.926193</v>
      </c>
      <c r="H394" s="676">
        <v>133.282791</v>
      </c>
      <c r="I394" s="676">
        <v>142.89918499999999</v>
      </c>
      <c r="K394" s="12">
        <f>((I394/G394)^0.1-1)*0.9</f>
        <v>1.2179135048634326E-2</v>
      </c>
    </row>
    <row r="395" spans="1:11" x14ac:dyDescent="0.2">
      <c r="A395" s="12" t="s">
        <v>685</v>
      </c>
      <c r="B395" s="460">
        <f>B29</f>
        <v>519.48193359375</v>
      </c>
      <c r="C395" s="15">
        <f>G29</f>
        <v>557.60723900000005</v>
      </c>
      <c r="D395" s="676">
        <v>279.810699</v>
      </c>
      <c r="E395" s="676">
        <v>304.24569700000001</v>
      </c>
      <c r="F395" s="676">
        <v>328.74374399999999</v>
      </c>
      <c r="G395" s="676">
        <v>348.861603</v>
      </c>
      <c r="H395" s="676">
        <v>375.304169</v>
      </c>
      <c r="I395" s="676">
        <v>406.83139</v>
      </c>
      <c r="K395" s="12">
        <f>((H395/F395)^0.1-1)*0.5</f>
        <v>6.6669703309659711E-3</v>
      </c>
    </row>
    <row r="396" spans="1:11" s="81" customFormat="1" x14ac:dyDescent="0.2">
      <c r="A396" s="81" t="s">
        <v>686</v>
      </c>
      <c r="B396" s="461">
        <f>B30</f>
        <v>205.95259094238301</v>
      </c>
      <c r="C396" s="82">
        <f>G30</f>
        <v>258.51861600000001</v>
      </c>
      <c r="D396" s="677">
        <v>279.810699</v>
      </c>
      <c r="E396" s="677">
        <v>304.24569700000001</v>
      </c>
      <c r="F396" s="677">
        <v>328.74374399999999</v>
      </c>
      <c r="G396" s="677">
        <v>348.861603</v>
      </c>
      <c r="H396" s="677">
        <v>375.304169</v>
      </c>
      <c r="I396" s="677">
        <v>406.83139</v>
      </c>
      <c r="K396" s="81">
        <f>((I396/G396)^0.1-1)*0.9</f>
        <v>1.394200420573577E-2</v>
      </c>
    </row>
    <row r="397" spans="1:11" x14ac:dyDescent="0.2">
      <c r="A397" s="12" t="s">
        <v>687</v>
      </c>
    </row>
    <row r="398" spans="1:11" x14ac:dyDescent="0.2">
      <c r="A398" s="12" t="s">
        <v>688</v>
      </c>
      <c r="B398" s="460">
        <v>1028.64306640625</v>
      </c>
      <c r="C398" s="12">
        <v>999</v>
      </c>
      <c r="D398" s="676">
        <v>1069.5279539999999</v>
      </c>
      <c r="E398" s="676">
        <v>1168.127808</v>
      </c>
      <c r="F398" s="676">
        <v>1260.636475</v>
      </c>
      <c r="G398" s="676">
        <v>1364.0306399999999</v>
      </c>
      <c r="H398" s="676">
        <v>1451.8038329999999</v>
      </c>
      <c r="I398" s="676">
        <v>1531.407471</v>
      </c>
      <c r="K398" s="12">
        <f>((I398/G398)^0.1-1)*0.9</f>
        <v>1.0477405975356225E-2</v>
      </c>
    </row>
    <row r="399" spans="1:11" x14ac:dyDescent="0.2">
      <c r="A399" s="12" t="s">
        <v>689</v>
      </c>
    </row>
    <row r="400" spans="1:11" x14ac:dyDescent="0.2">
      <c r="A400" s="12" t="s">
        <v>690</v>
      </c>
      <c r="B400" s="460">
        <v>1587.57189941406</v>
      </c>
      <c r="C400" s="12">
        <v>1559</v>
      </c>
      <c r="D400" s="676">
        <v>1689.6267089999999</v>
      </c>
      <c r="E400" s="676">
        <v>1810.078491</v>
      </c>
      <c r="F400" s="676">
        <v>1956.1982419999999</v>
      </c>
      <c r="G400" s="676">
        <v>2006.1445309999999</v>
      </c>
      <c r="H400" s="676">
        <v>2054.1965329999998</v>
      </c>
      <c r="I400" s="676">
        <v>2127.6916500000002</v>
      </c>
      <c r="K400" s="12">
        <f>((I400/G400)^0.1-1)*0.9</f>
        <v>5.309664291793581E-3</v>
      </c>
    </row>
    <row r="401" spans="1:9" x14ac:dyDescent="0.2">
      <c r="A401" s="12" t="s">
        <v>691</v>
      </c>
      <c r="B401" s="460">
        <v>609.66827392578102</v>
      </c>
      <c r="C401" s="12">
        <v>522</v>
      </c>
      <c r="D401" s="676">
        <v>481.69042999999999</v>
      </c>
      <c r="E401" s="676">
        <v>452.65216099999998</v>
      </c>
      <c r="F401" s="676">
        <v>422.92309599999999</v>
      </c>
      <c r="G401" s="676">
        <v>403.64581299999998</v>
      </c>
      <c r="H401" s="676">
        <v>401.73941000000002</v>
      </c>
      <c r="I401" s="676">
        <v>406.86798099999999</v>
      </c>
    </row>
    <row r="404" spans="1:9" x14ac:dyDescent="0.2">
      <c r="A404" s="12" t="s">
        <v>692</v>
      </c>
    </row>
    <row r="405" spans="1:9" x14ac:dyDescent="0.2">
      <c r="A405" s="12" t="s">
        <v>693</v>
      </c>
    </row>
    <row r="407" spans="1:9" x14ac:dyDescent="0.2">
      <c r="A407" s="12" t="s">
        <v>694</v>
      </c>
      <c r="B407" s="12">
        <v>2007</v>
      </c>
      <c r="C407" s="12">
        <v>2010</v>
      </c>
      <c r="D407" s="12">
        <v>2015</v>
      </c>
      <c r="E407" s="12">
        <v>2020</v>
      </c>
      <c r="F407" s="12">
        <v>2025</v>
      </c>
      <c r="G407" s="12">
        <v>2030</v>
      </c>
      <c r="H407" s="12">
        <v>2035</v>
      </c>
      <c r="I407" s="12">
        <v>2040</v>
      </c>
    </row>
    <row r="408" spans="1:9" x14ac:dyDescent="0.2">
      <c r="A408" s="12" t="s">
        <v>695</v>
      </c>
    </row>
    <row r="409" spans="1:9" x14ac:dyDescent="0.2">
      <c r="A409" s="12" t="s">
        <v>696</v>
      </c>
      <c r="B409" s="12">
        <v>2749.1499020000001</v>
      </c>
      <c r="C409" s="12">
        <v>2515.218018</v>
      </c>
      <c r="D409" s="12">
        <v>2373.836182</v>
      </c>
      <c r="E409" s="12">
        <v>2517.0046390000002</v>
      </c>
      <c r="F409" s="12">
        <v>2664.7272950000001</v>
      </c>
      <c r="G409" s="12">
        <v>2821.0219729999999</v>
      </c>
      <c r="H409" s="12">
        <v>2926.626221</v>
      </c>
      <c r="I409" s="12">
        <v>2995.169922</v>
      </c>
    </row>
    <row r="410" spans="1:9" x14ac:dyDescent="0.2">
      <c r="A410" s="12" t="s">
        <v>697</v>
      </c>
      <c r="B410" s="12">
        <v>160.99749800000001</v>
      </c>
      <c r="C410" s="12">
        <v>150.446777</v>
      </c>
      <c r="D410" s="12">
        <v>134.56132500000001</v>
      </c>
      <c r="E410" s="12">
        <v>141.239014</v>
      </c>
      <c r="F410" s="12">
        <v>148.219223</v>
      </c>
      <c r="G410" s="12">
        <v>155.641006</v>
      </c>
      <c r="H410" s="12">
        <v>160.66151400000001</v>
      </c>
      <c r="I410" s="12">
        <v>163.922348</v>
      </c>
    </row>
    <row r="411" spans="1:9" x14ac:dyDescent="0.2">
      <c r="A411" s="12" t="s">
        <v>698</v>
      </c>
      <c r="B411" s="12">
        <v>1621.741211</v>
      </c>
      <c r="C411" s="12">
        <v>1530.026001</v>
      </c>
      <c r="D411" s="12">
        <v>1443.963745</v>
      </c>
      <c r="E411" s="12">
        <v>1515.5327150000001</v>
      </c>
      <c r="F411" s="12">
        <v>1583.6843260000001</v>
      </c>
      <c r="G411" s="12">
        <v>1662.299927</v>
      </c>
      <c r="H411" s="12">
        <v>1720.2928469999999</v>
      </c>
      <c r="I411" s="12">
        <v>1765.4920649999999</v>
      </c>
    </row>
    <row r="412" spans="1:9" x14ac:dyDescent="0.2">
      <c r="A412" s="12" t="s">
        <v>699</v>
      </c>
      <c r="B412" s="12">
        <v>633.98150599999997</v>
      </c>
      <c r="C412" s="12">
        <v>679.248108</v>
      </c>
      <c r="D412" s="12">
        <v>654.04089399999998</v>
      </c>
      <c r="E412" s="12">
        <v>729.05523700000003</v>
      </c>
      <c r="F412" s="12">
        <v>792.60369900000001</v>
      </c>
      <c r="G412" s="12">
        <v>855.74395800000002</v>
      </c>
      <c r="H412" s="12">
        <v>892.16186500000003</v>
      </c>
      <c r="I412" s="12">
        <v>910.23492399999998</v>
      </c>
    </row>
    <row r="413" spans="1:9" x14ac:dyDescent="0.2">
      <c r="A413" s="12" t="s">
        <v>700</v>
      </c>
      <c r="B413" s="12">
        <v>332.429596</v>
      </c>
      <c r="C413" s="12">
        <v>155.497086</v>
      </c>
      <c r="D413" s="12">
        <v>141.27034</v>
      </c>
      <c r="E413" s="12">
        <v>131.177719</v>
      </c>
      <c r="F413" s="12">
        <v>140.21989400000001</v>
      </c>
      <c r="G413" s="12">
        <v>147.337265</v>
      </c>
      <c r="H413" s="12">
        <v>153.51000999999999</v>
      </c>
      <c r="I413" s="12">
        <v>155.520386</v>
      </c>
    </row>
    <row r="415" spans="1:9" x14ac:dyDescent="0.2">
      <c r="A415" s="12" t="s">
        <v>701</v>
      </c>
    </row>
    <row r="416" spans="1:9" x14ac:dyDescent="0.2">
      <c r="A416" s="12" t="s">
        <v>702</v>
      </c>
      <c r="C416" s="12">
        <f>C411+C412</f>
        <v>2209.274109</v>
      </c>
    </row>
    <row r="417" spans="1:3" x14ac:dyDescent="0.2">
      <c r="A417" s="12" t="s">
        <v>703</v>
      </c>
      <c r="C417" s="12">
        <f>C413</f>
        <v>155.497086</v>
      </c>
    </row>
    <row r="418" spans="1:3" x14ac:dyDescent="0.2">
      <c r="A418" s="12" t="s">
        <v>704</v>
      </c>
      <c r="C418" s="12">
        <f>C410-C329</f>
        <v>118.23853299999999</v>
      </c>
    </row>
    <row r="419" spans="1:3" x14ac:dyDescent="0.2">
      <c r="A419" s="12" t="s">
        <v>705</v>
      </c>
      <c r="C419" s="12">
        <f>SUM(C416:C418)</f>
        <v>2483.009728</v>
      </c>
    </row>
  </sheetData>
  <phoneticPr fontId="18" type="noConversion"/>
  <pageMargins left="0.64" right="0.53" top="1" bottom="1" header="0.5" footer="0.5"/>
  <pageSetup orientation="landscape" horizontalDpi="300" verticalDpi="300" r:id="rId1"/>
  <headerFooter alignWithMargins="0"/>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AC124"/>
  <sheetViews>
    <sheetView showFormulas="1" topLeftCell="A8" zoomScale="80" zoomScaleNormal="80" workbookViewId="0">
      <pane xSplit="2" topLeftCell="C1" activePane="topRight" state="frozen"/>
      <selection activeCell="O26" sqref="O26"/>
      <selection pane="topRight" activeCell="C8" sqref="C8"/>
    </sheetView>
  </sheetViews>
  <sheetFormatPr defaultColWidth="9.140625" defaultRowHeight="12.75" x14ac:dyDescent="0.2"/>
  <cols>
    <col min="1" max="1" width="6.5703125" style="298" customWidth="1"/>
    <col min="2" max="2" width="32" style="298" customWidth="1"/>
    <col min="3" max="14" width="11.5703125" style="298" customWidth="1"/>
    <col min="15" max="16" width="9.140625" style="298"/>
    <col min="17" max="17" width="17.5703125" style="298" customWidth="1"/>
    <col min="18" max="18" width="22" style="298" customWidth="1"/>
    <col min="19" max="26" width="15.5703125" style="298" customWidth="1"/>
    <col min="27" max="27" width="27.140625" style="298" customWidth="1"/>
    <col min="28" max="33" width="15.5703125" style="298" customWidth="1"/>
    <col min="34" max="16384" width="9.140625" style="298"/>
  </cols>
  <sheetData>
    <row r="1" spans="1:27" ht="15.75" customHeight="1" thickBot="1" x14ac:dyDescent="0.25">
      <c r="B1" s="311" t="s">
        <v>738</v>
      </c>
      <c r="R1" s="312" t="s">
        <v>739</v>
      </c>
      <c r="S1" s="313"/>
      <c r="T1" s="313"/>
      <c r="U1" s="313"/>
      <c r="V1" s="313"/>
      <c r="W1" s="313"/>
      <c r="X1" s="313"/>
      <c r="Y1" s="313"/>
      <c r="Z1" s="313"/>
      <c r="AA1" s="314"/>
    </row>
    <row r="2" spans="1:27" ht="13.5" thickBot="1" x14ac:dyDescent="0.25">
      <c r="A2" s="1141" t="s">
        <v>740</v>
      </c>
      <c r="B2" s="1141"/>
      <c r="C2" s="1141"/>
      <c r="D2" s="1141"/>
      <c r="E2" s="1141"/>
      <c r="F2" s="1141"/>
      <c r="G2" s="1141"/>
      <c r="H2" s="1141"/>
      <c r="I2" s="1141"/>
      <c r="J2" s="1141"/>
      <c r="K2" s="1141"/>
      <c r="L2" s="1141"/>
      <c r="M2" s="1141"/>
      <c r="R2" s="315" t="s">
        <v>741</v>
      </c>
      <c r="S2" s="316" t="s">
        <v>742</v>
      </c>
      <c r="T2" s="316" t="s">
        <v>743</v>
      </c>
      <c r="U2" s="316" t="s">
        <v>744</v>
      </c>
      <c r="V2" s="316" t="s">
        <v>745</v>
      </c>
      <c r="W2" s="316" t="s">
        <v>746</v>
      </c>
      <c r="X2" s="317" t="s">
        <v>747</v>
      </c>
      <c r="Y2" s="317" t="s">
        <v>748</v>
      </c>
      <c r="Z2" s="318" t="s">
        <v>749</v>
      </c>
      <c r="AA2" s="319" t="s">
        <v>750</v>
      </c>
    </row>
    <row r="3" spans="1:27" ht="13.5" thickBot="1" x14ac:dyDescent="0.25">
      <c r="B3" s="300" t="s">
        <v>751</v>
      </c>
      <c r="R3" s="320" t="s">
        <v>752</v>
      </c>
      <c r="S3" s="321">
        <v>0</v>
      </c>
      <c r="T3" s="321"/>
      <c r="U3" s="321">
        <f t="shared" ref="U3:U12" si="0">S3*T3</f>
        <v>0</v>
      </c>
      <c r="V3" s="321">
        <f>U3*0.264172</f>
        <v>0</v>
      </c>
      <c r="W3" s="321">
        <f>V3*0.264172</f>
        <v>0</v>
      </c>
      <c r="X3" s="322"/>
      <c r="Y3" s="322"/>
      <c r="Z3" s="323"/>
      <c r="AA3" s="324"/>
    </row>
    <row r="4" spans="1:27" ht="13.5" thickBot="1" x14ac:dyDescent="0.25">
      <c r="A4" s="325" t="s">
        <v>709</v>
      </c>
      <c r="B4" s="313" t="s">
        <v>710</v>
      </c>
      <c r="C4" s="326">
        <v>2005</v>
      </c>
      <c r="D4" s="326">
        <v>2010</v>
      </c>
      <c r="E4" s="326">
        <v>2015</v>
      </c>
      <c r="F4" s="326">
        <v>2020</v>
      </c>
      <c r="G4" s="326">
        <v>2025</v>
      </c>
      <c r="H4" s="326">
        <v>2030</v>
      </c>
      <c r="I4" s="326">
        <v>2035</v>
      </c>
      <c r="J4" s="326">
        <v>2040</v>
      </c>
      <c r="K4" s="326">
        <v>2045</v>
      </c>
      <c r="L4" s="326">
        <v>2050</v>
      </c>
      <c r="M4" s="327">
        <v>2055</v>
      </c>
      <c r="R4" s="320" t="s">
        <v>753</v>
      </c>
      <c r="S4" s="321">
        <v>1441096</v>
      </c>
      <c r="T4" s="321">
        <v>1</v>
      </c>
      <c r="U4" s="321">
        <f t="shared" si="0"/>
        <v>1441096</v>
      </c>
      <c r="V4" s="321">
        <f t="shared" ref="V4:V12" si="1">U4*0.264172</f>
        <v>380697.212512</v>
      </c>
      <c r="W4" s="328">
        <v>3.2332820000000001E-3</v>
      </c>
      <c r="X4" s="321">
        <f>S4*W4</f>
        <v>4659.469757072</v>
      </c>
      <c r="Y4" s="322">
        <f>Z4/V4</f>
        <v>7.6051499387595955E-3</v>
      </c>
      <c r="Z4" s="329">
        <f>X4*0.621371</f>
        <v>2895.2593824215855</v>
      </c>
      <c r="AA4" s="330" t="s">
        <v>754</v>
      </c>
    </row>
    <row r="5" spans="1:27" x14ac:dyDescent="0.2">
      <c r="A5" s="331" t="s">
        <v>89</v>
      </c>
      <c r="B5" s="298" t="s">
        <v>755</v>
      </c>
      <c r="C5" s="749">
        <v>0</v>
      </c>
      <c r="D5" s="750">
        <v>0</v>
      </c>
      <c r="E5" s="750">
        <v>0</v>
      </c>
      <c r="F5" s="750">
        <v>0</v>
      </c>
      <c r="G5" s="750">
        <v>0</v>
      </c>
      <c r="H5" s="750">
        <v>0</v>
      </c>
      <c r="I5" s="750">
        <v>0</v>
      </c>
      <c r="J5" s="750">
        <v>0</v>
      </c>
      <c r="K5" s="750">
        <v>0</v>
      </c>
      <c r="L5" s="750">
        <v>0</v>
      </c>
      <c r="M5" s="751">
        <f>L5*(1+'AEO Data'!$K264)^5</f>
        <v>0</v>
      </c>
      <c r="R5" s="320" t="s">
        <v>756</v>
      </c>
      <c r="S5" s="321">
        <v>5457605</v>
      </c>
      <c r="T5" s="332">
        <v>3.7629999999999997E-2</v>
      </c>
      <c r="U5" s="321">
        <f t="shared" si="0"/>
        <v>205369.67614999998</v>
      </c>
      <c r="V5" s="321">
        <f t="shared" si="1"/>
        <v>54252.9180878978</v>
      </c>
      <c r="W5" s="333">
        <f>X5/U5</f>
        <v>17.005702659200001</v>
      </c>
      <c r="X5" s="321">
        <f>1.60934*Z5</f>
        <v>3492455.6478230976</v>
      </c>
      <c r="Y5" s="334">
        <v>40</v>
      </c>
      <c r="Z5" s="329">
        <f>V5*Y5</f>
        <v>2170116.723515912</v>
      </c>
      <c r="AA5" s="330" t="s">
        <v>757</v>
      </c>
    </row>
    <row r="6" spans="1:27" x14ac:dyDescent="0.2">
      <c r="A6" s="335" t="s">
        <v>93</v>
      </c>
      <c r="B6" s="336" t="s">
        <v>514</v>
      </c>
      <c r="C6" s="337">
        <f>NYCTranscalc!C53</f>
        <v>0.25353322744774398</v>
      </c>
      <c r="D6" s="338">
        <f>NYCTranscalc!D53</f>
        <v>0.25562630789716001</v>
      </c>
      <c r="E6" s="338">
        <f>NYCTranscalc!E53</f>
        <v>0.26333157679315583</v>
      </c>
      <c r="F6" s="338">
        <f>NYCTranscalc!F53</f>
        <v>0.2651889914747641</v>
      </c>
      <c r="G6" s="338">
        <f>NYCTranscalc!G53</f>
        <v>0.26937657895937311</v>
      </c>
      <c r="H6" s="338">
        <f>NYCTranscalc!H53</f>
        <v>0.27356416644398213</v>
      </c>
      <c r="I6" s="338">
        <f>NYCTranscalc!I53</f>
        <v>0.27672929509205296</v>
      </c>
      <c r="J6" s="338">
        <f>NYCTranscalc!J53</f>
        <v>0.2798944237401238</v>
      </c>
      <c r="K6" s="338">
        <f>NYCTranscalc!K53</f>
        <v>0.28456924293751279</v>
      </c>
      <c r="L6" s="338">
        <f>NYCTranscalc!L53</f>
        <v>0.28932857641578624</v>
      </c>
      <c r="M6" s="339">
        <f>NYCTranscalc!M53</f>
        <v>0.29417404974189804</v>
      </c>
      <c r="R6" s="320" t="s">
        <v>758</v>
      </c>
      <c r="S6" s="321">
        <v>330030777</v>
      </c>
      <c r="T6" s="332">
        <v>3.8490000000000003E-2</v>
      </c>
      <c r="U6" s="321">
        <f t="shared" si="0"/>
        <v>12702884.606730001</v>
      </c>
      <c r="V6" s="321">
        <f t="shared" si="1"/>
        <v>3355746.4323290782</v>
      </c>
      <c r="W6" s="333">
        <v>3.65</v>
      </c>
      <c r="X6" s="321">
        <f t="shared" ref="X6:X13" si="2">U6*W6</f>
        <v>46365528.814564504</v>
      </c>
      <c r="Y6" s="334">
        <f t="shared" ref="Y6:Y13" si="3">Z6/V6</f>
        <v>8.585331337159122</v>
      </c>
      <c r="Z6" s="329">
        <f t="shared" ref="Z6:Z13" si="4">X6*0.621371</f>
        <v>28810195.00503476</v>
      </c>
      <c r="AA6" s="330" t="s">
        <v>754</v>
      </c>
    </row>
    <row r="7" spans="1:27" x14ac:dyDescent="0.2">
      <c r="A7" s="331" t="s">
        <v>96</v>
      </c>
      <c r="B7" s="298" t="s">
        <v>515</v>
      </c>
      <c r="C7" s="337">
        <f>($D7/'Population NYC'!$E18)*'Population NYC'!D18</f>
        <v>0.12970652454619411</v>
      </c>
      <c r="D7" s="338">
        <f>(M19*W23/1000000000)</f>
        <v>0.13077733563246599</v>
      </c>
      <c r="E7" s="338">
        <f>($D7/'Population NYC'!$E18)*'Population NYC'!F18</f>
        <v>0.13471931854040459</v>
      </c>
      <c r="F7" s="338">
        <f>($D7/'Population NYC'!$E18)*'Population NYC'!G18</f>
        <v>0.13566956401874977</v>
      </c>
      <c r="G7" s="338">
        <f>($D7/'Population NYC'!$E18)*'Population NYC'!H18</f>
        <v>0.1378119160265304</v>
      </c>
      <c r="H7" s="338">
        <f>($D7/'Population NYC'!$E18)*'Population NYC'!I18</f>
        <v>0.13995426803431099</v>
      </c>
      <c r="I7" s="338">
        <f>($D7/'Population NYC'!$E18)*'Population NYC'!J18</f>
        <v>0.14157353443507292</v>
      </c>
      <c r="J7" s="338">
        <f>($D7/'Population NYC'!$E18)*'Population NYC'!K18</f>
        <v>0.14319280083583485</v>
      </c>
      <c r="K7" s="338">
        <f>($D7/'Population NYC'!$E18)*'Population NYC'!L18</f>
        <v>0.14558441852271231</v>
      </c>
      <c r="L7" s="338">
        <f>($D7/'Population NYC'!$E18)*'Population NYC'!M18</f>
        <v>0.14801927335747134</v>
      </c>
      <c r="M7" s="339">
        <f>($D7/'Population NYC'!$E18)*'Population NYC'!N18</f>
        <v>0.15049819697327546</v>
      </c>
      <c r="R7" s="320" t="s">
        <v>759</v>
      </c>
      <c r="S7" s="321">
        <v>35654961</v>
      </c>
      <c r="T7" s="332">
        <v>3.8490000000000003E-2</v>
      </c>
      <c r="U7" s="321">
        <f t="shared" si="0"/>
        <v>1372359.4488900001</v>
      </c>
      <c r="V7" s="321">
        <f t="shared" si="1"/>
        <v>362538.94033216912</v>
      </c>
      <c r="W7" s="333">
        <v>4.38</v>
      </c>
      <c r="X7" s="321">
        <f t="shared" si="2"/>
        <v>6010934.3861382008</v>
      </c>
      <c r="Y7" s="334">
        <f t="shared" si="3"/>
        <v>10.302397604590949</v>
      </c>
      <c r="Z7" s="329">
        <f t="shared" si="4"/>
        <v>3735020.3104490801</v>
      </c>
      <c r="AA7" s="330" t="s">
        <v>754</v>
      </c>
    </row>
    <row r="8" spans="1:27" x14ac:dyDescent="0.2">
      <c r="A8" s="331"/>
      <c r="B8" s="298" t="s">
        <v>760</v>
      </c>
      <c r="C8" s="337">
        <f>($D8/'Population NYC'!$E18)*'Population NYC'!D18</f>
        <v>0.1370718960470145</v>
      </c>
      <c r="D8" s="340">
        <f>W27/1000000000+(M21*W23/1000000000)</f>
        <v>0.13820351302940601</v>
      </c>
      <c r="E8" s="338">
        <f>($D8/'Population NYC'!$E$18)*'Population NYC'!F$18</f>
        <v>0.14236934102662158</v>
      </c>
      <c r="F8" s="338">
        <f>($D8/'Population NYC'!$E18)*'Population NYC'!G18</f>
        <v>0.14337354609558473</v>
      </c>
      <c r="G8" s="338">
        <f>($D8/'Population NYC'!$E18)*'Population NYC'!H18</f>
        <v>0.14563755133922249</v>
      </c>
      <c r="H8" s="338">
        <f>($D8/'Population NYC'!$E18)*'Population NYC'!I18</f>
        <v>0.14790155658286028</v>
      </c>
      <c r="I8" s="338">
        <f>($D8/'Population NYC'!$E18)*'Population NYC'!J18</f>
        <v>0.14961277285771016</v>
      </c>
      <c r="J8" s="338">
        <f>($D8/'Population NYC'!$E18)*'Population NYC'!K18</f>
        <v>0.15132398913256001</v>
      </c>
      <c r="K8" s="338">
        <f>($D8/'Population NYC'!$E18)*'Population NYC'!L18</f>
        <v>0.15385141458094692</v>
      </c>
      <c r="L8" s="338">
        <f>($D8/'Population NYC'!$E18)*'Population NYC'!M18</f>
        <v>0.15642453239415913</v>
      </c>
      <c r="M8" s="339">
        <f>($D8/'Population NYC'!$E18)*'Population NYC'!N18</f>
        <v>0.1590442214295629</v>
      </c>
      <c r="R8" s="320" t="s">
        <v>761</v>
      </c>
      <c r="S8" s="321">
        <v>7164770</v>
      </c>
      <c r="T8" s="332">
        <v>3.8490000000000003E-2</v>
      </c>
      <c r="U8" s="321">
        <f t="shared" si="0"/>
        <v>275771.99730000005</v>
      </c>
      <c r="V8" s="321">
        <f t="shared" si="1"/>
        <v>72851.240070735614</v>
      </c>
      <c r="W8" s="333">
        <v>5.38</v>
      </c>
      <c r="X8" s="321">
        <f t="shared" si="2"/>
        <v>1483653.3454740003</v>
      </c>
      <c r="Y8" s="334">
        <f t="shared" si="3"/>
        <v>12.654543176415366</v>
      </c>
      <c r="Z8" s="329">
        <f t="shared" si="4"/>
        <v>921899.16293052502</v>
      </c>
      <c r="AA8" s="330" t="s">
        <v>754</v>
      </c>
    </row>
    <row r="9" spans="1:27" x14ac:dyDescent="0.2">
      <c r="A9" s="331" t="s">
        <v>106</v>
      </c>
      <c r="B9" s="298" t="s">
        <v>518</v>
      </c>
      <c r="C9" s="341">
        <v>0</v>
      </c>
      <c r="D9" s="342">
        <v>0</v>
      </c>
      <c r="E9" s="342">
        <v>0</v>
      </c>
      <c r="F9" s="342">
        <v>0</v>
      </c>
      <c r="G9" s="342">
        <v>0</v>
      </c>
      <c r="H9" s="342">
        <v>0</v>
      </c>
      <c r="I9" s="342">
        <v>0</v>
      </c>
      <c r="J9" s="342">
        <v>0</v>
      </c>
      <c r="K9" s="342">
        <v>0</v>
      </c>
      <c r="L9" s="342">
        <v>0</v>
      </c>
      <c r="M9" s="343">
        <v>0</v>
      </c>
      <c r="R9" s="320" t="s">
        <v>762</v>
      </c>
      <c r="S9" s="321">
        <v>14353102</v>
      </c>
      <c r="T9" s="332">
        <v>3.8490000000000003E-2</v>
      </c>
      <c r="U9" s="321">
        <f t="shared" si="0"/>
        <v>552450.89598000003</v>
      </c>
      <c r="V9" s="321">
        <f t="shared" si="1"/>
        <v>145942.05809282858</v>
      </c>
      <c r="W9" s="333">
        <v>6.73</v>
      </c>
      <c r="X9" s="321">
        <f t="shared" si="2"/>
        <v>3717994.5299454005</v>
      </c>
      <c r="Y9" s="334">
        <f t="shared" si="3"/>
        <v>15.829939698378329</v>
      </c>
      <c r="Z9" s="329">
        <f t="shared" si="4"/>
        <v>2310253.9790667035</v>
      </c>
      <c r="AA9" s="330" t="s">
        <v>754</v>
      </c>
    </row>
    <row r="10" spans="1:27" x14ac:dyDescent="0.2">
      <c r="A10" s="335" t="s">
        <v>110</v>
      </c>
      <c r="B10" s="336" t="s">
        <v>713</v>
      </c>
      <c r="C10" s="344">
        <f>NYCTranscalc!C54</f>
        <v>9.053090667727302</v>
      </c>
      <c r="D10" s="345">
        <f>NYCTranscalc!D54</f>
        <v>9.1278297750000004</v>
      </c>
      <c r="E10" s="345">
        <f>NYCTranscalc!E54</f>
        <v>9.4029672732951575</v>
      </c>
      <c r="F10" s="345">
        <f>NYCTranscalc!F54</f>
        <v>9.4692912959467197</v>
      </c>
      <c r="G10" s="345">
        <f>NYCTranscalc!G54</f>
        <v>9.6188204506016817</v>
      </c>
      <c r="H10" s="345">
        <f>NYCTranscalc!H54</f>
        <v>9.7683496052566419</v>
      </c>
      <c r="I10" s="345">
        <f>NYCTranscalc!I54</f>
        <v>9.8813690974725592</v>
      </c>
      <c r="J10" s="345">
        <f>NYCTranscalc!J54</f>
        <v>9.9943885896884748</v>
      </c>
      <c r="K10" s="345">
        <f>NYCTranscalc!K54</f>
        <v>10.161315672482456</v>
      </c>
      <c r="L10" s="345">
        <f>NYCTranscalc!L54</f>
        <v>10.331260566611332</v>
      </c>
      <c r="M10" s="346">
        <f>NYCTranscalc!M54</f>
        <v>10.504281317346603</v>
      </c>
      <c r="R10" s="320" t="s">
        <v>763</v>
      </c>
      <c r="S10" s="321">
        <v>5622229</v>
      </c>
      <c r="T10" s="332">
        <v>3.8490000000000003E-2</v>
      </c>
      <c r="U10" s="321">
        <f t="shared" si="0"/>
        <v>216399.59421000001</v>
      </c>
      <c r="V10" s="321">
        <f t="shared" si="1"/>
        <v>57166.713601644129</v>
      </c>
      <c r="W10" s="333">
        <v>3.65</v>
      </c>
      <c r="X10" s="321">
        <f t="shared" si="2"/>
        <v>789858.5188665</v>
      </c>
      <c r="Y10" s="334">
        <f t="shared" si="3"/>
        <v>8.585331337159122</v>
      </c>
      <c r="Z10" s="329">
        <f t="shared" si="4"/>
        <v>490795.17772659595</v>
      </c>
      <c r="AA10" s="330" t="s">
        <v>754</v>
      </c>
    </row>
    <row r="11" spans="1:27" x14ac:dyDescent="0.2">
      <c r="A11" s="331" t="s">
        <v>102</v>
      </c>
      <c r="B11" s="298" t="s">
        <v>520</v>
      </c>
      <c r="C11" s="771">
        <f>'2015 GHG'!C44</f>
        <v>1.6792503530572207</v>
      </c>
      <c r="D11" s="772">
        <f>C11</f>
        <v>1.6792503530572207</v>
      </c>
      <c r="E11" s="772">
        <f>'2015 GHG'!K44</f>
        <v>1.87450644719486</v>
      </c>
      <c r="F11" s="772">
        <f>E11*F40/E40</f>
        <v>1.7615035327382063</v>
      </c>
      <c r="G11" s="772">
        <f>F11*G40/F40</f>
        <v>1.6458123739755646</v>
      </c>
      <c r="H11" s="772">
        <f t="shared" ref="H11:M11" si="5">G11*H40/G40</f>
        <v>1.5707945014637528</v>
      </c>
      <c r="I11" s="772">
        <f t="shared" si="5"/>
        <v>1.5633757019778434</v>
      </c>
      <c r="J11" s="772">
        <f t="shared" si="5"/>
        <v>1.5833336226788965</v>
      </c>
      <c r="K11" s="772">
        <f t="shared" si="5"/>
        <v>1.5833336226788965</v>
      </c>
      <c r="L11" s="772">
        <f t="shared" si="5"/>
        <v>1.5833336226788965</v>
      </c>
      <c r="M11" s="772">
        <f t="shared" si="5"/>
        <v>1.5833336226788965</v>
      </c>
      <c r="R11" s="320" t="s">
        <v>764</v>
      </c>
      <c r="S11" s="321">
        <v>179119246</v>
      </c>
      <c r="T11" s="332">
        <v>3.8490000000000003E-2</v>
      </c>
      <c r="U11" s="321">
        <f t="shared" si="0"/>
        <v>6894299.7785400003</v>
      </c>
      <c r="V11" s="321">
        <f t="shared" si="1"/>
        <v>1821280.9610964691</v>
      </c>
      <c r="W11" s="333">
        <v>5.38</v>
      </c>
      <c r="X11" s="321">
        <f t="shared" si="2"/>
        <v>37091332.808545202</v>
      </c>
      <c r="Y11" s="334">
        <f t="shared" si="3"/>
        <v>12.654543176415364</v>
      </c>
      <c r="Z11" s="329">
        <f t="shared" si="4"/>
        <v>23047478.55857854</v>
      </c>
      <c r="AA11" s="330" t="s">
        <v>754</v>
      </c>
    </row>
    <row r="12" spans="1:27" ht="13.5" thickBot="1" x14ac:dyDescent="0.25">
      <c r="A12" s="331" t="s">
        <v>112</v>
      </c>
      <c r="B12" s="298" t="s">
        <v>714</v>
      </c>
      <c r="C12" s="347">
        <f>($D12/'Population NYC'!$E$18)*'Population NYC'!D$18</f>
        <v>0.17294203272825881</v>
      </c>
      <c r="D12" s="348">
        <f>(M23*W23/1000000000)</f>
        <v>0.174369780843288</v>
      </c>
      <c r="E12" s="348">
        <f>($D12/'Population NYC'!$E$18)*'Population NYC'!F$18</f>
        <v>0.17962575805387276</v>
      </c>
      <c r="F12" s="348">
        <f>($D12/'Population NYC'!$E$18)*'Population NYC'!G$18</f>
        <v>0.18089275202499969</v>
      </c>
      <c r="G12" s="348">
        <f>($D12/'Population NYC'!$E$18)*'Population NYC'!H$18</f>
        <v>0.18374922136870717</v>
      </c>
      <c r="H12" s="348">
        <f>($D12/'Population NYC'!$E$18)*'Population NYC'!I$18</f>
        <v>0.18660569071241465</v>
      </c>
      <c r="I12" s="348">
        <f>($D12/'Population NYC'!$E$18)*'Population NYC'!J$18</f>
        <v>0.18876471258009722</v>
      </c>
      <c r="J12" s="348">
        <f>($D12/'Population NYC'!$E$18)*'Population NYC'!K$18</f>
        <v>0.19092373444777977</v>
      </c>
      <c r="K12" s="348">
        <f>($D12/'Population NYC'!$E$18)*'Population NYC'!L$18</f>
        <v>0.19411255803028307</v>
      </c>
      <c r="L12" s="348">
        <f>($D12/'Population NYC'!$E$18)*'Population NYC'!M$18</f>
        <v>0.19735903114329512</v>
      </c>
      <c r="M12" s="349">
        <f>($D12/'Population NYC'!$E$18)*'Population NYC'!N$18</f>
        <v>0.20066426263103396</v>
      </c>
      <c r="R12" s="320" t="s">
        <v>765</v>
      </c>
      <c r="S12" s="321">
        <v>0</v>
      </c>
      <c r="T12" s="332">
        <v>3.866E-2</v>
      </c>
      <c r="U12" s="321">
        <f t="shared" si="0"/>
        <v>0</v>
      </c>
      <c r="V12" s="321">
        <f t="shared" si="1"/>
        <v>0</v>
      </c>
      <c r="W12" s="333">
        <v>2</v>
      </c>
      <c r="X12" s="321">
        <f t="shared" si="2"/>
        <v>0</v>
      </c>
      <c r="Y12" s="334" t="e">
        <f t="shared" si="3"/>
        <v>#DIV/0!</v>
      </c>
      <c r="Z12" s="329">
        <f t="shared" si="4"/>
        <v>0</v>
      </c>
      <c r="AA12" s="324"/>
    </row>
    <row r="13" spans="1:27" x14ac:dyDescent="0.2">
      <c r="A13" s="350"/>
      <c r="B13" s="351" t="s">
        <v>766</v>
      </c>
      <c r="C13" s="352"/>
      <c r="D13" s="352"/>
      <c r="E13" s="352"/>
      <c r="F13" s="352"/>
      <c r="G13" s="352"/>
      <c r="H13" s="352"/>
      <c r="I13" s="352"/>
      <c r="J13" s="352"/>
      <c r="K13" s="352"/>
      <c r="L13" s="352"/>
      <c r="M13" s="353"/>
      <c r="R13" s="320" t="s">
        <v>767</v>
      </c>
      <c r="S13" s="322">
        <v>0</v>
      </c>
      <c r="T13" s="322"/>
      <c r="U13" s="322"/>
      <c r="V13" s="322"/>
      <c r="W13" s="333">
        <v>2</v>
      </c>
      <c r="X13" s="321">
        <f t="shared" si="2"/>
        <v>0</v>
      </c>
      <c r="Y13" s="334" t="e">
        <f t="shared" si="3"/>
        <v>#DIV/0!</v>
      </c>
      <c r="Z13" s="329">
        <f t="shared" si="4"/>
        <v>0</v>
      </c>
      <c r="AA13" s="324"/>
    </row>
    <row r="14" spans="1:27" ht="12" customHeight="1" thickBot="1" x14ac:dyDescent="0.25">
      <c r="A14" s="354" t="s">
        <v>768</v>
      </c>
      <c r="B14" s="355"/>
      <c r="C14" s="355"/>
      <c r="D14" s="355"/>
      <c r="E14" s="355"/>
      <c r="F14" s="355"/>
      <c r="G14" s="355"/>
      <c r="H14" s="355"/>
      <c r="I14" s="355"/>
      <c r="J14" s="355"/>
      <c r="K14" s="355"/>
      <c r="L14" s="355"/>
      <c r="M14" s="356"/>
      <c r="R14" s="320" t="s">
        <v>769</v>
      </c>
      <c r="S14" s="321">
        <v>10123300</v>
      </c>
      <c r="T14" s="321">
        <v>1</v>
      </c>
      <c r="U14" s="321"/>
      <c r="V14" s="321"/>
      <c r="W14" s="333">
        <f>X14/S14</f>
        <v>57.072298558770363</v>
      </c>
      <c r="X14" s="321">
        <f>Z14*1.6</f>
        <v>577760000</v>
      </c>
      <c r="Y14" s="322"/>
      <c r="Z14" s="329">
        <v>361100000</v>
      </c>
      <c r="AA14" s="330" t="s">
        <v>754</v>
      </c>
    </row>
    <row r="15" spans="1:27" ht="13.5" thickBot="1" x14ac:dyDescent="0.25">
      <c r="C15" s="357"/>
      <c r="D15" s="357"/>
      <c r="E15" s="357"/>
      <c r="F15" s="357"/>
      <c r="G15" s="357"/>
      <c r="H15" s="357"/>
      <c r="I15" s="357"/>
      <c r="J15" s="357"/>
      <c r="K15" s="357"/>
      <c r="L15" s="357"/>
      <c r="M15" s="357"/>
      <c r="N15" s="357"/>
      <c r="R15" s="320" t="s">
        <v>770</v>
      </c>
      <c r="S15" s="321">
        <v>400631084</v>
      </c>
      <c r="T15" s="332">
        <v>2.342E-2</v>
      </c>
      <c r="U15" s="321">
        <f>S15*T15</f>
        <v>9382779.98728</v>
      </c>
      <c r="V15" s="321">
        <f>U15*0.264172</f>
        <v>2478667.7547997325</v>
      </c>
      <c r="W15" s="333">
        <v>6.58</v>
      </c>
      <c r="X15" s="321">
        <f>U15*W15</f>
        <v>61738692.316302404</v>
      </c>
      <c r="Y15" s="334">
        <f>Z15/V15</f>
        <v>15.477117862604667</v>
      </c>
      <c r="Z15" s="329">
        <f>X15*0.621371</f>
        <v>38362632.983273141</v>
      </c>
      <c r="AA15" s="330" t="s">
        <v>754</v>
      </c>
    </row>
    <row r="16" spans="1:27" x14ac:dyDescent="0.2">
      <c r="A16" s="350"/>
      <c r="B16" s="351"/>
      <c r="C16" s="1137" t="s">
        <v>771</v>
      </c>
      <c r="D16" s="1138"/>
      <c r="E16" s="1139"/>
      <c r="F16" s="1140" t="s">
        <v>772</v>
      </c>
      <c r="G16" s="1138"/>
      <c r="H16" s="1139"/>
      <c r="I16" s="839" t="s">
        <v>773</v>
      </c>
      <c r="J16" s="351" t="s">
        <v>774</v>
      </c>
      <c r="K16" s="351"/>
      <c r="L16" s="358"/>
      <c r="M16" s="359" t="s">
        <v>775</v>
      </c>
      <c r="N16" s="357"/>
      <c r="O16" s="357"/>
      <c r="P16" s="357"/>
      <c r="R16" s="320" t="s">
        <v>776</v>
      </c>
      <c r="S16" s="321">
        <v>402353835</v>
      </c>
      <c r="T16" s="328">
        <v>3.4840000000000003E-2</v>
      </c>
      <c r="U16" s="321">
        <f>S16*T16</f>
        <v>14018007.611400001</v>
      </c>
      <c r="V16" s="321">
        <f>U16*0.264172</f>
        <v>3703165.1067187614</v>
      </c>
      <c r="W16" s="333">
        <v>6.21</v>
      </c>
      <c r="X16" s="321">
        <f>U16*W16</f>
        <v>87051827.266794011</v>
      </c>
      <c r="Y16" s="334">
        <f>Z16/V16</f>
        <v>14.606824001029633</v>
      </c>
      <c r="Z16" s="329">
        <f>X16*0.621371</f>
        <v>54091480.960595064</v>
      </c>
      <c r="AA16" s="330" t="s">
        <v>754</v>
      </c>
    </row>
    <row r="17" spans="1:27" ht="42.75" customHeight="1" thickBot="1" x14ac:dyDescent="0.25">
      <c r="A17" s="360"/>
      <c r="B17" s="355"/>
      <c r="C17" s="361" t="s">
        <v>777</v>
      </c>
      <c r="D17" s="361" t="s">
        <v>778</v>
      </c>
      <c r="E17" s="362" t="s">
        <v>779</v>
      </c>
      <c r="F17" s="363" t="s">
        <v>773</v>
      </c>
      <c r="G17" s="300" t="s">
        <v>780</v>
      </c>
      <c r="H17" s="364" t="s">
        <v>781</v>
      </c>
      <c r="I17" s="300" t="s">
        <v>782</v>
      </c>
      <c r="J17" s="300" t="s">
        <v>783</v>
      </c>
      <c r="K17" s="300" t="s">
        <v>784</v>
      </c>
      <c r="L17" s="362" t="s">
        <v>785</v>
      </c>
      <c r="M17" s="365" t="s">
        <v>786</v>
      </c>
      <c r="R17" s="366" t="s">
        <v>787</v>
      </c>
      <c r="S17" s="367">
        <v>3319951798</v>
      </c>
      <c r="T17" s="368">
        <v>3.4840000000000003E-2</v>
      </c>
      <c r="U17" s="367">
        <f>S17*T17</f>
        <v>115667120.64232001</v>
      </c>
      <c r="V17" s="367">
        <f>U17*0.264172</f>
        <v>30556014.594322965</v>
      </c>
      <c r="W17" s="369">
        <v>8.7200000000000006</v>
      </c>
      <c r="X17" s="367">
        <f>U17*W17</f>
        <v>1008617292.0010306</v>
      </c>
      <c r="Y17" s="370">
        <f>Z17/V17</f>
        <v>20.510709386308921</v>
      </c>
      <c r="Z17" s="371">
        <f>X17*0.621371</f>
        <v>626725535.34797239</v>
      </c>
      <c r="AA17" s="372" t="s">
        <v>754</v>
      </c>
    </row>
    <row r="18" spans="1:27" ht="13.5" thickBot="1" x14ac:dyDescent="0.25">
      <c r="A18" s="331" t="s">
        <v>718</v>
      </c>
      <c r="B18" s="298" t="s">
        <v>788</v>
      </c>
      <c r="C18" s="373">
        <f t="shared" ref="C18:D23" si="6">D18</f>
        <v>0</v>
      </c>
      <c r="D18" s="374">
        <f t="shared" si="6"/>
        <v>0</v>
      </c>
      <c r="E18" s="374">
        <f>'Rail&amp;Bus'!G228</f>
        <v>0</v>
      </c>
      <c r="F18" s="374">
        <v>0</v>
      </c>
      <c r="G18" s="374">
        <v>0</v>
      </c>
      <c r="H18" s="374">
        <v>0</v>
      </c>
      <c r="I18" s="374">
        <v>0</v>
      </c>
      <c r="J18" s="374">
        <v>0</v>
      </c>
      <c r="K18" s="374">
        <v>0</v>
      </c>
      <c r="L18" s="375">
        <v>0</v>
      </c>
      <c r="M18" s="376" t="s">
        <v>783</v>
      </c>
      <c r="R18" s="331"/>
      <c r="AA18" s="377"/>
    </row>
    <row r="19" spans="1:27" ht="13.5" thickBot="1" x14ac:dyDescent="0.25">
      <c r="A19" s="331" t="s">
        <v>789</v>
      </c>
      <c r="B19" s="298" t="s">
        <v>790</v>
      </c>
      <c r="C19" s="378">
        <f t="shared" si="6"/>
        <v>0.30972066662266773</v>
      </c>
      <c r="D19" s="379">
        <f t="shared" si="6"/>
        <v>0.30972066662266773</v>
      </c>
      <c r="E19" s="379">
        <f>'Rail&amp;Bus'!G229</f>
        <v>0.30972066662266773</v>
      </c>
      <c r="F19" s="379">
        <v>0.2</v>
      </c>
      <c r="G19" s="379">
        <v>0.2</v>
      </c>
      <c r="H19" s="379">
        <v>1</v>
      </c>
      <c r="I19" s="379">
        <f t="shared" ref="I19:K23" si="7">$E19</f>
        <v>0.30972066662266773</v>
      </c>
      <c r="J19" s="379">
        <f t="shared" si="7"/>
        <v>0.30972066662266773</v>
      </c>
      <c r="K19" s="379">
        <f t="shared" si="7"/>
        <v>0.30972066662266773</v>
      </c>
      <c r="L19" s="380">
        <f>K19</f>
        <v>0.30972066662266773</v>
      </c>
      <c r="M19" s="381">
        <v>0.3</v>
      </c>
      <c r="R19" s="312" t="s">
        <v>791</v>
      </c>
      <c r="S19" s="382" t="s">
        <v>792</v>
      </c>
      <c r="T19" s="382" t="s">
        <v>746</v>
      </c>
      <c r="U19" s="382" t="s">
        <v>793</v>
      </c>
      <c r="V19" s="382" t="s">
        <v>794</v>
      </c>
      <c r="W19" s="382" t="s">
        <v>795</v>
      </c>
      <c r="X19" s="383" t="s">
        <v>796</v>
      </c>
      <c r="Y19" s="322" t="s">
        <v>797</v>
      </c>
      <c r="AA19" s="377"/>
    </row>
    <row r="20" spans="1:27" ht="13.5" thickBot="1" x14ac:dyDescent="0.25">
      <c r="A20" s="331" t="s">
        <v>798</v>
      </c>
      <c r="B20" s="298" t="s">
        <v>799</v>
      </c>
      <c r="C20" s="378">
        <f t="shared" si="6"/>
        <v>0.16804211862630153</v>
      </c>
      <c r="D20" s="379">
        <f t="shared" si="6"/>
        <v>0.16804211862630153</v>
      </c>
      <c r="E20" s="379">
        <f>'Rail&amp;Bus'!G230</f>
        <v>0.16804211862630153</v>
      </c>
      <c r="F20" s="379">
        <v>0.2</v>
      </c>
      <c r="G20" s="379">
        <v>0.2</v>
      </c>
      <c r="H20" s="379">
        <v>0</v>
      </c>
      <c r="I20" s="379">
        <f t="shared" si="7"/>
        <v>0.16804211862630153</v>
      </c>
      <c r="J20" s="379">
        <f t="shared" si="7"/>
        <v>0.16804211862630153</v>
      </c>
      <c r="K20" s="379">
        <f t="shared" si="7"/>
        <v>0.16804211862630153</v>
      </c>
      <c r="L20" s="380">
        <v>0</v>
      </c>
      <c r="M20" s="376" t="s">
        <v>784</v>
      </c>
      <c r="R20" s="320" t="s">
        <v>800</v>
      </c>
      <c r="S20" s="321">
        <f t="shared" ref="S20:S27" si="8">X3</f>
        <v>0</v>
      </c>
      <c r="T20" s="384" t="e">
        <f t="shared" ref="T20:T27" si="9">S20/U3</f>
        <v>#DIV/0!</v>
      </c>
      <c r="U20" s="321">
        <f t="shared" ref="U20:U27" si="10">0.264172*S3</f>
        <v>0</v>
      </c>
      <c r="V20" s="384">
        <f>0.264172*S3</f>
        <v>0</v>
      </c>
      <c r="W20" s="321">
        <f>U20*V20</f>
        <v>0</v>
      </c>
      <c r="X20" s="385">
        <f t="shared" ref="X20:X35" si="11">W20/9000000</f>
        <v>0</v>
      </c>
      <c r="Y20" s="386" t="s">
        <v>801</v>
      </c>
      <c r="AA20" s="377"/>
    </row>
    <row r="21" spans="1:27" ht="13.5" thickBot="1" x14ac:dyDescent="0.25">
      <c r="A21" s="331" t="s">
        <v>802</v>
      </c>
      <c r="B21" s="298" t="s">
        <v>803</v>
      </c>
      <c r="C21" s="378">
        <f t="shared" si="6"/>
        <v>0.19239904671133853</v>
      </c>
      <c r="D21" s="379">
        <f t="shared" si="6"/>
        <v>0.19239904671133853</v>
      </c>
      <c r="E21" s="379">
        <f>'Rail&amp;Bus'!G231</f>
        <v>0.19239904671133853</v>
      </c>
      <c r="F21" s="379">
        <v>0.2</v>
      </c>
      <c r="G21" s="379">
        <v>0.2</v>
      </c>
      <c r="H21" s="379">
        <v>0</v>
      </c>
      <c r="I21" s="379">
        <f t="shared" si="7"/>
        <v>0.19239904671133853</v>
      </c>
      <c r="J21" s="379">
        <f t="shared" si="7"/>
        <v>0.19239904671133853</v>
      </c>
      <c r="K21" s="379">
        <f t="shared" si="7"/>
        <v>0.19239904671133853</v>
      </c>
      <c r="L21" s="380">
        <v>0</v>
      </c>
      <c r="M21" s="381">
        <v>0.3</v>
      </c>
      <c r="R21" s="320" t="s">
        <v>804</v>
      </c>
      <c r="S21" s="321">
        <f t="shared" si="8"/>
        <v>4659.469757072</v>
      </c>
      <c r="T21" s="384">
        <f t="shared" si="9"/>
        <v>3.2332820000000001E-3</v>
      </c>
      <c r="U21" s="321">
        <f t="shared" si="10"/>
        <v>380697.212512</v>
      </c>
      <c r="V21" s="384">
        <v>50</v>
      </c>
      <c r="W21" s="321">
        <f t="shared" ref="W21:W35" si="12">U21*V21</f>
        <v>19034860.625599999</v>
      </c>
      <c r="X21" s="385">
        <f t="shared" si="11"/>
        <v>2.1149845139555556</v>
      </c>
      <c r="Y21" s="386" t="s">
        <v>805</v>
      </c>
      <c r="AA21" s="377"/>
    </row>
    <row r="22" spans="1:27" ht="13.5" thickBot="1" x14ac:dyDescent="0.25">
      <c r="A22" s="331" t="s">
        <v>806</v>
      </c>
      <c r="B22" s="298" t="s">
        <v>807</v>
      </c>
      <c r="C22" s="378">
        <f t="shared" si="6"/>
        <v>5.686659976240576E-2</v>
      </c>
      <c r="D22" s="379">
        <f t="shared" si="6"/>
        <v>5.686659976240576E-2</v>
      </c>
      <c r="E22" s="379">
        <f>'Rail&amp;Bus'!G232</f>
        <v>5.686659976240576E-2</v>
      </c>
      <c r="F22" s="379">
        <v>0.2</v>
      </c>
      <c r="G22" s="379">
        <v>0.2</v>
      </c>
      <c r="H22" s="379">
        <v>0</v>
      </c>
      <c r="I22" s="379">
        <f t="shared" si="7"/>
        <v>5.686659976240576E-2</v>
      </c>
      <c r="J22" s="379">
        <f t="shared" si="7"/>
        <v>5.686659976240576E-2</v>
      </c>
      <c r="K22" s="379">
        <f t="shared" si="7"/>
        <v>5.686659976240576E-2</v>
      </c>
      <c r="L22" s="380">
        <v>0</v>
      </c>
      <c r="M22" s="376" t="s">
        <v>782</v>
      </c>
      <c r="R22" s="320" t="s">
        <v>808</v>
      </c>
      <c r="S22" s="321">
        <f t="shared" si="8"/>
        <v>3492455.6478230976</v>
      </c>
      <c r="T22" s="384">
        <f t="shared" si="9"/>
        <v>17.005702659200001</v>
      </c>
      <c r="U22" s="321">
        <f t="shared" si="10"/>
        <v>1441746.4280600001</v>
      </c>
      <c r="V22" s="384">
        <v>0.5</v>
      </c>
      <c r="W22" s="321">
        <f t="shared" si="12"/>
        <v>720873.21403000003</v>
      </c>
      <c r="X22" s="385">
        <f t="shared" si="11"/>
        <v>8.009702378111111E-2</v>
      </c>
      <c r="Y22" s="387" t="s">
        <v>809</v>
      </c>
      <c r="AA22" s="377"/>
    </row>
    <row r="23" spans="1:27" ht="13.5" thickBot="1" x14ac:dyDescent="0.25">
      <c r="A23" s="331" t="s">
        <v>810</v>
      </c>
      <c r="B23" s="298" t="s">
        <v>811</v>
      </c>
      <c r="C23" s="378">
        <f t="shared" si="6"/>
        <v>0.27297156827728647</v>
      </c>
      <c r="D23" s="379">
        <f t="shared" si="6"/>
        <v>0.27297156827728647</v>
      </c>
      <c r="E23" s="379">
        <f>'Rail&amp;Bus'!G233</f>
        <v>0.27297156827728647</v>
      </c>
      <c r="F23" s="379">
        <v>0.2</v>
      </c>
      <c r="G23" s="379">
        <v>0.2</v>
      </c>
      <c r="H23" s="379">
        <v>0</v>
      </c>
      <c r="I23" s="379">
        <f t="shared" si="7"/>
        <v>0.27297156827728647</v>
      </c>
      <c r="J23" s="379">
        <f t="shared" si="7"/>
        <v>0.27297156827728647</v>
      </c>
      <c r="K23" s="379">
        <f t="shared" si="7"/>
        <v>0.27297156827728647</v>
      </c>
      <c r="L23" s="380">
        <v>0</v>
      </c>
      <c r="M23" s="381">
        <v>0.4</v>
      </c>
      <c r="R23" s="320" t="s">
        <v>812</v>
      </c>
      <c r="S23" s="321">
        <f t="shared" si="8"/>
        <v>46365528.814564504</v>
      </c>
      <c r="T23" s="384">
        <f t="shared" si="9"/>
        <v>3.65</v>
      </c>
      <c r="U23" s="321">
        <f t="shared" si="10"/>
        <v>87184890.421644002</v>
      </c>
      <c r="V23" s="384">
        <v>5</v>
      </c>
      <c r="W23" s="321">
        <f t="shared" si="12"/>
        <v>435924452.10821998</v>
      </c>
      <c r="X23" s="385">
        <f t="shared" si="11"/>
        <v>48.436050234246665</v>
      </c>
      <c r="AA23" s="377"/>
    </row>
    <row r="24" spans="1:27" ht="13.5" thickBot="1" x14ac:dyDescent="0.25">
      <c r="A24" s="331"/>
      <c r="C24" s="378"/>
      <c r="D24" s="379"/>
      <c r="E24" s="379"/>
      <c r="F24" s="379"/>
      <c r="G24" s="379"/>
      <c r="H24" s="379"/>
      <c r="I24" s="379"/>
      <c r="J24" s="379"/>
      <c r="K24" s="379"/>
      <c r="L24" s="380"/>
      <c r="M24" s="376" t="s">
        <v>813</v>
      </c>
      <c r="R24" s="320" t="s">
        <v>814</v>
      </c>
      <c r="S24" s="321">
        <f t="shared" si="8"/>
        <v>6010934.3861382008</v>
      </c>
      <c r="T24" s="384">
        <f t="shared" si="9"/>
        <v>4.38</v>
      </c>
      <c r="U24" s="321">
        <f t="shared" si="10"/>
        <v>9419042.3572920002</v>
      </c>
      <c r="V24" s="384">
        <v>15</v>
      </c>
      <c r="W24" s="321">
        <f t="shared" si="12"/>
        <v>141285635.35938001</v>
      </c>
      <c r="X24" s="385">
        <f t="shared" si="11"/>
        <v>15.698403928820001</v>
      </c>
      <c r="AA24" s="377"/>
    </row>
    <row r="25" spans="1:27" ht="13.5" thickBot="1" x14ac:dyDescent="0.25">
      <c r="A25" s="331"/>
      <c r="C25" s="378"/>
      <c r="D25" s="379"/>
      <c r="E25" s="379"/>
      <c r="F25" s="379"/>
      <c r="G25" s="379"/>
      <c r="H25" s="379"/>
      <c r="I25" s="379"/>
      <c r="J25" s="379"/>
      <c r="K25" s="379"/>
      <c r="L25" s="380"/>
      <c r="M25" s="381">
        <v>1</v>
      </c>
      <c r="R25" s="320" t="s">
        <v>815</v>
      </c>
      <c r="S25" s="321">
        <f t="shared" si="8"/>
        <v>1483653.3454740003</v>
      </c>
      <c r="T25" s="384">
        <f t="shared" si="9"/>
        <v>5.38</v>
      </c>
      <c r="U25" s="321">
        <f t="shared" si="10"/>
        <v>1892731.6204400002</v>
      </c>
      <c r="V25" s="384">
        <v>25</v>
      </c>
      <c r="W25" s="321">
        <f t="shared" si="12"/>
        <v>47318290.511000007</v>
      </c>
      <c r="X25" s="385">
        <f t="shared" si="11"/>
        <v>5.2575878345555562</v>
      </c>
      <c r="AA25" s="377"/>
    </row>
    <row r="26" spans="1:27" ht="13.5" thickBot="1" x14ac:dyDescent="0.25">
      <c r="A26" s="360"/>
      <c r="B26" s="355"/>
      <c r="C26" s="388"/>
      <c r="D26" s="389"/>
      <c r="E26" s="389"/>
      <c r="F26" s="389"/>
      <c r="G26" s="389"/>
      <c r="H26" s="389"/>
      <c r="I26" s="389"/>
      <c r="J26" s="389"/>
      <c r="K26" s="389"/>
      <c r="L26" s="390"/>
      <c r="M26" s="381">
        <f>1-M25</f>
        <v>0</v>
      </c>
      <c r="R26" s="320" t="s">
        <v>816</v>
      </c>
      <c r="S26" s="321">
        <f t="shared" si="8"/>
        <v>3717994.5299454005</v>
      </c>
      <c r="T26" s="384">
        <f t="shared" si="9"/>
        <v>6.73</v>
      </c>
      <c r="U26" s="321">
        <f t="shared" si="10"/>
        <v>3791687.6615440003</v>
      </c>
      <c r="V26" s="384">
        <v>25</v>
      </c>
      <c r="W26" s="321">
        <f t="shared" si="12"/>
        <v>94792191.538600013</v>
      </c>
      <c r="X26" s="385">
        <f t="shared" si="11"/>
        <v>10.532465726511113</v>
      </c>
      <c r="AA26" s="377"/>
    </row>
    <row r="27" spans="1:27" x14ac:dyDescent="0.2">
      <c r="B27" s="298" t="s">
        <v>817</v>
      </c>
      <c r="C27" s="298">
        <v>114.69370190429687</v>
      </c>
      <c r="D27" s="357">
        <v>111.38850000000001</v>
      </c>
      <c r="E27" s="298">
        <v>119.25236687099999</v>
      </c>
      <c r="F27" s="391">
        <v>130.24625059199997</v>
      </c>
      <c r="G27" s="357">
        <v>140.5609669625</v>
      </c>
      <c r="H27" s="298">
        <v>152.08941635999997</v>
      </c>
      <c r="I27" s="298">
        <v>161.87612737949996</v>
      </c>
      <c r="J27" s="298">
        <v>170.75193301649998</v>
      </c>
      <c r="K27" s="298">
        <v>179.88653858064853</v>
      </c>
      <c r="L27" s="298">
        <v>189.50981222215648</v>
      </c>
      <c r="M27" s="298">
        <v>199.64789590064686</v>
      </c>
      <c r="R27" s="320" t="s">
        <v>818</v>
      </c>
      <c r="S27" s="321">
        <f t="shared" si="8"/>
        <v>789858.5188665</v>
      </c>
      <c r="T27" s="384">
        <f t="shared" si="9"/>
        <v>3.65</v>
      </c>
      <c r="U27" s="321">
        <f t="shared" si="10"/>
        <v>1485235.4793880002</v>
      </c>
      <c r="V27" s="384">
        <v>5</v>
      </c>
      <c r="W27" s="321">
        <f t="shared" si="12"/>
        <v>7426177.3969400013</v>
      </c>
      <c r="X27" s="385">
        <f t="shared" si="11"/>
        <v>0.82513082188222242</v>
      </c>
      <c r="AA27" s="377"/>
    </row>
    <row r="28" spans="1:27" ht="13.5" thickBot="1" x14ac:dyDescent="0.25">
      <c r="B28" s="298" t="s">
        <v>819</v>
      </c>
      <c r="C28" s="424">
        <f>'2015 GHG'!C48</f>
        <v>933093</v>
      </c>
      <c r="D28" s="357"/>
      <c r="E28" s="424">
        <f>'2015 GHG'!K48</f>
        <v>1016754</v>
      </c>
      <c r="F28" s="391"/>
      <c r="G28" s="357"/>
      <c r="R28" s="320"/>
      <c r="S28" s="321"/>
      <c r="T28" s="384"/>
      <c r="U28" s="321"/>
      <c r="V28" s="384"/>
      <c r="W28" s="321"/>
      <c r="X28" s="385"/>
      <c r="AA28" s="377"/>
    </row>
    <row r="29" spans="1:27" ht="12" customHeight="1" thickBot="1" x14ac:dyDescent="0.25">
      <c r="B29" s="325"/>
      <c r="C29" s="326">
        <v>2005</v>
      </c>
      <c r="D29" s="326">
        <v>2010</v>
      </c>
      <c r="E29" s="326">
        <v>2015</v>
      </c>
      <c r="F29" s="326">
        <v>2020</v>
      </c>
      <c r="G29" s="326">
        <v>2025</v>
      </c>
      <c r="H29" s="326">
        <v>2030</v>
      </c>
      <c r="I29" s="326">
        <v>2035</v>
      </c>
      <c r="J29" s="326">
        <v>2040</v>
      </c>
      <c r="K29" s="326">
        <v>2045</v>
      </c>
      <c r="L29" s="326">
        <v>2050</v>
      </c>
      <c r="M29" s="327">
        <v>2055</v>
      </c>
      <c r="R29" s="320" t="s">
        <v>820</v>
      </c>
      <c r="S29" s="321">
        <f t="shared" ref="S29:S35" si="13">X11</f>
        <v>37091332.808545202</v>
      </c>
      <c r="T29" s="384">
        <f t="shared" ref="T29:T35" si="14">S29/U11</f>
        <v>5.38</v>
      </c>
      <c r="U29" s="321">
        <f t="shared" ref="U29:U35" si="15">0.264172*S11</f>
        <v>47318289.454312004</v>
      </c>
      <c r="V29" s="384">
        <v>5</v>
      </c>
      <c r="W29" s="321">
        <f t="shared" si="12"/>
        <v>236591447.27156001</v>
      </c>
      <c r="X29" s="385">
        <f t="shared" si="11"/>
        <v>26.287938585728892</v>
      </c>
      <c r="AA29" s="377"/>
    </row>
    <row r="30" spans="1:27" x14ac:dyDescent="0.2">
      <c r="B30" s="392" t="s">
        <v>821</v>
      </c>
      <c r="C30" s="744">
        <f>NYCTranscalc!C5*1000/'Population NYC'!D45</f>
        <v>0</v>
      </c>
      <c r="D30" s="745">
        <f>NYCTranscalc!D5*1000/'Population NYC'!E45</f>
        <v>0</v>
      </c>
      <c r="E30" s="745">
        <f>NYCTranscalc!E5*1000/'Population NYC'!F45</f>
        <v>0</v>
      </c>
      <c r="F30" s="745">
        <f>NYCTranscalc!F5*1000/'Population NYC'!G45</f>
        <v>0</v>
      </c>
      <c r="G30" s="745">
        <f>NYCTranscalc!G5*1000/'Population NYC'!H45</f>
        <v>0</v>
      </c>
      <c r="H30" s="745">
        <f>NYCTranscalc!H5*1000/'Population NYC'!I45</f>
        <v>0</v>
      </c>
      <c r="I30" s="745">
        <f>NYCTranscalc!I5*1000/'Population NYC'!J45</f>
        <v>0</v>
      </c>
      <c r="J30" s="745">
        <f>NYCTranscalc!J5*1000/'Population NYC'!K45</f>
        <v>0</v>
      </c>
      <c r="K30" s="745">
        <f>NYCTranscalc!K5*1000/'Population NYC'!L45</f>
        <v>0</v>
      </c>
      <c r="L30" s="745">
        <f>NYCTranscalc!L5*1000/'Population NYC'!M45</f>
        <v>0</v>
      </c>
      <c r="M30" s="746">
        <f>NYCTranscalc!M5*1000/'Population NYC'!N45</f>
        <v>0</v>
      </c>
      <c r="R30" s="320" t="s">
        <v>822</v>
      </c>
      <c r="S30" s="321">
        <f t="shared" si="13"/>
        <v>0</v>
      </c>
      <c r="T30" s="384" t="e">
        <f t="shared" si="14"/>
        <v>#DIV/0!</v>
      </c>
      <c r="U30" s="321">
        <f t="shared" si="15"/>
        <v>0</v>
      </c>
      <c r="V30" s="384">
        <v>0.1</v>
      </c>
      <c r="W30" s="321">
        <f t="shared" si="12"/>
        <v>0</v>
      </c>
      <c r="X30" s="385">
        <f t="shared" si="11"/>
        <v>0</v>
      </c>
      <c r="AA30" s="377"/>
    </row>
    <row r="31" spans="1:27" x14ac:dyDescent="0.2">
      <c r="B31" s="393" t="s">
        <v>823</v>
      </c>
      <c r="C31" s="747">
        <f>C30*'Population NYC'!D18/1000000000</f>
        <v>0</v>
      </c>
      <c r="D31" s="741">
        <f>D30*'Population NYC'!E18/1000000000</f>
        <v>0</v>
      </c>
      <c r="E31" s="741">
        <f>E30*'Population NYC'!F18/1000000000</f>
        <v>0</v>
      </c>
      <c r="F31" s="741">
        <f>F30*'Population NYC'!G18/1000000000</f>
        <v>0</v>
      </c>
      <c r="G31" s="741">
        <f>G30*'Population NYC'!H18/1000000000</f>
        <v>0</v>
      </c>
      <c r="H31" s="741">
        <f>H30*'Population NYC'!I18/1000000000</f>
        <v>0</v>
      </c>
      <c r="I31" s="741">
        <f>I30*'Population NYC'!J18/1000000000</f>
        <v>0</v>
      </c>
      <c r="J31" s="741">
        <f>J30*'Population NYC'!K18/1000000000</f>
        <v>0</v>
      </c>
      <c r="K31" s="741">
        <f>K30*'Population NYC'!L18/1000000000</f>
        <v>0</v>
      </c>
      <c r="L31" s="741">
        <f>L30*'Population NYC'!M18/1000000000</f>
        <v>0</v>
      </c>
      <c r="M31" s="748">
        <f>M30*'Population NYC'!N18/1000000000</f>
        <v>0</v>
      </c>
      <c r="R31" s="320" t="s">
        <v>824</v>
      </c>
      <c r="S31" s="321">
        <f t="shared" si="13"/>
        <v>0</v>
      </c>
      <c r="T31" s="384" t="e">
        <f t="shared" si="14"/>
        <v>#DIV/0!</v>
      </c>
      <c r="U31" s="321">
        <f t="shared" si="15"/>
        <v>0</v>
      </c>
      <c r="V31" s="384">
        <v>0.1</v>
      </c>
      <c r="W31" s="321">
        <f t="shared" si="12"/>
        <v>0</v>
      </c>
      <c r="X31" s="385">
        <f t="shared" si="11"/>
        <v>0</v>
      </c>
      <c r="AA31" s="377"/>
    </row>
    <row r="32" spans="1:27" x14ac:dyDescent="0.2">
      <c r="B32" s="393"/>
      <c r="C32" s="363"/>
      <c r="D32" s="300"/>
      <c r="E32" s="300"/>
      <c r="F32" s="300"/>
      <c r="G32" s="300"/>
      <c r="H32" s="300"/>
      <c r="I32" s="300"/>
      <c r="J32" s="300"/>
      <c r="K32" s="300"/>
      <c r="L32" s="300"/>
      <c r="M32" s="364"/>
      <c r="R32" s="320" t="s">
        <v>825</v>
      </c>
      <c r="S32" s="321">
        <f t="shared" si="13"/>
        <v>577760000</v>
      </c>
      <c r="T32" s="384" t="e">
        <f t="shared" si="14"/>
        <v>#DIV/0!</v>
      </c>
      <c r="U32" s="321">
        <f t="shared" si="15"/>
        <v>2674292.4076</v>
      </c>
      <c r="V32" s="384">
        <f>W32/U32</f>
        <v>135.02637145205199</v>
      </c>
      <c r="W32" s="321">
        <v>361100000</v>
      </c>
      <c r="X32" s="385">
        <f t="shared" si="11"/>
        <v>40.12222222222222</v>
      </c>
      <c r="AA32" s="377"/>
    </row>
    <row r="33" spans="2:27" x14ac:dyDescent="0.2">
      <c r="B33" s="393" t="s">
        <v>826</v>
      </c>
      <c r="C33" s="394">
        <f>NYCTranscalc!C8*1000/'Population NYC'!D45</f>
        <v>0.46432488605205441</v>
      </c>
      <c r="D33" s="301">
        <f>NYCTranscalc!D8*1000/'Population NYC'!E45</f>
        <v>0.44751850759141554</v>
      </c>
      <c r="E33" s="301">
        <f>NYCTranscalc!E8*1000/'Population NYC'!F45</f>
        <v>0.44154168778542874</v>
      </c>
      <c r="F33" s="301">
        <f>NYCTranscalc!F8*1000/'Population NYC'!G45</f>
        <v>0.42664102777499141</v>
      </c>
      <c r="G33" s="301">
        <f>NYCTranscalc!G8*1000/'Population NYC'!H45</f>
        <v>0.41650360258367919</v>
      </c>
      <c r="H33" s="301">
        <f>NYCTranscalc!H8*1000/'Population NYC'!I45</f>
        <v>0.40712603498913597</v>
      </c>
      <c r="I33" s="301">
        <f>NYCTranscalc!I8*1000/'Population NYC'!J45</f>
        <v>0.39695929333548213</v>
      </c>
      <c r="J33" s="301">
        <f>NYCTranscalc!J8*1000/'Population NYC'!K45</f>
        <v>0.38750146931112661</v>
      </c>
      <c r="K33" s="301">
        <f>NYCTranscalc!K8*1000/'Population NYC'!L45</f>
        <v>0.38070059721417193</v>
      </c>
      <c r="L33" s="301">
        <f>NYCTranscalc!L8*1000/'Population NYC'!M45</f>
        <v>0.3744524116888216</v>
      </c>
      <c r="M33" s="395">
        <f>NYCTranscalc!M8*1000/'Population NYC'!N45</f>
        <v>0.36870661643692221</v>
      </c>
      <c r="R33" s="320" t="s">
        <v>827</v>
      </c>
      <c r="S33" s="321">
        <f t="shared" si="13"/>
        <v>61738692.316302404</v>
      </c>
      <c r="T33" s="384">
        <f t="shared" si="14"/>
        <v>6.58</v>
      </c>
      <c r="U33" s="321">
        <f t="shared" si="15"/>
        <v>105835514.72244801</v>
      </c>
      <c r="V33" s="384"/>
      <c r="W33" s="321">
        <f t="shared" si="12"/>
        <v>0</v>
      </c>
      <c r="X33" s="385">
        <f t="shared" si="11"/>
        <v>0</v>
      </c>
      <c r="AA33" s="377"/>
    </row>
    <row r="34" spans="2:27" x14ac:dyDescent="0.2">
      <c r="B34" s="393" t="s">
        <v>828</v>
      </c>
      <c r="C34" s="394">
        <f>C33*'Population NYC'!D18/1000000000</f>
        <v>3.7959176986853901E-3</v>
      </c>
      <c r="D34" s="301">
        <f>D33*'Population NYC'!E18/1000000000</f>
        <v>3.6887267911171837E-3</v>
      </c>
      <c r="E34" s="301">
        <f>E33*'Population NYC'!F18/1000000000</f>
        <v>3.7491653527794103E-3</v>
      </c>
      <c r="F34" s="301">
        <f>F33*'Population NYC'!G18/1000000000</f>
        <v>3.6481950559141461E-3</v>
      </c>
      <c r="G34" s="301">
        <f>G33*'Population NYC'!H18/1000000000</f>
        <v>3.6177498755382352E-3</v>
      </c>
      <c r="H34" s="301">
        <f>H33*'Population NYC'!I18/1000000000</f>
        <v>3.5912697470421129E-3</v>
      </c>
      <c r="I34" s="301">
        <f>I33*'Population NYC'!J18/1000000000</f>
        <v>3.5421019129317339E-3</v>
      </c>
      <c r="J34" s="301">
        <f>J33*'Population NYC'!K18/1000000000</f>
        <v>3.4972569482459677E-3</v>
      </c>
      <c r="K34" s="301">
        <f>K33*'Population NYC'!L18/1000000000</f>
        <v>3.4932644039231144E-3</v>
      </c>
      <c r="L34" s="301">
        <f>L33*'Population NYC'!M18/1000000000</f>
        <v>3.4933966874635294E-3</v>
      </c>
      <c r="M34" s="395">
        <f>M33*'Population NYC'!N18/1000000000</f>
        <v>3.4973994081965443E-3</v>
      </c>
      <c r="R34" s="320" t="s">
        <v>829</v>
      </c>
      <c r="S34" s="321">
        <f t="shared" si="13"/>
        <v>87051827.266794011</v>
      </c>
      <c r="T34" s="384">
        <f t="shared" si="14"/>
        <v>6.2100000000000009</v>
      </c>
      <c r="U34" s="321">
        <f t="shared" si="15"/>
        <v>106290617.29962</v>
      </c>
      <c r="V34" s="384">
        <v>15</v>
      </c>
      <c r="W34" s="321">
        <f t="shared" si="12"/>
        <v>1594359259.4943001</v>
      </c>
      <c r="X34" s="385">
        <f t="shared" si="11"/>
        <v>177.15102883270001</v>
      </c>
      <c r="AA34" s="377"/>
    </row>
    <row r="35" spans="2:27" ht="13.5" thickBot="1" x14ac:dyDescent="0.25">
      <c r="B35" s="393"/>
      <c r="C35" s="394"/>
      <c r="D35" s="301"/>
      <c r="E35" s="301"/>
      <c r="F35" s="301"/>
      <c r="G35" s="301"/>
      <c r="H35" s="301"/>
      <c r="I35" s="301"/>
      <c r="J35" s="301"/>
      <c r="K35" s="301"/>
      <c r="L35" s="301"/>
      <c r="M35" s="395"/>
      <c r="R35" s="366" t="s">
        <v>830</v>
      </c>
      <c r="S35" s="367">
        <f t="shared" si="13"/>
        <v>1008617292.0010306</v>
      </c>
      <c r="T35" s="396">
        <f t="shared" si="14"/>
        <v>8.7200000000000006</v>
      </c>
      <c r="U35" s="367">
        <f t="shared" si="15"/>
        <v>877038306.3812561</v>
      </c>
      <c r="V35" s="396">
        <v>25</v>
      </c>
      <c r="W35" s="367">
        <f t="shared" si="12"/>
        <v>21925957659.531403</v>
      </c>
      <c r="X35" s="397">
        <f t="shared" si="11"/>
        <v>2436.2175177257113</v>
      </c>
      <c r="AA35" s="377"/>
    </row>
    <row r="36" spans="2:27" ht="13.5" thickBot="1" x14ac:dyDescent="0.25">
      <c r="B36" s="393" t="s">
        <v>831</v>
      </c>
      <c r="C36" s="394">
        <f>NYCTranscalc!C7*1000/'Population NYC'!D45</f>
        <v>0.43937502118933691</v>
      </c>
      <c r="D36" s="301">
        <f>NYCTranscalc!D7*1000/'Population NYC'!E45</f>
        <v>0.42347171056766281</v>
      </c>
      <c r="E36" s="301">
        <f>NYCTranscalc!E7*1000/'Population NYC'!F45</f>
        <v>0.41781604702735908</v>
      </c>
      <c r="F36" s="301">
        <f>NYCTranscalc!F7*1000/'Population NYC'!G45</f>
        <v>0.40371605367251862</v>
      </c>
      <c r="G36" s="301">
        <f>NYCTranscalc!G7*1000/'Population NYC'!H45</f>
        <v>0.3941233492062351</v>
      </c>
      <c r="H36" s="301">
        <f>NYCTranscalc!H7*1000/'Population NYC'!I45</f>
        <v>0.38524967242446773</v>
      </c>
      <c r="I36" s="301">
        <f>NYCTranscalc!I7*1000/'Population NYC'!J45</f>
        <v>0.37562922677598737</v>
      </c>
      <c r="J36" s="301">
        <f>NYCTranscalc!J7*1000/'Population NYC'!K45</f>
        <v>0.36667960603427174</v>
      </c>
      <c r="K36" s="301">
        <f>NYCTranscalc!K7*1000/'Population NYC'!L45</f>
        <v>0.36024416952964622</v>
      </c>
      <c r="L36" s="301">
        <f>NYCTranscalc!L7*1000/'Population NYC'!M45</f>
        <v>0.35433172173702909</v>
      </c>
      <c r="M36" s="395">
        <f>NYCTranscalc!M7*1000/'Population NYC'!N45</f>
        <v>0.34889466896129245</v>
      </c>
      <c r="R36" s="398" t="s">
        <v>832</v>
      </c>
      <c r="S36" s="399">
        <f>S24+S26+S34+S35</f>
        <v>1105398048.1839082</v>
      </c>
      <c r="T36" s="326"/>
      <c r="U36" s="399">
        <f>U24+U26+U34+U35</f>
        <v>996539653.69971216</v>
      </c>
      <c r="V36" s="326"/>
      <c r="W36" s="399">
        <f>W24+W26+W34+W35</f>
        <v>23756394745.923683</v>
      </c>
      <c r="X36" s="400">
        <f>W36/(D12*1000000)</f>
        <v>136241.46701930166</v>
      </c>
      <c r="Y36" s="401" t="s">
        <v>833</v>
      </c>
      <c r="AA36" s="377"/>
    </row>
    <row r="37" spans="2:27" ht="13.5" thickBot="1" x14ac:dyDescent="0.25">
      <c r="B37" s="393" t="s">
        <v>834</v>
      </c>
      <c r="C37" s="394">
        <f>C36*'Population NYC'!D18/1000000000</f>
        <v>3.5919492351006474E-3</v>
      </c>
      <c r="D37" s="301">
        <f>D36*'Population NYC'!E18/1000000000</f>
        <v>3.4905180848460709E-3</v>
      </c>
      <c r="E37" s="301">
        <f>E36*'Population NYC'!F18/1000000000</f>
        <v>3.547709062777021E-3</v>
      </c>
      <c r="F37" s="301">
        <f>F36*'Population NYC'!G18/1000000000</f>
        <v>3.4521642671881498E-3</v>
      </c>
      <c r="G37" s="301">
        <f>G36*'Population NYC'!H18/1000000000</f>
        <v>3.4233550170820089E-3</v>
      </c>
      <c r="H37" s="301">
        <f>H36*'Population NYC'!I18/1000000000</f>
        <v>3.3982977621973853E-3</v>
      </c>
      <c r="I37" s="301">
        <f>I36*'Population NYC'!J18/1000000000</f>
        <v>3.3517718946356381E-3</v>
      </c>
      <c r="J37" s="301">
        <f>J36*'Population NYC'!K18/1000000000</f>
        <v>3.3093366130021772E-3</v>
      </c>
      <c r="K37" s="301">
        <f>K36*'Population NYC'!L18/1000000000</f>
        <v>3.305558602606549E-3</v>
      </c>
      <c r="L37" s="301">
        <f>L36*'Population NYC'!M18/1000000000</f>
        <v>3.3056837780712279E-3</v>
      </c>
      <c r="M37" s="395">
        <f>M36*'Population NYC'!N18/1000000000</f>
        <v>3.3094714180614865E-3</v>
      </c>
      <c r="R37" s="398" t="s">
        <v>832</v>
      </c>
      <c r="S37" s="399">
        <f>S21+S23+S25+S27+S29</f>
        <v>85735032.957207277</v>
      </c>
      <c r="T37" s="399"/>
      <c r="U37" s="399">
        <f>U21+U23+U25+U27+U29</f>
        <v>138261844.18829602</v>
      </c>
      <c r="V37" s="399"/>
      <c r="W37" s="399">
        <f>W21+W23+W25+W27+W29</f>
        <v>746295227.91332006</v>
      </c>
      <c r="X37" s="400" t="e">
        <f>W37/(D13*1000000)</f>
        <v>#DIV/0!</v>
      </c>
      <c r="Y37" s="402" t="s">
        <v>835</v>
      </c>
      <c r="AA37" s="377"/>
    </row>
    <row r="38" spans="2:27" ht="13.5" thickBot="1" x14ac:dyDescent="0.25">
      <c r="B38" s="393"/>
      <c r="C38" s="363"/>
      <c r="D38" s="300"/>
      <c r="E38" s="300"/>
      <c r="F38" s="300"/>
      <c r="G38" s="300"/>
      <c r="H38" s="300"/>
      <c r="I38" s="300"/>
      <c r="J38" s="300"/>
      <c r="K38" s="300"/>
      <c r="L38" s="300"/>
      <c r="M38" s="364"/>
      <c r="R38" s="398" t="s">
        <v>836</v>
      </c>
      <c r="S38" s="403">
        <v>1751000000</v>
      </c>
      <c r="T38" s="404" t="s">
        <v>837</v>
      </c>
      <c r="U38" s="403">
        <v>361100000</v>
      </c>
      <c r="V38" s="404" t="s">
        <v>838</v>
      </c>
      <c r="W38" s="400">
        <f>U38/S14</f>
        <v>35.670186599231478</v>
      </c>
      <c r="X38" s="400">
        <f>U38/(D12*1000000)</f>
        <v>2070.886355730026</v>
      </c>
      <c r="Y38" s="405" t="s">
        <v>839</v>
      </c>
      <c r="Z38" s="355"/>
      <c r="AA38" s="356"/>
    </row>
    <row r="39" spans="2:27" ht="13.5" thickBot="1" x14ac:dyDescent="0.25">
      <c r="B39" s="393" t="s">
        <v>840</v>
      </c>
      <c r="C39" s="394">
        <f>NYCTranscalc!C9*1000/'Population NYC'!D45</f>
        <v>0</v>
      </c>
      <c r="D39" s="301">
        <f>NYCTranscalc!D9*1000/'Population NYC'!E45</f>
        <v>0</v>
      </c>
      <c r="E39" s="301">
        <f>NYCTranscalc!E9*1000/'Population NYC'!F45</f>
        <v>0</v>
      </c>
      <c r="F39" s="301">
        <f>NYCTranscalc!F9*1000/'Population NYC'!G45</f>
        <v>0</v>
      </c>
      <c r="G39" s="301">
        <f>NYCTranscalc!G9*1000/'Population NYC'!H45</f>
        <v>0</v>
      </c>
      <c r="H39" s="301">
        <f>NYCTranscalc!H9*1000/'Population NYC'!I45</f>
        <v>0</v>
      </c>
      <c r="I39" s="301">
        <f>NYCTranscalc!I9*1000/'Population NYC'!J45</f>
        <v>0</v>
      </c>
      <c r="J39" s="301">
        <f>NYCTranscalc!J9*1000/'Population NYC'!K45</f>
        <v>0</v>
      </c>
      <c r="K39" s="301">
        <f>NYCTranscalc!K9*1000/'Population NYC'!L45</f>
        <v>0</v>
      </c>
      <c r="L39" s="301">
        <f>NYCTranscalc!L9*1000/'Population NYC'!M45</f>
        <v>0</v>
      </c>
      <c r="M39" s="395">
        <f>NYCTranscalc!M9*1000/'Population NYC'!N45</f>
        <v>0</v>
      </c>
      <c r="R39" s="398" t="s">
        <v>841</v>
      </c>
      <c r="S39" s="403">
        <v>12170439700</v>
      </c>
      <c r="T39" s="404" t="s">
        <v>842</v>
      </c>
      <c r="U39" s="406">
        <v>0.75</v>
      </c>
      <c r="V39" s="404" t="s">
        <v>843</v>
      </c>
      <c r="W39" s="400">
        <f>S39*U39/1000000000</f>
        <v>9.1278297750000004</v>
      </c>
      <c r="X39" s="400"/>
      <c r="Y39" s="401" t="s">
        <v>844</v>
      </c>
    </row>
    <row r="40" spans="2:27" ht="13.5" thickBot="1" x14ac:dyDescent="0.25">
      <c r="B40" s="393" t="s">
        <v>845</v>
      </c>
      <c r="C40" s="394">
        <v>61.576495666503888</v>
      </c>
      <c r="D40" s="301">
        <v>52.722000000000016</v>
      </c>
      <c r="E40" s="301">
        <v>48.650733430000002</v>
      </c>
      <c r="F40" s="301">
        <v>45.717868261</v>
      </c>
      <c r="G40" s="301">
        <v>42.715232695999994</v>
      </c>
      <c r="H40" s="301">
        <v>40.768227113000002</v>
      </c>
      <c r="I40" s="301">
        <v>40.575680410000011</v>
      </c>
      <c r="J40" s="301">
        <v>41.093666080999995</v>
      </c>
      <c r="K40" s="301">
        <v>41.093666080999995</v>
      </c>
      <c r="L40" s="301">
        <v>41.093666080999995</v>
      </c>
      <c r="M40" s="395">
        <v>41.093666081000002</v>
      </c>
      <c r="R40" s="312" t="s">
        <v>846</v>
      </c>
      <c r="S40" s="382" t="s">
        <v>847</v>
      </c>
      <c r="T40" s="382" t="s">
        <v>848</v>
      </c>
      <c r="U40" s="382" t="s">
        <v>849</v>
      </c>
      <c r="V40" s="382" t="s">
        <v>850</v>
      </c>
      <c r="W40" s="382" t="s">
        <v>851</v>
      </c>
      <c r="X40" s="382" t="s">
        <v>852</v>
      </c>
      <c r="Y40" s="382" t="s">
        <v>853</v>
      </c>
      <c r="Z40" s="382" t="s">
        <v>851</v>
      </c>
      <c r="AA40" s="383" t="s">
        <v>854</v>
      </c>
    </row>
    <row r="41" spans="2:27" x14ac:dyDescent="0.2">
      <c r="B41" s="393"/>
      <c r="C41" s="363"/>
      <c r="D41" s="300"/>
      <c r="E41" s="300"/>
      <c r="F41" s="300"/>
      <c r="G41" s="300"/>
      <c r="H41" s="300"/>
      <c r="I41" s="300"/>
      <c r="J41" s="300"/>
      <c r="K41" s="300"/>
      <c r="L41" s="300"/>
      <c r="M41" s="364"/>
      <c r="R41" s="320" t="s">
        <v>855</v>
      </c>
      <c r="S41" s="321">
        <f>'Population NYC'!E10</f>
        <v>2552911</v>
      </c>
      <c r="T41" s="321">
        <f>S41/3</f>
        <v>850970.33333333337</v>
      </c>
      <c r="U41" s="407">
        <v>0.44</v>
      </c>
      <c r="V41" s="384">
        <v>1.5</v>
      </c>
      <c r="W41" s="321">
        <f>T41*U41*V41</f>
        <v>561640.42000000004</v>
      </c>
      <c r="X41" s="333">
        <f>W41/S41</f>
        <v>0.22000000000000003</v>
      </c>
      <c r="Y41" s="333">
        <v>78</v>
      </c>
      <c r="Z41" s="321">
        <f>T41/100*Y41</f>
        <v>663756.86</v>
      </c>
      <c r="AA41" s="408">
        <f>'Population NYC'!E10/'Population NYC'!E$18</f>
        <v>0.30972066662266773</v>
      </c>
    </row>
    <row r="42" spans="2:27" x14ac:dyDescent="0.2">
      <c r="B42" s="393" t="s">
        <v>856</v>
      </c>
      <c r="C42" s="341">
        <f>(C43*1000000000)/'Population NYC'!D$45</f>
        <v>30666937.672399353</v>
      </c>
      <c r="D42" s="342">
        <f>(D43*1000000000)/'Population NYC'!E$45</f>
        <v>29556938.669043351</v>
      </c>
      <c r="E42" s="342">
        <f>(E43*1000000000)/'Population NYC'!F$45</f>
        <v>29162191.87434148</v>
      </c>
      <c r="F42" s="342">
        <f>(F43*1000000000)/'Population NYC'!G$45</f>
        <v>28178058.510948021</v>
      </c>
      <c r="G42" s="342">
        <f>(G43*1000000000)/'Population NYC'!H$45</f>
        <v>27508519.152108375</v>
      </c>
      <c r="H42" s="342">
        <f>(H43*1000000000)/'Population NYC'!I$45</f>
        <v>26889165.571072161</v>
      </c>
      <c r="I42" s="342">
        <f>(I43*1000000000)/'Population NYC'!J$45</f>
        <v>26217689.968558293</v>
      </c>
      <c r="J42" s="342">
        <f>(J43*1000000000)/'Population NYC'!K$45</f>
        <v>25593035.747808825</v>
      </c>
      <c r="K42" s="342">
        <f>(K43*1000000000)/'Population NYC'!L$45</f>
        <v>25143863.353693623</v>
      </c>
      <c r="L42" s="342">
        <f>(L43*1000000000)/'Population NYC'!M$45</f>
        <v>24731193.859063033</v>
      </c>
      <c r="M42" s="343">
        <f>(M43*1000000000)/'Population NYC'!N$45</f>
        <v>24351705.37985063</v>
      </c>
      <c r="R42" s="320" t="s">
        <v>799</v>
      </c>
      <c r="S42" s="321">
        <f>'Population NYC'!E11</f>
        <v>1385108</v>
      </c>
      <c r="T42" s="321">
        <f>S42/3</f>
        <v>461702.66666666669</v>
      </c>
      <c r="U42" s="407">
        <v>0.46</v>
      </c>
      <c r="V42" s="384">
        <v>1.5</v>
      </c>
      <c r="W42" s="321">
        <f>T42*U42*V42</f>
        <v>318574.84000000003</v>
      </c>
      <c r="X42" s="333">
        <f>W42/S42</f>
        <v>0.23</v>
      </c>
      <c r="Y42" s="333">
        <v>78</v>
      </c>
      <c r="Z42" s="321">
        <f>T42/100*Y42</f>
        <v>360128.08</v>
      </c>
      <c r="AA42" s="409">
        <f>'Population NYC'!E11/'Population NYC'!E$18</f>
        <v>0.16804211862630153</v>
      </c>
    </row>
    <row r="43" spans="2:27" x14ac:dyDescent="0.2">
      <c r="B43" s="393" t="s">
        <v>857</v>
      </c>
      <c r="C43" s="394">
        <f>C54</f>
        <v>9.053090667727302</v>
      </c>
      <c r="D43" s="301">
        <f t="shared" ref="D43:M43" si="16">D54</f>
        <v>9.1278297750000004</v>
      </c>
      <c r="E43" s="301">
        <f t="shared" si="16"/>
        <v>9.4029672732951575</v>
      </c>
      <c r="F43" s="301">
        <f t="shared" si="16"/>
        <v>9.4692912959467197</v>
      </c>
      <c r="G43" s="301">
        <f t="shared" si="16"/>
        <v>9.6188204506016817</v>
      </c>
      <c r="H43" s="301">
        <f t="shared" si="16"/>
        <v>9.7683496052566419</v>
      </c>
      <c r="I43" s="301">
        <f t="shared" si="16"/>
        <v>9.8813690974725592</v>
      </c>
      <c r="J43" s="301">
        <f t="shared" si="16"/>
        <v>9.9943885896884748</v>
      </c>
      <c r="K43" s="301">
        <f t="shared" si="16"/>
        <v>10.161315672482456</v>
      </c>
      <c r="L43" s="301">
        <f t="shared" si="16"/>
        <v>10.331260566611332</v>
      </c>
      <c r="M43" s="395">
        <f t="shared" si="16"/>
        <v>10.504281317346603</v>
      </c>
      <c r="R43" s="320" t="s">
        <v>803</v>
      </c>
      <c r="S43" s="321">
        <f>'Population NYC'!E12</f>
        <v>1585873</v>
      </c>
      <c r="T43" s="321">
        <f>S43/3</f>
        <v>528624.33333333337</v>
      </c>
      <c r="U43" s="407">
        <v>0.24</v>
      </c>
      <c r="V43" s="384">
        <v>1.5</v>
      </c>
      <c r="W43" s="321">
        <f>T43*U43*V43</f>
        <v>190304.76</v>
      </c>
      <c r="X43" s="333">
        <f>W43/S43</f>
        <v>0.12000000000000001</v>
      </c>
      <c r="Y43" s="333">
        <v>78</v>
      </c>
      <c r="Z43" s="321">
        <f>T43/100*Y43</f>
        <v>412326.98000000004</v>
      </c>
      <c r="AA43" s="409">
        <f>'Population NYC'!E12/'Population NYC'!E$18</f>
        <v>0.19239904671133853</v>
      </c>
    </row>
    <row r="44" spans="2:27" x14ac:dyDescent="0.2">
      <c r="B44" s="393"/>
      <c r="C44" s="363"/>
      <c r="D44" s="300"/>
      <c r="E44" s="300"/>
      <c r="F44" s="300"/>
      <c r="G44" s="300"/>
      <c r="H44" s="300"/>
      <c r="I44" s="300"/>
      <c r="J44" s="300"/>
      <c r="K44" s="300"/>
      <c r="L44" s="300"/>
      <c r="M44" s="364"/>
      <c r="R44" s="320" t="s">
        <v>807</v>
      </c>
      <c r="S44" s="321">
        <f>'Population NYC'!E13</f>
        <v>468730</v>
      </c>
      <c r="T44" s="321">
        <f>S44/3</f>
        <v>156243.33333333334</v>
      </c>
      <c r="U44" s="407">
        <v>0.84</v>
      </c>
      <c r="V44" s="384">
        <v>1.5</v>
      </c>
      <c r="W44" s="321">
        <f>T44*U44*V44</f>
        <v>196866.59999999998</v>
      </c>
      <c r="X44" s="333">
        <f>W44/S44</f>
        <v>0.41999999999999993</v>
      </c>
      <c r="Y44" s="333">
        <v>78</v>
      </c>
      <c r="Z44" s="321">
        <f>T44/100*Y44</f>
        <v>121869.8</v>
      </c>
      <c r="AA44" s="409">
        <f>'Population NYC'!E13/'Population NYC'!E$18</f>
        <v>5.686659976240576E-2</v>
      </c>
    </row>
    <row r="45" spans="2:27" ht="13.5" thickBot="1" x14ac:dyDescent="0.25">
      <c r="B45" s="393" t="s">
        <v>858</v>
      </c>
      <c r="C45" s="394">
        <f>NYCTranscalc!C11*1000/'Population NYC'!D45</f>
        <v>5.6883850834654659</v>
      </c>
      <c r="D45" s="301">
        <f>NYCTranscalc!D11*1000/'Population NYC'!E45</f>
        <v>5.4376013706151376</v>
      </c>
      <c r="E45" s="301">
        <f>NYCTranscalc!E11*1000/'Population NYC'!F45</f>
        <v>5.8135602405037474</v>
      </c>
      <c r="F45" s="301">
        <f>NYCTranscalc!F11*1000/'Population NYC'!G45</f>
        <v>5.2417597116254244</v>
      </c>
      <c r="G45" s="301">
        <f>NYCTranscalc!G11*1000/'Population NYC'!H45</f>
        <v>4.7067996998999782</v>
      </c>
      <c r="H45" s="301">
        <f>NYCTranscalc!H11*1000/'Population NYC'!I45</f>
        <v>4.3238986251330944</v>
      </c>
      <c r="I45" s="301">
        <f>NYCTranscalc!I11*1000/'Population NYC'!J45</f>
        <v>4.148018260882103</v>
      </c>
      <c r="J45" s="301">
        <f>NYCTranscalc!J11*1000/'Population NYC'!K45</f>
        <v>4.0545065505794717</v>
      </c>
      <c r="K45" s="301">
        <f>NYCTranscalc!K11*1000/'Population NYC'!L45</f>
        <v>3.9179103902615826</v>
      </c>
      <c r="L45" s="301">
        <f>NYCTranscalc!L11*1000/'Population NYC'!M45</f>
        <v>3.7902180971598649</v>
      </c>
      <c r="M45" s="395">
        <f>NYCTranscalc!M11*1000/'Population NYC'!N45</f>
        <v>3.6705865668140345</v>
      </c>
      <c r="R45" s="320" t="s">
        <v>811</v>
      </c>
      <c r="S45" s="321">
        <f>'Population NYC'!E14</f>
        <v>2250002</v>
      </c>
      <c r="T45" s="321">
        <f>S45/3</f>
        <v>750000.66666666663</v>
      </c>
      <c r="U45" s="407">
        <v>0.64</v>
      </c>
      <c r="V45" s="384">
        <v>1.5</v>
      </c>
      <c r="W45" s="321">
        <f>T45*U45*V45</f>
        <v>720000.6399999999</v>
      </c>
      <c r="X45" s="333">
        <f>W45/S45</f>
        <v>0.31999999999999995</v>
      </c>
      <c r="Y45" s="333">
        <v>78</v>
      </c>
      <c r="Z45" s="321">
        <f>T45/100*Y45</f>
        <v>585000.52</v>
      </c>
      <c r="AA45" s="409">
        <f>'Population NYC'!E14/'Population NYC'!E$18</f>
        <v>0.27297156827728647</v>
      </c>
    </row>
    <row r="46" spans="2:27" ht="13.5" thickBot="1" x14ac:dyDescent="0.25">
      <c r="B46" s="393" t="s">
        <v>859</v>
      </c>
      <c r="C46" s="394">
        <f>C45*'Population NYC'!D18/1000000000</f>
        <v>4.6503304612546287E-2</v>
      </c>
      <c r="D46" s="301">
        <f>D45*'Population NYC'!E18/1000000000</f>
        <v>4.4820103559865231E-2</v>
      </c>
      <c r="E46" s="301">
        <f>E45*'Population NYC'!F18/1000000000</f>
        <v>4.9363399273376317E-2</v>
      </c>
      <c r="F46" s="301">
        <f>F45*'Population NYC'!G18/1000000000</f>
        <v>4.4822135283077366E-2</v>
      </c>
      <c r="G46" s="301">
        <f>G45*'Population NYC'!H18/1000000000</f>
        <v>4.0883257486531509E-2</v>
      </c>
      <c r="H46" s="301">
        <f>H45*'Population NYC'!I18/1000000000</f>
        <v>3.8141226517561903E-2</v>
      </c>
      <c r="I46" s="301">
        <f>I45*'Population NYC'!J18/1000000000</f>
        <v>3.7013123671421441E-2</v>
      </c>
      <c r="J46" s="301">
        <f>J45*'Population NYC'!K18/1000000000</f>
        <v>3.659250952242956E-2</v>
      </c>
      <c r="K46" s="301">
        <f>K45*'Population NYC'!L18/1000000000</f>
        <v>3.5950290081530285E-2</v>
      </c>
      <c r="L46" s="301">
        <f>L45*'Population NYC'!M18/1000000000</f>
        <v>3.5360261897273995E-2</v>
      </c>
      <c r="M46" s="395">
        <f>M45*'Population NYC'!N18/1000000000</f>
        <v>3.4817675393427096E-2</v>
      </c>
      <c r="R46" s="312" t="s">
        <v>860</v>
      </c>
      <c r="S46" s="382">
        <f>SUM(S41:S45)</f>
        <v>8242624</v>
      </c>
      <c r="T46" s="382">
        <f>SUM(T41:T45)</f>
        <v>2747541.3333333335</v>
      </c>
      <c r="U46" s="410">
        <f>AVERAGE(U41:U45)</f>
        <v>0.52400000000000002</v>
      </c>
      <c r="V46" s="411">
        <f>AVERAGE(V41:V45)</f>
        <v>1.5</v>
      </c>
      <c r="W46" s="382">
        <f>SUM(W41:W45)</f>
        <v>1987387.26</v>
      </c>
      <c r="X46" s="412">
        <f>AVERAGE(X41:X45)</f>
        <v>0.26200000000000001</v>
      </c>
      <c r="Y46" s="412">
        <f>AVERAGE(Y41:Y45)</f>
        <v>78</v>
      </c>
      <c r="Z46" s="382">
        <f>SUM(Z41:Z45)</f>
        <v>2143082.2400000002</v>
      </c>
      <c r="AA46" s="383"/>
    </row>
    <row r="47" spans="2:27" x14ac:dyDescent="0.2">
      <c r="B47" s="393"/>
      <c r="C47" s="363"/>
      <c r="D47" s="300"/>
      <c r="E47" s="300"/>
      <c r="F47" s="300"/>
      <c r="G47" s="300"/>
      <c r="H47" s="300"/>
      <c r="I47" s="300"/>
      <c r="J47" s="300"/>
      <c r="K47" s="300"/>
      <c r="L47" s="300"/>
      <c r="M47" s="364"/>
    </row>
    <row r="48" spans="2:27" x14ac:dyDescent="0.2">
      <c r="B48" s="393" t="s">
        <v>861</v>
      </c>
      <c r="C48" s="341">
        <f>(C49*1000000000)/'Population NYC'!D$45</f>
        <v>858832.41087367572</v>
      </c>
      <c r="D48" s="342">
        <f>(D49*1000000000)/'Population NYC'!E$45</f>
        <v>827746.71427418792</v>
      </c>
      <c r="E48" s="342">
        <f>(E49*1000000000)/'Population NYC'!F$45</f>
        <v>816691.76822772983</v>
      </c>
      <c r="F48" s="342">
        <f>(F49*1000000000)/'Population NYC'!G$45</f>
        <v>789130.95866358734</v>
      </c>
      <c r="G48" s="342">
        <f>(G49*1000000000)/'Population NYC'!H$45</f>
        <v>770380.40365644067</v>
      </c>
      <c r="H48" s="342">
        <f>(H49*1000000000)/'Population NYC'!I$45</f>
        <v>753035.30924672692</v>
      </c>
      <c r="I48" s="342">
        <f>(I49*1000000000)/'Population NYC'!J$45</f>
        <v>734230.52943107323</v>
      </c>
      <c r="J48" s="342">
        <f>(J49*1000000000)/'Population NYC'!K$45</f>
        <v>716736.98977284029</v>
      </c>
      <c r="K48" s="342">
        <f>(K49*1000000000)/'Population NYC'!L$45</f>
        <v>704157.84625819279</v>
      </c>
      <c r="L48" s="342">
        <f>(L49*1000000000)/'Population NYC'!M$45</f>
        <v>692600.97218248143</v>
      </c>
      <c r="M48" s="343">
        <f>(M49*1000000000)/'Population NYC'!N$45</f>
        <v>681973.33766016958</v>
      </c>
    </row>
    <row r="49" spans="1:29" ht="13.5" thickBot="1" x14ac:dyDescent="0.25">
      <c r="B49" s="413" t="s">
        <v>862</v>
      </c>
      <c r="C49" s="414">
        <f>C53</f>
        <v>0.25353322744774398</v>
      </c>
      <c r="D49" s="415">
        <f t="shared" ref="D49:M49" si="17">D53</f>
        <v>0.25562630789716001</v>
      </c>
      <c r="E49" s="415">
        <f t="shared" si="17"/>
        <v>0.26333157679315583</v>
      </c>
      <c r="F49" s="415">
        <f t="shared" si="17"/>
        <v>0.2651889914747641</v>
      </c>
      <c r="G49" s="415">
        <f t="shared" si="17"/>
        <v>0.26937657895937311</v>
      </c>
      <c r="H49" s="415">
        <f t="shared" si="17"/>
        <v>0.27356416644398213</v>
      </c>
      <c r="I49" s="415">
        <f t="shared" si="17"/>
        <v>0.27672929509205296</v>
      </c>
      <c r="J49" s="415">
        <f t="shared" si="17"/>
        <v>0.2798944237401238</v>
      </c>
      <c r="K49" s="415">
        <f t="shared" si="17"/>
        <v>0.28456924293751279</v>
      </c>
      <c r="L49" s="415">
        <f t="shared" si="17"/>
        <v>0.28932857641578624</v>
      </c>
      <c r="M49" s="416">
        <f t="shared" si="17"/>
        <v>0.29417404974189804</v>
      </c>
    </row>
    <row r="50" spans="1:29" x14ac:dyDescent="0.2">
      <c r="B50" s="331"/>
      <c r="C50" s="300"/>
      <c r="D50" s="300"/>
      <c r="E50" s="300"/>
      <c r="F50" s="300"/>
      <c r="G50" s="300"/>
      <c r="H50" s="300"/>
      <c r="I50" s="300"/>
      <c r="J50" s="300"/>
      <c r="K50" s="300"/>
      <c r="L50" s="300"/>
      <c r="M50" s="364"/>
    </row>
    <row r="51" spans="1:29" ht="13.5" thickBot="1" x14ac:dyDescent="0.25">
      <c r="B51" s="331"/>
      <c r="C51" s="840"/>
      <c r="D51" s="840"/>
      <c r="E51" s="840"/>
      <c r="F51" s="840"/>
      <c r="G51" s="840"/>
      <c r="H51" s="840"/>
      <c r="I51" s="840"/>
      <c r="J51" s="840"/>
      <c r="K51" s="840"/>
      <c r="L51" s="840"/>
      <c r="M51" s="417"/>
    </row>
    <row r="52" spans="1:29" ht="13.5" thickBot="1" x14ac:dyDescent="0.25">
      <c r="A52" s="297"/>
      <c r="B52" s="398" t="s">
        <v>863</v>
      </c>
      <c r="C52" s="326">
        <v>2005</v>
      </c>
      <c r="D52" s="326">
        <v>2010</v>
      </c>
      <c r="E52" s="326">
        <v>2015</v>
      </c>
      <c r="F52" s="326">
        <v>2020</v>
      </c>
      <c r="G52" s="326">
        <v>2025</v>
      </c>
      <c r="H52" s="326">
        <v>2030</v>
      </c>
      <c r="I52" s="326">
        <v>2035</v>
      </c>
      <c r="J52" s="326">
        <v>2040</v>
      </c>
      <c r="K52" s="326">
        <v>2045</v>
      </c>
      <c r="L52" s="326">
        <v>2050</v>
      </c>
      <c r="M52" s="327">
        <v>2055</v>
      </c>
    </row>
    <row r="53" spans="1:29" x14ac:dyDescent="0.2">
      <c r="B53" s="392" t="s">
        <v>864</v>
      </c>
      <c r="C53" s="418">
        <f>($D53/'Population NYC'!$E18)*'Population NYC'!D18</f>
        <v>0.25353322744774398</v>
      </c>
      <c r="D53" s="419">
        <f>(W21+W29)/1000000000</f>
        <v>0.25562630789716001</v>
      </c>
      <c r="E53" s="419">
        <f>($D53/'Population NYC'!$E18)*'Population NYC'!F18</f>
        <v>0.26333157679315583</v>
      </c>
      <c r="F53" s="419">
        <f>($D53/'Population NYC'!$E18)*'Population NYC'!G18</f>
        <v>0.2651889914747641</v>
      </c>
      <c r="G53" s="419">
        <f>($D53/'Population NYC'!$E18)*'Population NYC'!H18</f>
        <v>0.26937657895937311</v>
      </c>
      <c r="H53" s="419">
        <f>($D53/'Population NYC'!$E18)*'Population NYC'!I18</f>
        <v>0.27356416644398213</v>
      </c>
      <c r="I53" s="419">
        <f>($D53/'Population NYC'!$E18)*'Population NYC'!J18</f>
        <v>0.27672929509205296</v>
      </c>
      <c r="J53" s="419">
        <f>($D53/'Population NYC'!$E18)*'Population NYC'!K18</f>
        <v>0.2798944237401238</v>
      </c>
      <c r="K53" s="419">
        <f>($D53/'Population NYC'!$E18)*'Population NYC'!L18</f>
        <v>0.28456924293751279</v>
      </c>
      <c r="L53" s="419">
        <f>($D53/'Population NYC'!$E18)*'Population NYC'!M18</f>
        <v>0.28932857641578624</v>
      </c>
      <c r="M53" s="420">
        <f>($D53/'Population NYC'!$E18)*'Population NYC'!N18</f>
        <v>0.29417404974189804</v>
      </c>
      <c r="AB53" s="421"/>
    </row>
    <row r="54" spans="1:29" ht="13.5" thickBot="1" x14ac:dyDescent="0.25">
      <c r="B54" s="413" t="s">
        <v>865</v>
      </c>
      <c r="C54" s="414">
        <f>($D54/'Population NYC'!$E18)*'Population NYC'!D18</f>
        <v>9.053090667727302</v>
      </c>
      <c r="D54" s="415">
        <f>W39</f>
        <v>9.1278297750000004</v>
      </c>
      <c r="E54" s="415">
        <f>($D54/'Population NYC'!$E18)*'Population NYC'!F18</f>
        <v>9.4029672732951575</v>
      </c>
      <c r="F54" s="415">
        <f>($D54/'Population NYC'!$E18)*'Population NYC'!G18</f>
        <v>9.4692912959467197</v>
      </c>
      <c r="G54" s="415">
        <f>($D54/'Population NYC'!$E18)*'Population NYC'!H18</f>
        <v>9.6188204506016817</v>
      </c>
      <c r="H54" s="415">
        <f>($D54/'Population NYC'!$E18)*'Population NYC'!I18</f>
        <v>9.7683496052566419</v>
      </c>
      <c r="I54" s="415">
        <f>($D54/'Population NYC'!$E18)*'Population NYC'!J18</f>
        <v>9.8813690974725592</v>
      </c>
      <c r="J54" s="415">
        <f>($D54/'Population NYC'!$E18)*'Population NYC'!K18</f>
        <v>9.9943885896884748</v>
      </c>
      <c r="K54" s="415">
        <f>($D54/'Population NYC'!$E18)*'Population NYC'!L18</f>
        <v>10.161315672482456</v>
      </c>
      <c r="L54" s="415">
        <f>($D54/'Population NYC'!$E18)*'Population NYC'!M18</f>
        <v>10.331260566611332</v>
      </c>
      <c r="M54" s="416">
        <f>($D54/'Population NYC'!$E18)*'Population NYC'!N18</f>
        <v>10.504281317346603</v>
      </c>
      <c r="N54" s="421"/>
      <c r="O54" s="421"/>
      <c r="P54" s="421"/>
      <c r="Q54" s="421"/>
      <c r="AB54" s="421"/>
    </row>
    <row r="55" spans="1:29" x14ac:dyDescent="0.2">
      <c r="C55" s="421"/>
      <c r="D55" s="421"/>
      <c r="E55" s="421"/>
      <c r="F55" s="421"/>
      <c r="G55" s="421"/>
      <c r="H55" s="421"/>
      <c r="I55" s="421"/>
      <c r="J55" s="421"/>
      <c r="K55" s="421"/>
      <c r="L55" s="421"/>
      <c r="M55" s="421"/>
      <c r="N55" s="421"/>
      <c r="O55" s="421"/>
      <c r="P55" s="421"/>
      <c r="Q55" s="421"/>
      <c r="AB55" s="421"/>
      <c r="AC55" s="421"/>
    </row>
    <row r="56" spans="1:29" x14ac:dyDescent="0.2">
      <c r="B56" s="298" t="s">
        <v>866</v>
      </c>
      <c r="C56" s="298">
        <v>138700</v>
      </c>
      <c r="D56" s="298" t="s">
        <v>867</v>
      </c>
      <c r="E56" s="298" t="s">
        <v>868</v>
      </c>
    </row>
    <row r="64" spans="1:29" ht="12.75" customHeight="1" x14ac:dyDescent="0.2"/>
    <row r="92" spans="2:29" x14ac:dyDescent="0.2">
      <c r="B92" s="422"/>
      <c r="C92" s="423"/>
      <c r="D92" s="423"/>
      <c r="E92" s="423"/>
      <c r="F92" s="423"/>
      <c r="G92" s="423"/>
      <c r="H92" s="423"/>
      <c r="I92" s="423"/>
      <c r="J92" s="423"/>
      <c r="K92" s="423"/>
      <c r="L92" s="423"/>
      <c r="M92" s="423"/>
      <c r="N92" s="423"/>
      <c r="O92" s="423"/>
      <c r="P92" s="423"/>
      <c r="R92" s="424"/>
      <c r="X92" s="423"/>
      <c r="Y92" s="423"/>
      <c r="Z92" s="423"/>
      <c r="AA92" s="423"/>
      <c r="AB92" s="423"/>
      <c r="AC92" s="425"/>
    </row>
    <row r="93" spans="2:29" x14ac:dyDescent="0.2">
      <c r="B93" s="422"/>
      <c r="C93" s="423"/>
      <c r="D93" s="423"/>
      <c r="E93" s="423"/>
      <c r="F93" s="423"/>
      <c r="G93" s="423"/>
      <c r="H93" s="423"/>
      <c r="I93" s="423"/>
      <c r="J93" s="423"/>
      <c r="K93" s="423"/>
      <c r="L93" s="423"/>
      <c r="M93" s="423"/>
      <c r="N93" s="423"/>
      <c r="O93" s="423"/>
      <c r="P93" s="423"/>
      <c r="R93" s="424"/>
      <c r="X93" s="423"/>
      <c r="Y93" s="423"/>
      <c r="Z93" s="423"/>
      <c r="AA93" s="423"/>
      <c r="AB93" s="423"/>
      <c r="AC93" s="425"/>
    </row>
    <row r="94" spans="2:29" x14ac:dyDescent="0.2">
      <c r="B94" s="422"/>
      <c r="C94" s="423"/>
      <c r="D94" s="423"/>
      <c r="E94" s="423"/>
      <c r="F94" s="423"/>
      <c r="G94" s="423"/>
      <c r="H94" s="423"/>
      <c r="I94" s="423"/>
      <c r="J94" s="423"/>
      <c r="K94" s="423"/>
      <c r="L94" s="423"/>
      <c r="M94" s="423"/>
      <c r="N94" s="423"/>
      <c r="O94" s="423"/>
      <c r="P94" s="423"/>
      <c r="R94" s="424"/>
      <c r="X94" s="423"/>
      <c r="Y94" s="423"/>
      <c r="Z94" s="423"/>
      <c r="AA94" s="423"/>
      <c r="AB94" s="423"/>
      <c r="AC94" s="425"/>
    </row>
    <row r="95" spans="2:29" x14ac:dyDescent="0.2">
      <c r="B95" s="422"/>
      <c r="C95" s="423"/>
      <c r="D95" s="423"/>
      <c r="E95" s="423"/>
      <c r="F95" s="423"/>
      <c r="G95" s="423"/>
      <c r="H95" s="423"/>
      <c r="I95" s="423"/>
      <c r="J95" s="423"/>
      <c r="K95" s="423"/>
      <c r="L95" s="423"/>
      <c r="M95" s="423"/>
      <c r="N95" s="423"/>
      <c r="O95" s="423"/>
      <c r="P95" s="423"/>
      <c r="R95" s="424"/>
      <c r="X95" s="423"/>
      <c r="Y95" s="423"/>
      <c r="Z95" s="423"/>
      <c r="AA95" s="423"/>
      <c r="AB95" s="423"/>
      <c r="AC95" s="425"/>
    </row>
    <row r="96" spans="2:29" x14ac:dyDescent="0.2">
      <c r="B96" s="422"/>
      <c r="C96" s="423"/>
      <c r="D96" s="423"/>
      <c r="E96" s="423"/>
      <c r="F96" s="423"/>
      <c r="G96" s="423"/>
      <c r="H96" s="423"/>
      <c r="I96" s="423"/>
      <c r="J96" s="423"/>
      <c r="K96" s="423"/>
      <c r="L96" s="423"/>
      <c r="M96" s="423"/>
      <c r="N96" s="423"/>
      <c r="O96" s="423"/>
      <c r="P96" s="423"/>
      <c r="R96" s="424"/>
      <c r="X96" s="423"/>
      <c r="Y96" s="423"/>
      <c r="Z96" s="423"/>
      <c r="AA96" s="423"/>
      <c r="AB96" s="423"/>
      <c r="AC96" s="425"/>
    </row>
    <row r="97" spans="2:29" x14ac:dyDescent="0.2">
      <c r="R97" s="424"/>
    </row>
    <row r="98" spans="2:29" x14ac:dyDescent="0.2">
      <c r="B98" s="422"/>
      <c r="R98" s="424"/>
    </row>
    <row r="99" spans="2:29" x14ac:dyDescent="0.2">
      <c r="B99" s="422"/>
      <c r="C99" s="423"/>
      <c r="D99" s="423"/>
      <c r="E99" s="423"/>
      <c r="F99" s="423"/>
      <c r="G99" s="423"/>
      <c r="H99" s="423"/>
      <c r="I99" s="423"/>
      <c r="J99" s="423"/>
      <c r="K99" s="423"/>
      <c r="L99" s="423"/>
      <c r="M99" s="423"/>
      <c r="N99" s="423"/>
      <c r="O99" s="423"/>
      <c r="P99" s="423"/>
      <c r="R99" s="424"/>
      <c r="X99" s="423"/>
      <c r="Y99" s="423"/>
      <c r="Z99" s="423"/>
      <c r="AA99" s="423"/>
      <c r="AB99" s="423"/>
      <c r="AC99" s="425"/>
    </row>
    <row r="100" spans="2:29" x14ac:dyDescent="0.2">
      <c r="B100" s="422"/>
      <c r="C100" s="423"/>
      <c r="D100" s="423"/>
      <c r="E100" s="423"/>
      <c r="F100" s="423"/>
      <c r="G100" s="423"/>
      <c r="H100" s="423"/>
      <c r="I100" s="423"/>
      <c r="J100" s="423"/>
      <c r="K100" s="423"/>
      <c r="L100" s="423"/>
      <c r="M100" s="423"/>
      <c r="N100" s="423"/>
      <c r="O100" s="423"/>
      <c r="P100" s="423"/>
      <c r="R100" s="424"/>
      <c r="X100" s="423"/>
      <c r="Y100" s="423"/>
      <c r="Z100" s="423"/>
      <c r="AA100" s="423"/>
      <c r="AB100" s="423"/>
      <c r="AC100" s="425"/>
    </row>
    <row r="101" spans="2:29" x14ac:dyDescent="0.2">
      <c r="B101" s="422"/>
      <c r="C101" s="423"/>
      <c r="D101" s="423"/>
      <c r="E101" s="423"/>
      <c r="F101" s="423"/>
      <c r="G101" s="423"/>
      <c r="H101" s="423"/>
      <c r="I101" s="423"/>
      <c r="J101" s="423"/>
      <c r="K101" s="423"/>
      <c r="L101" s="423"/>
      <c r="M101" s="423"/>
      <c r="N101" s="423"/>
      <c r="O101" s="423"/>
      <c r="P101" s="423"/>
      <c r="R101" s="424"/>
      <c r="X101" s="423"/>
      <c r="Y101" s="423"/>
      <c r="Z101" s="423"/>
      <c r="AA101" s="423"/>
      <c r="AB101" s="423"/>
      <c r="AC101" s="425"/>
    </row>
    <row r="102" spans="2:29" x14ac:dyDescent="0.2">
      <c r="B102" s="422"/>
      <c r="C102" s="423"/>
      <c r="D102" s="423"/>
      <c r="E102" s="423"/>
      <c r="F102" s="423"/>
      <c r="G102" s="423"/>
      <c r="H102" s="423"/>
      <c r="I102" s="423"/>
      <c r="J102" s="423"/>
      <c r="K102" s="423"/>
      <c r="L102" s="423"/>
      <c r="M102" s="423"/>
      <c r="N102" s="423"/>
      <c r="O102" s="423"/>
      <c r="P102" s="423"/>
      <c r="R102" s="424"/>
      <c r="X102" s="423"/>
      <c r="Y102" s="423"/>
      <c r="Z102" s="423"/>
      <c r="AA102" s="423"/>
      <c r="AB102" s="423"/>
      <c r="AC102" s="425"/>
    </row>
    <row r="103" spans="2:29" x14ac:dyDescent="0.2">
      <c r="B103" s="422"/>
      <c r="C103" s="423"/>
      <c r="D103" s="423"/>
      <c r="E103" s="423"/>
      <c r="F103" s="423"/>
      <c r="G103" s="423"/>
      <c r="H103" s="423"/>
      <c r="I103" s="423"/>
      <c r="J103" s="423"/>
      <c r="K103" s="423"/>
      <c r="L103" s="423"/>
      <c r="M103" s="423"/>
      <c r="N103" s="423"/>
      <c r="O103" s="423"/>
      <c r="P103" s="423"/>
      <c r="R103" s="424"/>
      <c r="X103" s="423"/>
      <c r="Y103" s="423"/>
      <c r="Z103" s="423"/>
      <c r="AA103" s="423"/>
      <c r="AB103" s="423"/>
      <c r="AC103" s="425"/>
    </row>
    <row r="104" spans="2:29" x14ac:dyDescent="0.2">
      <c r="B104" s="422"/>
      <c r="C104" s="423"/>
      <c r="D104" s="423"/>
      <c r="E104" s="423"/>
      <c r="F104" s="423"/>
      <c r="G104" s="423"/>
      <c r="H104" s="423"/>
      <c r="I104" s="423"/>
      <c r="J104" s="423"/>
      <c r="K104" s="423"/>
      <c r="L104" s="423"/>
      <c r="M104" s="423"/>
      <c r="N104" s="423"/>
      <c r="O104" s="423"/>
      <c r="P104" s="423"/>
      <c r="R104" s="424"/>
      <c r="X104" s="423"/>
      <c r="Y104" s="423"/>
      <c r="Z104" s="423"/>
      <c r="AA104" s="423"/>
      <c r="AB104" s="423"/>
      <c r="AC104" s="425"/>
    </row>
    <row r="105" spans="2:29" x14ac:dyDescent="0.2">
      <c r="R105" s="424"/>
    </row>
    <row r="106" spans="2:29" x14ac:dyDescent="0.2">
      <c r="R106" s="424"/>
    </row>
    <row r="107" spans="2:29" x14ac:dyDescent="0.2">
      <c r="R107" s="424"/>
    </row>
    <row r="108" spans="2:29" x14ac:dyDescent="0.2">
      <c r="R108" s="424"/>
    </row>
    <row r="109" spans="2:29" x14ac:dyDescent="0.2">
      <c r="R109" s="424"/>
    </row>
    <row r="110" spans="2:29" x14ac:dyDescent="0.2">
      <c r="R110" s="424"/>
    </row>
    <row r="111" spans="2:29" x14ac:dyDescent="0.2">
      <c r="R111" s="424"/>
    </row>
    <row r="112" spans="2:29" x14ac:dyDescent="0.2">
      <c r="R112" s="424"/>
    </row>
    <row r="113" spans="17:20" x14ac:dyDescent="0.2">
      <c r="R113" s="424"/>
    </row>
    <row r="114" spans="17:20" x14ac:dyDescent="0.2">
      <c r="R114" s="424"/>
    </row>
    <row r="115" spans="17:20" x14ac:dyDescent="0.2">
      <c r="R115" s="424"/>
    </row>
    <row r="116" spans="17:20" x14ac:dyDescent="0.2">
      <c r="Q116" s="426"/>
      <c r="R116" s="427"/>
    </row>
    <row r="117" spans="17:20" ht="12.75" customHeight="1" x14ac:dyDescent="0.2">
      <c r="Q117" s="1134"/>
      <c r="R117" s="1135"/>
      <c r="S117" s="1136"/>
      <c r="T117" s="1136"/>
    </row>
    <row r="118" spans="17:20" x14ac:dyDescent="0.2">
      <c r="Q118" s="1136"/>
      <c r="R118" s="1136"/>
      <c r="S118" s="1136"/>
      <c r="T118" s="1136"/>
    </row>
    <row r="119" spans="17:20" x14ac:dyDescent="0.2">
      <c r="Q119" s="1136"/>
      <c r="R119" s="1136"/>
      <c r="S119" s="1136"/>
      <c r="T119" s="1136"/>
    </row>
    <row r="120" spans="17:20" x14ac:dyDescent="0.2">
      <c r="Q120" s="1136"/>
      <c r="R120" s="1136"/>
      <c r="S120" s="1136"/>
      <c r="T120" s="1136"/>
    </row>
    <row r="121" spans="17:20" x14ac:dyDescent="0.2">
      <c r="Q121" s="1136"/>
      <c r="R121" s="1136"/>
      <c r="S121" s="1136"/>
      <c r="T121" s="1136"/>
    </row>
    <row r="122" spans="17:20" x14ac:dyDescent="0.2">
      <c r="Q122" s="1136"/>
      <c r="R122" s="1136"/>
      <c r="S122" s="1136"/>
      <c r="T122" s="1136"/>
    </row>
    <row r="123" spans="17:20" ht="12.75" customHeight="1" x14ac:dyDescent="0.2">
      <c r="Q123" s="1134"/>
      <c r="R123" s="1135"/>
    </row>
    <row r="124" spans="17:20" x14ac:dyDescent="0.2">
      <c r="Q124" s="1136"/>
      <c r="R124" s="1136"/>
    </row>
  </sheetData>
  <mergeCells count="5">
    <mergeCell ref="Q117:T122"/>
    <mergeCell ref="Q123:R124"/>
    <mergeCell ref="C16:E16"/>
    <mergeCell ref="F16:H16"/>
    <mergeCell ref="A2:M2"/>
  </mergeCells>
  <phoneticPr fontId="0" type="noConversion"/>
  <hyperlinks>
    <hyperlink ref="AA5" r:id="rId1" xr:uid="{00000000-0004-0000-1200-000000000000}"/>
    <hyperlink ref="AA4" r:id="rId2" xr:uid="{00000000-0004-0000-1200-000001000000}"/>
    <hyperlink ref="AA6" r:id="rId3" xr:uid="{00000000-0004-0000-1200-000002000000}"/>
    <hyperlink ref="AA7" r:id="rId4" xr:uid="{00000000-0004-0000-1200-000003000000}"/>
    <hyperlink ref="AA8" r:id="rId5" xr:uid="{00000000-0004-0000-1200-000004000000}"/>
    <hyperlink ref="AA9" r:id="rId6" xr:uid="{00000000-0004-0000-1200-000005000000}"/>
    <hyperlink ref="AA10" r:id="rId7" xr:uid="{00000000-0004-0000-1200-000006000000}"/>
    <hyperlink ref="AA11" r:id="rId8" xr:uid="{00000000-0004-0000-1200-000007000000}"/>
    <hyperlink ref="AA14" r:id="rId9" xr:uid="{00000000-0004-0000-1200-000008000000}"/>
    <hyperlink ref="AA15" r:id="rId10" xr:uid="{00000000-0004-0000-1200-000009000000}"/>
    <hyperlink ref="AA16" r:id="rId11" xr:uid="{00000000-0004-0000-1200-00000A000000}"/>
    <hyperlink ref="AA17" r:id="rId12" xr:uid="{00000000-0004-0000-1200-00000B000000}"/>
    <hyperlink ref="Y20" r:id="rId13" xr:uid="{00000000-0004-0000-1200-00000C000000}"/>
    <hyperlink ref="Y21" r:id="rId14" xr:uid="{00000000-0004-0000-1200-00000D000000}"/>
    <hyperlink ref="Y22" r:id="rId15" xr:uid="{00000000-0004-0000-1200-00000E000000}"/>
    <hyperlink ref="Y37" r:id="rId16" xr:uid="{00000000-0004-0000-1200-00000F000000}"/>
    <hyperlink ref="Y36" r:id="rId17" display="Census Street Blog Post on NYC Car Ownershiop" xr:uid="{00000000-0004-0000-1200-000010000000}"/>
    <hyperlink ref="Y38" r:id="rId18" xr:uid="{00000000-0004-0000-1200-000011000000}"/>
    <hyperlink ref="Y39" r:id="rId19" xr:uid="{00000000-0004-0000-1200-000012000000}"/>
  </hyperlinks>
  <pageMargins left="0.75" right="0.75" top="1" bottom="1" header="0.5" footer="0.5"/>
  <pageSetup orientation="portrait" r:id="rId20"/>
  <headerFooter alignWithMargins="0"/>
  <drawing r:id="rId2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50"/>
  <sheetViews>
    <sheetView zoomScale="90" zoomScaleNormal="90" workbookViewId="0">
      <selection activeCell="R18" sqref="R18"/>
    </sheetView>
  </sheetViews>
  <sheetFormatPr defaultColWidth="9.140625" defaultRowHeight="12" x14ac:dyDescent="0.2"/>
  <cols>
    <col min="1" max="1" width="19.140625" style="305" customWidth="1"/>
    <col min="2" max="2" width="7.140625" style="305" customWidth="1"/>
    <col min="3" max="3" width="10" style="305" customWidth="1"/>
    <col min="4" max="6" width="10.5703125" style="305" customWidth="1"/>
    <col min="7" max="7" width="11" style="305" customWidth="1"/>
    <col min="8" max="8" width="11.140625" style="305" customWidth="1"/>
    <col min="9" max="9" width="10.5703125" style="305" customWidth="1"/>
    <col min="10" max="10" width="11" style="305" customWidth="1"/>
    <col min="11" max="11" width="10.42578125" style="305" customWidth="1"/>
    <col min="12" max="12" width="10.5703125" style="305" customWidth="1"/>
    <col min="13" max="13" width="10.42578125" style="305" customWidth="1"/>
    <col min="14" max="14" width="10.5703125" style="305" customWidth="1"/>
    <col min="15" max="16384" width="9.140625" style="305"/>
  </cols>
  <sheetData>
    <row r="1" spans="1:16" x14ac:dyDescent="0.2">
      <c r="A1" s="302"/>
      <c r="B1" s="302" t="s">
        <v>869</v>
      </c>
    </row>
    <row r="2" spans="1:16" x14ac:dyDescent="0.2">
      <c r="A2" s="302"/>
      <c r="B2" s="302"/>
    </row>
    <row r="3" spans="1:16" x14ac:dyDescent="0.2">
      <c r="A3" s="305" t="s">
        <v>870</v>
      </c>
    </row>
    <row r="4" spans="1:16" x14ac:dyDescent="0.2">
      <c r="A4" s="305" t="s">
        <v>871</v>
      </c>
    </row>
    <row r="5" spans="1:16" x14ac:dyDescent="0.2">
      <c r="A5" s="305" t="s">
        <v>872</v>
      </c>
    </row>
    <row r="7" spans="1:16" x14ac:dyDescent="0.2">
      <c r="A7" s="304"/>
      <c r="B7" s="304"/>
      <c r="C7" s="304"/>
      <c r="D7" s="304" t="s">
        <v>873</v>
      </c>
      <c r="E7" s="304"/>
      <c r="F7" s="304"/>
      <c r="G7" s="304"/>
      <c r="H7" s="304"/>
      <c r="I7" s="304"/>
      <c r="J7" s="304"/>
      <c r="K7" s="304"/>
      <c r="L7" s="304"/>
      <c r="M7" s="304"/>
      <c r="N7" s="304"/>
    </row>
    <row r="8" spans="1:16" x14ac:dyDescent="0.2">
      <c r="A8" s="1142" t="s">
        <v>717</v>
      </c>
      <c r="B8" s="1142"/>
      <c r="C8" s="304">
        <v>2000</v>
      </c>
      <c r="D8" s="304">
        <v>2005</v>
      </c>
      <c r="E8" s="304">
        <v>2010</v>
      </c>
      <c r="F8" s="304">
        <v>2015</v>
      </c>
      <c r="G8" s="304">
        <v>2020</v>
      </c>
      <c r="H8" s="304">
        <v>2025</v>
      </c>
      <c r="I8" s="304">
        <v>2030</v>
      </c>
      <c r="J8" s="304">
        <v>2035</v>
      </c>
      <c r="K8" s="304">
        <v>2040</v>
      </c>
      <c r="L8" s="304">
        <v>2045</v>
      </c>
      <c r="M8" s="304">
        <v>2050</v>
      </c>
      <c r="N8" s="304">
        <v>2055</v>
      </c>
    </row>
    <row r="9" spans="1:16" ht="12.75" x14ac:dyDescent="0.2">
      <c r="A9" s="298" t="s">
        <v>874</v>
      </c>
      <c r="B9" s="298" t="s">
        <v>875</v>
      </c>
      <c r="C9" s="342">
        <f>SUM(C23:C24)</f>
        <v>91348177.930000156</v>
      </c>
      <c r="D9" s="342">
        <f t="shared" ref="D9:N9" si="0">SUM(D23:D24)</f>
        <v>96636154.070000008</v>
      </c>
      <c r="E9" s="342">
        <f t="shared" si="0"/>
        <v>103965819.63100001</v>
      </c>
      <c r="F9" s="342">
        <f t="shared" si="0"/>
        <v>110622471.35100001</v>
      </c>
      <c r="G9" s="342">
        <f t="shared" si="0"/>
        <v>116798267.62199999</v>
      </c>
      <c r="H9" s="342">
        <f t="shared" si="0"/>
        <v>122557004.25300002</v>
      </c>
      <c r="I9" s="342">
        <f t="shared" si="0"/>
        <v>127898989.31499998</v>
      </c>
      <c r="J9" s="342">
        <f t="shared" si="0"/>
        <v>132801163.836</v>
      </c>
      <c r="K9" s="342">
        <f t="shared" si="0"/>
        <v>137242305.08600003</v>
      </c>
      <c r="L9" s="342">
        <f t="shared" si="0"/>
        <v>141175340.69299999</v>
      </c>
      <c r="M9" s="342">
        <f t="shared" si="0"/>
        <v>144653653.24899998</v>
      </c>
      <c r="N9" s="342">
        <f t="shared" si="0"/>
        <v>147835637.8696</v>
      </c>
    </row>
    <row r="10" spans="1:16" ht="12.75" x14ac:dyDescent="0.2">
      <c r="A10" s="519" t="s">
        <v>855</v>
      </c>
      <c r="B10" s="520" t="s">
        <v>798</v>
      </c>
      <c r="C10" s="515">
        <v>2504700</v>
      </c>
      <c r="D10" s="515">
        <v>2504700</v>
      </c>
      <c r="E10" s="515">
        <v>2552911</v>
      </c>
      <c r="F10" s="515">
        <v>2621793</v>
      </c>
      <c r="G10" s="515">
        <v>2648452</v>
      </c>
      <c r="H10" s="515">
        <v>2701230.5</v>
      </c>
      <c r="I10" s="515">
        <v>2754009</v>
      </c>
      <c r="J10" s="515">
        <v>2797267</v>
      </c>
      <c r="K10" s="515">
        <v>2840525</v>
      </c>
      <c r="L10" s="515">
        <v>2900719.7102108686</v>
      </c>
      <c r="M10" s="515">
        <v>2962190.0307886135</v>
      </c>
      <c r="N10" s="515">
        <v>3024962.9937066813</v>
      </c>
      <c r="O10" s="476"/>
      <c r="P10" s="476"/>
    </row>
    <row r="11" spans="1:16" ht="12.75" x14ac:dyDescent="0.2">
      <c r="A11" s="519" t="s">
        <v>799</v>
      </c>
      <c r="B11" s="520" t="s">
        <v>789</v>
      </c>
      <c r="C11" s="515">
        <v>1385108</v>
      </c>
      <c r="D11" s="515">
        <v>1385108</v>
      </c>
      <c r="E11" s="515">
        <v>1385108</v>
      </c>
      <c r="F11" s="515">
        <v>1438159</v>
      </c>
      <c r="G11" s="515">
        <v>1446788</v>
      </c>
      <c r="H11" s="515">
        <v>1482893</v>
      </c>
      <c r="I11" s="515">
        <v>1518998</v>
      </c>
      <c r="J11" s="515">
        <v>1549121.5</v>
      </c>
      <c r="K11" s="515">
        <v>1579245</v>
      </c>
      <c r="L11" s="515">
        <v>1614149.7482437377</v>
      </c>
      <c r="M11" s="515">
        <v>1649825.9673168645</v>
      </c>
      <c r="N11" s="515">
        <v>1686290.7084021149</v>
      </c>
      <c r="O11" s="476"/>
      <c r="P11" s="476"/>
    </row>
    <row r="12" spans="1:16" ht="12.75" x14ac:dyDescent="0.2">
      <c r="A12" s="519" t="s">
        <v>803</v>
      </c>
      <c r="B12" s="520" t="s">
        <v>876</v>
      </c>
      <c r="C12" s="515">
        <v>1585873</v>
      </c>
      <c r="D12" s="515">
        <v>1585873</v>
      </c>
      <c r="E12" s="515">
        <v>1585873</v>
      </c>
      <c r="F12" s="515">
        <v>1636268</v>
      </c>
      <c r="G12" s="515">
        <v>1638281</v>
      </c>
      <c r="H12" s="515">
        <v>1657500.5</v>
      </c>
      <c r="I12" s="515">
        <v>1676720</v>
      </c>
      <c r="J12" s="515">
        <v>1684168.5</v>
      </c>
      <c r="K12" s="515">
        <v>1691617</v>
      </c>
      <c r="L12" s="515">
        <v>1709914.1790001327</v>
      </c>
      <c r="M12" s="515">
        <v>1728409.2673138764</v>
      </c>
      <c r="N12" s="515">
        <v>1747104.4056043583</v>
      </c>
      <c r="O12" s="476"/>
      <c r="P12" s="476"/>
    </row>
    <row r="13" spans="1:16" ht="12.75" x14ac:dyDescent="0.2">
      <c r="A13" s="519" t="s">
        <v>807</v>
      </c>
      <c r="B13" s="520" t="s">
        <v>806</v>
      </c>
      <c r="C13" s="515">
        <v>468730</v>
      </c>
      <c r="D13" s="515">
        <v>468730</v>
      </c>
      <c r="E13" s="515">
        <v>468730</v>
      </c>
      <c r="F13" s="515">
        <v>473279</v>
      </c>
      <c r="G13" s="515">
        <v>487155</v>
      </c>
      <c r="H13" s="515">
        <v>492452</v>
      </c>
      <c r="I13" s="515">
        <v>497749</v>
      </c>
      <c r="J13" s="515">
        <v>499429</v>
      </c>
      <c r="K13" s="515">
        <v>501109</v>
      </c>
      <c r="L13" s="515">
        <v>506718.90967397642</v>
      </c>
      <c r="M13" s="515">
        <v>512391.62222427351</v>
      </c>
      <c r="N13" s="515">
        <v>518127.84072839224</v>
      </c>
      <c r="O13" s="476"/>
      <c r="P13" s="476"/>
    </row>
    <row r="14" spans="1:16" ht="12.75" x14ac:dyDescent="0.2">
      <c r="A14" s="519" t="s">
        <v>811</v>
      </c>
      <c r="B14" s="520" t="s">
        <v>810</v>
      </c>
      <c r="C14" s="515">
        <v>2230722</v>
      </c>
      <c r="D14" s="515">
        <v>2230722</v>
      </c>
      <c r="E14" s="515">
        <v>2250002</v>
      </c>
      <c r="F14" s="515">
        <v>2321580</v>
      </c>
      <c r="G14" s="515">
        <v>2330295</v>
      </c>
      <c r="H14" s="515">
        <v>2351923</v>
      </c>
      <c r="I14" s="515">
        <v>2373551</v>
      </c>
      <c r="J14" s="515">
        <v>2393100</v>
      </c>
      <c r="K14" s="515">
        <v>2412649</v>
      </c>
      <c r="L14" s="515">
        <v>2444381.1512041702</v>
      </c>
      <c r="M14" s="515">
        <v>2476530.6567023317</v>
      </c>
      <c r="N14" s="515">
        <v>2509103.0057096849</v>
      </c>
      <c r="O14" s="476"/>
      <c r="P14" s="476"/>
    </row>
    <row r="15" spans="1:16" x14ac:dyDescent="0.2">
      <c r="A15" s="521"/>
      <c r="B15" s="521"/>
      <c r="C15" s="516"/>
      <c r="D15" s="516"/>
      <c r="E15" s="516"/>
      <c r="F15" s="516"/>
      <c r="G15" s="516"/>
      <c r="H15" s="516"/>
      <c r="I15" s="516"/>
      <c r="J15" s="516"/>
      <c r="K15" s="516"/>
      <c r="L15" s="516"/>
      <c r="M15" s="516"/>
      <c r="N15" s="516"/>
      <c r="O15" s="476"/>
      <c r="P15" s="476"/>
    </row>
    <row r="16" spans="1:16" x14ac:dyDescent="0.2">
      <c r="A16" s="521"/>
      <c r="B16" s="521"/>
      <c r="C16" s="516"/>
      <c r="D16" s="516"/>
      <c r="E16" s="516"/>
      <c r="F16" s="516"/>
      <c r="G16" s="516"/>
      <c r="H16" s="516"/>
      <c r="I16" s="516"/>
      <c r="J16" s="516"/>
      <c r="K16" s="516"/>
      <c r="L16" s="516"/>
      <c r="M16" s="516"/>
      <c r="N16" s="516"/>
    </row>
    <row r="17" spans="1:14" x14ac:dyDescent="0.2">
      <c r="A17" s="306"/>
      <c r="B17" s="306"/>
      <c r="C17" s="517"/>
      <c r="D17" s="517"/>
      <c r="E17" s="517"/>
      <c r="F17" s="517"/>
      <c r="G17" s="517"/>
      <c r="H17" s="517"/>
      <c r="I17" s="517"/>
      <c r="J17" s="517"/>
      <c r="K17" s="517"/>
      <c r="L17" s="517"/>
      <c r="M17" s="517"/>
      <c r="N17" s="517"/>
    </row>
    <row r="18" spans="1:14" x14ac:dyDescent="0.2">
      <c r="A18" s="306" t="s">
        <v>860</v>
      </c>
      <c r="B18" s="306"/>
      <c r="C18" s="522">
        <f>SUM(C10:C17)</f>
        <v>8175133</v>
      </c>
      <c r="D18" s="522">
        <f t="shared" ref="D18:N18" si="1">SUM(D10:D17)</f>
        <v>8175133</v>
      </c>
      <c r="E18" s="522">
        <f t="shared" si="1"/>
        <v>8242624</v>
      </c>
      <c r="F18" s="522">
        <f t="shared" si="1"/>
        <v>8491079</v>
      </c>
      <c r="G18" s="522">
        <f t="shared" si="1"/>
        <v>8550971</v>
      </c>
      <c r="H18" s="522">
        <f t="shared" si="1"/>
        <v>8685999</v>
      </c>
      <c r="I18" s="522">
        <f t="shared" si="1"/>
        <v>8821027</v>
      </c>
      <c r="J18" s="522">
        <f t="shared" si="1"/>
        <v>8923086</v>
      </c>
      <c r="K18" s="522">
        <f t="shared" si="1"/>
        <v>9025145</v>
      </c>
      <c r="L18" s="522">
        <f t="shared" si="1"/>
        <v>9175883.6983328853</v>
      </c>
      <c r="M18" s="522">
        <f t="shared" si="1"/>
        <v>9329347.5443459582</v>
      </c>
      <c r="N18" s="522">
        <f t="shared" si="1"/>
        <v>9485588.9541512318</v>
      </c>
    </row>
    <row r="20" spans="1:14" x14ac:dyDescent="0.2">
      <c r="D20" s="305" t="s">
        <v>877</v>
      </c>
    </row>
    <row r="21" spans="1:14" x14ac:dyDescent="0.2">
      <c r="A21" s="1143" t="s">
        <v>717</v>
      </c>
      <c r="B21" s="1143"/>
      <c r="C21" s="305">
        <v>2000</v>
      </c>
      <c r="D21" s="305">
        <v>2005</v>
      </c>
      <c r="E21" s="305">
        <v>2010</v>
      </c>
      <c r="F21" s="305">
        <v>2015</v>
      </c>
      <c r="G21" s="305">
        <v>2020</v>
      </c>
      <c r="H21" s="305">
        <v>2025</v>
      </c>
      <c r="I21" s="305">
        <v>2030</v>
      </c>
      <c r="J21" s="305">
        <v>2035</v>
      </c>
      <c r="K21" s="305">
        <v>2040</v>
      </c>
      <c r="L21" s="305">
        <v>2045</v>
      </c>
      <c r="M21" s="305">
        <v>2050</v>
      </c>
      <c r="N21" s="305">
        <v>2055</v>
      </c>
    </row>
    <row r="22" spans="1:14" x14ac:dyDescent="0.2">
      <c r="A22" s="305" t="s">
        <v>788</v>
      </c>
      <c r="B22" s="305" t="s">
        <v>718</v>
      </c>
      <c r="C22" s="518">
        <v>14082663.889999991</v>
      </c>
      <c r="D22" s="518">
        <v>14255073.101</v>
      </c>
      <c r="E22" s="518">
        <v>14559921.450999998</v>
      </c>
      <c r="F22" s="518">
        <v>14806579.829999998</v>
      </c>
      <c r="G22" s="518">
        <v>14997673.560000001</v>
      </c>
      <c r="H22" s="518">
        <v>15111198.526999999</v>
      </c>
      <c r="I22" s="518">
        <v>15141889.450999998</v>
      </c>
      <c r="J22" s="518">
        <v>15098507.534000002</v>
      </c>
      <c r="K22" s="518">
        <v>14996543.470000003</v>
      </c>
      <c r="L22" s="518">
        <v>14833993.520999998</v>
      </c>
      <c r="M22" s="518">
        <v>14622514.98</v>
      </c>
      <c r="N22" s="518">
        <v>14386621.138</v>
      </c>
    </row>
    <row r="23" spans="1:14" x14ac:dyDescent="0.2">
      <c r="A23" s="305" t="s">
        <v>878</v>
      </c>
      <c r="B23" s="305" t="s">
        <v>723</v>
      </c>
      <c r="C23" s="518">
        <v>40037144.820000008</v>
      </c>
      <c r="D23" s="518">
        <v>40424218.921000004</v>
      </c>
      <c r="E23" s="518">
        <v>43307856.045000017</v>
      </c>
      <c r="F23" s="518">
        <v>45795599.081</v>
      </c>
      <c r="G23" s="518">
        <v>48022396.056999996</v>
      </c>
      <c r="H23" s="518">
        <v>50005879.075000018</v>
      </c>
      <c r="I23" s="518">
        <v>51768902.476999983</v>
      </c>
      <c r="J23" s="518">
        <v>53349649.735000007</v>
      </c>
      <c r="K23" s="518">
        <v>54746760.595999993</v>
      </c>
      <c r="L23" s="518">
        <v>55968920.20699998</v>
      </c>
      <c r="M23" s="518">
        <v>57054895.958000004</v>
      </c>
      <c r="N23" s="518">
        <v>58050704.504999995</v>
      </c>
    </row>
    <row r="24" spans="1:14" x14ac:dyDescent="0.2">
      <c r="A24" s="305" t="s">
        <v>879</v>
      </c>
      <c r="B24" s="305" t="s">
        <v>724</v>
      </c>
      <c r="C24" s="518">
        <v>51311033.110000156</v>
      </c>
      <c r="D24" s="518">
        <v>56211935.149000004</v>
      </c>
      <c r="E24" s="518">
        <v>60657963.586000003</v>
      </c>
      <c r="F24" s="518">
        <v>64826872.270000011</v>
      </c>
      <c r="G24" s="518">
        <v>68775871.564999998</v>
      </c>
      <c r="H24" s="518">
        <v>72551125.178000003</v>
      </c>
      <c r="I24" s="518">
        <v>76130086.838</v>
      </c>
      <c r="J24" s="518">
        <v>79451514.100999996</v>
      </c>
      <c r="K24" s="518">
        <v>82495544.490000024</v>
      </c>
      <c r="L24" s="518">
        <v>85206420.486000001</v>
      </c>
      <c r="M24" s="518">
        <v>87598757.290999979</v>
      </c>
      <c r="N24" s="518">
        <v>89784933.364600003</v>
      </c>
    </row>
    <row r="25" spans="1:14" x14ac:dyDescent="0.2">
      <c r="A25" s="305" t="s">
        <v>880</v>
      </c>
      <c r="B25" s="305" t="s">
        <v>725</v>
      </c>
      <c r="C25" s="518">
        <v>17077982.930000018</v>
      </c>
      <c r="D25" s="518">
        <v>19805788.936800003</v>
      </c>
      <c r="E25" s="518">
        <v>20159289.497400001</v>
      </c>
      <c r="F25" s="518">
        <v>20476775.141300004</v>
      </c>
      <c r="G25" s="518">
        <v>20749393.893400002</v>
      </c>
      <c r="H25" s="518">
        <v>20940851.981899999</v>
      </c>
      <c r="I25" s="518">
        <v>21040329.486699998</v>
      </c>
      <c r="J25" s="518">
        <v>21038618.613199998</v>
      </c>
      <c r="K25" s="518">
        <v>20955441.926899999</v>
      </c>
      <c r="L25" s="518">
        <v>20804312.533100005</v>
      </c>
      <c r="M25" s="518">
        <v>20591713.880000003</v>
      </c>
      <c r="N25" s="518">
        <v>20351239.3081</v>
      </c>
    </row>
    <row r="26" spans="1:14" x14ac:dyDescent="0.2">
      <c r="A26" s="305" t="s">
        <v>881</v>
      </c>
      <c r="B26" s="305" t="s">
        <v>726</v>
      </c>
      <c r="C26" s="518">
        <v>45614039.319999993</v>
      </c>
      <c r="D26" s="518">
        <v>46130608.688000001</v>
      </c>
      <c r="E26" s="518">
        <v>46972933.263000011</v>
      </c>
      <c r="F26" s="518">
        <v>47577755.758000009</v>
      </c>
      <c r="G26" s="518">
        <v>47995420.120000012</v>
      </c>
      <c r="H26" s="518">
        <v>48224534.769000009</v>
      </c>
      <c r="I26" s="518">
        <v>48224802.348000005</v>
      </c>
      <c r="J26" s="518">
        <v>48028971.478000008</v>
      </c>
      <c r="K26" s="518">
        <v>47680484.528999999</v>
      </c>
      <c r="L26" s="518">
        <v>47208997.395000011</v>
      </c>
      <c r="M26" s="518">
        <v>46617072.958999991</v>
      </c>
      <c r="N26" s="518">
        <v>45970326.495000005</v>
      </c>
    </row>
    <row r="27" spans="1:14" x14ac:dyDescent="0.2">
      <c r="A27" s="305" t="s">
        <v>882</v>
      </c>
      <c r="B27" s="305" t="s">
        <v>727</v>
      </c>
      <c r="C27" s="518">
        <v>31253546.539999887</v>
      </c>
      <c r="D27" s="518">
        <v>33754989.348699994</v>
      </c>
      <c r="E27" s="518">
        <v>36435612.336899988</v>
      </c>
      <c r="F27" s="518">
        <v>38907357.291749991</v>
      </c>
      <c r="G27" s="518">
        <v>41192424.01761999</v>
      </c>
      <c r="H27" s="518">
        <v>43323912.229930013</v>
      </c>
      <c r="I27" s="518">
        <v>45282321.029000022</v>
      </c>
      <c r="J27" s="518">
        <v>47075508.928220011</v>
      </c>
      <c r="K27" s="518">
        <v>48642800.480819978</v>
      </c>
      <c r="L27" s="518">
        <v>49999333.878240012</v>
      </c>
      <c r="M27" s="518">
        <v>51136790.05067002</v>
      </c>
      <c r="N27" s="518">
        <v>52125909.121109977</v>
      </c>
    </row>
    <row r="28" spans="1:14" x14ac:dyDescent="0.2">
      <c r="A28" s="305" t="s">
        <v>883</v>
      </c>
      <c r="B28" s="305" t="s">
        <v>728</v>
      </c>
      <c r="C28" s="518">
        <v>19388126.960000023</v>
      </c>
      <c r="D28" s="518">
        <v>17585176.247000001</v>
      </c>
      <c r="E28" s="518">
        <v>17816637.934999999</v>
      </c>
      <c r="F28" s="518">
        <v>17930085.234000001</v>
      </c>
      <c r="G28" s="518">
        <v>17940824.980999999</v>
      </c>
      <c r="H28" s="518">
        <v>17871914.307000004</v>
      </c>
      <c r="I28" s="518">
        <v>17701358.123</v>
      </c>
      <c r="J28" s="518">
        <v>17487059.499000002</v>
      </c>
      <c r="K28" s="518">
        <v>17237972.877999995</v>
      </c>
      <c r="L28" s="518">
        <v>16930344.434</v>
      </c>
      <c r="M28" s="518">
        <v>16608433.531000001</v>
      </c>
      <c r="N28" s="518">
        <v>16251410.362000002</v>
      </c>
    </row>
    <row r="29" spans="1:14" x14ac:dyDescent="0.2">
      <c r="A29" s="305" t="s">
        <v>884</v>
      </c>
      <c r="B29" s="305" t="s">
        <v>729</v>
      </c>
      <c r="C29" s="518">
        <v>17981767.819999959</v>
      </c>
      <c r="D29" s="518">
        <v>20317824.098200001</v>
      </c>
      <c r="E29" s="518">
        <v>21967032.106299996</v>
      </c>
      <c r="F29" s="518">
        <v>23510704.125500001</v>
      </c>
      <c r="G29" s="518">
        <v>24971189.716500003</v>
      </c>
      <c r="H29" s="518">
        <v>26340833.627499998</v>
      </c>
      <c r="I29" s="518">
        <v>27631045.834299996</v>
      </c>
      <c r="J29" s="518">
        <v>28808041.623099998</v>
      </c>
      <c r="K29" s="518">
        <v>29837457.262799997</v>
      </c>
      <c r="L29" s="518">
        <v>30702162.024299998</v>
      </c>
      <c r="M29" s="518">
        <v>31414970.701299999</v>
      </c>
      <c r="N29" s="518">
        <v>32032798.268399999</v>
      </c>
    </row>
    <row r="30" spans="1:14" x14ac:dyDescent="0.2">
      <c r="A30" s="305" t="s">
        <v>885</v>
      </c>
      <c r="B30" s="305" t="s">
        <v>730</v>
      </c>
      <c r="C30" s="518">
        <v>44845539.820000112</v>
      </c>
      <c r="D30" s="518">
        <v>48019332.207551196</v>
      </c>
      <c r="E30" s="518">
        <v>50771732.591894343</v>
      </c>
      <c r="F30" s="518">
        <v>53225572.894723535</v>
      </c>
      <c r="G30" s="518">
        <v>55388666.918814115</v>
      </c>
      <c r="H30" s="518">
        <v>57252917.077324443</v>
      </c>
      <c r="I30" s="518">
        <v>58843587.911681518</v>
      </c>
      <c r="J30" s="518">
        <v>60207059.366576836</v>
      </c>
      <c r="K30" s="518">
        <v>61339070.616783455</v>
      </c>
      <c r="L30" s="518">
        <v>62196594.287861489</v>
      </c>
      <c r="M30" s="518">
        <v>62782382.675442532</v>
      </c>
      <c r="N30" s="518">
        <v>63180872.50108292</v>
      </c>
    </row>
    <row r="31" spans="1:14" x14ac:dyDescent="0.2">
      <c r="A31" s="468" t="s">
        <v>886</v>
      </c>
      <c r="C31" s="518">
        <f t="shared" ref="C31:N31" si="2">SUM(C22:C30)</f>
        <v>281591845.21000016</v>
      </c>
      <c r="D31" s="518">
        <f t="shared" si="2"/>
        <v>296504946.6972512</v>
      </c>
      <c r="E31" s="518">
        <f t="shared" si="2"/>
        <v>312648978.81249434</v>
      </c>
      <c r="F31" s="518">
        <f t="shared" si="2"/>
        <v>327057301.62627357</v>
      </c>
      <c r="G31" s="518">
        <f t="shared" si="2"/>
        <v>340033860.82933414</v>
      </c>
      <c r="H31" s="518">
        <f t="shared" si="2"/>
        <v>351623166.77265453</v>
      </c>
      <c r="I31" s="518">
        <f t="shared" si="2"/>
        <v>361764323.49868149</v>
      </c>
      <c r="J31" s="518">
        <f t="shared" si="2"/>
        <v>370544930.87809688</v>
      </c>
      <c r="K31" s="518">
        <f t="shared" si="2"/>
        <v>377932076.25030345</v>
      </c>
      <c r="L31" s="518">
        <f t="shared" si="2"/>
        <v>383851078.76650149</v>
      </c>
      <c r="M31" s="518">
        <f t="shared" si="2"/>
        <v>388427532.02641255</v>
      </c>
      <c r="N31" s="518">
        <f t="shared" si="2"/>
        <v>392134815.06329286</v>
      </c>
    </row>
    <row r="32" spans="1:14" x14ac:dyDescent="0.2">
      <c r="C32" s="518"/>
      <c r="D32" s="518"/>
      <c r="E32" s="518"/>
      <c r="F32" s="518"/>
      <c r="G32" s="518"/>
      <c r="H32" s="518"/>
      <c r="I32" s="518"/>
      <c r="J32" s="518"/>
      <c r="K32" s="518"/>
      <c r="L32" s="518"/>
      <c r="M32" s="518"/>
      <c r="N32" s="518"/>
    </row>
    <row r="33" spans="1:14" x14ac:dyDescent="0.2">
      <c r="D33" s="305" t="s">
        <v>887</v>
      </c>
    </row>
    <row r="34" spans="1:14" x14ac:dyDescent="0.2">
      <c r="A34" s="1143" t="s">
        <v>717</v>
      </c>
      <c r="B34" s="1143"/>
      <c r="C34" s="305">
        <v>2000</v>
      </c>
      <c r="D34" s="305">
        <v>2005</v>
      </c>
      <c r="E34" s="305">
        <v>2010</v>
      </c>
      <c r="F34" s="305">
        <v>2015</v>
      </c>
      <c r="G34" s="305">
        <v>2020</v>
      </c>
      <c r="H34" s="305">
        <v>2025</v>
      </c>
      <c r="I34" s="305">
        <v>2030</v>
      </c>
      <c r="J34" s="305">
        <v>2035</v>
      </c>
      <c r="K34" s="305">
        <v>2040</v>
      </c>
      <c r="L34" s="305">
        <v>2045</v>
      </c>
      <c r="M34" s="305">
        <v>2050</v>
      </c>
      <c r="N34" s="305">
        <v>2055</v>
      </c>
    </row>
    <row r="35" spans="1:14" x14ac:dyDescent="0.2">
      <c r="A35" s="305" t="s">
        <v>788</v>
      </c>
      <c r="B35" s="305" t="s">
        <v>718</v>
      </c>
      <c r="C35" s="518">
        <v>14082663.889999991</v>
      </c>
      <c r="D35" s="518">
        <v>14365140.789999997</v>
      </c>
      <c r="E35" s="518">
        <v>14647617.68999999</v>
      </c>
      <c r="F35" s="518">
        <v>14930094.589999996</v>
      </c>
      <c r="G35" s="518">
        <v>15212571.489999987</v>
      </c>
      <c r="H35" s="518">
        <v>15495048.389999993</v>
      </c>
      <c r="I35" s="518">
        <v>15777525.289999999</v>
      </c>
      <c r="J35" s="518">
        <v>16060002.189999992</v>
      </c>
      <c r="K35" s="518">
        <v>16342479.089999998</v>
      </c>
      <c r="L35" s="518">
        <v>16624955.989999989</v>
      </c>
      <c r="M35" s="518">
        <v>16907432.889999997</v>
      </c>
      <c r="N35" s="518">
        <v>17189909.789999988</v>
      </c>
    </row>
    <row r="36" spans="1:14" x14ac:dyDescent="0.2">
      <c r="A36" s="305" t="s">
        <v>878</v>
      </c>
      <c r="B36" s="305" t="s">
        <v>723</v>
      </c>
      <c r="C36" s="518">
        <v>40037144.820000008</v>
      </c>
      <c r="D36" s="518">
        <v>40430205.620000012</v>
      </c>
      <c r="E36" s="518">
        <v>40823266.420000009</v>
      </c>
      <c r="F36" s="518">
        <v>41216327.220000014</v>
      </c>
      <c r="G36" s="518">
        <v>41609388.020000011</v>
      </c>
      <c r="H36" s="518">
        <v>42002448.820000015</v>
      </c>
      <c r="I36" s="518">
        <v>42395509.620000012</v>
      </c>
      <c r="J36" s="518">
        <v>42788570.420000017</v>
      </c>
      <c r="K36" s="518">
        <v>43181631.220000014</v>
      </c>
      <c r="L36" s="518">
        <v>43574692.020000018</v>
      </c>
      <c r="M36" s="518">
        <v>43967752.820000015</v>
      </c>
      <c r="N36" s="518">
        <v>44360813.62000002</v>
      </c>
    </row>
    <row r="37" spans="1:14" x14ac:dyDescent="0.2">
      <c r="A37" s="305" t="s">
        <v>879</v>
      </c>
      <c r="B37" s="305" t="s">
        <v>724</v>
      </c>
      <c r="C37" s="518">
        <v>51311033.110000156</v>
      </c>
      <c r="D37" s="518">
        <v>55682680.66000019</v>
      </c>
      <c r="E37" s="518">
        <v>60054328.210000224</v>
      </c>
      <c r="F37" s="518">
        <v>64425975.760000259</v>
      </c>
      <c r="G37" s="518">
        <v>68797623.310000062</v>
      </c>
      <c r="H37" s="518">
        <v>73169270.860000104</v>
      </c>
      <c r="I37" s="518">
        <v>77540918.410000131</v>
      </c>
      <c r="J37" s="518">
        <v>81912565.960000172</v>
      </c>
      <c r="K37" s="518">
        <v>86284213.510000199</v>
      </c>
      <c r="L37" s="518">
        <v>90655861.060000241</v>
      </c>
      <c r="M37" s="518">
        <v>95027508.610000268</v>
      </c>
      <c r="N37" s="518">
        <v>99399156.160000071</v>
      </c>
    </row>
    <row r="38" spans="1:14" x14ac:dyDescent="0.2">
      <c r="A38" s="305" t="s">
        <v>880</v>
      </c>
      <c r="B38" s="305" t="s">
        <v>725</v>
      </c>
      <c r="C38" s="518">
        <v>17077982.930000018</v>
      </c>
      <c r="D38" s="518">
        <v>17552092.280000012</v>
      </c>
      <c r="E38" s="518">
        <v>18026201.630000003</v>
      </c>
      <c r="F38" s="518">
        <v>18500310.980000023</v>
      </c>
      <c r="G38" s="518">
        <v>18974420.330000017</v>
      </c>
      <c r="H38" s="518">
        <v>19448529.680000007</v>
      </c>
      <c r="I38" s="518">
        <v>19922639.030000027</v>
      </c>
      <c r="J38" s="518">
        <v>20396748.380000021</v>
      </c>
      <c r="K38" s="518">
        <v>20870857.730000012</v>
      </c>
      <c r="L38" s="518">
        <v>21344967.080000002</v>
      </c>
      <c r="M38" s="518">
        <v>21819076.430000026</v>
      </c>
      <c r="N38" s="518">
        <v>22293185.780000016</v>
      </c>
    </row>
    <row r="39" spans="1:14" x14ac:dyDescent="0.2">
      <c r="A39" s="305" t="s">
        <v>881</v>
      </c>
      <c r="B39" s="305" t="s">
        <v>726</v>
      </c>
      <c r="C39" s="518">
        <v>45614039.319999993</v>
      </c>
      <c r="D39" s="518">
        <v>46191913.769999988</v>
      </c>
      <c r="E39" s="518">
        <v>46769788.220000006</v>
      </c>
      <c r="F39" s="518">
        <v>47347662.670000002</v>
      </c>
      <c r="G39" s="518">
        <v>47925537.120000005</v>
      </c>
      <c r="H39" s="518">
        <v>48503411.57</v>
      </c>
      <c r="I39" s="518">
        <v>49081286.019999996</v>
      </c>
      <c r="J39" s="518">
        <v>49659160.469999991</v>
      </c>
      <c r="K39" s="518">
        <v>50237034.919999987</v>
      </c>
      <c r="L39" s="518">
        <v>50814909.370000012</v>
      </c>
      <c r="M39" s="518">
        <v>51392783.820000008</v>
      </c>
      <c r="N39" s="518">
        <v>51970658.270000003</v>
      </c>
    </row>
    <row r="40" spans="1:14" x14ac:dyDescent="0.2">
      <c r="A40" s="305" t="s">
        <v>882</v>
      </c>
      <c r="B40" s="305" t="s">
        <v>727</v>
      </c>
      <c r="C40" s="518">
        <v>31253546.539999887</v>
      </c>
      <c r="D40" s="518">
        <v>33535417.339999866</v>
      </c>
      <c r="E40" s="518">
        <v>35817288.139999963</v>
      </c>
      <c r="F40" s="518">
        <v>38099158.939999938</v>
      </c>
      <c r="G40" s="518">
        <v>40381029.73999992</v>
      </c>
      <c r="H40" s="518">
        <v>42662900.539999895</v>
      </c>
      <c r="I40" s="518">
        <v>44944771.339999877</v>
      </c>
      <c r="J40" s="518">
        <v>47226642.139999971</v>
      </c>
      <c r="K40" s="518">
        <v>49508512.939999945</v>
      </c>
      <c r="L40" s="518">
        <v>51790383.739999928</v>
      </c>
      <c r="M40" s="518">
        <v>54072254.539999902</v>
      </c>
      <c r="N40" s="518">
        <v>56354125.339999884</v>
      </c>
    </row>
    <row r="41" spans="1:14" x14ac:dyDescent="0.2">
      <c r="A41" s="305" t="s">
        <v>883</v>
      </c>
      <c r="B41" s="305" t="s">
        <v>728</v>
      </c>
      <c r="C41" s="518">
        <v>19388126.960000023</v>
      </c>
      <c r="D41" s="518">
        <v>19826329.51000002</v>
      </c>
      <c r="E41" s="518">
        <v>20264532.060000021</v>
      </c>
      <c r="F41" s="518">
        <v>20702734.610000022</v>
      </c>
      <c r="G41" s="518">
        <v>21140937.160000023</v>
      </c>
      <c r="H41" s="518">
        <v>21579139.71000002</v>
      </c>
      <c r="I41" s="518">
        <v>22017342.26000002</v>
      </c>
      <c r="J41" s="518">
        <v>22455544.810000021</v>
      </c>
      <c r="K41" s="518">
        <v>22893747.360000022</v>
      </c>
      <c r="L41" s="518">
        <v>23331949.910000019</v>
      </c>
      <c r="M41" s="518">
        <v>23770152.46000002</v>
      </c>
      <c r="N41" s="518">
        <v>24208355.01000002</v>
      </c>
    </row>
    <row r="42" spans="1:14" x14ac:dyDescent="0.2">
      <c r="A42" s="305" t="s">
        <v>884</v>
      </c>
      <c r="B42" s="305" t="s">
        <v>729</v>
      </c>
      <c r="C42" s="518">
        <v>17981767.819999959</v>
      </c>
      <c r="D42" s="518">
        <v>19923017.619999997</v>
      </c>
      <c r="E42" s="518">
        <v>21864267.420000032</v>
      </c>
      <c r="F42" s="518">
        <v>23805517.219999958</v>
      </c>
      <c r="G42" s="518">
        <v>25746767.019999992</v>
      </c>
      <c r="H42" s="518">
        <v>27688016.82000003</v>
      </c>
      <c r="I42" s="518">
        <v>29629266.619999953</v>
      </c>
      <c r="J42" s="518">
        <v>31570516.419999991</v>
      </c>
      <c r="K42" s="518">
        <v>33511766.220000029</v>
      </c>
      <c r="L42" s="518">
        <v>35453016.019999951</v>
      </c>
      <c r="M42" s="518">
        <v>37394265.819999985</v>
      </c>
      <c r="N42" s="518">
        <v>39335515.620000027</v>
      </c>
    </row>
    <row r="43" spans="1:14" x14ac:dyDescent="0.2">
      <c r="A43" s="305" t="s">
        <v>885</v>
      </c>
      <c r="B43" s="305" t="s">
        <v>730</v>
      </c>
      <c r="C43" s="518">
        <v>44845539.820000112</v>
      </c>
      <c r="D43" s="518">
        <v>47700071.920000024</v>
      </c>
      <c r="E43" s="518">
        <v>50554604.020000167</v>
      </c>
      <c r="F43" s="518">
        <v>53409136.120000087</v>
      </c>
      <c r="G43" s="518">
        <v>56263668.22000023</v>
      </c>
      <c r="H43" s="518">
        <v>59118200.320000142</v>
      </c>
      <c r="I43" s="518">
        <v>61972732.420000054</v>
      </c>
      <c r="J43" s="518">
        <v>64827264.520000197</v>
      </c>
      <c r="K43" s="518">
        <v>67681796.620000109</v>
      </c>
      <c r="L43" s="518">
        <v>70536328.720000029</v>
      </c>
      <c r="M43" s="518">
        <v>73390860.820000172</v>
      </c>
      <c r="N43" s="518">
        <v>76245392.920000091</v>
      </c>
    </row>
    <row r="44" spans="1:14" x14ac:dyDescent="0.2">
      <c r="A44" s="468" t="s">
        <v>886</v>
      </c>
      <c r="C44" s="518">
        <f t="shared" ref="C44:N44" si="3">SUM(C35:C43)</f>
        <v>281591845.21000016</v>
      </c>
      <c r="D44" s="518">
        <f t="shared" si="3"/>
        <v>295206869.51000011</v>
      </c>
      <c r="E44" s="518">
        <f t="shared" si="3"/>
        <v>308821893.81000042</v>
      </c>
      <c r="F44" s="518">
        <f t="shared" si="3"/>
        <v>322436918.11000025</v>
      </c>
      <c r="G44" s="518">
        <f t="shared" si="3"/>
        <v>336051942.41000021</v>
      </c>
      <c r="H44" s="518">
        <f t="shared" si="3"/>
        <v>349666966.71000016</v>
      </c>
      <c r="I44" s="518">
        <f t="shared" si="3"/>
        <v>363281991.01000011</v>
      </c>
      <c r="J44" s="518">
        <f t="shared" si="3"/>
        <v>376897015.31000042</v>
      </c>
      <c r="K44" s="518">
        <f t="shared" si="3"/>
        <v>390512039.61000031</v>
      </c>
      <c r="L44" s="518">
        <f t="shared" si="3"/>
        <v>404127063.91000021</v>
      </c>
      <c r="M44" s="518">
        <f t="shared" si="3"/>
        <v>417742088.21000046</v>
      </c>
      <c r="N44" s="518">
        <f t="shared" si="3"/>
        <v>431357112.51000011</v>
      </c>
    </row>
    <row r="45" spans="1:14" x14ac:dyDescent="0.2">
      <c r="A45" s="468" t="s">
        <v>888</v>
      </c>
      <c r="C45" s="305">
        <f>C44/10^6</f>
        <v>281.59184521000014</v>
      </c>
      <c r="D45" s="305">
        <f t="shared" ref="D45:N45" si="4">D44/10^6</f>
        <v>295.2068695100001</v>
      </c>
      <c r="E45" s="305">
        <f t="shared" si="4"/>
        <v>308.8218938100004</v>
      </c>
      <c r="F45" s="305">
        <f t="shared" si="4"/>
        <v>322.43691811000025</v>
      </c>
      <c r="G45" s="305">
        <f t="shared" si="4"/>
        <v>336.05194241000021</v>
      </c>
      <c r="H45" s="305">
        <f t="shared" si="4"/>
        <v>349.66696671000017</v>
      </c>
      <c r="I45" s="305">
        <f t="shared" si="4"/>
        <v>363.28199101000013</v>
      </c>
      <c r="J45" s="305">
        <f t="shared" si="4"/>
        <v>376.89701531000043</v>
      </c>
      <c r="K45" s="305">
        <f t="shared" si="4"/>
        <v>390.51203961000033</v>
      </c>
      <c r="L45" s="305">
        <f t="shared" si="4"/>
        <v>404.12706391000023</v>
      </c>
      <c r="M45" s="305">
        <f t="shared" si="4"/>
        <v>417.74208821000047</v>
      </c>
      <c r="N45" s="305">
        <f t="shared" si="4"/>
        <v>431.35711251000009</v>
      </c>
    </row>
    <row r="46" spans="1:14" x14ac:dyDescent="0.2">
      <c r="A46" s="305" t="s">
        <v>889</v>
      </c>
    </row>
    <row r="50" spans="4:4" x14ac:dyDescent="0.2">
      <c r="D50" s="468"/>
    </row>
  </sheetData>
  <mergeCells count="3">
    <mergeCell ref="A8:B8"/>
    <mergeCell ref="A21:B21"/>
    <mergeCell ref="A34:B34"/>
  </mergeCells>
  <phoneticPr fontId="0" type="noConversion"/>
  <pageMargins left="0.75" right="0.75" top="1" bottom="1" header="0.5" footer="0.5"/>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351"/>
  <sheetViews>
    <sheetView showFormulas="1" workbookViewId="0">
      <selection activeCell="E8" sqref="E8"/>
    </sheetView>
  </sheetViews>
  <sheetFormatPr defaultColWidth="9.140625" defaultRowHeight="11.25" x14ac:dyDescent="0.2"/>
  <cols>
    <col min="1" max="1" width="5" style="525" customWidth="1"/>
    <col min="2" max="2" width="28.140625" style="525" customWidth="1"/>
    <col min="3" max="3" width="10.140625" style="525" customWidth="1"/>
    <col min="4" max="4" width="10.5703125" style="525" customWidth="1"/>
    <col min="5" max="5" width="9.42578125" style="525" bestFit="1" customWidth="1"/>
    <col min="6" max="6" width="10.42578125" style="525" customWidth="1"/>
    <col min="7" max="7" width="12.42578125" style="525" customWidth="1"/>
    <col min="8" max="8" width="9.42578125" style="525" bestFit="1" customWidth="1"/>
    <col min="9" max="9" width="10.42578125" style="525" bestFit="1" customWidth="1"/>
    <col min="10" max="10" width="11.140625" style="525" bestFit="1" customWidth="1"/>
    <col min="11" max="11" width="10.42578125" style="525" bestFit="1" customWidth="1"/>
    <col min="12" max="12" width="10.140625" style="525" bestFit="1" customWidth="1"/>
    <col min="13" max="13" width="10.42578125" style="525" bestFit="1" customWidth="1"/>
    <col min="14" max="14" width="18.140625" style="525" customWidth="1"/>
    <col min="15" max="15" width="9.42578125" style="525" bestFit="1" customWidth="1"/>
    <col min="16" max="17" width="9.140625" style="525"/>
    <col min="18" max="19" width="9.5703125" style="525" bestFit="1" customWidth="1"/>
    <col min="20" max="20" width="9.42578125" style="525" bestFit="1" customWidth="1"/>
    <col min="21" max="21" width="10.140625" style="525" customWidth="1"/>
    <col min="22" max="22" width="9.42578125" style="525" bestFit="1" customWidth="1"/>
    <col min="23" max="16384" width="9.140625" style="525"/>
  </cols>
  <sheetData>
    <row r="1" spans="1:14" x14ac:dyDescent="0.2">
      <c r="A1" s="558"/>
      <c r="B1" s="559" t="s">
        <v>890</v>
      </c>
      <c r="C1" s="558"/>
      <c r="D1" s="558"/>
      <c r="E1" s="558"/>
      <c r="F1" s="558"/>
      <c r="G1" s="558"/>
      <c r="H1" s="558"/>
      <c r="I1" s="558"/>
      <c r="J1" s="558"/>
    </row>
    <row r="2" spans="1:14" x14ac:dyDescent="0.2">
      <c r="A2" s="558" t="s">
        <v>891</v>
      </c>
      <c r="C2" s="558"/>
      <c r="D2" s="558"/>
      <c r="E2" s="558"/>
      <c r="F2" s="558"/>
      <c r="G2" s="558"/>
      <c r="H2" s="558"/>
      <c r="I2" s="558"/>
      <c r="J2" s="558"/>
    </row>
    <row r="4" spans="1:14" x14ac:dyDescent="0.2">
      <c r="B4" s="851" t="s">
        <v>892</v>
      </c>
      <c r="C4" s="851">
        <v>2005</v>
      </c>
      <c r="D4" s="851">
        <v>2010</v>
      </c>
      <c r="E4" s="851">
        <v>2015</v>
      </c>
      <c r="F4" s="851">
        <v>2020</v>
      </c>
      <c r="G4" s="851">
        <v>2025</v>
      </c>
      <c r="H4" s="851">
        <v>2030</v>
      </c>
      <c r="I4" s="851">
        <v>2035</v>
      </c>
      <c r="J4" s="851">
        <v>2040</v>
      </c>
      <c r="K4" s="851">
        <v>2045</v>
      </c>
      <c r="L4" s="851">
        <v>2050</v>
      </c>
      <c r="M4" s="851">
        <v>2055</v>
      </c>
    </row>
    <row r="5" spans="1:14" x14ac:dyDescent="0.2">
      <c r="A5" s="525" t="s">
        <v>110</v>
      </c>
      <c r="B5" s="525" t="s">
        <v>893</v>
      </c>
      <c r="C5" s="523"/>
      <c r="D5" s="523"/>
      <c r="E5" s="523"/>
      <c r="F5" s="523"/>
      <c r="G5" s="523"/>
      <c r="H5" s="523"/>
      <c r="I5" s="523"/>
      <c r="J5" s="523"/>
      <c r="K5" s="523"/>
      <c r="L5" s="523"/>
      <c r="M5" s="523"/>
    </row>
    <row r="6" spans="1:14" x14ac:dyDescent="0.2">
      <c r="B6" s="525" t="s">
        <v>894</v>
      </c>
      <c r="C6" s="523"/>
      <c r="D6" s="523"/>
      <c r="E6" s="523"/>
      <c r="F6" s="523"/>
      <c r="G6" s="523"/>
      <c r="H6" s="523"/>
      <c r="I6" s="523"/>
      <c r="J6" s="523"/>
      <c r="K6" s="523"/>
      <c r="L6" s="523"/>
      <c r="M6" s="523"/>
    </row>
    <row r="7" spans="1:14" x14ac:dyDescent="0.2">
      <c r="B7" s="525" t="s">
        <v>895</v>
      </c>
      <c r="C7" s="524">
        <v>0.36099999999999999</v>
      </c>
      <c r="D7" s="524">
        <v>0.36099999999999999</v>
      </c>
      <c r="E7" s="524">
        <v>0.36099999999999999</v>
      </c>
      <c r="F7" s="524">
        <v>0.36099999999999999</v>
      </c>
      <c r="G7" s="524">
        <v>0.36099999999999999</v>
      </c>
      <c r="H7" s="524">
        <v>0.36099999999999999</v>
      </c>
      <c r="I7" s="524">
        <v>0.36099999999999999</v>
      </c>
      <c r="J7" s="524">
        <v>0.36099999999999999</v>
      </c>
      <c r="K7" s="524">
        <v>0.36099999999999999</v>
      </c>
      <c r="L7" s="524">
        <v>0.36099999999999999</v>
      </c>
      <c r="M7" s="524">
        <v>0.36099999999999999</v>
      </c>
      <c r="N7" s="851" t="s">
        <v>896</v>
      </c>
    </row>
    <row r="8" spans="1:14" x14ac:dyDescent="0.2">
      <c r="B8" s="525" t="s">
        <v>897</v>
      </c>
      <c r="C8" s="523">
        <f>$H25*$F25*('AEO Data'!B235+'AEO Data'!B236)/1000</f>
        <v>8.368423598643842</v>
      </c>
      <c r="D8" s="523">
        <f>$H25*$F25*('AEO Data'!C235+'AEO Data'!C236)/1000</f>
        <v>10.595611406647423</v>
      </c>
      <c r="E8" s="523">
        <f>$H25*$F25*('AEO Data'!D235+'AEO Data'!D236)/1000</f>
        <v>9.6360976665512652</v>
      </c>
      <c r="F8" s="523">
        <f>$H25*$F25*('AEO Data'!E235+'AEO Data'!E236)/1000</f>
        <v>10.67575537847825</v>
      </c>
      <c r="G8" s="523">
        <f>$H25*$F25*('AEO Data'!F235+'AEO Data'!F236)/1000</f>
        <v>11.31419201138743</v>
      </c>
      <c r="H8" s="523">
        <f>$H25*$F25*('AEO Data'!G235+'AEO Data'!G236)/1000</f>
        <v>12.092247292859108</v>
      </c>
      <c r="I8" s="523">
        <f>$H25*$F25*('AEO Data'!H235+'AEO Data'!H236)/1000</f>
        <v>12.784611448047237</v>
      </c>
      <c r="J8" s="523">
        <f>$H25*$F25*('AEO Data'!I235+'AEO Data'!I236)/1000</f>
        <v>13.79170613438418</v>
      </c>
      <c r="K8" s="523">
        <f>$H25*$F25*('AEO Data'!J235+'AEO Data'!J236)/1000</f>
        <v>14.623143801319969</v>
      </c>
      <c r="L8" s="523">
        <f>$H25*$F25*('AEO Data'!K235+'AEO Data'!K236)/1000</f>
        <v>15.504772690810956</v>
      </c>
      <c r="M8" s="523">
        <f>$H25*$F25*('AEO Data'!L235+'AEO Data'!L236)/1000</f>
        <v>16.439626679892839</v>
      </c>
    </row>
    <row r="9" spans="1:14" x14ac:dyDescent="0.2">
      <c r="A9" s="525" t="s">
        <v>93</v>
      </c>
      <c r="B9" s="525" t="s">
        <v>898</v>
      </c>
      <c r="C9" s="852">
        <v>9.0955093826431366</v>
      </c>
      <c r="D9" s="852">
        <v>9.1206942471432306</v>
      </c>
      <c r="E9" s="852">
        <v>8.7801100262663354</v>
      </c>
      <c r="F9" s="852">
        <v>9.1431603815444191</v>
      </c>
      <c r="G9" s="852">
        <v>9.5226608672051896</v>
      </c>
      <c r="H9" s="852">
        <v>9.9041396662907655</v>
      </c>
      <c r="I9" s="852">
        <v>10.277190329330985</v>
      </c>
      <c r="J9" s="852">
        <v>10.636986248312628</v>
      </c>
      <c r="K9" s="852">
        <v>11.117830132981684</v>
      </c>
      <c r="L9" s="852">
        <v>11.660316723295573</v>
      </c>
      <c r="M9" s="852">
        <v>12.271455084846309</v>
      </c>
    </row>
    <row r="10" spans="1:14" x14ac:dyDescent="0.2">
      <c r="A10" s="525" t="s">
        <v>93</v>
      </c>
      <c r="B10" s="525" t="s">
        <v>899</v>
      </c>
      <c r="C10" s="852">
        <f>D10</f>
        <v>0.35918441166186899</v>
      </c>
      <c r="D10" s="852">
        <f>TB!F11</f>
        <v>0.35918441166186899</v>
      </c>
      <c r="E10" s="852">
        <f>D10*E9/D9</f>
        <v>0.3457717766494301</v>
      </c>
      <c r="F10" s="852">
        <f t="shared" ref="F10:M10" si="0">E10*F9/E9</f>
        <v>0.36006915629298469</v>
      </c>
      <c r="G10" s="852">
        <f t="shared" si="0"/>
        <v>0.37501436276234446</v>
      </c>
      <c r="H10" s="852">
        <f t="shared" si="0"/>
        <v>0.39003747770273905</v>
      </c>
      <c r="I10" s="852">
        <f t="shared" si="0"/>
        <v>0.40472868204457313</v>
      </c>
      <c r="J10" s="852">
        <f t="shared" si="0"/>
        <v>0.41889789789327248</v>
      </c>
      <c r="K10" s="852">
        <f t="shared" si="0"/>
        <v>0.4378341348875297</v>
      </c>
      <c r="L10" s="852">
        <f t="shared" si="0"/>
        <v>0.45919793916562829</v>
      </c>
      <c r="M10" s="852">
        <f t="shared" si="0"/>
        <v>0.48326533654673826</v>
      </c>
      <c r="N10" s="851" t="s">
        <v>900</v>
      </c>
    </row>
    <row r="11" spans="1:14" x14ac:dyDescent="0.2">
      <c r="B11" s="525" t="s">
        <v>901</v>
      </c>
      <c r="C11" s="852">
        <f>C10*0.85</f>
        <v>0.3053067499125886</v>
      </c>
      <c r="D11" s="852">
        <f t="shared" ref="D11:M11" si="1">D10*0.85</f>
        <v>0.3053067499125886</v>
      </c>
      <c r="E11" s="852">
        <f t="shared" si="1"/>
        <v>0.29390601015201556</v>
      </c>
      <c r="F11" s="852">
        <f t="shared" si="1"/>
        <v>0.30605878284903698</v>
      </c>
      <c r="G11" s="852">
        <f t="shared" si="1"/>
        <v>0.31876220834799279</v>
      </c>
      <c r="H11" s="852">
        <f t="shared" si="1"/>
        <v>0.33153185604732821</v>
      </c>
      <c r="I11" s="852">
        <f t="shared" si="1"/>
        <v>0.34401937973788715</v>
      </c>
      <c r="J11" s="852">
        <f t="shared" si="1"/>
        <v>0.35606321320928158</v>
      </c>
      <c r="K11" s="852">
        <f t="shared" si="1"/>
        <v>0.37215901465440021</v>
      </c>
      <c r="L11" s="852">
        <f t="shared" si="1"/>
        <v>0.39031824829078404</v>
      </c>
      <c r="M11" s="852">
        <f t="shared" si="1"/>
        <v>0.4107755360647275</v>
      </c>
    </row>
    <row r="12" spans="1:14" x14ac:dyDescent="0.2">
      <c r="B12" s="525" t="s">
        <v>902</v>
      </c>
      <c r="C12" s="852">
        <f>0.1*C10</f>
        <v>3.59184411661869E-2</v>
      </c>
      <c r="D12" s="852">
        <f t="shared" ref="D12:M12" si="2">0.1*D10</f>
        <v>3.59184411661869E-2</v>
      </c>
      <c r="E12" s="852">
        <f t="shared" si="2"/>
        <v>3.4577177664943011E-2</v>
      </c>
      <c r="F12" s="852">
        <f t="shared" si="2"/>
        <v>3.6006915629298468E-2</v>
      </c>
      <c r="G12" s="852">
        <f t="shared" si="2"/>
        <v>3.7501436276234451E-2</v>
      </c>
      <c r="H12" s="852">
        <f t="shared" si="2"/>
        <v>3.9003747770273905E-2</v>
      </c>
      <c r="I12" s="852">
        <f t="shared" si="2"/>
        <v>4.0472868204457314E-2</v>
      </c>
      <c r="J12" s="852">
        <f t="shared" si="2"/>
        <v>4.1889789789327253E-2</v>
      </c>
      <c r="K12" s="852">
        <f t="shared" si="2"/>
        <v>4.3783413488752976E-2</v>
      </c>
      <c r="L12" s="852">
        <f t="shared" si="2"/>
        <v>4.5919793916562833E-2</v>
      </c>
      <c r="M12" s="852">
        <f t="shared" si="2"/>
        <v>4.8326533654673827E-2</v>
      </c>
    </row>
    <row r="13" spans="1:14" x14ac:dyDescent="0.2">
      <c r="B13" s="525" t="s">
        <v>903</v>
      </c>
      <c r="C13" s="852">
        <f>C10-C11-C12</f>
        <v>1.7959220583093481E-2</v>
      </c>
      <c r="D13" s="852">
        <f t="shared" ref="D13:M13" si="3">D10-D11-D12</f>
        <v>1.7959220583093481E-2</v>
      </c>
      <c r="E13" s="852">
        <f t="shared" si="3"/>
        <v>1.7288588832471523E-2</v>
      </c>
      <c r="F13" s="852">
        <f t="shared" si="3"/>
        <v>1.8003457814649244E-2</v>
      </c>
      <c r="G13" s="852">
        <f t="shared" si="3"/>
        <v>1.8750718138117212E-2</v>
      </c>
      <c r="H13" s="852">
        <f t="shared" si="3"/>
        <v>1.9501873885136939E-2</v>
      </c>
      <c r="I13" s="852">
        <f t="shared" si="3"/>
        <v>2.0236434102228661E-2</v>
      </c>
      <c r="J13" s="852">
        <f t="shared" si="3"/>
        <v>2.094489489466364E-2</v>
      </c>
      <c r="K13" s="852">
        <f t="shared" si="3"/>
        <v>2.1891706744376516E-2</v>
      </c>
      <c r="L13" s="852">
        <f t="shared" si="3"/>
        <v>2.2959896958281413E-2</v>
      </c>
      <c r="M13" s="852">
        <f t="shared" si="3"/>
        <v>2.4163266827336931E-2</v>
      </c>
    </row>
    <row r="15" spans="1:14" x14ac:dyDescent="0.2">
      <c r="B15" s="527" t="s">
        <v>904</v>
      </c>
      <c r="D15" s="526"/>
      <c r="E15" s="527" t="s">
        <v>905</v>
      </c>
    </row>
    <row r="17" spans="1:29" ht="18" customHeight="1" x14ac:dyDescent="0.2">
      <c r="A17" s="552" t="s">
        <v>906</v>
      </c>
    </row>
    <row r="18" spans="1:29" ht="12.75" x14ac:dyDescent="0.2">
      <c r="A18" s="12" t="s">
        <v>750</v>
      </c>
      <c r="B18" s="52" t="s">
        <v>907</v>
      </c>
    </row>
    <row r="19" spans="1:29" x14ac:dyDescent="0.2">
      <c r="B19" s="527" t="s">
        <v>908</v>
      </c>
      <c r="I19" s="525" t="s">
        <v>909</v>
      </c>
      <c r="J19" s="540">
        <v>139000</v>
      </c>
      <c r="K19" s="525" t="s">
        <v>867</v>
      </c>
      <c r="P19" s="826" t="s">
        <v>908</v>
      </c>
      <c r="Q19" s="827"/>
      <c r="R19" s="827"/>
      <c r="S19" s="827"/>
      <c r="T19" s="827"/>
      <c r="U19" s="827"/>
      <c r="V19" s="827"/>
      <c r="W19" s="827" t="s">
        <v>909</v>
      </c>
      <c r="X19" s="828">
        <v>139000</v>
      </c>
      <c r="Y19" s="827" t="s">
        <v>867</v>
      </c>
      <c r="Z19" s="827"/>
      <c r="AA19" s="827"/>
      <c r="AB19" s="827"/>
      <c r="AC19" s="827"/>
    </row>
    <row r="20" spans="1:29" x14ac:dyDescent="0.2">
      <c r="B20" s="527" t="s">
        <v>910</v>
      </c>
      <c r="C20" s="527"/>
      <c r="I20" s="525" t="s">
        <v>911</v>
      </c>
      <c r="J20" s="525">
        <v>3412</v>
      </c>
      <c r="K20" s="525" t="s">
        <v>867</v>
      </c>
      <c r="P20" s="826" t="s">
        <v>910</v>
      </c>
      <c r="Q20" s="826"/>
      <c r="R20" s="827"/>
      <c r="S20" s="827"/>
      <c r="T20" s="827"/>
      <c r="U20" s="827"/>
      <c r="V20" s="827"/>
      <c r="W20" s="827" t="s">
        <v>911</v>
      </c>
      <c r="X20" s="827">
        <v>3412</v>
      </c>
      <c r="Y20" s="827" t="s">
        <v>867</v>
      </c>
      <c r="Z20" s="827"/>
      <c r="AA20" s="827"/>
      <c r="AB20" s="827"/>
      <c r="AC20" s="827"/>
    </row>
    <row r="21" spans="1:29" x14ac:dyDescent="0.2">
      <c r="B21" s="527" t="s">
        <v>912</v>
      </c>
      <c r="C21" s="527"/>
      <c r="I21" s="525" t="s">
        <v>913</v>
      </c>
      <c r="J21" s="540">
        <v>138700</v>
      </c>
      <c r="K21" s="525" t="s">
        <v>867</v>
      </c>
      <c r="P21" s="826" t="s">
        <v>912</v>
      </c>
      <c r="Q21" s="826"/>
      <c r="R21" s="827"/>
      <c r="S21" s="827"/>
      <c r="T21" s="827"/>
      <c r="U21" s="827"/>
      <c r="V21" s="827"/>
      <c r="W21" s="827" t="s">
        <v>913</v>
      </c>
      <c r="X21" s="828">
        <v>138700</v>
      </c>
      <c r="Y21" s="827" t="s">
        <v>867</v>
      </c>
      <c r="Z21" s="827"/>
      <c r="AA21" s="827"/>
      <c r="AB21" s="827"/>
      <c r="AC21" s="827"/>
    </row>
    <row r="22" spans="1:29" x14ac:dyDescent="0.2">
      <c r="C22" s="1169" t="s">
        <v>914</v>
      </c>
      <c r="D22" s="1169" t="s">
        <v>915</v>
      </c>
      <c r="E22" s="1151" t="s">
        <v>916</v>
      </c>
      <c r="F22" s="1151" t="s">
        <v>917</v>
      </c>
      <c r="G22" s="1151" t="s">
        <v>918</v>
      </c>
      <c r="H22" s="1151" t="s">
        <v>919</v>
      </c>
      <c r="I22" s="1151" t="s">
        <v>920</v>
      </c>
      <c r="J22" s="1151" t="s">
        <v>921</v>
      </c>
      <c r="P22" s="827"/>
      <c r="Q22" s="1172" t="s">
        <v>914</v>
      </c>
      <c r="R22" s="1169" t="s">
        <v>915</v>
      </c>
      <c r="S22" s="1151" t="s">
        <v>916</v>
      </c>
      <c r="T22" s="1151" t="s">
        <v>917</v>
      </c>
      <c r="U22" s="1151" t="s">
        <v>918</v>
      </c>
      <c r="V22" s="1151" t="s">
        <v>919</v>
      </c>
      <c r="W22" s="1151" t="s">
        <v>920</v>
      </c>
      <c r="X22" s="1151" t="s">
        <v>921</v>
      </c>
      <c r="Y22" s="827"/>
      <c r="Z22" s="827"/>
      <c r="AA22" s="827"/>
      <c r="AB22" s="827"/>
      <c r="AC22" s="827"/>
    </row>
    <row r="23" spans="1:29" x14ac:dyDescent="0.2">
      <c r="C23" s="1169"/>
      <c r="D23" s="1169"/>
      <c r="E23" s="1151"/>
      <c r="F23" s="1151"/>
      <c r="G23" s="1151"/>
      <c r="H23" s="1151"/>
      <c r="I23" s="1151"/>
      <c r="J23" s="1151"/>
      <c r="K23" s="525" t="s">
        <v>922</v>
      </c>
      <c r="L23" s="525" t="s">
        <v>923</v>
      </c>
      <c r="P23" s="827"/>
      <c r="Q23" s="1172"/>
      <c r="R23" s="1169"/>
      <c r="S23" s="1151"/>
      <c r="T23" s="1151"/>
      <c r="U23" s="1151"/>
      <c r="V23" s="1151"/>
      <c r="W23" s="1151"/>
      <c r="X23" s="1151"/>
      <c r="Y23" s="827" t="s">
        <v>922</v>
      </c>
      <c r="Z23" s="827" t="s">
        <v>923</v>
      </c>
      <c r="AA23" s="827"/>
      <c r="AB23" s="827"/>
      <c r="AC23" s="827"/>
    </row>
    <row r="24" spans="1:29" x14ac:dyDescent="0.2">
      <c r="B24" s="525" t="s">
        <v>924</v>
      </c>
      <c r="C24" s="1169"/>
      <c r="D24" s="1169"/>
      <c r="E24" s="1151"/>
      <c r="F24" s="1151"/>
      <c r="G24" s="1151"/>
      <c r="H24" s="1151"/>
      <c r="I24" s="1151"/>
      <c r="J24" s="1151"/>
      <c r="K24" s="525" t="s">
        <v>925</v>
      </c>
      <c r="L24" s="525" t="s">
        <v>925</v>
      </c>
      <c r="P24" s="827" t="s">
        <v>924</v>
      </c>
      <c r="Q24" s="1172"/>
      <c r="R24" s="1169"/>
      <c r="S24" s="1151"/>
      <c r="T24" s="1151"/>
      <c r="U24" s="1151"/>
      <c r="V24" s="1151"/>
      <c r="W24" s="1151"/>
      <c r="X24" s="1151"/>
      <c r="Y24" s="827" t="s">
        <v>925</v>
      </c>
      <c r="Z24" s="827" t="s">
        <v>925</v>
      </c>
      <c r="AA24" s="827"/>
      <c r="AB24" s="827"/>
      <c r="AC24" s="827"/>
    </row>
    <row r="25" spans="1:29" x14ac:dyDescent="0.2">
      <c r="B25" s="525" t="s">
        <v>926</v>
      </c>
      <c r="C25" s="525">
        <f>423*10^6</f>
        <v>423000000</v>
      </c>
      <c r="D25" s="525">
        <f>9473</f>
        <v>9473</v>
      </c>
      <c r="E25" s="525">
        <v>22.4</v>
      </c>
      <c r="F25" s="560">
        <f>D25/G25</f>
        <v>31.222808174027687</v>
      </c>
      <c r="G25" s="525">
        <v>303.39999999999998</v>
      </c>
      <c r="H25" s="560">
        <f>G25/(K25+L25)</f>
        <v>19.294475929219161</v>
      </c>
      <c r="I25" s="525">
        <f>76.7*10^6</f>
        <v>76700000</v>
      </c>
      <c r="J25" s="525">
        <f>1484*10^6</f>
        <v>1484000000</v>
      </c>
      <c r="K25" s="561">
        <f>I25*J19/10^12</f>
        <v>10.661300000000001</v>
      </c>
      <c r="L25" s="561">
        <f>J25*J20/10^12</f>
        <v>5.0634079999999999</v>
      </c>
      <c r="M25" s="562" t="s">
        <v>927</v>
      </c>
      <c r="P25" s="827" t="s">
        <v>926</v>
      </c>
      <c r="Q25" s="827">
        <v>495000000</v>
      </c>
      <c r="R25" s="540">
        <v>11899</v>
      </c>
      <c r="S25" s="525">
        <v>24</v>
      </c>
      <c r="T25" s="560">
        <v>31.646276595744681</v>
      </c>
      <c r="U25" s="525">
        <v>376</v>
      </c>
      <c r="V25" s="560">
        <v>18.502236113333673</v>
      </c>
      <c r="W25" s="525">
        <v>102900000</v>
      </c>
      <c r="X25" s="525">
        <v>1764000000</v>
      </c>
      <c r="Y25" s="829">
        <v>14.303100000000001</v>
      </c>
      <c r="Z25" s="829">
        <v>6.0187679999999997</v>
      </c>
      <c r="AA25" s="830" t="s">
        <v>927</v>
      </c>
      <c r="AB25" s="827"/>
      <c r="AC25" s="827"/>
    </row>
    <row r="26" spans="1:29" x14ac:dyDescent="0.2">
      <c r="B26" s="525" t="s">
        <v>928</v>
      </c>
      <c r="C26" s="525">
        <f>2808*10^6</f>
        <v>2808000000</v>
      </c>
      <c r="D26" s="563">
        <v>14418</v>
      </c>
      <c r="E26" s="525">
        <v>5.0999999999999996</v>
      </c>
      <c r="F26" s="560">
        <f>D26/G26</f>
        <v>22.311977715877436</v>
      </c>
      <c r="G26" s="525">
        <v>646.20000000000005</v>
      </c>
      <c r="H26" s="560">
        <f>G26/(K26+L26)</f>
        <v>50.249505669904764</v>
      </c>
      <c r="I26" s="525">
        <v>0</v>
      </c>
      <c r="J26" s="525">
        <f>3769*10^6</f>
        <v>3769000000</v>
      </c>
      <c r="K26" s="561">
        <v>0</v>
      </c>
      <c r="L26" s="564">
        <f>J26*J20/10^12</f>
        <v>12.859828</v>
      </c>
      <c r="M26" s="1170" t="s">
        <v>929</v>
      </c>
      <c r="N26" s="1151"/>
      <c r="P26" s="827" t="s">
        <v>928</v>
      </c>
      <c r="Q26" s="827">
        <v>3848000000</v>
      </c>
      <c r="R26" s="563">
        <v>18356</v>
      </c>
      <c r="S26" s="525">
        <v>4.8</v>
      </c>
      <c r="T26" s="560">
        <v>26.358414704192992</v>
      </c>
      <c r="U26" s="525">
        <v>696.4</v>
      </c>
      <c r="V26" s="560">
        <v>54.276982581359661</v>
      </c>
      <c r="W26" s="525">
        <v>0</v>
      </c>
      <c r="X26" s="525">
        <v>3760400000</v>
      </c>
      <c r="Y26" s="829">
        <v>0</v>
      </c>
      <c r="Z26" s="831">
        <v>12.830484800000001</v>
      </c>
      <c r="AA26" s="1171" t="s">
        <v>929</v>
      </c>
      <c r="AB26" s="1171"/>
      <c r="AC26" s="827"/>
    </row>
    <row r="27" spans="1:29" x14ac:dyDescent="0.2">
      <c r="B27" s="525" t="s">
        <v>930</v>
      </c>
      <c r="C27" s="525">
        <f>381*10^6</f>
        <v>381000000</v>
      </c>
      <c r="D27" s="563">
        <v>1700</v>
      </c>
      <c r="E27" s="525">
        <v>4.5</v>
      </c>
      <c r="F27" s="560">
        <f>D27/G27</f>
        <v>24.566473988439306</v>
      </c>
      <c r="G27" s="525">
        <v>69.2</v>
      </c>
      <c r="H27" s="560">
        <f>G27/(K27+L27)</f>
        <v>35.519019100198534</v>
      </c>
      <c r="I27" s="525">
        <v>0</v>
      </c>
      <c r="J27" s="525">
        <f>571*10^6</f>
        <v>571000000</v>
      </c>
      <c r="K27" s="561">
        <v>0</v>
      </c>
      <c r="L27" s="564">
        <f>J27*J20/10^12</f>
        <v>1.9482520000000001</v>
      </c>
      <c r="M27" s="1151"/>
      <c r="N27" s="1151"/>
      <c r="P27" s="827" t="s">
        <v>930</v>
      </c>
      <c r="Q27" s="827">
        <v>3497600000</v>
      </c>
      <c r="R27" s="563">
        <v>2565.6</v>
      </c>
      <c r="S27" s="525">
        <v>5.2</v>
      </c>
      <c r="T27" s="560">
        <v>22.525021949078138</v>
      </c>
      <c r="U27" s="525">
        <v>113.9</v>
      </c>
      <c r="V27" s="560">
        <v>36.805050208680434</v>
      </c>
      <c r="W27" s="525">
        <v>0</v>
      </c>
      <c r="X27" s="525">
        <v>907000000</v>
      </c>
      <c r="Y27" s="829">
        <v>0</v>
      </c>
      <c r="Z27" s="831">
        <v>3.094684</v>
      </c>
      <c r="AA27" s="1171"/>
      <c r="AB27" s="1171"/>
      <c r="AC27" s="827"/>
    </row>
    <row r="28" spans="1:29" x14ac:dyDescent="0.2">
      <c r="D28" s="563">
        <f>D27+D26</f>
        <v>16118</v>
      </c>
      <c r="F28" s="560">
        <f>D28/G28</f>
        <v>22.530053117137264</v>
      </c>
      <c r="G28" s="525">
        <f>SUM(G26:G27)</f>
        <v>715.40000000000009</v>
      </c>
      <c r="H28" s="560">
        <f>(G26+G27)/L28</f>
        <v>48.311462390802866</v>
      </c>
      <c r="K28" s="561"/>
      <c r="L28" s="564">
        <f>SUM(L26:L27)</f>
        <v>14.80808</v>
      </c>
      <c r="M28" s="1151"/>
      <c r="N28" s="1151"/>
      <c r="P28" s="827"/>
      <c r="Q28" s="827"/>
      <c r="R28" s="563">
        <v>20921.599999999999</v>
      </c>
      <c r="T28" s="560">
        <v>25.81957299765519</v>
      </c>
      <c r="U28" s="525">
        <v>810.3</v>
      </c>
      <c r="V28" s="560">
        <v>50.881721266276301</v>
      </c>
      <c r="Y28" s="829"/>
      <c r="Z28" s="831">
        <v>15.925168800000002</v>
      </c>
      <c r="AA28" s="1171"/>
      <c r="AB28" s="1171"/>
      <c r="AC28" s="827"/>
    </row>
    <row r="29" spans="1:29" x14ac:dyDescent="0.2">
      <c r="B29" s="565" t="s">
        <v>931</v>
      </c>
      <c r="C29" s="566"/>
      <c r="D29" s="567"/>
      <c r="E29" s="567"/>
      <c r="F29" s="568"/>
      <c r="G29" s="567">
        <v>301</v>
      </c>
      <c r="H29" s="569">
        <f>G29/(K29+L29)</f>
        <v>27.750191485540583</v>
      </c>
      <c r="I29" s="567">
        <v>65000000</v>
      </c>
      <c r="J29" s="567">
        <v>531000000</v>
      </c>
      <c r="K29" s="570">
        <f>I29*J19/10^12</f>
        <v>9.0350000000000001</v>
      </c>
      <c r="L29" s="570">
        <f>J29*J20/10^12</f>
        <v>1.8117719999999999</v>
      </c>
      <c r="N29" s="567"/>
      <c r="P29" s="832" t="s">
        <v>931</v>
      </c>
      <c r="Q29" s="833"/>
      <c r="R29" s="827"/>
      <c r="S29" s="827"/>
      <c r="T29" s="834"/>
      <c r="U29" s="827">
        <v>301</v>
      </c>
      <c r="V29" s="835">
        <v>27.750191485540583</v>
      </c>
      <c r="W29" s="525">
        <v>65000000</v>
      </c>
      <c r="X29" s="525">
        <v>531000000</v>
      </c>
      <c r="Y29" s="829">
        <v>9.0350000000000001</v>
      </c>
      <c r="Z29" s="829">
        <v>1.8117719999999999</v>
      </c>
      <c r="AA29" s="827"/>
      <c r="AB29" s="827"/>
      <c r="AC29" s="827"/>
    </row>
    <row r="30" spans="1:29" x14ac:dyDescent="0.2">
      <c r="B30" s="567" t="s">
        <v>932</v>
      </c>
      <c r="C30" s="567"/>
      <c r="D30" s="567">
        <v>5381</v>
      </c>
      <c r="E30" s="569">
        <v>215</v>
      </c>
      <c r="F30" s="568">
        <f>D30/G30</f>
        <v>17.877373378295321</v>
      </c>
      <c r="G30" s="567">
        <v>300.995</v>
      </c>
      <c r="H30" s="568">
        <f>G30/L30</f>
        <v>20.616095890410961</v>
      </c>
      <c r="I30" s="567"/>
      <c r="J30" s="567"/>
      <c r="K30" s="570"/>
      <c r="L30" s="571">
        <v>14.6</v>
      </c>
      <c r="M30" s="567" t="s">
        <v>933</v>
      </c>
      <c r="N30" s="567"/>
      <c r="O30" s="572" t="s">
        <v>934</v>
      </c>
      <c r="P30" s="827" t="s">
        <v>932</v>
      </c>
      <c r="Q30" s="827"/>
      <c r="R30" s="827">
        <v>5381</v>
      </c>
      <c r="S30" s="835">
        <v>215</v>
      </c>
      <c r="T30" s="834">
        <v>17.877373378295321</v>
      </c>
      <c r="U30" s="827">
        <v>300.995</v>
      </c>
      <c r="V30" s="834">
        <v>20.616095890410961</v>
      </c>
      <c r="Y30" s="829"/>
      <c r="Z30" s="836">
        <v>14.6</v>
      </c>
      <c r="AA30" s="827" t="s">
        <v>933</v>
      </c>
      <c r="AB30" s="827"/>
      <c r="AC30" s="830" t="s">
        <v>934</v>
      </c>
    </row>
    <row r="31" spans="1:29" x14ac:dyDescent="0.2">
      <c r="B31" s="525" t="s">
        <v>935</v>
      </c>
      <c r="D31" s="563">
        <f>D25+D26+D27+D30</f>
        <v>30972</v>
      </c>
      <c r="G31" s="563">
        <f>G25+G26+G27+G30</f>
        <v>1319.7950000000001</v>
      </c>
      <c r="L31" s="573"/>
      <c r="P31" s="837" t="s">
        <v>935</v>
      </c>
      <c r="Q31" s="837"/>
      <c r="R31" s="838">
        <v>38201.599999999999</v>
      </c>
      <c r="S31" s="827"/>
      <c r="T31" s="827"/>
      <c r="U31" s="838">
        <v>1487.2950000000001</v>
      </c>
      <c r="V31" s="827"/>
      <c r="W31" s="827"/>
      <c r="X31" s="827"/>
      <c r="Y31" s="827"/>
      <c r="Z31" s="836"/>
      <c r="AA31" s="827"/>
      <c r="AB31" s="827"/>
      <c r="AC31" s="827"/>
    </row>
    <row r="32" spans="1:29" x14ac:dyDescent="0.2">
      <c r="B32" s="574" t="s">
        <v>936</v>
      </c>
      <c r="C32" s="574"/>
      <c r="D32" s="574">
        <f>D31/1000</f>
        <v>30.972000000000001</v>
      </c>
      <c r="E32" s="574"/>
      <c r="F32" s="574"/>
      <c r="G32" s="575">
        <f>G31/1000</f>
        <v>1.3197950000000001</v>
      </c>
      <c r="P32" s="827" t="s">
        <v>936</v>
      </c>
      <c r="Q32" s="827"/>
      <c r="R32" s="827">
        <v>38.201599999999999</v>
      </c>
      <c r="S32" s="827"/>
      <c r="T32" s="827"/>
      <c r="U32" s="836">
        <v>1.487295</v>
      </c>
      <c r="V32" s="827"/>
      <c r="W32" s="827"/>
      <c r="X32" s="827"/>
      <c r="Y32" s="827"/>
      <c r="Z32" s="827"/>
      <c r="AA32" s="827"/>
      <c r="AB32" s="827"/>
      <c r="AC32" s="827"/>
    </row>
    <row r="33" spans="1:29" x14ac:dyDescent="0.2">
      <c r="P33" s="827"/>
      <c r="Q33" s="827"/>
      <c r="R33" s="827"/>
      <c r="S33" s="827"/>
      <c r="T33" s="827"/>
      <c r="U33" s="827"/>
      <c r="V33" s="827"/>
      <c r="W33" s="827"/>
      <c r="X33" s="827"/>
      <c r="Y33" s="827"/>
      <c r="Z33" s="827"/>
      <c r="AA33" s="827"/>
      <c r="AB33" s="827"/>
      <c r="AC33" s="827"/>
    </row>
    <row r="34" spans="1:29" x14ac:dyDescent="0.2">
      <c r="B34" s="567" t="s">
        <v>937</v>
      </c>
    </row>
    <row r="36" spans="1:29" ht="19.5" customHeight="1" x14ac:dyDescent="0.2">
      <c r="A36" s="552" t="s">
        <v>938</v>
      </c>
    </row>
    <row r="37" spans="1:29" x14ac:dyDescent="0.2">
      <c r="B37" s="527" t="s">
        <v>939</v>
      </c>
    </row>
    <row r="38" spans="1:29" x14ac:dyDescent="0.2">
      <c r="B38" s="527" t="s">
        <v>940</v>
      </c>
    </row>
    <row r="39" spans="1:29" ht="12.75" customHeight="1" x14ac:dyDescent="0.2">
      <c r="B39" s="527" t="s">
        <v>941</v>
      </c>
      <c r="D39" s="527" t="s">
        <v>942</v>
      </c>
    </row>
    <row r="40" spans="1:29" x14ac:dyDescent="0.2">
      <c r="B40" s="527" t="s">
        <v>943</v>
      </c>
      <c r="D40" s="527" t="s">
        <v>944</v>
      </c>
      <c r="F40" s="527" t="s">
        <v>928</v>
      </c>
      <c r="H40" s="527" t="s">
        <v>930</v>
      </c>
      <c r="J40" s="576" t="s">
        <v>945</v>
      </c>
      <c r="L40" s="576" t="s">
        <v>946</v>
      </c>
      <c r="N40" s="576" t="s">
        <v>947</v>
      </c>
      <c r="R40" s="525" t="s">
        <v>948</v>
      </c>
    </row>
    <row r="41" spans="1:29" x14ac:dyDescent="0.2">
      <c r="B41" s="527" t="s">
        <v>949</v>
      </c>
      <c r="D41" s="577" t="s">
        <v>950</v>
      </c>
      <c r="E41" s="577" t="s">
        <v>951</v>
      </c>
      <c r="F41" s="525" t="s">
        <v>952</v>
      </c>
      <c r="G41" s="525" t="s">
        <v>951</v>
      </c>
      <c r="H41" s="577" t="s">
        <v>952</v>
      </c>
      <c r="I41" s="577" t="s">
        <v>951</v>
      </c>
      <c r="J41" s="525" t="s">
        <v>953</v>
      </c>
      <c r="K41" s="525" t="s">
        <v>951</v>
      </c>
      <c r="L41" s="525" t="s">
        <v>953</v>
      </c>
      <c r="M41" s="525" t="s">
        <v>951</v>
      </c>
      <c r="N41" s="525" t="s">
        <v>953</v>
      </c>
      <c r="O41" s="525" t="s">
        <v>951</v>
      </c>
      <c r="R41" s="525" t="s">
        <v>954</v>
      </c>
      <c r="S41" s="525" t="s">
        <v>955</v>
      </c>
      <c r="T41" s="525" t="s">
        <v>946</v>
      </c>
    </row>
    <row r="42" spans="1:29" x14ac:dyDescent="0.2">
      <c r="B42" s="525" t="s">
        <v>956</v>
      </c>
      <c r="C42" s="578" t="s">
        <v>718</v>
      </c>
      <c r="D42" s="525">
        <f>R61</f>
        <v>214776803</v>
      </c>
      <c r="E42" s="579">
        <f t="shared" ref="E42:E50" si="4">R61/R$70</f>
        <v>4.1348141080930871E-2</v>
      </c>
      <c r="F42" s="525">
        <f t="shared" ref="F42:F50" si="5">S61*E$26/F$26</f>
        <v>32492612.691348314</v>
      </c>
      <c r="G42" s="579">
        <f t="shared" ref="G42:G50" si="6">F42/F$51</f>
        <v>5.0629793439204568E-2</v>
      </c>
      <c r="H42" s="525">
        <f t="shared" ref="H42:H50" si="7">T61*E$27/F$27</f>
        <v>13518707.819294117</v>
      </c>
      <c r="I42" s="579">
        <f t="shared" ref="I42:I50" si="8">H42/H$51</f>
        <v>0.1933510467462331</v>
      </c>
      <c r="J42" s="525">
        <f>U61*E$25/F$25</f>
        <v>27545917.638357434</v>
      </c>
      <c r="K42" s="579">
        <f t="shared" ref="K42:K50" si="9">J42/J$51</f>
        <v>9.1041934758557028E-2</v>
      </c>
      <c r="L42" s="525">
        <f>M42*G$30*10^6</f>
        <v>27706859.814399466</v>
      </c>
      <c r="M42" s="579">
        <f>K125</f>
        <v>9.2050897238822788E-2</v>
      </c>
      <c r="N42" s="525">
        <f>F42+H42+J42+L42</f>
        <v>101264097.96339934</v>
      </c>
      <c r="O42" s="579">
        <f t="shared" ref="O42:O50" si="10">N42/N$51</f>
        <v>7.6992601525902774E-2</v>
      </c>
      <c r="Q42" s="578" t="s">
        <v>718</v>
      </c>
      <c r="R42" s="580">
        <f>ROUND((F42+H42)/N42,4)</f>
        <v>0.45440000000000003</v>
      </c>
      <c r="S42" s="580">
        <f>ROUND(J42/N42,4)</f>
        <v>0.27200000000000002</v>
      </c>
      <c r="T42" s="580">
        <f>ROUND(L42/N42,4)</f>
        <v>0.27360000000000001</v>
      </c>
      <c r="U42" s="580"/>
    </row>
    <row r="43" spans="1:29" x14ac:dyDescent="0.2">
      <c r="B43" s="525" t="s">
        <v>957</v>
      </c>
      <c r="C43" s="578" t="s">
        <v>723</v>
      </c>
      <c r="D43" s="525">
        <f>R62</f>
        <v>1653405753</v>
      </c>
      <c r="E43" s="579">
        <f t="shared" si="4"/>
        <v>0.31830837122138717</v>
      </c>
      <c r="F43" s="525">
        <f t="shared" si="5"/>
        <v>451440881.47471905</v>
      </c>
      <c r="G43" s="579">
        <f t="shared" si="6"/>
        <v>0.70343246313225327</v>
      </c>
      <c r="H43" s="525">
        <f t="shared" si="7"/>
        <v>9595692.0847058818</v>
      </c>
      <c r="I43" s="579">
        <f t="shared" si="8"/>
        <v>0.13724219308774904</v>
      </c>
      <c r="J43" s="525">
        <f>U62*E$25/F$25</f>
        <v>196118101.28896865</v>
      </c>
      <c r="K43" s="579">
        <f t="shared" si="9"/>
        <v>0.64818938388385661</v>
      </c>
      <c r="L43" s="525">
        <f t="shared" ref="L43:L50" si="11">M43*G$30*10^6</f>
        <v>104192927.70295656</v>
      </c>
      <c r="M43" s="579">
        <f>K126</f>
        <v>0.34616165618351319</v>
      </c>
      <c r="N43" s="525">
        <f t="shared" ref="N43:N50" si="12">F43+H43+J43+L43</f>
        <v>761347602.55135012</v>
      </c>
      <c r="O43" s="579">
        <f t="shared" si="10"/>
        <v>0.57886391885033428</v>
      </c>
      <c r="Q43" s="578" t="s">
        <v>723</v>
      </c>
      <c r="R43" s="580">
        <f>ROUND((F43+H43)/N43-0.0001,4)</f>
        <v>0.60550000000000004</v>
      </c>
      <c r="S43" s="580">
        <f>ROUND(J43/N43,4)</f>
        <v>0.2576</v>
      </c>
      <c r="T43" s="580">
        <f>ROUND(L43/N43,4)</f>
        <v>0.13689999999999999</v>
      </c>
      <c r="U43" s="580"/>
    </row>
    <row r="44" spans="1:29" x14ac:dyDescent="0.2">
      <c r="B44" s="525" t="s">
        <v>958</v>
      </c>
      <c r="C44" s="578" t="s">
        <v>724</v>
      </c>
      <c r="D44" s="525">
        <f t="shared" ref="D44:D50" si="13">R63</f>
        <v>682451859</v>
      </c>
      <c r="E44" s="579">
        <f t="shared" si="4"/>
        <v>0.13138344249809669</v>
      </c>
      <c r="F44" s="525">
        <f t="shared" si="5"/>
        <v>82408006.695505604</v>
      </c>
      <c r="G44" s="579">
        <f t="shared" si="6"/>
        <v>0.12840765980757768</v>
      </c>
      <c r="H44" s="525">
        <f t="shared" si="7"/>
        <v>1113633.9921176468</v>
      </c>
      <c r="I44" s="579">
        <f t="shared" si="8"/>
        <v>1.5927727778894805E-2</v>
      </c>
      <c r="J44" s="525">
        <f t="shared" ref="J44:J50" si="14">U63*E$25/F$25</f>
        <v>9537549.2921777684</v>
      </c>
      <c r="K44" s="579">
        <f t="shared" si="9"/>
        <v>3.1522527287522521E-2</v>
      </c>
      <c r="L44" s="525">
        <f t="shared" si="11"/>
        <v>48900076.604603745</v>
      </c>
      <c r="M44" s="579">
        <f t="shared" ref="M44:M50" si="15">K127</f>
        <v>0.16246142495590873</v>
      </c>
      <c r="N44" s="525">
        <f t="shared" si="12"/>
        <v>141959266.58440477</v>
      </c>
      <c r="O44" s="579">
        <f t="shared" si="10"/>
        <v>0.10793374418831962</v>
      </c>
      <c r="Q44" s="578" t="s">
        <v>726</v>
      </c>
      <c r="R44" s="580">
        <f>ROUND((F46+H46)/N46,4)</f>
        <v>0.36849999999999999</v>
      </c>
      <c r="S44" s="580">
        <f>ROUND(J46/N46,4)</f>
        <v>0.42730000000000001</v>
      </c>
      <c r="T44" s="580">
        <f>ROUND(L46/N46,4)</f>
        <v>0.20419999999999999</v>
      </c>
      <c r="U44" s="580"/>
    </row>
    <row r="45" spans="1:29" x14ac:dyDescent="0.2">
      <c r="B45" s="525" t="s">
        <v>959</v>
      </c>
      <c r="C45" s="578" t="s">
        <v>725</v>
      </c>
      <c r="D45" s="525">
        <f t="shared" si="13"/>
        <v>53223070</v>
      </c>
      <c r="E45" s="579">
        <f t="shared" si="4"/>
        <v>1.0246334689693E-2</v>
      </c>
      <c r="F45" s="525">
        <f t="shared" si="5"/>
        <v>0</v>
      </c>
      <c r="G45" s="579">
        <f t="shared" si="6"/>
        <v>0</v>
      </c>
      <c r="H45" s="525">
        <f t="shared" si="7"/>
        <v>186769.66023529408</v>
      </c>
      <c r="I45" s="579">
        <f t="shared" si="8"/>
        <v>2.6712693098812773E-3</v>
      </c>
      <c r="J45" s="525">
        <f t="shared" si="14"/>
        <v>0</v>
      </c>
      <c r="K45" s="579">
        <f t="shared" si="9"/>
        <v>0</v>
      </c>
      <c r="L45" s="525">
        <f t="shared" si="11"/>
        <v>7534238.5647347327</v>
      </c>
      <c r="M45" s="579">
        <f t="shared" si="15"/>
        <v>2.5031108705243384E-2</v>
      </c>
      <c r="N45" s="525">
        <f t="shared" si="12"/>
        <v>7721008.2249700269</v>
      </c>
      <c r="O45" s="579">
        <f t="shared" si="10"/>
        <v>5.8703975209278576E-3</v>
      </c>
      <c r="Q45" s="578" t="s">
        <v>728</v>
      </c>
      <c r="R45" s="580">
        <f>ROUND((F48+H48)/N48,4)</f>
        <v>0.33489999999999998</v>
      </c>
      <c r="S45" s="580">
        <f>ROUND(J48/N48,4)</f>
        <v>0</v>
      </c>
      <c r="T45" s="580">
        <f>ROUND(L48/N48,4)</f>
        <v>0.66510000000000002</v>
      </c>
      <c r="U45" s="580"/>
    </row>
    <row r="46" spans="1:29" x14ac:dyDescent="0.2">
      <c r="B46" s="525" t="s">
        <v>960</v>
      </c>
      <c r="C46" s="578" t="s">
        <v>726</v>
      </c>
      <c r="D46" s="525">
        <f t="shared" si="13"/>
        <v>657563617</v>
      </c>
      <c r="E46" s="579">
        <f t="shared" si="4"/>
        <v>0.12659203799305643</v>
      </c>
      <c r="F46" s="525">
        <f t="shared" si="5"/>
        <v>44393798.927790262</v>
      </c>
      <c r="G46" s="579">
        <f t="shared" si="6"/>
        <v>6.9174150169034429E-2</v>
      </c>
      <c r="H46" s="525">
        <f t="shared" si="7"/>
        <v>570310.9655294118</v>
      </c>
      <c r="I46" s="579">
        <f t="shared" si="8"/>
        <v>8.156861116458719E-3</v>
      </c>
      <c r="J46" s="525">
        <f t="shared" si="14"/>
        <v>52145662.251941301</v>
      </c>
      <c r="K46" s="579">
        <f t="shared" si="9"/>
        <v>0.17234648135563366</v>
      </c>
      <c r="L46" s="525">
        <f t="shared" si="11"/>
        <v>24921514.139692418</v>
      </c>
      <c r="M46" s="579">
        <f t="shared" si="15"/>
        <v>8.2797103406011457E-2</v>
      </c>
      <c r="N46" s="525">
        <f t="shared" si="12"/>
        <v>122031286.28495339</v>
      </c>
      <c r="O46" s="579">
        <f t="shared" si="10"/>
        <v>9.2782204034708049E-2</v>
      </c>
      <c r="Q46" s="578" t="s">
        <v>724</v>
      </c>
      <c r="R46" s="580">
        <f>ROUND((F44+H44)/N44,4)</f>
        <v>0.58830000000000005</v>
      </c>
      <c r="S46" s="580">
        <f>ROUND(J44/N44,4)</f>
        <v>6.7199999999999996E-2</v>
      </c>
      <c r="T46" s="580">
        <f>ROUND(L44/N44,4)</f>
        <v>0.34449999999999997</v>
      </c>
      <c r="U46" s="580"/>
    </row>
    <row r="47" spans="1:29" x14ac:dyDescent="0.2">
      <c r="B47" s="525" t="s">
        <v>961</v>
      </c>
      <c r="C47" s="578" t="s">
        <v>727</v>
      </c>
      <c r="D47" s="525">
        <f t="shared" si="13"/>
        <v>270589015</v>
      </c>
      <c r="E47" s="579">
        <f t="shared" si="4"/>
        <v>5.2092929082151018E-2</v>
      </c>
      <c r="F47" s="525">
        <f t="shared" si="5"/>
        <v>0</v>
      </c>
      <c r="G47" s="579">
        <f t="shared" si="6"/>
        <v>0</v>
      </c>
      <c r="H47" s="525">
        <f t="shared" si="7"/>
        <v>5091301.8921176465</v>
      </c>
      <c r="I47" s="579">
        <f t="shared" si="8"/>
        <v>7.2818242934214503E-2</v>
      </c>
      <c r="J47" s="525">
        <f t="shared" si="14"/>
        <v>1635359.9879742423</v>
      </c>
      <c r="K47" s="579">
        <f t="shared" si="9"/>
        <v>5.405023687596551E-3</v>
      </c>
      <c r="L47" s="525">
        <f t="shared" si="11"/>
        <v>7534238.5647347327</v>
      </c>
      <c r="M47" s="579">
        <f t="shared" si="15"/>
        <v>2.5031108705243384E-2</v>
      </c>
      <c r="N47" s="525">
        <f t="shared" si="12"/>
        <v>14260900.444826622</v>
      </c>
      <c r="O47" s="579">
        <f t="shared" si="10"/>
        <v>1.0842774956095086E-2</v>
      </c>
      <c r="Q47" s="578" t="s">
        <v>725</v>
      </c>
      <c r="R47" s="580">
        <f>ROUND((F45+H45)/N45,4)</f>
        <v>2.4199999999999999E-2</v>
      </c>
      <c r="S47" s="580">
        <f>ROUND(J45/N45,4)</f>
        <v>0</v>
      </c>
      <c r="T47" s="580">
        <f>ROUND(L45/N45,4)</f>
        <v>0.9758</v>
      </c>
      <c r="U47" s="580"/>
    </row>
    <row r="48" spans="1:29" x14ac:dyDescent="0.2">
      <c r="B48" s="525" t="s">
        <v>962</v>
      </c>
      <c r="C48" s="578" t="s">
        <v>728</v>
      </c>
      <c r="D48" s="525">
        <f t="shared" si="13"/>
        <v>153740563</v>
      </c>
      <c r="E48" s="579">
        <f t="shared" si="4"/>
        <v>2.9597639968529287E-2</v>
      </c>
      <c r="F48" s="525">
        <f t="shared" si="5"/>
        <v>0</v>
      </c>
      <c r="G48" s="579">
        <f t="shared" si="6"/>
        <v>0</v>
      </c>
      <c r="H48" s="525">
        <f t="shared" si="7"/>
        <v>4320309.7461176468</v>
      </c>
      <c r="I48" s="579">
        <f t="shared" si="8"/>
        <v>6.1791143269447249E-2</v>
      </c>
      <c r="J48" s="525">
        <f t="shared" si="14"/>
        <v>0</v>
      </c>
      <c r="K48" s="579">
        <f t="shared" si="9"/>
        <v>0</v>
      </c>
      <c r="L48" s="525">
        <f t="shared" si="11"/>
        <v>8580325.2700420599</v>
      </c>
      <c r="M48" s="579">
        <f t="shared" si="15"/>
        <v>2.8506537550597382E-2</v>
      </c>
      <c r="N48" s="525">
        <f t="shared" si="12"/>
        <v>12900635.016159706</v>
      </c>
      <c r="O48" s="579">
        <f t="shared" si="10"/>
        <v>9.8085448960330626E-3</v>
      </c>
      <c r="Q48" s="578" t="s">
        <v>727</v>
      </c>
      <c r="R48" s="580">
        <f>ROUND((F47+H47)/N47,4)</f>
        <v>0.35699999999999998</v>
      </c>
      <c r="S48" s="580">
        <f>ROUND(J47/N47,4)</f>
        <v>0.1147</v>
      </c>
      <c r="T48" s="580">
        <f>ROUND(L47/N47,4)</f>
        <v>0.52829999999999999</v>
      </c>
      <c r="U48" s="580"/>
    </row>
    <row r="49" spans="1:22" x14ac:dyDescent="0.2">
      <c r="B49" s="525" t="s">
        <v>963</v>
      </c>
      <c r="C49" s="578" t="s">
        <v>729</v>
      </c>
      <c r="D49" s="525">
        <f t="shared" si="13"/>
        <v>252927684</v>
      </c>
      <c r="E49" s="579">
        <f t="shared" si="4"/>
        <v>4.8692826297936385E-2</v>
      </c>
      <c r="F49" s="525">
        <f t="shared" si="5"/>
        <v>0</v>
      </c>
      <c r="G49" s="579">
        <f t="shared" si="6"/>
        <v>0</v>
      </c>
      <c r="H49" s="525">
        <f t="shared" si="7"/>
        <v>4535312.3957647057</v>
      </c>
      <c r="I49" s="579">
        <f t="shared" si="8"/>
        <v>6.4866214342670814E-2</v>
      </c>
      <c r="J49" s="525">
        <f t="shared" si="14"/>
        <v>0</v>
      </c>
      <c r="K49" s="579">
        <f t="shared" si="9"/>
        <v>0</v>
      </c>
      <c r="L49" s="525">
        <f t="shared" si="11"/>
        <v>7534238.5647347327</v>
      </c>
      <c r="M49" s="579">
        <f t="shared" si="15"/>
        <v>2.5031108705243384E-2</v>
      </c>
      <c r="N49" s="525">
        <f t="shared" si="12"/>
        <v>12069550.960499439</v>
      </c>
      <c r="O49" s="579">
        <f t="shared" si="10"/>
        <v>9.1766593134931414E-3</v>
      </c>
      <c r="Q49" s="578" t="s">
        <v>729</v>
      </c>
      <c r="R49" s="580">
        <f>ROUND((F49+H49)/N49,4)</f>
        <v>0.37580000000000002</v>
      </c>
      <c r="S49" s="580">
        <f>J49/N49</f>
        <v>0</v>
      </c>
      <c r="T49" s="580">
        <f>ROUND(L49/N49,4)</f>
        <v>0.62419999999999998</v>
      </c>
      <c r="U49" s="580"/>
    </row>
    <row r="50" spans="1:22" x14ac:dyDescent="0.2">
      <c r="B50" s="525" t="s">
        <v>964</v>
      </c>
      <c r="C50" s="578" t="s">
        <v>730</v>
      </c>
      <c r="D50" s="525">
        <f t="shared" si="13"/>
        <v>1255673725</v>
      </c>
      <c r="E50" s="579">
        <f t="shared" si="4"/>
        <v>0.24173827716821913</v>
      </c>
      <c r="F50" s="525">
        <f t="shared" si="5"/>
        <v>31033320.70411985</v>
      </c>
      <c r="G50" s="579">
        <f t="shared" si="6"/>
        <v>4.8355933451930101E-2</v>
      </c>
      <c r="H50" s="525">
        <f t="shared" si="7"/>
        <v>30985906.27447059</v>
      </c>
      <c r="I50" s="579">
        <f t="shared" si="8"/>
        <v>0.44317530141445061</v>
      </c>
      <c r="J50" s="525">
        <f t="shared" si="14"/>
        <v>15580373.645079698</v>
      </c>
      <c r="K50" s="579">
        <f t="shared" si="9"/>
        <v>5.1494649026833823E-2</v>
      </c>
      <c r="L50" s="525">
        <f t="shared" si="11"/>
        <v>64090580.774101608</v>
      </c>
      <c r="M50" s="579">
        <f t="shared" si="15"/>
        <v>0.21292905454941646</v>
      </c>
      <c r="N50" s="525">
        <f t="shared" si="12"/>
        <v>141690181.39777175</v>
      </c>
      <c r="O50" s="579">
        <f t="shared" si="10"/>
        <v>0.10772915471418587</v>
      </c>
      <c r="Q50" s="578" t="s">
        <v>730</v>
      </c>
      <c r="R50" s="580">
        <f>ROUND((F50+H50)/N50,4)</f>
        <v>0.43769999999999998</v>
      </c>
      <c r="S50" s="580">
        <f>ROUND(J50/N50,4)</f>
        <v>0.11</v>
      </c>
      <c r="T50" s="580">
        <f>ROUND(L50/N50,4)</f>
        <v>0.45229999999999998</v>
      </c>
      <c r="U50" s="580"/>
    </row>
    <row r="51" spans="1:22" x14ac:dyDescent="0.2">
      <c r="D51" s="525">
        <f>SUM(D42:D50)</f>
        <v>5194352089</v>
      </c>
      <c r="F51" s="525">
        <f>SUM(F42:F50)</f>
        <v>641768620.49348307</v>
      </c>
      <c r="H51" s="525">
        <f>SUM(H42:H50)</f>
        <v>69917944.830352932</v>
      </c>
      <c r="J51" s="525">
        <f>SUM(J42:J50)</f>
        <v>302562964.10449904</v>
      </c>
      <c r="L51" s="525">
        <f>SUM(L42:L50)</f>
        <v>300995000.00000006</v>
      </c>
      <c r="N51" s="525">
        <f>SUM(N42:N50)</f>
        <v>1315244529.4283354</v>
      </c>
      <c r="O51" s="579">
        <v>1</v>
      </c>
      <c r="S51" s="580">
        <f>ROUND('AEO Data'!B239,4)</f>
        <v>0.66679999999999995</v>
      </c>
      <c r="T51" s="525" t="s">
        <v>669</v>
      </c>
    </row>
    <row r="52" spans="1:22" x14ac:dyDescent="0.2">
      <c r="D52" s="525" t="s">
        <v>965</v>
      </c>
    </row>
    <row r="55" spans="1:22" x14ac:dyDescent="0.2">
      <c r="A55" s="527" t="s">
        <v>966</v>
      </c>
    </row>
    <row r="57" spans="1:22" ht="12" customHeight="1" x14ac:dyDescent="0.2">
      <c r="B57" s="1168" t="s">
        <v>967</v>
      </c>
      <c r="C57" s="1168"/>
      <c r="D57" s="1168"/>
      <c r="E57" s="1168"/>
      <c r="F57" s="1168"/>
      <c r="G57" s="1168"/>
      <c r="H57" s="1168"/>
      <c r="I57" s="1168"/>
    </row>
    <row r="58" spans="1:22" x14ac:dyDescent="0.2">
      <c r="B58" s="535" t="s">
        <v>968</v>
      </c>
      <c r="C58" s="535"/>
      <c r="D58" s="535"/>
      <c r="E58" s="535"/>
      <c r="F58" s="535"/>
      <c r="G58" s="535"/>
      <c r="H58" s="535"/>
      <c r="I58" s="535"/>
    </row>
    <row r="59" spans="1:22" ht="12" customHeight="1" x14ac:dyDescent="0.2">
      <c r="B59" s="535"/>
      <c r="C59" s="1146" t="s">
        <v>969</v>
      </c>
      <c r="D59" s="1146" t="s">
        <v>970</v>
      </c>
      <c r="E59" s="1154" t="s">
        <v>971</v>
      </c>
      <c r="F59" s="1154"/>
      <c r="G59" s="1154"/>
      <c r="H59" s="1154"/>
      <c r="I59" s="1154"/>
      <c r="L59" s="525" t="s">
        <v>972</v>
      </c>
      <c r="S59" s="525" t="s">
        <v>973</v>
      </c>
    </row>
    <row r="60" spans="1:22" ht="36.75" customHeight="1" x14ac:dyDescent="0.2">
      <c r="B60" s="581" t="s">
        <v>974</v>
      </c>
      <c r="C60" s="1147"/>
      <c r="D60" s="1147"/>
      <c r="E60" s="582" t="s">
        <v>944</v>
      </c>
      <c r="F60" s="850" t="s">
        <v>975</v>
      </c>
      <c r="G60" s="582" t="s">
        <v>976</v>
      </c>
      <c r="H60" s="582" t="s">
        <v>945</v>
      </c>
      <c r="I60" s="582" t="s">
        <v>977</v>
      </c>
      <c r="K60" s="582" t="s">
        <v>944</v>
      </c>
      <c r="L60" s="850" t="s">
        <v>975</v>
      </c>
      <c r="M60" s="582" t="s">
        <v>976</v>
      </c>
      <c r="N60" s="582" t="s">
        <v>945</v>
      </c>
      <c r="O60" s="582" t="s">
        <v>977</v>
      </c>
      <c r="R60" s="582" t="s">
        <v>944</v>
      </c>
      <c r="S60" s="850" t="s">
        <v>975</v>
      </c>
      <c r="T60" s="582" t="s">
        <v>976</v>
      </c>
      <c r="U60" s="582" t="s">
        <v>945</v>
      </c>
      <c r="V60" s="582" t="s">
        <v>977</v>
      </c>
    </row>
    <row r="61" spans="1:22" x14ac:dyDescent="0.2">
      <c r="B61" s="529" t="s">
        <v>978</v>
      </c>
      <c r="C61" s="530">
        <v>9</v>
      </c>
      <c r="D61" s="583">
        <v>6562</v>
      </c>
      <c r="E61" s="528">
        <v>86</v>
      </c>
      <c r="F61" s="528">
        <v>0</v>
      </c>
      <c r="G61" s="528">
        <v>0</v>
      </c>
      <c r="H61" s="528">
        <v>0</v>
      </c>
      <c r="I61" s="528">
        <v>14</v>
      </c>
      <c r="J61" s="578" t="s">
        <v>979</v>
      </c>
      <c r="K61" s="525">
        <f>$D61*E61*10</f>
        <v>5643320</v>
      </c>
      <c r="L61" s="525">
        <f t="shared" ref="L61:O76" si="16">$D61*F61*10</f>
        <v>0</v>
      </c>
      <c r="M61" s="525">
        <f t="shared" si="16"/>
        <v>0</v>
      </c>
      <c r="N61" s="525">
        <f t="shared" si="16"/>
        <v>0</v>
      </c>
      <c r="O61" s="525">
        <f t="shared" si="16"/>
        <v>918680</v>
      </c>
      <c r="Q61" s="578" t="s">
        <v>718</v>
      </c>
      <c r="R61" s="525">
        <f>K67+K80+K82+K90+K100+K106</f>
        <v>214776803</v>
      </c>
      <c r="S61" s="525">
        <f>L67+L80+L82+L90+L100+L106</f>
        <v>142151853</v>
      </c>
      <c r="T61" s="525">
        <f>M67+M80+M82+M90+M100+M106</f>
        <v>73801552</v>
      </c>
      <c r="U61" s="525">
        <f>N67+N80+N82+N90+N100+N106</f>
        <v>38395576</v>
      </c>
      <c r="V61" s="525">
        <f>O67+O80+O82+O90+O100+O106</f>
        <v>13202216</v>
      </c>
    </row>
    <row r="62" spans="1:22" x14ac:dyDescent="0.2">
      <c r="B62" s="529" t="s">
        <v>980</v>
      </c>
      <c r="C62" s="530">
        <v>3</v>
      </c>
      <c r="D62" s="583">
        <v>4814</v>
      </c>
      <c r="E62" s="528">
        <v>90.9</v>
      </c>
      <c r="F62" s="528">
        <v>0</v>
      </c>
      <c r="G62" s="528">
        <v>0</v>
      </c>
      <c r="H62" s="528">
        <v>0</v>
      </c>
      <c r="I62" s="528">
        <v>9.1</v>
      </c>
      <c r="J62" s="578" t="s">
        <v>981</v>
      </c>
      <c r="K62" s="525">
        <f t="shared" ref="K62:K111" si="17">$D62*E62*10</f>
        <v>4375926</v>
      </c>
      <c r="L62" s="525">
        <f t="shared" si="16"/>
        <v>0</v>
      </c>
      <c r="M62" s="525">
        <f t="shared" si="16"/>
        <v>0</v>
      </c>
      <c r="N62" s="525">
        <f t="shared" si="16"/>
        <v>0</v>
      </c>
      <c r="O62" s="525">
        <f t="shared" si="16"/>
        <v>438074</v>
      </c>
      <c r="Q62" s="578" t="s">
        <v>723</v>
      </c>
      <c r="R62" s="525">
        <f>K91+K93+K99</f>
        <v>1653405753</v>
      </c>
      <c r="S62" s="525">
        <f>L91+L93+L99</f>
        <v>1975007624.9999998</v>
      </c>
      <c r="T62" s="525">
        <f>M91+M93+M99</f>
        <v>52384960</v>
      </c>
      <c r="U62" s="525">
        <f>N91+N93+N99</f>
        <v>273364190</v>
      </c>
      <c r="V62" s="525">
        <f>O91+O93+O99</f>
        <v>36528428</v>
      </c>
    </row>
    <row r="63" spans="1:22" x14ac:dyDescent="0.2">
      <c r="B63" s="529" t="s">
        <v>982</v>
      </c>
      <c r="C63" s="530">
        <v>12</v>
      </c>
      <c r="D63" s="583">
        <v>77706</v>
      </c>
      <c r="E63" s="528">
        <v>97.1</v>
      </c>
      <c r="F63" s="528">
        <v>0</v>
      </c>
      <c r="G63" s="528">
        <v>0</v>
      </c>
      <c r="H63" s="528">
        <v>0</v>
      </c>
      <c r="I63" s="528">
        <v>2.9</v>
      </c>
      <c r="J63" s="578" t="s">
        <v>983</v>
      </c>
      <c r="K63" s="525">
        <f t="shared" si="17"/>
        <v>75452526</v>
      </c>
      <c r="L63" s="525">
        <f t="shared" si="16"/>
        <v>0</v>
      </c>
      <c r="M63" s="525">
        <f t="shared" si="16"/>
        <v>0</v>
      </c>
      <c r="N63" s="525">
        <f t="shared" si="16"/>
        <v>0</v>
      </c>
      <c r="O63" s="525">
        <f t="shared" si="16"/>
        <v>2253474</v>
      </c>
      <c r="Q63" s="578" t="s">
        <v>724</v>
      </c>
      <c r="R63" s="525">
        <f>K68+K69+K70+K71+K81+K94+K101+K107+K109</f>
        <v>682451859</v>
      </c>
      <c r="S63" s="525">
        <f>L68+L69+L70+L71+L81+L94+L101+L107+L109</f>
        <v>360526590</v>
      </c>
      <c r="T63" s="525">
        <f>M68+M69+M70+M71+M81+M94+M101+M107+M109</f>
        <v>6079568.9999999991</v>
      </c>
      <c r="U63" s="525">
        <f>N68+N69+N70+N71+N81+N94+N101+N107+N109</f>
        <v>13294155</v>
      </c>
      <c r="V63" s="525">
        <f>O68+O69+O70+O71+O81+O94+O101+O107+O109</f>
        <v>28023896</v>
      </c>
    </row>
    <row r="64" spans="1:22" x14ac:dyDescent="0.2">
      <c r="B64" s="529" t="s">
        <v>984</v>
      </c>
      <c r="C64" s="530">
        <v>4</v>
      </c>
      <c r="D64" s="583">
        <v>3993</v>
      </c>
      <c r="E64" s="528">
        <v>91.2</v>
      </c>
      <c r="F64" s="528">
        <v>0</v>
      </c>
      <c r="G64" s="528">
        <v>3.9</v>
      </c>
      <c r="H64" s="528">
        <v>0</v>
      </c>
      <c r="I64" s="528">
        <v>4.9000000000000004</v>
      </c>
      <c r="J64" s="578" t="s">
        <v>985</v>
      </c>
      <c r="K64" s="525">
        <f t="shared" si="17"/>
        <v>3641616.0000000005</v>
      </c>
      <c r="L64" s="525">
        <f t="shared" si="16"/>
        <v>0</v>
      </c>
      <c r="M64" s="525">
        <f t="shared" si="16"/>
        <v>155727</v>
      </c>
      <c r="N64" s="525">
        <f t="shared" si="16"/>
        <v>0</v>
      </c>
      <c r="O64" s="525">
        <f t="shared" si="16"/>
        <v>195657</v>
      </c>
      <c r="Q64" s="578" t="s">
        <v>725</v>
      </c>
      <c r="R64" s="525">
        <f>K61+K78+K85+K103</f>
        <v>53223070</v>
      </c>
      <c r="S64" s="525">
        <f>L61+L78+L85+L103</f>
        <v>0</v>
      </c>
      <c r="T64" s="525">
        <f>M61+M78+M85+M103</f>
        <v>1019615.9999999999</v>
      </c>
      <c r="U64" s="525">
        <f>N61+N78+N85+N103</f>
        <v>0</v>
      </c>
      <c r="V64" s="525">
        <f>O61+O78+O85+O103</f>
        <v>2601314</v>
      </c>
    </row>
    <row r="65" spans="2:22" x14ac:dyDescent="0.2">
      <c r="B65" s="529" t="s">
        <v>986</v>
      </c>
      <c r="C65" s="530">
        <v>80</v>
      </c>
      <c r="D65" s="583">
        <v>1357676</v>
      </c>
      <c r="E65" s="528">
        <v>71.3</v>
      </c>
      <c r="F65" s="528">
        <v>10</v>
      </c>
      <c r="G65" s="528">
        <v>9.8000000000000007</v>
      </c>
      <c r="H65" s="531">
        <v>1.5</v>
      </c>
      <c r="I65" s="528">
        <v>7.4</v>
      </c>
      <c r="J65" s="578" t="s">
        <v>987</v>
      </c>
      <c r="K65" s="525">
        <f t="shared" si="17"/>
        <v>968022988</v>
      </c>
      <c r="L65" s="525">
        <f t="shared" si="16"/>
        <v>135767600</v>
      </c>
      <c r="M65" s="525">
        <f t="shared" si="16"/>
        <v>133052248</v>
      </c>
      <c r="N65" s="525">
        <f t="shared" si="16"/>
        <v>20365140</v>
      </c>
      <c r="O65" s="525">
        <f t="shared" si="16"/>
        <v>100468024</v>
      </c>
      <c r="Q65" s="578" t="s">
        <v>726</v>
      </c>
      <c r="R65" s="525">
        <f>K74+K75+K83+K96+K110</f>
        <v>657563617</v>
      </c>
      <c r="S65" s="525">
        <f>L74+L75+L83+L96+L110</f>
        <v>194218324</v>
      </c>
      <c r="T65" s="525">
        <f>M74+M75+M83+M96+M110</f>
        <v>3113451.0000000005</v>
      </c>
      <c r="U65" s="525">
        <f>N74+N75+N83+N96+N110</f>
        <v>72684554</v>
      </c>
      <c r="V65" s="525">
        <f>O74+O75+O83+O96+O110</f>
        <v>22463146</v>
      </c>
    </row>
    <row r="66" spans="2:22" x14ac:dyDescent="0.2">
      <c r="B66" s="529" t="s">
        <v>988</v>
      </c>
      <c r="C66" s="530">
        <v>7</v>
      </c>
      <c r="D66" s="583">
        <v>92484</v>
      </c>
      <c r="E66" s="528">
        <v>87.1</v>
      </c>
      <c r="F66" s="528">
        <v>0</v>
      </c>
      <c r="G66" s="528">
        <v>11.3</v>
      </c>
      <c r="H66" s="531">
        <v>0</v>
      </c>
      <c r="I66" s="528">
        <v>1.6</v>
      </c>
      <c r="J66" s="578" t="s">
        <v>145</v>
      </c>
      <c r="K66" s="525">
        <f t="shared" si="17"/>
        <v>80553564</v>
      </c>
      <c r="L66" s="525">
        <f t="shared" si="16"/>
        <v>0</v>
      </c>
      <c r="M66" s="525">
        <f t="shared" si="16"/>
        <v>10450692</v>
      </c>
      <c r="N66" s="525">
        <f t="shared" si="16"/>
        <v>0</v>
      </c>
      <c r="O66" s="525">
        <f t="shared" si="16"/>
        <v>1479744</v>
      </c>
      <c r="Q66" s="578" t="s">
        <v>727</v>
      </c>
      <c r="R66" s="525">
        <f>K64+K79+K97+K104</f>
        <v>270589015</v>
      </c>
      <c r="S66" s="525">
        <f>L64+L79+L97+L104</f>
        <v>0</v>
      </c>
      <c r="T66" s="525">
        <f>M64+M79+M97+M104</f>
        <v>27794518.999999996</v>
      </c>
      <c r="U66" s="525">
        <f>N64+N79+N97+N104</f>
        <v>2279488</v>
      </c>
      <c r="V66" s="525">
        <f>O64+O79+O97+O104</f>
        <v>11552978</v>
      </c>
    </row>
    <row r="67" spans="2:22" x14ac:dyDescent="0.2">
      <c r="B67" s="529" t="s">
        <v>989</v>
      </c>
      <c r="C67" s="530">
        <v>16</v>
      </c>
      <c r="D67" s="583">
        <v>36773</v>
      </c>
      <c r="E67" s="528">
        <v>92.2</v>
      </c>
      <c r="F67" s="528">
        <v>0</v>
      </c>
      <c r="G67" s="528">
        <v>0</v>
      </c>
      <c r="H67" s="531">
        <v>1.1000000000000001</v>
      </c>
      <c r="I67" s="528">
        <v>6.7</v>
      </c>
      <c r="J67" s="578" t="s">
        <v>990</v>
      </c>
      <c r="K67" s="525">
        <f t="shared" si="17"/>
        <v>33904706</v>
      </c>
      <c r="L67" s="525">
        <f t="shared" si="16"/>
        <v>0</v>
      </c>
      <c r="M67" s="525">
        <f t="shared" si="16"/>
        <v>0</v>
      </c>
      <c r="N67" s="525">
        <f t="shared" si="16"/>
        <v>404503</v>
      </c>
      <c r="O67" s="525">
        <f t="shared" si="16"/>
        <v>2463791</v>
      </c>
      <c r="Q67" s="578" t="s">
        <v>728</v>
      </c>
      <c r="R67" s="525">
        <f>K76+K77+K84+K86+K88+K95+K102</f>
        <v>153740563</v>
      </c>
      <c r="S67" s="525">
        <f>L76+L77+L84+L86+L88+L95+L102</f>
        <v>0</v>
      </c>
      <c r="T67" s="525">
        <f>M76+M77+M84+M86+M88+M95+M102</f>
        <v>23585506</v>
      </c>
      <c r="U67" s="525">
        <f>N76+N77+N84+N86+N88+N95+N102</f>
        <v>0</v>
      </c>
      <c r="V67" s="525">
        <f>O76+O77+O84+O86+O88+O95+O102</f>
        <v>5538931</v>
      </c>
    </row>
    <row r="68" spans="2:22" x14ac:dyDescent="0.2">
      <c r="B68" s="529" t="s">
        <v>991</v>
      </c>
      <c r="C68" s="530">
        <v>1</v>
      </c>
      <c r="D68" s="583">
        <v>8764</v>
      </c>
      <c r="E68" s="528">
        <v>91.9</v>
      </c>
      <c r="F68" s="528">
        <v>0</v>
      </c>
      <c r="G68" s="528">
        <v>0</v>
      </c>
      <c r="H68" s="528">
        <v>0</v>
      </c>
      <c r="I68" s="531">
        <v>8.1</v>
      </c>
      <c r="J68" s="578" t="s">
        <v>992</v>
      </c>
      <c r="K68" s="525">
        <f t="shared" si="17"/>
        <v>8054116.0000000009</v>
      </c>
      <c r="L68" s="525">
        <f t="shared" si="16"/>
        <v>0</v>
      </c>
      <c r="M68" s="525">
        <f t="shared" si="16"/>
        <v>0</v>
      </c>
      <c r="N68" s="525">
        <f t="shared" si="16"/>
        <v>0</v>
      </c>
      <c r="O68" s="525">
        <f t="shared" si="16"/>
        <v>709884</v>
      </c>
      <c r="Q68" s="578" t="s">
        <v>729</v>
      </c>
      <c r="R68" s="525">
        <f>K63+K66+K73+K87+K89+K92+K105+K111</f>
        <v>252927684</v>
      </c>
      <c r="S68" s="525">
        <f>L63+L66+L73+L87+L89+L92+L105+L111</f>
        <v>0</v>
      </c>
      <c r="T68" s="525">
        <f>M63+M66+M73+M87+M89+M92+M105+M111</f>
        <v>24759252</v>
      </c>
      <c r="U68" s="525">
        <f>N63+N66+N73+N87+N89+N92+N105+N111</f>
        <v>0</v>
      </c>
      <c r="V68" s="525">
        <f>O63+O66+O73+O87+O89+O92+O105+O111</f>
        <v>6886318</v>
      </c>
    </row>
    <row r="69" spans="2:22" x14ac:dyDescent="0.2">
      <c r="B69" s="529" t="s">
        <v>993</v>
      </c>
      <c r="C69" s="530">
        <v>1</v>
      </c>
      <c r="D69" s="583">
        <v>414076</v>
      </c>
      <c r="E69" s="528">
        <v>37</v>
      </c>
      <c r="F69" s="528">
        <v>62.7</v>
      </c>
      <c r="G69" s="528">
        <v>0</v>
      </c>
      <c r="H69" s="531">
        <v>0</v>
      </c>
      <c r="I69" s="528">
        <v>0.3</v>
      </c>
      <c r="J69" s="578" t="s">
        <v>994</v>
      </c>
      <c r="K69" s="525">
        <f t="shared" si="17"/>
        <v>153208120</v>
      </c>
      <c r="L69" s="525">
        <f t="shared" si="16"/>
        <v>259625652.00000003</v>
      </c>
      <c r="M69" s="525">
        <f t="shared" si="16"/>
        <v>0</v>
      </c>
      <c r="N69" s="525">
        <f t="shared" si="16"/>
        <v>0</v>
      </c>
      <c r="O69" s="525">
        <f t="shared" si="16"/>
        <v>1242228</v>
      </c>
      <c r="Q69" s="578" t="s">
        <v>730</v>
      </c>
      <c r="R69" s="525">
        <f>K62+K65+K72+K98+K108</f>
        <v>1255673725</v>
      </c>
      <c r="S69" s="525">
        <f>L62+L65+L72+L98+L108</f>
        <v>135767600</v>
      </c>
      <c r="T69" s="525">
        <f>M62+M65+M72+M98+M108</f>
        <v>169158769</v>
      </c>
      <c r="U69" s="525">
        <f>N62+N65+N72+N98+N108</f>
        <v>21717099</v>
      </c>
      <c r="V69" s="525">
        <f>O62+O65+O72+O98+O108</f>
        <v>162418944</v>
      </c>
    </row>
    <row r="70" spans="2:22" x14ac:dyDescent="0.2">
      <c r="B70" s="529" t="s">
        <v>995</v>
      </c>
      <c r="C70" s="530">
        <v>30</v>
      </c>
      <c r="D70" s="583">
        <v>251117</v>
      </c>
      <c r="E70" s="528">
        <v>84.3</v>
      </c>
      <c r="F70" s="528">
        <v>6.8</v>
      </c>
      <c r="G70" s="528">
        <v>0.2</v>
      </c>
      <c r="H70" s="531">
        <v>1.1000000000000001</v>
      </c>
      <c r="I70" s="528">
        <v>7.5</v>
      </c>
      <c r="J70" s="578" t="s">
        <v>996</v>
      </c>
      <c r="K70" s="525">
        <f t="shared" si="17"/>
        <v>211691630.99999997</v>
      </c>
      <c r="L70" s="525">
        <f t="shared" si="16"/>
        <v>17075956</v>
      </c>
      <c r="M70" s="525">
        <f t="shared" si="16"/>
        <v>502234</v>
      </c>
      <c r="N70" s="525">
        <f t="shared" si="16"/>
        <v>2762287</v>
      </c>
      <c r="O70" s="525">
        <f t="shared" si="16"/>
        <v>18833775</v>
      </c>
      <c r="R70" s="525">
        <f>SUM(R61:R69)</f>
        <v>5194352089</v>
      </c>
      <c r="S70" s="525">
        <f>SUM(S61:S69)</f>
        <v>2807671992</v>
      </c>
      <c r="T70" s="525">
        <f>SUM(T61:T69)</f>
        <v>381697194</v>
      </c>
      <c r="U70" s="525">
        <f>SUM(U61:U69)</f>
        <v>421735062</v>
      </c>
      <c r="V70" s="525">
        <f>SUM(V61:V69)</f>
        <v>289216171</v>
      </c>
    </row>
    <row r="71" spans="2:22" x14ac:dyDescent="0.2">
      <c r="B71" s="529" t="s">
        <v>997</v>
      </c>
      <c r="C71" s="530">
        <v>14</v>
      </c>
      <c r="D71" s="583">
        <v>160294</v>
      </c>
      <c r="E71" s="528">
        <v>55</v>
      </c>
      <c r="F71" s="528">
        <v>44.3</v>
      </c>
      <c r="G71" s="528">
        <v>0</v>
      </c>
      <c r="H71" s="531">
        <v>0</v>
      </c>
      <c r="I71" s="528">
        <v>0.8</v>
      </c>
      <c r="J71" s="578" t="s">
        <v>998</v>
      </c>
      <c r="K71" s="525">
        <f t="shared" si="17"/>
        <v>88161700</v>
      </c>
      <c r="L71" s="525">
        <f t="shared" si="16"/>
        <v>71010242</v>
      </c>
      <c r="M71" s="525">
        <f t="shared" si="16"/>
        <v>0</v>
      </c>
      <c r="N71" s="525">
        <f t="shared" si="16"/>
        <v>0</v>
      </c>
      <c r="O71" s="525">
        <f t="shared" si="16"/>
        <v>1282352</v>
      </c>
    </row>
    <row r="72" spans="2:22" x14ac:dyDescent="0.2">
      <c r="B72" s="529" t="s">
        <v>999</v>
      </c>
      <c r="C72" s="530">
        <v>2</v>
      </c>
      <c r="D72" s="583">
        <v>68658</v>
      </c>
      <c r="E72" s="528">
        <v>98.2</v>
      </c>
      <c r="F72" s="528">
        <v>0</v>
      </c>
      <c r="G72" s="528">
        <v>0</v>
      </c>
      <c r="H72" s="528">
        <v>0</v>
      </c>
      <c r="I72" s="531">
        <v>1.8</v>
      </c>
      <c r="J72" s="578" t="s">
        <v>1000</v>
      </c>
      <c r="K72" s="525">
        <f t="shared" si="17"/>
        <v>67422156</v>
      </c>
      <c r="L72" s="525">
        <f t="shared" si="16"/>
        <v>0</v>
      </c>
      <c r="M72" s="525">
        <f t="shared" si="16"/>
        <v>0</v>
      </c>
      <c r="N72" s="525">
        <f t="shared" si="16"/>
        <v>0</v>
      </c>
      <c r="O72" s="525">
        <f t="shared" si="16"/>
        <v>1235844</v>
      </c>
    </row>
    <row r="73" spans="2:22" x14ac:dyDescent="0.2">
      <c r="B73" s="529" t="s">
        <v>1001</v>
      </c>
      <c r="C73" s="535">
        <v>2</v>
      </c>
      <c r="D73" s="583">
        <v>1583</v>
      </c>
      <c r="E73" s="535">
        <v>94.9</v>
      </c>
      <c r="F73" s="528">
        <v>0</v>
      </c>
      <c r="G73" s="528">
        <v>0</v>
      </c>
      <c r="H73" s="528">
        <v>0</v>
      </c>
      <c r="I73" s="531">
        <v>5.0999999999999996</v>
      </c>
      <c r="J73" s="578" t="s">
        <v>1002</v>
      </c>
      <c r="K73" s="525">
        <f t="shared" si="17"/>
        <v>1502267</v>
      </c>
      <c r="L73" s="525">
        <f t="shared" si="16"/>
        <v>0</v>
      </c>
      <c r="M73" s="525">
        <f t="shared" si="16"/>
        <v>0</v>
      </c>
      <c r="N73" s="525">
        <f t="shared" si="16"/>
        <v>0</v>
      </c>
      <c r="O73" s="525">
        <f t="shared" si="16"/>
        <v>80733</v>
      </c>
    </row>
    <row r="74" spans="2:22" x14ac:dyDescent="0.2">
      <c r="B74" s="529" t="s">
        <v>1003</v>
      </c>
      <c r="C74" s="530">
        <v>12</v>
      </c>
      <c r="D74" s="583">
        <v>620482</v>
      </c>
      <c r="E74" s="528">
        <v>57.8</v>
      </c>
      <c r="F74" s="528">
        <v>30.1</v>
      </c>
      <c r="G74" s="528">
        <v>0</v>
      </c>
      <c r="H74" s="531">
        <v>11.1</v>
      </c>
      <c r="I74" s="528">
        <v>1</v>
      </c>
      <c r="J74" s="578" t="s">
        <v>1004</v>
      </c>
      <c r="K74" s="525">
        <f t="shared" si="17"/>
        <v>358638596</v>
      </c>
      <c r="L74" s="525">
        <f t="shared" si="16"/>
        <v>186765082</v>
      </c>
      <c r="M74" s="525">
        <f t="shared" si="16"/>
        <v>0</v>
      </c>
      <c r="N74" s="525">
        <f t="shared" si="16"/>
        <v>68873502</v>
      </c>
      <c r="O74" s="525">
        <f t="shared" si="16"/>
        <v>6204820</v>
      </c>
    </row>
    <row r="75" spans="2:22" x14ac:dyDescent="0.2">
      <c r="B75" s="529" t="s">
        <v>1005</v>
      </c>
      <c r="C75" s="530">
        <v>18</v>
      </c>
      <c r="D75" s="583">
        <v>29092</v>
      </c>
      <c r="E75" s="528">
        <v>82.8</v>
      </c>
      <c r="F75" s="528">
        <v>0</v>
      </c>
      <c r="G75" s="528">
        <v>0</v>
      </c>
      <c r="H75" s="531">
        <v>13.1</v>
      </c>
      <c r="I75" s="528">
        <v>4.2</v>
      </c>
      <c r="J75" s="578" t="s">
        <v>1006</v>
      </c>
      <c r="K75" s="525">
        <f t="shared" si="17"/>
        <v>24088176</v>
      </c>
      <c r="L75" s="525">
        <f t="shared" si="16"/>
        <v>0</v>
      </c>
      <c r="M75" s="525">
        <f t="shared" si="16"/>
        <v>0</v>
      </c>
      <c r="N75" s="525">
        <f t="shared" si="16"/>
        <v>3811052</v>
      </c>
      <c r="O75" s="525">
        <f t="shared" si="16"/>
        <v>1221864</v>
      </c>
    </row>
    <row r="76" spans="2:22" x14ac:dyDescent="0.2">
      <c r="B76" s="529" t="s">
        <v>1007</v>
      </c>
      <c r="C76" s="530">
        <v>11</v>
      </c>
      <c r="D76" s="583">
        <v>17834</v>
      </c>
      <c r="E76" s="528">
        <v>95.1</v>
      </c>
      <c r="F76" s="528">
        <v>0</v>
      </c>
      <c r="G76" s="528">
        <v>0</v>
      </c>
      <c r="H76" s="531">
        <v>0</v>
      </c>
      <c r="I76" s="528">
        <v>4.9000000000000004</v>
      </c>
      <c r="J76" s="578" t="s">
        <v>1008</v>
      </c>
      <c r="K76" s="525">
        <f t="shared" si="17"/>
        <v>16960134</v>
      </c>
      <c r="L76" s="525">
        <f t="shared" si="16"/>
        <v>0</v>
      </c>
      <c r="M76" s="525">
        <f t="shared" si="16"/>
        <v>0</v>
      </c>
      <c r="N76" s="525">
        <f t="shared" si="16"/>
        <v>0</v>
      </c>
      <c r="O76" s="525">
        <f t="shared" si="16"/>
        <v>873866</v>
      </c>
    </row>
    <row r="77" spans="2:22" x14ac:dyDescent="0.2">
      <c r="B77" s="529" t="s">
        <v>1009</v>
      </c>
      <c r="C77" s="530">
        <v>4</v>
      </c>
      <c r="D77" s="583">
        <v>4767</v>
      </c>
      <c r="E77" s="528">
        <v>86.9</v>
      </c>
      <c r="F77" s="528">
        <v>0</v>
      </c>
      <c r="G77" s="528">
        <v>0</v>
      </c>
      <c r="H77" s="531">
        <v>0</v>
      </c>
      <c r="I77" s="528">
        <v>13.1</v>
      </c>
      <c r="J77" s="578" t="s">
        <v>1010</v>
      </c>
      <c r="K77" s="525">
        <f t="shared" si="17"/>
        <v>4142523.0000000005</v>
      </c>
      <c r="L77" s="525">
        <f t="shared" ref="L77:L111" si="18">$D77*F77*10</f>
        <v>0</v>
      </c>
      <c r="M77" s="525">
        <f t="shared" ref="M77:M111" si="19">$D77*G77*10</f>
        <v>0</v>
      </c>
      <c r="N77" s="525">
        <f t="shared" ref="N77:N111" si="20">$D77*H77*10</f>
        <v>0</v>
      </c>
      <c r="O77" s="525">
        <f t="shared" ref="O77:O111" si="21">$D77*I77*10</f>
        <v>624477</v>
      </c>
    </row>
    <row r="78" spans="2:22" x14ac:dyDescent="0.2">
      <c r="B78" s="529" t="s">
        <v>1011</v>
      </c>
      <c r="C78" s="530">
        <v>3</v>
      </c>
      <c r="D78" s="583">
        <v>22091</v>
      </c>
      <c r="E78" s="528">
        <v>97.6</v>
      </c>
      <c r="F78" s="528">
        <v>0</v>
      </c>
      <c r="G78" s="528">
        <v>0</v>
      </c>
      <c r="H78" s="531">
        <v>0</v>
      </c>
      <c r="I78" s="528">
        <v>2.4</v>
      </c>
      <c r="J78" s="578" t="s">
        <v>1012</v>
      </c>
      <c r="K78" s="525">
        <f t="shared" si="17"/>
        <v>21560816</v>
      </c>
      <c r="L78" s="525">
        <f t="shared" si="18"/>
        <v>0</v>
      </c>
      <c r="M78" s="525">
        <f t="shared" si="19"/>
        <v>0</v>
      </c>
      <c r="N78" s="525">
        <f t="shared" si="20"/>
        <v>0</v>
      </c>
      <c r="O78" s="525">
        <f t="shared" si="21"/>
        <v>530184</v>
      </c>
    </row>
    <row r="79" spans="2:22" x14ac:dyDescent="0.2">
      <c r="B79" s="529" t="s">
        <v>1013</v>
      </c>
      <c r="C79" s="530">
        <v>7</v>
      </c>
      <c r="D79" s="583">
        <v>16905</v>
      </c>
      <c r="E79" s="528">
        <v>80.099999999999994</v>
      </c>
      <c r="F79" s="528">
        <v>0</v>
      </c>
      <c r="G79" s="528">
        <v>0</v>
      </c>
      <c r="H79" s="531">
        <v>0</v>
      </c>
      <c r="I79" s="528">
        <v>19.899999999999999</v>
      </c>
      <c r="J79" s="578" t="s">
        <v>1014</v>
      </c>
      <c r="K79" s="525">
        <f t="shared" si="17"/>
        <v>13540905</v>
      </c>
      <c r="L79" s="525">
        <f t="shared" si="18"/>
        <v>0</v>
      </c>
      <c r="M79" s="525">
        <f t="shared" si="19"/>
        <v>0</v>
      </c>
      <c r="N79" s="525">
        <f t="shared" si="20"/>
        <v>0</v>
      </c>
      <c r="O79" s="525">
        <f t="shared" si="21"/>
        <v>3364095</v>
      </c>
    </row>
    <row r="80" spans="2:22" x14ac:dyDescent="0.2">
      <c r="B80" s="529" t="s">
        <v>1015</v>
      </c>
      <c r="C80" s="530">
        <v>6</v>
      </c>
      <c r="D80" s="583">
        <v>3647</v>
      </c>
      <c r="E80" s="528">
        <v>61.4</v>
      </c>
      <c r="F80" s="528">
        <v>0</v>
      </c>
      <c r="G80" s="528">
        <v>0</v>
      </c>
      <c r="H80" s="531">
        <v>6.9</v>
      </c>
      <c r="I80" s="528">
        <v>31.7</v>
      </c>
      <c r="J80" s="578" t="s">
        <v>1016</v>
      </c>
      <c r="K80" s="525">
        <f t="shared" si="17"/>
        <v>2239258</v>
      </c>
      <c r="L80" s="525">
        <f t="shared" si="18"/>
        <v>0</v>
      </c>
      <c r="M80" s="525">
        <f t="shared" si="19"/>
        <v>0</v>
      </c>
      <c r="N80" s="525">
        <f t="shared" si="20"/>
        <v>251643.00000000003</v>
      </c>
      <c r="O80" s="525">
        <f t="shared" si="21"/>
        <v>1156099</v>
      </c>
    </row>
    <row r="81" spans="2:15" x14ac:dyDescent="0.2">
      <c r="B81" s="529" t="s">
        <v>1017</v>
      </c>
      <c r="C81" s="530">
        <v>10</v>
      </c>
      <c r="D81" s="583">
        <v>134892</v>
      </c>
      <c r="E81" s="528">
        <v>80.5</v>
      </c>
      <c r="F81" s="528">
        <v>9.5</v>
      </c>
      <c r="G81" s="528">
        <v>3.9</v>
      </c>
      <c r="H81" s="531">
        <v>5.0999999999999996</v>
      </c>
      <c r="I81" s="528">
        <v>1.1000000000000001</v>
      </c>
      <c r="J81" s="578" t="s">
        <v>1018</v>
      </c>
      <c r="K81" s="525">
        <f t="shared" si="17"/>
        <v>108588060</v>
      </c>
      <c r="L81" s="525">
        <f t="shared" si="18"/>
        <v>12814740</v>
      </c>
      <c r="M81" s="525">
        <f t="shared" si="19"/>
        <v>5260787.9999999991</v>
      </c>
      <c r="N81" s="525">
        <f t="shared" si="20"/>
        <v>6879492</v>
      </c>
      <c r="O81" s="525">
        <f t="shared" si="21"/>
        <v>1483812</v>
      </c>
    </row>
    <row r="82" spans="2:15" x14ac:dyDescent="0.2">
      <c r="B82" s="529" t="s">
        <v>1019</v>
      </c>
      <c r="C82" s="530">
        <v>12</v>
      </c>
      <c r="D82" s="583">
        <v>419327</v>
      </c>
      <c r="E82" s="528">
        <v>37.4</v>
      </c>
      <c r="F82" s="528">
        <v>33.9</v>
      </c>
      <c r="G82" s="528">
        <v>17.600000000000001</v>
      </c>
      <c r="H82" s="531">
        <v>9</v>
      </c>
      <c r="I82" s="528">
        <v>2.1</v>
      </c>
      <c r="J82" s="578" t="s">
        <v>723</v>
      </c>
      <c r="K82" s="525">
        <f t="shared" si="17"/>
        <v>156828298</v>
      </c>
      <c r="L82" s="525">
        <f t="shared" si="18"/>
        <v>142151853</v>
      </c>
      <c r="M82" s="525">
        <f t="shared" si="19"/>
        <v>73801552</v>
      </c>
      <c r="N82" s="525">
        <f t="shared" si="20"/>
        <v>37739430</v>
      </c>
      <c r="O82" s="525">
        <f t="shared" si="21"/>
        <v>8805867</v>
      </c>
    </row>
    <row r="83" spans="2:15" x14ac:dyDescent="0.2">
      <c r="B83" s="529" t="s">
        <v>1020</v>
      </c>
      <c r="C83" s="530">
        <v>19</v>
      </c>
      <c r="D83" s="583">
        <v>85472</v>
      </c>
      <c r="E83" s="528">
        <v>93.9</v>
      </c>
      <c r="F83" s="528">
        <v>0</v>
      </c>
      <c r="G83" s="532">
        <v>0</v>
      </c>
      <c r="H83" s="531">
        <v>0</v>
      </c>
      <c r="I83" s="528">
        <v>6.1</v>
      </c>
      <c r="J83" s="578" t="s">
        <v>1021</v>
      </c>
      <c r="K83" s="525">
        <f t="shared" si="17"/>
        <v>80258208</v>
      </c>
      <c r="L83" s="525">
        <f t="shared" si="18"/>
        <v>0</v>
      </c>
      <c r="M83" s="525">
        <f t="shared" si="19"/>
        <v>0</v>
      </c>
      <c r="N83" s="525">
        <f t="shared" si="20"/>
        <v>0</v>
      </c>
      <c r="O83" s="525">
        <f t="shared" si="21"/>
        <v>5213792</v>
      </c>
    </row>
    <row r="84" spans="2:15" x14ac:dyDescent="0.2">
      <c r="B84" s="529" t="s">
        <v>1022</v>
      </c>
      <c r="C84" s="530">
        <v>7</v>
      </c>
      <c r="D84" s="583">
        <v>87274</v>
      </c>
      <c r="E84" s="528">
        <v>88.4</v>
      </c>
      <c r="F84" s="528">
        <v>0</v>
      </c>
      <c r="G84" s="528">
        <v>9.1</v>
      </c>
      <c r="H84" s="531">
        <v>0</v>
      </c>
      <c r="I84" s="528">
        <v>2.5</v>
      </c>
      <c r="J84" s="578" t="s">
        <v>876</v>
      </c>
      <c r="K84" s="525">
        <f t="shared" si="17"/>
        <v>77150216</v>
      </c>
      <c r="L84" s="525">
        <f t="shared" si="18"/>
        <v>0</v>
      </c>
      <c r="M84" s="525">
        <f t="shared" si="19"/>
        <v>7941934</v>
      </c>
      <c r="N84" s="525">
        <f t="shared" si="20"/>
        <v>0</v>
      </c>
      <c r="O84" s="525">
        <f t="shared" si="21"/>
        <v>2181850</v>
      </c>
    </row>
    <row r="85" spans="2:15" x14ac:dyDescent="0.2">
      <c r="B85" s="529" t="s">
        <v>1023</v>
      </c>
      <c r="C85" s="530">
        <v>2</v>
      </c>
      <c r="D85" s="583">
        <v>1359</v>
      </c>
      <c r="E85" s="528">
        <v>92.2</v>
      </c>
      <c r="F85" s="528">
        <v>0</v>
      </c>
      <c r="G85" s="528">
        <v>0</v>
      </c>
      <c r="H85" s="531">
        <v>0</v>
      </c>
      <c r="I85" s="528">
        <v>7.8</v>
      </c>
      <c r="J85" s="578" t="s">
        <v>1024</v>
      </c>
      <c r="K85" s="525">
        <f t="shared" si="17"/>
        <v>1252998</v>
      </c>
      <c r="L85" s="525">
        <f t="shared" si="18"/>
        <v>0</v>
      </c>
      <c r="M85" s="525">
        <f t="shared" si="19"/>
        <v>0</v>
      </c>
      <c r="N85" s="525">
        <f t="shared" si="20"/>
        <v>0</v>
      </c>
      <c r="O85" s="525">
        <f t="shared" si="21"/>
        <v>106001.99999999999</v>
      </c>
    </row>
    <row r="86" spans="2:15" x14ac:dyDescent="0.2">
      <c r="B86" s="529" t="s">
        <v>1025</v>
      </c>
      <c r="C86" s="530">
        <v>7</v>
      </c>
      <c r="D86" s="583">
        <v>64113</v>
      </c>
      <c r="E86" s="528">
        <v>73.599999999999994</v>
      </c>
      <c r="F86" s="528">
        <v>0</v>
      </c>
      <c r="G86" s="528">
        <v>24.4</v>
      </c>
      <c r="H86" s="531">
        <v>0</v>
      </c>
      <c r="I86" s="528">
        <v>2</v>
      </c>
      <c r="J86" s="578" t="s">
        <v>1026</v>
      </c>
      <c r="K86" s="525">
        <f t="shared" si="17"/>
        <v>47187168</v>
      </c>
      <c r="L86" s="525">
        <f t="shared" si="18"/>
        <v>0</v>
      </c>
      <c r="M86" s="525">
        <f t="shared" si="19"/>
        <v>15643572</v>
      </c>
      <c r="N86" s="525">
        <f t="shared" si="20"/>
        <v>0</v>
      </c>
      <c r="O86" s="525">
        <f t="shared" si="21"/>
        <v>1282260</v>
      </c>
    </row>
    <row r="87" spans="2:15" x14ac:dyDescent="0.2">
      <c r="B87" s="529" t="s">
        <v>1027</v>
      </c>
      <c r="C87" s="530">
        <v>3</v>
      </c>
      <c r="D87" s="583">
        <v>1844</v>
      </c>
      <c r="E87" s="528">
        <v>93.8</v>
      </c>
      <c r="F87" s="528">
        <v>0</v>
      </c>
      <c r="G87" s="528">
        <v>0</v>
      </c>
      <c r="H87" s="531">
        <v>0</v>
      </c>
      <c r="I87" s="528">
        <v>6.2</v>
      </c>
      <c r="J87" s="578" t="s">
        <v>1028</v>
      </c>
      <c r="K87" s="525">
        <f t="shared" si="17"/>
        <v>1729671.9999999998</v>
      </c>
      <c r="L87" s="525">
        <f t="shared" si="18"/>
        <v>0</v>
      </c>
      <c r="M87" s="525">
        <f t="shared" si="19"/>
        <v>0</v>
      </c>
      <c r="N87" s="525">
        <f t="shared" si="20"/>
        <v>0</v>
      </c>
      <c r="O87" s="525">
        <f t="shared" si="21"/>
        <v>114328.00000000001</v>
      </c>
    </row>
    <row r="88" spans="2:15" x14ac:dyDescent="0.2">
      <c r="B88" s="529" t="s">
        <v>1029</v>
      </c>
      <c r="C88" s="584">
        <v>2</v>
      </c>
      <c r="D88" s="583">
        <v>6320</v>
      </c>
      <c r="E88" s="528">
        <v>98.5</v>
      </c>
      <c r="F88" s="528">
        <v>0</v>
      </c>
      <c r="G88" s="528">
        <v>0</v>
      </c>
      <c r="H88" s="531">
        <v>0</v>
      </c>
      <c r="I88" s="528">
        <v>1.5</v>
      </c>
      <c r="J88" s="578" t="s">
        <v>718</v>
      </c>
      <c r="K88" s="525">
        <f t="shared" si="17"/>
        <v>6225200</v>
      </c>
      <c r="L88" s="525">
        <f t="shared" si="18"/>
        <v>0</v>
      </c>
      <c r="M88" s="525">
        <f t="shared" si="19"/>
        <v>0</v>
      </c>
      <c r="N88" s="525">
        <f t="shared" si="20"/>
        <v>0</v>
      </c>
      <c r="O88" s="525">
        <f t="shared" si="21"/>
        <v>94800</v>
      </c>
    </row>
    <row r="89" spans="2:15" x14ac:dyDescent="0.2">
      <c r="B89" s="529" t="s">
        <v>1030</v>
      </c>
      <c r="C89" s="533">
        <v>2</v>
      </c>
      <c r="D89" s="583">
        <v>61807</v>
      </c>
      <c r="E89" s="528">
        <v>98.4</v>
      </c>
      <c r="F89" s="528">
        <v>0</v>
      </c>
      <c r="G89" s="528">
        <v>0</v>
      </c>
      <c r="H89" s="531">
        <v>0</v>
      </c>
      <c r="I89" s="528">
        <v>1.6</v>
      </c>
      <c r="J89" s="578" t="s">
        <v>1031</v>
      </c>
      <c r="K89" s="525">
        <f t="shared" si="17"/>
        <v>60818088.000000007</v>
      </c>
      <c r="L89" s="525">
        <f t="shared" si="18"/>
        <v>0</v>
      </c>
      <c r="M89" s="525">
        <f t="shared" si="19"/>
        <v>0</v>
      </c>
      <c r="N89" s="525">
        <f t="shared" si="20"/>
        <v>0</v>
      </c>
      <c r="O89" s="525">
        <f t="shared" si="21"/>
        <v>988912.00000000012</v>
      </c>
    </row>
    <row r="90" spans="2:15" x14ac:dyDescent="0.2">
      <c r="B90" s="529" t="s">
        <v>1032</v>
      </c>
      <c r="C90" s="533">
        <v>3</v>
      </c>
      <c r="D90" s="583">
        <v>1093</v>
      </c>
      <c r="E90" s="528">
        <v>95.3</v>
      </c>
      <c r="F90" s="528">
        <v>0</v>
      </c>
      <c r="G90" s="528">
        <v>0</v>
      </c>
      <c r="H90" s="531">
        <v>0</v>
      </c>
      <c r="I90" s="528">
        <v>4.7</v>
      </c>
      <c r="J90" s="578" t="s">
        <v>1033</v>
      </c>
      <c r="K90" s="525">
        <f t="shared" si="17"/>
        <v>1041629</v>
      </c>
      <c r="L90" s="525">
        <f t="shared" si="18"/>
        <v>0</v>
      </c>
      <c r="M90" s="525">
        <f t="shared" si="19"/>
        <v>0</v>
      </c>
      <c r="N90" s="525">
        <f t="shared" si="20"/>
        <v>0</v>
      </c>
      <c r="O90" s="525">
        <f t="shared" si="21"/>
        <v>51371</v>
      </c>
    </row>
    <row r="91" spans="2:15" x14ac:dyDescent="0.2">
      <c r="B91" s="529" t="s">
        <v>1034</v>
      </c>
      <c r="C91" s="533">
        <v>15</v>
      </c>
      <c r="D91" s="583">
        <v>368956</v>
      </c>
      <c r="E91" s="528">
        <v>54.3</v>
      </c>
      <c r="F91" s="528">
        <v>21.3</v>
      </c>
      <c r="G91" s="528">
        <v>3.7</v>
      </c>
      <c r="H91" s="531">
        <v>19.7</v>
      </c>
      <c r="I91" s="528">
        <v>1.1000000000000001</v>
      </c>
      <c r="J91" s="578" t="s">
        <v>1035</v>
      </c>
      <c r="K91" s="525">
        <f t="shared" si="17"/>
        <v>200343108</v>
      </c>
      <c r="L91" s="525">
        <f t="shared" si="18"/>
        <v>78587628</v>
      </c>
      <c r="M91" s="525">
        <f t="shared" si="19"/>
        <v>13651372</v>
      </c>
      <c r="N91" s="525">
        <f t="shared" si="20"/>
        <v>72684332</v>
      </c>
      <c r="O91" s="525">
        <f t="shared" si="21"/>
        <v>4058516.0000000005</v>
      </c>
    </row>
    <row r="92" spans="2:15" x14ac:dyDescent="0.2">
      <c r="B92" s="529" t="s">
        <v>1036</v>
      </c>
      <c r="C92" s="533">
        <v>3</v>
      </c>
      <c r="D92" s="585">
        <v>9154</v>
      </c>
      <c r="E92" s="528">
        <v>96.6</v>
      </c>
      <c r="F92" s="528">
        <v>0</v>
      </c>
      <c r="G92" s="528">
        <v>0</v>
      </c>
      <c r="H92" s="531">
        <v>0</v>
      </c>
      <c r="I92" s="528">
        <v>3.4</v>
      </c>
      <c r="J92" s="578" t="s">
        <v>1037</v>
      </c>
      <c r="K92" s="525">
        <f t="shared" si="17"/>
        <v>8842764</v>
      </c>
      <c r="L92" s="525">
        <f t="shared" si="18"/>
        <v>0</v>
      </c>
      <c r="M92" s="525">
        <f t="shared" si="19"/>
        <v>0</v>
      </c>
      <c r="N92" s="525">
        <f t="shared" si="20"/>
        <v>0</v>
      </c>
      <c r="O92" s="525">
        <f t="shared" si="21"/>
        <v>311236</v>
      </c>
    </row>
    <row r="93" spans="2:15" x14ac:dyDescent="0.2">
      <c r="B93" s="529" t="s">
        <v>1038</v>
      </c>
      <c r="C93" s="533">
        <v>45</v>
      </c>
      <c r="D93" s="583">
        <v>3183993</v>
      </c>
      <c r="E93" s="528">
        <v>36.9</v>
      </c>
      <c r="F93" s="528">
        <v>56.8</v>
      </c>
      <c r="G93" s="528">
        <v>0.2</v>
      </c>
      <c r="H93" s="531">
        <v>5.3</v>
      </c>
      <c r="I93" s="528">
        <v>0.8</v>
      </c>
      <c r="J93" s="578" t="s">
        <v>1039</v>
      </c>
      <c r="K93" s="525">
        <f t="shared" si="17"/>
        <v>1174893417</v>
      </c>
      <c r="L93" s="525">
        <f t="shared" si="18"/>
        <v>1808508023.9999998</v>
      </c>
      <c r="M93" s="525">
        <f t="shared" si="19"/>
        <v>6367986.0000000009</v>
      </c>
      <c r="N93" s="525">
        <f t="shared" si="20"/>
        <v>168751629</v>
      </c>
      <c r="O93" s="525">
        <f t="shared" si="21"/>
        <v>25471944.000000004</v>
      </c>
    </row>
    <row r="94" spans="2:15" x14ac:dyDescent="0.2">
      <c r="B94" s="529" t="s">
        <v>1040</v>
      </c>
      <c r="C94" s="533">
        <v>14</v>
      </c>
      <c r="D94" s="585">
        <v>45221</v>
      </c>
      <c r="E94" s="528">
        <v>95.1</v>
      </c>
      <c r="F94" s="528">
        <v>0</v>
      </c>
      <c r="G94" s="528">
        <v>0.7</v>
      </c>
      <c r="H94" s="531">
        <v>0</v>
      </c>
      <c r="I94" s="528">
        <v>4.2</v>
      </c>
      <c r="J94" s="578" t="s">
        <v>1041</v>
      </c>
      <c r="K94" s="525">
        <f t="shared" si="17"/>
        <v>43005171</v>
      </c>
      <c r="L94" s="525">
        <f t="shared" si="18"/>
        <v>0</v>
      </c>
      <c r="M94" s="525">
        <f t="shared" si="19"/>
        <v>316547</v>
      </c>
      <c r="N94" s="525">
        <f t="shared" si="20"/>
        <v>0</v>
      </c>
      <c r="O94" s="525">
        <f t="shared" si="21"/>
        <v>1899282</v>
      </c>
    </row>
    <row r="95" spans="2:15" x14ac:dyDescent="0.2">
      <c r="B95" s="529" t="s">
        <v>1042</v>
      </c>
      <c r="C95" s="533">
        <v>3</v>
      </c>
      <c r="D95" s="583">
        <v>1474</v>
      </c>
      <c r="E95" s="528">
        <v>80.400000000000006</v>
      </c>
      <c r="F95" s="528">
        <v>0</v>
      </c>
      <c r="G95" s="528">
        <v>0</v>
      </c>
      <c r="H95" s="531">
        <v>0</v>
      </c>
      <c r="I95" s="528">
        <v>19.600000000000001</v>
      </c>
      <c r="J95" s="578" t="s">
        <v>1043</v>
      </c>
      <c r="K95" s="525">
        <f t="shared" si="17"/>
        <v>1185096</v>
      </c>
      <c r="L95" s="525">
        <f t="shared" si="18"/>
        <v>0</v>
      </c>
      <c r="M95" s="525">
        <f t="shared" si="19"/>
        <v>0</v>
      </c>
      <c r="N95" s="525">
        <f t="shared" si="20"/>
        <v>0</v>
      </c>
      <c r="O95" s="525">
        <f t="shared" si="21"/>
        <v>288904</v>
      </c>
    </row>
    <row r="96" spans="2:15" x14ac:dyDescent="0.2">
      <c r="B96" s="529" t="s">
        <v>1044</v>
      </c>
      <c r="C96" s="533">
        <v>22</v>
      </c>
      <c r="D96" s="585">
        <v>138023</v>
      </c>
      <c r="E96" s="528">
        <v>86.9</v>
      </c>
      <c r="F96" s="528">
        <v>5.4</v>
      </c>
      <c r="G96" s="528">
        <v>2.2000000000000002</v>
      </c>
      <c r="H96" s="531">
        <v>0</v>
      </c>
      <c r="I96" s="528">
        <v>5.5</v>
      </c>
      <c r="J96" s="578" t="s">
        <v>1045</v>
      </c>
      <c r="K96" s="525">
        <f t="shared" si="17"/>
        <v>119941987.00000001</v>
      </c>
      <c r="L96" s="525">
        <f t="shared" si="18"/>
        <v>7453242.0000000009</v>
      </c>
      <c r="M96" s="525">
        <f t="shared" si="19"/>
        <v>3036506.0000000005</v>
      </c>
      <c r="N96" s="525">
        <f t="shared" si="20"/>
        <v>0</v>
      </c>
      <c r="O96" s="525">
        <f t="shared" si="21"/>
        <v>7591265</v>
      </c>
    </row>
    <row r="97" spans="2:15" x14ac:dyDescent="0.2">
      <c r="B97" s="529" t="s">
        <v>1046</v>
      </c>
      <c r="C97" s="584">
        <v>4</v>
      </c>
      <c r="D97" s="585">
        <v>6382</v>
      </c>
      <c r="E97" s="528">
        <v>95.3</v>
      </c>
      <c r="F97" s="528">
        <v>0</v>
      </c>
      <c r="G97" s="528">
        <v>0</v>
      </c>
      <c r="H97" s="531">
        <v>0</v>
      </c>
      <c r="I97" s="528">
        <v>4.7</v>
      </c>
      <c r="J97" s="578" t="s">
        <v>1047</v>
      </c>
      <c r="K97" s="525">
        <f t="shared" si="17"/>
        <v>6082046</v>
      </c>
      <c r="L97" s="525">
        <f t="shared" si="18"/>
        <v>0</v>
      </c>
      <c r="M97" s="525">
        <f t="shared" si="19"/>
        <v>0</v>
      </c>
      <c r="N97" s="525">
        <f t="shared" si="20"/>
        <v>0</v>
      </c>
      <c r="O97" s="525">
        <f t="shared" si="21"/>
        <v>299954</v>
      </c>
    </row>
    <row r="98" spans="2:15" x14ac:dyDescent="0.2">
      <c r="B98" s="529" t="s">
        <v>1048</v>
      </c>
      <c r="C98" s="584">
        <v>5</v>
      </c>
      <c r="D98" s="585">
        <v>120258</v>
      </c>
      <c r="E98" s="528">
        <v>69.8</v>
      </c>
      <c r="F98" s="528">
        <v>0</v>
      </c>
      <c r="G98" s="528">
        <v>28.9</v>
      </c>
      <c r="H98" s="531">
        <v>0</v>
      </c>
      <c r="I98" s="528">
        <v>1.3</v>
      </c>
      <c r="J98" s="578" t="s">
        <v>1049</v>
      </c>
      <c r="K98" s="525">
        <f t="shared" si="17"/>
        <v>83940084</v>
      </c>
      <c r="L98" s="525">
        <f t="shared" si="18"/>
        <v>0</v>
      </c>
      <c r="M98" s="525">
        <f t="shared" si="19"/>
        <v>34754562</v>
      </c>
      <c r="N98" s="525">
        <f t="shared" si="20"/>
        <v>0</v>
      </c>
      <c r="O98" s="525">
        <f t="shared" si="21"/>
        <v>1563354</v>
      </c>
    </row>
    <row r="99" spans="2:15" x14ac:dyDescent="0.2">
      <c r="B99" s="529" t="s">
        <v>1050</v>
      </c>
      <c r="C99" s="584">
        <v>24</v>
      </c>
      <c r="D99" s="585">
        <v>437373</v>
      </c>
      <c r="E99" s="528">
        <v>63.6</v>
      </c>
      <c r="F99" s="528">
        <v>20.100000000000001</v>
      </c>
      <c r="G99" s="528">
        <v>7.4</v>
      </c>
      <c r="H99" s="531">
        <v>7.3</v>
      </c>
      <c r="I99" s="528">
        <v>1.6</v>
      </c>
      <c r="J99" s="578" t="s">
        <v>1051</v>
      </c>
      <c r="K99" s="525">
        <f t="shared" si="17"/>
        <v>278169228</v>
      </c>
      <c r="L99" s="525">
        <f t="shared" si="18"/>
        <v>87911973</v>
      </c>
      <c r="M99" s="525">
        <f t="shared" si="19"/>
        <v>32365602</v>
      </c>
      <c r="N99" s="525">
        <f t="shared" si="20"/>
        <v>31928229</v>
      </c>
      <c r="O99" s="525">
        <f t="shared" si="21"/>
        <v>6997968</v>
      </c>
    </row>
    <row r="100" spans="2:15" x14ac:dyDescent="0.2">
      <c r="B100" s="529" t="s">
        <v>1052</v>
      </c>
      <c r="C100" s="584">
        <v>2</v>
      </c>
      <c r="D100" s="583">
        <v>19560</v>
      </c>
      <c r="E100" s="528">
        <v>96.5</v>
      </c>
      <c r="F100" s="528">
        <v>0</v>
      </c>
      <c r="G100" s="528">
        <v>0</v>
      </c>
      <c r="H100" s="531">
        <v>0</v>
      </c>
      <c r="I100" s="528">
        <v>3.5</v>
      </c>
      <c r="J100" s="578" t="s">
        <v>1053</v>
      </c>
      <c r="K100" s="525">
        <f t="shared" si="17"/>
        <v>18875400</v>
      </c>
      <c r="L100" s="525">
        <f t="shared" si="18"/>
        <v>0</v>
      </c>
      <c r="M100" s="525">
        <f t="shared" si="19"/>
        <v>0</v>
      </c>
      <c r="N100" s="525">
        <f t="shared" si="20"/>
        <v>0</v>
      </c>
      <c r="O100" s="525">
        <f t="shared" si="21"/>
        <v>684600</v>
      </c>
    </row>
    <row r="101" spans="2:15" x14ac:dyDescent="0.2">
      <c r="B101" s="529" t="s">
        <v>1054</v>
      </c>
      <c r="C101" s="584">
        <v>8</v>
      </c>
      <c r="D101" s="585">
        <v>6967</v>
      </c>
      <c r="E101" s="528">
        <v>83.1</v>
      </c>
      <c r="F101" s="528">
        <v>0</v>
      </c>
      <c r="G101" s="528">
        <v>0</v>
      </c>
      <c r="H101" s="531">
        <v>0</v>
      </c>
      <c r="I101" s="528">
        <v>16.899999999999999</v>
      </c>
      <c r="J101" s="578" t="s">
        <v>1055</v>
      </c>
      <c r="K101" s="525">
        <f t="shared" si="17"/>
        <v>5789577</v>
      </c>
      <c r="L101" s="525">
        <f t="shared" si="18"/>
        <v>0</v>
      </c>
      <c r="M101" s="525">
        <f t="shared" si="19"/>
        <v>0</v>
      </c>
      <c r="N101" s="525">
        <f t="shared" si="20"/>
        <v>0</v>
      </c>
      <c r="O101" s="525">
        <f t="shared" si="21"/>
        <v>1177423</v>
      </c>
    </row>
    <row r="102" spans="2:15" x14ac:dyDescent="0.2">
      <c r="B102" s="529" t="s">
        <v>1056</v>
      </c>
      <c r="C102" s="584">
        <v>2</v>
      </c>
      <c r="D102" s="585">
        <v>1083</v>
      </c>
      <c r="E102" s="528">
        <v>82.2</v>
      </c>
      <c r="F102" s="528">
        <v>0</v>
      </c>
      <c r="G102" s="528">
        <v>0</v>
      </c>
      <c r="H102" s="531">
        <v>0</v>
      </c>
      <c r="I102" s="528">
        <v>17.8</v>
      </c>
      <c r="J102" s="578" t="s">
        <v>1057</v>
      </c>
      <c r="K102" s="525">
        <f t="shared" si="17"/>
        <v>890226</v>
      </c>
      <c r="L102" s="525">
        <f t="shared" si="18"/>
        <v>0</v>
      </c>
      <c r="M102" s="525">
        <f t="shared" si="19"/>
        <v>0</v>
      </c>
      <c r="N102" s="525">
        <f t="shared" si="20"/>
        <v>0</v>
      </c>
      <c r="O102" s="525">
        <f t="shared" si="21"/>
        <v>192774</v>
      </c>
    </row>
    <row r="103" spans="2:15" x14ac:dyDescent="0.2">
      <c r="B103" s="529" t="s">
        <v>1058</v>
      </c>
      <c r="C103" s="584">
        <v>7</v>
      </c>
      <c r="D103" s="585">
        <v>26832</v>
      </c>
      <c r="E103" s="528">
        <v>92.3</v>
      </c>
      <c r="F103" s="528">
        <v>0</v>
      </c>
      <c r="G103" s="528">
        <v>3.8</v>
      </c>
      <c r="H103" s="531">
        <v>0</v>
      </c>
      <c r="I103" s="528">
        <v>3.9</v>
      </c>
      <c r="J103" s="578" t="s">
        <v>1059</v>
      </c>
      <c r="K103" s="525">
        <f t="shared" si="17"/>
        <v>24765936</v>
      </c>
      <c r="L103" s="525">
        <f t="shared" si="18"/>
        <v>0</v>
      </c>
      <c r="M103" s="525">
        <f t="shared" si="19"/>
        <v>1019615.9999999999</v>
      </c>
      <c r="N103" s="525">
        <f t="shared" si="20"/>
        <v>0</v>
      </c>
      <c r="O103" s="525">
        <f t="shared" si="21"/>
        <v>1046448</v>
      </c>
    </row>
    <row r="104" spans="2:15" x14ac:dyDescent="0.2">
      <c r="B104" s="529" t="s">
        <v>1060</v>
      </c>
      <c r="C104" s="584">
        <v>31</v>
      </c>
      <c r="D104" s="585">
        <v>284936</v>
      </c>
      <c r="E104" s="528">
        <v>86.8</v>
      </c>
      <c r="F104" s="528">
        <v>0</v>
      </c>
      <c r="G104" s="528">
        <v>9.6999999999999993</v>
      </c>
      <c r="H104" s="531">
        <v>0.8</v>
      </c>
      <c r="I104" s="528">
        <v>2.7</v>
      </c>
      <c r="J104" s="578" t="s">
        <v>1061</v>
      </c>
      <c r="K104" s="525">
        <f t="shared" si="17"/>
        <v>247324448</v>
      </c>
      <c r="L104" s="525">
        <f t="shared" si="18"/>
        <v>0</v>
      </c>
      <c r="M104" s="525">
        <f t="shared" si="19"/>
        <v>27638791.999999996</v>
      </c>
      <c r="N104" s="525">
        <f t="shared" si="20"/>
        <v>2279488</v>
      </c>
      <c r="O104" s="525">
        <f t="shared" si="21"/>
        <v>7693272.0000000009</v>
      </c>
    </row>
    <row r="105" spans="2:15" x14ac:dyDescent="0.2">
      <c r="B105" s="529" t="s">
        <v>1062</v>
      </c>
      <c r="C105" s="584">
        <v>2</v>
      </c>
      <c r="D105" s="585">
        <v>39746</v>
      </c>
      <c r="E105" s="528">
        <v>60</v>
      </c>
      <c r="F105" s="528">
        <v>0</v>
      </c>
      <c r="G105" s="528">
        <v>36</v>
      </c>
      <c r="H105" s="531">
        <v>0</v>
      </c>
      <c r="I105" s="528">
        <v>3.9</v>
      </c>
      <c r="J105" s="578" t="s">
        <v>1063</v>
      </c>
      <c r="K105" s="525">
        <f t="shared" si="17"/>
        <v>23847600</v>
      </c>
      <c r="L105" s="525">
        <f t="shared" si="18"/>
        <v>0</v>
      </c>
      <c r="M105" s="525">
        <f t="shared" si="19"/>
        <v>14308560</v>
      </c>
      <c r="N105" s="525">
        <f t="shared" si="20"/>
        <v>0</v>
      </c>
      <c r="O105" s="525">
        <f t="shared" si="21"/>
        <v>1550094</v>
      </c>
    </row>
    <row r="106" spans="2:15" x14ac:dyDescent="0.2">
      <c r="B106" s="529" t="s">
        <v>1064</v>
      </c>
      <c r="C106" s="584">
        <v>1</v>
      </c>
      <c r="D106" s="585">
        <v>1928</v>
      </c>
      <c r="E106" s="528">
        <v>97.9</v>
      </c>
      <c r="F106" s="528">
        <v>0</v>
      </c>
      <c r="G106" s="528">
        <v>0</v>
      </c>
      <c r="H106" s="531">
        <v>0</v>
      </c>
      <c r="I106" s="528">
        <v>2.1</v>
      </c>
      <c r="J106" s="578" t="s">
        <v>1065</v>
      </c>
      <c r="K106" s="525">
        <f t="shared" si="17"/>
        <v>1887512</v>
      </c>
      <c r="L106" s="525">
        <f t="shared" si="18"/>
        <v>0</v>
      </c>
      <c r="M106" s="525">
        <f t="shared" si="19"/>
        <v>0</v>
      </c>
      <c r="N106" s="525">
        <f t="shared" si="20"/>
        <v>0</v>
      </c>
      <c r="O106" s="525">
        <f t="shared" si="21"/>
        <v>40488</v>
      </c>
    </row>
    <row r="107" spans="2:15" x14ac:dyDescent="0.2">
      <c r="B107" s="529" t="s">
        <v>1066</v>
      </c>
      <c r="C107" s="584">
        <v>17</v>
      </c>
      <c r="D107" s="585">
        <v>65221</v>
      </c>
      <c r="E107" s="528">
        <v>92.4</v>
      </c>
      <c r="F107" s="528">
        <v>0</v>
      </c>
      <c r="G107" s="528">
        <v>0</v>
      </c>
      <c r="H107" s="531">
        <v>5.6</v>
      </c>
      <c r="I107" s="528">
        <v>2</v>
      </c>
      <c r="J107" s="578" t="s">
        <v>1067</v>
      </c>
      <c r="K107" s="525">
        <f t="shared" si="17"/>
        <v>60264204</v>
      </c>
      <c r="L107" s="525">
        <f t="shared" si="18"/>
        <v>0</v>
      </c>
      <c r="M107" s="525">
        <f t="shared" si="19"/>
        <v>0</v>
      </c>
      <c r="N107" s="525">
        <f t="shared" si="20"/>
        <v>3652376</v>
      </c>
      <c r="O107" s="525">
        <f t="shared" si="21"/>
        <v>1304420</v>
      </c>
    </row>
    <row r="108" spans="2:15" x14ac:dyDescent="0.2">
      <c r="B108" s="529" t="s">
        <v>1068</v>
      </c>
      <c r="C108" s="584">
        <v>19</v>
      </c>
      <c r="D108" s="585">
        <v>193137</v>
      </c>
      <c r="E108" s="528">
        <v>68.3</v>
      </c>
      <c r="F108" s="528">
        <v>0</v>
      </c>
      <c r="G108" s="528">
        <v>0.7</v>
      </c>
      <c r="H108" s="531">
        <v>0.7</v>
      </c>
      <c r="I108" s="528">
        <v>30.4</v>
      </c>
      <c r="J108" s="578" t="s">
        <v>1069</v>
      </c>
      <c r="K108" s="525">
        <f t="shared" si="17"/>
        <v>131912571</v>
      </c>
      <c r="L108" s="525">
        <f t="shared" si="18"/>
        <v>0</v>
      </c>
      <c r="M108" s="525">
        <f t="shared" si="19"/>
        <v>1351959</v>
      </c>
      <c r="N108" s="525">
        <f t="shared" si="20"/>
        <v>1351959</v>
      </c>
      <c r="O108" s="525">
        <f t="shared" si="21"/>
        <v>58713648</v>
      </c>
    </row>
    <row r="109" spans="2:15" x14ac:dyDescent="0.2">
      <c r="B109" s="529" t="s">
        <v>1070</v>
      </c>
      <c r="C109" s="530">
        <v>4</v>
      </c>
      <c r="D109" s="585">
        <v>3780</v>
      </c>
      <c r="E109" s="528">
        <v>97.6</v>
      </c>
      <c r="F109" s="528">
        <v>0</v>
      </c>
      <c r="G109" s="528">
        <v>0</v>
      </c>
      <c r="H109" s="531">
        <v>0</v>
      </c>
      <c r="I109" s="528">
        <v>2.4</v>
      </c>
      <c r="J109" s="578" t="s">
        <v>1071</v>
      </c>
      <c r="K109" s="525">
        <f t="shared" si="17"/>
        <v>3689280</v>
      </c>
      <c r="L109" s="525">
        <f t="shared" si="18"/>
        <v>0</v>
      </c>
      <c r="M109" s="525">
        <f t="shared" si="19"/>
        <v>0</v>
      </c>
      <c r="N109" s="525">
        <f t="shared" si="20"/>
        <v>0</v>
      </c>
      <c r="O109" s="525">
        <f t="shared" si="21"/>
        <v>90720</v>
      </c>
    </row>
    <row r="110" spans="2:15" x14ac:dyDescent="0.2">
      <c r="B110" s="529" t="s">
        <v>1072</v>
      </c>
      <c r="C110" s="530">
        <v>18</v>
      </c>
      <c r="D110" s="585">
        <v>76945</v>
      </c>
      <c r="E110" s="528">
        <v>97</v>
      </c>
      <c r="F110" s="528">
        <v>0</v>
      </c>
      <c r="G110" s="528">
        <v>0.1</v>
      </c>
      <c r="H110" s="531">
        <v>0</v>
      </c>
      <c r="I110" s="528">
        <v>2.9</v>
      </c>
      <c r="J110" s="578" t="s">
        <v>1073</v>
      </c>
      <c r="K110" s="525">
        <f t="shared" si="17"/>
        <v>74636650</v>
      </c>
      <c r="L110" s="525">
        <f t="shared" si="18"/>
        <v>0</v>
      </c>
      <c r="M110" s="525">
        <f t="shared" si="19"/>
        <v>76945</v>
      </c>
      <c r="N110" s="525">
        <f t="shared" si="20"/>
        <v>0</v>
      </c>
      <c r="O110" s="525">
        <f t="shared" si="21"/>
        <v>2231405</v>
      </c>
    </row>
    <row r="111" spans="2:15" x14ac:dyDescent="0.2">
      <c r="B111" s="529" t="s">
        <v>1074</v>
      </c>
      <c r="C111" s="530">
        <v>2</v>
      </c>
      <c r="D111" s="585">
        <v>289</v>
      </c>
      <c r="E111" s="528">
        <v>62.7</v>
      </c>
      <c r="F111" s="528">
        <v>0</v>
      </c>
      <c r="G111" s="528">
        <v>0</v>
      </c>
      <c r="H111" s="531">
        <v>0</v>
      </c>
      <c r="I111" s="528">
        <v>37.299999999999997</v>
      </c>
      <c r="J111" s="578" t="s">
        <v>1075</v>
      </c>
      <c r="K111" s="525">
        <f t="shared" si="17"/>
        <v>181203</v>
      </c>
      <c r="L111" s="525">
        <f t="shared" si="18"/>
        <v>0</v>
      </c>
      <c r="M111" s="525">
        <f t="shared" si="19"/>
        <v>0</v>
      </c>
      <c r="N111" s="525">
        <f t="shared" si="20"/>
        <v>0</v>
      </c>
      <c r="O111" s="525">
        <f t="shared" si="21"/>
        <v>107796.99999999999</v>
      </c>
    </row>
    <row r="112" spans="2:15" x14ac:dyDescent="0.2">
      <c r="B112" s="584" t="s">
        <v>1076</v>
      </c>
      <c r="C112" s="584">
        <f>SUM(C61:C111)</f>
        <v>557</v>
      </c>
      <c r="D112" s="585">
        <v>9094071</v>
      </c>
      <c r="E112" s="531">
        <v>57.1</v>
      </c>
      <c r="F112" s="531">
        <v>30.9</v>
      </c>
      <c r="G112" s="531">
        <v>4.2</v>
      </c>
      <c r="H112" s="531">
        <v>4.7</v>
      </c>
      <c r="I112" s="531">
        <v>3.2</v>
      </c>
      <c r="J112" s="578" t="s">
        <v>1077</v>
      </c>
      <c r="K112" s="525">
        <f>SUM(K61:K111)</f>
        <v>5194352089</v>
      </c>
      <c r="L112" s="525">
        <f>SUM(L61:L111)</f>
        <v>2807671992</v>
      </c>
      <c r="M112" s="525">
        <f>SUM(M61:M111)</f>
        <v>381697194</v>
      </c>
      <c r="N112" s="525">
        <f>SUM(N61:N111)</f>
        <v>421735062</v>
      </c>
      <c r="O112" s="525">
        <f>SUM(O61:O111)</f>
        <v>289216171</v>
      </c>
    </row>
    <row r="113" spans="1:15" x14ac:dyDescent="0.2">
      <c r="B113" s="534"/>
      <c r="C113" s="534"/>
      <c r="D113" s="528"/>
      <c r="E113" s="535"/>
      <c r="F113" s="535"/>
      <c r="G113" s="535"/>
      <c r="H113" s="535"/>
      <c r="I113" s="535"/>
      <c r="L113" s="525">
        <f>L112/K112</f>
        <v>0.54052400451362625</v>
      </c>
      <c r="M113" s="525">
        <f>M112/K112</f>
        <v>7.3483119253374127E-2</v>
      </c>
      <c r="N113" s="525">
        <f>N112/K112</f>
        <v>8.1191081153913672E-2</v>
      </c>
      <c r="O113" s="525">
        <f>O112/K112</f>
        <v>5.567896939687024E-2</v>
      </c>
    </row>
    <row r="114" spans="1:15" x14ac:dyDescent="0.2">
      <c r="B114" s="536" t="s">
        <v>1078</v>
      </c>
      <c r="C114" s="534"/>
      <c r="D114" s="528"/>
      <c r="E114" s="535"/>
      <c r="F114" s="535"/>
      <c r="G114" s="535"/>
      <c r="H114" s="535"/>
      <c r="I114" s="535"/>
    </row>
    <row r="115" spans="1:15" ht="12" customHeight="1" x14ac:dyDescent="0.2">
      <c r="B115" s="537" t="s">
        <v>1079</v>
      </c>
      <c r="C115" s="534"/>
      <c r="D115" s="528"/>
      <c r="E115" s="535"/>
      <c r="F115" s="535"/>
      <c r="G115" s="535"/>
      <c r="H115" s="535"/>
      <c r="I115" s="535"/>
    </row>
    <row r="116" spans="1:15" ht="12" customHeight="1" x14ac:dyDescent="0.2">
      <c r="B116" s="1155" t="s">
        <v>1080</v>
      </c>
      <c r="C116" s="1155"/>
      <c r="D116" s="1155"/>
      <c r="E116" s="1155"/>
      <c r="F116" s="1155"/>
      <c r="G116" s="1155"/>
      <c r="H116" s="1155"/>
      <c r="I116" s="1155"/>
    </row>
    <row r="117" spans="1:15" x14ac:dyDescent="0.2">
      <c r="B117" s="1155" t="s">
        <v>1081</v>
      </c>
      <c r="C117" s="1155"/>
      <c r="D117" s="1155"/>
      <c r="E117" s="1155"/>
      <c r="F117" s="1155"/>
      <c r="G117" s="1155"/>
      <c r="H117" s="1155"/>
      <c r="I117" s="1155"/>
    </row>
    <row r="119" spans="1:15" x14ac:dyDescent="0.2">
      <c r="A119" s="527" t="s">
        <v>1082</v>
      </c>
    </row>
    <row r="121" spans="1:15" x14ac:dyDescent="0.2">
      <c r="B121" s="1156" t="s">
        <v>1083</v>
      </c>
      <c r="C121" s="1156"/>
      <c r="D121" s="1156"/>
      <c r="E121" s="1156"/>
      <c r="F121" s="1156"/>
    </row>
    <row r="122" spans="1:15" x14ac:dyDescent="0.2">
      <c r="B122" s="539" t="s">
        <v>968</v>
      </c>
      <c r="C122" s="538"/>
      <c r="D122" s="539"/>
      <c r="E122" s="538"/>
      <c r="F122" s="539"/>
    </row>
    <row r="123" spans="1:15" x14ac:dyDescent="0.2">
      <c r="B123" s="539"/>
      <c r="C123" s="1158" t="s">
        <v>1084</v>
      </c>
      <c r="D123" s="1158"/>
      <c r="E123" s="1158" t="s">
        <v>1085</v>
      </c>
      <c r="F123" s="1158"/>
    </row>
    <row r="124" spans="1:15" ht="22.5" x14ac:dyDescent="0.2">
      <c r="B124" s="586" t="s">
        <v>1086</v>
      </c>
      <c r="C124" s="587" t="s">
        <v>1087</v>
      </c>
      <c r="D124" s="588" t="s">
        <v>1088</v>
      </c>
      <c r="E124" s="589" t="s">
        <v>1087</v>
      </c>
      <c r="F124" s="590" t="s">
        <v>1088</v>
      </c>
      <c r="I124" s="525" t="s">
        <v>1089</v>
      </c>
      <c r="K124" s="591" t="s">
        <v>1090</v>
      </c>
    </row>
    <row r="125" spans="1:15" x14ac:dyDescent="0.2">
      <c r="B125" s="592" t="s">
        <v>1091</v>
      </c>
      <c r="C125" s="541">
        <v>1</v>
      </c>
      <c r="D125" s="593">
        <v>4264625</v>
      </c>
      <c r="E125" s="541">
        <v>1</v>
      </c>
      <c r="F125" s="540">
        <v>3774701</v>
      </c>
      <c r="G125" s="525" t="s">
        <v>1039</v>
      </c>
      <c r="H125" s="578" t="s">
        <v>718</v>
      </c>
      <c r="I125" s="540">
        <f>D130+D136+D141+D154+D155+D157+D158+D174</f>
        <v>1700627</v>
      </c>
      <c r="J125" s="540">
        <f t="shared" ref="J125:J133" si="22">I125+J$135</f>
        <v>2335791.3333333335</v>
      </c>
      <c r="K125" s="580">
        <f>J125/J$134</f>
        <v>9.2050897238822788E-2</v>
      </c>
    </row>
    <row r="126" spans="1:15" x14ac:dyDescent="0.2">
      <c r="B126" s="592" t="s">
        <v>1092</v>
      </c>
      <c r="C126" s="541">
        <v>2</v>
      </c>
      <c r="D126" s="593">
        <v>1880852</v>
      </c>
      <c r="E126" s="541">
        <v>2</v>
      </c>
      <c r="F126" s="540">
        <v>1943778</v>
      </c>
      <c r="G126" s="525" t="s">
        <v>994</v>
      </c>
      <c r="H126" s="578" t="s">
        <v>723</v>
      </c>
      <c r="I126" s="540">
        <f>D125+D127+D134+D137+D145+D148+D151+D152+D172</f>
        <v>8148687</v>
      </c>
      <c r="J126" s="540">
        <f t="shared" si="22"/>
        <v>8783851.333333334</v>
      </c>
      <c r="K126" s="580">
        <f t="shared" ref="K126:K133" si="23">J126/J$134</f>
        <v>0.34616165618351319</v>
      </c>
    </row>
    <row r="127" spans="1:15" x14ac:dyDescent="0.2">
      <c r="B127" s="592" t="s">
        <v>1093</v>
      </c>
      <c r="C127" s="541">
        <v>3</v>
      </c>
      <c r="D127" s="593">
        <v>1868800</v>
      </c>
      <c r="E127" s="541">
        <v>3</v>
      </c>
      <c r="F127" s="540">
        <v>1773626</v>
      </c>
      <c r="G127" s="525" t="s">
        <v>1051</v>
      </c>
      <c r="H127" s="578" t="s">
        <v>724</v>
      </c>
      <c r="I127" s="540">
        <f>D126+D132+D135+D140+D164+D166+D167+D168</f>
        <v>3487294</v>
      </c>
      <c r="J127" s="540">
        <f t="shared" si="22"/>
        <v>4122458.3333333335</v>
      </c>
      <c r="K127" s="580">
        <f t="shared" si="23"/>
        <v>0.16246142495590873</v>
      </c>
    </row>
    <row r="128" spans="1:15" x14ac:dyDescent="0.2">
      <c r="B128" s="592" t="s">
        <v>1094</v>
      </c>
      <c r="C128" s="541">
        <v>4</v>
      </c>
      <c r="D128" s="593">
        <v>1226962</v>
      </c>
      <c r="E128" s="541">
        <v>4</v>
      </c>
      <c r="F128" s="540">
        <v>1265504</v>
      </c>
      <c r="G128" s="525" t="s">
        <v>1004</v>
      </c>
      <c r="H128" s="578" t="s">
        <v>725</v>
      </c>
      <c r="J128" s="540">
        <f t="shared" si="22"/>
        <v>635164.33333333337</v>
      </c>
      <c r="K128" s="580">
        <f t="shared" si="23"/>
        <v>2.5031108705243384E-2</v>
      </c>
    </row>
    <row r="129" spans="2:11" x14ac:dyDescent="0.2">
      <c r="B129" s="592" t="s">
        <v>1095</v>
      </c>
      <c r="C129" s="541">
        <v>5</v>
      </c>
      <c r="D129" s="593">
        <v>690068</v>
      </c>
      <c r="E129" s="541">
        <v>5</v>
      </c>
      <c r="F129" s="540">
        <v>707250</v>
      </c>
      <c r="G129" s="525" t="s">
        <v>987</v>
      </c>
      <c r="H129" s="578" t="s">
        <v>726</v>
      </c>
      <c r="I129" s="540">
        <f>D128+D143</f>
        <v>1465812</v>
      </c>
      <c r="J129" s="540">
        <f t="shared" si="22"/>
        <v>2100976.3333333335</v>
      </c>
      <c r="K129" s="580">
        <f t="shared" si="23"/>
        <v>8.2797103406011457E-2</v>
      </c>
    </row>
    <row r="130" spans="2:11" x14ac:dyDescent="0.2">
      <c r="B130" s="525" t="s">
        <v>1096</v>
      </c>
      <c r="C130" s="541">
        <v>8</v>
      </c>
      <c r="D130" s="593">
        <v>476614</v>
      </c>
      <c r="E130" s="541">
        <v>6</v>
      </c>
      <c r="F130" s="540">
        <v>484094</v>
      </c>
      <c r="G130" s="525" t="s">
        <v>723</v>
      </c>
      <c r="H130" s="578" t="s">
        <v>727</v>
      </c>
      <c r="J130" s="540">
        <f t="shared" si="22"/>
        <v>635164.33333333337</v>
      </c>
      <c r="K130" s="580">
        <f t="shared" si="23"/>
        <v>2.5031108705243384E-2</v>
      </c>
    </row>
    <row r="131" spans="2:11" x14ac:dyDescent="0.2">
      <c r="B131" s="592" t="s">
        <v>1097</v>
      </c>
      <c r="C131" s="541">
        <v>9</v>
      </c>
      <c r="D131" s="593">
        <v>472450</v>
      </c>
      <c r="E131" s="541">
        <v>7</v>
      </c>
      <c r="F131" s="540">
        <v>467472</v>
      </c>
      <c r="G131" s="525" t="s">
        <v>987</v>
      </c>
      <c r="H131" s="578" t="s">
        <v>728</v>
      </c>
      <c r="I131" s="540">
        <f>D171</f>
        <v>88189</v>
      </c>
      <c r="J131" s="540">
        <f t="shared" si="22"/>
        <v>723353.33333333337</v>
      </c>
      <c r="K131" s="580">
        <f t="shared" si="23"/>
        <v>2.8506537550597382E-2</v>
      </c>
    </row>
    <row r="132" spans="2:11" x14ac:dyDescent="0.2">
      <c r="B132" s="525" t="s">
        <v>1098</v>
      </c>
      <c r="C132" s="541">
        <v>7</v>
      </c>
      <c r="D132" s="593">
        <v>485279</v>
      </c>
      <c r="E132" s="541">
        <v>8</v>
      </c>
      <c r="F132" s="540">
        <v>451691</v>
      </c>
      <c r="G132" s="525" t="s">
        <v>1018</v>
      </c>
      <c r="H132" s="578" t="s">
        <v>729</v>
      </c>
      <c r="J132" s="540">
        <f t="shared" si="22"/>
        <v>635164.33333333337</v>
      </c>
      <c r="K132" s="580">
        <f t="shared" si="23"/>
        <v>2.5031108705243384E-2</v>
      </c>
    </row>
    <row r="133" spans="2:11" x14ac:dyDescent="0.2">
      <c r="B133" s="592" t="s">
        <v>1099</v>
      </c>
      <c r="C133" s="541">
        <v>11</v>
      </c>
      <c r="D133" s="593">
        <v>432248</v>
      </c>
      <c r="E133" s="541">
        <v>9</v>
      </c>
      <c r="F133" s="540">
        <v>446274</v>
      </c>
      <c r="G133" s="525" t="s">
        <v>987</v>
      </c>
      <c r="H133" s="578" t="s">
        <v>730</v>
      </c>
      <c r="I133" s="540">
        <f>D129+D131+D133+D138+D139+D142+D144+D146+D147+D149+D150+D153+D156+D159+D160+D161+D162+D163+D165+D169+D170+D173</f>
        <v>4767910</v>
      </c>
      <c r="J133" s="540">
        <f t="shared" si="22"/>
        <v>5403074.333333333</v>
      </c>
      <c r="K133" s="580">
        <f t="shared" si="23"/>
        <v>0.21292905454941646</v>
      </c>
    </row>
    <row r="134" spans="2:11" x14ac:dyDescent="0.2">
      <c r="B134" s="525" t="s">
        <v>1100</v>
      </c>
      <c r="C134" s="541">
        <v>13</v>
      </c>
      <c r="D134" s="593">
        <v>366946</v>
      </c>
      <c r="E134" s="541">
        <v>10</v>
      </c>
      <c r="F134" s="540">
        <v>382263</v>
      </c>
      <c r="G134" s="525" t="s">
        <v>1039</v>
      </c>
      <c r="I134" s="540">
        <f>SUM(I125:I133)</f>
        <v>19658519</v>
      </c>
      <c r="J134" s="540">
        <f>SUM(J125:J133)</f>
        <v>25374997.999999996</v>
      </c>
    </row>
    <row r="135" spans="2:11" x14ac:dyDescent="0.2">
      <c r="B135" s="592" t="s">
        <v>1101</v>
      </c>
      <c r="C135" s="541">
        <v>12</v>
      </c>
      <c r="D135" s="593">
        <v>387328</v>
      </c>
      <c r="E135" s="541">
        <v>11</v>
      </c>
      <c r="F135" s="540">
        <v>355373</v>
      </c>
      <c r="G135" s="525" t="s">
        <v>992</v>
      </c>
      <c r="H135" s="525" t="s">
        <v>1102</v>
      </c>
      <c r="J135" s="563">
        <f>(D176-D175)/9</f>
        <v>635164.33333333337</v>
      </c>
    </row>
    <row r="136" spans="2:11" x14ac:dyDescent="0.2">
      <c r="B136" s="525" t="s">
        <v>1103</v>
      </c>
      <c r="C136" s="541">
        <v>15</v>
      </c>
      <c r="D136" s="593">
        <v>327178</v>
      </c>
      <c r="E136" s="541">
        <v>12</v>
      </c>
      <c r="F136" s="540">
        <v>317651</v>
      </c>
      <c r="G136" s="525" t="s">
        <v>990</v>
      </c>
      <c r="I136" s="525" t="s">
        <v>1104</v>
      </c>
    </row>
    <row r="137" spans="2:11" x14ac:dyDescent="0.2">
      <c r="B137" s="592" t="s">
        <v>1105</v>
      </c>
      <c r="C137" s="541">
        <v>6</v>
      </c>
      <c r="D137" s="593">
        <v>605527</v>
      </c>
      <c r="E137" s="541">
        <v>13</v>
      </c>
      <c r="F137" s="540">
        <v>307042</v>
      </c>
      <c r="G137" s="525" t="s">
        <v>1035</v>
      </c>
      <c r="I137" s="525" t="s">
        <v>1106</v>
      </c>
    </row>
    <row r="138" spans="2:11" x14ac:dyDescent="0.2">
      <c r="B138" s="592" t="s">
        <v>1107</v>
      </c>
      <c r="C138" s="541">
        <v>16</v>
      </c>
      <c r="D138" s="593">
        <v>307290</v>
      </c>
      <c r="E138" s="541">
        <v>14</v>
      </c>
      <c r="F138" s="540">
        <v>295861</v>
      </c>
      <c r="G138" s="525" t="s">
        <v>1069</v>
      </c>
    </row>
    <row r="139" spans="2:11" x14ac:dyDescent="0.2">
      <c r="B139" s="592" t="s">
        <v>1108</v>
      </c>
      <c r="C139" s="541">
        <v>18</v>
      </c>
      <c r="D139" s="593">
        <v>281576</v>
      </c>
      <c r="E139" s="541">
        <v>15</v>
      </c>
      <c r="F139" s="540">
        <v>295778</v>
      </c>
      <c r="G139" s="525" t="s">
        <v>987</v>
      </c>
    </row>
    <row r="140" spans="2:11" x14ac:dyDescent="0.2">
      <c r="B140" s="594" t="s">
        <v>1109</v>
      </c>
      <c r="C140" s="541">
        <v>17</v>
      </c>
      <c r="D140" s="593">
        <v>291606</v>
      </c>
      <c r="E140" s="541">
        <v>16</v>
      </c>
      <c r="F140" s="540">
        <v>282491</v>
      </c>
      <c r="G140" s="525" t="s">
        <v>994</v>
      </c>
    </row>
    <row r="141" spans="2:11" x14ac:dyDescent="0.2">
      <c r="B141" s="592" t="s">
        <v>1110</v>
      </c>
      <c r="C141" s="541">
        <v>20</v>
      </c>
      <c r="D141" s="593">
        <v>242088</v>
      </c>
      <c r="E141" s="541">
        <v>17</v>
      </c>
      <c r="F141" s="540">
        <v>254417</v>
      </c>
      <c r="G141" s="525" t="s">
        <v>1053</v>
      </c>
    </row>
    <row r="142" spans="2:11" x14ac:dyDescent="0.2">
      <c r="B142" s="592" t="s">
        <v>1111</v>
      </c>
      <c r="C142" s="541">
        <v>21</v>
      </c>
      <c r="D142" s="593">
        <v>240918</v>
      </c>
      <c r="E142" s="541">
        <v>18</v>
      </c>
      <c r="F142" s="540">
        <v>242380</v>
      </c>
      <c r="G142" s="525" t="s">
        <v>1049</v>
      </c>
    </row>
    <row r="143" spans="2:11" x14ac:dyDescent="0.2">
      <c r="B143" s="592" t="s">
        <v>1112</v>
      </c>
      <c r="C143" s="541">
        <v>22</v>
      </c>
      <c r="D143" s="593">
        <v>238850</v>
      </c>
      <c r="E143" s="541">
        <v>19</v>
      </c>
      <c r="F143" s="540">
        <v>241523</v>
      </c>
      <c r="G143" s="525" t="s">
        <v>1073</v>
      </c>
    </row>
    <row r="144" spans="2:11" x14ac:dyDescent="0.2">
      <c r="B144" s="592" t="s">
        <v>1113</v>
      </c>
      <c r="C144" s="541">
        <v>19</v>
      </c>
      <c r="D144" s="593">
        <v>254039</v>
      </c>
      <c r="E144" s="541">
        <v>20</v>
      </c>
      <c r="F144" s="540">
        <v>238101</v>
      </c>
      <c r="G144" s="525" t="s">
        <v>987</v>
      </c>
    </row>
    <row r="145" spans="2:7" x14ac:dyDescent="0.2">
      <c r="B145" s="525" t="s">
        <v>1114</v>
      </c>
      <c r="C145" s="541">
        <v>10</v>
      </c>
      <c r="D145" s="593">
        <v>439730</v>
      </c>
      <c r="E145" s="541">
        <v>21</v>
      </c>
      <c r="F145" s="540">
        <v>217747</v>
      </c>
      <c r="G145" s="525" t="s">
        <v>1035</v>
      </c>
    </row>
    <row r="146" spans="2:7" x14ac:dyDescent="0.2">
      <c r="B146" s="592" t="s">
        <v>1115</v>
      </c>
      <c r="C146" s="541">
        <v>23</v>
      </c>
      <c r="D146" s="593">
        <v>206230</v>
      </c>
      <c r="E146" s="541">
        <v>22</v>
      </c>
      <c r="F146" s="540">
        <v>213866</v>
      </c>
      <c r="G146" s="525" t="s">
        <v>987</v>
      </c>
    </row>
    <row r="147" spans="2:7" x14ac:dyDescent="0.2">
      <c r="B147" s="592" t="s">
        <v>1116</v>
      </c>
      <c r="C147" s="541">
        <v>24</v>
      </c>
      <c r="D147" s="593">
        <v>201862</v>
      </c>
      <c r="E147" s="541">
        <v>23</v>
      </c>
      <c r="F147" s="540">
        <v>208713</v>
      </c>
      <c r="G147" s="525" t="s">
        <v>987</v>
      </c>
    </row>
    <row r="148" spans="2:7" x14ac:dyDescent="0.2">
      <c r="B148" s="592" t="s">
        <v>1117</v>
      </c>
      <c r="C148" s="541">
        <v>28</v>
      </c>
      <c r="D148" s="593">
        <v>171340</v>
      </c>
      <c r="E148" s="541">
        <v>24</v>
      </c>
      <c r="F148" s="540">
        <v>192415</v>
      </c>
      <c r="G148" s="525" t="s">
        <v>1051</v>
      </c>
    </row>
    <row r="149" spans="2:7" x14ac:dyDescent="0.2">
      <c r="B149" s="525" t="s">
        <v>1118</v>
      </c>
      <c r="C149" s="541">
        <v>25</v>
      </c>
      <c r="D149" s="593">
        <v>185089</v>
      </c>
      <c r="E149" s="541">
        <v>25</v>
      </c>
      <c r="F149" s="540">
        <v>188788</v>
      </c>
      <c r="G149" s="525" t="s">
        <v>987</v>
      </c>
    </row>
    <row r="150" spans="2:7" x14ac:dyDescent="0.2">
      <c r="B150" s="592" t="s">
        <v>1119</v>
      </c>
      <c r="C150" s="541">
        <v>27</v>
      </c>
      <c r="D150" s="593">
        <v>171637</v>
      </c>
      <c r="E150" s="541">
        <v>26</v>
      </c>
      <c r="F150" s="540">
        <v>184526</v>
      </c>
      <c r="G150" s="525" t="s">
        <v>987</v>
      </c>
    </row>
    <row r="151" spans="2:7" x14ac:dyDescent="0.2">
      <c r="B151" s="592" t="s">
        <v>1120</v>
      </c>
      <c r="C151" s="541">
        <v>29</v>
      </c>
      <c r="D151" s="593">
        <v>166827</v>
      </c>
      <c r="E151" s="541">
        <v>27</v>
      </c>
      <c r="F151" s="540">
        <v>183817</v>
      </c>
      <c r="G151" s="525" t="s">
        <v>1051</v>
      </c>
    </row>
    <row r="152" spans="2:7" x14ac:dyDescent="0.2">
      <c r="B152" s="592" t="s">
        <v>1121</v>
      </c>
      <c r="C152" s="541">
        <v>26</v>
      </c>
      <c r="D152" s="593">
        <v>180400</v>
      </c>
      <c r="E152" s="541">
        <v>28</v>
      </c>
      <c r="F152" s="540">
        <v>179687</v>
      </c>
      <c r="G152" s="525" t="s">
        <v>1035</v>
      </c>
    </row>
    <row r="153" spans="2:7" x14ac:dyDescent="0.2">
      <c r="B153" s="525" t="s">
        <v>1122</v>
      </c>
      <c r="C153" s="541">
        <v>31</v>
      </c>
      <c r="D153" s="593">
        <v>157609</v>
      </c>
      <c r="E153" s="541">
        <v>29</v>
      </c>
      <c r="F153" s="540">
        <v>163067</v>
      </c>
      <c r="G153" s="525" t="s">
        <v>987</v>
      </c>
    </row>
    <row r="154" spans="2:7" x14ac:dyDescent="0.2">
      <c r="B154" s="592" t="s">
        <v>1123</v>
      </c>
      <c r="C154" s="541">
        <v>30</v>
      </c>
      <c r="D154" s="593">
        <v>160640</v>
      </c>
      <c r="E154" s="541">
        <v>30</v>
      </c>
      <c r="F154" s="540">
        <v>162518</v>
      </c>
      <c r="G154" s="525" t="s">
        <v>723</v>
      </c>
    </row>
    <row r="155" spans="2:7" x14ac:dyDescent="0.2">
      <c r="B155" s="525" t="s">
        <v>1124</v>
      </c>
      <c r="C155" s="541">
        <v>32</v>
      </c>
      <c r="D155" s="593">
        <v>155559</v>
      </c>
      <c r="E155" s="541">
        <v>31</v>
      </c>
      <c r="F155" s="540">
        <v>162440</v>
      </c>
      <c r="G155" s="525" t="s">
        <v>723</v>
      </c>
    </row>
    <row r="156" spans="2:7" x14ac:dyDescent="0.2">
      <c r="B156" s="592" t="s">
        <v>1125</v>
      </c>
      <c r="C156" s="541">
        <v>33</v>
      </c>
      <c r="D156" s="593">
        <v>155251</v>
      </c>
      <c r="E156" s="541">
        <v>32</v>
      </c>
      <c r="F156" s="540">
        <v>158277</v>
      </c>
      <c r="G156" s="525" t="s">
        <v>987</v>
      </c>
    </row>
    <row r="157" spans="2:7" x14ac:dyDescent="0.2">
      <c r="B157" s="592" t="s">
        <v>1126</v>
      </c>
      <c r="C157" s="541">
        <v>36</v>
      </c>
      <c r="D157" s="593">
        <v>141723</v>
      </c>
      <c r="E157" s="541">
        <v>33</v>
      </c>
      <c r="F157" s="540">
        <v>149298</v>
      </c>
      <c r="G157" s="525" t="s">
        <v>990</v>
      </c>
    </row>
    <row r="158" spans="2:7" x14ac:dyDescent="0.2">
      <c r="B158" s="525" t="s">
        <v>1127</v>
      </c>
      <c r="C158" s="541">
        <v>40</v>
      </c>
      <c r="D158" s="593">
        <v>117358</v>
      </c>
      <c r="E158" s="541">
        <v>34</v>
      </c>
      <c r="F158" s="540">
        <v>146065</v>
      </c>
      <c r="G158" s="525" t="s">
        <v>723</v>
      </c>
    </row>
    <row r="159" spans="2:7" x14ac:dyDescent="0.2">
      <c r="B159" s="592" t="s">
        <v>1128</v>
      </c>
      <c r="C159" s="541">
        <v>34</v>
      </c>
      <c r="D159" s="593">
        <v>150222</v>
      </c>
      <c r="E159" s="541">
        <v>35</v>
      </c>
      <c r="F159" s="540">
        <v>144605</v>
      </c>
      <c r="G159" s="525" t="s">
        <v>987</v>
      </c>
    </row>
    <row r="160" spans="2:7" x14ac:dyDescent="0.2">
      <c r="B160" s="592" t="s">
        <v>1129</v>
      </c>
      <c r="C160" s="541">
        <v>37</v>
      </c>
      <c r="D160" s="593">
        <v>128284</v>
      </c>
      <c r="E160" s="541">
        <v>36</v>
      </c>
      <c r="F160" s="540">
        <v>139468</v>
      </c>
      <c r="G160" s="525" t="s">
        <v>987</v>
      </c>
    </row>
    <row r="161" spans="2:7" x14ac:dyDescent="0.2">
      <c r="B161" s="592" t="s">
        <v>1130</v>
      </c>
      <c r="C161" s="541">
        <v>35</v>
      </c>
      <c r="D161" s="593">
        <v>143147</v>
      </c>
      <c r="E161" s="541">
        <v>37</v>
      </c>
      <c r="F161" s="540">
        <v>139186</v>
      </c>
      <c r="G161" s="525" t="s">
        <v>987</v>
      </c>
    </row>
    <row r="162" spans="2:7" x14ac:dyDescent="0.2">
      <c r="B162" s="592" t="s">
        <v>1131</v>
      </c>
      <c r="C162" s="541">
        <v>42</v>
      </c>
      <c r="D162" s="593">
        <v>111339</v>
      </c>
      <c r="E162" s="541">
        <v>38</v>
      </c>
      <c r="F162" s="540">
        <v>133195</v>
      </c>
      <c r="G162" s="525" t="s">
        <v>987</v>
      </c>
    </row>
    <row r="163" spans="2:7" x14ac:dyDescent="0.2">
      <c r="B163" s="592" t="s">
        <v>1132</v>
      </c>
      <c r="C163" s="541">
        <v>38</v>
      </c>
      <c r="D163" s="593">
        <v>126214</v>
      </c>
      <c r="E163" s="541">
        <v>39</v>
      </c>
      <c r="F163" s="540">
        <v>127355</v>
      </c>
      <c r="G163" s="525" t="s">
        <v>987</v>
      </c>
    </row>
    <row r="164" spans="2:7" x14ac:dyDescent="0.2">
      <c r="B164" s="592" t="s">
        <v>1133</v>
      </c>
      <c r="C164" s="541">
        <v>39</v>
      </c>
      <c r="D164" s="593">
        <v>125707</v>
      </c>
      <c r="E164" s="541">
        <v>40</v>
      </c>
      <c r="F164" s="540">
        <v>115329</v>
      </c>
      <c r="G164" s="525" t="s">
        <v>1067</v>
      </c>
    </row>
    <row r="165" spans="2:7" x14ac:dyDescent="0.2">
      <c r="B165" s="592" t="s">
        <v>1134</v>
      </c>
      <c r="C165" s="541">
        <v>44</v>
      </c>
      <c r="D165" s="593">
        <v>106821</v>
      </c>
      <c r="E165" s="541">
        <v>41</v>
      </c>
      <c r="F165" s="540">
        <v>114971</v>
      </c>
      <c r="G165" s="525" t="s">
        <v>987</v>
      </c>
    </row>
    <row r="166" spans="2:7" x14ac:dyDescent="0.2">
      <c r="B166" s="592" t="s">
        <v>1135</v>
      </c>
      <c r="C166" s="541">
        <v>43</v>
      </c>
      <c r="D166" s="593">
        <v>108434</v>
      </c>
      <c r="E166" s="541">
        <v>42</v>
      </c>
      <c r="F166" s="540">
        <v>107834</v>
      </c>
      <c r="G166" s="525" t="s">
        <v>1067</v>
      </c>
    </row>
    <row r="167" spans="2:7" x14ac:dyDescent="0.2">
      <c r="B167" s="592" t="s">
        <v>1136</v>
      </c>
      <c r="C167" s="541">
        <v>41</v>
      </c>
      <c r="D167" s="593">
        <v>111824</v>
      </c>
      <c r="E167" s="541">
        <v>43</v>
      </c>
      <c r="F167" s="540">
        <v>106057</v>
      </c>
      <c r="G167" s="525" t="s">
        <v>1018</v>
      </c>
    </row>
    <row r="168" spans="2:7" x14ac:dyDescent="0.2">
      <c r="B168" s="592" t="s">
        <v>1137</v>
      </c>
      <c r="C168" s="541">
        <v>45</v>
      </c>
      <c r="D168" s="593">
        <v>96264</v>
      </c>
      <c r="E168" s="541">
        <v>44</v>
      </c>
      <c r="F168" s="540">
        <v>99710</v>
      </c>
      <c r="G168" s="525" t="s">
        <v>996</v>
      </c>
    </row>
    <row r="169" spans="2:7" x14ac:dyDescent="0.2">
      <c r="B169" s="592" t="s">
        <v>1138</v>
      </c>
      <c r="C169" s="541">
        <v>49</v>
      </c>
      <c r="D169" s="593">
        <v>83236</v>
      </c>
      <c r="E169" s="541">
        <v>45</v>
      </c>
      <c r="F169" s="540">
        <v>93842</v>
      </c>
      <c r="G169" s="525" t="s">
        <v>987</v>
      </c>
    </row>
    <row r="170" spans="2:7" x14ac:dyDescent="0.2">
      <c r="B170" s="592" t="s">
        <v>1139</v>
      </c>
      <c r="C170" s="541">
        <v>47</v>
      </c>
      <c r="D170" s="593">
        <v>85073</v>
      </c>
      <c r="E170" s="541">
        <v>46</v>
      </c>
      <c r="F170" s="540">
        <v>84401</v>
      </c>
      <c r="G170" s="525" t="s">
        <v>987</v>
      </c>
    </row>
    <row r="171" spans="2:7" x14ac:dyDescent="0.2">
      <c r="B171" s="592" t="s">
        <v>1140</v>
      </c>
      <c r="C171" s="541">
        <v>46</v>
      </c>
      <c r="D171" s="593">
        <v>88189</v>
      </c>
      <c r="E171" s="541">
        <v>47</v>
      </c>
      <c r="F171" s="540">
        <v>84202</v>
      </c>
      <c r="G171" s="525" t="s">
        <v>1026</v>
      </c>
    </row>
    <row r="172" spans="2:7" x14ac:dyDescent="0.2">
      <c r="B172" s="592" t="s">
        <v>1141</v>
      </c>
      <c r="C172" s="541">
        <v>48</v>
      </c>
      <c r="D172" s="593">
        <v>84492</v>
      </c>
      <c r="E172" s="541">
        <v>48</v>
      </c>
      <c r="F172" s="540">
        <v>81695</v>
      </c>
      <c r="G172" s="525" t="s">
        <v>1039</v>
      </c>
    </row>
    <row r="173" spans="2:7" x14ac:dyDescent="0.2">
      <c r="B173" s="592" t="s">
        <v>1142</v>
      </c>
      <c r="C173" s="541">
        <v>51</v>
      </c>
      <c r="D173" s="593">
        <v>77307</v>
      </c>
      <c r="E173" s="541">
        <v>49</v>
      </c>
      <c r="F173" s="540">
        <v>76103</v>
      </c>
      <c r="G173" s="525" t="s">
        <v>987</v>
      </c>
    </row>
    <row r="174" spans="2:7" x14ac:dyDescent="0.2">
      <c r="B174" s="592" t="s">
        <v>1143</v>
      </c>
      <c r="C174" s="541">
        <v>50</v>
      </c>
      <c r="D174" s="593">
        <v>79467</v>
      </c>
      <c r="E174" s="541">
        <v>50</v>
      </c>
      <c r="F174" s="540">
        <v>76065</v>
      </c>
      <c r="G174" s="525" t="s">
        <v>990</v>
      </c>
    </row>
    <row r="175" spans="2:7" x14ac:dyDescent="0.2">
      <c r="B175" s="594" t="s">
        <v>1144</v>
      </c>
      <c r="C175" s="541"/>
      <c r="D175" s="593">
        <f>SUM(D125:D174)</f>
        <v>19658519</v>
      </c>
      <c r="E175" s="541"/>
      <c r="F175" s="593">
        <f>SUM(F125:F174)</f>
        <v>18762512</v>
      </c>
    </row>
    <row r="176" spans="2:7" x14ac:dyDescent="0.2">
      <c r="B176" s="594" t="s">
        <v>1145</v>
      </c>
      <c r="C176" s="541"/>
      <c r="D176" s="593">
        <v>25374998</v>
      </c>
      <c r="E176" s="541"/>
      <c r="F176" s="593">
        <v>24306965</v>
      </c>
    </row>
    <row r="177" spans="1:26" x14ac:dyDescent="0.2">
      <c r="B177" s="594" t="s">
        <v>1146</v>
      </c>
      <c r="C177" s="595"/>
      <c r="D177" s="596">
        <f>D175/D176</f>
        <v>0.77472002165280962</v>
      </c>
      <c r="E177" s="595"/>
      <c r="F177" s="596">
        <f>F175/F176</f>
        <v>0.7718985895606465</v>
      </c>
    </row>
    <row r="178" spans="1:26" x14ac:dyDescent="0.2">
      <c r="B178" s="594"/>
      <c r="C178" s="597"/>
      <c r="D178" s="594"/>
      <c r="E178" s="541"/>
      <c r="F178" s="593"/>
    </row>
    <row r="179" spans="1:26" x14ac:dyDescent="0.2">
      <c r="B179" s="1148" t="s">
        <v>1147</v>
      </c>
      <c r="C179" s="1148"/>
      <c r="D179" s="1148"/>
      <c r="E179" s="1149"/>
      <c r="F179" s="1149"/>
    </row>
    <row r="180" spans="1:26" x14ac:dyDescent="0.2">
      <c r="B180" s="1148" t="s">
        <v>1148</v>
      </c>
      <c r="C180" s="1148"/>
      <c r="D180" s="1148"/>
      <c r="E180" s="1149"/>
      <c r="F180" s="1149"/>
    </row>
    <row r="182" spans="1:26" ht="18" customHeight="1" x14ac:dyDescent="0.2">
      <c r="A182" s="552" t="s">
        <v>1149</v>
      </c>
    </row>
    <row r="183" spans="1:26" ht="10.5" customHeight="1" x14ac:dyDescent="0.2">
      <c r="A183" s="552"/>
    </row>
    <row r="184" spans="1:26" ht="10.5" customHeight="1" x14ac:dyDescent="0.2">
      <c r="A184" s="552"/>
      <c r="B184" s="527" t="s">
        <v>1150</v>
      </c>
      <c r="M184" s="563">
        <v>795.274</v>
      </c>
    </row>
    <row r="185" spans="1:26" ht="10.5" customHeight="1" x14ac:dyDescent="0.2">
      <c r="A185" s="552"/>
      <c r="B185" s="525" t="s">
        <v>1151</v>
      </c>
      <c r="C185" s="563">
        <f>M218</f>
        <v>38061.654861558272</v>
      </c>
      <c r="D185" s="525" t="s">
        <v>1152</v>
      </c>
      <c r="M185" s="540">
        <v>6801</v>
      </c>
    </row>
    <row r="186" spans="1:26" ht="10.5" customHeight="1" x14ac:dyDescent="0.2">
      <c r="A186" s="552"/>
      <c r="B186" s="525" t="s">
        <v>1153</v>
      </c>
      <c r="C186" s="563">
        <f>(N294*I302*I299+N291*10^6)*J19/(H299*10^6)</f>
        <v>27977.922701619711</v>
      </c>
      <c r="D186" s="525" t="s">
        <v>1154</v>
      </c>
      <c r="M186" s="540">
        <v>1360.1780000000001</v>
      </c>
    </row>
    <row r="187" spans="1:26" ht="10.5" customHeight="1" x14ac:dyDescent="0.2">
      <c r="A187" s="552"/>
      <c r="B187" s="525" t="s">
        <v>1155</v>
      </c>
      <c r="C187" s="563">
        <f>(M254*J19*M252/N252)/(N250*M251)</f>
        <v>22091.305953127066</v>
      </c>
      <c r="D187" s="525" t="s">
        <v>1156</v>
      </c>
      <c r="M187" s="598">
        <f>M185/M184</f>
        <v>8.5517695787866828</v>
      </c>
    </row>
    <row r="188" spans="1:26" ht="10.5" customHeight="1" x14ac:dyDescent="0.2">
      <c r="A188" s="552"/>
      <c r="M188" s="598">
        <f>M185/M186</f>
        <v>5.0000808717682537</v>
      </c>
    </row>
    <row r="189" spans="1:26" x14ac:dyDescent="0.2">
      <c r="M189" s="598">
        <f>1000*M186/M184</f>
        <v>1710.326252335673</v>
      </c>
    </row>
    <row r="190" spans="1:26" x14ac:dyDescent="0.2">
      <c r="A190" s="599" t="s">
        <v>1157</v>
      </c>
      <c r="D190" s="567" t="s">
        <v>1158</v>
      </c>
    </row>
    <row r="191" spans="1:26" x14ac:dyDescent="0.2">
      <c r="B191" s="1150" t="s">
        <v>1159</v>
      </c>
      <c r="C191" s="1151"/>
      <c r="D191" s="1151"/>
      <c r="E191" s="1151"/>
      <c r="F191" s="1151"/>
      <c r="G191" s="1151"/>
      <c r="H191" s="1151"/>
      <c r="I191" s="1151"/>
      <c r="J191" s="1151"/>
      <c r="K191" s="1151"/>
      <c r="L191" s="1151"/>
      <c r="M191" s="1151"/>
      <c r="N191" s="1151"/>
      <c r="O191" s="1151"/>
      <c r="P191" s="1151"/>
      <c r="Q191" s="1151"/>
      <c r="R191" s="1151"/>
      <c r="S191" s="1151"/>
      <c r="T191" s="1151"/>
      <c r="U191" s="1151"/>
      <c r="V191" s="1151"/>
      <c r="W191" s="1151"/>
      <c r="X191" s="1151"/>
      <c r="Y191" s="1151"/>
      <c r="Z191" s="1151"/>
    </row>
    <row r="192" spans="1:26" x14ac:dyDescent="0.2">
      <c r="B192" s="600"/>
      <c r="C192" s="600">
        <v>1995</v>
      </c>
      <c r="D192" s="600">
        <v>1996</v>
      </c>
      <c r="E192" s="600">
        <v>1997</v>
      </c>
      <c r="F192" s="600">
        <v>1998</v>
      </c>
      <c r="G192" s="600">
        <v>1999</v>
      </c>
      <c r="H192" s="600">
        <v>2000</v>
      </c>
      <c r="I192" s="600">
        <v>2001</v>
      </c>
      <c r="J192" s="851">
        <v>2002</v>
      </c>
      <c r="K192" s="851">
        <v>2003</v>
      </c>
      <c r="L192" s="851">
        <v>2004</v>
      </c>
      <c r="M192" s="851">
        <v>2005</v>
      </c>
      <c r="N192" s="851">
        <v>2006</v>
      </c>
      <c r="O192" s="851">
        <v>2007</v>
      </c>
    </row>
    <row r="193" spans="1:17" x14ac:dyDescent="0.2">
      <c r="B193" s="542" t="s">
        <v>1160</v>
      </c>
      <c r="C193" s="543">
        <v>685.50300000000004</v>
      </c>
      <c r="D193" s="543">
        <v>694.78099999999995</v>
      </c>
      <c r="E193" s="543">
        <v>697.548</v>
      </c>
      <c r="F193" s="543">
        <v>715.54</v>
      </c>
      <c r="G193" s="543">
        <v>728.77700000000004</v>
      </c>
      <c r="H193" s="540">
        <v>746.125</v>
      </c>
      <c r="I193" s="540">
        <v>749.548</v>
      </c>
      <c r="J193" s="563">
        <v>760.71699999999998</v>
      </c>
      <c r="K193" s="563">
        <v>776.55</v>
      </c>
      <c r="L193" s="601">
        <v>795.274</v>
      </c>
      <c r="M193" s="602">
        <v>807.053</v>
      </c>
      <c r="N193" s="601">
        <v>821.95899999999995</v>
      </c>
      <c r="O193" s="601">
        <v>834.43600000000004</v>
      </c>
    </row>
    <row r="194" spans="1:17" x14ac:dyDescent="0.2">
      <c r="B194" s="542" t="s">
        <v>1161</v>
      </c>
      <c r="C194" s="543">
        <v>6400</v>
      </c>
      <c r="D194" s="543">
        <v>6563</v>
      </c>
      <c r="E194" s="543">
        <v>6842</v>
      </c>
      <c r="F194" s="543">
        <v>7007</v>
      </c>
      <c r="G194" s="543">
        <v>7662</v>
      </c>
      <c r="H194" s="603">
        <v>7590</v>
      </c>
      <c r="I194" s="540">
        <v>7077</v>
      </c>
      <c r="J194" s="544">
        <v>6845</v>
      </c>
      <c r="K194" s="540">
        <v>6783</v>
      </c>
      <c r="L194" s="602">
        <v>6801</v>
      </c>
      <c r="M194" s="602">
        <v>6980</v>
      </c>
      <c r="N194" s="604">
        <v>6783.3176904100919</v>
      </c>
      <c r="O194" s="602">
        <v>6976.2424442145375</v>
      </c>
    </row>
    <row r="195" spans="1:17" x14ac:dyDescent="0.2">
      <c r="B195" s="542" t="s">
        <v>1162</v>
      </c>
      <c r="C195" s="543">
        <v>968</v>
      </c>
      <c r="D195" s="543">
        <v>989.93399999999997</v>
      </c>
      <c r="E195" s="543">
        <v>1026.578</v>
      </c>
      <c r="F195" s="543">
        <v>1040.335</v>
      </c>
      <c r="G195" s="543">
        <v>1148.307</v>
      </c>
      <c r="H195" s="603">
        <v>1112.0340000000001</v>
      </c>
      <c r="I195" s="540">
        <v>1025.8989999999999</v>
      </c>
      <c r="J195" s="544">
        <v>999.56299999999999</v>
      </c>
      <c r="K195" s="540">
        <v>968.94500000000005</v>
      </c>
      <c r="L195" s="602">
        <v>1360.1780000000001</v>
      </c>
      <c r="M195" s="602">
        <v>1120</v>
      </c>
      <c r="N195" s="604">
        <v>1148.409300265005</v>
      </c>
      <c r="O195" s="602">
        <v>1143.6630764223548</v>
      </c>
    </row>
    <row r="196" spans="1:17" x14ac:dyDescent="0.2">
      <c r="B196" s="542" t="s">
        <v>1163</v>
      </c>
      <c r="C196" s="545">
        <f t="shared" ref="C196:K196" si="24">C194/C193</f>
        <v>9.3362100530559307</v>
      </c>
      <c r="D196" s="545">
        <f t="shared" si="24"/>
        <v>9.4461420217305889</v>
      </c>
      <c r="E196" s="545">
        <f t="shared" si="24"/>
        <v>9.8086439929581903</v>
      </c>
      <c r="F196" s="545">
        <f t="shared" si="24"/>
        <v>9.7926041870475444</v>
      </c>
      <c r="G196" s="545">
        <f t="shared" si="24"/>
        <v>10.513504130893264</v>
      </c>
      <c r="H196" s="598">
        <f t="shared" si="24"/>
        <v>10.17255821745686</v>
      </c>
      <c r="I196" s="598">
        <v>9.44</v>
      </c>
      <c r="J196" s="605">
        <f>J194/J193</f>
        <v>8.9980899598668103</v>
      </c>
      <c r="K196" s="598">
        <f t="shared" si="24"/>
        <v>8.7347884875410475</v>
      </c>
      <c r="L196" s="606">
        <f>L194/L193</f>
        <v>8.5517695787866828</v>
      </c>
      <c r="M196" s="606">
        <f>M194/M193</f>
        <v>8.6487504538115836</v>
      </c>
      <c r="N196" s="607">
        <f>N194/N193</f>
        <v>8.2526229293798021</v>
      </c>
      <c r="O196" s="606">
        <f>O194/O193</f>
        <v>8.3604284141798022</v>
      </c>
    </row>
    <row r="197" spans="1:17" x14ac:dyDescent="0.2">
      <c r="B197" s="542" t="s">
        <v>1164</v>
      </c>
      <c r="C197" s="545">
        <f t="shared" ref="C197:K197" si="25">C194/C195</f>
        <v>6.6115702479338845</v>
      </c>
      <c r="D197" s="545">
        <f t="shared" si="25"/>
        <v>6.6297349116203712</v>
      </c>
      <c r="E197" s="545">
        <f t="shared" si="25"/>
        <v>6.6648613159448189</v>
      </c>
      <c r="F197" s="545">
        <f t="shared" si="25"/>
        <v>6.7353304464427319</v>
      </c>
      <c r="G197" s="545">
        <f t="shared" si="25"/>
        <v>6.6724316755014117</v>
      </c>
      <c r="H197" s="598">
        <f t="shared" si="25"/>
        <v>6.8253308801709291</v>
      </c>
      <c r="I197" s="598">
        <v>6.8983398950578962</v>
      </c>
      <c r="J197" s="546">
        <f>J194/J195</f>
        <v>6.8479925727542934</v>
      </c>
      <c r="K197" s="598">
        <f t="shared" si="25"/>
        <v>7.0003973393742678</v>
      </c>
      <c r="L197" s="606">
        <f>L194/L195</f>
        <v>5.0000808717682537</v>
      </c>
      <c r="M197" s="606">
        <f>M194/M195</f>
        <v>6.2321428571428568</v>
      </c>
      <c r="N197" s="607">
        <f>N194/N195</f>
        <v>5.9067073811094923</v>
      </c>
      <c r="O197" s="606">
        <f>O194/O195</f>
        <v>6.0999105313759481</v>
      </c>
    </row>
    <row r="198" spans="1:17" x14ac:dyDescent="0.2">
      <c r="B198" s="542" t="s">
        <v>1165</v>
      </c>
      <c r="C198" s="543">
        <f t="shared" ref="C198:K198" si="26">1000*C195/C193</f>
        <v>1412.1017705247095</v>
      </c>
      <c r="D198" s="543">
        <f t="shared" si="26"/>
        <v>1424.8144379308014</v>
      </c>
      <c r="E198" s="543">
        <f t="shared" si="26"/>
        <v>1471.6951378256406</v>
      </c>
      <c r="F198" s="543">
        <f t="shared" si="26"/>
        <v>1453.9159236380915</v>
      </c>
      <c r="G198" s="543">
        <f t="shared" si="26"/>
        <v>1575.6630629122487</v>
      </c>
      <c r="H198" s="543">
        <f t="shared" si="26"/>
        <v>1490.4124643993969</v>
      </c>
      <c r="I198" s="540">
        <f t="shared" si="26"/>
        <v>1368.6901972922346</v>
      </c>
      <c r="J198" s="544">
        <f>1000*J195/J193</f>
        <v>1313.9748421554928</v>
      </c>
      <c r="K198" s="540">
        <f t="shared" si="26"/>
        <v>1247.7561007018223</v>
      </c>
      <c r="L198" s="602">
        <f>1000*L195/L193</f>
        <v>1710.326252335673</v>
      </c>
      <c r="M198" s="602">
        <f>1000*M195/M193</f>
        <v>1387.7651157978473</v>
      </c>
      <c r="N198" s="604">
        <f>1000*N195/N193</f>
        <v>1397.1612942555589</v>
      </c>
      <c r="O198" s="602">
        <f>1000*O195/O193</f>
        <v>1370.5821374225882</v>
      </c>
    </row>
    <row r="199" spans="1:17" x14ac:dyDescent="0.2">
      <c r="B199" s="1152" t="s">
        <v>1166</v>
      </c>
      <c r="C199" s="1153"/>
      <c r="D199" s="1153"/>
      <c r="E199" s="1153"/>
      <c r="F199" s="1153"/>
      <c r="G199" s="1153"/>
      <c r="H199" s="1153"/>
      <c r="I199" s="1153"/>
      <c r="J199" s="1153"/>
      <c r="K199" s="1153"/>
      <c r="L199" s="1153"/>
      <c r="M199" s="547">
        <f>(M195-M215-M217)*J19/(M194-M213)</f>
        <v>13593.255027584981</v>
      </c>
      <c r="N199" s="548" t="s">
        <v>1167</v>
      </c>
      <c r="O199" s="548"/>
      <c r="P199" s="548"/>
    </row>
    <row r="200" spans="1:17" x14ac:dyDescent="0.2">
      <c r="A200" s="845"/>
      <c r="B200" s="845" t="s">
        <v>1168</v>
      </c>
      <c r="C200" s="845"/>
      <c r="D200" s="845"/>
      <c r="E200" s="845"/>
      <c r="F200" s="845"/>
      <c r="G200" s="548"/>
      <c r="H200" s="548"/>
      <c r="I200" s="548"/>
      <c r="J200" s="548"/>
      <c r="K200" s="548"/>
      <c r="L200" s="548"/>
      <c r="M200" s="566">
        <f>M195*J19/10^6</f>
        <v>155.68</v>
      </c>
      <c r="N200" s="565" t="s">
        <v>1169</v>
      </c>
      <c r="O200" s="548"/>
    </row>
    <row r="201" spans="1:17" x14ac:dyDescent="0.2">
      <c r="A201" s="1159" t="s">
        <v>1170</v>
      </c>
      <c r="B201" s="1159"/>
      <c r="C201" s="1159"/>
      <c r="D201" s="1159"/>
      <c r="E201" s="1159"/>
      <c r="F201" s="1159"/>
      <c r="G201" s="1153"/>
      <c r="H201" s="1153"/>
      <c r="I201" s="1153"/>
      <c r="J201" s="1153"/>
      <c r="K201" s="1153"/>
      <c r="L201" s="548"/>
      <c r="M201" s="569">
        <f>'AEO Data'!B224</f>
        <v>246.81586966968212</v>
      </c>
      <c r="N201" s="567" t="s">
        <v>1171</v>
      </c>
      <c r="O201" s="548"/>
    </row>
    <row r="202" spans="1:17" x14ac:dyDescent="0.2">
      <c r="A202" s="1160" t="s">
        <v>1172</v>
      </c>
      <c r="B202" s="1159"/>
      <c r="C202" s="1159"/>
      <c r="D202" s="1159"/>
      <c r="E202" s="1159"/>
      <c r="F202" s="1159"/>
      <c r="G202" s="1153"/>
      <c r="H202" s="1153"/>
      <c r="I202" s="1153"/>
      <c r="J202" s="1153"/>
      <c r="K202" s="1153"/>
      <c r="L202" s="554"/>
      <c r="M202" s="608">
        <f>'AEO Data'!B211</f>
        <v>95.000174601694852</v>
      </c>
      <c r="N202" s="609" t="s">
        <v>1173</v>
      </c>
      <c r="O202" s="609"/>
      <c r="P202" s="610"/>
      <c r="Q202" s="610"/>
    </row>
    <row r="203" spans="1:17" x14ac:dyDescent="0.2">
      <c r="A203" s="1159"/>
      <c r="B203" s="1159"/>
      <c r="C203" s="1159"/>
      <c r="D203" s="1159"/>
      <c r="E203" s="1159"/>
      <c r="F203" s="1159"/>
      <c r="G203" s="554"/>
      <c r="H203" s="554"/>
      <c r="I203" s="554"/>
      <c r="J203" s="554"/>
      <c r="K203" s="554"/>
      <c r="L203" s="554"/>
      <c r="M203" s="554"/>
      <c r="N203" s="554"/>
      <c r="O203" s="554"/>
    </row>
    <row r="204" spans="1:17" x14ac:dyDescent="0.2">
      <c r="A204" s="1159" t="s">
        <v>1174</v>
      </c>
      <c r="B204" s="1159"/>
      <c r="C204" s="1159"/>
      <c r="D204" s="1159"/>
      <c r="E204" s="1159"/>
      <c r="F204" s="1159"/>
      <c r="G204" s="1153"/>
      <c r="H204" s="1153"/>
      <c r="I204" s="1153"/>
      <c r="J204" s="1153"/>
      <c r="K204" s="1153"/>
      <c r="L204" s="548"/>
      <c r="M204" s="548"/>
      <c r="N204" s="548"/>
      <c r="O204" s="548"/>
    </row>
    <row r="205" spans="1:17" x14ac:dyDescent="0.2">
      <c r="A205" s="1164" t="s">
        <v>1175</v>
      </c>
      <c r="B205" s="1165"/>
      <c r="C205" s="1165"/>
      <c r="D205" s="1165"/>
      <c r="E205" s="1165"/>
      <c r="F205" s="1165"/>
      <c r="G205" s="1166"/>
      <c r="H205" s="1166"/>
      <c r="I205" s="1166"/>
      <c r="J205" s="1166"/>
      <c r="K205" s="1166"/>
      <c r="L205" s="611"/>
      <c r="M205" s="611"/>
      <c r="N205" s="611"/>
      <c r="O205" s="611"/>
    </row>
    <row r="206" spans="1:17" x14ac:dyDescent="0.2">
      <c r="A206" s="1164" t="s">
        <v>1176</v>
      </c>
      <c r="B206" s="1164"/>
      <c r="C206" s="1164"/>
      <c r="D206" s="1164"/>
      <c r="E206" s="1164"/>
      <c r="F206" s="1164"/>
      <c r="G206" s="1166"/>
      <c r="H206" s="1166"/>
      <c r="I206" s="1166"/>
      <c r="J206" s="1166"/>
      <c r="K206" s="1166"/>
      <c r="L206" s="612"/>
      <c r="M206" s="612"/>
      <c r="N206" s="612"/>
      <c r="O206" s="612"/>
    </row>
    <row r="207" spans="1:17" x14ac:dyDescent="0.2">
      <c r="A207" s="847"/>
      <c r="B207" s="847"/>
      <c r="C207" s="847"/>
      <c r="D207" s="847"/>
      <c r="E207" s="847"/>
      <c r="F207" s="847"/>
      <c r="G207" s="848"/>
      <c r="H207" s="848"/>
      <c r="I207" s="848"/>
      <c r="J207" s="848"/>
      <c r="K207" s="848"/>
      <c r="L207" s="612"/>
      <c r="M207" s="612"/>
      <c r="N207" s="612"/>
      <c r="O207" s="612"/>
    </row>
    <row r="208" spans="1:17" x14ac:dyDescent="0.2">
      <c r="A208" s="847"/>
      <c r="B208" s="847"/>
      <c r="C208" s="847"/>
      <c r="D208" s="847"/>
      <c r="E208" s="847"/>
      <c r="F208" s="847"/>
      <c r="G208" s="848"/>
      <c r="H208" s="848"/>
      <c r="I208" s="848"/>
      <c r="J208" s="848"/>
      <c r="K208" s="848"/>
      <c r="L208" s="612"/>
      <c r="M208" s="612"/>
      <c r="N208" s="612"/>
      <c r="O208" s="612"/>
    </row>
    <row r="209" spans="1:25" x14ac:dyDescent="0.2">
      <c r="A209" s="847"/>
      <c r="B209" s="847"/>
      <c r="C209" s="847"/>
      <c r="D209" s="847"/>
      <c r="E209" s="847"/>
      <c r="F209" s="847"/>
      <c r="G209" s="848"/>
      <c r="H209" s="848"/>
      <c r="I209" s="848"/>
      <c r="J209" s="848"/>
      <c r="K209" s="848"/>
      <c r="L209" s="612"/>
      <c r="M209" s="612"/>
      <c r="N209" s="612"/>
      <c r="O209" s="612"/>
    </row>
    <row r="211" spans="1:25" x14ac:dyDescent="0.2">
      <c r="B211" s="1167" t="s">
        <v>1177</v>
      </c>
      <c r="C211" s="1151"/>
      <c r="D211" s="1151"/>
      <c r="E211" s="1151"/>
      <c r="F211" s="1151"/>
      <c r="G211" s="1151"/>
      <c r="H211" s="1151"/>
      <c r="I211" s="1151"/>
      <c r="J211" s="1151"/>
      <c r="K211" s="1151"/>
      <c r="L211" s="1151"/>
      <c r="M211" s="1151"/>
      <c r="N211" s="1151"/>
      <c r="O211" s="1151"/>
      <c r="P211" s="1151"/>
      <c r="Q211" s="1151"/>
      <c r="R211" s="1151"/>
      <c r="S211" s="1151"/>
      <c r="T211" s="1151"/>
      <c r="U211" s="1151"/>
      <c r="V211" s="1151"/>
      <c r="W211" s="1151"/>
      <c r="X211" s="1151"/>
      <c r="Y211" s="1151"/>
    </row>
    <row r="212" spans="1:25" x14ac:dyDescent="0.2">
      <c r="B212" s="600"/>
      <c r="C212" s="600">
        <v>1995</v>
      </c>
      <c r="D212" s="600">
        <v>1996</v>
      </c>
      <c r="E212" s="600">
        <v>1997</v>
      </c>
      <c r="F212" s="600">
        <v>1998</v>
      </c>
      <c r="G212" s="600">
        <v>1999</v>
      </c>
      <c r="H212" s="600">
        <v>2000</v>
      </c>
      <c r="I212" s="600">
        <v>2001</v>
      </c>
      <c r="J212" s="600">
        <v>2002</v>
      </c>
      <c r="K212" s="613">
        <v>2003</v>
      </c>
      <c r="L212" s="613">
        <v>2004</v>
      </c>
      <c r="M212" s="613">
        <v>2005</v>
      </c>
      <c r="N212" s="613">
        <v>2006</v>
      </c>
    </row>
    <row r="213" spans="1:25" x14ac:dyDescent="0.2">
      <c r="B213" s="542" t="s">
        <v>1178</v>
      </c>
      <c r="C213" s="543">
        <v>2183.6999999999998</v>
      </c>
      <c r="D213" s="543">
        <v>2220.5</v>
      </c>
      <c r="E213" s="543">
        <v>2244.6</v>
      </c>
      <c r="F213" s="543">
        <v>2174.6</v>
      </c>
      <c r="G213" s="543">
        <v>2275.9</v>
      </c>
      <c r="H213" s="543">
        <v>2314.8000000000002</v>
      </c>
      <c r="I213" s="543">
        <v>2376.5</v>
      </c>
      <c r="J213" s="543">
        <v>2411.1</v>
      </c>
      <c r="K213" s="540">
        <v>2420.8000000000002</v>
      </c>
      <c r="L213" s="540">
        <v>2471</v>
      </c>
      <c r="M213" s="614">
        <v>2484.8000000000002</v>
      </c>
      <c r="N213" s="540">
        <v>2494.9</v>
      </c>
    </row>
    <row r="214" spans="1:25" x14ac:dyDescent="0.2">
      <c r="B214" s="542" t="s">
        <v>1179</v>
      </c>
      <c r="C214" s="543">
        <v>18818</v>
      </c>
      <c r="D214" s="543">
        <v>19096</v>
      </c>
      <c r="E214" s="543">
        <v>19604</v>
      </c>
      <c r="F214" s="543">
        <v>20360</v>
      </c>
      <c r="G214" s="543">
        <v>21205</v>
      </c>
      <c r="H214" s="543">
        <v>21241</v>
      </c>
      <c r="I214" s="543">
        <v>22022</v>
      </c>
      <c r="J214" s="543">
        <v>21841</v>
      </c>
      <c r="K214" s="540">
        <v>21262</v>
      </c>
      <c r="L214" s="540">
        <v>21377</v>
      </c>
      <c r="M214" s="540">
        <v>21825</v>
      </c>
      <c r="N214" s="615">
        <v>22821</v>
      </c>
    </row>
    <row r="215" spans="1:25" x14ac:dyDescent="0.2">
      <c r="B215" s="542" t="s">
        <v>1180</v>
      </c>
      <c r="C215" s="543">
        <v>563.76700000000005</v>
      </c>
      <c r="D215" s="543">
        <v>577.67999999999995</v>
      </c>
      <c r="E215" s="543">
        <v>597.63599999999997</v>
      </c>
      <c r="F215" s="543">
        <v>606.63099999999997</v>
      </c>
      <c r="G215" s="543">
        <v>618.20399999999995</v>
      </c>
      <c r="H215" s="543">
        <v>635.16</v>
      </c>
      <c r="I215" s="543">
        <v>587.18399999999997</v>
      </c>
      <c r="J215" s="543">
        <v>558.99</v>
      </c>
      <c r="K215" s="543">
        <v>538.74699999999996</v>
      </c>
      <c r="L215" s="540">
        <v>550.46600000000001</v>
      </c>
      <c r="M215" s="540">
        <v>533.79999999999995</v>
      </c>
      <c r="N215" s="543">
        <v>536.70000000000005</v>
      </c>
    </row>
    <row r="216" spans="1:25" x14ac:dyDescent="0.2">
      <c r="B216" s="542" t="s">
        <v>1181</v>
      </c>
      <c r="C216" s="543">
        <f t="shared" ref="C216:J216" si="27">(138700*C215)/C214</f>
        <v>4155.3025241789783</v>
      </c>
      <c r="D216" s="543">
        <f t="shared" si="27"/>
        <v>4195.8638458315882</v>
      </c>
      <c r="E216" s="543">
        <f t="shared" si="27"/>
        <v>4228.3265251989387</v>
      </c>
      <c r="F216" s="543">
        <f>(138700*F215)/F214</f>
        <v>4132.5991994106089</v>
      </c>
      <c r="G216" s="543">
        <f t="shared" si="27"/>
        <v>4043.6168262202309</v>
      </c>
      <c r="H216" s="543">
        <f t="shared" si="27"/>
        <v>4147.4832634998356</v>
      </c>
      <c r="I216" s="543">
        <f t="shared" si="27"/>
        <v>3698.2299881936242</v>
      </c>
      <c r="J216" s="543">
        <f t="shared" si="27"/>
        <v>3549.8334783205896</v>
      </c>
      <c r="K216" s="543">
        <f>(138700*K215)/K214</f>
        <v>3514.4487301288682</v>
      </c>
      <c r="L216" s="543">
        <f>(138700*L215)/L214</f>
        <v>3571.5785283248351</v>
      </c>
      <c r="M216" s="614">
        <f>(138700*M215)/M214</f>
        <v>3392.3509736540664</v>
      </c>
      <c r="N216" s="543">
        <f>(138700*N215)/N214</f>
        <v>3261.9205994478771</v>
      </c>
    </row>
    <row r="217" spans="1:25" x14ac:dyDescent="0.2">
      <c r="B217" s="1162" t="s">
        <v>1182</v>
      </c>
      <c r="C217" s="1151"/>
      <c r="D217" s="1151"/>
      <c r="E217" s="1151"/>
      <c r="F217" s="1151"/>
      <c r="G217" s="1151"/>
      <c r="H217" s="1151"/>
      <c r="I217" s="1151"/>
      <c r="J217" s="1151"/>
      <c r="K217" s="1151"/>
      <c r="L217" s="1151"/>
      <c r="M217" s="549">
        <v>146.6</v>
      </c>
      <c r="N217" s="550" t="s">
        <v>1183</v>
      </c>
      <c r="O217" s="542"/>
      <c r="P217" s="542"/>
      <c r="V217" s="563"/>
      <c r="W217" s="563"/>
    </row>
    <row r="218" spans="1:25" x14ac:dyDescent="0.2">
      <c r="B218" s="1162" t="s">
        <v>1168</v>
      </c>
      <c r="C218" s="1151"/>
      <c r="D218" s="842"/>
      <c r="E218" s="1163" t="s">
        <v>1184</v>
      </c>
      <c r="F218" s="1163"/>
      <c r="G218" s="1163"/>
      <c r="H218" s="1163"/>
      <c r="I218" s="1163"/>
      <c r="J218" s="1163"/>
      <c r="K218" s="842"/>
      <c r="L218" s="842"/>
      <c r="M218" s="545">
        <f>(M215+M217)*J19/M213</f>
        <v>38061.654861558272</v>
      </c>
      <c r="N218" s="542" t="s">
        <v>1185</v>
      </c>
      <c r="O218" s="542"/>
      <c r="P218" s="542"/>
      <c r="V218" s="563"/>
      <c r="W218" s="563"/>
    </row>
    <row r="219" spans="1:25" x14ac:dyDescent="0.2">
      <c r="A219" s="1161" t="s">
        <v>1170</v>
      </c>
      <c r="B219" s="1161"/>
      <c r="C219" s="1161"/>
      <c r="D219" s="1161"/>
      <c r="E219" s="1161"/>
      <c r="F219" s="1161"/>
      <c r="G219" s="1161"/>
      <c r="H219" s="1161"/>
      <c r="I219" s="1161"/>
      <c r="J219" s="1161"/>
      <c r="K219" s="1161"/>
      <c r="M219" s="616">
        <f>1/(M218/J19)</f>
        <v>3.6519694297472078</v>
      </c>
      <c r="N219" s="548" t="s">
        <v>1186</v>
      </c>
      <c r="O219" s="548"/>
      <c r="P219" s="548"/>
    </row>
    <row r="220" spans="1:25" ht="11.25" customHeight="1" x14ac:dyDescent="0.2">
      <c r="A220" s="1144" t="s">
        <v>1187</v>
      </c>
      <c r="B220" s="1144"/>
      <c r="C220" s="1144"/>
      <c r="D220" s="1144"/>
      <c r="E220" s="1144"/>
      <c r="F220" s="1144"/>
      <c r="G220" s="1144"/>
      <c r="H220" s="1144"/>
      <c r="I220" s="1144"/>
      <c r="J220" s="1144"/>
      <c r="K220" s="1144"/>
      <c r="M220" s="542"/>
      <c r="N220" s="542"/>
      <c r="O220" s="542"/>
      <c r="P220" s="542"/>
    </row>
    <row r="221" spans="1:25" x14ac:dyDescent="0.2">
      <c r="A221" s="1144"/>
      <c r="B221" s="1144"/>
      <c r="C221" s="1144"/>
      <c r="D221" s="1144"/>
      <c r="E221" s="1144"/>
      <c r="F221" s="1144"/>
      <c r="G221" s="1144"/>
      <c r="H221" s="1144"/>
      <c r="I221" s="1144"/>
      <c r="J221" s="1144"/>
      <c r="K221" s="1144"/>
      <c r="M221" s="542"/>
      <c r="N221" s="542"/>
      <c r="O221" s="542"/>
      <c r="P221" s="542"/>
    </row>
    <row r="222" spans="1:25" x14ac:dyDescent="0.2">
      <c r="A222" s="1150" t="s">
        <v>1188</v>
      </c>
      <c r="B222" s="1150"/>
      <c r="C222" s="1150"/>
      <c r="D222" s="1150"/>
      <c r="E222" s="1150"/>
      <c r="F222" s="1150"/>
      <c r="G222" s="1150"/>
      <c r="H222" s="1150"/>
      <c r="I222" s="1150"/>
      <c r="J222" s="1150"/>
      <c r="K222" s="1150"/>
      <c r="M222" s="548"/>
      <c r="N222" s="548"/>
      <c r="O222" s="548"/>
      <c r="P222" s="548"/>
    </row>
    <row r="223" spans="1:25" ht="11.25" customHeight="1" x14ac:dyDescent="0.2">
      <c r="A223" s="1157" t="s">
        <v>1189</v>
      </c>
      <c r="B223" s="1157"/>
      <c r="C223" s="1157"/>
      <c r="D223" s="1157"/>
      <c r="E223" s="1157"/>
      <c r="F223" s="1157"/>
      <c r="G223" s="1157"/>
      <c r="H223" s="1157"/>
      <c r="I223" s="1157"/>
      <c r="J223" s="1157"/>
      <c r="K223" s="1157"/>
      <c r="M223" s="611"/>
      <c r="N223" s="611"/>
      <c r="O223" s="611"/>
      <c r="P223" s="611"/>
    </row>
    <row r="225" spans="1:13" ht="19.5" customHeight="1" x14ac:dyDescent="0.2">
      <c r="A225" s="552" t="s">
        <v>1190</v>
      </c>
    </row>
    <row r="226" spans="1:13" ht="9.75" customHeight="1" x14ac:dyDescent="0.2">
      <c r="A226" s="552"/>
    </row>
    <row r="227" spans="1:13" ht="9.75" customHeight="1" x14ac:dyDescent="0.2">
      <c r="A227" s="552"/>
      <c r="D227" s="525" t="s">
        <v>1191</v>
      </c>
      <c r="F227" s="525" t="s">
        <v>1192</v>
      </c>
      <c r="G227" s="525" t="s">
        <v>1193</v>
      </c>
      <c r="I227" s="617" t="s">
        <v>799</v>
      </c>
      <c r="J227" s="617">
        <v>1385108</v>
      </c>
      <c r="K227" s="525">
        <f>J227/J232</f>
        <v>0.16804211862630153</v>
      </c>
    </row>
    <row r="228" spans="1:13" ht="9.75" customHeight="1" x14ac:dyDescent="0.2">
      <c r="A228" s="552"/>
      <c r="B228" s="525" t="s">
        <v>956</v>
      </c>
      <c r="C228" s="578" t="s">
        <v>718</v>
      </c>
      <c r="D228" s="579">
        <f>(J254+J267+J269+J277+J287+J293)/J299</f>
        <v>5.080782263572145E-2</v>
      </c>
      <c r="F228" s="525" t="s">
        <v>1194</v>
      </c>
      <c r="G228" s="579">
        <v>0</v>
      </c>
      <c r="I228" s="617" t="s">
        <v>855</v>
      </c>
      <c r="J228" s="617">
        <v>2552911</v>
      </c>
    </row>
    <row r="229" spans="1:13" ht="9.75" customHeight="1" x14ac:dyDescent="0.2">
      <c r="A229" s="552"/>
      <c r="B229" s="525" t="s">
        <v>957</v>
      </c>
      <c r="C229" s="578" t="s">
        <v>723</v>
      </c>
      <c r="D229" s="579">
        <f>(J278+J280+J286)/J299</f>
        <v>0.22763278127454958</v>
      </c>
      <c r="F229" s="525" t="s">
        <v>855</v>
      </c>
      <c r="G229" s="579">
        <f>'Population NYC'!E10/'Population NYC'!E$18</f>
        <v>0.30972066662266773</v>
      </c>
      <c r="I229" s="617" t="s">
        <v>803</v>
      </c>
      <c r="J229" s="617">
        <v>1585873</v>
      </c>
    </row>
    <row r="230" spans="1:13" ht="9.75" customHeight="1" x14ac:dyDescent="0.2">
      <c r="A230" s="552"/>
      <c r="B230" s="525" t="s">
        <v>958</v>
      </c>
      <c r="C230" s="578" t="s">
        <v>724</v>
      </c>
      <c r="D230" s="579">
        <f>(J255+J256+J257+J258+J268+J281+J288+J294+J296)/J299</f>
        <v>0.15722232327208782</v>
      </c>
      <c r="F230" s="525" t="s">
        <v>799</v>
      </c>
      <c r="G230" s="579">
        <f>'Population NYC'!E11/'Population NYC'!E$18</f>
        <v>0.16804211862630153</v>
      </c>
      <c r="I230" s="617" t="s">
        <v>811</v>
      </c>
      <c r="J230" s="617">
        <v>2250002</v>
      </c>
    </row>
    <row r="231" spans="1:13" ht="9.75" customHeight="1" x14ac:dyDescent="0.2">
      <c r="A231" s="552"/>
      <c r="B231" s="525" t="s">
        <v>959</v>
      </c>
      <c r="C231" s="578" t="s">
        <v>725</v>
      </c>
      <c r="D231" s="579">
        <f>(J248+J265+J272+J290)/J299</f>
        <v>5.2439531721810803E-2</v>
      </c>
      <c r="F231" s="525" t="s">
        <v>803</v>
      </c>
      <c r="G231" s="579">
        <f>'Population NYC'!E12/'Population NYC'!E$18</f>
        <v>0.19239904671133853</v>
      </c>
      <c r="I231" s="617" t="s">
        <v>807</v>
      </c>
      <c r="J231" s="617">
        <v>468730</v>
      </c>
    </row>
    <row r="232" spans="1:13" ht="9.75" customHeight="1" x14ac:dyDescent="0.2">
      <c r="A232" s="552"/>
      <c r="B232" s="525" t="s">
        <v>960</v>
      </c>
      <c r="C232" s="578" t="s">
        <v>726</v>
      </c>
      <c r="D232" s="579">
        <f>(J261+J262+J270+J283+J297)/J299</f>
        <v>0.14465144512848402</v>
      </c>
      <c r="F232" s="525" t="s">
        <v>807</v>
      </c>
      <c r="G232" s="579">
        <f>'Population NYC'!E13/'Population NYC'!E$18</f>
        <v>5.686659976240576E-2</v>
      </c>
      <c r="I232" s="617" t="s">
        <v>775</v>
      </c>
      <c r="J232" s="617">
        <f>SUM(J227:J231)</f>
        <v>8242624</v>
      </c>
    </row>
    <row r="233" spans="1:13" ht="9.75" customHeight="1" x14ac:dyDescent="0.2">
      <c r="A233" s="552"/>
      <c r="B233" s="525" t="s">
        <v>961</v>
      </c>
      <c r="C233" s="578" t="s">
        <v>727</v>
      </c>
      <c r="D233" s="579">
        <f>(J251+J266+J284+J291)/J299</f>
        <v>8.9346049513260972E-2</v>
      </c>
      <c r="F233" s="525" t="s">
        <v>811</v>
      </c>
      <c r="G233" s="579">
        <f>'Population NYC'!E14/'Population NYC'!E$18</f>
        <v>0.27297156827728647</v>
      </c>
    </row>
    <row r="234" spans="1:13" ht="9.75" customHeight="1" x14ac:dyDescent="0.2">
      <c r="A234" s="552"/>
      <c r="B234" s="525" t="s">
        <v>962</v>
      </c>
      <c r="C234" s="578" t="s">
        <v>728</v>
      </c>
      <c r="D234" s="579">
        <f>(J263+J264+J271+J273+J275+J282+J289)/J299</f>
        <v>6.2627045489650909E-2</v>
      </c>
    </row>
    <row r="235" spans="1:13" ht="9.75" customHeight="1" x14ac:dyDescent="0.2">
      <c r="A235" s="552"/>
      <c r="B235" s="525" t="s">
        <v>963</v>
      </c>
      <c r="C235" s="578" t="s">
        <v>729</v>
      </c>
      <c r="D235" s="579">
        <f>(J250+J253+J260+J274+J276+J279+J292+J298)/J299</f>
        <v>5.4216416881383886E-2</v>
      </c>
    </row>
    <row r="236" spans="1:13" ht="9.75" customHeight="1" x14ac:dyDescent="0.2">
      <c r="A236" s="552"/>
      <c r="B236" s="525" t="s">
        <v>964</v>
      </c>
      <c r="C236" s="578" t="s">
        <v>730</v>
      </c>
      <c r="D236" s="579">
        <f>(J249+J252+J259+J285+J295)/J299</f>
        <v>0.16105658408305046</v>
      </c>
    </row>
    <row r="237" spans="1:13" ht="11.25" customHeight="1" x14ac:dyDescent="0.2">
      <c r="A237" s="552"/>
    </row>
    <row r="238" spans="1:13" ht="11.25" customHeight="1" x14ac:dyDescent="0.2">
      <c r="A238" s="552"/>
      <c r="C238" s="525" t="s">
        <v>1195</v>
      </c>
      <c r="D238" s="525" t="s">
        <v>1196</v>
      </c>
      <c r="E238" s="525" t="s">
        <v>1197</v>
      </c>
      <c r="F238" s="525" t="s">
        <v>1198</v>
      </c>
      <c r="G238" s="525" t="s">
        <v>1199</v>
      </c>
      <c r="H238" s="525" t="s">
        <v>1200</v>
      </c>
      <c r="I238" s="525" t="s">
        <v>1201</v>
      </c>
      <c r="J238" s="525" t="s">
        <v>1202</v>
      </c>
      <c r="K238" s="525" t="s">
        <v>1203</v>
      </c>
      <c r="L238" s="525" t="s">
        <v>1204</v>
      </c>
      <c r="M238" s="525" t="s">
        <v>1205</v>
      </c>
    </row>
    <row r="239" spans="1:13" ht="11.25" customHeight="1" x14ac:dyDescent="0.2">
      <c r="A239" s="552"/>
      <c r="C239" s="525" t="s">
        <v>1206</v>
      </c>
      <c r="D239" s="525" t="s">
        <v>1207</v>
      </c>
      <c r="E239" s="525" t="s">
        <v>1208</v>
      </c>
      <c r="F239" s="525" t="s">
        <v>1209</v>
      </c>
      <c r="G239" s="525" t="s">
        <v>1210</v>
      </c>
      <c r="H239" s="525" t="s">
        <v>1211</v>
      </c>
      <c r="I239" s="525" t="s">
        <v>1212</v>
      </c>
      <c r="K239" s="525" t="s">
        <v>1213</v>
      </c>
      <c r="L239" s="525" t="s">
        <v>1214</v>
      </c>
      <c r="M239" s="525" t="s">
        <v>1215</v>
      </c>
    </row>
    <row r="240" spans="1:13" ht="11.25" customHeight="1" x14ac:dyDescent="0.2">
      <c r="A240" s="552"/>
      <c r="B240" s="525" t="s">
        <v>912</v>
      </c>
      <c r="C240" s="567">
        <v>5855</v>
      </c>
      <c r="D240" s="567">
        <v>21825</v>
      </c>
      <c r="E240" s="567">
        <v>3.7</v>
      </c>
      <c r="F240" s="567">
        <v>10.19</v>
      </c>
      <c r="G240" s="567">
        <v>2484.8000000000002</v>
      </c>
      <c r="H240" s="567">
        <v>533.79999999999995</v>
      </c>
      <c r="I240" s="567">
        <v>117.2</v>
      </c>
      <c r="J240" s="567">
        <f>146.6-I240</f>
        <v>29.399999999999991</v>
      </c>
      <c r="K240" s="567">
        <v>16786.8</v>
      </c>
      <c r="L240" s="567">
        <v>82027</v>
      </c>
      <c r="M240" s="618">
        <f>G240*10^6/L240</f>
        <v>30292.464676265132</v>
      </c>
    </row>
    <row r="241" spans="1:16" ht="11.25" customHeight="1" x14ac:dyDescent="0.2">
      <c r="A241" s="552"/>
      <c r="C241" s="525" t="s">
        <v>1216</v>
      </c>
      <c r="D241" s="525" t="s">
        <v>1217</v>
      </c>
      <c r="E241" s="525" t="s">
        <v>1218</v>
      </c>
      <c r="F241" s="525" t="s">
        <v>1219</v>
      </c>
      <c r="G241" s="525" t="s">
        <v>1220</v>
      </c>
      <c r="H241" s="525" t="s">
        <v>1221</v>
      </c>
      <c r="I241" s="525" t="s">
        <v>1222</v>
      </c>
      <c r="J241" s="525" t="s">
        <v>1222</v>
      </c>
      <c r="K241" s="525" t="s">
        <v>1223</v>
      </c>
      <c r="L241" s="525" t="s">
        <v>1224</v>
      </c>
    </row>
    <row r="242" spans="1:16" ht="11.25" customHeight="1" x14ac:dyDescent="0.2">
      <c r="A242" s="552"/>
      <c r="B242" s="551" t="s">
        <v>1225</v>
      </c>
    </row>
    <row r="243" spans="1:16" ht="11.25" customHeight="1" x14ac:dyDescent="0.2">
      <c r="A243" s="552"/>
      <c r="B243" s="527" t="s">
        <v>1226</v>
      </c>
    </row>
    <row r="244" spans="1:16" ht="11.25" customHeight="1" x14ac:dyDescent="0.2">
      <c r="A244" s="552"/>
      <c r="B244" s="527"/>
    </row>
    <row r="245" spans="1:16" ht="12.75" customHeight="1" x14ac:dyDescent="0.2">
      <c r="A245" s="552"/>
    </row>
    <row r="246" spans="1:16" x14ac:dyDescent="0.2">
      <c r="C246" s="1145" t="s">
        <v>1227</v>
      </c>
      <c r="D246" s="1145"/>
      <c r="E246" s="849"/>
      <c r="F246" s="1145" t="s">
        <v>1228</v>
      </c>
      <c r="G246" s="1145"/>
      <c r="H246" s="849" t="s">
        <v>946</v>
      </c>
      <c r="I246" s="525" t="s">
        <v>782</v>
      </c>
      <c r="J246" s="525" t="s">
        <v>631</v>
      </c>
    </row>
    <row r="247" spans="1:16" x14ac:dyDescent="0.2">
      <c r="B247" s="525" t="s">
        <v>974</v>
      </c>
      <c r="C247" s="525" t="s">
        <v>950</v>
      </c>
      <c r="D247" s="525" t="s">
        <v>1229</v>
      </c>
      <c r="E247" s="525" t="s">
        <v>1230</v>
      </c>
      <c r="F247" s="525" t="s">
        <v>1231</v>
      </c>
      <c r="G247" s="525" t="s">
        <v>1230</v>
      </c>
      <c r="H247" s="849" t="s">
        <v>1230</v>
      </c>
      <c r="I247" s="525" t="s">
        <v>1232</v>
      </c>
      <c r="J247" s="525" t="s">
        <v>1233</v>
      </c>
    </row>
    <row r="248" spans="1:16" x14ac:dyDescent="0.2">
      <c r="B248" s="529" t="s">
        <v>978</v>
      </c>
      <c r="C248" s="525">
        <f>K61</f>
        <v>5643320</v>
      </c>
      <c r="D248" s="563">
        <f t="shared" ref="D248:D279" si="28">C248*E$240/F$240</f>
        <v>2049095.58390579</v>
      </c>
      <c r="E248" s="563">
        <f>D248*M$213/D$299</f>
        <v>2699570.859991428</v>
      </c>
      <c r="F248" s="525">
        <v>8511</v>
      </c>
      <c r="G248" s="525">
        <f>F248*M$251</f>
        <v>102132000</v>
      </c>
      <c r="H248" s="525">
        <f t="shared" ref="H248:H279" si="29">I248*(I$301*N$289+I$302*N$293)</f>
        <v>33765143.354581982</v>
      </c>
      <c r="I248" s="525">
        <v>2429</v>
      </c>
      <c r="J248" s="563">
        <f>E248+G248+H248</f>
        <v>138596714.21457341</v>
      </c>
      <c r="K248" s="525" t="s">
        <v>1234</v>
      </c>
      <c r="N248" s="525" t="s">
        <v>1235</v>
      </c>
    </row>
    <row r="249" spans="1:16" x14ac:dyDescent="0.2">
      <c r="B249" s="529" t="s">
        <v>980</v>
      </c>
      <c r="C249" s="525">
        <f t="shared" ref="C249:C298" si="30">K62</f>
        <v>4375926</v>
      </c>
      <c r="D249" s="563">
        <f t="shared" si="28"/>
        <v>1588903.4543670267</v>
      </c>
      <c r="E249" s="563">
        <f t="shared" ref="E249:E298" si="31">D249*M$213/D$299</f>
        <v>2093293.0110429409</v>
      </c>
      <c r="F249" s="525">
        <v>1060</v>
      </c>
      <c r="G249" s="525">
        <f t="shared" ref="G249:G298" si="32">F249*M$251</f>
        <v>12720000</v>
      </c>
      <c r="H249" s="525">
        <f t="shared" si="29"/>
        <v>21907725.782964677</v>
      </c>
      <c r="I249" s="525">
        <v>1576</v>
      </c>
      <c r="J249" s="563">
        <f t="shared" ref="J249:J298" si="33">E249+G249+H249</f>
        <v>36721018.794007614</v>
      </c>
      <c r="K249" s="558" t="s">
        <v>1236</v>
      </c>
    </row>
    <row r="250" spans="1:16" x14ac:dyDescent="0.2">
      <c r="B250" s="529" t="s">
        <v>982</v>
      </c>
      <c r="C250" s="525">
        <f t="shared" si="30"/>
        <v>75452526</v>
      </c>
      <c r="D250" s="563">
        <f t="shared" si="28"/>
        <v>27396893.640824337</v>
      </c>
      <c r="E250" s="563">
        <f t="shared" si="31"/>
        <v>36093902.260078385</v>
      </c>
      <c r="F250" s="525">
        <v>8096</v>
      </c>
      <c r="G250" s="525">
        <f t="shared" si="32"/>
        <v>97152000</v>
      </c>
      <c r="H250" s="525">
        <f t="shared" si="29"/>
        <v>16500298.543387735</v>
      </c>
      <c r="I250" s="525">
        <v>1187</v>
      </c>
      <c r="J250" s="563">
        <f t="shared" si="33"/>
        <v>149746200.80346611</v>
      </c>
      <c r="K250" s="525" t="s">
        <v>1237</v>
      </c>
      <c r="M250" s="525">
        <v>480000</v>
      </c>
      <c r="N250" s="525">
        <f>(M250-O250)*7/10+O250</f>
        <v>464700</v>
      </c>
      <c r="O250" s="525">
        <v>429000</v>
      </c>
      <c r="P250" s="525" t="s">
        <v>1238</v>
      </c>
    </row>
    <row r="251" spans="1:16" x14ac:dyDescent="0.2">
      <c r="B251" s="529" t="s">
        <v>984</v>
      </c>
      <c r="C251" s="525">
        <f t="shared" si="30"/>
        <v>3641616.0000000005</v>
      </c>
      <c r="D251" s="563">
        <f t="shared" si="28"/>
        <v>1322274.7006869484</v>
      </c>
      <c r="E251" s="563">
        <f t="shared" si="31"/>
        <v>1742024.2759366021</v>
      </c>
      <c r="F251" s="525">
        <v>6721</v>
      </c>
      <c r="G251" s="525">
        <f t="shared" si="32"/>
        <v>80652000</v>
      </c>
      <c r="H251" s="525">
        <f t="shared" si="29"/>
        <v>653339.53794374352</v>
      </c>
      <c r="I251" s="525">
        <v>47</v>
      </c>
      <c r="J251" s="563">
        <f t="shared" si="33"/>
        <v>83047363.813880354</v>
      </c>
      <c r="K251" s="525" t="s">
        <v>1239</v>
      </c>
      <c r="M251" s="525">
        <v>12000</v>
      </c>
    </row>
    <row r="252" spans="1:16" x14ac:dyDescent="0.2">
      <c r="B252" s="529" t="s">
        <v>986</v>
      </c>
      <c r="C252" s="525">
        <f t="shared" si="30"/>
        <v>968022988</v>
      </c>
      <c r="D252" s="563">
        <f t="shared" si="28"/>
        <v>351490191.91364086</v>
      </c>
      <c r="E252" s="563">
        <f t="shared" si="31"/>
        <v>463069017.91970539</v>
      </c>
      <c r="F252" s="525">
        <v>26165</v>
      </c>
      <c r="G252" s="525">
        <f t="shared" si="32"/>
        <v>313980000</v>
      </c>
      <c r="H252" s="525">
        <f t="shared" si="29"/>
        <v>378645014.34148151</v>
      </c>
      <c r="I252" s="525">
        <v>27239</v>
      </c>
      <c r="J252" s="563">
        <f t="shared" si="33"/>
        <v>1155694032.2611868</v>
      </c>
      <c r="K252" s="525" t="s">
        <v>1240</v>
      </c>
      <c r="M252" s="525">
        <v>7</v>
      </c>
      <c r="N252" s="619">
        <f>M252*M255/M256</f>
        <v>6.4992310231876376</v>
      </c>
    </row>
    <row r="253" spans="1:16" x14ac:dyDescent="0.2">
      <c r="B253" s="529" t="s">
        <v>988</v>
      </c>
      <c r="C253" s="525">
        <f t="shared" si="30"/>
        <v>80553564</v>
      </c>
      <c r="D253" s="563">
        <f t="shared" si="28"/>
        <v>29249086.0451423</v>
      </c>
      <c r="E253" s="563">
        <f t="shared" si="31"/>
        <v>38534063.998294361</v>
      </c>
      <c r="F253" s="525">
        <v>6370</v>
      </c>
      <c r="G253" s="525">
        <f t="shared" si="32"/>
        <v>76440000</v>
      </c>
      <c r="H253" s="525">
        <f t="shared" si="29"/>
        <v>10606341.860661197</v>
      </c>
      <c r="I253" s="525">
        <v>763</v>
      </c>
      <c r="J253" s="563">
        <f t="shared" si="33"/>
        <v>125580405.85895555</v>
      </c>
      <c r="K253" s="525" t="s">
        <v>1241</v>
      </c>
      <c r="M253" s="525">
        <v>1714</v>
      </c>
      <c r="N253" s="525" t="s">
        <v>1242</v>
      </c>
    </row>
    <row r="254" spans="1:16" x14ac:dyDescent="0.2">
      <c r="B254" s="529" t="s">
        <v>989</v>
      </c>
      <c r="C254" s="525">
        <f t="shared" si="30"/>
        <v>33904706</v>
      </c>
      <c r="D254" s="563">
        <f t="shared" si="28"/>
        <v>12310835.348380767</v>
      </c>
      <c r="E254" s="563">
        <f t="shared" si="31"/>
        <v>16218849.247282898</v>
      </c>
      <c r="F254" s="525">
        <v>7030</v>
      </c>
      <c r="G254" s="525">
        <f t="shared" si="32"/>
        <v>84360000</v>
      </c>
      <c r="H254" s="525">
        <f t="shared" si="29"/>
        <v>43189913.710451297</v>
      </c>
      <c r="I254" s="525">
        <v>3107</v>
      </c>
      <c r="J254" s="563">
        <f t="shared" si="33"/>
        <v>143768762.9577342</v>
      </c>
      <c r="K254" s="525" t="s">
        <v>1243</v>
      </c>
      <c r="M254" s="525">
        <v>822857143</v>
      </c>
      <c r="N254" s="525" t="s">
        <v>1242</v>
      </c>
    </row>
    <row r="255" spans="1:16" x14ac:dyDescent="0.2">
      <c r="B255" s="529" t="s">
        <v>991</v>
      </c>
      <c r="C255" s="525">
        <f t="shared" si="30"/>
        <v>8054116.0000000009</v>
      </c>
      <c r="D255" s="563">
        <f t="shared" si="28"/>
        <v>2924458.2139352313</v>
      </c>
      <c r="E255" s="563">
        <f t="shared" si="31"/>
        <v>3852813.0349848531</v>
      </c>
      <c r="F255" s="525">
        <v>1755</v>
      </c>
      <c r="G255" s="525">
        <f t="shared" si="32"/>
        <v>21060000</v>
      </c>
      <c r="H255" s="525">
        <f t="shared" si="29"/>
        <v>6297081.07847906</v>
      </c>
      <c r="I255" s="525">
        <v>453</v>
      </c>
      <c r="J255" s="563">
        <f t="shared" si="33"/>
        <v>31209894.113463912</v>
      </c>
      <c r="M255" s="619">
        <f>M254*J19/10^12</f>
        <v>114.377142877</v>
      </c>
      <c r="N255" s="525" t="s">
        <v>1244</v>
      </c>
    </row>
    <row r="256" spans="1:16" x14ac:dyDescent="0.2">
      <c r="B256" s="529" t="s">
        <v>993</v>
      </c>
      <c r="C256" s="525">
        <f t="shared" si="30"/>
        <v>153208120</v>
      </c>
      <c r="D256" s="563">
        <f t="shared" si="28"/>
        <v>55630033.758586854</v>
      </c>
      <c r="E256" s="563">
        <f t="shared" si="31"/>
        <v>73289513.312388793</v>
      </c>
      <c r="G256" s="525">
        <f t="shared" si="32"/>
        <v>0</v>
      </c>
      <c r="H256" s="525">
        <f t="shared" si="29"/>
        <v>34390681.21006003</v>
      </c>
      <c r="I256" s="525">
        <v>2474</v>
      </c>
      <c r="J256" s="563">
        <f t="shared" si="33"/>
        <v>107680194.52244882</v>
      </c>
      <c r="M256" s="619">
        <f>'AEO Data'!B223</f>
        <v>123.18995851701776</v>
      </c>
      <c r="N256" s="525" t="s">
        <v>1245</v>
      </c>
    </row>
    <row r="257" spans="2:16" x14ac:dyDescent="0.2">
      <c r="B257" s="529" t="s">
        <v>995</v>
      </c>
      <c r="C257" s="525">
        <f t="shared" si="30"/>
        <v>211691630.99999997</v>
      </c>
      <c r="D257" s="563">
        <f t="shared" si="28"/>
        <v>76865459.735034347</v>
      </c>
      <c r="E257" s="563">
        <f t="shared" si="31"/>
        <v>101266020.41912527</v>
      </c>
      <c r="F257" s="525">
        <v>20199</v>
      </c>
      <c r="G257" s="525">
        <f t="shared" si="32"/>
        <v>242388000</v>
      </c>
      <c r="H257" s="525">
        <f t="shared" si="29"/>
        <v>53949164.824673802</v>
      </c>
      <c r="I257" s="525">
        <v>3881</v>
      </c>
      <c r="J257" s="563">
        <f t="shared" si="33"/>
        <v>397603185.24379909</v>
      </c>
    </row>
    <row r="258" spans="2:16" x14ac:dyDescent="0.2">
      <c r="B258" s="529" t="s">
        <v>997</v>
      </c>
      <c r="C258" s="525">
        <f t="shared" si="30"/>
        <v>88161700</v>
      </c>
      <c r="D258" s="563">
        <f t="shared" si="28"/>
        <v>32011608.439646713</v>
      </c>
      <c r="E258" s="563">
        <f t="shared" si="31"/>
        <v>42173535.487497829</v>
      </c>
      <c r="F258" s="525">
        <v>17645</v>
      </c>
      <c r="G258" s="525">
        <f t="shared" si="32"/>
        <v>211740000</v>
      </c>
      <c r="H258" s="525">
        <f t="shared" si="29"/>
        <v>21087576.150226787</v>
      </c>
      <c r="I258" s="525">
        <v>1517</v>
      </c>
      <c r="J258" s="563">
        <f t="shared" si="33"/>
        <v>275001111.63772464</v>
      </c>
    </row>
    <row r="259" spans="2:16" x14ac:dyDescent="0.2">
      <c r="B259" s="529" t="s">
        <v>999</v>
      </c>
      <c r="C259" s="525">
        <f t="shared" si="30"/>
        <v>67422156</v>
      </c>
      <c r="D259" s="563">
        <f t="shared" si="28"/>
        <v>24481057.625122674</v>
      </c>
      <c r="E259" s="563">
        <f t="shared" si="31"/>
        <v>32252448.497585859</v>
      </c>
      <c r="F259" s="525">
        <v>900</v>
      </c>
      <c r="G259" s="525">
        <f t="shared" si="32"/>
        <v>10800000</v>
      </c>
      <c r="H259" s="525">
        <f t="shared" si="29"/>
        <v>43384525.487711139</v>
      </c>
      <c r="I259" s="525">
        <v>3121</v>
      </c>
      <c r="J259" s="563">
        <f t="shared" si="33"/>
        <v>86436973.985296994</v>
      </c>
      <c r="K259" s="525" t="s">
        <v>1246</v>
      </c>
    </row>
    <row r="260" spans="2:16" x14ac:dyDescent="0.2">
      <c r="B260" s="529" t="s">
        <v>1001</v>
      </c>
      <c r="C260" s="525">
        <f t="shared" si="30"/>
        <v>1502267</v>
      </c>
      <c r="D260" s="563">
        <f t="shared" si="28"/>
        <v>545474.76938174688</v>
      </c>
      <c r="E260" s="563">
        <f t="shared" si="31"/>
        <v>718633.04174258106</v>
      </c>
      <c r="F260" s="525">
        <v>2680</v>
      </c>
      <c r="G260" s="525">
        <f t="shared" si="32"/>
        <v>32160000</v>
      </c>
      <c r="H260" s="525">
        <f t="shared" si="29"/>
        <v>9619382.1331291609</v>
      </c>
      <c r="I260" s="525">
        <v>692</v>
      </c>
      <c r="J260" s="563">
        <f t="shared" si="33"/>
        <v>42498015.174871743</v>
      </c>
      <c r="K260" s="558" t="s">
        <v>1247</v>
      </c>
    </row>
    <row r="261" spans="2:16" x14ac:dyDescent="0.2">
      <c r="B261" s="529" t="s">
        <v>1003</v>
      </c>
      <c r="C261" s="525">
        <f t="shared" si="30"/>
        <v>358638596</v>
      </c>
      <c r="D261" s="563">
        <f t="shared" si="28"/>
        <v>130222061.35426891</v>
      </c>
      <c r="E261" s="563">
        <f t="shared" si="31"/>
        <v>171560411.78416932</v>
      </c>
      <c r="F261" s="525">
        <v>1600</v>
      </c>
      <c r="G261" s="525">
        <f t="shared" si="32"/>
        <v>19200000</v>
      </c>
      <c r="H261" s="525">
        <f t="shared" si="29"/>
        <v>77497189.873114258</v>
      </c>
      <c r="I261" s="525">
        <v>5575</v>
      </c>
      <c r="J261" s="563">
        <f t="shared" si="33"/>
        <v>268257601.65728357</v>
      </c>
    </row>
    <row r="262" spans="2:16" x14ac:dyDescent="0.2">
      <c r="B262" s="529" t="s">
        <v>1005</v>
      </c>
      <c r="C262" s="525">
        <f t="shared" si="30"/>
        <v>24088176</v>
      </c>
      <c r="D262" s="563">
        <f t="shared" si="28"/>
        <v>8746442.7085377835</v>
      </c>
      <c r="E262" s="563">
        <f t="shared" si="31"/>
        <v>11522957.762442123</v>
      </c>
      <c r="F262" s="525">
        <v>13122</v>
      </c>
      <c r="G262" s="525">
        <f t="shared" si="32"/>
        <v>157464000</v>
      </c>
      <c r="H262" s="525">
        <f t="shared" si="29"/>
        <v>57799697.846172035</v>
      </c>
      <c r="I262" s="525">
        <v>4158</v>
      </c>
      <c r="J262" s="563">
        <f t="shared" si="33"/>
        <v>226786655.60861415</v>
      </c>
      <c r="M262" s="525" t="s">
        <v>1248</v>
      </c>
    </row>
    <row r="263" spans="2:16" x14ac:dyDescent="0.2">
      <c r="B263" s="529" t="s">
        <v>1007</v>
      </c>
      <c r="C263" s="525">
        <f t="shared" si="30"/>
        <v>16960134</v>
      </c>
      <c r="D263" s="563">
        <f t="shared" si="28"/>
        <v>6158242.9636898926</v>
      </c>
      <c r="E263" s="563">
        <f t="shared" si="31"/>
        <v>8113146.7873432403</v>
      </c>
      <c r="F263" s="525">
        <v>6013</v>
      </c>
      <c r="G263" s="525">
        <f t="shared" si="32"/>
        <v>72156000</v>
      </c>
      <c r="H263" s="525">
        <f t="shared" si="29"/>
        <v>16750513.685578957</v>
      </c>
      <c r="I263" s="525">
        <v>1205</v>
      </c>
      <c r="J263" s="563">
        <f t="shared" si="33"/>
        <v>97019660.472922191</v>
      </c>
      <c r="K263" s="620">
        <v>2005</v>
      </c>
      <c r="L263" s="553" t="s">
        <v>1249</v>
      </c>
      <c r="N263" s="621">
        <v>970.54235640507011</v>
      </c>
    </row>
    <row r="264" spans="2:16" x14ac:dyDescent="0.2">
      <c r="B264" s="529" t="s">
        <v>1009</v>
      </c>
      <c r="C264" s="525">
        <f t="shared" si="30"/>
        <v>4142523.0000000005</v>
      </c>
      <c r="D264" s="563">
        <f t="shared" si="28"/>
        <v>1504154.5731108934</v>
      </c>
      <c r="E264" s="563">
        <f t="shared" si="31"/>
        <v>1981641.0158637597</v>
      </c>
      <c r="F264" s="525">
        <v>4064</v>
      </c>
      <c r="G264" s="525">
        <f t="shared" si="32"/>
        <v>48768000</v>
      </c>
      <c r="H264" s="525">
        <f t="shared" si="29"/>
        <v>4962600.3201258816</v>
      </c>
      <c r="I264" s="525">
        <v>357</v>
      </c>
      <c r="J264" s="563">
        <f t="shared" si="33"/>
        <v>55712241.335989639</v>
      </c>
      <c r="K264" s="620">
        <v>2005</v>
      </c>
      <c r="L264" s="553" t="s">
        <v>1250</v>
      </c>
      <c r="N264" s="621">
        <v>961.04524976122593</v>
      </c>
    </row>
    <row r="265" spans="2:16" x14ac:dyDescent="0.2">
      <c r="B265" s="529" t="s">
        <v>1011</v>
      </c>
      <c r="C265" s="525">
        <f t="shared" si="30"/>
        <v>21560816</v>
      </c>
      <c r="D265" s="563">
        <f t="shared" si="28"/>
        <v>7828755.564278705</v>
      </c>
      <c r="E265" s="563">
        <f t="shared" si="31"/>
        <v>10313955.365146214</v>
      </c>
      <c r="F265" s="525">
        <v>9749</v>
      </c>
      <c r="G265" s="525">
        <f t="shared" si="32"/>
        <v>116988000</v>
      </c>
      <c r="H265" s="525">
        <f t="shared" si="29"/>
        <v>9758390.5454576164</v>
      </c>
      <c r="I265" s="525">
        <v>702</v>
      </c>
      <c r="J265" s="563">
        <f t="shared" si="33"/>
        <v>137060345.91060382</v>
      </c>
      <c r="K265" s="620">
        <v>2005</v>
      </c>
      <c r="L265" s="553" t="s">
        <v>1251</v>
      </c>
      <c r="N265" s="621">
        <v>1657.8213595784716</v>
      </c>
    </row>
    <row r="266" spans="2:16" x14ac:dyDescent="0.2">
      <c r="B266" s="529" t="s">
        <v>1252</v>
      </c>
      <c r="C266" s="525">
        <f t="shared" si="30"/>
        <v>13540905</v>
      </c>
      <c r="D266" s="563">
        <f t="shared" si="28"/>
        <v>4916717.2227674192</v>
      </c>
      <c r="E266" s="563">
        <f t="shared" si="31"/>
        <v>6477504.8297654968</v>
      </c>
      <c r="F266" s="525">
        <v>8152</v>
      </c>
      <c r="G266" s="525">
        <f t="shared" si="32"/>
        <v>97824000</v>
      </c>
      <c r="H266" s="525">
        <f t="shared" si="29"/>
        <v>16041570.78270383</v>
      </c>
      <c r="I266" s="525">
        <v>1154</v>
      </c>
      <c r="J266" s="563">
        <f t="shared" si="33"/>
        <v>120343075.61246933</v>
      </c>
      <c r="K266" s="620">
        <v>2005</v>
      </c>
      <c r="L266" s="553" t="s">
        <v>1253</v>
      </c>
      <c r="N266" s="622">
        <v>3589.4089657447676</v>
      </c>
    </row>
    <row r="267" spans="2:16" x14ac:dyDescent="0.2">
      <c r="B267" s="529" t="s">
        <v>1015</v>
      </c>
      <c r="C267" s="525">
        <f t="shared" si="30"/>
        <v>2239258</v>
      </c>
      <c r="D267" s="563">
        <f t="shared" si="28"/>
        <v>813076.9970559373</v>
      </c>
      <c r="E267" s="563">
        <f t="shared" si="31"/>
        <v>1071184.2753561174</v>
      </c>
      <c r="F267" s="525">
        <v>2742</v>
      </c>
      <c r="G267" s="525">
        <f t="shared" si="32"/>
        <v>32904000</v>
      </c>
      <c r="H267" s="525">
        <f t="shared" si="29"/>
        <v>2710664.0404048935</v>
      </c>
      <c r="I267" s="525">
        <v>195</v>
      </c>
      <c r="J267" s="563">
        <f t="shared" si="33"/>
        <v>36685848.315761007</v>
      </c>
      <c r="K267" s="620">
        <v>2005</v>
      </c>
      <c r="L267" s="553" t="s">
        <v>1254</v>
      </c>
      <c r="N267" s="621">
        <v>963.84764740956302</v>
      </c>
    </row>
    <row r="268" spans="2:16" x14ac:dyDescent="0.2">
      <c r="B268" s="529" t="s">
        <v>1017</v>
      </c>
      <c r="C268" s="525">
        <f t="shared" si="30"/>
        <v>108588060</v>
      </c>
      <c r="D268" s="563">
        <f t="shared" si="28"/>
        <v>39428441.805691853</v>
      </c>
      <c r="E268" s="563">
        <f t="shared" si="31"/>
        <v>51944805.986369856</v>
      </c>
      <c r="F268" s="525">
        <v>6926</v>
      </c>
      <c r="G268" s="525">
        <f t="shared" si="32"/>
        <v>83112000</v>
      </c>
      <c r="H268" s="525">
        <f t="shared" si="29"/>
        <v>42091747.253056496</v>
      </c>
      <c r="I268" s="525">
        <v>3028</v>
      </c>
      <c r="J268" s="563">
        <f t="shared" si="33"/>
        <v>177148553.23942634</v>
      </c>
      <c r="K268" s="620">
        <v>2005</v>
      </c>
      <c r="L268" s="553" t="s">
        <v>1255</v>
      </c>
      <c r="N268" s="621">
        <v>2093.0148828717624</v>
      </c>
    </row>
    <row r="269" spans="2:16" x14ac:dyDescent="0.2">
      <c r="B269" s="529" t="s">
        <v>1019</v>
      </c>
      <c r="C269" s="525">
        <f t="shared" si="30"/>
        <v>156828298</v>
      </c>
      <c r="D269" s="563">
        <f t="shared" si="28"/>
        <v>56944524.2983317</v>
      </c>
      <c r="E269" s="563">
        <f t="shared" si="31"/>
        <v>75021282.38392505</v>
      </c>
      <c r="F269" s="525">
        <v>8923</v>
      </c>
      <c r="G269" s="525">
        <f t="shared" si="32"/>
        <v>107076000</v>
      </c>
      <c r="H269" s="525">
        <f t="shared" si="29"/>
        <v>51586021.815090045</v>
      </c>
      <c r="I269" s="525">
        <v>3711</v>
      </c>
      <c r="J269" s="563">
        <f t="shared" si="33"/>
        <v>233683304.19901508</v>
      </c>
      <c r="K269" s="620">
        <v>2005</v>
      </c>
      <c r="L269" s="553" t="s">
        <v>1256</v>
      </c>
      <c r="N269" s="621">
        <v>3056.8625302813252</v>
      </c>
    </row>
    <row r="270" spans="2:16" x14ac:dyDescent="0.2">
      <c r="B270" s="529" t="s">
        <v>1020</v>
      </c>
      <c r="C270" s="525">
        <f t="shared" si="30"/>
        <v>80258208</v>
      </c>
      <c r="D270" s="563">
        <f t="shared" si="28"/>
        <v>29141841.96270854</v>
      </c>
      <c r="E270" s="563">
        <f t="shared" si="31"/>
        <v>38392775.811389551</v>
      </c>
      <c r="F270" s="525">
        <v>15501</v>
      </c>
      <c r="G270" s="525">
        <f t="shared" si="32"/>
        <v>186012000</v>
      </c>
      <c r="H270" s="525">
        <f t="shared" si="29"/>
        <v>37448866.281286068</v>
      </c>
      <c r="I270" s="525">
        <v>2694</v>
      </c>
      <c r="J270" s="563">
        <f t="shared" si="33"/>
        <v>261853642.09267563</v>
      </c>
      <c r="K270" s="620">
        <v>2005</v>
      </c>
      <c r="L270" s="553" t="s">
        <v>1257</v>
      </c>
      <c r="N270" s="622">
        <v>6646.2714960260928</v>
      </c>
      <c r="O270" s="618">
        <f>N270*O278/O277</f>
        <v>8878.268693154032</v>
      </c>
      <c r="P270" s="525" t="s">
        <v>1258</v>
      </c>
    </row>
    <row r="271" spans="2:16" x14ac:dyDescent="0.2">
      <c r="B271" s="529" t="s">
        <v>1022</v>
      </c>
      <c r="C271" s="525">
        <f t="shared" si="30"/>
        <v>77150216</v>
      </c>
      <c r="D271" s="563">
        <f t="shared" si="28"/>
        <v>28013326.7124632</v>
      </c>
      <c r="E271" s="563">
        <f t="shared" si="31"/>
        <v>36906018.966786295</v>
      </c>
      <c r="F271" s="525">
        <v>10640</v>
      </c>
      <c r="G271" s="525">
        <f t="shared" si="32"/>
        <v>127680000</v>
      </c>
      <c r="H271" s="525">
        <f t="shared" si="29"/>
        <v>31888529.788147822</v>
      </c>
      <c r="I271" s="525">
        <v>2294</v>
      </c>
      <c r="J271" s="563">
        <f t="shared" si="33"/>
        <v>196474548.75493413</v>
      </c>
      <c r="K271" s="620">
        <v>2005</v>
      </c>
      <c r="L271" s="553" t="s">
        <v>1259</v>
      </c>
      <c r="M271" s="621"/>
      <c r="N271" s="621">
        <v>807053</v>
      </c>
      <c r="O271" s="618"/>
    </row>
    <row r="272" spans="2:16" x14ac:dyDescent="0.2">
      <c r="B272" s="529" t="s">
        <v>1023</v>
      </c>
      <c r="C272" s="525">
        <f t="shared" si="30"/>
        <v>1252998</v>
      </c>
      <c r="D272" s="563">
        <f t="shared" si="28"/>
        <v>454964.9263984299</v>
      </c>
      <c r="E272" s="563">
        <f t="shared" si="31"/>
        <v>599391.29597958992</v>
      </c>
      <c r="F272" s="525">
        <v>7097</v>
      </c>
      <c r="G272" s="525">
        <f t="shared" si="32"/>
        <v>85164000</v>
      </c>
      <c r="H272" s="525">
        <f t="shared" si="29"/>
        <v>13636725.249421541</v>
      </c>
      <c r="I272" s="525">
        <v>981</v>
      </c>
      <c r="J272" s="563">
        <f t="shared" si="33"/>
        <v>99400116.545401126</v>
      </c>
      <c r="K272" s="623"/>
      <c r="L272" s="624" t="s">
        <v>1260</v>
      </c>
      <c r="M272" s="625"/>
      <c r="N272" s="625"/>
      <c r="O272" s="618"/>
    </row>
    <row r="273" spans="2:16" x14ac:dyDescent="0.2">
      <c r="B273" s="529" t="s">
        <v>1025</v>
      </c>
      <c r="C273" s="525">
        <f t="shared" si="30"/>
        <v>47187168</v>
      </c>
      <c r="D273" s="563">
        <f t="shared" si="28"/>
        <v>17133711.63886163</v>
      </c>
      <c r="E273" s="563">
        <f t="shared" si="31"/>
        <v>22572723.804129481</v>
      </c>
      <c r="F273" s="525">
        <v>11939</v>
      </c>
      <c r="G273" s="525">
        <f t="shared" si="32"/>
        <v>143268000</v>
      </c>
      <c r="H273" s="525">
        <f t="shared" si="29"/>
        <v>11537698.223261854</v>
      </c>
      <c r="I273" s="525">
        <v>830</v>
      </c>
      <c r="J273" s="563">
        <f t="shared" si="33"/>
        <v>177378422.02739134</v>
      </c>
      <c r="K273" s="620">
        <v>2005</v>
      </c>
      <c r="L273" s="553" t="s">
        <v>1261</v>
      </c>
      <c r="M273" s="621"/>
      <c r="N273" s="621">
        <v>8235.2354752737338</v>
      </c>
      <c r="O273" s="618">
        <f>O270/N271*10^6</f>
        <v>11000.849625927953</v>
      </c>
      <c r="P273" s="525" t="s">
        <v>1262</v>
      </c>
    </row>
    <row r="274" spans="2:16" x14ac:dyDescent="0.2">
      <c r="B274" s="529" t="s">
        <v>1027</v>
      </c>
      <c r="C274" s="525">
        <f t="shared" si="30"/>
        <v>1729671.9999999998</v>
      </c>
      <c r="D274" s="563">
        <f t="shared" si="28"/>
        <v>628045.77036310104</v>
      </c>
      <c r="E274" s="563">
        <f t="shared" si="31"/>
        <v>827415.79930663027</v>
      </c>
      <c r="F274" s="525">
        <v>2606</v>
      </c>
      <c r="G274" s="525">
        <f t="shared" si="32"/>
        <v>31272000</v>
      </c>
      <c r="H274" s="525">
        <f t="shared" si="29"/>
        <v>5629840.6993024712</v>
      </c>
      <c r="I274" s="525">
        <v>405</v>
      </c>
      <c r="J274" s="563">
        <f t="shared" si="33"/>
        <v>37729256.498609103</v>
      </c>
      <c r="K274" s="623"/>
      <c r="L274" s="624" t="s">
        <v>1263</v>
      </c>
      <c r="M274" s="625"/>
      <c r="N274" s="625"/>
      <c r="O274" s="567"/>
    </row>
    <row r="275" spans="2:16" x14ac:dyDescent="0.2">
      <c r="B275" s="529" t="s">
        <v>1029</v>
      </c>
      <c r="C275" s="525">
        <f t="shared" si="30"/>
        <v>6225200</v>
      </c>
      <c r="D275" s="563">
        <f t="shared" si="28"/>
        <v>2260376.8400392542</v>
      </c>
      <c r="E275" s="563">
        <f t="shared" si="31"/>
        <v>2977922.3077228717</v>
      </c>
      <c r="F275" s="525">
        <v>2638</v>
      </c>
      <c r="G275" s="525">
        <f t="shared" si="32"/>
        <v>31656000</v>
      </c>
      <c r="H275" s="525">
        <f t="shared" si="29"/>
        <v>7714966.8842293117</v>
      </c>
      <c r="I275" s="525">
        <v>555</v>
      </c>
      <c r="J275" s="563">
        <f t="shared" si="33"/>
        <v>42348889.191952184</v>
      </c>
      <c r="K275" s="620">
        <v>2005</v>
      </c>
      <c r="L275" s="553" t="s">
        <v>1264</v>
      </c>
      <c r="M275" s="621"/>
      <c r="N275" s="621">
        <v>140910.28108938097</v>
      </c>
      <c r="O275" s="567"/>
    </row>
    <row r="276" spans="2:16" x14ac:dyDescent="0.2">
      <c r="B276" s="529" t="s">
        <v>1030</v>
      </c>
      <c r="C276" s="525">
        <f t="shared" si="30"/>
        <v>60818088.000000007</v>
      </c>
      <c r="D276" s="563">
        <f t="shared" si="28"/>
        <v>22083113.405299317</v>
      </c>
      <c r="E276" s="563">
        <f t="shared" si="31"/>
        <v>29093288.724579565</v>
      </c>
      <c r="F276" s="525">
        <v>2151</v>
      </c>
      <c r="G276" s="525">
        <f t="shared" si="32"/>
        <v>25812000</v>
      </c>
      <c r="H276" s="525">
        <f t="shared" si="29"/>
        <v>19224863.425025474</v>
      </c>
      <c r="I276" s="525">
        <v>1383</v>
      </c>
      <c r="J276" s="563">
        <f t="shared" si="33"/>
        <v>74130152.149605036</v>
      </c>
      <c r="K276" s="623"/>
      <c r="L276" s="624" t="s">
        <v>1265</v>
      </c>
      <c r="M276" s="626"/>
      <c r="N276" s="626"/>
      <c r="O276" s="567"/>
    </row>
    <row r="277" spans="2:16" x14ac:dyDescent="0.2">
      <c r="B277" s="529" t="s">
        <v>1032</v>
      </c>
      <c r="C277" s="525">
        <f t="shared" si="30"/>
        <v>1041629</v>
      </c>
      <c r="D277" s="563">
        <f t="shared" si="28"/>
        <v>378216.61432777235</v>
      </c>
      <c r="E277" s="563">
        <f t="shared" si="31"/>
        <v>498279.61117250321</v>
      </c>
      <c r="F277" s="525">
        <v>2725</v>
      </c>
      <c r="G277" s="525">
        <f t="shared" si="32"/>
        <v>32700000</v>
      </c>
      <c r="H277" s="525">
        <f t="shared" si="29"/>
        <v>5157212.0973857203</v>
      </c>
      <c r="I277" s="525">
        <v>371</v>
      </c>
      <c r="J277" s="563">
        <f t="shared" si="33"/>
        <v>38355491.708558224</v>
      </c>
      <c r="K277" s="620">
        <v>2005</v>
      </c>
      <c r="L277" s="553" t="s">
        <v>1266</v>
      </c>
      <c r="M277" s="621"/>
      <c r="N277" s="621">
        <v>1329254.2992052187</v>
      </c>
      <c r="O277" s="569">
        <f>N277*J19/10^9</f>
        <v>184.7663475895254</v>
      </c>
      <c r="P277" s="525" t="s">
        <v>1267</v>
      </c>
    </row>
    <row r="278" spans="2:16" x14ac:dyDescent="0.2">
      <c r="B278" s="529" t="s">
        <v>1034</v>
      </c>
      <c r="C278" s="525">
        <f t="shared" si="30"/>
        <v>200343108</v>
      </c>
      <c r="D278" s="563">
        <f t="shared" si="28"/>
        <v>72744798.783120707</v>
      </c>
      <c r="E278" s="563">
        <f t="shared" si="31"/>
        <v>95837275.993017495</v>
      </c>
      <c r="F278" s="525">
        <v>21780</v>
      </c>
      <c r="G278" s="525">
        <f t="shared" si="32"/>
        <v>261360000</v>
      </c>
      <c r="H278" s="525">
        <f t="shared" si="29"/>
        <v>64722316.78012915</v>
      </c>
      <c r="I278" s="525">
        <v>4656</v>
      </c>
      <c r="J278" s="563">
        <f t="shared" si="33"/>
        <v>421919592.77314663</v>
      </c>
      <c r="K278" s="623"/>
      <c r="L278" s="624" t="s">
        <v>1268</v>
      </c>
      <c r="M278" s="626"/>
      <c r="N278" s="626"/>
      <c r="O278" s="569">
        <f>'AEO Data'!B224</f>
        <v>246.81586966968212</v>
      </c>
      <c r="P278" s="525" t="s">
        <v>1269</v>
      </c>
    </row>
    <row r="279" spans="2:16" x14ac:dyDescent="0.2">
      <c r="B279" s="529" t="s">
        <v>1036</v>
      </c>
      <c r="C279" s="525">
        <f t="shared" si="30"/>
        <v>8842764</v>
      </c>
      <c r="D279" s="563">
        <f t="shared" si="28"/>
        <v>3210817.1540726204</v>
      </c>
      <c r="E279" s="563">
        <f t="shared" si="31"/>
        <v>4230075.2068252796</v>
      </c>
      <c r="F279" s="525">
        <v>2369</v>
      </c>
      <c r="G279" s="525">
        <f t="shared" si="32"/>
        <v>28428000</v>
      </c>
      <c r="H279" s="525">
        <f t="shared" si="29"/>
        <v>6672403.791765891</v>
      </c>
      <c r="I279" s="525">
        <v>480</v>
      </c>
      <c r="J279" s="563">
        <f t="shared" si="33"/>
        <v>39330478.99859117</v>
      </c>
      <c r="K279" s="620">
        <v>2005</v>
      </c>
      <c r="L279" s="553" t="s">
        <v>1270</v>
      </c>
      <c r="M279" s="622"/>
      <c r="N279" s="622">
        <v>1647.0470950547472</v>
      </c>
    </row>
    <row r="280" spans="2:16" x14ac:dyDescent="0.2">
      <c r="B280" s="529" t="s">
        <v>1038</v>
      </c>
      <c r="C280" s="525">
        <f t="shared" si="30"/>
        <v>1174893417</v>
      </c>
      <c r="D280" s="563">
        <f t="shared" ref="D280:D298" si="34">C280*E$240/F$240</f>
        <v>426605067.9980374</v>
      </c>
      <c r="E280" s="563">
        <f t="shared" si="31"/>
        <v>562028740.55147648</v>
      </c>
      <c r="F280" s="525">
        <v>50039</v>
      </c>
      <c r="G280" s="525">
        <f t="shared" si="32"/>
        <v>600468000</v>
      </c>
      <c r="H280" s="525">
        <f t="shared" ref="H280:H298" si="35">I280*(I$301*N$289+I$302*N$293)</f>
        <v>220203225.96950725</v>
      </c>
      <c r="I280" s="525">
        <v>15841</v>
      </c>
      <c r="J280" s="563">
        <f t="shared" si="33"/>
        <v>1382699966.5209837</v>
      </c>
      <c r="K280" s="623"/>
      <c r="L280" s="624" t="s">
        <v>1271</v>
      </c>
      <c r="M280" s="625"/>
      <c r="N280" s="625"/>
    </row>
    <row r="281" spans="2:16" x14ac:dyDescent="0.2">
      <c r="B281" s="529" t="s">
        <v>1040</v>
      </c>
      <c r="C281" s="525">
        <f t="shared" si="30"/>
        <v>43005171</v>
      </c>
      <c r="D281" s="563">
        <f t="shared" si="34"/>
        <v>15615224.013738962</v>
      </c>
      <c r="E281" s="563">
        <f t="shared" si="31"/>
        <v>20572199.779659566</v>
      </c>
      <c r="F281" s="525">
        <v>13775</v>
      </c>
      <c r="G281" s="525">
        <f t="shared" si="32"/>
        <v>165300000</v>
      </c>
      <c r="H281" s="525">
        <f t="shared" si="35"/>
        <v>34446284.574991412</v>
      </c>
      <c r="I281" s="525">
        <v>2478</v>
      </c>
      <c r="J281" s="563">
        <f t="shared" si="33"/>
        <v>220318484.35465097</v>
      </c>
      <c r="K281" s="620">
        <v>2005</v>
      </c>
      <c r="L281" s="553" t="s">
        <v>1272</v>
      </c>
      <c r="M281" s="627"/>
      <c r="N281" s="627">
        <v>5</v>
      </c>
    </row>
    <row r="282" spans="2:16" x14ac:dyDescent="0.2">
      <c r="B282" s="529" t="s">
        <v>1042</v>
      </c>
      <c r="C282" s="525">
        <f t="shared" si="30"/>
        <v>1185096</v>
      </c>
      <c r="D282" s="563">
        <f t="shared" si="34"/>
        <v>430309.63689892052</v>
      </c>
      <c r="E282" s="563">
        <f t="shared" si="31"/>
        <v>566909.30655933055</v>
      </c>
      <c r="F282" s="525">
        <v>2466</v>
      </c>
      <c r="G282" s="525">
        <f t="shared" si="32"/>
        <v>29592000</v>
      </c>
      <c r="H282" s="525">
        <f t="shared" si="35"/>
        <v>2112927.8673925321</v>
      </c>
      <c r="I282" s="525">
        <v>152</v>
      </c>
      <c r="J282" s="563">
        <f t="shared" si="33"/>
        <v>32271837.173951864</v>
      </c>
      <c r="K282" s="623"/>
      <c r="L282" s="628" t="s">
        <v>1273</v>
      </c>
      <c r="M282" s="629"/>
      <c r="N282" s="629"/>
    </row>
    <row r="283" spans="2:16" x14ac:dyDescent="0.2">
      <c r="B283" s="529" t="s">
        <v>1044</v>
      </c>
      <c r="C283" s="525">
        <f t="shared" si="30"/>
        <v>119941987.00000001</v>
      </c>
      <c r="D283" s="563">
        <f t="shared" si="34"/>
        <v>43551064.955839068</v>
      </c>
      <c r="E283" s="563">
        <f t="shared" si="31"/>
        <v>57376135.500852458</v>
      </c>
      <c r="F283" s="525">
        <v>18923</v>
      </c>
      <c r="G283" s="525">
        <f t="shared" si="32"/>
        <v>227076000</v>
      </c>
      <c r="H283" s="525">
        <f t="shared" si="35"/>
        <v>227292654.99825853</v>
      </c>
      <c r="I283" s="525">
        <v>16351</v>
      </c>
      <c r="J283" s="563">
        <f t="shared" si="33"/>
        <v>511744790.499111</v>
      </c>
      <c r="N283" s="630"/>
    </row>
    <row r="284" spans="2:16" x14ac:dyDescent="0.2">
      <c r="B284" s="529" t="s">
        <v>1046</v>
      </c>
      <c r="C284" s="525">
        <f t="shared" si="30"/>
        <v>6082046</v>
      </c>
      <c r="D284" s="563">
        <f t="shared" si="34"/>
        <v>2208397.4681059862</v>
      </c>
      <c r="E284" s="563">
        <f t="shared" si="31"/>
        <v>2909442.3408077909</v>
      </c>
      <c r="F284" s="525">
        <v>7500</v>
      </c>
      <c r="G284" s="525">
        <f t="shared" si="32"/>
        <v>90000000</v>
      </c>
      <c r="H284" s="525">
        <f t="shared" si="35"/>
        <v>6060766.7775206845</v>
      </c>
      <c r="I284" s="525">
        <v>436</v>
      </c>
      <c r="J284" s="563">
        <f t="shared" si="33"/>
        <v>98970209.118328482</v>
      </c>
      <c r="N284" s="630"/>
    </row>
    <row r="285" spans="2:16" x14ac:dyDescent="0.2">
      <c r="B285" s="529" t="s">
        <v>1048</v>
      </c>
      <c r="C285" s="525">
        <f t="shared" si="30"/>
        <v>83940084</v>
      </c>
      <c r="D285" s="563">
        <f t="shared" si="34"/>
        <v>30478735.112855744</v>
      </c>
      <c r="E285" s="563">
        <f t="shared" si="31"/>
        <v>40154059.091391712</v>
      </c>
      <c r="F285" s="525">
        <v>6441</v>
      </c>
      <c r="G285" s="525">
        <f t="shared" si="32"/>
        <v>77292000</v>
      </c>
      <c r="H285" s="525">
        <f t="shared" si="35"/>
        <v>25674853.757065836</v>
      </c>
      <c r="I285" s="525">
        <v>1847</v>
      </c>
      <c r="J285" s="563">
        <f t="shared" si="33"/>
        <v>143120912.84845755</v>
      </c>
      <c r="M285" s="578"/>
      <c r="N285" s="630"/>
    </row>
    <row r="286" spans="2:16" x14ac:dyDescent="0.2">
      <c r="B286" s="529" t="s">
        <v>1050</v>
      </c>
      <c r="C286" s="525">
        <f t="shared" si="30"/>
        <v>278169228</v>
      </c>
      <c r="D286" s="563">
        <f t="shared" si="34"/>
        <v>101003546.96761532</v>
      </c>
      <c r="E286" s="563">
        <f t="shared" si="31"/>
        <v>133066624.26640905</v>
      </c>
      <c r="F286" s="525">
        <v>17476</v>
      </c>
      <c r="G286" s="525">
        <f t="shared" si="32"/>
        <v>209712000</v>
      </c>
      <c r="H286" s="525">
        <f t="shared" si="35"/>
        <v>129277823.46546414</v>
      </c>
      <c r="I286" s="525">
        <v>9300</v>
      </c>
      <c r="J286" s="563">
        <f t="shared" si="33"/>
        <v>472056447.73187315</v>
      </c>
    </row>
    <row r="287" spans="2:16" x14ac:dyDescent="0.2">
      <c r="B287" s="529" t="s">
        <v>1052</v>
      </c>
      <c r="C287" s="525">
        <f t="shared" si="30"/>
        <v>18875400</v>
      </c>
      <c r="D287" s="563">
        <f t="shared" si="34"/>
        <v>6853678.1157998042</v>
      </c>
      <c r="E287" s="563">
        <f t="shared" si="31"/>
        <v>9029344.3949097693</v>
      </c>
      <c r="F287" s="525">
        <v>1500</v>
      </c>
      <c r="G287" s="525">
        <f t="shared" si="32"/>
        <v>18000000</v>
      </c>
      <c r="H287" s="525">
        <f t="shared" si="35"/>
        <v>4851393.5902631171</v>
      </c>
      <c r="I287" s="525">
        <v>349</v>
      </c>
      <c r="J287" s="563">
        <f t="shared" si="33"/>
        <v>31880737.985172886</v>
      </c>
      <c r="K287" s="525" t="s">
        <v>1274</v>
      </c>
    </row>
    <row r="288" spans="2:16" x14ac:dyDescent="0.2">
      <c r="B288" s="529" t="s">
        <v>1054</v>
      </c>
      <c r="C288" s="525">
        <f t="shared" si="30"/>
        <v>5789577</v>
      </c>
      <c r="D288" s="563">
        <f t="shared" si="34"/>
        <v>2102201.6584887146</v>
      </c>
      <c r="E288" s="563">
        <f t="shared" si="31"/>
        <v>2769535.1957494156</v>
      </c>
      <c r="F288" s="525">
        <v>5888</v>
      </c>
      <c r="G288" s="525">
        <f t="shared" si="32"/>
        <v>70656000</v>
      </c>
      <c r="H288" s="525">
        <f t="shared" si="35"/>
        <v>13678427.773120077</v>
      </c>
      <c r="I288" s="525">
        <v>984</v>
      </c>
      <c r="J288" s="563">
        <f t="shared" si="33"/>
        <v>87103962.968869492</v>
      </c>
      <c r="K288" s="525" t="s">
        <v>1275</v>
      </c>
    </row>
    <row r="289" spans="2:16" x14ac:dyDescent="0.2">
      <c r="B289" s="529" t="s">
        <v>1056</v>
      </c>
      <c r="C289" s="525">
        <f t="shared" si="30"/>
        <v>890226</v>
      </c>
      <c r="D289" s="563">
        <f t="shared" si="34"/>
        <v>323242.02158979396</v>
      </c>
      <c r="E289" s="563">
        <f t="shared" si="31"/>
        <v>425853.60539659794</v>
      </c>
      <c r="F289" s="525">
        <v>1650</v>
      </c>
      <c r="G289" s="525">
        <f t="shared" si="32"/>
        <v>19800000</v>
      </c>
      <c r="H289" s="525">
        <f t="shared" si="35"/>
        <v>4934798.6376601905</v>
      </c>
      <c r="I289" s="525">
        <v>355</v>
      </c>
      <c r="J289" s="563">
        <f t="shared" si="33"/>
        <v>25160652.243056789</v>
      </c>
      <c r="K289" s="525" t="s">
        <v>1276</v>
      </c>
      <c r="N289" s="525">
        <v>56000</v>
      </c>
    </row>
    <row r="290" spans="2:16" x14ac:dyDescent="0.2">
      <c r="B290" s="529" t="s">
        <v>1058</v>
      </c>
      <c r="C290" s="525">
        <f t="shared" si="30"/>
        <v>24765936</v>
      </c>
      <c r="D290" s="563">
        <f t="shared" si="34"/>
        <v>8992538.0961727183</v>
      </c>
      <c r="E290" s="563">
        <f t="shared" si="31"/>
        <v>11847174.915831933</v>
      </c>
      <c r="F290" s="525">
        <v>8464</v>
      </c>
      <c r="G290" s="525">
        <f t="shared" si="32"/>
        <v>101568000</v>
      </c>
      <c r="H290" s="525">
        <f t="shared" si="35"/>
        <v>36003178.793070123</v>
      </c>
      <c r="I290" s="525">
        <v>2590</v>
      </c>
      <c r="J290" s="563">
        <f t="shared" si="33"/>
        <v>149418353.70890206</v>
      </c>
      <c r="K290" s="525" t="s">
        <v>1277</v>
      </c>
      <c r="N290" s="525">
        <v>29325</v>
      </c>
    </row>
    <row r="291" spans="2:16" x14ac:dyDescent="0.2">
      <c r="B291" s="529" t="s">
        <v>1060</v>
      </c>
      <c r="C291" s="525">
        <f t="shared" si="30"/>
        <v>247324448</v>
      </c>
      <c r="D291" s="563">
        <f t="shared" si="34"/>
        <v>89803774.052993134</v>
      </c>
      <c r="E291" s="563">
        <f t="shared" si="31"/>
        <v>118311538.73681895</v>
      </c>
      <c r="F291" s="525">
        <v>35590</v>
      </c>
      <c r="G291" s="525">
        <f t="shared" si="32"/>
        <v>427080000</v>
      </c>
      <c r="H291" s="525">
        <f t="shared" si="35"/>
        <v>45844974.385924809</v>
      </c>
      <c r="I291" s="525">
        <v>3298</v>
      </c>
      <c r="J291" s="563">
        <f t="shared" si="33"/>
        <v>591236513.12274373</v>
      </c>
      <c r="K291" s="525" t="s">
        <v>1278</v>
      </c>
      <c r="N291" s="525">
        <v>331</v>
      </c>
      <c r="O291" s="619">
        <f>N289*N290/(1000000*N291)</f>
        <v>4.9613293051359513</v>
      </c>
      <c r="P291" s="525" t="s">
        <v>1186</v>
      </c>
    </row>
    <row r="292" spans="2:16" x14ac:dyDescent="0.2">
      <c r="B292" s="529" t="s">
        <v>1062</v>
      </c>
      <c r="C292" s="525">
        <f t="shared" si="30"/>
        <v>23847600</v>
      </c>
      <c r="D292" s="563">
        <f t="shared" si="34"/>
        <v>8659089.3032384701</v>
      </c>
      <c r="E292" s="563">
        <f t="shared" si="31"/>
        <v>11407874.449921602</v>
      </c>
      <c r="F292" s="525">
        <v>2308</v>
      </c>
      <c r="G292" s="525">
        <f t="shared" si="32"/>
        <v>27696000</v>
      </c>
      <c r="H292" s="525">
        <f t="shared" si="35"/>
        <v>4962600.3201258816</v>
      </c>
      <c r="I292" s="525">
        <v>357</v>
      </c>
      <c r="J292" s="563">
        <f t="shared" si="33"/>
        <v>44066474.770047486</v>
      </c>
    </row>
    <row r="293" spans="2:16" x14ac:dyDescent="0.2">
      <c r="B293" s="529" t="s">
        <v>1064</v>
      </c>
      <c r="C293" s="525">
        <f t="shared" si="30"/>
        <v>1887512</v>
      </c>
      <c r="D293" s="563">
        <f t="shared" si="34"/>
        <v>685357.64474975469</v>
      </c>
      <c r="E293" s="563">
        <f t="shared" si="31"/>
        <v>902921.04525069275</v>
      </c>
      <c r="F293" s="525">
        <v>1800</v>
      </c>
      <c r="G293" s="525">
        <f t="shared" si="32"/>
        <v>21600000</v>
      </c>
      <c r="H293" s="525">
        <f t="shared" si="35"/>
        <v>1278877.3934217959</v>
      </c>
      <c r="I293" s="525">
        <v>92</v>
      </c>
      <c r="J293" s="563">
        <f t="shared" si="33"/>
        <v>23781798.438672487</v>
      </c>
      <c r="K293" s="525" t="s">
        <v>1279</v>
      </c>
      <c r="N293" s="563">
        <f>O273</f>
        <v>11000.849625927953</v>
      </c>
    </row>
    <row r="294" spans="2:16" x14ac:dyDescent="0.2">
      <c r="B294" s="529" t="s">
        <v>1066</v>
      </c>
      <c r="C294" s="525">
        <f t="shared" si="30"/>
        <v>60264204</v>
      </c>
      <c r="D294" s="563">
        <f t="shared" si="34"/>
        <v>21881997.526987243</v>
      </c>
      <c r="E294" s="563">
        <f t="shared" si="31"/>
        <v>28828329.603669267</v>
      </c>
      <c r="F294" s="525">
        <v>13413</v>
      </c>
      <c r="G294" s="525">
        <f t="shared" si="32"/>
        <v>160956000</v>
      </c>
      <c r="H294" s="525">
        <f t="shared" si="35"/>
        <v>32013637.359243434</v>
      </c>
      <c r="I294" s="525">
        <v>2303</v>
      </c>
      <c r="J294" s="563">
        <f t="shared" si="33"/>
        <v>221797966.96291268</v>
      </c>
      <c r="K294" s="525" t="s">
        <v>1280</v>
      </c>
      <c r="N294" s="563">
        <f>N293/N281</f>
        <v>2200.1699251855907</v>
      </c>
    </row>
    <row r="295" spans="2:16" x14ac:dyDescent="0.2">
      <c r="B295" s="529" t="s">
        <v>1068</v>
      </c>
      <c r="C295" s="525">
        <f t="shared" si="30"/>
        <v>131912571</v>
      </c>
      <c r="D295" s="563">
        <f t="shared" si="34"/>
        <v>47897596.928361148</v>
      </c>
      <c r="E295" s="563">
        <f t="shared" si="31"/>
        <v>63102452.587865002</v>
      </c>
      <c r="F295" s="525">
        <v>9366</v>
      </c>
      <c r="G295" s="525">
        <f t="shared" si="32"/>
        <v>112392000</v>
      </c>
      <c r="H295" s="525">
        <f t="shared" si="35"/>
        <v>13344807.583531782</v>
      </c>
      <c r="I295" s="525">
        <v>960</v>
      </c>
      <c r="J295" s="563">
        <f t="shared" si="33"/>
        <v>188839260.17139679</v>
      </c>
    </row>
    <row r="296" spans="2:16" x14ac:dyDescent="0.2">
      <c r="B296" s="529" t="s">
        <v>1070</v>
      </c>
      <c r="C296" s="525">
        <f t="shared" si="30"/>
        <v>3689280</v>
      </c>
      <c r="D296" s="563">
        <f t="shared" si="34"/>
        <v>1339581.550539745</v>
      </c>
      <c r="E296" s="563">
        <f t="shared" si="31"/>
        <v>1764825.0998258428</v>
      </c>
      <c r="F296" s="525">
        <v>3650</v>
      </c>
      <c r="G296" s="525">
        <f t="shared" si="32"/>
        <v>43800000</v>
      </c>
      <c r="H296" s="525">
        <f t="shared" si="35"/>
        <v>9035546.8013496455</v>
      </c>
      <c r="I296" s="525">
        <v>650</v>
      </c>
      <c r="J296" s="563">
        <f t="shared" si="33"/>
        <v>54600371.901175492</v>
      </c>
    </row>
    <row r="297" spans="2:16" x14ac:dyDescent="0.2">
      <c r="B297" s="529" t="s">
        <v>1072</v>
      </c>
      <c r="C297" s="525">
        <f t="shared" si="30"/>
        <v>74636650</v>
      </c>
      <c r="D297" s="563">
        <f t="shared" si="34"/>
        <v>27100648.184494603</v>
      </c>
      <c r="E297" s="563">
        <f t="shared" si="31"/>
        <v>35703615.146293178</v>
      </c>
      <c r="F297" s="525">
        <v>10200</v>
      </c>
      <c r="G297" s="525">
        <f t="shared" si="32"/>
        <v>122400000</v>
      </c>
      <c r="H297" s="525">
        <f t="shared" si="35"/>
        <v>19989409.692831982</v>
      </c>
      <c r="I297" s="525">
        <v>1438</v>
      </c>
      <c r="J297" s="563">
        <f t="shared" si="33"/>
        <v>178093024.83912516</v>
      </c>
    </row>
    <row r="298" spans="2:16" x14ac:dyDescent="0.2">
      <c r="B298" s="529" t="s">
        <v>1074</v>
      </c>
      <c r="C298" s="525">
        <f t="shared" si="30"/>
        <v>181203</v>
      </c>
      <c r="D298" s="563">
        <f t="shared" si="34"/>
        <v>65795.004906771341</v>
      </c>
      <c r="E298" s="563">
        <f t="shared" si="31"/>
        <v>86681.304363925243</v>
      </c>
      <c r="F298" s="525">
        <v>1412</v>
      </c>
      <c r="G298" s="525">
        <f t="shared" si="32"/>
        <v>16944000</v>
      </c>
      <c r="H298" s="525">
        <f t="shared" si="35"/>
        <v>12135434.396274215</v>
      </c>
      <c r="I298" s="525">
        <v>873</v>
      </c>
      <c r="J298" s="563">
        <f t="shared" si="33"/>
        <v>29166115.700638138</v>
      </c>
    </row>
    <row r="299" spans="2:16" x14ac:dyDescent="0.2">
      <c r="B299" s="567" t="s">
        <v>1281</v>
      </c>
      <c r="C299" s="618"/>
      <c r="D299" s="563">
        <f>SUM(D248:D298)/10^6</f>
        <v>1886.0748507654566</v>
      </c>
      <c r="E299" s="618">
        <f>SUM(E248:E298)/10^6</f>
        <v>2484.7999999999997</v>
      </c>
      <c r="F299" s="525">
        <v>474380</v>
      </c>
      <c r="G299" s="618">
        <f>SUM(G248:G298)/10^6</f>
        <v>5516.76</v>
      </c>
      <c r="H299" s="618">
        <f>SUM(H248:H298)/10^6</f>
        <v>1999.9696315344295</v>
      </c>
      <c r="I299" s="525">
        <v>143874</v>
      </c>
      <c r="J299" s="618">
        <f>SUM(J248:J298)</f>
        <v>10001529631.53443</v>
      </c>
      <c r="K299" s="567" t="s">
        <v>1282</v>
      </c>
    </row>
    <row r="300" spans="2:16" x14ac:dyDescent="0.2">
      <c r="C300" s="566"/>
      <c r="I300" s="630">
        <f>I299-L240</f>
        <v>61847</v>
      </c>
      <c r="J300" s="525" t="s">
        <v>1283</v>
      </c>
      <c r="O300" s="630"/>
    </row>
    <row r="301" spans="2:16" x14ac:dyDescent="0.2">
      <c r="B301" s="525" t="s">
        <v>1284</v>
      </c>
      <c r="I301" s="573">
        <f>N290/I299</f>
        <v>0.20382417949038742</v>
      </c>
      <c r="J301" s="525" t="s">
        <v>1285</v>
      </c>
    </row>
    <row r="302" spans="2:16" x14ac:dyDescent="0.2">
      <c r="I302" s="573">
        <f>(I300-N290)/I299</f>
        <v>0.22604501160737867</v>
      </c>
      <c r="J302" s="525" t="s">
        <v>1286</v>
      </c>
    </row>
    <row r="303" spans="2:16" x14ac:dyDescent="0.2">
      <c r="B303" s="525" t="s">
        <v>1287</v>
      </c>
    </row>
    <row r="304" spans="2:16" x14ac:dyDescent="0.2">
      <c r="B304" s="525" t="s">
        <v>1288</v>
      </c>
    </row>
    <row r="306" spans="2:28" x14ac:dyDescent="0.2">
      <c r="B306" s="525" t="s">
        <v>1289</v>
      </c>
      <c r="I306" s="630"/>
    </row>
    <row r="307" spans="2:28" ht="11.25" customHeight="1" x14ac:dyDescent="0.2"/>
    <row r="308" spans="2:28" x14ac:dyDescent="0.2">
      <c r="B308" s="554"/>
      <c r="C308" s="555"/>
      <c r="D308" s="555"/>
      <c r="E308" s="555"/>
      <c r="F308" s="555"/>
      <c r="G308" s="555"/>
      <c r="H308" s="555"/>
      <c r="I308" s="555"/>
      <c r="J308" s="555"/>
      <c r="K308" s="555"/>
      <c r="L308" s="555"/>
      <c r="M308" s="555"/>
      <c r="N308" s="555"/>
      <c r="O308" s="555"/>
      <c r="P308" s="555"/>
      <c r="Q308" s="555"/>
      <c r="R308" s="555"/>
      <c r="S308" s="555"/>
      <c r="T308" s="555"/>
      <c r="U308" s="555"/>
      <c r="V308" s="631"/>
      <c r="W308" s="631"/>
      <c r="X308" s="631"/>
      <c r="Y308" s="631"/>
      <c r="Z308" s="631"/>
      <c r="AA308" s="631"/>
      <c r="AB308" s="631"/>
    </row>
    <row r="309" spans="2:28" x14ac:dyDescent="0.2">
      <c r="B309" s="554"/>
      <c r="C309" s="555"/>
      <c r="D309" s="555"/>
      <c r="E309" s="555"/>
      <c r="F309" s="555"/>
      <c r="G309" s="555"/>
      <c r="H309" s="555"/>
      <c r="I309" s="555"/>
      <c r="J309" s="555"/>
      <c r="K309" s="555"/>
      <c r="L309" s="555"/>
      <c r="M309" s="555"/>
      <c r="N309" s="555"/>
      <c r="O309" s="555"/>
      <c r="P309" s="555"/>
      <c r="Q309" s="555"/>
      <c r="R309" s="555"/>
      <c r="S309" s="555"/>
      <c r="T309" s="555"/>
      <c r="U309" s="555"/>
      <c r="V309" s="555"/>
      <c r="W309" s="555"/>
      <c r="X309" s="555"/>
      <c r="Y309" s="555"/>
      <c r="Z309" s="555"/>
      <c r="AA309" s="555"/>
      <c r="AB309" s="527"/>
    </row>
    <row r="310" spans="2:28" x14ac:dyDescent="0.2">
      <c r="B310" s="556"/>
      <c r="C310" s="543"/>
      <c r="D310" s="543"/>
      <c r="E310" s="543"/>
      <c r="F310" s="543"/>
      <c r="G310" s="543"/>
      <c r="H310" s="543"/>
      <c r="I310" s="543"/>
      <c r="J310" s="543"/>
      <c r="K310" s="543"/>
      <c r="L310" s="543"/>
      <c r="M310" s="543"/>
      <c r="N310" s="543"/>
      <c r="O310" s="543"/>
      <c r="P310" s="543"/>
      <c r="Q310" s="543"/>
      <c r="R310" s="543"/>
      <c r="S310" s="543"/>
      <c r="T310" s="543"/>
      <c r="U310" s="543"/>
      <c r="V310" s="543"/>
      <c r="W310" s="540"/>
      <c r="X310" s="540"/>
      <c r="Y310" s="540"/>
      <c r="Z310" s="543"/>
      <c r="AA310" s="543"/>
      <c r="AB310" s="543"/>
    </row>
    <row r="311" spans="2:28" x14ac:dyDescent="0.2">
      <c r="B311" s="556"/>
      <c r="C311" s="543"/>
      <c r="D311" s="543"/>
      <c r="E311" s="543"/>
      <c r="F311" s="543"/>
      <c r="G311" s="543"/>
      <c r="H311" s="543"/>
      <c r="I311" s="543"/>
      <c r="J311" s="543"/>
      <c r="K311" s="543"/>
      <c r="L311" s="543"/>
      <c r="M311" s="543"/>
      <c r="N311" s="543"/>
      <c r="O311" s="543"/>
      <c r="P311" s="543"/>
      <c r="Q311" s="543"/>
      <c r="R311" s="543"/>
      <c r="S311" s="543"/>
      <c r="T311" s="543"/>
      <c r="U311" s="543"/>
      <c r="V311" s="543"/>
      <c r="W311" s="540"/>
      <c r="X311" s="540"/>
      <c r="Y311" s="540"/>
      <c r="Z311" s="543"/>
      <c r="AA311" s="543"/>
      <c r="AB311" s="543"/>
    </row>
    <row r="312" spans="2:28" x14ac:dyDescent="0.2">
      <c r="B312" s="556"/>
      <c r="C312" s="543"/>
      <c r="D312" s="543"/>
      <c r="E312" s="543"/>
      <c r="F312" s="543"/>
      <c r="G312" s="543"/>
      <c r="H312" s="543"/>
      <c r="I312" s="543"/>
      <c r="J312" s="543"/>
      <c r="K312" s="543"/>
      <c r="L312" s="543"/>
      <c r="M312" s="543"/>
      <c r="N312" s="543"/>
      <c r="O312" s="543"/>
      <c r="P312" s="543"/>
      <c r="Q312" s="543"/>
      <c r="R312" s="543"/>
      <c r="S312" s="543"/>
      <c r="T312" s="543"/>
      <c r="U312" s="543"/>
      <c r="V312" s="543"/>
      <c r="W312" s="540"/>
      <c r="X312" s="540"/>
      <c r="Y312" s="540"/>
      <c r="Z312" s="543"/>
      <c r="AA312" s="543"/>
      <c r="AB312" s="543"/>
    </row>
    <row r="313" spans="2:28" x14ac:dyDescent="0.2">
      <c r="B313" s="556"/>
      <c r="C313" s="543"/>
      <c r="D313" s="543"/>
      <c r="E313" s="543"/>
      <c r="F313" s="543"/>
      <c r="G313" s="543"/>
      <c r="H313" s="543"/>
      <c r="I313" s="543"/>
      <c r="J313" s="543"/>
      <c r="K313" s="543"/>
      <c r="L313" s="543"/>
      <c r="M313" s="543"/>
      <c r="N313" s="543"/>
      <c r="O313" s="543"/>
      <c r="P313" s="543"/>
      <c r="Q313" s="543"/>
      <c r="R313" s="543"/>
      <c r="S313" s="543"/>
      <c r="T313" s="543"/>
      <c r="U313" s="543"/>
      <c r="V313" s="543"/>
      <c r="W313" s="540"/>
      <c r="X313" s="540"/>
      <c r="Y313" s="540"/>
      <c r="Z313" s="543"/>
      <c r="AA313" s="543"/>
      <c r="AB313" s="543"/>
    </row>
    <row r="314" spans="2:28" x14ac:dyDescent="0.2">
      <c r="B314" s="556"/>
      <c r="C314" s="543"/>
      <c r="D314" s="543"/>
      <c r="E314" s="543"/>
      <c r="F314" s="543"/>
      <c r="G314" s="543"/>
      <c r="H314" s="543"/>
      <c r="I314" s="543"/>
      <c r="J314" s="543"/>
      <c r="K314" s="543"/>
      <c r="L314" s="543"/>
      <c r="M314" s="543"/>
      <c r="N314" s="543"/>
      <c r="O314" s="543"/>
      <c r="P314" s="543"/>
      <c r="Q314" s="543"/>
      <c r="R314" s="543"/>
      <c r="S314" s="543"/>
      <c r="T314" s="543"/>
      <c r="U314" s="543"/>
      <c r="V314" s="543"/>
      <c r="W314" s="540"/>
      <c r="X314" s="540"/>
      <c r="Y314" s="540"/>
      <c r="Z314" s="543"/>
      <c r="AA314" s="543"/>
      <c r="AB314" s="543"/>
    </row>
    <row r="315" spans="2:28" x14ac:dyDescent="0.2">
      <c r="B315" s="556"/>
      <c r="C315" s="543"/>
      <c r="D315" s="543"/>
      <c r="E315" s="543"/>
      <c r="F315" s="543"/>
      <c r="G315" s="543"/>
      <c r="H315" s="543"/>
      <c r="I315" s="543"/>
      <c r="J315" s="543"/>
      <c r="K315" s="543"/>
      <c r="L315" s="543"/>
      <c r="M315" s="543"/>
      <c r="N315" s="543"/>
      <c r="O315" s="543"/>
      <c r="P315" s="543"/>
      <c r="Q315" s="543"/>
      <c r="R315" s="543"/>
      <c r="S315" s="543"/>
      <c r="T315" s="543"/>
      <c r="U315" s="543"/>
      <c r="V315" s="543"/>
      <c r="W315" s="543"/>
      <c r="X315" s="543"/>
      <c r="Y315" s="543"/>
      <c r="Z315" s="543"/>
      <c r="AA315" s="543"/>
      <c r="AB315" s="543"/>
    </row>
    <row r="316" spans="2:28" x14ac:dyDescent="0.2">
      <c r="B316" s="556"/>
      <c r="C316" s="543"/>
      <c r="D316" s="543"/>
      <c r="E316" s="543"/>
      <c r="F316" s="543"/>
      <c r="G316" s="543"/>
      <c r="H316" s="543"/>
      <c r="I316" s="543"/>
      <c r="J316" s="543"/>
      <c r="K316" s="543"/>
      <c r="L316" s="543"/>
      <c r="M316" s="543"/>
      <c r="N316" s="543"/>
      <c r="O316" s="543"/>
      <c r="P316" s="543"/>
      <c r="Q316" s="543"/>
      <c r="R316" s="543"/>
      <c r="S316" s="543"/>
      <c r="T316" s="543"/>
      <c r="U316" s="543"/>
      <c r="V316" s="543"/>
      <c r="W316" s="543"/>
      <c r="X316" s="543"/>
      <c r="Y316" s="543"/>
      <c r="Z316" s="543"/>
      <c r="AA316" s="543"/>
      <c r="AB316" s="543"/>
    </row>
    <row r="317" spans="2:28" x14ac:dyDescent="0.2">
      <c r="B317" s="554"/>
      <c r="C317" s="555"/>
      <c r="D317" s="555"/>
      <c r="E317" s="555"/>
      <c r="F317" s="555"/>
      <c r="G317" s="555"/>
      <c r="H317" s="555"/>
      <c r="I317" s="555"/>
      <c r="J317" s="555"/>
      <c r="K317" s="555"/>
      <c r="L317" s="555"/>
      <c r="M317" s="555"/>
      <c r="N317" s="555"/>
      <c r="O317" s="555"/>
      <c r="P317" s="555"/>
      <c r="Q317" s="555"/>
      <c r="R317" s="555"/>
      <c r="S317" s="555"/>
      <c r="T317" s="555"/>
      <c r="U317" s="555"/>
      <c r="V317" s="555"/>
      <c r="W317" s="555"/>
      <c r="X317" s="555"/>
      <c r="Y317" s="555"/>
      <c r="Z317" s="555"/>
      <c r="AA317" s="555"/>
      <c r="AB317" s="555"/>
    </row>
    <row r="318" spans="2:28" x14ac:dyDescent="0.2">
      <c r="B318" s="556"/>
      <c r="C318" s="543"/>
      <c r="D318" s="543"/>
      <c r="E318" s="543"/>
      <c r="F318" s="543"/>
      <c r="G318" s="543"/>
      <c r="H318" s="543"/>
      <c r="I318" s="543"/>
      <c r="J318" s="543"/>
      <c r="K318" s="543"/>
      <c r="L318" s="543"/>
      <c r="M318" s="543"/>
      <c r="N318" s="543"/>
      <c r="O318" s="543"/>
      <c r="P318" s="543"/>
      <c r="Q318" s="543"/>
      <c r="R318" s="543"/>
      <c r="S318" s="543"/>
      <c r="T318" s="543"/>
      <c r="U318" s="543"/>
      <c r="V318" s="543"/>
      <c r="W318" s="543"/>
      <c r="X318" s="543"/>
      <c r="Y318" s="543"/>
      <c r="Z318" s="543"/>
      <c r="AA318" s="543"/>
      <c r="AB318" s="543"/>
    </row>
    <row r="319" spans="2:28" x14ac:dyDescent="0.2">
      <c r="B319" s="556"/>
      <c r="C319" s="543"/>
      <c r="D319" s="543"/>
      <c r="E319" s="543"/>
      <c r="F319" s="543"/>
      <c r="G319" s="543"/>
      <c r="H319" s="543"/>
      <c r="I319" s="543"/>
      <c r="J319" s="543"/>
      <c r="K319" s="543"/>
      <c r="L319" s="543"/>
      <c r="M319" s="543"/>
      <c r="N319" s="543"/>
      <c r="O319" s="543"/>
      <c r="P319" s="543"/>
      <c r="Q319" s="543"/>
      <c r="R319" s="543"/>
      <c r="S319" s="543"/>
      <c r="T319" s="543"/>
      <c r="U319" s="543"/>
      <c r="V319" s="543"/>
      <c r="W319" s="543"/>
      <c r="X319" s="543"/>
      <c r="Y319" s="543"/>
      <c r="Z319" s="543"/>
      <c r="AA319" s="543"/>
      <c r="AB319" s="543"/>
    </row>
    <row r="320" spans="2:28" x14ac:dyDescent="0.2">
      <c r="B320" s="556"/>
      <c r="C320" s="543"/>
      <c r="D320" s="543"/>
      <c r="E320" s="543"/>
      <c r="F320" s="543"/>
      <c r="G320" s="543"/>
      <c r="H320" s="543"/>
      <c r="I320" s="543"/>
      <c r="J320" s="543"/>
      <c r="K320" s="543"/>
      <c r="L320" s="543"/>
      <c r="M320" s="543"/>
      <c r="N320" s="543"/>
      <c r="O320" s="543"/>
      <c r="P320" s="543"/>
      <c r="Q320" s="543"/>
      <c r="R320" s="543"/>
      <c r="S320" s="543"/>
      <c r="T320" s="543"/>
      <c r="U320" s="543"/>
      <c r="V320" s="543"/>
      <c r="W320" s="543"/>
      <c r="X320" s="543"/>
      <c r="Y320" s="543"/>
      <c r="Z320" s="543"/>
      <c r="AA320" s="543"/>
      <c r="AB320" s="543"/>
    </row>
    <row r="321" spans="2:28" x14ac:dyDescent="0.2">
      <c r="B321" s="556"/>
      <c r="C321" s="543"/>
      <c r="D321" s="543"/>
      <c r="E321" s="543"/>
      <c r="F321" s="543"/>
      <c r="G321" s="543"/>
      <c r="H321" s="543"/>
      <c r="I321" s="543"/>
      <c r="J321" s="543"/>
      <c r="K321" s="543"/>
      <c r="L321" s="543"/>
      <c r="M321" s="543"/>
      <c r="N321" s="543"/>
      <c r="O321" s="543"/>
      <c r="P321" s="543"/>
      <c r="Q321" s="543"/>
      <c r="R321" s="543"/>
      <c r="S321" s="543"/>
      <c r="T321" s="543"/>
      <c r="U321" s="543"/>
      <c r="V321" s="543"/>
      <c r="W321" s="543"/>
      <c r="X321" s="543"/>
      <c r="Y321" s="543"/>
      <c r="Z321" s="543"/>
      <c r="AA321" s="543"/>
      <c r="AB321" s="543"/>
    </row>
    <row r="322" spans="2:28" x14ac:dyDescent="0.2">
      <c r="B322" s="556"/>
      <c r="C322" s="543"/>
      <c r="D322" s="543"/>
      <c r="E322" s="543"/>
      <c r="F322" s="543"/>
      <c r="G322" s="543"/>
      <c r="H322" s="543"/>
      <c r="I322" s="543"/>
      <c r="J322" s="543"/>
      <c r="K322" s="543"/>
      <c r="L322" s="543"/>
      <c r="M322" s="543"/>
      <c r="N322" s="543"/>
      <c r="O322" s="543"/>
      <c r="P322" s="543"/>
      <c r="Q322" s="543"/>
      <c r="R322" s="543"/>
      <c r="S322" s="543"/>
      <c r="T322" s="543"/>
      <c r="U322" s="543"/>
      <c r="V322" s="543"/>
      <c r="W322" s="543"/>
      <c r="X322" s="543"/>
      <c r="Y322" s="543"/>
      <c r="Z322" s="543"/>
      <c r="AA322" s="543"/>
      <c r="AB322" s="543"/>
    </row>
    <row r="323" spans="2:28" x14ac:dyDescent="0.2">
      <c r="B323" s="556"/>
      <c r="C323" s="543"/>
      <c r="D323" s="543"/>
      <c r="E323" s="543"/>
      <c r="F323" s="543"/>
      <c r="G323" s="543"/>
      <c r="H323" s="543"/>
      <c r="I323" s="543"/>
      <c r="J323" s="543"/>
      <c r="K323" s="543"/>
      <c r="L323" s="543"/>
      <c r="M323" s="543"/>
      <c r="N323" s="543"/>
      <c r="O323" s="543"/>
      <c r="P323" s="543"/>
      <c r="Q323" s="543"/>
      <c r="R323" s="543"/>
      <c r="S323" s="543"/>
      <c r="T323" s="543"/>
      <c r="U323" s="543"/>
      <c r="V323" s="543"/>
      <c r="W323" s="543"/>
      <c r="X323" s="543"/>
      <c r="Y323" s="543"/>
      <c r="Z323" s="543"/>
      <c r="AA323" s="543"/>
      <c r="AB323" s="543"/>
    </row>
    <row r="324" spans="2:28" x14ac:dyDescent="0.2">
      <c r="B324" s="556"/>
      <c r="C324" s="543"/>
      <c r="D324" s="543"/>
      <c r="E324" s="543"/>
      <c r="F324" s="543"/>
      <c r="G324" s="543"/>
      <c r="H324" s="543"/>
      <c r="I324" s="543"/>
      <c r="J324" s="543"/>
      <c r="K324" s="543"/>
      <c r="L324" s="543"/>
      <c r="M324" s="543"/>
      <c r="N324" s="543"/>
      <c r="O324" s="543"/>
      <c r="P324" s="543"/>
      <c r="Q324" s="543"/>
      <c r="R324" s="543"/>
      <c r="S324" s="543"/>
      <c r="T324" s="543"/>
      <c r="U324" s="543"/>
      <c r="V324" s="543"/>
      <c r="W324" s="543"/>
      <c r="X324" s="543"/>
      <c r="Y324" s="543"/>
      <c r="Z324" s="543"/>
      <c r="AA324" s="543"/>
      <c r="AB324" s="543"/>
    </row>
    <row r="325" spans="2:28" x14ac:dyDescent="0.2">
      <c r="B325" s="554"/>
      <c r="C325" s="555"/>
      <c r="D325" s="555"/>
      <c r="E325" s="555"/>
      <c r="F325" s="555"/>
      <c r="G325" s="555"/>
      <c r="H325" s="555"/>
      <c r="I325" s="555"/>
      <c r="J325" s="555"/>
      <c r="K325" s="555"/>
      <c r="L325" s="555"/>
      <c r="M325" s="555"/>
      <c r="N325" s="555"/>
      <c r="O325" s="555"/>
      <c r="P325" s="555"/>
      <c r="Q325" s="555"/>
      <c r="R325" s="555"/>
      <c r="S325" s="555"/>
      <c r="T325" s="555"/>
      <c r="U325" s="555"/>
      <c r="V325" s="555"/>
      <c r="W325" s="555"/>
      <c r="X325" s="555"/>
      <c r="Y325" s="555"/>
      <c r="Z325" s="555"/>
      <c r="AA325" s="555"/>
      <c r="AB325" s="555"/>
    </row>
    <row r="326" spans="2:28" x14ac:dyDescent="0.2">
      <c r="B326" s="1162"/>
      <c r="C326" s="1151"/>
      <c r="D326" s="1151"/>
      <c r="E326" s="1151"/>
      <c r="F326" s="1151"/>
      <c r="G326" s="842"/>
      <c r="H326" s="842"/>
      <c r="I326" s="842"/>
      <c r="J326" s="842"/>
      <c r="K326" s="842"/>
      <c r="L326" s="842"/>
      <c r="M326" s="842"/>
      <c r="N326" s="842"/>
      <c r="O326" s="842"/>
      <c r="P326" s="557"/>
      <c r="Q326" s="557"/>
      <c r="R326" s="557"/>
      <c r="S326" s="557"/>
      <c r="T326" s="557"/>
      <c r="U326" s="557"/>
      <c r="V326" s="557"/>
      <c r="W326" s="557"/>
      <c r="X326" s="557"/>
      <c r="Y326" s="557"/>
      <c r="Z326" s="557"/>
      <c r="AA326" s="557"/>
    </row>
    <row r="327" spans="2:28" ht="12.75" customHeight="1" x14ac:dyDescent="0.2">
      <c r="B327" s="843"/>
      <c r="C327" s="842"/>
      <c r="D327" s="842"/>
      <c r="E327" s="842"/>
      <c r="F327" s="842"/>
      <c r="G327" s="842"/>
      <c r="H327" s="842"/>
      <c r="I327" s="842"/>
      <c r="J327" s="842"/>
      <c r="K327" s="842"/>
      <c r="L327" s="842"/>
      <c r="M327" s="842"/>
      <c r="N327" s="842"/>
      <c r="O327" s="842"/>
      <c r="P327" s="557"/>
      <c r="Q327" s="557"/>
      <c r="R327" s="557"/>
      <c r="S327" s="557"/>
      <c r="T327" s="557"/>
      <c r="U327" s="557"/>
      <c r="V327" s="557"/>
      <c r="W327" s="557"/>
      <c r="X327" s="557"/>
      <c r="Y327" s="557"/>
      <c r="Z327" s="557"/>
      <c r="AA327" s="557"/>
      <c r="AB327" s="552"/>
    </row>
    <row r="328" spans="2:28" ht="12.75" customHeight="1" x14ac:dyDescent="0.2">
      <c r="B328" s="1144"/>
      <c r="C328" s="1151"/>
      <c r="D328" s="1151"/>
      <c r="E328" s="1151"/>
      <c r="F328" s="1151"/>
      <c r="G328" s="1151"/>
      <c r="H328" s="1151"/>
      <c r="I328" s="1151"/>
      <c r="J328" s="1151"/>
      <c r="K328" s="1151"/>
      <c r="L328" s="1151"/>
      <c r="M328" s="1151"/>
      <c r="N328" s="1151"/>
      <c r="O328" s="1151"/>
      <c r="P328" s="1151"/>
      <c r="Q328" s="1151"/>
      <c r="R328" s="557"/>
      <c r="S328" s="557"/>
      <c r="T328" s="557"/>
      <c r="U328" s="557"/>
      <c r="V328" s="557"/>
      <c r="W328" s="557"/>
      <c r="X328" s="557"/>
      <c r="Y328" s="557"/>
      <c r="Z328" s="557"/>
      <c r="AA328" s="557"/>
      <c r="AB328" s="557"/>
    </row>
    <row r="329" spans="2:28" ht="12.75" customHeight="1" x14ac:dyDescent="0.2">
      <c r="B329" s="1144"/>
      <c r="C329" s="1147"/>
      <c r="D329" s="1147"/>
      <c r="E329" s="1147"/>
      <c r="F329" s="1147"/>
      <c r="G329" s="1147"/>
      <c r="H329" s="1147"/>
      <c r="I329" s="1147"/>
      <c r="J329" s="1147"/>
      <c r="K329" s="1147"/>
      <c r="L329" s="1147"/>
      <c r="M329" s="1147"/>
      <c r="N329" s="1147"/>
      <c r="O329" s="1147"/>
      <c r="P329" s="1147"/>
      <c r="Q329" s="1147"/>
      <c r="R329" s="557"/>
      <c r="S329" s="557"/>
      <c r="T329" s="557"/>
      <c r="U329" s="557"/>
      <c r="V329" s="557"/>
      <c r="W329" s="557"/>
      <c r="X329" s="557"/>
      <c r="Y329" s="557"/>
      <c r="Z329" s="557"/>
      <c r="AA329" s="557"/>
      <c r="AB329" s="552"/>
    </row>
    <row r="330" spans="2:28" ht="12.75" customHeight="1" x14ac:dyDescent="0.2">
      <c r="B330" s="843"/>
      <c r="C330" s="843"/>
      <c r="D330" s="843"/>
      <c r="E330" s="843"/>
      <c r="F330" s="843"/>
      <c r="G330" s="843"/>
      <c r="H330" s="843"/>
      <c r="I330" s="843"/>
      <c r="J330" s="843"/>
      <c r="K330" s="843"/>
      <c r="L330" s="843"/>
      <c r="M330" s="842"/>
      <c r="N330" s="842"/>
      <c r="O330" s="842"/>
      <c r="P330" s="557"/>
      <c r="Q330" s="557"/>
      <c r="R330" s="557"/>
      <c r="S330" s="557"/>
      <c r="T330" s="557"/>
      <c r="U330" s="557"/>
      <c r="V330" s="557"/>
      <c r="W330" s="557"/>
      <c r="X330" s="557"/>
      <c r="Y330" s="557"/>
      <c r="Z330" s="557"/>
      <c r="AA330" s="557"/>
      <c r="AB330" s="552"/>
    </row>
    <row r="331" spans="2:28" x14ac:dyDescent="0.2">
      <c r="B331" s="846"/>
      <c r="C331" s="844"/>
      <c r="D331" s="844"/>
      <c r="E331" s="844"/>
      <c r="F331" s="844"/>
      <c r="G331" s="842"/>
      <c r="H331" s="842"/>
      <c r="I331" s="842"/>
      <c r="J331" s="842"/>
      <c r="K331" s="842"/>
      <c r="L331" s="842"/>
      <c r="M331" s="842"/>
      <c r="N331" s="842"/>
      <c r="O331" s="842"/>
      <c r="P331" s="506"/>
      <c r="Q331" s="552"/>
      <c r="R331" s="552"/>
      <c r="S331" s="552"/>
      <c r="T331" s="552"/>
      <c r="U331" s="552"/>
      <c r="V331" s="552"/>
      <c r="W331" s="552"/>
      <c r="X331" s="552"/>
      <c r="Y331" s="552"/>
      <c r="Z331" s="552"/>
      <c r="AA331" s="552"/>
      <c r="AB331" s="552"/>
    </row>
    <row r="332" spans="2:28" ht="12.75" customHeight="1" x14ac:dyDescent="0.2">
      <c r="B332" s="1157"/>
      <c r="C332" s="1147"/>
      <c r="D332" s="1147"/>
      <c r="E332" s="1147"/>
      <c r="F332" s="1147"/>
      <c r="G332" s="1147"/>
      <c r="H332" s="1147"/>
      <c r="I332" s="1147"/>
      <c r="J332" s="1147"/>
      <c r="K332" s="1147"/>
      <c r="L332" s="1147"/>
      <c r="M332" s="1147"/>
      <c r="N332" s="1147"/>
      <c r="O332" s="1147"/>
      <c r="P332" s="1147"/>
      <c r="Q332" s="1147"/>
      <c r="R332" s="552"/>
      <c r="S332" s="552"/>
      <c r="T332" s="552"/>
      <c r="U332" s="552"/>
      <c r="V332" s="552"/>
      <c r="W332" s="552"/>
      <c r="X332" s="552"/>
      <c r="Y332" s="552"/>
      <c r="Z332" s="552"/>
      <c r="AA332" s="552"/>
      <c r="AB332" s="552"/>
    </row>
    <row r="333" spans="2:28" ht="12.75" customHeight="1" x14ac:dyDescent="0.2">
      <c r="B333" s="1157"/>
      <c r="C333" s="1147"/>
      <c r="D333" s="1147"/>
      <c r="E333" s="1147"/>
      <c r="F333" s="1147"/>
      <c r="G333" s="1147"/>
      <c r="H333" s="1147"/>
      <c r="I333" s="1147"/>
      <c r="J333" s="1147"/>
      <c r="K333" s="1147"/>
      <c r="L333" s="1147"/>
      <c r="M333" s="1147"/>
      <c r="N333" s="1147"/>
      <c r="O333" s="1147"/>
      <c r="P333" s="1147"/>
      <c r="Q333" s="1147"/>
      <c r="R333" s="552"/>
      <c r="S333" s="552"/>
      <c r="T333" s="552"/>
      <c r="U333" s="552"/>
      <c r="V333" s="552"/>
      <c r="W333" s="552"/>
      <c r="X333" s="552"/>
      <c r="Y333" s="552"/>
      <c r="Z333" s="552"/>
      <c r="AA333" s="552"/>
      <c r="AB333" s="552"/>
    </row>
    <row r="334" spans="2:28" ht="12" customHeight="1" x14ac:dyDescent="0.2">
      <c r="B334" s="1157"/>
      <c r="C334" s="1147"/>
      <c r="D334" s="1147"/>
      <c r="E334" s="1147"/>
      <c r="F334" s="1147"/>
      <c r="G334" s="1147"/>
      <c r="H334" s="1147"/>
      <c r="I334" s="1147"/>
      <c r="J334" s="1147"/>
      <c r="K334" s="1147"/>
      <c r="L334" s="1147"/>
      <c r="M334" s="1147"/>
      <c r="N334" s="1147"/>
      <c r="O334" s="1147"/>
      <c r="P334" s="1147"/>
      <c r="Q334" s="1147"/>
      <c r="R334" s="552"/>
      <c r="S334" s="552"/>
      <c r="T334" s="552"/>
      <c r="U334" s="552"/>
      <c r="V334" s="552"/>
      <c r="W334" s="552"/>
      <c r="X334" s="552"/>
      <c r="Y334" s="552"/>
      <c r="Z334" s="552"/>
      <c r="AA334" s="552"/>
      <c r="AB334" s="552"/>
    </row>
    <row r="335" spans="2:28" ht="12.75" customHeight="1" x14ac:dyDescent="0.2">
      <c r="B335" s="1144"/>
      <c r="C335" s="1147"/>
      <c r="D335" s="1147"/>
      <c r="E335" s="1147"/>
      <c r="F335" s="1147"/>
      <c r="G335" s="1147"/>
      <c r="H335" s="1147"/>
      <c r="I335" s="1147"/>
      <c r="J335" s="1147"/>
      <c r="K335" s="1147"/>
      <c r="L335" s="1147"/>
      <c r="M335" s="1147"/>
      <c r="N335" s="1147"/>
      <c r="O335" s="1147"/>
      <c r="P335" s="1147"/>
      <c r="Q335" s="1147"/>
      <c r="R335" s="552"/>
      <c r="S335" s="552"/>
      <c r="T335" s="552"/>
      <c r="U335" s="552"/>
      <c r="V335" s="552"/>
      <c r="W335" s="552"/>
      <c r="X335" s="552"/>
      <c r="Y335" s="552"/>
      <c r="Z335" s="552"/>
      <c r="AA335" s="552"/>
      <c r="AB335" s="552"/>
    </row>
    <row r="336" spans="2:28" ht="12.75" customHeight="1" x14ac:dyDescent="0.2">
      <c r="B336" s="1144"/>
      <c r="C336" s="1151"/>
      <c r="D336" s="1151"/>
      <c r="E336" s="842"/>
      <c r="F336" s="842"/>
      <c r="G336" s="842"/>
      <c r="H336" s="842"/>
      <c r="I336" s="842"/>
      <c r="J336" s="842"/>
      <c r="K336" s="842"/>
      <c r="L336" s="842"/>
      <c r="M336" s="842"/>
      <c r="N336" s="842"/>
      <c r="O336" s="842"/>
      <c r="P336" s="557"/>
      <c r="Q336" s="552"/>
      <c r="R336" s="552"/>
      <c r="S336" s="552"/>
      <c r="T336" s="552"/>
      <c r="U336" s="552"/>
      <c r="V336" s="552"/>
      <c r="W336" s="552"/>
      <c r="X336" s="552"/>
      <c r="Y336" s="552"/>
      <c r="Z336" s="552"/>
      <c r="AA336" s="552"/>
      <c r="AB336" s="552"/>
    </row>
    <row r="337" spans="2:28" ht="12.75" customHeight="1" x14ac:dyDescent="0.2">
      <c r="B337" s="1157"/>
      <c r="C337" s="1157"/>
      <c r="D337" s="1157"/>
      <c r="E337" s="841"/>
      <c r="F337" s="841"/>
      <c r="G337" s="841"/>
      <c r="H337" s="841"/>
      <c r="I337" s="841"/>
      <c r="J337" s="841"/>
      <c r="K337" s="841"/>
      <c r="L337" s="841"/>
      <c r="M337" s="842"/>
      <c r="N337" s="842"/>
      <c r="O337" s="842"/>
      <c r="P337" s="557"/>
      <c r="Q337" s="552"/>
      <c r="R337" s="552"/>
      <c r="S337" s="552"/>
      <c r="T337" s="552"/>
      <c r="U337" s="552"/>
      <c r="V337" s="552"/>
      <c r="W337" s="552"/>
      <c r="X337" s="552"/>
      <c r="Y337" s="552"/>
      <c r="Z337" s="552"/>
      <c r="AA337" s="552"/>
      <c r="AB337" s="552"/>
    </row>
    <row r="338" spans="2:28" ht="12.75" customHeight="1" x14ac:dyDescent="0.2">
      <c r="B338" s="1157"/>
      <c r="C338" s="1157"/>
      <c r="D338" s="1157"/>
      <c r="E338" s="1157"/>
      <c r="F338" s="1157"/>
      <c r="G338" s="1157"/>
      <c r="H338" s="1157"/>
      <c r="I338" s="1157"/>
      <c r="J338" s="1157"/>
      <c r="K338" s="1157"/>
      <c r="L338" s="1157"/>
      <c r="M338" s="1151"/>
      <c r="N338" s="1151"/>
      <c r="O338" s="1151"/>
      <c r="P338" s="557"/>
      <c r="Q338" s="552"/>
      <c r="R338" s="552"/>
      <c r="S338" s="552"/>
      <c r="T338" s="552"/>
      <c r="U338" s="552"/>
      <c r="V338" s="552"/>
      <c r="W338" s="552"/>
      <c r="X338" s="552"/>
      <c r="Y338" s="552"/>
      <c r="Z338" s="552"/>
      <c r="AA338" s="552"/>
      <c r="AB338" s="552"/>
    </row>
    <row r="339" spans="2:28" x14ac:dyDescent="0.2">
      <c r="B339" s="1157"/>
      <c r="C339" s="1157"/>
      <c r="D339" s="1157"/>
      <c r="E339" s="1157"/>
      <c r="F339" s="1157"/>
      <c r="G339" s="1157"/>
      <c r="H339" s="1157"/>
      <c r="I339" s="1157"/>
      <c r="J339" s="1157"/>
      <c r="K339" s="1157"/>
      <c r="L339" s="1157"/>
      <c r="M339" s="1151"/>
      <c r="N339" s="1151"/>
      <c r="O339" s="1151"/>
    </row>
    <row r="340" spans="2:28" x14ac:dyDescent="0.2">
      <c r="B340" s="1157"/>
      <c r="C340" s="1157"/>
      <c r="D340" s="1157"/>
      <c r="E340" s="1157"/>
      <c r="F340" s="1157"/>
      <c r="G340" s="1157"/>
      <c r="H340" s="1157"/>
      <c r="I340" s="1157"/>
      <c r="J340" s="1157"/>
      <c r="K340" s="1157"/>
      <c r="L340" s="1157"/>
      <c r="M340" s="1151"/>
      <c r="N340" s="1151"/>
      <c r="O340" s="1151"/>
    </row>
    <row r="341" spans="2:28" x14ac:dyDescent="0.2">
      <c r="B341" s="1157"/>
      <c r="C341" s="1157"/>
      <c r="D341" s="1157"/>
      <c r="E341" s="1157"/>
      <c r="F341" s="1157"/>
      <c r="G341" s="1157"/>
      <c r="H341" s="1157"/>
      <c r="I341" s="1157"/>
      <c r="J341" s="1157"/>
      <c r="K341" s="1157"/>
      <c r="L341" s="1157"/>
      <c r="M341" s="1151"/>
      <c r="N341" s="1151"/>
      <c r="O341" s="1151"/>
    </row>
    <row r="342" spans="2:28" x14ac:dyDescent="0.2">
      <c r="B342" s="1157"/>
      <c r="C342" s="1157"/>
      <c r="D342" s="1157"/>
      <c r="E342" s="1157"/>
      <c r="F342" s="1157"/>
      <c r="G342" s="1157"/>
      <c r="H342" s="1157"/>
      <c r="I342" s="1157"/>
      <c r="J342" s="1157"/>
      <c r="K342" s="1157"/>
      <c r="L342" s="1157"/>
      <c r="M342" s="1151"/>
      <c r="N342" s="1151"/>
      <c r="O342" s="1151"/>
    </row>
    <row r="343" spans="2:28" x14ac:dyDescent="0.2">
      <c r="B343" s="1157"/>
      <c r="C343" s="1157"/>
      <c r="D343" s="1157"/>
      <c r="E343" s="1157"/>
      <c r="F343" s="1157"/>
      <c r="G343" s="1157"/>
      <c r="H343" s="1157"/>
      <c r="I343" s="1157"/>
      <c r="J343" s="1157"/>
      <c r="K343" s="1157"/>
      <c r="L343" s="1157"/>
      <c r="M343" s="1151"/>
      <c r="N343" s="1151"/>
      <c r="O343" s="1151"/>
    </row>
    <row r="344" spans="2:28" x14ac:dyDescent="0.2">
      <c r="B344" s="1157"/>
      <c r="C344" s="1157"/>
      <c r="D344" s="1157"/>
      <c r="E344" s="1157"/>
      <c r="F344" s="1157"/>
      <c r="G344" s="1157"/>
      <c r="H344" s="1157"/>
      <c r="I344" s="1157"/>
      <c r="J344" s="1157"/>
      <c r="K344" s="1157"/>
      <c r="L344" s="1157"/>
      <c r="M344" s="1151"/>
      <c r="N344" s="1151"/>
      <c r="O344" s="1151"/>
    </row>
    <row r="345" spans="2:28" x14ac:dyDescent="0.2">
      <c r="B345" s="1157"/>
      <c r="C345" s="1157"/>
      <c r="D345" s="1157"/>
      <c r="E345" s="1157"/>
      <c r="F345" s="1157"/>
      <c r="G345" s="1157"/>
      <c r="H345" s="1157"/>
      <c r="I345" s="1157"/>
      <c r="J345" s="1157"/>
      <c r="K345" s="1157"/>
      <c r="L345" s="1157"/>
      <c r="M345" s="1151"/>
      <c r="N345" s="1151"/>
      <c r="O345" s="1151"/>
    </row>
    <row r="346" spans="2:28" x14ac:dyDescent="0.2">
      <c r="B346" s="1157"/>
      <c r="C346" s="1157"/>
      <c r="D346" s="1157"/>
      <c r="E346" s="1157"/>
      <c r="F346" s="1157"/>
      <c r="G346" s="1157"/>
      <c r="H346" s="1157"/>
      <c r="I346" s="1157"/>
      <c r="J346" s="1157"/>
      <c r="K346" s="1157"/>
      <c r="L346" s="1157"/>
      <c r="M346" s="1151"/>
      <c r="N346" s="1151"/>
      <c r="O346" s="1151"/>
    </row>
    <row r="347" spans="2:28" x14ac:dyDescent="0.2">
      <c r="B347" s="1157"/>
      <c r="C347" s="1157"/>
      <c r="D347" s="1157"/>
      <c r="E347" s="1157"/>
      <c r="F347" s="1157"/>
      <c r="G347" s="1157"/>
      <c r="H347" s="1157"/>
      <c r="I347" s="1157"/>
      <c r="J347" s="1157"/>
      <c r="K347" s="1157"/>
      <c r="L347" s="1157"/>
      <c r="M347" s="1151"/>
      <c r="N347" s="1151"/>
      <c r="O347" s="1151"/>
    </row>
    <row r="348" spans="2:28" x14ac:dyDescent="0.2">
      <c r="B348" s="1157"/>
      <c r="C348" s="1157"/>
      <c r="D348" s="1157"/>
      <c r="E348" s="1157"/>
      <c r="F348" s="1157"/>
      <c r="G348" s="1157"/>
      <c r="H348" s="1157"/>
      <c r="I348" s="1157"/>
      <c r="J348" s="1157"/>
      <c r="K348" s="1157"/>
      <c r="L348" s="1157"/>
      <c r="M348" s="1151"/>
      <c r="N348" s="1151"/>
      <c r="O348" s="1151"/>
    </row>
    <row r="349" spans="2:28" x14ac:dyDescent="0.2">
      <c r="B349" s="1150"/>
      <c r="C349" s="1150"/>
      <c r="D349" s="1150"/>
      <c r="E349" s="1150"/>
      <c r="F349" s="1150"/>
      <c r="G349" s="1151"/>
      <c r="H349" s="1151"/>
      <c r="I349" s="1151"/>
      <c r="J349" s="1151"/>
      <c r="K349" s="1151"/>
      <c r="L349" s="1151"/>
      <c r="M349" s="1151"/>
      <c r="N349" s="1151"/>
      <c r="O349" s="1151"/>
    </row>
    <row r="350" spans="2:28" x14ac:dyDescent="0.2">
      <c r="B350" s="1144"/>
      <c r="C350" s="1151"/>
      <c r="D350" s="1151"/>
      <c r="E350" s="1151"/>
      <c r="F350" s="1151"/>
      <c r="G350" s="1151"/>
      <c r="H350" s="1151"/>
      <c r="I350" s="1151"/>
      <c r="J350" s="1151"/>
      <c r="K350" s="1151"/>
      <c r="L350" s="1151"/>
      <c r="M350" s="1151"/>
      <c r="N350" s="1151"/>
      <c r="O350" s="1151"/>
    </row>
    <row r="351" spans="2:28" x14ac:dyDescent="0.2">
      <c r="B351" s="1157"/>
      <c r="C351" s="1157"/>
      <c r="D351" s="1157"/>
      <c r="E351" s="1157"/>
      <c r="F351" s="1157"/>
      <c r="G351" s="1157"/>
      <c r="H351" s="1157"/>
      <c r="I351" s="1157"/>
      <c r="J351" s="1151"/>
      <c r="K351" s="1151"/>
      <c r="L351" s="1151"/>
      <c r="M351" s="1151"/>
      <c r="N351" s="1151"/>
      <c r="O351" s="1151"/>
    </row>
  </sheetData>
  <mergeCells count="71">
    <mergeCell ref="V22:V24"/>
    <mergeCell ref="W22:W24"/>
    <mergeCell ref="X22:X24"/>
    <mergeCell ref="AA26:AB28"/>
    <mergeCell ref="Q22:Q24"/>
    <mergeCell ref="R22:R24"/>
    <mergeCell ref="S22:S24"/>
    <mergeCell ref="T22:T24"/>
    <mergeCell ref="U22:U24"/>
    <mergeCell ref="B335:Q335"/>
    <mergeCell ref="B337:D337"/>
    <mergeCell ref="B336:D336"/>
    <mergeCell ref="B351:O351"/>
    <mergeCell ref="B326:F326"/>
    <mergeCell ref="B345:O345"/>
    <mergeCell ref="B346:O346"/>
    <mergeCell ref="B347:O347"/>
    <mergeCell ref="B348:O348"/>
    <mergeCell ref="B349:O349"/>
    <mergeCell ref="B350:O350"/>
    <mergeCell ref="B339:O339"/>
    <mergeCell ref="B340:O340"/>
    <mergeCell ref="B341:O341"/>
    <mergeCell ref="B342:O342"/>
    <mergeCell ref="B343:O343"/>
    <mergeCell ref="B344:O344"/>
    <mergeCell ref="B338:O338"/>
    <mergeCell ref="B57:I57"/>
    <mergeCell ref="C22:C24"/>
    <mergeCell ref="D22:D24"/>
    <mergeCell ref="E22:E24"/>
    <mergeCell ref="F22:F24"/>
    <mergeCell ref="M26:N28"/>
    <mergeCell ref="G22:G24"/>
    <mergeCell ref="H22:H24"/>
    <mergeCell ref="I22:I24"/>
    <mergeCell ref="J22:J24"/>
    <mergeCell ref="B328:Q328"/>
    <mergeCell ref="B329:Q329"/>
    <mergeCell ref="B332:Q332"/>
    <mergeCell ref="B333:Q333"/>
    <mergeCell ref="B334:Q334"/>
    <mergeCell ref="C123:D123"/>
    <mergeCell ref="E123:F123"/>
    <mergeCell ref="A201:K201"/>
    <mergeCell ref="A202:K202"/>
    <mergeCell ref="A219:K219"/>
    <mergeCell ref="A222:K222"/>
    <mergeCell ref="B218:C218"/>
    <mergeCell ref="E218:J218"/>
    <mergeCell ref="A205:K205"/>
    <mergeCell ref="A206:K206"/>
    <mergeCell ref="B211:Y211"/>
    <mergeCell ref="B217:L217"/>
    <mergeCell ref="A203:F203"/>
    <mergeCell ref="A204:K204"/>
    <mergeCell ref="A223:K223"/>
    <mergeCell ref="A221:K221"/>
    <mergeCell ref="A220:K220"/>
    <mergeCell ref="C246:D246"/>
    <mergeCell ref="F246:G246"/>
    <mergeCell ref="C59:C60"/>
    <mergeCell ref="B179:F179"/>
    <mergeCell ref="B191:Z191"/>
    <mergeCell ref="B199:L199"/>
    <mergeCell ref="D59:D60"/>
    <mergeCell ref="E59:I59"/>
    <mergeCell ref="B116:I116"/>
    <mergeCell ref="B117:I117"/>
    <mergeCell ref="B121:F121"/>
    <mergeCell ref="B180:F180"/>
  </mergeCells>
  <phoneticPr fontId="18" type="noConversion"/>
  <hyperlinks>
    <hyperlink ref="B18" r:id="rId1" xr:uid="{0D6B0318-A913-4A83-A10F-F398FA1464EB}"/>
  </hyperlinks>
  <pageMargins left="0.75" right="0.75" top="1" bottom="1" header="0.5" footer="0.5"/>
  <pageSetup orientation="portrait" r:id="rId2"/>
  <headerFooter alignWithMargins="0"/>
  <ignoredErrors>
    <ignoredError sqref="H42 H43:H50 J42:J50" formula="1"/>
  </ignoredErrors>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123"/>
  <sheetViews>
    <sheetView showFormulas="1" topLeftCell="B20" workbookViewId="0">
      <selection activeCell="L48" sqref="L48"/>
    </sheetView>
  </sheetViews>
  <sheetFormatPr defaultColWidth="9.140625" defaultRowHeight="11.25" x14ac:dyDescent="0.2"/>
  <cols>
    <col min="1" max="1" width="6.5703125" style="525" customWidth="1"/>
    <col min="2" max="2" width="35" style="525" customWidth="1"/>
    <col min="3" max="14" width="11.5703125" style="525" customWidth="1"/>
    <col min="15" max="16" width="9.140625" style="525"/>
    <col min="17" max="17" width="17.5703125" style="525" customWidth="1"/>
    <col min="18" max="18" width="11.42578125" style="525" customWidth="1"/>
    <col min="19" max="20" width="9.140625" style="525"/>
    <col min="21" max="21" width="11" style="525" customWidth="1"/>
    <col min="22" max="16384" width="9.140625" style="525"/>
  </cols>
  <sheetData>
    <row r="1" spans="1:16" ht="15.75" customHeight="1" x14ac:dyDescent="0.2">
      <c r="B1" s="559" t="s">
        <v>738</v>
      </c>
    </row>
    <row r="2" spans="1:16" x14ac:dyDescent="0.2">
      <c r="A2" s="1173" t="s">
        <v>740</v>
      </c>
      <c r="B2" s="1173"/>
      <c r="C2" s="1173"/>
      <c r="D2" s="1173"/>
      <c r="E2" s="1173"/>
      <c r="F2" s="1173"/>
      <c r="G2" s="1173"/>
      <c r="H2" s="1173"/>
      <c r="I2" s="1173"/>
      <c r="J2" s="1173"/>
      <c r="K2" s="1173"/>
      <c r="L2" s="1173"/>
      <c r="M2" s="1173"/>
    </row>
    <row r="3" spans="1:16" x14ac:dyDescent="0.2">
      <c r="B3" s="849" t="s">
        <v>751</v>
      </c>
    </row>
    <row r="4" spans="1:16" x14ac:dyDescent="0.2">
      <c r="A4" s="525" t="s">
        <v>709</v>
      </c>
      <c r="B4" s="525" t="s">
        <v>710</v>
      </c>
      <c r="C4" s="527">
        <v>2005</v>
      </c>
      <c r="D4" s="527">
        <v>2010</v>
      </c>
      <c r="E4" s="527">
        <v>2015</v>
      </c>
      <c r="F4" s="527">
        <v>2020</v>
      </c>
      <c r="G4" s="527">
        <v>2025</v>
      </c>
      <c r="H4" s="527">
        <v>2030</v>
      </c>
      <c r="I4" s="527">
        <v>2035</v>
      </c>
      <c r="J4" s="527">
        <v>2040</v>
      </c>
      <c r="K4" s="527">
        <v>2045</v>
      </c>
      <c r="L4" s="527">
        <v>2050</v>
      </c>
      <c r="M4" s="527">
        <v>2055</v>
      </c>
    </row>
    <row r="5" spans="1:16" x14ac:dyDescent="0.2">
      <c r="A5" s="525" t="s">
        <v>89</v>
      </c>
      <c r="B5" s="525" t="s">
        <v>755</v>
      </c>
      <c r="C5" s="540">
        <f>'AEO Data'!B398</f>
        <v>1028.64306640625</v>
      </c>
      <c r="D5" s="540">
        <f>'AEO Data'!C398</f>
        <v>999</v>
      </c>
      <c r="E5" s="540">
        <f>'AEO Data'!D398</f>
        <v>1069.5279539999999</v>
      </c>
      <c r="F5" s="540">
        <f>'AEO Data'!E398</f>
        <v>1168.127808</v>
      </c>
      <c r="G5" s="540">
        <f>'AEO Data'!F398</f>
        <v>1260.636475</v>
      </c>
      <c r="H5" s="540">
        <f>'AEO Data'!G398</f>
        <v>1364.0306399999999</v>
      </c>
      <c r="I5" s="540">
        <f>'AEO Data'!H398</f>
        <v>1451.8038329999999</v>
      </c>
      <c r="J5" s="540">
        <f>'AEO Data'!I398</f>
        <v>1531.407471</v>
      </c>
      <c r="K5" s="540">
        <f>J5*(1+'AEO Data'!$K398)^5</f>
        <v>1613.3321845798075</v>
      </c>
      <c r="L5" s="540">
        <f>K5*(1+'AEO Data'!$K398)^5</f>
        <v>1699.6395714991613</v>
      </c>
      <c r="M5" s="540">
        <f>L5*(1+'AEO Data'!$K398)^5</f>
        <v>1790.564088795039</v>
      </c>
    </row>
    <row r="6" spans="1:16" x14ac:dyDescent="0.2">
      <c r="A6" s="635" t="s">
        <v>93</v>
      </c>
      <c r="B6" s="635" t="s">
        <v>514</v>
      </c>
      <c r="C6" s="619">
        <f>Transcalc!C52</f>
        <v>0.35918441166186899</v>
      </c>
      <c r="D6" s="619">
        <f>Transcalc!D52</f>
        <v>0.35918441166186899</v>
      </c>
      <c r="E6" s="619">
        <f>Transcalc!E52</f>
        <v>0.3457717766494301</v>
      </c>
      <c r="F6" s="619">
        <f>Transcalc!F52</f>
        <v>0.36006915629298469</v>
      </c>
      <c r="G6" s="619">
        <f>Transcalc!G52</f>
        <v>0.37501436276234446</v>
      </c>
      <c r="H6" s="619">
        <f>Transcalc!H52</f>
        <v>0.39003747770273905</v>
      </c>
      <c r="I6" s="619">
        <f>Transcalc!I52</f>
        <v>0.40472868204457313</v>
      </c>
      <c r="J6" s="619">
        <f>Transcalc!J52</f>
        <v>0.41889789789327248</v>
      </c>
      <c r="K6" s="619">
        <f>Transcalc!K52</f>
        <v>0.4378341348875297</v>
      </c>
      <c r="L6" s="619">
        <f>Transcalc!L52</f>
        <v>0.45919793916562829</v>
      </c>
      <c r="M6" s="619">
        <f>Transcalc!M52</f>
        <v>0.48326533654673826</v>
      </c>
    </row>
    <row r="7" spans="1:16" x14ac:dyDescent="0.2">
      <c r="A7" s="525" t="s">
        <v>96</v>
      </c>
      <c r="B7" s="525" t="s">
        <v>515</v>
      </c>
      <c r="C7" s="619">
        <f>'AEO Data'!B395</f>
        <v>519.48193359375</v>
      </c>
      <c r="D7" s="619">
        <f>'AEO Data'!C395</f>
        <v>557.60723900000005</v>
      </c>
      <c r="E7" s="619">
        <f>'AEO Data'!D395</f>
        <v>279.810699</v>
      </c>
      <c r="F7" s="619">
        <f>'AEO Data'!E395</f>
        <v>304.24569700000001</v>
      </c>
      <c r="G7" s="619">
        <f>'AEO Data'!F395</f>
        <v>328.74374399999999</v>
      </c>
      <c r="H7" s="619">
        <f>'AEO Data'!G395</f>
        <v>348.861603</v>
      </c>
      <c r="I7" s="619">
        <f>'AEO Data'!H395</f>
        <v>375.304169</v>
      </c>
      <c r="J7" s="619">
        <f>'AEO Data'!I395</f>
        <v>406.83139</v>
      </c>
      <c r="K7" s="540">
        <f>J7*(1+'AEO Data'!$K395)^5</f>
        <v>420.57509407293384</v>
      </c>
      <c r="L7" s="540">
        <f>K7*(1+'AEO Data'!$K395)^5</f>
        <v>434.78309221532078</v>
      </c>
      <c r="M7" s="540">
        <f>L7*(1+'AEO Data'!$K395)^5</f>
        <v>449.47106935327582</v>
      </c>
    </row>
    <row r="8" spans="1:16" x14ac:dyDescent="0.2">
      <c r="B8" s="525" t="s">
        <v>760</v>
      </c>
      <c r="C8" s="540">
        <f>'AEO Data'!B396</f>
        <v>205.95259094238301</v>
      </c>
      <c r="D8" s="540">
        <f>'AEO Data'!C396</f>
        <v>258.51861600000001</v>
      </c>
      <c r="E8" s="540">
        <f>'AEO Data'!D396</f>
        <v>279.810699</v>
      </c>
      <c r="F8" s="540">
        <f>'AEO Data'!E396</f>
        <v>304.24569700000001</v>
      </c>
      <c r="G8" s="540">
        <f>'AEO Data'!F396</f>
        <v>328.74374399999999</v>
      </c>
      <c r="H8" s="540">
        <f>'AEO Data'!G396</f>
        <v>348.861603</v>
      </c>
      <c r="I8" s="540">
        <f>'AEO Data'!H396</f>
        <v>375.304169</v>
      </c>
      <c r="J8" s="540">
        <f>'AEO Data'!I396</f>
        <v>406.83139</v>
      </c>
      <c r="K8" s="540">
        <f>J8*(1+'AEO Data'!$K396)^5</f>
        <v>435.99351386075529</v>
      </c>
      <c r="L8" s="540">
        <f>K8*(1+'AEO Data'!$K396)^5</f>
        <v>467.24601100384268</v>
      </c>
      <c r="M8" s="540">
        <f>L8*(1+'AEO Data'!$K396)^5</f>
        <v>500.73872169742486</v>
      </c>
    </row>
    <row r="9" spans="1:16" x14ac:dyDescent="0.2">
      <c r="A9" s="525" t="s">
        <v>106</v>
      </c>
      <c r="B9" s="525" t="s">
        <v>518</v>
      </c>
      <c r="C9" s="540">
        <f>'AEO Data'!B400</f>
        <v>1587.57189941406</v>
      </c>
      <c r="D9" s="540">
        <f>'AEO Data'!C400</f>
        <v>1559</v>
      </c>
      <c r="E9" s="540">
        <f>'AEO Data'!D400</f>
        <v>1689.6267089999999</v>
      </c>
      <c r="F9" s="540">
        <f>'AEO Data'!E400</f>
        <v>1810.078491</v>
      </c>
      <c r="G9" s="540">
        <f>'AEO Data'!F400</f>
        <v>1956.1982419999999</v>
      </c>
      <c r="H9" s="540">
        <f>'AEO Data'!G400</f>
        <v>2006.1445309999999</v>
      </c>
      <c r="I9" s="540">
        <f>'AEO Data'!H400</f>
        <v>2054.1965329999998</v>
      </c>
      <c r="J9" s="540">
        <f>'AEO Data'!I400</f>
        <v>2127.6916500000002</v>
      </c>
      <c r="K9" s="540">
        <f>J9*(1+'AEO Data'!$K400)^5</f>
        <v>2184.7813355684457</v>
      </c>
      <c r="L9" s="540">
        <f>K9*(1+'AEO Data'!$K400)^5</f>
        <v>2243.4028371772015</v>
      </c>
      <c r="M9" s="540">
        <f>L9*(1+'AEO Data'!$K400)^5</f>
        <v>2303.5972561278072</v>
      </c>
    </row>
    <row r="10" spans="1:16" x14ac:dyDescent="0.2">
      <c r="A10" s="635" t="s">
        <v>110</v>
      </c>
      <c r="B10" s="635" t="s">
        <v>713</v>
      </c>
      <c r="C10" s="636">
        <f>Transcalc!C53</f>
        <v>29.284383558375822</v>
      </c>
      <c r="D10" s="636">
        <f>Transcalc!D53</f>
        <v>32.372140354054139</v>
      </c>
      <c r="E10" s="636">
        <f>Transcalc!E53</f>
        <v>33.946450643500114</v>
      </c>
      <c r="F10" s="636">
        <f>Transcalc!F53</f>
        <v>35.66881522485312</v>
      </c>
      <c r="G10" s="636">
        <f>Transcalc!G53</f>
        <v>37.795819998758319</v>
      </c>
      <c r="H10" s="636">
        <f>Transcalc!H53</f>
        <v>39.709378578112663</v>
      </c>
      <c r="I10" s="636">
        <f>Transcalc!I53</f>
        <v>41.489051457372412</v>
      </c>
      <c r="J10" s="636">
        <f>Transcalc!J53</f>
        <v>44.003583192719141</v>
      </c>
      <c r="K10" s="636">
        <f>Transcalc!K53</f>
        <v>46.54323125993902</v>
      </c>
      <c r="L10" s="636">
        <f>Transcalc!L53</f>
        <v>49.230229688172912</v>
      </c>
      <c r="M10" s="636">
        <f>Transcalc!M53</f>
        <v>52.073173527928127</v>
      </c>
    </row>
    <row r="11" spans="1:16" x14ac:dyDescent="0.2">
      <c r="A11" s="525" t="s">
        <v>102</v>
      </c>
      <c r="B11" s="525" t="s">
        <v>520</v>
      </c>
      <c r="C11" s="540">
        <f>'AEO Data'!B401</f>
        <v>609.66827392578102</v>
      </c>
      <c r="D11" s="540">
        <f>'AEO Data'!C401</f>
        <v>522</v>
      </c>
      <c r="E11" s="540">
        <f>'AEO Data'!D401</f>
        <v>481.69042999999999</v>
      </c>
      <c r="F11" s="540">
        <f>'AEO Data'!E401</f>
        <v>452.65216099999998</v>
      </c>
      <c r="G11" s="540">
        <f>'AEO Data'!F401</f>
        <v>422.92309599999999</v>
      </c>
      <c r="H11" s="540">
        <f>'AEO Data'!G401</f>
        <v>403.64581299999998</v>
      </c>
      <c r="I11" s="540">
        <f>'AEO Data'!H401</f>
        <v>401.73941000000002</v>
      </c>
      <c r="J11" s="540">
        <f>'AEO Data'!I401</f>
        <v>406.86798099999999</v>
      </c>
      <c r="K11" s="540">
        <f>J11*(1+'AEO Data'!$J401)^5</f>
        <v>406.86798099999999</v>
      </c>
      <c r="L11" s="540">
        <f>K11*(1+'AEO Data'!$J401)^5</f>
        <v>406.86798099999999</v>
      </c>
      <c r="M11" s="540">
        <f>L11*(1+'AEO Data'!$J401)^5</f>
        <v>406.86798099999999</v>
      </c>
    </row>
    <row r="12" spans="1:16" x14ac:dyDescent="0.2">
      <c r="A12" s="525" t="s">
        <v>112</v>
      </c>
      <c r="B12" s="525" t="s">
        <v>714</v>
      </c>
      <c r="C12" s="605">
        <f>'AEO Data'!B394</f>
        <v>68.601478576660199</v>
      </c>
      <c r="D12" s="605">
        <f>'AEO Data'!C394</f>
        <v>64</v>
      </c>
      <c r="E12" s="605">
        <f>'AEO Data'!D394</f>
        <v>96.090423999999999</v>
      </c>
      <c r="F12" s="605">
        <f>'AEO Data'!E394</f>
        <v>109.556091</v>
      </c>
      <c r="G12" s="605">
        <f>'AEO Data'!F394</f>
        <v>117.975876</v>
      </c>
      <c r="H12" s="605">
        <f>'AEO Data'!G394</f>
        <v>124.926193</v>
      </c>
      <c r="I12" s="605">
        <f>'AEO Data'!H394</f>
        <v>133.282791</v>
      </c>
      <c r="J12" s="605">
        <f>'AEO Data'!I394</f>
        <v>142.89918499999999</v>
      </c>
      <c r="K12" s="605">
        <f>J12*(1+'AEO Data'!$K394)^5</f>
        <v>151.81568892484543</v>
      </c>
      <c r="L12" s="605">
        <f>K12*(1+'AEO Data'!$K394)^5</f>
        <v>161.28855741007507</v>
      </c>
      <c r="M12" s="605">
        <f>L12*(1+'AEO Data'!$K394)^5</f>
        <v>171.35250602657416</v>
      </c>
    </row>
    <row r="13" spans="1:16" x14ac:dyDescent="0.2">
      <c r="B13" s="525" t="s">
        <v>766</v>
      </c>
      <c r="C13" s="605"/>
      <c r="D13" s="605"/>
      <c r="E13" s="605"/>
      <c r="F13" s="605"/>
      <c r="G13" s="605"/>
      <c r="H13" s="605"/>
      <c r="I13" s="605"/>
      <c r="J13" s="605"/>
      <c r="K13" s="605"/>
      <c r="L13" s="605"/>
      <c r="M13" s="605"/>
    </row>
    <row r="14" spans="1:16" ht="12" customHeight="1" x14ac:dyDescent="0.2">
      <c r="A14" s="635" t="s">
        <v>1290</v>
      </c>
    </row>
    <row r="15" spans="1:16" x14ac:dyDescent="0.2">
      <c r="C15" s="619"/>
      <c r="D15" s="619"/>
      <c r="E15" s="619"/>
      <c r="F15" s="619"/>
      <c r="G15" s="619"/>
      <c r="H15" s="619"/>
      <c r="I15" s="619"/>
      <c r="J15" s="619"/>
      <c r="K15" s="619"/>
      <c r="L15" s="619"/>
      <c r="M15" s="619"/>
      <c r="N15" s="619"/>
    </row>
    <row r="16" spans="1:16" x14ac:dyDescent="0.2">
      <c r="C16" s="1174" t="s">
        <v>771</v>
      </c>
      <c r="D16" s="1145"/>
      <c r="E16" s="1145"/>
      <c r="F16" s="1145" t="s">
        <v>772</v>
      </c>
      <c r="G16" s="1145"/>
      <c r="H16" s="1145"/>
      <c r="I16" s="849"/>
      <c r="J16" s="525" t="s">
        <v>774</v>
      </c>
      <c r="L16" s="619"/>
      <c r="M16" s="619"/>
      <c r="N16" s="619"/>
      <c r="O16" s="619"/>
      <c r="P16" s="619"/>
    </row>
    <row r="17" spans="2:22" ht="28.5" customHeight="1" x14ac:dyDescent="0.2">
      <c r="C17" s="632" t="s">
        <v>777</v>
      </c>
      <c r="D17" s="632" t="s">
        <v>778</v>
      </c>
      <c r="E17" s="632" t="s">
        <v>779</v>
      </c>
      <c r="F17" s="849" t="s">
        <v>773</v>
      </c>
      <c r="G17" s="849" t="s">
        <v>780</v>
      </c>
      <c r="H17" s="849" t="s">
        <v>781</v>
      </c>
      <c r="I17" s="849" t="s">
        <v>1291</v>
      </c>
      <c r="J17" s="849" t="s">
        <v>783</v>
      </c>
      <c r="K17" s="849" t="s">
        <v>784</v>
      </c>
      <c r="L17" s="632" t="s">
        <v>785</v>
      </c>
    </row>
    <row r="18" spans="2:22" x14ac:dyDescent="0.2">
      <c r="B18" s="525" t="s">
        <v>1292</v>
      </c>
      <c r="C18" s="579">
        <f>'Air&amp;Marine'!R6</f>
        <v>0.1115</v>
      </c>
      <c r="D18" s="579">
        <f>'Rail&amp;Bus'!O43</f>
        <v>0.57886391885033428</v>
      </c>
      <c r="E18" s="579">
        <f>'Rail&amp;Bus'!D229</f>
        <v>0.22763278127454958</v>
      </c>
      <c r="F18" s="579">
        <f t="shared" ref="F18:K18" si="0">F19</f>
        <v>7.7499999999999999E-2</v>
      </c>
      <c r="G18" s="579">
        <f t="shared" si="0"/>
        <v>4.5199999999999997E-2</v>
      </c>
      <c r="H18" s="579">
        <f t="shared" si="0"/>
        <v>0.10100000000000001</v>
      </c>
      <c r="I18" s="633" t="e">
        <f t="shared" si="0"/>
        <v>#REF!</v>
      </c>
      <c r="J18" s="579">
        <f t="shared" si="0"/>
        <v>8.5239930369267886E-2</v>
      </c>
      <c r="K18" s="579">
        <f t="shared" si="0"/>
        <v>5.6678726150277511E-2</v>
      </c>
      <c r="L18" s="579">
        <f>L19</f>
        <v>0.315823920563301</v>
      </c>
      <c r="T18" s="579"/>
      <c r="V18" s="579"/>
    </row>
    <row r="19" spans="2:22" x14ac:dyDescent="0.2">
      <c r="B19" s="525" t="s">
        <v>855</v>
      </c>
      <c r="C19" s="634">
        <f>'Air&amp;Marine'!R6</f>
        <v>0.1115</v>
      </c>
      <c r="D19" s="579">
        <f>'Rail&amp;Bus'!O43</f>
        <v>0.57886391885033428</v>
      </c>
      <c r="E19" s="579">
        <f>'Rail&amp;Bus'!G229</f>
        <v>0.30972066662266773</v>
      </c>
      <c r="F19" s="579">
        <f>Freight!D16</f>
        <v>7.7499999999999999E-2</v>
      </c>
      <c r="G19" s="579">
        <f>Freight!C16</f>
        <v>4.5199999999999997E-2</v>
      </c>
      <c r="H19" s="579">
        <f>Freight!E16</f>
        <v>0.10100000000000001</v>
      </c>
      <c r="I19" s="633" t="e">
        <f>#REF!</f>
        <v>#REF!</v>
      </c>
      <c r="J19" s="579">
        <v>8.5239930369267886E-2</v>
      </c>
      <c r="K19" s="579">
        <v>5.6678726150277511E-2</v>
      </c>
      <c r="L19" s="579">
        <v>0.315823920563301</v>
      </c>
      <c r="T19" s="579"/>
      <c r="V19" s="579"/>
    </row>
    <row r="20" spans="2:22" x14ac:dyDescent="0.2">
      <c r="B20" s="525" t="s">
        <v>799</v>
      </c>
      <c r="C20" s="579">
        <f t="shared" ref="C20:L23" si="1">C19</f>
        <v>0.1115</v>
      </c>
      <c r="D20" s="579">
        <f t="shared" si="1"/>
        <v>0.57886391885033428</v>
      </c>
      <c r="E20" s="579">
        <f>'Rail&amp;Bus'!G230</f>
        <v>0.16804211862630153</v>
      </c>
      <c r="F20" s="579">
        <f t="shared" si="1"/>
        <v>7.7499999999999999E-2</v>
      </c>
      <c r="G20" s="579">
        <f t="shared" si="1"/>
        <v>4.5199999999999997E-2</v>
      </c>
      <c r="H20" s="579">
        <f t="shared" si="1"/>
        <v>0.10100000000000001</v>
      </c>
      <c r="I20" s="633" t="e">
        <f t="shared" si="1"/>
        <v>#REF!</v>
      </c>
      <c r="J20" s="579">
        <f t="shared" si="1"/>
        <v>8.5239930369267886E-2</v>
      </c>
      <c r="K20" s="579">
        <f t="shared" si="1"/>
        <v>5.6678726150277511E-2</v>
      </c>
      <c r="L20" s="579">
        <f>L19</f>
        <v>0.315823920563301</v>
      </c>
      <c r="T20" s="579"/>
      <c r="V20" s="579"/>
    </row>
    <row r="21" spans="2:22" x14ac:dyDescent="0.2">
      <c r="B21" s="525" t="s">
        <v>803</v>
      </c>
      <c r="C21" s="579">
        <f t="shared" si="1"/>
        <v>0.1115</v>
      </c>
      <c r="D21" s="579">
        <f t="shared" si="1"/>
        <v>0.57886391885033428</v>
      </c>
      <c r="E21" s="579">
        <f>'Rail&amp;Bus'!G231</f>
        <v>0.19239904671133853</v>
      </c>
      <c r="F21" s="579">
        <f t="shared" si="1"/>
        <v>7.7499999999999999E-2</v>
      </c>
      <c r="G21" s="579">
        <f t="shared" si="1"/>
        <v>4.5199999999999997E-2</v>
      </c>
      <c r="H21" s="579">
        <f t="shared" si="1"/>
        <v>0.10100000000000001</v>
      </c>
      <c r="I21" s="633" t="e">
        <f t="shared" si="1"/>
        <v>#REF!</v>
      </c>
      <c r="J21" s="579">
        <f t="shared" si="1"/>
        <v>8.5239930369267886E-2</v>
      </c>
      <c r="K21" s="579">
        <f t="shared" si="1"/>
        <v>5.6678726150277511E-2</v>
      </c>
      <c r="L21" s="579">
        <f t="shared" si="1"/>
        <v>0.315823920563301</v>
      </c>
      <c r="T21" s="579"/>
      <c r="V21" s="579"/>
    </row>
    <row r="22" spans="2:22" x14ac:dyDescent="0.2">
      <c r="B22" s="525" t="s">
        <v>807</v>
      </c>
      <c r="C22" s="579">
        <f t="shared" si="1"/>
        <v>0.1115</v>
      </c>
      <c r="D22" s="579">
        <f t="shared" si="1"/>
        <v>0.57886391885033428</v>
      </c>
      <c r="E22" s="579">
        <f>'Rail&amp;Bus'!G232</f>
        <v>5.686659976240576E-2</v>
      </c>
      <c r="F22" s="579">
        <f t="shared" si="1"/>
        <v>7.7499999999999999E-2</v>
      </c>
      <c r="G22" s="579">
        <f t="shared" si="1"/>
        <v>4.5199999999999997E-2</v>
      </c>
      <c r="H22" s="579">
        <f t="shared" si="1"/>
        <v>0.10100000000000001</v>
      </c>
      <c r="I22" s="633" t="e">
        <f t="shared" si="1"/>
        <v>#REF!</v>
      </c>
      <c r="J22" s="579">
        <f t="shared" si="1"/>
        <v>8.5239930369267886E-2</v>
      </c>
      <c r="K22" s="579">
        <f t="shared" si="1"/>
        <v>5.6678726150277511E-2</v>
      </c>
      <c r="L22" s="579">
        <f t="shared" si="1"/>
        <v>0.315823920563301</v>
      </c>
      <c r="T22" s="579"/>
      <c r="V22" s="579"/>
    </row>
    <row r="23" spans="2:22" x14ac:dyDescent="0.2">
      <c r="B23" s="525" t="s">
        <v>811</v>
      </c>
      <c r="C23" s="579">
        <f t="shared" si="1"/>
        <v>0.1115</v>
      </c>
      <c r="D23" s="579">
        <f t="shared" si="1"/>
        <v>0.57886391885033428</v>
      </c>
      <c r="E23" s="579">
        <f>'Rail&amp;Bus'!G233</f>
        <v>0.27297156827728647</v>
      </c>
      <c r="F23" s="579">
        <f t="shared" si="1"/>
        <v>7.7499999999999999E-2</v>
      </c>
      <c r="G23" s="579">
        <f t="shared" si="1"/>
        <v>4.5199999999999997E-2</v>
      </c>
      <c r="H23" s="579">
        <f t="shared" si="1"/>
        <v>0.10100000000000001</v>
      </c>
      <c r="I23" s="633" t="e">
        <f t="shared" si="1"/>
        <v>#REF!</v>
      </c>
      <c r="J23" s="579">
        <f t="shared" si="1"/>
        <v>8.5239930369267886E-2</v>
      </c>
      <c r="K23" s="579">
        <f t="shared" si="1"/>
        <v>5.6678726150277511E-2</v>
      </c>
      <c r="L23" s="579">
        <f t="shared" si="1"/>
        <v>0.315823920563301</v>
      </c>
      <c r="T23" s="579"/>
      <c r="V23" s="579"/>
    </row>
    <row r="24" spans="2:22" x14ac:dyDescent="0.2">
      <c r="C24" s="579"/>
      <c r="D24" s="579"/>
      <c r="E24" s="579"/>
      <c r="F24" s="579"/>
      <c r="G24" s="579"/>
      <c r="H24" s="579"/>
      <c r="I24" s="633"/>
      <c r="J24" s="579"/>
      <c r="K24" s="579"/>
      <c r="L24" s="579"/>
      <c r="T24" s="579"/>
      <c r="V24" s="579"/>
    </row>
    <row r="25" spans="2:22" x14ac:dyDescent="0.2">
      <c r="C25" s="579"/>
      <c r="D25" s="579"/>
      <c r="E25" s="579"/>
      <c r="F25" s="579"/>
      <c r="G25" s="579"/>
      <c r="H25" s="579"/>
      <c r="I25" s="633"/>
      <c r="J25" s="579"/>
      <c r="K25" s="579"/>
      <c r="L25" s="579"/>
      <c r="T25" s="579"/>
      <c r="V25" s="579"/>
    </row>
    <row r="26" spans="2:22" x14ac:dyDescent="0.2">
      <c r="C26" s="579"/>
      <c r="D26" s="579"/>
      <c r="E26" s="579"/>
      <c r="F26" s="579"/>
      <c r="G26" s="579"/>
      <c r="H26" s="579"/>
      <c r="I26" s="633"/>
      <c r="J26" s="579"/>
      <c r="K26" s="579"/>
      <c r="L26" s="579"/>
      <c r="T26" s="579"/>
      <c r="V26" s="579"/>
    </row>
    <row r="27" spans="2:22" x14ac:dyDescent="0.2">
      <c r="D27" s="619"/>
      <c r="F27" s="580"/>
      <c r="G27" s="619"/>
    </row>
    <row r="28" spans="2:22" ht="12" customHeight="1" x14ac:dyDescent="0.2">
      <c r="C28" s="527">
        <v>2005</v>
      </c>
      <c r="D28" s="527">
        <v>2010</v>
      </c>
      <c r="E28" s="527">
        <v>2015</v>
      </c>
      <c r="F28" s="527">
        <v>2020</v>
      </c>
      <c r="G28" s="527">
        <v>2025</v>
      </c>
      <c r="H28" s="527">
        <v>2030</v>
      </c>
      <c r="I28" s="527">
        <v>2035</v>
      </c>
      <c r="J28" s="527">
        <v>2040</v>
      </c>
      <c r="K28" s="527">
        <v>2045</v>
      </c>
      <c r="L28" s="527">
        <v>2050</v>
      </c>
      <c r="M28" s="527">
        <v>2055</v>
      </c>
    </row>
    <row r="29" spans="2:22" x14ac:dyDescent="0.2">
      <c r="B29" s="525" t="s">
        <v>821</v>
      </c>
      <c r="C29" s="619">
        <f>Transcalc!C5*1000/Pop!D45</f>
        <v>3484.4821467523634</v>
      </c>
      <c r="D29" s="619">
        <f>Transcalc!D5*1000/Pop!E45</f>
        <v>3234.8742755091866</v>
      </c>
      <c r="E29" s="619">
        <f>Transcalc!E5*1000/Pop!F45</f>
        <v>3317.0145660402554</v>
      </c>
      <c r="F29" s="619">
        <f>Transcalc!F5*1000/Pop!G45</f>
        <v>3476.0334953660986</v>
      </c>
      <c r="G29" s="619">
        <f>Transcalc!G5*1000/Pop!H45</f>
        <v>3605.248979797173</v>
      </c>
      <c r="H29" s="619">
        <f>Transcalc!H5*1000/Pop!I45</f>
        <v>3754.7433502214317</v>
      </c>
      <c r="I29" s="619">
        <f>Transcalc!I5*1000/Pop!J45</f>
        <v>3851.9907933096288</v>
      </c>
      <c r="J29" s="619">
        <f>Transcalc!J5*1000/Pop!K45</f>
        <v>3921.537150376716</v>
      </c>
      <c r="K29" s="619">
        <f>Transcalc!K5*1000/Pop!L45</f>
        <v>3992.1409097686646</v>
      </c>
      <c r="L29" s="619">
        <f>Transcalc!L5*1000/Pop!M45</f>
        <v>4068.6337801920176</v>
      </c>
      <c r="M29" s="619">
        <f>Transcalc!M5*1000/Pop!N45</f>
        <v>4151.0016570169073</v>
      </c>
    </row>
    <row r="30" spans="2:22" x14ac:dyDescent="0.2">
      <c r="B30" s="525" t="s">
        <v>823</v>
      </c>
      <c r="C30" s="619">
        <f>C29*Pop!D18/1000000000</f>
        <v>1028.64306640625</v>
      </c>
      <c r="D30" s="619">
        <f>D29*Pop!E18/1000000000</f>
        <v>999.00000000000011</v>
      </c>
      <c r="E30" s="619">
        <f>E29*Pop!F18/1000000000</f>
        <v>1069.5279539999999</v>
      </c>
      <c r="F30" s="619">
        <f>F29*Pop!G18/1000000000</f>
        <v>1168.1278079999997</v>
      </c>
      <c r="G30" s="619">
        <f>G29*Pop!H18/1000000000</f>
        <v>1260.636475</v>
      </c>
      <c r="H30" s="619">
        <f>H29*Pop!I18/1000000000</f>
        <v>1364.0306399999997</v>
      </c>
      <c r="I30" s="619">
        <f>I29*Pop!J18/1000000000</f>
        <v>1451.8038329999997</v>
      </c>
      <c r="J30" s="619">
        <f>J29*Pop!K18/1000000000</f>
        <v>1531.4074709999998</v>
      </c>
      <c r="K30" s="619">
        <f>K29*Pop!L18/1000000000</f>
        <v>1613.3321845798075</v>
      </c>
      <c r="L30" s="619">
        <f>L29*Pop!M18/1000000000</f>
        <v>1699.6395714991613</v>
      </c>
      <c r="M30" s="619">
        <f>M29*Pop!N18/1000000000</f>
        <v>1790.564088795039</v>
      </c>
    </row>
    <row r="32" spans="2:22" x14ac:dyDescent="0.2">
      <c r="B32" s="525" t="s">
        <v>826</v>
      </c>
      <c r="C32" s="619">
        <f>Transcalc!C8*1000/Pop!D45</f>
        <v>697.65514360906968</v>
      </c>
      <c r="D32" s="619">
        <f>Transcalc!D8*1000/Pop!E45</f>
        <v>837.11233297160925</v>
      </c>
      <c r="E32" s="619">
        <f>Transcalc!E8*1000/Pop!F45</f>
        <v>867.79981845795282</v>
      </c>
      <c r="F32" s="619">
        <f>Transcalc!F8*1000/Pop!G45</f>
        <v>905.35318682611569</v>
      </c>
      <c r="G32" s="619">
        <f>Transcalc!G8*1000/Pop!H45</f>
        <v>940.16242681753511</v>
      </c>
      <c r="H32" s="619">
        <f>Transcalc!H8*1000/Pop!I45</f>
        <v>960.30524945674176</v>
      </c>
      <c r="I32" s="619">
        <f>Transcalc!I8*1000/Pop!J45</f>
        <v>995.77378900522649</v>
      </c>
      <c r="J32" s="619">
        <f>Transcalc!J8*1000/Pop!K45</f>
        <v>1041.7896216626193</v>
      </c>
      <c r="K32" s="619">
        <f>Transcalc!K8*1000/Pop!L45</f>
        <v>1078.8525510824284</v>
      </c>
      <c r="L32" s="619">
        <f>Transcalc!L8*1000/Pop!M45</f>
        <v>1118.5035556411458</v>
      </c>
      <c r="M32" s="619">
        <f>Transcalc!M8*1000/Pop!N45</f>
        <v>1160.8449407121259</v>
      </c>
    </row>
    <row r="33" spans="2:13" x14ac:dyDescent="0.2">
      <c r="B33" s="525" t="s">
        <v>828</v>
      </c>
      <c r="C33" s="619">
        <f>D33</f>
        <v>6.9000022064477777</v>
      </c>
      <c r="D33" s="619">
        <v>6.9000022064477777</v>
      </c>
      <c r="E33" s="619">
        <v>7.4200399067419722</v>
      </c>
      <c r="F33" s="619">
        <v>7.7416488453076973</v>
      </c>
      <c r="G33" s="619">
        <v>8.1662498991746837</v>
      </c>
      <c r="H33" s="619">
        <v>8.4708785336996542</v>
      </c>
      <c r="I33" s="619">
        <v>8.8853751558394904</v>
      </c>
      <c r="J33" s="619">
        <v>9.4023023950002802</v>
      </c>
      <c r="K33" s="619">
        <v>10.025604369648336</v>
      </c>
      <c r="L33" s="619">
        <v>10.565688579874061</v>
      </c>
      <c r="M33" s="619">
        <v>11.143767076989143</v>
      </c>
    </row>
    <row r="34" spans="2:13" x14ac:dyDescent="0.2">
      <c r="C34" s="619"/>
      <c r="D34" s="619"/>
      <c r="E34" s="619"/>
      <c r="F34" s="619"/>
      <c r="G34" s="619"/>
      <c r="H34" s="619"/>
      <c r="I34" s="619"/>
      <c r="J34" s="619"/>
      <c r="K34" s="619"/>
      <c r="L34" s="619"/>
      <c r="M34" s="619"/>
    </row>
    <row r="35" spans="2:13" x14ac:dyDescent="0.2">
      <c r="B35" s="525" t="s">
        <v>831</v>
      </c>
      <c r="C35" s="619">
        <v>167.27652676760462</v>
      </c>
      <c r="D35" s="619">
        <v>191.25491483559892</v>
      </c>
      <c r="E35" s="619">
        <v>148.11458402448616</v>
      </c>
      <c r="F35" s="619">
        <v>161.61581930015294</v>
      </c>
      <c r="G35" s="619">
        <v>189.51135883235506</v>
      </c>
      <c r="H35" s="619">
        <v>207.02895783768614</v>
      </c>
      <c r="I35" s="619">
        <v>221.46469621508103</v>
      </c>
      <c r="J35" s="619">
        <v>226.51486384902333</v>
      </c>
      <c r="K35" s="619">
        <v>231.9621513717326</v>
      </c>
      <c r="L35" s="619">
        <v>237.81035458908394</v>
      </c>
      <c r="M35" s="619">
        <v>244.06525655595081</v>
      </c>
    </row>
    <row r="36" spans="2:13" x14ac:dyDescent="0.2">
      <c r="B36" s="525" t="s">
        <v>834</v>
      </c>
      <c r="C36" s="619">
        <v>49.381179809570298</v>
      </c>
      <c r="D36" s="619">
        <v>59.063705000000006</v>
      </c>
      <c r="E36" s="619">
        <v>47.75761</v>
      </c>
      <c r="F36" s="619">
        <v>54.311309999999992</v>
      </c>
      <c r="G36" s="619">
        <v>66.265861999999998</v>
      </c>
      <c r="H36" s="619">
        <v>75.209891999999982</v>
      </c>
      <c r="I36" s="619">
        <v>83.469382999999979</v>
      </c>
      <c r="J36" s="619">
        <v>88.456781483663619</v>
      </c>
      <c r="K36" s="619">
        <v>93.742183172105314</v>
      </c>
      <c r="L36" s="619">
        <v>99.34339412400459</v>
      </c>
      <c r="M36" s="619">
        <v>105.27928433198733</v>
      </c>
    </row>
    <row r="38" spans="2:13" x14ac:dyDescent="0.2">
      <c r="B38" s="525" t="s">
        <v>840</v>
      </c>
      <c r="C38" s="619">
        <v>5377.8284429803252</v>
      </c>
      <c r="D38" s="619">
        <v>5048.2172127315534</v>
      </c>
      <c r="E38" s="619">
        <v>5240.1775792422723</v>
      </c>
      <c r="F38" s="619">
        <v>5386.3056943489219</v>
      </c>
      <c r="G38" s="619">
        <v>5594.4610965278644</v>
      </c>
      <c r="H38" s="619">
        <v>5522.2790577162868</v>
      </c>
      <c r="I38" s="619">
        <v>5450.2860186101734</v>
      </c>
      <c r="J38" s="619">
        <v>5448.4662038202468</v>
      </c>
      <c r="K38" s="619">
        <v>5406.1742720972534</v>
      </c>
      <c r="L38" s="619">
        <v>5370.3059866197509</v>
      </c>
      <c r="M38" s="619">
        <v>5340.3483779913404</v>
      </c>
    </row>
    <row r="39" spans="2:13" x14ac:dyDescent="0.2">
      <c r="B39" s="525" t="s">
        <v>1293</v>
      </c>
      <c r="C39" s="619">
        <v>1587.57189941406</v>
      </c>
      <c r="D39" s="619">
        <v>1559</v>
      </c>
      <c r="E39" s="619">
        <v>1689.6267089999999</v>
      </c>
      <c r="F39" s="619">
        <v>1810.078491</v>
      </c>
      <c r="G39" s="619">
        <v>1956.1982419999997</v>
      </c>
      <c r="H39" s="619">
        <v>2006.1445309999999</v>
      </c>
      <c r="I39" s="619">
        <v>2054.1965329999998</v>
      </c>
      <c r="J39" s="619">
        <v>2127.6916500000002</v>
      </c>
      <c r="K39" s="619">
        <v>2184.7813355684457</v>
      </c>
      <c r="L39" s="619">
        <v>2243.4028371772015</v>
      </c>
      <c r="M39" s="619">
        <v>2303.5972561278072</v>
      </c>
    </row>
    <row r="41" spans="2:13" x14ac:dyDescent="0.2">
      <c r="B41" s="525" t="s">
        <v>856</v>
      </c>
      <c r="C41" s="619">
        <v>99.199532880056566</v>
      </c>
      <c r="D41" s="619">
        <v>104.82462870320579</v>
      </c>
      <c r="E41" s="619">
        <v>105.28090530848949</v>
      </c>
      <c r="F41" s="619">
        <v>106.14077981235228</v>
      </c>
      <c r="G41" s="619">
        <v>108.09090819867085</v>
      </c>
      <c r="H41" s="619">
        <v>109.30731376942816</v>
      </c>
      <c r="I41" s="619">
        <v>110.08060497175171</v>
      </c>
      <c r="J41" s="619">
        <v>112.68175812624109</v>
      </c>
      <c r="K41" s="619">
        <v>115.16979538471166</v>
      </c>
      <c r="L41" s="619">
        <v>117.84838319529034</v>
      </c>
      <c r="M41" s="619">
        <v>120.71940398738857</v>
      </c>
    </row>
    <row r="42" spans="2:13" x14ac:dyDescent="0.2">
      <c r="B42" s="525" t="s">
        <v>857</v>
      </c>
      <c r="C42" s="619">
        <v>29.284383558375826</v>
      </c>
      <c r="D42" s="619">
        <v>32.372140354054139</v>
      </c>
      <c r="E42" s="619">
        <v>33.946450643500121</v>
      </c>
      <c r="F42" s="619">
        <v>35.66881522485312</v>
      </c>
      <c r="G42" s="619">
        <v>37.795819998758326</v>
      </c>
      <c r="H42" s="619">
        <v>39.709378578112663</v>
      </c>
      <c r="I42" s="619">
        <v>41.489051457372412</v>
      </c>
      <c r="J42" s="619">
        <v>44.003583192719141</v>
      </c>
      <c r="K42" s="619">
        <v>46.54323125993902</v>
      </c>
      <c r="L42" s="619">
        <v>49.230229688172912</v>
      </c>
      <c r="M42" s="619">
        <v>52.073173527928134</v>
      </c>
    </row>
    <row r="44" spans="2:13" x14ac:dyDescent="0.2">
      <c r="B44" s="525" t="s">
        <v>858</v>
      </c>
      <c r="C44" s="619">
        <v>2065.223871442221</v>
      </c>
      <c r="D44" s="619">
        <v>1690.2946664822778</v>
      </c>
      <c r="E44" s="619">
        <v>1493.905948560363</v>
      </c>
      <c r="F44" s="619">
        <v>1346.9708216944084</v>
      </c>
      <c r="G44" s="619">
        <v>1209.5025732034776</v>
      </c>
      <c r="H44" s="619">
        <v>1111.1087887340079</v>
      </c>
      <c r="I44" s="619">
        <v>1065.9129514983465</v>
      </c>
      <c r="J44" s="619">
        <v>1041.88332171867</v>
      </c>
      <c r="K44" s="619">
        <v>1006.7823151052564</v>
      </c>
      <c r="L44" s="619">
        <v>973.96932816466881</v>
      </c>
      <c r="M44" s="619">
        <v>943.22770901469164</v>
      </c>
    </row>
    <row r="45" spans="2:13" x14ac:dyDescent="0.2">
      <c r="B45" s="525" t="s">
        <v>859</v>
      </c>
      <c r="C45" s="619">
        <v>609.66827392578102</v>
      </c>
      <c r="D45" s="619">
        <v>522.00000000000011</v>
      </c>
      <c r="E45" s="619">
        <v>481.69042999999999</v>
      </c>
      <c r="F45" s="619">
        <v>452.65216099999998</v>
      </c>
      <c r="G45" s="619">
        <v>422.92309599999993</v>
      </c>
      <c r="H45" s="619">
        <v>403.64581299999998</v>
      </c>
      <c r="I45" s="619">
        <v>401.73941000000008</v>
      </c>
      <c r="J45" s="619">
        <v>406.86798099999993</v>
      </c>
      <c r="K45" s="619">
        <v>406.86798099999993</v>
      </c>
      <c r="L45" s="619">
        <v>406.86798099999993</v>
      </c>
      <c r="M45" s="619">
        <v>406.86798099999999</v>
      </c>
    </row>
    <row r="47" spans="2:13" x14ac:dyDescent="0.2">
      <c r="B47" s="525" t="s">
        <v>861</v>
      </c>
      <c r="C47" s="619">
        <f>Transcalc!C6*1000/('Population NYC'!D18/1000000)</f>
        <v>43.936216286862731</v>
      </c>
      <c r="D47" s="619">
        <f>Transcalc!D6*1000/('Population NYC'!E18/1000000)</f>
        <v>43.576464444073757</v>
      </c>
      <c r="E47" s="619">
        <f>Transcalc!E6*1000/('Population NYC'!F18/1000000)</f>
        <v>40.721771243611101</v>
      </c>
      <c r="F47" s="619">
        <f>Transcalc!F6*1000/('Population NYC'!G18/1000000)</f>
        <v>42.108569458718158</v>
      </c>
      <c r="G47" s="619">
        <f>Transcalc!G6*1000/('Population NYC'!H18/1000000)</f>
        <v>43.1745804670648</v>
      </c>
      <c r="H47" s="619">
        <f>Transcalc!H6*1000/('Population NYC'!I18/1000000)</f>
        <v>44.216787648732854</v>
      </c>
      <c r="I47" s="619">
        <f>Transcalc!I6*1000/('Population NYC'!J18/1000000)</f>
        <v>45.357478572387755</v>
      </c>
      <c r="J47" s="619">
        <f>Transcalc!J6*1000/('Population NYC'!K18/1000000)</f>
        <v>46.414533826688931</v>
      </c>
      <c r="K47" s="619">
        <f>Transcalc!K6*1000/('Population NYC'!L18/1000000)</f>
        <v>47.715745892363188</v>
      </c>
      <c r="L47" s="619">
        <f>Transcalc!L6*1000/('Population NYC'!M18/1000000)</f>
        <v>49.220798880402384</v>
      </c>
      <c r="M47" s="619">
        <f>Transcalc!M6*1000/('Population NYC'!N18/1000000)</f>
        <v>50.947320074969518</v>
      </c>
    </row>
    <row r="48" spans="2:13" x14ac:dyDescent="0.2">
      <c r="B48" s="525" t="s">
        <v>862</v>
      </c>
      <c r="C48" s="619">
        <f>C47*'Population NYC'!D18/1000000000</f>
        <v>0.35918441166186899</v>
      </c>
      <c r="D48" s="619">
        <f>D47*'Population NYC'!E18/1000000000</f>
        <v>0.35918441166186899</v>
      </c>
      <c r="E48" s="619">
        <f>E47*'Population NYC'!F18/1000000000</f>
        <v>0.3457717766494301</v>
      </c>
      <c r="F48" s="619">
        <f>F47*'Population NYC'!G18/1000000000</f>
        <v>0.36006915629298464</v>
      </c>
      <c r="G48" s="619">
        <f>G47*'Population NYC'!H18/1000000000</f>
        <v>0.37501436276234434</v>
      </c>
      <c r="H48" s="619">
        <f>H47*'Population NYC'!I18/1000000000</f>
        <v>0.390037477702739</v>
      </c>
      <c r="I48" s="619">
        <f>I47*'Population NYC'!J18/1000000000</f>
        <v>0.40472868204457318</v>
      </c>
      <c r="J48" s="619">
        <f>J47*'Population NYC'!K18/1000000000</f>
        <v>0.41889789789327248</v>
      </c>
      <c r="K48" s="619">
        <f>K47*'Population NYC'!L18/1000000000</f>
        <v>0.43783413488752976</v>
      </c>
      <c r="L48" s="619">
        <f>L47*'Population NYC'!M18/1000000000</f>
        <v>0.45919793916562823</v>
      </c>
      <c r="M48" s="619">
        <f>M47*'Population NYC'!N18/1000000000</f>
        <v>0.48326533654673814</v>
      </c>
    </row>
    <row r="50" spans="1:29" x14ac:dyDescent="0.2">
      <c r="C50" s="527">
        <v>2005</v>
      </c>
      <c r="D50" s="527">
        <v>2010</v>
      </c>
      <c r="E50" s="527">
        <v>2015</v>
      </c>
      <c r="F50" s="527">
        <v>2020</v>
      </c>
      <c r="G50" s="527">
        <v>2025</v>
      </c>
      <c r="H50" s="527">
        <v>2030</v>
      </c>
      <c r="I50" s="527">
        <v>2035</v>
      </c>
      <c r="J50" s="527">
        <v>2040</v>
      </c>
      <c r="K50" s="527">
        <v>2045</v>
      </c>
      <c r="L50" s="527">
        <v>2050</v>
      </c>
      <c r="M50" s="527">
        <v>2055</v>
      </c>
    </row>
    <row r="51" spans="1:29" x14ac:dyDescent="0.2">
      <c r="A51" s="527" t="s">
        <v>863</v>
      </c>
      <c r="B51" s="527"/>
      <c r="Q51" s="525" t="s">
        <v>866</v>
      </c>
      <c r="R51" s="525">
        <v>138700</v>
      </c>
      <c r="S51" s="525" t="s">
        <v>867</v>
      </c>
      <c r="T51" s="525" t="s">
        <v>868</v>
      </c>
    </row>
    <row r="52" spans="1:29" x14ac:dyDescent="0.2">
      <c r="B52" s="525" t="s">
        <v>1294</v>
      </c>
      <c r="C52" s="619">
        <f>'Rail&amp;Bus'!C10</f>
        <v>0.35918441166186899</v>
      </c>
      <c r="D52" s="619">
        <f>'Rail&amp;Bus'!D10</f>
        <v>0.35918441166186899</v>
      </c>
      <c r="E52" s="619">
        <f>'Rail&amp;Bus'!E10</f>
        <v>0.3457717766494301</v>
      </c>
      <c r="F52" s="619">
        <f>'Rail&amp;Bus'!F10</f>
        <v>0.36006915629298469</v>
      </c>
      <c r="G52" s="619">
        <f>'Rail&amp;Bus'!G10</f>
        <v>0.37501436276234446</v>
      </c>
      <c r="H52" s="619">
        <f>'Rail&amp;Bus'!H10</f>
        <v>0.39003747770273905</v>
      </c>
      <c r="I52" s="619">
        <f>'Rail&amp;Bus'!I10</f>
        <v>0.40472868204457313</v>
      </c>
      <c r="J52" s="619">
        <f>'Rail&amp;Bus'!J10</f>
        <v>0.41889789789327248</v>
      </c>
      <c r="K52" s="619">
        <f>'Rail&amp;Bus'!K10</f>
        <v>0.4378341348875297</v>
      </c>
      <c r="L52" s="619">
        <f>'Rail&amp;Bus'!L10</f>
        <v>0.45919793916562829</v>
      </c>
      <c r="M52" s="619">
        <f>'Rail&amp;Bus'!M10</f>
        <v>0.48326533654673826</v>
      </c>
      <c r="AB52" s="578"/>
    </row>
    <row r="53" spans="1:29" x14ac:dyDescent="0.2">
      <c r="B53" s="525" t="s">
        <v>1295</v>
      </c>
      <c r="C53" s="616">
        <v>29.284383558375822</v>
      </c>
      <c r="D53" s="616">
        <v>32.372140354054139</v>
      </c>
      <c r="E53" s="616">
        <v>33.946450643500114</v>
      </c>
      <c r="F53" s="616">
        <v>35.66881522485312</v>
      </c>
      <c r="G53" s="616">
        <v>37.795819998758319</v>
      </c>
      <c r="H53" s="616">
        <v>39.709378578112663</v>
      </c>
      <c r="I53" s="616">
        <v>41.489051457372412</v>
      </c>
      <c r="J53" s="616">
        <v>44.003583192719141</v>
      </c>
      <c r="K53" s="616">
        <v>46.54323125993902</v>
      </c>
      <c r="L53" s="616">
        <v>49.230229688172912</v>
      </c>
      <c r="M53" s="616">
        <v>52.073173527928127</v>
      </c>
      <c r="N53" s="578"/>
      <c r="O53" s="578"/>
      <c r="P53" s="578"/>
      <c r="Q53" s="578"/>
      <c r="R53" s="578"/>
      <c r="S53" s="578"/>
      <c r="T53" s="578"/>
      <c r="U53" s="578"/>
      <c r="V53" s="578"/>
      <c r="W53" s="578"/>
      <c r="X53" s="578"/>
      <c r="Y53" s="578"/>
      <c r="Z53" s="578"/>
      <c r="AA53" s="578"/>
      <c r="AB53" s="578"/>
    </row>
    <row r="54" spans="1:29" x14ac:dyDescent="0.2">
      <c r="C54" s="578"/>
      <c r="D54" s="578"/>
      <c r="E54" s="578"/>
      <c r="F54" s="578"/>
      <c r="G54" s="578"/>
      <c r="H54" s="578"/>
      <c r="I54" s="578"/>
      <c r="J54" s="578"/>
      <c r="K54" s="578"/>
      <c r="L54" s="578"/>
      <c r="M54" s="578"/>
      <c r="N54" s="578"/>
      <c r="O54" s="578"/>
      <c r="P54" s="578"/>
      <c r="Q54" s="578"/>
      <c r="R54" s="578"/>
      <c r="S54" s="578"/>
      <c r="T54" s="578"/>
      <c r="U54" s="578"/>
      <c r="V54" s="578"/>
      <c r="W54" s="578"/>
      <c r="X54" s="578"/>
      <c r="Y54" s="578"/>
      <c r="Z54" s="578"/>
      <c r="AA54" s="578"/>
      <c r="AB54" s="578"/>
      <c r="AC54" s="578"/>
    </row>
    <row r="63" spans="1:29" ht="12.75" customHeight="1" x14ac:dyDescent="0.2"/>
    <row r="91" spans="2:29" x14ac:dyDescent="0.2">
      <c r="B91" s="548"/>
      <c r="C91" s="637"/>
      <c r="D91" s="637"/>
      <c r="E91" s="637"/>
      <c r="F91" s="637"/>
      <c r="G91" s="637"/>
      <c r="H91" s="637"/>
      <c r="I91" s="637"/>
      <c r="J91" s="637"/>
      <c r="K91" s="637"/>
      <c r="L91" s="637"/>
      <c r="M91" s="637"/>
      <c r="N91" s="637"/>
      <c r="O91" s="637"/>
      <c r="P91" s="637"/>
      <c r="R91" s="540"/>
      <c r="X91" s="637"/>
      <c r="Y91" s="637"/>
      <c r="Z91" s="637"/>
      <c r="AA91" s="637"/>
      <c r="AB91" s="637"/>
      <c r="AC91" s="638"/>
    </row>
    <row r="92" spans="2:29" x14ac:dyDescent="0.2">
      <c r="B92" s="548"/>
      <c r="C92" s="637"/>
      <c r="D92" s="637"/>
      <c r="E92" s="637"/>
      <c r="F92" s="637"/>
      <c r="G92" s="637"/>
      <c r="H92" s="637"/>
      <c r="I92" s="637"/>
      <c r="J92" s="637"/>
      <c r="K92" s="637"/>
      <c r="L92" s="637"/>
      <c r="M92" s="637"/>
      <c r="N92" s="637"/>
      <c r="O92" s="637"/>
      <c r="P92" s="637"/>
      <c r="R92" s="540"/>
      <c r="X92" s="637"/>
      <c r="Y92" s="637"/>
      <c r="Z92" s="637"/>
      <c r="AA92" s="637"/>
      <c r="AB92" s="637"/>
      <c r="AC92" s="638"/>
    </row>
    <row r="93" spans="2:29" x14ac:dyDescent="0.2">
      <c r="B93" s="548"/>
      <c r="C93" s="637"/>
      <c r="D93" s="637"/>
      <c r="E93" s="637"/>
      <c r="F93" s="637"/>
      <c r="G93" s="637"/>
      <c r="H93" s="637"/>
      <c r="I93" s="637"/>
      <c r="J93" s="637"/>
      <c r="K93" s="637"/>
      <c r="L93" s="637"/>
      <c r="M93" s="637"/>
      <c r="N93" s="637"/>
      <c r="O93" s="637"/>
      <c r="P93" s="637"/>
      <c r="R93" s="540"/>
      <c r="X93" s="637"/>
      <c r="Y93" s="637"/>
      <c r="Z93" s="637"/>
      <c r="AA93" s="637"/>
      <c r="AB93" s="637"/>
      <c r="AC93" s="638"/>
    </row>
    <row r="94" spans="2:29" x14ac:dyDescent="0.2">
      <c r="B94" s="548"/>
      <c r="C94" s="637"/>
      <c r="D94" s="637"/>
      <c r="E94" s="637"/>
      <c r="F94" s="637"/>
      <c r="G94" s="637"/>
      <c r="H94" s="637"/>
      <c r="I94" s="637"/>
      <c r="J94" s="637"/>
      <c r="K94" s="637"/>
      <c r="L94" s="637"/>
      <c r="M94" s="637"/>
      <c r="N94" s="637"/>
      <c r="O94" s="637"/>
      <c r="P94" s="637"/>
      <c r="R94" s="540"/>
      <c r="X94" s="637"/>
      <c r="Y94" s="637"/>
      <c r="Z94" s="637"/>
      <c r="AA94" s="637"/>
      <c r="AB94" s="637"/>
      <c r="AC94" s="638"/>
    </row>
    <row r="95" spans="2:29" x14ac:dyDescent="0.2">
      <c r="B95" s="548"/>
      <c r="C95" s="637"/>
      <c r="D95" s="637"/>
      <c r="E95" s="637"/>
      <c r="F95" s="637"/>
      <c r="G95" s="637"/>
      <c r="H95" s="637"/>
      <c r="I95" s="637"/>
      <c r="J95" s="637"/>
      <c r="K95" s="637"/>
      <c r="L95" s="637"/>
      <c r="M95" s="637"/>
      <c r="N95" s="637"/>
      <c r="O95" s="637"/>
      <c r="P95" s="637"/>
      <c r="R95" s="540"/>
      <c r="X95" s="637"/>
      <c r="Y95" s="637"/>
      <c r="Z95" s="637"/>
      <c r="AA95" s="637"/>
      <c r="AB95" s="637"/>
      <c r="AC95" s="638"/>
    </row>
    <row r="96" spans="2:29" x14ac:dyDescent="0.2">
      <c r="R96" s="540"/>
    </row>
    <row r="97" spans="2:29" x14ac:dyDescent="0.2">
      <c r="B97" s="548"/>
      <c r="R97" s="540"/>
    </row>
    <row r="98" spans="2:29" x14ac:dyDescent="0.2">
      <c r="B98" s="548"/>
      <c r="C98" s="637"/>
      <c r="D98" s="637"/>
      <c r="E98" s="637"/>
      <c r="F98" s="637"/>
      <c r="G98" s="637"/>
      <c r="H98" s="637"/>
      <c r="I98" s="637"/>
      <c r="J98" s="637"/>
      <c r="K98" s="637"/>
      <c r="L98" s="637"/>
      <c r="M98" s="637"/>
      <c r="N98" s="637"/>
      <c r="O98" s="637"/>
      <c r="P98" s="637"/>
      <c r="R98" s="540"/>
      <c r="X98" s="637"/>
      <c r="Y98" s="637"/>
      <c r="Z98" s="637"/>
      <c r="AA98" s="637"/>
      <c r="AB98" s="637"/>
      <c r="AC98" s="638"/>
    </row>
    <row r="99" spans="2:29" x14ac:dyDescent="0.2">
      <c r="B99" s="548"/>
      <c r="C99" s="637"/>
      <c r="D99" s="637"/>
      <c r="E99" s="637"/>
      <c r="F99" s="637"/>
      <c r="G99" s="637"/>
      <c r="H99" s="637"/>
      <c r="I99" s="637"/>
      <c r="J99" s="637"/>
      <c r="K99" s="637"/>
      <c r="L99" s="637"/>
      <c r="M99" s="637"/>
      <c r="N99" s="637"/>
      <c r="O99" s="637"/>
      <c r="P99" s="637"/>
      <c r="R99" s="540"/>
      <c r="X99" s="637"/>
      <c r="Y99" s="637"/>
      <c r="Z99" s="637"/>
      <c r="AA99" s="637"/>
      <c r="AB99" s="637"/>
      <c r="AC99" s="638"/>
    </row>
    <row r="100" spans="2:29" x14ac:dyDescent="0.2">
      <c r="B100" s="548"/>
      <c r="C100" s="637"/>
      <c r="D100" s="637"/>
      <c r="E100" s="637"/>
      <c r="F100" s="637"/>
      <c r="G100" s="637"/>
      <c r="H100" s="637"/>
      <c r="I100" s="637"/>
      <c r="J100" s="637"/>
      <c r="K100" s="637"/>
      <c r="L100" s="637"/>
      <c r="M100" s="637"/>
      <c r="N100" s="637"/>
      <c r="O100" s="637"/>
      <c r="P100" s="637"/>
      <c r="R100" s="540"/>
      <c r="X100" s="637"/>
      <c r="Y100" s="637"/>
      <c r="Z100" s="637"/>
      <c r="AA100" s="637"/>
      <c r="AB100" s="637"/>
      <c r="AC100" s="638"/>
    </row>
    <row r="101" spans="2:29" x14ac:dyDescent="0.2">
      <c r="B101" s="548"/>
      <c r="C101" s="637"/>
      <c r="D101" s="637"/>
      <c r="E101" s="637"/>
      <c r="F101" s="637"/>
      <c r="G101" s="637"/>
      <c r="H101" s="637"/>
      <c r="I101" s="637"/>
      <c r="J101" s="637"/>
      <c r="K101" s="637"/>
      <c r="L101" s="637"/>
      <c r="M101" s="637"/>
      <c r="N101" s="637"/>
      <c r="O101" s="637"/>
      <c r="P101" s="637"/>
      <c r="R101" s="540"/>
      <c r="X101" s="637"/>
      <c r="Y101" s="637"/>
      <c r="Z101" s="637"/>
      <c r="AA101" s="637"/>
      <c r="AB101" s="637"/>
      <c r="AC101" s="638"/>
    </row>
    <row r="102" spans="2:29" x14ac:dyDescent="0.2">
      <c r="B102" s="548"/>
      <c r="C102" s="637"/>
      <c r="D102" s="637"/>
      <c r="E102" s="637"/>
      <c r="F102" s="637"/>
      <c r="G102" s="637"/>
      <c r="H102" s="637"/>
      <c r="I102" s="637"/>
      <c r="J102" s="637"/>
      <c r="K102" s="637"/>
      <c r="L102" s="637"/>
      <c r="M102" s="637"/>
      <c r="N102" s="637"/>
      <c r="O102" s="637"/>
      <c r="P102" s="637"/>
      <c r="R102" s="540"/>
      <c r="X102" s="637"/>
      <c r="Y102" s="637"/>
      <c r="Z102" s="637"/>
      <c r="AA102" s="637"/>
      <c r="AB102" s="637"/>
      <c r="AC102" s="638"/>
    </row>
    <row r="103" spans="2:29" x14ac:dyDescent="0.2">
      <c r="B103" s="548"/>
      <c r="C103" s="637"/>
      <c r="D103" s="637"/>
      <c r="E103" s="637"/>
      <c r="F103" s="637"/>
      <c r="G103" s="637"/>
      <c r="H103" s="637"/>
      <c r="I103" s="637"/>
      <c r="J103" s="637"/>
      <c r="K103" s="637"/>
      <c r="L103" s="637"/>
      <c r="M103" s="637"/>
      <c r="N103" s="637"/>
      <c r="O103" s="637"/>
      <c r="P103" s="637"/>
      <c r="R103" s="540"/>
      <c r="X103" s="637"/>
      <c r="Y103" s="637"/>
      <c r="Z103" s="637"/>
      <c r="AA103" s="637"/>
      <c r="AB103" s="637"/>
      <c r="AC103" s="638"/>
    </row>
    <row r="104" spans="2:29" x14ac:dyDescent="0.2">
      <c r="R104" s="540"/>
    </row>
    <row r="105" spans="2:29" x14ac:dyDescent="0.2">
      <c r="R105" s="540"/>
    </row>
    <row r="106" spans="2:29" x14ac:dyDescent="0.2">
      <c r="R106" s="540"/>
    </row>
    <row r="107" spans="2:29" x14ac:dyDescent="0.2">
      <c r="R107" s="540"/>
    </row>
    <row r="108" spans="2:29" x14ac:dyDescent="0.2">
      <c r="R108" s="540"/>
    </row>
    <row r="109" spans="2:29" x14ac:dyDescent="0.2">
      <c r="R109" s="540"/>
    </row>
    <row r="110" spans="2:29" x14ac:dyDescent="0.2">
      <c r="R110" s="540"/>
    </row>
    <row r="111" spans="2:29" x14ac:dyDescent="0.2">
      <c r="R111" s="540"/>
    </row>
    <row r="112" spans="2:29" x14ac:dyDescent="0.2">
      <c r="R112" s="540"/>
    </row>
    <row r="113" spans="17:20" x14ac:dyDescent="0.2">
      <c r="R113" s="540"/>
    </row>
    <row r="114" spans="17:20" x14ac:dyDescent="0.2">
      <c r="R114" s="540"/>
    </row>
    <row r="115" spans="17:20" x14ac:dyDescent="0.2">
      <c r="Q115" s="527"/>
      <c r="R115" s="631"/>
    </row>
    <row r="116" spans="17:20" ht="12.75" customHeight="1" x14ac:dyDescent="0.2">
      <c r="Q116" s="1150"/>
      <c r="R116" s="1151"/>
      <c r="S116" s="1147"/>
      <c r="T116" s="1147"/>
    </row>
    <row r="117" spans="17:20" x14ac:dyDescent="0.2">
      <c r="Q117" s="1147"/>
      <c r="R117" s="1147"/>
      <c r="S117" s="1147"/>
      <c r="T117" s="1147"/>
    </row>
    <row r="118" spans="17:20" x14ac:dyDescent="0.2">
      <c r="Q118" s="1147"/>
      <c r="R118" s="1147"/>
      <c r="S118" s="1147"/>
      <c r="T118" s="1147"/>
    </row>
    <row r="119" spans="17:20" x14ac:dyDescent="0.2">
      <c r="Q119" s="1147"/>
      <c r="R119" s="1147"/>
      <c r="S119" s="1147"/>
      <c r="T119" s="1147"/>
    </row>
    <row r="120" spans="17:20" x14ac:dyDescent="0.2">
      <c r="Q120" s="1147"/>
      <c r="R120" s="1147"/>
      <c r="S120" s="1147"/>
      <c r="T120" s="1147"/>
    </row>
    <row r="121" spans="17:20" x14ac:dyDescent="0.2">
      <c r="Q121" s="1147"/>
      <c r="R121" s="1147"/>
      <c r="S121" s="1147"/>
      <c r="T121" s="1147"/>
    </row>
    <row r="122" spans="17:20" ht="12.75" customHeight="1" x14ac:dyDescent="0.2">
      <c r="Q122" s="1150"/>
      <c r="R122" s="1151"/>
    </row>
    <row r="123" spans="17:20" x14ac:dyDescent="0.2">
      <c r="Q123" s="1147"/>
      <c r="R123" s="1147"/>
    </row>
  </sheetData>
  <mergeCells count="5">
    <mergeCell ref="A2:M2"/>
    <mergeCell ref="C16:E16"/>
    <mergeCell ref="F16:H16"/>
    <mergeCell ref="Q116:T121"/>
    <mergeCell ref="Q122:R12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54"/>
  <sheetViews>
    <sheetView showFormulas="1" topLeftCell="A19" workbookViewId="0">
      <selection activeCell="E18" sqref="E18"/>
    </sheetView>
  </sheetViews>
  <sheetFormatPr defaultColWidth="9.140625" defaultRowHeight="12" x14ac:dyDescent="0.2"/>
  <cols>
    <col min="1" max="1" width="19.140625" style="37" customWidth="1"/>
    <col min="2" max="2" width="7.140625" style="37" customWidth="1"/>
    <col min="3" max="3" width="10" style="37" customWidth="1"/>
    <col min="4" max="6" width="10.5703125" style="37" customWidth="1"/>
    <col min="7" max="7" width="11" style="37" customWidth="1"/>
    <col min="8" max="8" width="11.140625" style="37" customWidth="1"/>
    <col min="9" max="9" width="10.5703125" style="37" customWidth="1"/>
    <col min="10" max="10" width="11" style="37" customWidth="1"/>
    <col min="11" max="11" width="10.42578125" style="37" customWidth="1"/>
    <col min="12" max="12" width="10.5703125" style="37" customWidth="1"/>
    <col min="13" max="13" width="10.42578125" style="37" customWidth="1"/>
    <col min="14" max="14" width="10.5703125" style="37" customWidth="1"/>
    <col min="15" max="16384" width="9.140625" style="37"/>
  </cols>
  <sheetData>
    <row r="1" spans="1:15" x14ac:dyDescent="0.2">
      <c r="A1" s="130"/>
      <c r="B1" s="130" t="s">
        <v>869</v>
      </c>
      <c r="C1" s="131"/>
      <c r="D1" s="131"/>
      <c r="E1" s="131"/>
      <c r="F1" s="131"/>
      <c r="G1" s="131"/>
      <c r="H1" s="131"/>
      <c r="I1" s="131"/>
      <c r="J1" s="131"/>
      <c r="K1" s="131"/>
      <c r="L1" s="131"/>
      <c r="M1" s="131"/>
      <c r="N1" s="131"/>
      <c r="O1" s="131"/>
    </row>
    <row r="2" spans="1:15" x14ac:dyDescent="0.2">
      <c r="A2" s="132"/>
      <c r="B2" s="132"/>
    </row>
    <row r="3" spans="1:15" x14ac:dyDescent="0.2">
      <c r="A3" s="37" t="s">
        <v>870</v>
      </c>
    </row>
    <row r="4" spans="1:15" x14ac:dyDescent="0.2">
      <c r="A4" s="37" t="s">
        <v>871</v>
      </c>
    </row>
    <row r="5" spans="1:15" x14ac:dyDescent="0.2">
      <c r="A5" s="37" t="s">
        <v>872</v>
      </c>
    </row>
    <row r="7" spans="1:15" x14ac:dyDescent="0.2">
      <c r="A7" s="36"/>
      <c r="B7" s="36"/>
      <c r="C7" s="36"/>
      <c r="D7" s="36" t="s">
        <v>873</v>
      </c>
      <c r="E7" s="36"/>
      <c r="F7" s="36"/>
      <c r="G7" s="36"/>
      <c r="H7" s="36"/>
      <c r="I7" s="36"/>
      <c r="J7" s="36"/>
      <c r="K7" s="36"/>
      <c r="L7" s="36"/>
      <c r="M7" s="36"/>
      <c r="N7" s="36"/>
    </row>
    <row r="8" spans="1:15" x14ac:dyDescent="0.2">
      <c r="A8" s="1175" t="s">
        <v>717</v>
      </c>
      <c r="B8" s="1175"/>
      <c r="C8" s="37">
        <v>2000</v>
      </c>
      <c r="D8" s="37">
        <v>2005</v>
      </c>
      <c r="E8" s="37">
        <v>2010</v>
      </c>
      <c r="F8" s="37">
        <v>2015</v>
      </c>
      <c r="G8" s="37">
        <v>2020</v>
      </c>
      <c r="H8" s="37">
        <v>2025</v>
      </c>
      <c r="I8" s="37">
        <v>2030</v>
      </c>
      <c r="J8" s="37">
        <v>2035</v>
      </c>
      <c r="K8" s="37">
        <v>2040</v>
      </c>
      <c r="L8" s="37">
        <v>2045</v>
      </c>
      <c r="M8" s="37">
        <v>2050</v>
      </c>
      <c r="N8" s="37">
        <v>2055</v>
      </c>
    </row>
    <row r="9" spans="1:15" x14ac:dyDescent="0.2">
      <c r="A9" s="37" t="s">
        <v>788</v>
      </c>
      <c r="B9" s="37" t="s">
        <v>718</v>
      </c>
      <c r="C9" s="43">
        <v>14082663.889999991</v>
      </c>
      <c r="D9" s="43">
        <v>14365140.789999997</v>
      </c>
      <c r="E9" s="43">
        <v>14647617.68999999</v>
      </c>
      <c r="F9" s="43">
        <v>14930094.589999996</v>
      </c>
      <c r="G9" s="43">
        <v>15212571.489999987</v>
      </c>
      <c r="H9" s="43">
        <v>15495048.389999993</v>
      </c>
      <c r="I9" s="43">
        <v>15777525.289999999</v>
      </c>
      <c r="J9" s="43">
        <v>16060002.189999992</v>
      </c>
      <c r="K9" s="43">
        <v>16342479.089999998</v>
      </c>
      <c r="L9" s="43">
        <v>16624955.989999989</v>
      </c>
      <c r="M9" s="43">
        <v>16907432.889999997</v>
      </c>
      <c r="N9" s="43">
        <v>17189909.789999988</v>
      </c>
    </row>
    <row r="10" spans="1:15" x14ac:dyDescent="0.2">
      <c r="A10" s="37" t="s">
        <v>878</v>
      </c>
      <c r="B10" s="37" t="s">
        <v>723</v>
      </c>
      <c r="C10" s="43">
        <v>40037144.820000008</v>
      </c>
      <c r="D10" s="43">
        <v>40430205.620000012</v>
      </c>
      <c r="E10" s="43">
        <v>40823266.420000009</v>
      </c>
      <c r="F10" s="43">
        <v>41216327.220000014</v>
      </c>
      <c r="G10" s="43">
        <v>41609388.020000011</v>
      </c>
      <c r="H10" s="43">
        <v>42002448.820000015</v>
      </c>
      <c r="I10" s="43">
        <v>42395509.620000012</v>
      </c>
      <c r="J10" s="43">
        <v>42788570.420000017</v>
      </c>
      <c r="K10" s="43">
        <v>43181631.220000014</v>
      </c>
      <c r="L10" s="43">
        <v>43574692.020000018</v>
      </c>
      <c r="M10" s="43">
        <v>43967752.820000015</v>
      </c>
      <c r="N10" s="43">
        <v>44360813.62000002</v>
      </c>
    </row>
    <row r="11" spans="1:15" x14ac:dyDescent="0.2">
      <c r="A11" s="37" t="s">
        <v>879</v>
      </c>
      <c r="B11" s="37" t="s">
        <v>724</v>
      </c>
      <c r="C11" s="43">
        <v>51311033.110000156</v>
      </c>
      <c r="D11" s="43">
        <v>55682680.66000019</v>
      </c>
      <c r="E11" s="43">
        <v>60054328.210000224</v>
      </c>
      <c r="F11" s="43">
        <v>64425975.760000259</v>
      </c>
      <c r="G11" s="43">
        <v>68797623.310000062</v>
      </c>
      <c r="H11" s="43">
        <v>73169270.860000104</v>
      </c>
      <c r="I11" s="43">
        <v>77540918.410000131</v>
      </c>
      <c r="J11" s="43">
        <v>81912565.960000172</v>
      </c>
      <c r="K11" s="43">
        <v>86284213.510000199</v>
      </c>
      <c r="L11" s="43">
        <v>90655861.060000241</v>
      </c>
      <c r="M11" s="43">
        <v>95027508.610000268</v>
      </c>
      <c r="N11" s="43">
        <v>99399156.160000071</v>
      </c>
    </row>
    <row r="12" spans="1:15" x14ac:dyDescent="0.2">
      <c r="A12" s="37" t="s">
        <v>880</v>
      </c>
      <c r="B12" s="37" t="s">
        <v>725</v>
      </c>
      <c r="C12" s="43">
        <v>17077982.930000018</v>
      </c>
      <c r="D12" s="43">
        <v>17552092.280000012</v>
      </c>
      <c r="E12" s="43">
        <v>18026201.630000003</v>
      </c>
      <c r="F12" s="43">
        <v>18500310.980000023</v>
      </c>
      <c r="G12" s="43">
        <v>18974420.330000017</v>
      </c>
      <c r="H12" s="43">
        <v>19448529.680000007</v>
      </c>
      <c r="I12" s="43">
        <v>19922639.030000027</v>
      </c>
      <c r="J12" s="43">
        <v>20396748.380000021</v>
      </c>
      <c r="K12" s="43">
        <v>20870857.730000012</v>
      </c>
      <c r="L12" s="43">
        <v>21344967.080000002</v>
      </c>
      <c r="M12" s="43">
        <v>21819076.430000026</v>
      </c>
      <c r="N12" s="43">
        <v>22293185.780000016</v>
      </c>
    </row>
    <row r="13" spans="1:15" x14ac:dyDescent="0.2">
      <c r="A13" s="37" t="s">
        <v>881</v>
      </c>
      <c r="B13" s="37" t="s">
        <v>726</v>
      </c>
      <c r="C13" s="43">
        <v>45614039.319999993</v>
      </c>
      <c r="D13" s="43">
        <v>46191913.769999988</v>
      </c>
      <c r="E13" s="43">
        <v>46769788.220000006</v>
      </c>
      <c r="F13" s="43">
        <v>47347662.670000002</v>
      </c>
      <c r="G13" s="43">
        <v>47925537.120000005</v>
      </c>
      <c r="H13" s="43">
        <v>48503411.57</v>
      </c>
      <c r="I13" s="43">
        <v>49081286.019999996</v>
      </c>
      <c r="J13" s="43">
        <v>49659160.469999991</v>
      </c>
      <c r="K13" s="43">
        <v>50237034.919999987</v>
      </c>
      <c r="L13" s="43">
        <v>50814909.370000012</v>
      </c>
      <c r="M13" s="43">
        <v>51392783.820000008</v>
      </c>
      <c r="N13" s="43">
        <v>51970658.270000003</v>
      </c>
    </row>
    <row r="14" spans="1:15" x14ac:dyDescent="0.2">
      <c r="A14" s="37" t="s">
        <v>882</v>
      </c>
      <c r="B14" s="37" t="s">
        <v>727</v>
      </c>
      <c r="C14" s="43">
        <v>31253546.539999887</v>
      </c>
      <c r="D14" s="43">
        <v>33535417.339999866</v>
      </c>
      <c r="E14" s="43">
        <v>35817288.139999963</v>
      </c>
      <c r="F14" s="43">
        <v>38099158.939999938</v>
      </c>
      <c r="G14" s="43">
        <v>40381029.73999992</v>
      </c>
      <c r="H14" s="43">
        <v>42662900.539999895</v>
      </c>
      <c r="I14" s="43">
        <v>44944771.339999877</v>
      </c>
      <c r="J14" s="43">
        <v>47226642.139999971</v>
      </c>
      <c r="K14" s="43">
        <v>49508512.939999945</v>
      </c>
      <c r="L14" s="43">
        <v>51790383.739999928</v>
      </c>
      <c r="M14" s="43">
        <v>54072254.539999902</v>
      </c>
      <c r="N14" s="43">
        <v>56354125.339999884</v>
      </c>
    </row>
    <row r="15" spans="1:15" x14ac:dyDescent="0.2">
      <c r="A15" s="37" t="s">
        <v>883</v>
      </c>
      <c r="B15" s="37" t="s">
        <v>728</v>
      </c>
      <c r="C15" s="43">
        <v>19388126.960000023</v>
      </c>
      <c r="D15" s="43">
        <v>19826329.51000002</v>
      </c>
      <c r="E15" s="43">
        <v>20264532.060000021</v>
      </c>
      <c r="F15" s="43">
        <v>20702734.610000022</v>
      </c>
      <c r="G15" s="43">
        <v>21140937.160000023</v>
      </c>
      <c r="H15" s="43">
        <v>21579139.71000002</v>
      </c>
      <c r="I15" s="43">
        <v>22017342.26000002</v>
      </c>
      <c r="J15" s="43">
        <v>22455544.810000021</v>
      </c>
      <c r="K15" s="43">
        <v>22893747.360000022</v>
      </c>
      <c r="L15" s="43">
        <v>23331949.910000019</v>
      </c>
      <c r="M15" s="43">
        <v>23770152.46000002</v>
      </c>
      <c r="N15" s="43">
        <v>24208355.01000002</v>
      </c>
    </row>
    <row r="16" spans="1:15" x14ac:dyDescent="0.2">
      <c r="A16" s="37" t="s">
        <v>884</v>
      </c>
      <c r="B16" s="37" t="s">
        <v>729</v>
      </c>
      <c r="C16" s="43">
        <v>17981767.819999959</v>
      </c>
      <c r="D16" s="43">
        <v>19923017.619999997</v>
      </c>
      <c r="E16" s="43">
        <v>21864267.420000032</v>
      </c>
      <c r="F16" s="43">
        <v>23805517.219999958</v>
      </c>
      <c r="G16" s="43">
        <v>25746767.019999992</v>
      </c>
      <c r="H16" s="43">
        <v>27688016.82000003</v>
      </c>
      <c r="I16" s="43">
        <v>29629266.619999953</v>
      </c>
      <c r="J16" s="43">
        <v>31570516.419999991</v>
      </c>
      <c r="K16" s="43">
        <v>33511766.220000029</v>
      </c>
      <c r="L16" s="43">
        <v>35453016.019999951</v>
      </c>
      <c r="M16" s="43">
        <v>37394265.819999985</v>
      </c>
      <c r="N16" s="43">
        <v>39335515.620000027</v>
      </c>
    </row>
    <row r="17" spans="1:14" x14ac:dyDescent="0.2">
      <c r="A17" s="37" t="s">
        <v>885</v>
      </c>
      <c r="B17" s="37" t="s">
        <v>730</v>
      </c>
      <c r="C17" s="43">
        <v>44845539.820000112</v>
      </c>
      <c r="D17" s="43">
        <v>47700071.920000024</v>
      </c>
      <c r="E17" s="43">
        <v>50554604.020000167</v>
      </c>
      <c r="F17" s="43">
        <v>53409136.120000087</v>
      </c>
      <c r="G17" s="43">
        <v>56263668.22000023</v>
      </c>
      <c r="H17" s="43">
        <v>59118200.320000142</v>
      </c>
      <c r="I17" s="43">
        <v>61972732.420000054</v>
      </c>
      <c r="J17" s="43">
        <v>64827264.520000197</v>
      </c>
      <c r="K17" s="43">
        <v>67681796.620000109</v>
      </c>
      <c r="L17" s="43">
        <v>70536328.720000029</v>
      </c>
      <c r="M17" s="43">
        <v>73390860.820000172</v>
      </c>
      <c r="N17" s="43">
        <v>76245392.920000091</v>
      </c>
    </row>
    <row r="18" spans="1:14" x14ac:dyDescent="0.2">
      <c r="A18" s="41" t="s">
        <v>886</v>
      </c>
      <c r="C18" s="43">
        <f t="shared" ref="C18:N18" si="0">SUM(C9:C17)</f>
        <v>281591845.21000016</v>
      </c>
      <c r="D18" s="43">
        <f t="shared" si="0"/>
        <v>295206869.51000011</v>
      </c>
      <c r="E18" s="518">
        <f t="shared" si="0"/>
        <v>308821893.81000042</v>
      </c>
      <c r="F18" s="43">
        <f t="shared" si="0"/>
        <v>322436918.11000025</v>
      </c>
      <c r="G18" s="43">
        <f t="shared" si="0"/>
        <v>336051942.41000021</v>
      </c>
      <c r="H18" s="43">
        <f t="shared" si="0"/>
        <v>349666966.71000016</v>
      </c>
      <c r="I18" s="43">
        <f t="shared" si="0"/>
        <v>363281991.01000011</v>
      </c>
      <c r="J18" s="43">
        <f t="shared" si="0"/>
        <v>376897015.31000042</v>
      </c>
      <c r="K18" s="43">
        <f t="shared" si="0"/>
        <v>390512039.61000031</v>
      </c>
      <c r="L18" s="43">
        <f t="shared" si="0"/>
        <v>404127063.91000021</v>
      </c>
      <c r="M18" s="43">
        <f t="shared" si="0"/>
        <v>417742088.21000046</v>
      </c>
      <c r="N18" s="43">
        <f t="shared" si="0"/>
        <v>431357112.51000011</v>
      </c>
    </row>
    <row r="20" spans="1:14" x14ac:dyDescent="0.2">
      <c r="A20" s="36"/>
      <c r="B20" s="36"/>
      <c r="C20" s="36"/>
      <c r="D20" s="36" t="s">
        <v>877</v>
      </c>
      <c r="E20" s="36"/>
      <c r="F20" s="36"/>
      <c r="G20" s="36"/>
      <c r="H20" s="36"/>
      <c r="I20" s="36"/>
      <c r="J20" s="36"/>
      <c r="K20" s="36"/>
      <c r="L20" s="36"/>
      <c r="M20" s="36"/>
      <c r="N20" s="36"/>
    </row>
    <row r="21" spans="1:14" x14ac:dyDescent="0.2">
      <c r="A21" s="1175" t="s">
        <v>717</v>
      </c>
      <c r="B21" s="1175"/>
      <c r="C21" s="37">
        <v>2000</v>
      </c>
      <c r="D21" s="37">
        <v>2005</v>
      </c>
      <c r="E21" s="37">
        <v>2010</v>
      </c>
      <c r="F21" s="37">
        <v>2015</v>
      </c>
      <c r="G21" s="37">
        <v>2020</v>
      </c>
      <c r="H21" s="37">
        <v>2025</v>
      </c>
      <c r="I21" s="37">
        <v>2030</v>
      </c>
      <c r="J21" s="37">
        <v>2035</v>
      </c>
      <c r="K21" s="37">
        <v>2040</v>
      </c>
      <c r="L21" s="37">
        <v>2045</v>
      </c>
      <c r="M21" s="37">
        <v>2050</v>
      </c>
      <c r="N21" s="37">
        <v>2055</v>
      </c>
    </row>
    <row r="22" spans="1:14" x14ac:dyDescent="0.2">
      <c r="A22" s="37" t="s">
        <v>788</v>
      </c>
      <c r="B22" s="37" t="s">
        <v>718</v>
      </c>
      <c r="C22" s="43">
        <v>14082663.889999991</v>
      </c>
      <c r="D22" s="43">
        <v>14255073.101</v>
      </c>
      <c r="E22" s="43">
        <v>14559921.450999998</v>
      </c>
      <c r="F22" s="43">
        <v>14806579.829999998</v>
      </c>
      <c r="G22" s="43">
        <v>14997673.560000001</v>
      </c>
      <c r="H22" s="43">
        <v>15111198.526999999</v>
      </c>
      <c r="I22" s="43">
        <v>15141889.450999998</v>
      </c>
      <c r="J22" s="43">
        <v>15098507.534000002</v>
      </c>
      <c r="K22" s="43">
        <v>14996543.470000003</v>
      </c>
      <c r="L22" s="43">
        <v>14833993.520999998</v>
      </c>
      <c r="M22" s="43">
        <v>14622514.98</v>
      </c>
      <c r="N22" s="43">
        <v>14386621.138</v>
      </c>
    </row>
    <row r="23" spans="1:14" x14ac:dyDescent="0.2">
      <c r="A23" s="37" t="s">
        <v>878</v>
      </c>
      <c r="B23" s="37" t="s">
        <v>723</v>
      </c>
      <c r="C23" s="43">
        <v>40037144.820000008</v>
      </c>
      <c r="D23" s="43">
        <v>40424218.921000004</v>
      </c>
      <c r="E23" s="43">
        <v>43307856.045000017</v>
      </c>
      <c r="F23" s="43">
        <v>45795599.081</v>
      </c>
      <c r="G23" s="43">
        <v>48022396.056999996</v>
      </c>
      <c r="H23" s="43">
        <v>50005879.075000018</v>
      </c>
      <c r="I23" s="43">
        <v>51768902.476999983</v>
      </c>
      <c r="J23" s="43">
        <v>53349649.735000007</v>
      </c>
      <c r="K23" s="43">
        <v>54746760.595999993</v>
      </c>
      <c r="L23" s="43">
        <v>55968920.20699998</v>
      </c>
      <c r="M23" s="43">
        <v>57054895.958000004</v>
      </c>
      <c r="N23" s="43">
        <v>58050704.504999995</v>
      </c>
    </row>
    <row r="24" spans="1:14" x14ac:dyDescent="0.2">
      <c r="A24" s="37" t="s">
        <v>879</v>
      </c>
      <c r="B24" s="37" t="s">
        <v>724</v>
      </c>
      <c r="C24" s="43">
        <v>51311033.110000156</v>
      </c>
      <c r="D24" s="43">
        <v>56211935.149000004</v>
      </c>
      <c r="E24" s="43">
        <v>60657963.586000003</v>
      </c>
      <c r="F24" s="43">
        <v>64826872.270000011</v>
      </c>
      <c r="G24" s="43">
        <v>68775871.564999998</v>
      </c>
      <c r="H24" s="43">
        <v>72551125.178000003</v>
      </c>
      <c r="I24" s="43">
        <v>76130086.838</v>
      </c>
      <c r="J24" s="43">
        <v>79451514.100999996</v>
      </c>
      <c r="K24" s="43">
        <v>82495544.490000024</v>
      </c>
      <c r="L24" s="43">
        <v>85206420.486000001</v>
      </c>
      <c r="M24" s="43">
        <v>87598757.290999979</v>
      </c>
      <c r="N24" s="43">
        <v>89784933.364600003</v>
      </c>
    </row>
    <row r="25" spans="1:14" x14ac:dyDescent="0.2">
      <c r="A25" s="37" t="s">
        <v>880</v>
      </c>
      <c r="B25" s="37" t="s">
        <v>725</v>
      </c>
      <c r="C25" s="43">
        <v>17077982.930000018</v>
      </c>
      <c r="D25" s="43">
        <v>19805788.936800003</v>
      </c>
      <c r="E25" s="43">
        <v>20159289.497400001</v>
      </c>
      <c r="F25" s="43">
        <v>20476775.141300004</v>
      </c>
      <c r="G25" s="43">
        <v>20749393.893400002</v>
      </c>
      <c r="H25" s="43">
        <v>20940851.981899999</v>
      </c>
      <c r="I25" s="43">
        <v>21040329.486699998</v>
      </c>
      <c r="J25" s="43">
        <v>21038618.613199998</v>
      </c>
      <c r="K25" s="43">
        <v>20955441.926899999</v>
      </c>
      <c r="L25" s="43">
        <v>20804312.533100005</v>
      </c>
      <c r="M25" s="43">
        <v>20591713.880000003</v>
      </c>
      <c r="N25" s="43">
        <v>20351239.3081</v>
      </c>
    </row>
    <row r="26" spans="1:14" x14ac:dyDescent="0.2">
      <c r="A26" s="37" t="s">
        <v>881</v>
      </c>
      <c r="B26" s="37" t="s">
        <v>726</v>
      </c>
      <c r="C26" s="43">
        <v>45614039.319999993</v>
      </c>
      <c r="D26" s="43">
        <v>46130608.688000001</v>
      </c>
      <c r="E26" s="43">
        <v>46972933.263000011</v>
      </c>
      <c r="F26" s="43">
        <v>47577755.758000009</v>
      </c>
      <c r="G26" s="43">
        <v>47995420.120000012</v>
      </c>
      <c r="H26" s="43">
        <v>48224534.769000009</v>
      </c>
      <c r="I26" s="43">
        <v>48224802.348000005</v>
      </c>
      <c r="J26" s="43">
        <v>48028971.478000008</v>
      </c>
      <c r="K26" s="43">
        <v>47680484.528999999</v>
      </c>
      <c r="L26" s="43">
        <v>47208997.395000011</v>
      </c>
      <c r="M26" s="43">
        <v>46617072.958999991</v>
      </c>
      <c r="N26" s="43">
        <v>45970326.495000005</v>
      </c>
    </row>
    <row r="27" spans="1:14" x14ac:dyDescent="0.2">
      <c r="A27" s="37" t="s">
        <v>882</v>
      </c>
      <c r="B27" s="37" t="s">
        <v>727</v>
      </c>
      <c r="C27" s="43">
        <v>31253546.539999887</v>
      </c>
      <c r="D27" s="43">
        <v>33754989.348699994</v>
      </c>
      <c r="E27" s="43">
        <v>36435612.336899988</v>
      </c>
      <c r="F27" s="43">
        <v>38907357.291749991</v>
      </c>
      <c r="G27" s="43">
        <v>41192424.01761999</v>
      </c>
      <c r="H27" s="43">
        <v>43323912.229930013</v>
      </c>
      <c r="I27" s="43">
        <v>45282321.029000022</v>
      </c>
      <c r="J27" s="43">
        <v>47075508.928220011</v>
      </c>
      <c r="K27" s="43">
        <v>48642800.480819978</v>
      </c>
      <c r="L27" s="43">
        <v>49999333.878240012</v>
      </c>
      <c r="M27" s="43">
        <v>51136790.05067002</v>
      </c>
      <c r="N27" s="43">
        <v>52125909.121109977</v>
      </c>
    </row>
    <row r="28" spans="1:14" x14ac:dyDescent="0.2">
      <c r="A28" s="37" t="s">
        <v>883</v>
      </c>
      <c r="B28" s="37" t="s">
        <v>728</v>
      </c>
      <c r="C28" s="43">
        <v>19388126.960000023</v>
      </c>
      <c r="D28" s="43">
        <v>17585176.247000001</v>
      </c>
      <c r="E28" s="43">
        <v>17816637.934999999</v>
      </c>
      <c r="F28" s="43">
        <v>17930085.234000001</v>
      </c>
      <c r="G28" s="43">
        <v>17940824.980999999</v>
      </c>
      <c r="H28" s="43">
        <v>17871914.307000004</v>
      </c>
      <c r="I28" s="43">
        <v>17701358.123</v>
      </c>
      <c r="J28" s="43">
        <v>17487059.499000002</v>
      </c>
      <c r="K28" s="43">
        <v>17237972.877999995</v>
      </c>
      <c r="L28" s="43">
        <v>16930344.434</v>
      </c>
      <c r="M28" s="43">
        <v>16608433.531000001</v>
      </c>
      <c r="N28" s="43">
        <v>16251410.362000002</v>
      </c>
    </row>
    <row r="29" spans="1:14" x14ac:dyDescent="0.2">
      <c r="A29" s="37" t="s">
        <v>884</v>
      </c>
      <c r="B29" s="37" t="s">
        <v>729</v>
      </c>
      <c r="C29" s="43">
        <v>17981767.819999959</v>
      </c>
      <c r="D29" s="43">
        <v>20317824.098200001</v>
      </c>
      <c r="E29" s="43">
        <v>21967032.106299996</v>
      </c>
      <c r="F29" s="43">
        <v>23510704.125500001</v>
      </c>
      <c r="G29" s="43">
        <v>24971189.716500003</v>
      </c>
      <c r="H29" s="43">
        <v>26340833.627499998</v>
      </c>
      <c r="I29" s="43">
        <v>27631045.834299996</v>
      </c>
      <c r="J29" s="43">
        <v>28808041.623099998</v>
      </c>
      <c r="K29" s="43">
        <v>29837457.262799997</v>
      </c>
      <c r="L29" s="43">
        <v>30702162.024299998</v>
      </c>
      <c r="M29" s="43">
        <v>31414970.701299999</v>
      </c>
      <c r="N29" s="43">
        <v>32032798.268399999</v>
      </c>
    </row>
    <row r="30" spans="1:14" x14ac:dyDescent="0.2">
      <c r="A30" s="37" t="s">
        <v>885</v>
      </c>
      <c r="B30" s="37" t="s">
        <v>730</v>
      </c>
      <c r="C30" s="43">
        <v>44845539.820000112</v>
      </c>
      <c r="D30" s="43">
        <v>48019332.207551196</v>
      </c>
      <c r="E30" s="43">
        <v>50771732.591894343</v>
      </c>
      <c r="F30" s="43">
        <v>53225572.894723535</v>
      </c>
      <c r="G30" s="43">
        <v>55388666.918814115</v>
      </c>
      <c r="H30" s="43">
        <v>57252917.077324443</v>
      </c>
      <c r="I30" s="43">
        <v>58843587.911681518</v>
      </c>
      <c r="J30" s="43">
        <v>60207059.366576836</v>
      </c>
      <c r="K30" s="43">
        <v>61339070.616783455</v>
      </c>
      <c r="L30" s="43">
        <v>62196594.287861489</v>
      </c>
      <c r="M30" s="43">
        <v>62782382.675442532</v>
      </c>
      <c r="N30" s="43">
        <v>63180872.50108292</v>
      </c>
    </row>
    <row r="31" spans="1:14" x14ac:dyDescent="0.2">
      <c r="A31" s="41" t="s">
        <v>886</v>
      </c>
      <c r="C31" s="43">
        <f t="shared" ref="C31:N31" si="1">SUM(C22:C30)</f>
        <v>281591845.21000016</v>
      </c>
      <c r="D31" s="43">
        <f t="shared" si="1"/>
        <v>296504946.6972512</v>
      </c>
      <c r="E31" s="43">
        <f t="shared" si="1"/>
        <v>312648978.81249434</v>
      </c>
      <c r="F31" s="43">
        <f t="shared" si="1"/>
        <v>327057301.62627357</v>
      </c>
      <c r="G31" s="43">
        <f t="shared" si="1"/>
        <v>340033860.82933414</v>
      </c>
      <c r="H31" s="43">
        <f t="shared" si="1"/>
        <v>351623166.77265453</v>
      </c>
      <c r="I31" s="43">
        <f t="shared" si="1"/>
        <v>361764323.49868149</v>
      </c>
      <c r="J31" s="43">
        <f t="shared" si="1"/>
        <v>370544930.87809688</v>
      </c>
      <c r="K31" s="43">
        <f t="shared" si="1"/>
        <v>377932076.25030345</v>
      </c>
      <c r="L31" s="43">
        <f t="shared" si="1"/>
        <v>383851078.76650149</v>
      </c>
      <c r="M31" s="43">
        <f t="shared" si="1"/>
        <v>388427532.02641255</v>
      </c>
      <c r="N31" s="43">
        <f t="shared" si="1"/>
        <v>392134815.06329286</v>
      </c>
    </row>
    <row r="32" spans="1:14" x14ac:dyDescent="0.2">
      <c r="C32" s="43"/>
      <c r="D32" s="43"/>
      <c r="E32" s="43"/>
      <c r="F32" s="43"/>
      <c r="G32" s="43"/>
      <c r="H32" s="43"/>
      <c r="I32" s="43"/>
      <c r="J32" s="43"/>
      <c r="K32" s="43"/>
      <c r="L32" s="43"/>
      <c r="M32" s="43"/>
      <c r="N32" s="43"/>
    </row>
    <row r="33" spans="1:14" x14ac:dyDescent="0.2">
      <c r="A33" s="36"/>
      <c r="B33" s="36"/>
      <c r="C33" s="36"/>
      <c r="D33" s="36" t="s">
        <v>887</v>
      </c>
      <c r="E33" s="36"/>
      <c r="F33" s="36"/>
      <c r="G33" s="36"/>
      <c r="H33" s="36"/>
      <c r="I33" s="36"/>
      <c r="J33" s="36"/>
      <c r="K33" s="36"/>
      <c r="L33" s="36"/>
      <c r="M33" s="36"/>
      <c r="N33" s="36"/>
    </row>
    <row r="34" spans="1:14" x14ac:dyDescent="0.2">
      <c r="A34" s="1175" t="s">
        <v>717</v>
      </c>
      <c r="B34" s="1175"/>
      <c r="C34" s="37">
        <v>2000</v>
      </c>
      <c r="D34" s="37">
        <v>2005</v>
      </c>
      <c r="E34" s="37">
        <v>2010</v>
      </c>
      <c r="F34" s="37">
        <v>2015</v>
      </c>
      <c r="G34" s="37">
        <v>2020</v>
      </c>
      <c r="H34" s="37">
        <v>2025</v>
      </c>
      <c r="I34" s="37">
        <v>2030</v>
      </c>
      <c r="J34" s="37">
        <v>2035</v>
      </c>
      <c r="K34" s="37">
        <v>2040</v>
      </c>
      <c r="L34" s="37">
        <v>2045</v>
      </c>
      <c r="M34" s="37">
        <v>2050</v>
      </c>
      <c r="N34" s="37">
        <v>2055</v>
      </c>
    </row>
    <row r="35" spans="1:14" x14ac:dyDescent="0.2">
      <c r="A35" s="37" t="s">
        <v>788</v>
      </c>
      <c r="B35" s="37" t="s">
        <v>718</v>
      </c>
      <c r="C35" s="43">
        <v>14082663.889999991</v>
      </c>
      <c r="D35" s="43">
        <v>14365140.789999997</v>
      </c>
      <c r="E35" s="43">
        <v>14647617.68999999</v>
      </c>
      <c r="F35" s="43">
        <v>14930094.589999996</v>
      </c>
      <c r="G35" s="43">
        <v>15212571.489999987</v>
      </c>
      <c r="H35" s="43">
        <v>15495048.389999993</v>
      </c>
      <c r="I35" s="43">
        <v>15777525.289999999</v>
      </c>
      <c r="J35" s="43">
        <v>16060002.189999992</v>
      </c>
      <c r="K35" s="43">
        <v>16342479.089999998</v>
      </c>
      <c r="L35" s="43">
        <v>16624955.989999989</v>
      </c>
      <c r="M35" s="43">
        <v>16907432.889999997</v>
      </c>
      <c r="N35" s="43">
        <v>17189909.789999988</v>
      </c>
    </row>
    <row r="36" spans="1:14" x14ac:dyDescent="0.2">
      <c r="A36" s="37" t="s">
        <v>878</v>
      </c>
      <c r="B36" s="37" t="s">
        <v>723</v>
      </c>
      <c r="C36" s="43">
        <v>40037144.820000008</v>
      </c>
      <c r="D36" s="43">
        <v>40430205.620000012</v>
      </c>
      <c r="E36" s="43">
        <v>40823266.420000009</v>
      </c>
      <c r="F36" s="43">
        <v>41216327.220000014</v>
      </c>
      <c r="G36" s="43">
        <v>41609388.020000011</v>
      </c>
      <c r="H36" s="43">
        <v>42002448.820000015</v>
      </c>
      <c r="I36" s="43">
        <v>42395509.620000012</v>
      </c>
      <c r="J36" s="43">
        <v>42788570.420000017</v>
      </c>
      <c r="K36" s="43">
        <v>43181631.220000014</v>
      </c>
      <c r="L36" s="43">
        <v>43574692.020000018</v>
      </c>
      <c r="M36" s="43">
        <v>43967752.820000015</v>
      </c>
      <c r="N36" s="43">
        <v>44360813.62000002</v>
      </c>
    </row>
    <row r="37" spans="1:14" x14ac:dyDescent="0.2">
      <c r="A37" s="37" t="s">
        <v>879</v>
      </c>
      <c r="B37" s="37" t="s">
        <v>724</v>
      </c>
      <c r="C37" s="43">
        <v>51311033.110000156</v>
      </c>
      <c r="D37" s="43">
        <v>55682680.66000019</v>
      </c>
      <c r="E37" s="43">
        <v>60054328.210000224</v>
      </c>
      <c r="F37" s="43">
        <v>64425975.760000259</v>
      </c>
      <c r="G37" s="43">
        <v>68797623.310000062</v>
      </c>
      <c r="H37" s="43">
        <v>73169270.860000104</v>
      </c>
      <c r="I37" s="43">
        <v>77540918.410000131</v>
      </c>
      <c r="J37" s="43">
        <v>81912565.960000172</v>
      </c>
      <c r="K37" s="43">
        <v>86284213.510000199</v>
      </c>
      <c r="L37" s="43">
        <v>90655861.060000241</v>
      </c>
      <c r="M37" s="43">
        <v>95027508.610000268</v>
      </c>
      <c r="N37" s="43">
        <v>99399156.160000071</v>
      </c>
    </row>
    <row r="38" spans="1:14" x14ac:dyDescent="0.2">
      <c r="A38" s="37" t="s">
        <v>880</v>
      </c>
      <c r="B38" s="37" t="s">
        <v>725</v>
      </c>
      <c r="C38" s="43">
        <v>17077982.930000018</v>
      </c>
      <c r="D38" s="43">
        <v>17552092.280000012</v>
      </c>
      <c r="E38" s="43">
        <v>18026201.630000003</v>
      </c>
      <c r="F38" s="43">
        <v>18500310.980000023</v>
      </c>
      <c r="G38" s="43">
        <v>18974420.330000017</v>
      </c>
      <c r="H38" s="43">
        <v>19448529.680000007</v>
      </c>
      <c r="I38" s="43">
        <v>19922639.030000027</v>
      </c>
      <c r="J38" s="43">
        <v>20396748.380000021</v>
      </c>
      <c r="K38" s="43">
        <v>20870857.730000012</v>
      </c>
      <c r="L38" s="43">
        <v>21344967.080000002</v>
      </c>
      <c r="M38" s="43">
        <v>21819076.430000026</v>
      </c>
      <c r="N38" s="43">
        <v>22293185.780000016</v>
      </c>
    </row>
    <row r="39" spans="1:14" x14ac:dyDescent="0.2">
      <c r="A39" s="37" t="s">
        <v>881</v>
      </c>
      <c r="B39" s="37" t="s">
        <v>726</v>
      </c>
      <c r="C39" s="43">
        <v>45614039.319999993</v>
      </c>
      <c r="D39" s="43">
        <v>46191913.769999988</v>
      </c>
      <c r="E39" s="43">
        <v>46769788.220000006</v>
      </c>
      <c r="F39" s="43">
        <v>47347662.670000002</v>
      </c>
      <c r="G39" s="43">
        <v>47925537.120000005</v>
      </c>
      <c r="H39" s="43">
        <v>48503411.57</v>
      </c>
      <c r="I39" s="43">
        <v>49081286.019999996</v>
      </c>
      <c r="J39" s="43">
        <v>49659160.469999991</v>
      </c>
      <c r="K39" s="43">
        <v>50237034.919999987</v>
      </c>
      <c r="L39" s="43">
        <v>50814909.370000012</v>
      </c>
      <c r="M39" s="43">
        <v>51392783.820000008</v>
      </c>
      <c r="N39" s="43">
        <v>51970658.270000003</v>
      </c>
    </row>
    <row r="40" spans="1:14" x14ac:dyDescent="0.2">
      <c r="A40" s="37" t="s">
        <v>882</v>
      </c>
      <c r="B40" s="37" t="s">
        <v>727</v>
      </c>
      <c r="C40" s="43">
        <v>31253546.539999887</v>
      </c>
      <c r="D40" s="43">
        <v>33535417.339999866</v>
      </c>
      <c r="E40" s="43">
        <v>35817288.139999963</v>
      </c>
      <c r="F40" s="43">
        <v>38099158.939999938</v>
      </c>
      <c r="G40" s="43">
        <v>40381029.73999992</v>
      </c>
      <c r="H40" s="43">
        <v>42662900.539999895</v>
      </c>
      <c r="I40" s="43">
        <v>44944771.339999877</v>
      </c>
      <c r="J40" s="43">
        <v>47226642.139999971</v>
      </c>
      <c r="K40" s="43">
        <v>49508512.939999945</v>
      </c>
      <c r="L40" s="43">
        <v>51790383.739999928</v>
      </c>
      <c r="M40" s="43">
        <v>54072254.539999902</v>
      </c>
      <c r="N40" s="43">
        <v>56354125.339999884</v>
      </c>
    </row>
    <row r="41" spans="1:14" x14ac:dyDescent="0.2">
      <c r="A41" s="37" t="s">
        <v>883</v>
      </c>
      <c r="B41" s="37" t="s">
        <v>728</v>
      </c>
      <c r="C41" s="43">
        <v>19388126.960000023</v>
      </c>
      <c r="D41" s="43">
        <v>19826329.51000002</v>
      </c>
      <c r="E41" s="43">
        <v>20264532.060000021</v>
      </c>
      <c r="F41" s="43">
        <v>20702734.610000022</v>
      </c>
      <c r="G41" s="43">
        <v>21140937.160000023</v>
      </c>
      <c r="H41" s="43">
        <v>21579139.71000002</v>
      </c>
      <c r="I41" s="43">
        <v>22017342.26000002</v>
      </c>
      <c r="J41" s="43">
        <v>22455544.810000021</v>
      </c>
      <c r="K41" s="43">
        <v>22893747.360000022</v>
      </c>
      <c r="L41" s="43">
        <v>23331949.910000019</v>
      </c>
      <c r="M41" s="43">
        <v>23770152.46000002</v>
      </c>
      <c r="N41" s="43">
        <v>24208355.01000002</v>
      </c>
    </row>
    <row r="42" spans="1:14" x14ac:dyDescent="0.2">
      <c r="A42" s="37" t="s">
        <v>884</v>
      </c>
      <c r="B42" s="37" t="s">
        <v>729</v>
      </c>
      <c r="C42" s="43">
        <v>17981767.819999959</v>
      </c>
      <c r="D42" s="43">
        <v>19923017.619999997</v>
      </c>
      <c r="E42" s="43">
        <v>21864267.420000032</v>
      </c>
      <c r="F42" s="43">
        <v>23805517.219999958</v>
      </c>
      <c r="G42" s="43">
        <v>25746767.019999992</v>
      </c>
      <c r="H42" s="43">
        <v>27688016.82000003</v>
      </c>
      <c r="I42" s="43">
        <v>29629266.619999953</v>
      </c>
      <c r="J42" s="43">
        <v>31570516.419999991</v>
      </c>
      <c r="K42" s="43">
        <v>33511766.220000029</v>
      </c>
      <c r="L42" s="43">
        <v>35453016.019999951</v>
      </c>
      <c r="M42" s="43">
        <v>37394265.819999985</v>
      </c>
      <c r="N42" s="43">
        <v>39335515.620000027</v>
      </c>
    </row>
    <row r="43" spans="1:14" x14ac:dyDescent="0.2">
      <c r="A43" s="37" t="s">
        <v>885</v>
      </c>
      <c r="B43" s="37" t="s">
        <v>730</v>
      </c>
      <c r="C43" s="43">
        <v>44845539.820000112</v>
      </c>
      <c r="D43" s="43">
        <v>47700071.920000024</v>
      </c>
      <c r="E43" s="43">
        <v>50554604.020000167</v>
      </c>
      <c r="F43" s="43">
        <v>53409136.120000087</v>
      </c>
      <c r="G43" s="43">
        <v>56263668.22000023</v>
      </c>
      <c r="H43" s="43">
        <v>59118200.320000142</v>
      </c>
      <c r="I43" s="43">
        <v>61972732.420000054</v>
      </c>
      <c r="J43" s="43">
        <v>64827264.520000197</v>
      </c>
      <c r="K43" s="43">
        <v>67681796.620000109</v>
      </c>
      <c r="L43" s="43">
        <v>70536328.720000029</v>
      </c>
      <c r="M43" s="43">
        <v>73390860.820000172</v>
      </c>
      <c r="N43" s="43">
        <v>76245392.920000091</v>
      </c>
    </row>
    <row r="44" spans="1:14" x14ac:dyDescent="0.2">
      <c r="A44" s="41" t="s">
        <v>886</v>
      </c>
      <c r="C44" s="43">
        <f t="shared" ref="C44:N44" si="2">SUM(C35:C43)</f>
        <v>281591845.21000016</v>
      </c>
      <c r="D44" s="43">
        <f t="shared" si="2"/>
        <v>295206869.51000011</v>
      </c>
      <c r="E44" s="43">
        <f t="shared" si="2"/>
        <v>308821893.81000042</v>
      </c>
      <c r="F44" s="43">
        <f t="shared" si="2"/>
        <v>322436918.11000025</v>
      </c>
      <c r="G44" s="43">
        <f t="shared" si="2"/>
        <v>336051942.41000021</v>
      </c>
      <c r="H44" s="43">
        <f t="shared" si="2"/>
        <v>349666966.71000016</v>
      </c>
      <c r="I44" s="43">
        <f t="shared" si="2"/>
        <v>363281991.01000011</v>
      </c>
      <c r="J44" s="43">
        <f t="shared" si="2"/>
        <v>376897015.31000042</v>
      </c>
      <c r="K44" s="43">
        <f t="shared" si="2"/>
        <v>390512039.61000031</v>
      </c>
      <c r="L44" s="43">
        <f t="shared" si="2"/>
        <v>404127063.91000021</v>
      </c>
      <c r="M44" s="43">
        <f t="shared" si="2"/>
        <v>417742088.21000046</v>
      </c>
      <c r="N44" s="43">
        <f t="shared" si="2"/>
        <v>431357112.51000011</v>
      </c>
    </row>
    <row r="45" spans="1:14" x14ac:dyDescent="0.2">
      <c r="A45" s="41" t="s">
        <v>888</v>
      </c>
      <c r="C45" s="37">
        <f>C44/10^6</f>
        <v>281.59184521000014</v>
      </c>
      <c r="D45" s="37">
        <f t="shared" ref="D45:N45" si="3">D44/10^6</f>
        <v>295.2068695100001</v>
      </c>
      <c r="E45" s="456">
        <f t="shared" si="3"/>
        <v>308.8218938100004</v>
      </c>
      <c r="F45" s="37">
        <f t="shared" si="3"/>
        <v>322.43691811000025</v>
      </c>
      <c r="G45" s="37">
        <f t="shared" si="3"/>
        <v>336.05194241000021</v>
      </c>
      <c r="H45" s="37">
        <f t="shared" si="3"/>
        <v>349.66696671000017</v>
      </c>
      <c r="I45" s="37">
        <f t="shared" si="3"/>
        <v>363.28199101000013</v>
      </c>
      <c r="J45" s="37">
        <f t="shared" si="3"/>
        <v>376.89701531000043</v>
      </c>
      <c r="K45" s="37">
        <f t="shared" si="3"/>
        <v>390.51203961000033</v>
      </c>
      <c r="L45" s="37">
        <f t="shared" si="3"/>
        <v>404.12706391000023</v>
      </c>
      <c r="M45" s="37">
        <f t="shared" si="3"/>
        <v>417.74208821000047</v>
      </c>
      <c r="N45" s="37">
        <f t="shared" si="3"/>
        <v>431.35711251000009</v>
      </c>
    </row>
    <row r="46" spans="1:14" x14ac:dyDescent="0.2">
      <c r="A46" s="37" t="s">
        <v>889</v>
      </c>
    </row>
    <row r="48" spans="1:14" ht="12.75" x14ac:dyDescent="0.2">
      <c r="D48" s="458" t="s">
        <v>1299</v>
      </c>
      <c r="E48" s="459">
        <v>2010</v>
      </c>
      <c r="F48" s="459">
        <v>2015</v>
      </c>
      <c r="G48" s="459">
        <v>2020</v>
      </c>
      <c r="H48" s="459">
        <v>2025</v>
      </c>
      <c r="I48" s="459">
        <v>2030</v>
      </c>
      <c r="J48" s="459">
        <v>2035</v>
      </c>
      <c r="K48" s="459">
        <v>2040</v>
      </c>
      <c r="L48" s="459">
        <v>2045</v>
      </c>
      <c r="M48" s="459">
        <v>2050</v>
      </c>
      <c r="N48" s="459">
        <v>2055</v>
      </c>
    </row>
    <row r="49" spans="4:14" ht="12.75" x14ac:dyDescent="0.2">
      <c r="D49" s="448" t="s">
        <v>799</v>
      </c>
      <c r="E49" s="448">
        <v>1385108</v>
      </c>
      <c r="F49" s="448">
        <v>1455444</v>
      </c>
      <c r="G49" s="448">
        <v>1446788</v>
      </c>
      <c r="H49" s="448">
        <v>1482893</v>
      </c>
      <c r="I49" s="448">
        <v>1518998</v>
      </c>
      <c r="J49" s="448">
        <v>1549121.5</v>
      </c>
      <c r="K49" s="448">
        <v>1579245</v>
      </c>
      <c r="L49" s="448">
        <v>1625954.9772727266</v>
      </c>
      <c r="M49" s="448">
        <v>1660587.6071428563</v>
      </c>
      <c r="N49" s="448">
        <v>1695220.2370129861</v>
      </c>
    </row>
    <row r="50" spans="4:14" ht="12.75" x14ac:dyDescent="0.2">
      <c r="D50" s="448" t="s">
        <v>855</v>
      </c>
      <c r="E50" s="448">
        <v>2552911</v>
      </c>
      <c r="F50" s="448">
        <v>2636735</v>
      </c>
      <c r="G50" s="448">
        <v>2648452</v>
      </c>
      <c r="H50" s="448">
        <v>2701230.5</v>
      </c>
      <c r="I50" s="448">
        <v>2754009</v>
      </c>
      <c r="J50" s="448">
        <v>2797267</v>
      </c>
      <c r="K50" s="448">
        <v>2840525</v>
      </c>
      <c r="L50" s="448">
        <v>2908244.5075757541</v>
      </c>
      <c r="M50" s="448">
        <v>2959463.6785714254</v>
      </c>
      <c r="N50" s="448">
        <v>3010682.8495670967</v>
      </c>
    </row>
    <row r="51" spans="4:14" ht="12.75" x14ac:dyDescent="0.2">
      <c r="D51" s="448" t="s">
        <v>803</v>
      </c>
      <c r="E51" s="448">
        <v>1585873</v>
      </c>
      <c r="F51" s="448">
        <v>1644518</v>
      </c>
      <c r="G51" s="448">
        <v>1638281</v>
      </c>
      <c r="H51" s="448">
        <v>1657500.5</v>
      </c>
      <c r="I51" s="448">
        <v>1676720</v>
      </c>
      <c r="J51" s="448">
        <v>1684168.5</v>
      </c>
      <c r="K51" s="448">
        <v>1691617</v>
      </c>
      <c r="L51" s="448">
        <v>1733166.166666667</v>
      </c>
      <c r="M51" s="448">
        <v>1753311.5714285718</v>
      </c>
      <c r="N51" s="448">
        <v>1773456.9761904767</v>
      </c>
    </row>
    <row r="52" spans="4:14" ht="12.75" x14ac:dyDescent="0.2">
      <c r="D52" s="448" t="s">
        <v>811</v>
      </c>
      <c r="E52" s="448">
        <v>2250002</v>
      </c>
      <c r="F52" s="448">
        <v>2339150</v>
      </c>
      <c r="G52" s="448">
        <v>2330295</v>
      </c>
      <c r="H52" s="448">
        <v>2351923</v>
      </c>
      <c r="I52" s="448">
        <v>2373551</v>
      </c>
      <c r="J52" s="448">
        <v>2393100</v>
      </c>
      <c r="K52" s="448">
        <v>2412649</v>
      </c>
      <c r="L52" s="448">
        <v>2496538.7575757559</v>
      </c>
      <c r="M52" s="448">
        <v>2533665.5714285709</v>
      </c>
      <c r="N52" s="448">
        <v>2570792.385281384</v>
      </c>
    </row>
    <row r="53" spans="4:14" ht="12.75" x14ac:dyDescent="0.2">
      <c r="D53" s="448" t="s">
        <v>807</v>
      </c>
      <c r="E53" s="448">
        <v>468730</v>
      </c>
      <c r="F53" s="448">
        <v>474558</v>
      </c>
      <c r="G53" s="448">
        <v>487155</v>
      </c>
      <c r="H53" s="448">
        <v>492452</v>
      </c>
      <c r="I53" s="448">
        <v>497749</v>
      </c>
      <c r="J53" s="448">
        <v>499429</v>
      </c>
      <c r="K53" s="448">
        <v>501109</v>
      </c>
      <c r="L53" s="448">
        <v>528935.80303030275</v>
      </c>
      <c r="M53" s="448">
        <v>539243.35714285728</v>
      </c>
      <c r="N53" s="448">
        <v>549550.9112554118</v>
      </c>
    </row>
    <row r="54" spans="4:14" ht="12.75" x14ac:dyDescent="0.2">
      <c r="D54" s="448" t="s">
        <v>775</v>
      </c>
      <c r="E54" s="448">
        <f>SUM(E49:E53)</f>
        <v>8242624</v>
      </c>
      <c r="F54" s="448">
        <f t="shared" ref="F54:N54" si="4">SUM(F49:F53)</f>
        <v>8550405</v>
      </c>
      <c r="G54" s="448">
        <f t="shared" si="4"/>
        <v>8550971</v>
      </c>
      <c r="H54" s="448">
        <f t="shared" si="4"/>
        <v>8685999</v>
      </c>
      <c r="I54" s="448">
        <f t="shared" si="4"/>
        <v>8821027</v>
      </c>
      <c r="J54" s="448">
        <f t="shared" si="4"/>
        <v>8923086</v>
      </c>
      <c r="K54" s="448">
        <f t="shared" si="4"/>
        <v>9025145</v>
      </c>
      <c r="L54" s="448">
        <f t="shared" si="4"/>
        <v>9292840.2121212054</v>
      </c>
      <c r="M54" s="448">
        <f t="shared" si="4"/>
        <v>9446271.7857142836</v>
      </c>
      <c r="N54" s="448">
        <f t="shared" si="4"/>
        <v>9599703.3593073562</v>
      </c>
    </row>
  </sheetData>
  <mergeCells count="3">
    <mergeCell ref="A8:B8"/>
    <mergeCell ref="A21:B21"/>
    <mergeCell ref="A34:B3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72A6-D23A-4C35-80F6-86D830FF2BC4}">
  <sheetPr>
    <tabColor rgb="FFFFC000"/>
  </sheetPr>
  <dimension ref="A1:T120"/>
  <sheetViews>
    <sheetView topLeftCell="B1" workbookViewId="0">
      <selection activeCell="M102" sqref="M102:N105"/>
    </sheetView>
  </sheetViews>
  <sheetFormatPr defaultColWidth="9.140625" defaultRowHeight="12.75" x14ac:dyDescent="0.2"/>
  <cols>
    <col min="1" max="2" width="27.5703125" style="296" customWidth="1"/>
    <col min="3" max="3" width="9.5703125" style="296" customWidth="1"/>
    <col min="4" max="4" width="29.85546875" style="296" customWidth="1"/>
    <col min="5" max="5" width="17.42578125" style="296" customWidth="1"/>
    <col min="6" max="6" width="11.140625" style="296" bestFit="1" customWidth="1"/>
    <col min="7" max="7" width="13.85546875" style="296" customWidth="1"/>
    <col min="8" max="8" width="11.5703125" style="296" bestFit="1" customWidth="1"/>
    <col min="9" max="10" width="11.140625" style="296" customWidth="1"/>
    <col min="11" max="11" width="6.85546875" style="296" customWidth="1"/>
    <col min="12" max="12" width="12" style="296" customWidth="1"/>
    <col min="13" max="13" width="16.42578125" style="296" customWidth="1"/>
    <col min="14" max="14" width="17.42578125" style="296" customWidth="1"/>
    <col min="15" max="15" width="9.140625" style="296"/>
    <col min="16" max="16" width="15.140625" style="296" customWidth="1"/>
    <col min="17" max="17" width="12" style="296" customWidth="1"/>
    <col min="18" max="16384" width="9.140625" style="296"/>
  </cols>
  <sheetData>
    <row r="1" spans="1:17" ht="15" x14ac:dyDescent="0.25">
      <c r="A1" s="776" t="s">
        <v>1440</v>
      </c>
      <c r="B1" s="776"/>
      <c r="C1" s="776"/>
      <c r="D1" s="776" t="s">
        <v>1393</v>
      </c>
      <c r="E1" s="776" t="s">
        <v>1441</v>
      </c>
      <c r="F1" s="776" t="s">
        <v>165</v>
      </c>
      <c r="G1" s="776" t="s">
        <v>1394</v>
      </c>
      <c r="H1" s="776" t="s">
        <v>1442</v>
      </c>
      <c r="I1" s="776" t="s">
        <v>1443</v>
      </c>
      <c r="J1" s="776" t="s">
        <v>1397</v>
      </c>
      <c r="L1" s="429" t="s">
        <v>1444</v>
      </c>
      <c r="M1" s="429" t="s">
        <v>1445</v>
      </c>
      <c r="N1" s="429" t="s">
        <v>1446</v>
      </c>
      <c r="P1" s="813" t="s">
        <v>1444</v>
      </c>
      <c r="Q1" t="s">
        <v>1447</v>
      </c>
    </row>
    <row r="2" spans="1:17" x14ac:dyDescent="0.2">
      <c r="A2" s="296" t="s">
        <v>1448</v>
      </c>
      <c r="B2" s="296" t="s">
        <v>1448</v>
      </c>
      <c r="C2" s="296" t="s">
        <v>93</v>
      </c>
      <c r="D2" s="296" t="s">
        <v>1449</v>
      </c>
      <c r="E2" s="296" t="s">
        <v>501</v>
      </c>
      <c r="F2" s="296" t="s">
        <v>1409</v>
      </c>
      <c r="G2" s="296">
        <v>1420989</v>
      </c>
      <c r="H2" s="296">
        <v>78637</v>
      </c>
      <c r="I2" s="296">
        <v>1420989</v>
      </c>
      <c r="J2" s="296">
        <f>I2*10^(-6)</f>
        <v>1.4209889999999998</v>
      </c>
      <c r="L2" s="648" t="s">
        <v>501</v>
      </c>
      <c r="M2">
        <v>1420989</v>
      </c>
      <c r="N2">
        <v>1420989</v>
      </c>
      <c r="P2" s="648" t="s">
        <v>501</v>
      </c>
      <c r="Q2">
        <v>12305.655399518766</v>
      </c>
    </row>
    <row r="3" spans="1:17" ht="15" x14ac:dyDescent="0.25">
      <c r="A3" s="296" t="s">
        <v>1450</v>
      </c>
      <c r="B3" s="451" t="s">
        <v>1450</v>
      </c>
      <c r="C3" s="451" t="s">
        <v>1451</v>
      </c>
      <c r="D3" s="296" t="s">
        <v>1449</v>
      </c>
      <c r="E3" s="296" t="s">
        <v>922</v>
      </c>
      <c r="F3" s="296" t="s">
        <v>1403</v>
      </c>
      <c r="G3" s="779">
        <v>5064028</v>
      </c>
      <c r="H3" s="779">
        <v>13789</v>
      </c>
      <c r="I3" s="779">
        <v>195751</v>
      </c>
      <c r="J3" s="778">
        <f t="shared" ref="J3:J14" si="0">I3*10^(-6)</f>
        <v>0.19575099999999998</v>
      </c>
      <c r="L3" s="648" t="s">
        <v>922</v>
      </c>
      <c r="M3">
        <v>23502694</v>
      </c>
      <c r="N3">
        <v>610577983</v>
      </c>
      <c r="P3" s="648" t="s">
        <v>922</v>
      </c>
      <c r="Q3">
        <v>25146932.739426509</v>
      </c>
    </row>
    <row r="4" spans="1:17" ht="15" x14ac:dyDescent="0.25">
      <c r="A4" s="296" t="s">
        <v>1452</v>
      </c>
      <c r="B4" s="451" t="s">
        <v>1452</v>
      </c>
      <c r="C4" s="451" t="s">
        <v>98</v>
      </c>
      <c r="D4" s="296" t="s">
        <v>1449</v>
      </c>
      <c r="E4" s="296" t="s">
        <v>922</v>
      </c>
      <c r="F4" s="296" t="s">
        <v>1403</v>
      </c>
      <c r="G4" s="779">
        <v>326200350</v>
      </c>
      <c r="H4" s="779">
        <v>881007</v>
      </c>
      <c r="I4" s="779">
        <v>12555252</v>
      </c>
      <c r="J4" s="778">
        <f t="shared" si="0"/>
        <v>12.555251999999999</v>
      </c>
      <c r="L4" s="648" t="s">
        <v>1406</v>
      </c>
      <c r="M4">
        <v>27584016</v>
      </c>
      <c r="N4">
        <v>10974150</v>
      </c>
      <c r="P4" s="648" t="s">
        <v>1453</v>
      </c>
      <c r="Q4">
        <v>12.046237098259951</v>
      </c>
    </row>
    <row r="5" spans="1:17" ht="15" x14ac:dyDescent="0.25">
      <c r="A5" s="780" t="s">
        <v>1454</v>
      </c>
      <c r="B5" s="781" t="s">
        <v>1454</v>
      </c>
      <c r="C5" s="781" t="s">
        <v>1455</v>
      </c>
      <c r="D5" s="780" t="s">
        <v>1449</v>
      </c>
      <c r="E5" s="780" t="s">
        <v>922</v>
      </c>
      <c r="F5" s="780" t="s">
        <v>1403</v>
      </c>
      <c r="G5" s="782">
        <v>35234181</v>
      </c>
      <c r="H5" s="782">
        <v>95080</v>
      </c>
      <c r="I5" s="782">
        <v>1356142</v>
      </c>
      <c r="J5" s="778">
        <f t="shared" si="0"/>
        <v>1.356142</v>
      </c>
      <c r="L5" s="648" t="s">
        <v>1321</v>
      </c>
      <c r="M5">
        <v>137197690</v>
      </c>
      <c r="N5">
        <v>4069584178</v>
      </c>
      <c r="P5" s="648" t="s">
        <v>1406</v>
      </c>
      <c r="Q5">
        <v>23208.417526903249</v>
      </c>
    </row>
    <row r="6" spans="1:17" ht="15" x14ac:dyDescent="0.25">
      <c r="A6" s="296" t="s">
        <v>1456</v>
      </c>
      <c r="B6" s="451" t="s">
        <v>1456</v>
      </c>
      <c r="C6" s="451" t="s">
        <v>93</v>
      </c>
      <c r="D6" s="296" t="s">
        <v>1449</v>
      </c>
      <c r="E6" s="296" t="s">
        <v>922</v>
      </c>
      <c r="F6" s="296" t="s">
        <v>1403</v>
      </c>
      <c r="G6" s="779">
        <v>7545275</v>
      </c>
      <c r="H6" s="779">
        <v>20391</v>
      </c>
      <c r="I6" s="779">
        <v>290413</v>
      </c>
      <c r="J6" s="778">
        <f t="shared" si="0"/>
        <v>0.29041299999999998</v>
      </c>
      <c r="L6" s="783" t="s">
        <v>1457</v>
      </c>
      <c r="M6" s="429">
        <v>189705389</v>
      </c>
      <c r="N6" s="429">
        <v>4692557300</v>
      </c>
      <c r="P6" s="648" t="s">
        <v>1458</v>
      </c>
      <c r="Q6">
        <v>0</v>
      </c>
    </row>
    <row r="7" spans="1:17" ht="15" x14ac:dyDescent="0.25">
      <c r="A7" s="780" t="s">
        <v>1459</v>
      </c>
      <c r="B7" s="781" t="s">
        <v>1459</v>
      </c>
      <c r="C7" s="781" t="s">
        <v>1455</v>
      </c>
      <c r="D7" s="780" t="s">
        <v>1449</v>
      </c>
      <c r="E7" s="780" t="s">
        <v>922</v>
      </c>
      <c r="F7" s="780" t="s">
        <v>1403</v>
      </c>
      <c r="G7" s="782">
        <v>14166357</v>
      </c>
      <c r="H7" s="782">
        <v>38228</v>
      </c>
      <c r="I7" s="782">
        <v>545254</v>
      </c>
      <c r="J7" s="778">
        <f t="shared" si="0"/>
        <v>0.54525400000000002</v>
      </c>
      <c r="P7" s="648" t="s">
        <v>1321</v>
      </c>
      <c r="Q7">
        <v>202541532.25848618</v>
      </c>
    </row>
    <row r="8" spans="1:17" ht="15" x14ac:dyDescent="0.25">
      <c r="A8" s="296" t="s">
        <v>1460</v>
      </c>
      <c r="B8" s="451" t="s">
        <v>1460</v>
      </c>
      <c r="C8" s="451" t="s">
        <v>1451</v>
      </c>
      <c r="D8" s="296" t="s">
        <v>1449</v>
      </c>
      <c r="E8" s="296" t="s">
        <v>922</v>
      </c>
      <c r="F8" s="296" t="s">
        <v>1403</v>
      </c>
      <c r="G8" s="779">
        <v>5671501</v>
      </c>
      <c r="H8" s="779">
        <v>15443</v>
      </c>
      <c r="I8" s="779">
        <v>219257</v>
      </c>
      <c r="J8" s="778">
        <f t="shared" si="0"/>
        <v>0.21925699999999998</v>
      </c>
      <c r="P8" s="648" t="s">
        <v>1461</v>
      </c>
      <c r="Q8">
        <v>332792.54185858712</v>
      </c>
    </row>
    <row r="9" spans="1:17" ht="15" x14ac:dyDescent="0.25">
      <c r="A9" s="296" t="s">
        <v>1462</v>
      </c>
      <c r="B9" s="451" t="s">
        <v>1462</v>
      </c>
      <c r="C9" s="451" t="s">
        <v>98</v>
      </c>
      <c r="D9" s="296" t="s">
        <v>1449</v>
      </c>
      <c r="E9" s="296" t="s">
        <v>922</v>
      </c>
      <c r="F9" s="296" t="s">
        <v>1403</v>
      </c>
      <c r="G9" s="779">
        <v>28064413</v>
      </c>
      <c r="H9" s="779">
        <v>75797</v>
      </c>
      <c r="I9" s="779">
        <v>1080300</v>
      </c>
      <c r="J9" s="778">
        <f t="shared" si="0"/>
        <v>1.0803</v>
      </c>
      <c r="P9" s="648" t="s">
        <v>1457</v>
      </c>
      <c r="Q9">
        <v>228056783.6589348</v>
      </c>
    </row>
    <row r="10" spans="1:17" ht="15" x14ac:dyDescent="0.25">
      <c r="A10" s="296" t="s">
        <v>1448</v>
      </c>
      <c r="B10" s="451" t="s">
        <v>1448</v>
      </c>
      <c r="C10" s="451" t="s">
        <v>93</v>
      </c>
      <c r="D10" s="296" t="s">
        <v>1449</v>
      </c>
      <c r="E10" s="296" t="s">
        <v>922</v>
      </c>
      <c r="F10" s="296" t="s">
        <v>1403</v>
      </c>
      <c r="G10" s="779">
        <v>188631878</v>
      </c>
      <c r="H10" s="779">
        <v>509784</v>
      </c>
      <c r="I10" s="779">
        <v>7260325</v>
      </c>
      <c r="J10" s="778">
        <f t="shared" si="0"/>
        <v>7.2603249999999999</v>
      </c>
    </row>
    <row r="11" spans="1:17" ht="15" x14ac:dyDescent="0.25">
      <c r="A11" s="296" t="s">
        <v>1463</v>
      </c>
      <c r="B11" s="451" t="s">
        <v>1463</v>
      </c>
      <c r="C11" s="451" t="s">
        <v>1451</v>
      </c>
      <c r="D11" s="296" t="s">
        <v>1449</v>
      </c>
      <c r="E11" s="296" t="s">
        <v>1406</v>
      </c>
      <c r="F11" s="296" t="s">
        <v>1409</v>
      </c>
      <c r="G11" s="779">
        <v>10118346</v>
      </c>
      <c r="H11" s="779">
        <v>889291</v>
      </c>
      <c r="I11" s="779">
        <v>25432916</v>
      </c>
      <c r="J11" s="778">
        <f t="shared" si="0"/>
        <v>25.432915999999999</v>
      </c>
    </row>
    <row r="12" spans="1:17" ht="15" x14ac:dyDescent="0.25">
      <c r="A12" s="784" t="s">
        <v>1454</v>
      </c>
      <c r="B12" s="785" t="s">
        <v>1454</v>
      </c>
      <c r="C12" s="785" t="s">
        <v>1455</v>
      </c>
      <c r="D12" s="784" t="s">
        <v>1449</v>
      </c>
      <c r="E12" s="784" t="s">
        <v>1321</v>
      </c>
      <c r="F12" s="784" t="s">
        <v>1403</v>
      </c>
      <c r="G12" s="786">
        <v>440373688</v>
      </c>
      <c r="H12" s="786">
        <v>946065</v>
      </c>
      <c r="I12" s="786">
        <v>14846296</v>
      </c>
      <c r="J12" s="778">
        <f t="shared" si="0"/>
        <v>14.846295999999999</v>
      </c>
    </row>
    <row r="13" spans="1:17" ht="15" x14ac:dyDescent="0.25">
      <c r="A13" s="784" t="s">
        <v>1459</v>
      </c>
      <c r="B13" s="785" t="s">
        <v>1459</v>
      </c>
      <c r="C13" s="785" t="s">
        <v>1455</v>
      </c>
      <c r="D13" s="784" t="s">
        <v>1449</v>
      </c>
      <c r="E13" s="784" t="s">
        <v>1321</v>
      </c>
      <c r="F13" s="784" t="s">
        <v>1403</v>
      </c>
      <c r="G13" s="786">
        <v>3629210490</v>
      </c>
      <c r="H13" s="786">
        <v>7790907</v>
      </c>
      <c r="I13" s="786">
        <v>122351394</v>
      </c>
      <c r="J13" s="778">
        <f t="shared" si="0"/>
        <v>122.351394</v>
      </c>
    </row>
    <row r="14" spans="1:17" ht="15" x14ac:dyDescent="0.25">
      <c r="B14" s="451"/>
      <c r="C14" s="451"/>
      <c r="D14" s="296" t="s">
        <v>1464</v>
      </c>
      <c r="E14" s="296" t="s">
        <v>1406</v>
      </c>
      <c r="F14" s="296" t="s">
        <v>1409</v>
      </c>
      <c r="G14" s="779">
        <v>855804</v>
      </c>
      <c r="H14" s="779">
        <v>75216</v>
      </c>
      <c r="I14" s="779">
        <v>2151100</v>
      </c>
      <c r="J14" s="778">
        <f t="shared" si="0"/>
        <v>2.1511</v>
      </c>
    </row>
    <row r="15" spans="1:17" ht="15" x14ac:dyDescent="0.25">
      <c r="G15" s="779">
        <f>SUM(G2:G14)</f>
        <v>4692557300</v>
      </c>
      <c r="H15" s="779">
        <f>SUM(H2:H14)</f>
        <v>11429635</v>
      </c>
      <c r="I15" s="779">
        <f>SUM(I2:I14)</f>
        <v>189705389</v>
      </c>
      <c r="J15" s="777"/>
    </row>
    <row r="16" spans="1:17" ht="15" x14ac:dyDescent="0.25">
      <c r="A16" s="296" t="s">
        <v>1465</v>
      </c>
      <c r="J16" s="777"/>
    </row>
    <row r="19" spans="2:13" x14ac:dyDescent="0.2">
      <c r="B19" s="783"/>
      <c r="C19" s="783"/>
      <c r="D19" s="783"/>
      <c r="E19" s="783" t="s">
        <v>1388</v>
      </c>
      <c r="F19" s="783"/>
      <c r="G19" s="783"/>
      <c r="H19" s="783" t="s">
        <v>1389</v>
      </c>
      <c r="I19" s="783"/>
      <c r="J19" s="783"/>
      <c r="K19" s="783" t="s">
        <v>1390</v>
      </c>
      <c r="L19" s="783"/>
      <c r="M19" s="783"/>
    </row>
    <row r="20" spans="2:13" x14ac:dyDescent="0.2">
      <c r="B20" s="783" t="s">
        <v>1393</v>
      </c>
      <c r="C20" s="783" t="s">
        <v>165</v>
      </c>
      <c r="D20" s="783" t="s">
        <v>1394</v>
      </c>
      <c r="E20" s="783" t="s">
        <v>1395</v>
      </c>
      <c r="F20" s="783" t="s">
        <v>1396</v>
      </c>
      <c r="G20" s="783" t="s">
        <v>1394</v>
      </c>
      <c r="H20" s="783" t="s">
        <v>1395</v>
      </c>
      <c r="I20" s="783" t="s">
        <v>1396</v>
      </c>
      <c r="J20" s="783" t="s">
        <v>1394</v>
      </c>
      <c r="K20" s="783" t="s">
        <v>1395</v>
      </c>
      <c r="L20" s="783" t="s">
        <v>1396</v>
      </c>
      <c r="M20" s="783" t="s">
        <v>1466</v>
      </c>
    </row>
    <row r="21" spans="2:13" x14ac:dyDescent="0.2">
      <c r="B21" s="296" t="s">
        <v>1418</v>
      </c>
      <c r="C21" s="296" t="s">
        <v>1230</v>
      </c>
      <c r="D21" s="296">
        <v>19318051038</v>
      </c>
      <c r="E21" s="296">
        <v>12881945</v>
      </c>
      <c r="F21" s="296">
        <v>192791648</v>
      </c>
      <c r="G21" s="296">
        <v>19959361647</v>
      </c>
      <c r="H21" s="296">
        <v>12431643</v>
      </c>
      <c r="I21" s="296">
        <v>188141550</v>
      </c>
      <c r="J21" s="296">
        <v>20031919734</v>
      </c>
      <c r="K21" s="296">
        <v>12379304</v>
      </c>
      <c r="L21" s="296">
        <v>187598017</v>
      </c>
      <c r="M21" s="787">
        <v>197.92638577200429</v>
      </c>
    </row>
    <row r="22" spans="2:13" x14ac:dyDescent="0.2">
      <c r="B22" s="296" t="s">
        <v>1419</v>
      </c>
      <c r="C22" s="296" t="s">
        <v>1230</v>
      </c>
      <c r="D22" s="296">
        <v>487628577</v>
      </c>
      <c r="E22" s="296">
        <v>387786</v>
      </c>
      <c r="F22" s="296">
        <v>5670969</v>
      </c>
      <c r="G22" s="296">
        <v>503816344</v>
      </c>
      <c r="H22" s="296">
        <v>399075</v>
      </c>
      <c r="I22" s="296">
        <v>5869409</v>
      </c>
      <c r="J22" s="296">
        <v>505647835</v>
      </c>
      <c r="K22" s="296">
        <v>401210</v>
      </c>
      <c r="L22" s="296">
        <v>5896144</v>
      </c>
      <c r="M22" s="787">
        <v>6.2207612349723744</v>
      </c>
    </row>
    <row r="23" spans="2:13" x14ac:dyDescent="0.2">
      <c r="B23" s="296" t="s">
        <v>1420</v>
      </c>
      <c r="C23" s="296" t="s">
        <v>1230</v>
      </c>
      <c r="D23" s="296">
        <v>632294047</v>
      </c>
      <c r="E23" s="296">
        <v>1419991</v>
      </c>
      <c r="F23" s="296">
        <v>19772771</v>
      </c>
      <c r="G23" s="296">
        <v>653284152</v>
      </c>
      <c r="H23" s="296">
        <v>1461692</v>
      </c>
      <c r="I23" s="296">
        <v>20334624</v>
      </c>
      <c r="J23" s="296">
        <v>655658982</v>
      </c>
      <c r="K23" s="296">
        <v>1466398</v>
      </c>
      <c r="L23" s="296">
        <v>20398002</v>
      </c>
      <c r="M23" s="787">
        <v>21.521031391446506</v>
      </c>
    </row>
    <row r="24" spans="2:13" x14ac:dyDescent="0.2">
      <c r="B24" s="296" t="s">
        <v>1204</v>
      </c>
      <c r="C24" s="296" t="s">
        <v>1230</v>
      </c>
      <c r="D24" s="296">
        <v>346001787</v>
      </c>
      <c r="E24" s="296">
        <v>687896</v>
      </c>
      <c r="F24" s="296">
        <v>9548307</v>
      </c>
      <c r="G24" s="296">
        <v>294114348</v>
      </c>
      <c r="H24" s="296">
        <v>571213</v>
      </c>
      <c r="I24" s="296">
        <v>8215958</v>
      </c>
      <c r="J24" s="296">
        <v>305464091</v>
      </c>
      <c r="K24" s="296">
        <v>586859</v>
      </c>
      <c r="L24" s="296">
        <v>8633174</v>
      </c>
      <c r="M24" s="787">
        <v>9.1084807552141527</v>
      </c>
    </row>
    <row r="25" spans="2:13" x14ac:dyDescent="0.2">
      <c r="B25" s="296" t="s">
        <v>1421</v>
      </c>
      <c r="M25" s="787"/>
    </row>
    <row r="26" spans="2:13" x14ac:dyDescent="0.2">
      <c r="B26" s="296" t="s">
        <v>1422</v>
      </c>
      <c r="C26" s="296" t="s">
        <v>1407</v>
      </c>
      <c r="D26" s="296">
        <v>2223041708</v>
      </c>
      <c r="E26" s="296">
        <v>953856</v>
      </c>
      <c r="F26" s="296">
        <v>20871239</v>
      </c>
      <c r="G26" s="296">
        <v>2154131108</v>
      </c>
      <c r="H26" s="296">
        <v>570346</v>
      </c>
      <c r="I26" s="296">
        <v>18961806</v>
      </c>
      <c r="J26" s="296">
        <v>2163557443</v>
      </c>
      <c r="K26" s="296">
        <v>556076</v>
      </c>
      <c r="L26" s="296">
        <v>20527391</v>
      </c>
      <c r="M26" s="787">
        <v>21.657544013158567</v>
      </c>
    </row>
    <row r="27" spans="2:13" x14ac:dyDescent="0.2">
      <c r="B27" s="296" t="s">
        <v>1423</v>
      </c>
      <c r="C27" s="296" t="s">
        <v>1403</v>
      </c>
      <c r="D27" s="296">
        <v>5207218</v>
      </c>
      <c r="E27" s="296">
        <v>14098</v>
      </c>
      <c r="F27" s="296">
        <v>192691</v>
      </c>
      <c r="G27" s="296">
        <v>5470547</v>
      </c>
      <c r="H27" s="296">
        <v>14811</v>
      </c>
      <c r="I27" s="296">
        <v>202435</v>
      </c>
      <c r="J27" s="296">
        <v>5452200</v>
      </c>
      <c r="K27" s="296">
        <v>14761</v>
      </c>
      <c r="L27" s="296">
        <v>201756</v>
      </c>
      <c r="M27" s="787">
        <v>0.21286384859716562</v>
      </c>
    </row>
    <row r="28" spans="2:13" x14ac:dyDescent="0.2">
      <c r="B28" s="296" t="s">
        <v>1424</v>
      </c>
      <c r="M28" s="787"/>
    </row>
    <row r="29" spans="2:13" x14ac:dyDescent="0.2">
      <c r="B29" s="296" t="s">
        <v>1425</v>
      </c>
      <c r="C29" s="296" t="s">
        <v>1403</v>
      </c>
      <c r="D29" s="296">
        <v>18247504</v>
      </c>
      <c r="E29" s="296">
        <v>49962</v>
      </c>
      <c r="F29" s="296">
        <v>673386</v>
      </c>
      <c r="G29" s="296">
        <v>14092419</v>
      </c>
      <c r="H29" s="296">
        <v>38585</v>
      </c>
      <c r="I29" s="296">
        <v>520051</v>
      </c>
      <c r="J29" s="296">
        <v>25241030</v>
      </c>
      <c r="K29" s="296">
        <v>69110</v>
      </c>
      <c r="L29" s="296">
        <v>931467</v>
      </c>
      <c r="M29" s="787">
        <v>0.9827497098537642</v>
      </c>
    </row>
    <row r="30" spans="2:13" x14ac:dyDescent="0.2">
      <c r="B30" s="296" t="s">
        <v>752</v>
      </c>
      <c r="C30" s="296" t="s">
        <v>1403</v>
      </c>
      <c r="D30" s="296" t="s">
        <v>1416</v>
      </c>
      <c r="E30" s="296" t="s">
        <v>1416</v>
      </c>
      <c r="F30" s="296" t="s">
        <v>1416</v>
      </c>
      <c r="G30" s="296" t="s">
        <v>1416</v>
      </c>
      <c r="H30" s="296" t="s">
        <v>1416</v>
      </c>
      <c r="I30" s="296" t="s">
        <v>1416</v>
      </c>
      <c r="J30" s="296">
        <v>45333</v>
      </c>
      <c r="K30" s="296">
        <v>0.1</v>
      </c>
      <c r="L30" s="296">
        <v>1548</v>
      </c>
      <c r="M30" s="787">
        <v>1.6332264598248E-3</v>
      </c>
    </row>
    <row r="31" spans="2:13" x14ac:dyDescent="0.2">
      <c r="B31" s="296" t="s">
        <v>1427</v>
      </c>
      <c r="C31" s="296" t="s">
        <v>1403</v>
      </c>
      <c r="D31" s="296" t="s">
        <v>1416</v>
      </c>
      <c r="E31" s="296" t="s">
        <v>1416</v>
      </c>
      <c r="F31" s="296" t="s">
        <v>1416</v>
      </c>
      <c r="G31" s="296" t="s">
        <v>1416</v>
      </c>
      <c r="H31" s="296" t="s">
        <v>1416</v>
      </c>
      <c r="I31" s="296" t="s">
        <v>1416</v>
      </c>
      <c r="J31" s="296">
        <v>8718</v>
      </c>
      <c r="K31" s="296">
        <v>21</v>
      </c>
      <c r="L31" s="296">
        <v>291</v>
      </c>
      <c r="M31" s="787">
        <v>3.0702125310660001E-4</v>
      </c>
    </row>
    <row r="32" spans="2:13" x14ac:dyDescent="0.2">
      <c r="B32" s="296" t="s">
        <v>1428</v>
      </c>
      <c r="M32" s="787"/>
    </row>
    <row r="33" spans="1:13" x14ac:dyDescent="0.2">
      <c r="B33" s="296" t="s">
        <v>1429</v>
      </c>
      <c r="C33" s="296" t="s">
        <v>1403</v>
      </c>
      <c r="D33" s="296">
        <v>933093</v>
      </c>
      <c r="E33" s="296">
        <v>2426</v>
      </c>
      <c r="F33" s="296">
        <v>33610</v>
      </c>
      <c r="G33" s="296">
        <v>898529</v>
      </c>
      <c r="H33" s="296">
        <v>2336</v>
      </c>
      <c r="I33" s="296">
        <v>32365</v>
      </c>
      <c r="J33" s="296">
        <v>1016754</v>
      </c>
      <c r="K33" s="296">
        <v>2643</v>
      </c>
      <c r="L33" s="296">
        <v>36623</v>
      </c>
      <c r="M33" s="787">
        <v>3.8639310489769804E-2</v>
      </c>
    </row>
    <row r="34" spans="1:13" x14ac:dyDescent="0.2">
      <c r="B34" s="296" t="s">
        <v>1430</v>
      </c>
      <c r="M34" s="787"/>
    </row>
    <row r="35" spans="1:13" x14ac:dyDescent="0.2">
      <c r="B35" s="296" t="s">
        <v>1431</v>
      </c>
      <c r="M35" s="787"/>
    </row>
    <row r="36" spans="1:13" x14ac:dyDescent="0.2">
      <c r="B36" s="296" t="s">
        <v>1432</v>
      </c>
      <c r="C36" s="296" t="s">
        <v>1028</v>
      </c>
      <c r="D36" s="296">
        <v>7420036</v>
      </c>
      <c r="E36" s="296">
        <v>2021979</v>
      </c>
      <c r="F36" s="296" t="s">
        <v>1416</v>
      </c>
      <c r="G36" s="296">
        <v>5999846</v>
      </c>
      <c r="H36" s="296">
        <v>1634973</v>
      </c>
      <c r="I36" s="296" t="s">
        <v>1416</v>
      </c>
      <c r="J36" s="296">
        <v>5538963</v>
      </c>
      <c r="K36" s="296">
        <v>1509381</v>
      </c>
      <c r="L36" s="296" t="s">
        <v>1416</v>
      </c>
      <c r="M36" s="787"/>
    </row>
    <row r="37" spans="1:13" x14ac:dyDescent="0.2">
      <c r="B37" s="296" t="s">
        <v>1433</v>
      </c>
      <c r="M37" s="787"/>
    </row>
    <row r="38" spans="1:13" x14ac:dyDescent="0.2">
      <c r="B38" s="296" t="s">
        <v>1434</v>
      </c>
      <c r="C38" s="296" t="s">
        <v>1028</v>
      </c>
      <c r="D38" s="296">
        <v>26351</v>
      </c>
      <c r="E38" s="296">
        <v>4991</v>
      </c>
      <c r="F38" s="296" t="s">
        <v>1416</v>
      </c>
      <c r="G38" s="296">
        <v>36980</v>
      </c>
      <c r="H38" s="296">
        <v>7004</v>
      </c>
      <c r="I38" s="296" t="s">
        <v>1416</v>
      </c>
      <c r="J38" s="296">
        <v>564146</v>
      </c>
      <c r="K38" s="296">
        <v>106849</v>
      </c>
      <c r="L38" s="296" t="s">
        <v>1416</v>
      </c>
      <c r="M38" s="787"/>
    </row>
    <row r="39" spans="1:13" x14ac:dyDescent="0.2">
      <c r="B39" s="296" t="s">
        <v>1435</v>
      </c>
      <c r="M39" s="787"/>
    </row>
    <row r="40" spans="1:13" x14ac:dyDescent="0.2">
      <c r="B40" s="296" t="s">
        <v>1436</v>
      </c>
      <c r="C40" s="296" t="s">
        <v>1028</v>
      </c>
      <c r="D40" s="296">
        <v>6536</v>
      </c>
      <c r="E40" s="296">
        <v>163402</v>
      </c>
      <c r="F40" s="296" t="s">
        <v>1416</v>
      </c>
      <c r="G40" s="296">
        <v>5699</v>
      </c>
      <c r="H40" s="296">
        <v>142468</v>
      </c>
      <c r="I40" s="296" t="s">
        <v>1416</v>
      </c>
      <c r="J40" s="296">
        <v>5842</v>
      </c>
      <c r="K40" s="296">
        <v>146058</v>
      </c>
      <c r="L40" s="296" t="s">
        <v>1416</v>
      </c>
      <c r="M40" s="787"/>
    </row>
    <row r="41" spans="1:13" x14ac:dyDescent="0.2">
      <c r="B41" s="296" t="s">
        <v>1437</v>
      </c>
      <c r="C41" s="296" t="s">
        <v>1028</v>
      </c>
      <c r="D41" s="296">
        <v>286</v>
      </c>
      <c r="E41" s="296">
        <v>85120</v>
      </c>
      <c r="F41" s="296" t="s">
        <v>1416</v>
      </c>
      <c r="G41" s="296">
        <v>255</v>
      </c>
      <c r="H41" s="296">
        <v>75866</v>
      </c>
      <c r="I41" s="296" t="s">
        <v>1416</v>
      </c>
      <c r="J41" s="296">
        <v>251</v>
      </c>
      <c r="K41" s="296">
        <v>74871</v>
      </c>
      <c r="L41" s="296" t="s">
        <v>1416</v>
      </c>
      <c r="M41" s="787"/>
    </row>
    <row r="42" spans="1:13" x14ac:dyDescent="0.2">
      <c r="B42" s="296" t="s">
        <v>1438</v>
      </c>
      <c r="E42" s="296">
        <v>61062452</v>
      </c>
      <c r="F42" s="296">
        <v>1084533543</v>
      </c>
      <c r="H42" s="296">
        <v>52740933</v>
      </c>
      <c r="I42" s="296">
        <v>1084168127</v>
      </c>
      <c r="K42" s="296">
        <v>52042186</v>
      </c>
      <c r="L42" s="296">
        <v>1119368701</v>
      </c>
      <c r="M42" s="787">
        <v>1180.9964992073096</v>
      </c>
    </row>
    <row r="43" spans="1:13" x14ac:dyDescent="0.2">
      <c r="B43" s="296">
        <v>51</v>
      </c>
      <c r="M43" s="787"/>
    </row>
    <row r="46" spans="1:13" x14ac:dyDescent="0.2">
      <c r="A46" s="296" t="s">
        <v>1467</v>
      </c>
    </row>
    <row r="47" spans="1:13" x14ac:dyDescent="0.2">
      <c r="A47" s="296" t="s">
        <v>1468</v>
      </c>
    </row>
    <row r="49" spans="1:10" x14ac:dyDescent="0.2">
      <c r="C49" s="788" t="s">
        <v>11</v>
      </c>
      <c r="D49" s="788" t="s">
        <v>11</v>
      </c>
      <c r="E49" s="788" t="s">
        <v>1230</v>
      </c>
      <c r="F49" s="788"/>
      <c r="G49" s="296" t="s">
        <v>120</v>
      </c>
      <c r="H49" s="296" t="s">
        <v>120</v>
      </c>
      <c r="I49" s="779" t="s">
        <v>1469</v>
      </c>
      <c r="J49" s="779" t="s">
        <v>1469</v>
      </c>
    </row>
    <row r="50" spans="1:10" hidden="1" x14ac:dyDescent="0.2">
      <c r="A50" s="789"/>
      <c r="B50" s="789"/>
      <c r="C50" s="790"/>
      <c r="D50" s="790"/>
      <c r="E50" s="790"/>
      <c r="F50" s="788"/>
    </row>
    <row r="51" spans="1:10" hidden="1" x14ac:dyDescent="0.2">
      <c r="C51" s="788"/>
      <c r="D51" s="788"/>
      <c r="E51" s="788"/>
      <c r="F51" s="788"/>
    </row>
    <row r="52" spans="1:10" ht="31.5" hidden="1" x14ac:dyDescent="0.2">
      <c r="A52" s="791"/>
      <c r="B52" s="791" t="s">
        <v>1470</v>
      </c>
      <c r="C52" s="792"/>
      <c r="D52" s="792" t="s">
        <v>1471</v>
      </c>
      <c r="E52" s="793" t="s">
        <v>1472</v>
      </c>
      <c r="F52" s="792"/>
      <c r="G52" s="794" t="s">
        <v>1473</v>
      </c>
    </row>
    <row r="53" spans="1:10" ht="15.75" hidden="1" x14ac:dyDescent="0.2">
      <c r="A53" s="1176" t="s">
        <v>1417</v>
      </c>
      <c r="B53" s="795" t="s">
        <v>1474</v>
      </c>
      <c r="C53" s="796" t="s">
        <v>1321</v>
      </c>
      <c r="D53" s="796" t="s">
        <v>1403</v>
      </c>
      <c r="E53" s="796">
        <v>2884413472</v>
      </c>
      <c r="F53" s="796"/>
      <c r="G53" s="796">
        <v>92569601.890000001</v>
      </c>
    </row>
    <row r="54" spans="1:10" ht="15.75" hidden="1" x14ac:dyDescent="0.2">
      <c r="A54" s="1177"/>
      <c r="B54" s="795" t="s">
        <v>1474</v>
      </c>
      <c r="C54" s="796" t="s">
        <v>922</v>
      </c>
      <c r="D54" s="796" t="s">
        <v>1403</v>
      </c>
      <c r="E54" s="796">
        <v>14155425</v>
      </c>
      <c r="F54" s="796"/>
      <c r="G54" s="796">
        <v>523788</v>
      </c>
    </row>
    <row r="55" spans="1:10" ht="15.75" hidden="1" x14ac:dyDescent="0.2">
      <c r="A55" s="1177"/>
      <c r="B55" s="795" t="s">
        <v>1475</v>
      </c>
      <c r="C55" s="796" t="s">
        <v>1321</v>
      </c>
      <c r="D55" s="796" t="s">
        <v>1403</v>
      </c>
      <c r="E55" s="796">
        <v>402924507</v>
      </c>
      <c r="F55" s="796"/>
      <c r="G55" s="796">
        <v>12931073</v>
      </c>
    </row>
    <row r="56" spans="1:10" ht="15.75" hidden="1" x14ac:dyDescent="0.2">
      <c r="A56" s="1177"/>
      <c r="B56" s="795" t="s">
        <v>1475</v>
      </c>
      <c r="C56" s="796" t="s">
        <v>922</v>
      </c>
      <c r="D56" s="796" t="s">
        <v>1403</v>
      </c>
      <c r="E56" s="796">
        <v>41617894</v>
      </c>
      <c r="F56" s="796"/>
      <c r="G56" s="796">
        <v>1539971.69</v>
      </c>
    </row>
    <row r="57" spans="1:10" ht="15.75" hidden="1" x14ac:dyDescent="0.2">
      <c r="A57" s="1177"/>
      <c r="B57" s="795" t="s">
        <v>1476</v>
      </c>
      <c r="C57" s="796" t="s">
        <v>922</v>
      </c>
      <c r="D57" s="796" t="s">
        <v>1403</v>
      </c>
      <c r="E57" s="796">
        <v>328641543</v>
      </c>
      <c r="F57" s="796"/>
      <c r="G57" s="796">
        <v>12160602.640000001</v>
      </c>
    </row>
    <row r="58" spans="1:10" ht="15.75" hidden="1" x14ac:dyDescent="0.2">
      <c r="A58" s="1177"/>
      <c r="B58" s="795" t="s">
        <v>1477</v>
      </c>
      <c r="C58" s="796" t="s">
        <v>922</v>
      </c>
      <c r="D58" s="796" t="s">
        <v>1403</v>
      </c>
      <c r="E58" s="796">
        <v>183147184</v>
      </c>
      <c r="F58" s="796"/>
      <c r="G58" s="796">
        <v>6776914.2599999998</v>
      </c>
    </row>
    <row r="59" spans="1:10" ht="15.75" hidden="1" x14ac:dyDescent="0.2">
      <c r="A59" s="1177"/>
      <c r="B59" s="795" t="s">
        <v>1478</v>
      </c>
      <c r="C59" s="796" t="s">
        <v>922</v>
      </c>
      <c r="D59" s="796" t="s">
        <v>1403</v>
      </c>
      <c r="E59" s="796">
        <v>7325887</v>
      </c>
      <c r="F59" s="796"/>
      <c r="G59" s="796">
        <v>271076.57</v>
      </c>
    </row>
    <row r="60" spans="1:10" ht="15.75" hidden="1" x14ac:dyDescent="0.2">
      <c r="A60" s="1177"/>
      <c r="B60" s="795" t="s">
        <v>1477</v>
      </c>
      <c r="C60" s="796" t="s">
        <v>501</v>
      </c>
      <c r="D60" s="796" t="s">
        <v>1409</v>
      </c>
      <c r="E60" s="796">
        <v>1173494</v>
      </c>
      <c r="F60" s="796"/>
      <c r="G60" s="796">
        <v>1167870.5900000001</v>
      </c>
    </row>
    <row r="61" spans="1:10" ht="15.75" hidden="1" x14ac:dyDescent="0.2">
      <c r="A61" s="1177"/>
      <c r="B61" s="795" t="s">
        <v>752</v>
      </c>
      <c r="C61" s="796"/>
      <c r="D61" s="796" t="s">
        <v>1403</v>
      </c>
      <c r="E61" s="797" t="s">
        <v>1416</v>
      </c>
      <c r="F61" s="797"/>
      <c r="G61" s="797" t="s">
        <v>1416</v>
      </c>
    </row>
    <row r="62" spans="1:10" ht="15.75" hidden="1" x14ac:dyDescent="0.2">
      <c r="A62" s="1178"/>
      <c r="B62" s="795" t="s">
        <v>1479</v>
      </c>
      <c r="C62" s="796"/>
      <c r="D62" s="796" t="s">
        <v>1403</v>
      </c>
      <c r="E62" s="796">
        <v>365259775</v>
      </c>
      <c r="F62" s="796"/>
      <c r="G62" s="796">
        <v>8237562.3399999999</v>
      </c>
    </row>
    <row r="63" spans="1:10" ht="31.5" hidden="1" x14ac:dyDescent="0.2">
      <c r="A63" s="1176" t="s">
        <v>1421</v>
      </c>
      <c r="B63" s="795" t="s">
        <v>1480</v>
      </c>
      <c r="C63" s="796" t="s">
        <v>1406</v>
      </c>
      <c r="D63" s="796" t="s">
        <v>1481</v>
      </c>
      <c r="E63" s="796">
        <v>2827567062</v>
      </c>
      <c r="F63" s="796"/>
      <c r="G63" s="796">
        <v>24659796.739999998</v>
      </c>
    </row>
    <row r="64" spans="1:10" ht="15.75" hidden="1" x14ac:dyDescent="0.2">
      <c r="A64" s="1178"/>
      <c r="B64" s="795" t="s">
        <v>1482</v>
      </c>
      <c r="C64" s="796" t="s">
        <v>922</v>
      </c>
      <c r="D64" s="796" t="s">
        <v>1403</v>
      </c>
      <c r="E64" s="796">
        <v>5470547</v>
      </c>
      <c r="F64" s="796"/>
      <c r="G64" s="796">
        <v>202424.23</v>
      </c>
    </row>
    <row r="65" spans="1:7" ht="15.75" hidden="1" x14ac:dyDescent="0.25">
      <c r="A65" s="798" t="s">
        <v>781</v>
      </c>
      <c r="B65" s="795" t="s">
        <v>1483</v>
      </c>
      <c r="C65" s="796" t="s">
        <v>922</v>
      </c>
      <c r="D65" s="796" t="s">
        <v>1403</v>
      </c>
      <c r="E65" s="796">
        <v>14092419</v>
      </c>
      <c r="F65" s="796"/>
      <c r="G65" s="796">
        <v>519217.54</v>
      </c>
    </row>
    <row r="66" spans="1:7" ht="15.75" hidden="1" x14ac:dyDescent="0.25">
      <c r="A66" s="798" t="s">
        <v>1428</v>
      </c>
      <c r="B66" s="795" t="s">
        <v>1484</v>
      </c>
      <c r="C66" s="796" t="s">
        <v>1330</v>
      </c>
      <c r="D66" s="796" t="s">
        <v>1403</v>
      </c>
      <c r="E66" s="796">
        <v>898529</v>
      </c>
      <c r="F66" s="796"/>
      <c r="G66" s="796">
        <v>33247.879999999997</v>
      </c>
    </row>
    <row r="67" spans="1:7" ht="15.75" hidden="1" x14ac:dyDescent="0.25">
      <c r="A67" s="799"/>
      <c r="B67" s="799"/>
      <c r="C67" s="800"/>
      <c r="D67" s="800"/>
      <c r="E67" s="800"/>
      <c r="F67" s="800"/>
      <c r="G67" s="800"/>
    </row>
    <row r="68" spans="1:7" ht="15.75" hidden="1" x14ac:dyDescent="0.25">
      <c r="A68" s="1179" t="s">
        <v>1485</v>
      </c>
      <c r="B68" s="1179"/>
      <c r="C68" s="801"/>
      <c r="D68" s="800"/>
      <c r="E68" s="800"/>
      <c r="F68" s="800"/>
      <c r="G68" s="800"/>
    </row>
    <row r="69" spans="1:7" ht="15.75" hidden="1" x14ac:dyDescent="0.25">
      <c r="A69" s="799" t="s">
        <v>1486</v>
      </c>
      <c r="B69" s="799"/>
      <c r="C69" s="800"/>
      <c r="D69" s="800"/>
      <c r="E69" s="800"/>
      <c r="F69" s="800"/>
      <c r="G69" s="800"/>
    </row>
    <row r="70" spans="1:7" ht="31.5" hidden="1" x14ac:dyDescent="0.25">
      <c r="A70" s="799"/>
      <c r="B70" s="799"/>
      <c r="C70" s="792"/>
      <c r="D70" s="792" t="s">
        <v>1471</v>
      </c>
      <c r="E70" s="793" t="s">
        <v>1472</v>
      </c>
      <c r="F70" s="792"/>
      <c r="G70" s="794" t="s">
        <v>1473</v>
      </c>
    </row>
    <row r="71" spans="1:7" ht="15.75" hidden="1" x14ac:dyDescent="0.25">
      <c r="A71" s="799"/>
      <c r="B71" s="799"/>
      <c r="C71" s="796" t="s">
        <v>1321</v>
      </c>
      <c r="D71" s="796" t="s">
        <v>1403</v>
      </c>
      <c r="E71" s="802">
        <f>E53+E55</f>
        <v>3287337979</v>
      </c>
      <c r="F71" s="802"/>
      <c r="G71" s="802">
        <f>G53+G55</f>
        <v>105500674.89</v>
      </c>
    </row>
    <row r="72" spans="1:7" ht="15.75" hidden="1" x14ac:dyDescent="0.25">
      <c r="A72" s="799"/>
      <c r="B72" s="799"/>
      <c r="C72" s="796" t="s">
        <v>1479</v>
      </c>
      <c r="D72" s="796" t="s">
        <v>1403</v>
      </c>
      <c r="E72" s="802">
        <f>E62</f>
        <v>365259775</v>
      </c>
      <c r="F72" s="802"/>
      <c r="G72" s="802">
        <f>G62</f>
        <v>8237562.3399999999</v>
      </c>
    </row>
    <row r="73" spans="1:7" ht="15.75" hidden="1" x14ac:dyDescent="0.25">
      <c r="A73" s="799"/>
      <c r="B73" s="799"/>
      <c r="C73" s="796" t="s">
        <v>922</v>
      </c>
      <c r="D73" s="796" t="s">
        <v>1403</v>
      </c>
      <c r="E73" s="802">
        <f>E54+E56+E57+E58+E59+E64+E65</f>
        <v>594450899</v>
      </c>
      <c r="F73" s="802"/>
      <c r="G73" s="802">
        <f>G54+G56+G57+G58+G59+G64+G65</f>
        <v>21993994.93</v>
      </c>
    </row>
    <row r="74" spans="1:7" ht="15.75" hidden="1" x14ac:dyDescent="0.25">
      <c r="A74" s="799"/>
      <c r="B74" s="799"/>
      <c r="C74" s="796" t="s">
        <v>501</v>
      </c>
      <c r="D74" s="796" t="s">
        <v>1409</v>
      </c>
      <c r="E74" s="802">
        <f>E60</f>
        <v>1173494</v>
      </c>
      <c r="F74" s="802"/>
      <c r="G74" s="802">
        <f>G60</f>
        <v>1167870.5900000001</v>
      </c>
    </row>
    <row r="75" spans="1:7" ht="31.5" hidden="1" x14ac:dyDescent="0.25">
      <c r="A75" s="803"/>
      <c r="B75" s="799"/>
      <c r="C75" s="796" t="s">
        <v>1406</v>
      </c>
      <c r="D75" s="796" t="s">
        <v>1481</v>
      </c>
      <c r="E75" s="802">
        <f>E63</f>
        <v>2827567062</v>
      </c>
      <c r="F75" s="802"/>
      <c r="G75" s="802">
        <f>G63</f>
        <v>24659796.739999998</v>
      </c>
    </row>
    <row r="76" spans="1:7" ht="15.75" hidden="1" x14ac:dyDescent="0.25">
      <c r="A76" s="803"/>
      <c r="B76" s="799"/>
      <c r="C76" s="796" t="s">
        <v>1330</v>
      </c>
      <c r="D76" s="796" t="s">
        <v>1403</v>
      </c>
      <c r="E76" s="802">
        <f>E66</f>
        <v>898529</v>
      </c>
      <c r="F76" s="802"/>
      <c r="G76" s="802">
        <f>G66</f>
        <v>33247.879999999997</v>
      </c>
    </row>
    <row r="77" spans="1:7" ht="15.75" hidden="1" x14ac:dyDescent="0.25">
      <c r="A77" s="803"/>
      <c r="B77" s="799"/>
      <c r="C77" s="800"/>
      <c r="D77" s="800"/>
      <c r="E77" s="800"/>
      <c r="F77" s="800"/>
      <c r="G77" s="800"/>
    </row>
    <row r="78" spans="1:7" ht="31.5" hidden="1" x14ac:dyDescent="0.25">
      <c r="A78" s="800"/>
      <c r="B78" s="794" t="s">
        <v>1487</v>
      </c>
      <c r="C78" s="800"/>
      <c r="D78" s="800"/>
      <c r="E78" s="800"/>
      <c r="F78" s="800"/>
      <c r="G78" s="800"/>
    </row>
    <row r="79" spans="1:7" ht="15.75" hidden="1" x14ac:dyDescent="0.25">
      <c r="A79" s="795" t="s">
        <v>1474</v>
      </c>
      <c r="B79" s="804">
        <f>E53/E71</f>
        <v>0.87743137165270468</v>
      </c>
      <c r="C79" s="800"/>
      <c r="D79" s="800"/>
      <c r="E79" s="800"/>
      <c r="F79" s="800"/>
      <c r="G79" s="800"/>
    </row>
    <row r="80" spans="1:7" ht="15.75" hidden="1" x14ac:dyDescent="0.25">
      <c r="A80" s="795" t="s">
        <v>1475</v>
      </c>
      <c r="B80" s="804">
        <f>E55/E71</f>
        <v>0.12256862834729534</v>
      </c>
      <c r="C80" s="800"/>
      <c r="D80" s="800"/>
      <c r="E80" s="800"/>
      <c r="F80" s="800"/>
      <c r="G80" s="800"/>
    </row>
    <row r="81" spans="1:10" ht="15.75" hidden="1" x14ac:dyDescent="0.25">
      <c r="A81" s="803"/>
      <c r="B81" s="799"/>
      <c r="C81" s="800"/>
      <c r="D81" s="800"/>
      <c r="E81" s="800"/>
      <c r="F81" s="800"/>
      <c r="G81" s="800"/>
    </row>
    <row r="82" spans="1:10" ht="15.75" hidden="1" x14ac:dyDescent="0.25">
      <c r="A82" s="799"/>
      <c r="B82" s="794" t="s">
        <v>1488</v>
      </c>
      <c r="C82" s="800"/>
      <c r="D82" s="800"/>
      <c r="E82" s="800"/>
      <c r="F82" s="800"/>
      <c r="G82" s="800"/>
    </row>
    <row r="83" spans="1:10" ht="15.75" hidden="1" x14ac:dyDescent="0.25">
      <c r="A83" s="795" t="s">
        <v>1474</v>
      </c>
      <c r="B83" s="804">
        <f>E54/E$73</f>
        <v>2.3812605925590501E-2</v>
      </c>
      <c r="C83" s="800"/>
      <c r="D83" s="800"/>
      <c r="E83" s="800"/>
      <c r="F83" s="800"/>
      <c r="G83" s="800"/>
    </row>
    <row r="84" spans="1:10" ht="15.75" hidden="1" x14ac:dyDescent="0.25">
      <c r="A84" s="795" t="s">
        <v>1475</v>
      </c>
      <c r="B84" s="804">
        <f>E56/E$73</f>
        <v>7.0010650282488679E-2</v>
      </c>
      <c r="C84" s="800"/>
      <c r="D84" s="800"/>
      <c r="E84" s="800"/>
      <c r="F84" s="800"/>
      <c r="G84" s="800"/>
    </row>
    <row r="85" spans="1:10" ht="15.75" hidden="1" x14ac:dyDescent="0.25">
      <c r="A85" s="795" t="s">
        <v>1476</v>
      </c>
      <c r="B85" s="804">
        <f>E57/E$73</f>
        <v>0.55284892924352358</v>
      </c>
      <c r="C85" s="800"/>
      <c r="D85" s="800"/>
      <c r="E85" s="800"/>
      <c r="F85" s="800"/>
      <c r="G85" s="800"/>
    </row>
    <row r="86" spans="1:10" ht="15.75" hidden="1" x14ac:dyDescent="0.25">
      <c r="A86" s="795" t="s">
        <v>1477</v>
      </c>
      <c r="B86" s="804">
        <f>E58/E$73</f>
        <v>0.30809472120926173</v>
      </c>
      <c r="C86" s="800"/>
      <c r="D86" s="800"/>
      <c r="E86" s="800"/>
      <c r="F86" s="800"/>
      <c r="G86" s="800"/>
    </row>
    <row r="87" spans="1:10" ht="15.75" hidden="1" x14ac:dyDescent="0.25">
      <c r="A87" s="795" t="s">
        <v>1478</v>
      </c>
      <c r="B87" s="804">
        <f>E59/E$73</f>
        <v>1.2323788242769569E-2</v>
      </c>
      <c r="C87" s="800"/>
      <c r="D87" s="800"/>
      <c r="E87" s="800"/>
      <c r="F87" s="800"/>
      <c r="G87" s="800"/>
    </row>
    <row r="88" spans="1:10" ht="15.75" hidden="1" x14ac:dyDescent="0.25">
      <c r="A88" s="795" t="s">
        <v>1482</v>
      </c>
      <c r="B88" s="804">
        <f>E64/E73</f>
        <v>9.2026894217885607E-3</v>
      </c>
      <c r="C88" s="800"/>
      <c r="D88" s="800"/>
      <c r="E88" s="800"/>
      <c r="F88" s="800"/>
      <c r="G88" s="800"/>
    </row>
    <row r="89" spans="1:10" ht="15.75" hidden="1" x14ac:dyDescent="0.25">
      <c r="A89" s="795" t="s">
        <v>1483</v>
      </c>
      <c r="B89" s="804">
        <f>E65/E73</f>
        <v>2.3706615674577356E-2</v>
      </c>
      <c r="C89" s="800"/>
      <c r="D89" s="800"/>
      <c r="E89" s="800"/>
      <c r="F89" s="800"/>
      <c r="G89" s="800"/>
    </row>
    <row r="90" spans="1:10" ht="15.75" hidden="1" x14ac:dyDescent="0.25">
      <c r="A90" s="799"/>
      <c r="B90" s="805">
        <f>SUM(B83:B89)</f>
        <v>1</v>
      </c>
      <c r="C90" s="800"/>
      <c r="D90" s="800"/>
      <c r="E90" s="800"/>
      <c r="F90" s="800"/>
      <c r="G90" s="800"/>
    </row>
    <row r="91" spans="1:10" ht="15.75" x14ac:dyDescent="0.25">
      <c r="A91" s="799"/>
      <c r="B91" s="806" t="s">
        <v>1444</v>
      </c>
      <c r="C91" s="807">
        <v>2010</v>
      </c>
      <c r="D91" s="807">
        <v>2015</v>
      </c>
      <c r="E91" s="807">
        <v>2015</v>
      </c>
      <c r="F91" s="800"/>
      <c r="G91" s="807">
        <v>2010</v>
      </c>
      <c r="H91" s="807">
        <v>2015</v>
      </c>
      <c r="I91" s="807">
        <v>2010</v>
      </c>
      <c r="J91" s="807">
        <v>2015</v>
      </c>
    </row>
    <row r="92" spans="1:10" ht="15.75" x14ac:dyDescent="0.25">
      <c r="A92" s="799"/>
      <c r="B92" s="799" t="s">
        <v>1489</v>
      </c>
      <c r="C92" s="808">
        <f>SUM(C93:C98)</f>
        <v>20.184921265464187</v>
      </c>
      <c r="D92" s="808">
        <f>SUM(D93:D98)</f>
        <v>20.500243034665921</v>
      </c>
      <c r="E92" s="429">
        <f>J23</f>
        <v>655658982</v>
      </c>
      <c r="F92" s="800"/>
      <c r="G92" s="787">
        <v>1376693.744024161</v>
      </c>
      <c r="H92" s="787">
        <v>1398925.8908437684</v>
      </c>
      <c r="I92" s="787">
        <f>G92/(C92*1000)</f>
        <v>68.204068072321093</v>
      </c>
      <c r="J92" s="787">
        <f>H92/(D92*1000)</f>
        <v>68.239478355363104</v>
      </c>
    </row>
    <row r="93" spans="1:10" x14ac:dyDescent="0.2">
      <c r="B93" s="296" t="s">
        <v>922</v>
      </c>
      <c r="C93" s="809">
        <v>20.184921265464187</v>
      </c>
      <c r="D93" s="809">
        <v>20.500243034665921</v>
      </c>
      <c r="G93" s="787"/>
      <c r="H93" s="787"/>
    </row>
    <row r="94" spans="1:10" x14ac:dyDescent="0.2">
      <c r="B94" s="296" t="s">
        <v>1453</v>
      </c>
      <c r="C94" s="809">
        <v>0</v>
      </c>
      <c r="D94" s="809">
        <v>0</v>
      </c>
      <c r="G94" s="787"/>
      <c r="H94" s="787"/>
    </row>
    <row r="95" spans="1:10" x14ac:dyDescent="0.2">
      <c r="B95" s="296" t="s">
        <v>1406</v>
      </c>
      <c r="C95" s="809">
        <v>0</v>
      </c>
      <c r="D95" s="809">
        <v>0</v>
      </c>
      <c r="G95" s="787"/>
      <c r="H95" s="787"/>
    </row>
    <row r="96" spans="1:10" x14ac:dyDescent="0.2">
      <c r="B96" s="296" t="s">
        <v>1458</v>
      </c>
      <c r="C96" s="809">
        <v>0</v>
      </c>
      <c r="D96" s="809">
        <v>0</v>
      </c>
      <c r="G96" s="787"/>
      <c r="H96" s="787"/>
    </row>
    <row r="97" spans="2:20" x14ac:dyDescent="0.2">
      <c r="B97" s="296" t="s">
        <v>1321</v>
      </c>
      <c r="C97" s="809">
        <v>0</v>
      </c>
      <c r="D97" s="809">
        <v>0</v>
      </c>
      <c r="G97" s="787"/>
      <c r="H97" s="787"/>
    </row>
    <row r="98" spans="2:20" x14ac:dyDescent="0.2">
      <c r="B98" s="296" t="s">
        <v>1461</v>
      </c>
      <c r="C98" s="809">
        <v>0</v>
      </c>
      <c r="D98" s="809">
        <v>0</v>
      </c>
      <c r="G98" s="787"/>
      <c r="H98" s="787"/>
      <c r="T98" s="296" t="s">
        <v>2326</v>
      </c>
    </row>
    <row r="99" spans="2:20" x14ac:dyDescent="0.2">
      <c r="B99" s="296" t="s">
        <v>1490</v>
      </c>
      <c r="C99" s="810">
        <f>SUM(C100:C106)</f>
        <v>200.77326880049188</v>
      </c>
      <c r="D99" s="810">
        <f>SUM(D100:D106)</f>
        <v>197.92641357643674</v>
      </c>
      <c r="E99" s="429">
        <f>J21</f>
        <v>20031919734</v>
      </c>
      <c r="F99" s="811">
        <f>E99/1000000000</f>
        <v>20.031919733999999</v>
      </c>
      <c r="G99" s="787"/>
      <c r="H99" s="787"/>
      <c r="I99" s="787">
        <f>G99/(C99*1000)</f>
        <v>0</v>
      </c>
      <c r="J99" s="787">
        <f>H99/(D99*1000)</f>
        <v>0</v>
      </c>
      <c r="M99" s="81" t="s">
        <v>1863</v>
      </c>
      <c r="N99" s="81" t="s">
        <v>1321</v>
      </c>
      <c r="O99" s="110"/>
      <c r="P99" s="82">
        <v>2005</v>
      </c>
      <c r="Q99" s="83">
        <v>19</v>
      </c>
      <c r="R99" s="110"/>
      <c r="S99" s="84">
        <v>248.80470075014617</v>
      </c>
      <c r="T99" s="109">
        <v>5.9575136530156503E-2</v>
      </c>
    </row>
    <row r="100" spans="2:20" x14ac:dyDescent="0.2">
      <c r="B100" s="296" t="s">
        <v>501</v>
      </c>
      <c r="C100" s="812">
        <v>1.3063158000121131E-5</v>
      </c>
      <c r="D100" s="809">
        <v>2.1320192816213072E-5</v>
      </c>
      <c r="G100" s="787">
        <v>0.62686921568308585</v>
      </c>
      <c r="H100" s="787">
        <v>1.0230875827165216</v>
      </c>
      <c r="I100" s="787">
        <f t="shared" ref="I100:J115" si="1">G100/(C100*1000)</f>
        <v>47.987570515282222</v>
      </c>
      <c r="J100" s="787">
        <f t="shared" si="1"/>
        <v>47.986788465557794</v>
      </c>
    </row>
    <row r="101" spans="2:20" x14ac:dyDescent="0.2">
      <c r="B101" s="296" t="s">
        <v>922</v>
      </c>
      <c r="C101" s="812">
        <v>2.0419384084569474</v>
      </c>
      <c r="D101" s="809">
        <v>2.8926252929696075</v>
      </c>
      <c r="G101" s="787">
        <v>140397.50513049829</v>
      </c>
      <c r="H101" s="787">
        <v>198976.38370505135</v>
      </c>
      <c r="I101" s="787">
        <f t="shared" si="1"/>
        <v>68.756973544855313</v>
      </c>
      <c r="J101" s="787">
        <f t="shared" si="1"/>
        <v>68.787472815319106</v>
      </c>
    </row>
    <row r="102" spans="2:20" x14ac:dyDescent="0.2">
      <c r="B102" s="296" t="s">
        <v>1453</v>
      </c>
      <c r="C102" s="812">
        <v>1.2046237098259952E-5</v>
      </c>
      <c r="D102" s="809">
        <v>2.0006686705883063E-5</v>
      </c>
      <c r="G102" s="787">
        <v>0.82830887292393462</v>
      </c>
      <c r="H102" s="787">
        <v>1.3765328375939063</v>
      </c>
      <c r="I102" s="787">
        <f t="shared" si="1"/>
        <v>68.76079776344281</v>
      </c>
      <c r="J102" s="787">
        <f t="shared" si="1"/>
        <v>68.803638395013706</v>
      </c>
    </row>
    <row r="103" spans="2:20" x14ac:dyDescent="0.2">
      <c r="B103" s="296" t="s">
        <v>1406</v>
      </c>
      <c r="C103" s="812">
        <v>2.3208417526903252E-2</v>
      </c>
      <c r="D103" s="809">
        <v>5.7382737720934697E-2</v>
      </c>
      <c r="G103" s="787">
        <v>756.93936682215008</v>
      </c>
      <c r="H103" s="787">
        <v>1473.3504485420244</v>
      </c>
      <c r="I103" s="787">
        <f t="shared" si="1"/>
        <v>32.614863376389373</v>
      </c>
      <c r="J103" s="787">
        <f t="shared" si="1"/>
        <v>25.67584794763998</v>
      </c>
    </row>
    <row r="104" spans="2:20" x14ac:dyDescent="0.2">
      <c r="B104" s="296" t="s">
        <v>1458</v>
      </c>
      <c r="C104" s="812">
        <v>0</v>
      </c>
      <c r="D104" s="809">
        <v>0</v>
      </c>
      <c r="G104" s="787"/>
      <c r="H104" s="787"/>
      <c r="I104" s="787"/>
      <c r="J104" s="787"/>
    </row>
    <row r="105" spans="2:20" x14ac:dyDescent="0.2">
      <c r="B105" s="296" t="s">
        <v>1321</v>
      </c>
      <c r="C105" s="812">
        <v>198.37530432325434</v>
      </c>
      <c r="D105" s="809">
        <v>194.40002392964169</v>
      </c>
      <c r="G105" s="787">
        <v>12476706.739867302</v>
      </c>
      <c r="H105" s="787">
        <v>12142889.720778024</v>
      </c>
      <c r="I105" s="787">
        <f t="shared" si="1"/>
        <v>62.89445544862982</v>
      </c>
      <c r="J105" s="787">
        <f t="shared" si="1"/>
        <v>62.463416800673045</v>
      </c>
    </row>
    <row r="106" spans="2:20" x14ac:dyDescent="0.2">
      <c r="B106" s="296" t="s">
        <v>1461</v>
      </c>
      <c r="C106" s="812">
        <v>0.33279254185858714</v>
      </c>
      <c r="D106" s="809">
        <v>0.57634028922498082</v>
      </c>
      <c r="G106" s="787">
        <v>20766.456677800164</v>
      </c>
      <c r="H106" s="787">
        <v>35961.844126034484</v>
      </c>
      <c r="I106" s="787">
        <f t="shared" si="1"/>
        <v>62.400607182550424</v>
      </c>
      <c r="J106" s="787">
        <f t="shared" si="1"/>
        <v>62.396894331980981</v>
      </c>
    </row>
    <row r="107" spans="2:20" x14ac:dyDescent="0.2">
      <c r="B107" s="296" t="s">
        <v>1491</v>
      </c>
      <c r="C107" s="810">
        <f>SUM(C108:C114)</f>
        <v>6.0913161715540118</v>
      </c>
      <c r="D107" s="810">
        <f>SUM(D108:D114)</f>
        <v>6.220761631438279</v>
      </c>
      <c r="E107" s="429">
        <f>J22</f>
        <v>505647835</v>
      </c>
      <c r="G107" s="787"/>
      <c r="H107" s="787"/>
      <c r="I107" s="787"/>
      <c r="J107" s="787"/>
    </row>
    <row r="108" spans="2:20" x14ac:dyDescent="0.2">
      <c r="B108" s="296" t="s">
        <v>501</v>
      </c>
      <c r="C108" s="814">
        <v>1.2292592241518645E-2</v>
      </c>
      <c r="D108" s="814">
        <v>2.0938755001713057E-2</v>
      </c>
      <c r="G108" s="787">
        <v>590.24378427805118</v>
      </c>
      <c r="H108" s="787">
        <v>1007.0238667584155</v>
      </c>
      <c r="I108" s="787">
        <f t="shared" si="1"/>
        <v>48.016217627758188</v>
      </c>
      <c r="J108" s="787">
        <f t="shared" si="1"/>
        <v>48.09377953350274</v>
      </c>
    </row>
    <row r="109" spans="2:20" x14ac:dyDescent="0.2">
      <c r="B109" s="296" t="s">
        <v>922</v>
      </c>
      <c r="C109" s="814">
        <v>1.912795644080665</v>
      </c>
      <c r="D109" s="814">
        <v>2.2188366743728469</v>
      </c>
      <c r="G109" s="787">
        <v>130263.78969556493</v>
      </c>
      <c r="H109" s="787">
        <v>151284.47835090387</v>
      </c>
      <c r="I109" s="787">
        <f t="shared" si="1"/>
        <v>68.101258019213446</v>
      </c>
      <c r="J109" s="787">
        <f t="shared" si="1"/>
        <v>68.181890131081573</v>
      </c>
    </row>
    <row r="110" spans="2:20" x14ac:dyDescent="0.2">
      <c r="B110" s="296" t="s">
        <v>1453</v>
      </c>
      <c r="C110" s="814">
        <v>0</v>
      </c>
      <c r="D110" s="814">
        <v>0</v>
      </c>
      <c r="G110" s="787"/>
      <c r="H110" s="787"/>
      <c r="I110" s="787"/>
      <c r="J110" s="787"/>
    </row>
    <row r="111" spans="2:20" x14ac:dyDescent="0.2">
      <c r="B111" s="296" t="s">
        <v>1406</v>
      </c>
      <c r="C111" s="814">
        <v>0</v>
      </c>
      <c r="D111" s="814">
        <v>0</v>
      </c>
      <c r="G111" s="787"/>
      <c r="H111" s="787"/>
      <c r="I111" s="787"/>
      <c r="J111" s="787"/>
    </row>
    <row r="112" spans="2:20" x14ac:dyDescent="0.2">
      <c r="B112" s="296" t="s">
        <v>1458</v>
      </c>
      <c r="C112" s="814">
        <v>0</v>
      </c>
      <c r="D112" s="814">
        <v>0</v>
      </c>
      <c r="G112" s="787"/>
      <c r="H112" s="787"/>
      <c r="I112" s="787"/>
      <c r="J112" s="787"/>
    </row>
    <row r="113" spans="2:10" x14ac:dyDescent="0.2">
      <c r="B113" s="296" t="s">
        <v>1321</v>
      </c>
      <c r="C113" s="814">
        <v>4.1662279352318281</v>
      </c>
      <c r="D113" s="814">
        <v>3.9809862020637192</v>
      </c>
      <c r="E113" s="787">
        <f>D113/D107</f>
        <v>0.63995157473077624</v>
      </c>
      <c r="G113" s="787">
        <v>262844.88610333111</v>
      </c>
      <c r="H113" s="787">
        <v>248918.35025952908</v>
      </c>
      <c r="I113" s="787">
        <f t="shared" si="1"/>
        <v>63.089415699168939</v>
      </c>
      <c r="J113" s="787">
        <f t="shared" si="1"/>
        <v>62.526805576590874</v>
      </c>
    </row>
    <row r="114" spans="2:10" x14ac:dyDescent="0.2">
      <c r="B114" s="296" t="s">
        <v>1461</v>
      </c>
      <c r="C114" s="814">
        <v>0</v>
      </c>
      <c r="D114" s="814">
        <v>0</v>
      </c>
      <c r="G114" s="787"/>
      <c r="H114" s="787"/>
      <c r="I114" s="787"/>
      <c r="J114" s="787"/>
    </row>
    <row r="115" spans="2:10" x14ac:dyDescent="0.2">
      <c r="B115" s="296" t="s">
        <v>1492</v>
      </c>
      <c r="C115" s="810">
        <f>SUM(C116:C117)</f>
        <v>1.0072774214247078</v>
      </c>
      <c r="D115" s="810">
        <f>SUM(D116:D117)</f>
        <v>1.0207914197737302</v>
      </c>
      <c r="G115" s="787">
        <v>66554.958329956644</v>
      </c>
      <c r="H115" s="787">
        <v>67472.398954437202</v>
      </c>
      <c r="I115" s="787">
        <f t="shared" si="1"/>
        <v>66.074109192103549</v>
      </c>
      <c r="J115" s="787">
        <f t="shared" si="1"/>
        <v>66.098125089446</v>
      </c>
    </row>
    <row r="116" spans="2:10" x14ac:dyDescent="0.2">
      <c r="B116" s="296" t="s">
        <v>501</v>
      </c>
      <c r="C116" s="809">
        <v>0</v>
      </c>
      <c r="D116" s="809">
        <v>0</v>
      </c>
      <c r="G116" s="787"/>
      <c r="H116" s="787"/>
    </row>
    <row r="117" spans="2:10" x14ac:dyDescent="0.2">
      <c r="B117" s="296" t="s">
        <v>922</v>
      </c>
      <c r="C117" s="809">
        <v>1.0072774214247078</v>
      </c>
      <c r="D117" s="809">
        <v>1.0207914197737302</v>
      </c>
      <c r="G117" s="787"/>
      <c r="H117" s="787"/>
    </row>
    <row r="118" spans="2:10" x14ac:dyDescent="0.2">
      <c r="C118" s="809"/>
      <c r="D118" s="809"/>
      <c r="G118" s="787"/>
      <c r="H118" s="787"/>
    </row>
    <row r="119" spans="2:10" x14ac:dyDescent="0.2">
      <c r="G119" s="787"/>
      <c r="H119" s="787"/>
    </row>
    <row r="120" spans="2:10" x14ac:dyDescent="0.2">
      <c r="G120" s="787"/>
      <c r="H120" s="787"/>
    </row>
  </sheetData>
  <mergeCells count="3">
    <mergeCell ref="A53:A62"/>
    <mergeCell ref="A63:A64"/>
    <mergeCell ref="A68:B68"/>
  </mergeCells>
  <pageMargins left="0.7" right="0.7" top="0.75" bottom="0.75" header="0.3" footer="0.3"/>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0" tint="-0.34998626667073579"/>
  </sheetPr>
  <dimension ref="A1:AM97"/>
  <sheetViews>
    <sheetView workbookViewId="0">
      <pane xSplit="2" ySplit="7" topLeftCell="C50" activePane="bottomRight" state="frozen"/>
      <selection pane="topRight" activeCell="C1" sqref="C1"/>
      <selection pane="bottomLeft" activeCell="A7" sqref="A7"/>
      <selection pane="bottomRight" activeCell="K23" sqref="K23"/>
    </sheetView>
  </sheetViews>
  <sheetFormatPr defaultColWidth="8" defaultRowHeight="11.25" x14ac:dyDescent="0.2"/>
  <cols>
    <col min="1" max="1" width="28.42578125" style="684" customWidth="1"/>
    <col min="2" max="2" width="17.85546875" style="684" customWidth="1"/>
    <col min="3" max="38" width="7.85546875" style="684" customWidth="1"/>
    <col min="39" max="16384" width="8" style="684"/>
  </cols>
  <sheetData>
    <row r="1" spans="1:39" x14ac:dyDescent="0.2">
      <c r="B1" s="687" t="s">
        <v>1300</v>
      </c>
    </row>
    <row r="2" spans="1:39" x14ac:dyDescent="0.2">
      <c r="A2" s="725" t="s">
        <v>1301</v>
      </c>
      <c r="B2" s="690"/>
      <c r="D2" s="690"/>
      <c r="E2" s="690"/>
      <c r="F2" s="690"/>
      <c r="G2" s="690"/>
      <c r="H2" s="690"/>
    </row>
    <row r="3" spans="1:39" x14ac:dyDescent="0.2">
      <c r="A3" s="726" t="s">
        <v>1302</v>
      </c>
      <c r="B3" s="690"/>
      <c r="D3" s="690"/>
      <c r="E3" s="690"/>
      <c r="F3" s="690"/>
      <c r="G3" s="690"/>
      <c r="H3" s="690"/>
    </row>
    <row r="4" spans="1:39" ht="12.75" x14ac:dyDescent="0.2">
      <c r="A4" s="336" t="s">
        <v>1303</v>
      </c>
      <c r="B4" s="727"/>
      <c r="D4" s="719" t="s">
        <v>1304</v>
      </c>
      <c r="I4" s="690"/>
      <c r="J4" s="690"/>
      <c r="N4" s="684" t="s">
        <v>1305</v>
      </c>
      <c r="U4" s="684" t="s">
        <v>1306</v>
      </c>
    </row>
    <row r="5" spans="1:39" x14ac:dyDescent="0.2">
      <c r="A5" s="1186" t="s">
        <v>1307</v>
      </c>
      <c r="B5" s="1186"/>
      <c r="C5" s="1180" t="s">
        <v>1308</v>
      </c>
      <c r="D5" s="1173"/>
      <c r="E5" s="1173"/>
      <c r="F5" s="1173" t="s">
        <v>125</v>
      </c>
      <c r="G5" s="1183"/>
      <c r="H5" s="1183"/>
      <c r="I5" s="1181" t="s">
        <v>133</v>
      </c>
      <c r="J5" s="1182"/>
      <c r="K5" s="1182"/>
      <c r="L5" s="1180" t="s">
        <v>1309</v>
      </c>
      <c r="M5" s="1182"/>
      <c r="N5" s="1182"/>
      <c r="O5" s="1180" t="s">
        <v>145</v>
      </c>
      <c r="P5" s="1182"/>
      <c r="Q5" s="1182"/>
      <c r="R5" s="1180" t="s">
        <v>147</v>
      </c>
      <c r="S5" s="1182"/>
      <c r="T5" s="1182"/>
      <c r="U5" s="1180" t="s">
        <v>149</v>
      </c>
      <c r="V5" s="1182"/>
      <c r="W5" s="1182"/>
      <c r="X5" s="1180" t="s">
        <v>137</v>
      </c>
      <c r="Y5" s="1182"/>
      <c r="Z5" s="1182"/>
      <c r="AA5" s="1180" t="s">
        <v>1310</v>
      </c>
      <c r="AB5" s="1182"/>
      <c r="AC5" s="1182"/>
      <c r="AD5" s="1180" t="s">
        <v>1311</v>
      </c>
      <c r="AE5" s="1173"/>
      <c r="AF5" s="1173"/>
      <c r="AG5" s="851"/>
      <c r="AH5" s="851"/>
      <c r="AI5" s="851"/>
      <c r="AJ5" s="1180" t="s">
        <v>1312</v>
      </c>
      <c r="AK5" s="1173"/>
      <c r="AL5" s="1173"/>
    </row>
    <row r="6" spans="1:39" x14ac:dyDescent="0.2">
      <c r="A6" s="1186" t="s">
        <v>1313</v>
      </c>
      <c r="B6" s="1186" t="s">
        <v>497</v>
      </c>
      <c r="C6" s="1173"/>
      <c r="D6" s="1173"/>
      <c r="E6" s="1173"/>
      <c r="F6" s="1183"/>
      <c r="G6" s="1183"/>
      <c r="H6" s="1183"/>
      <c r="I6" s="1182"/>
      <c r="J6" s="1182"/>
      <c r="K6" s="1182"/>
      <c r="L6" s="1182"/>
      <c r="M6" s="1182"/>
      <c r="N6" s="1182"/>
      <c r="O6" s="1182"/>
      <c r="P6" s="1182"/>
      <c r="Q6" s="1182"/>
      <c r="R6" s="1182"/>
      <c r="S6" s="1182"/>
      <c r="T6" s="1182"/>
      <c r="U6" s="1182"/>
      <c r="V6" s="1182"/>
      <c r="W6" s="1182"/>
      <c r="X6" s="1182"/>
      <c r="Y6" s="1182"/>
      <c r="Z6" s="1182"/>
      <c r="AA6" s="1182"/>
      <c r="AB6" s="1182"/>
      <c r="AC6" s="1182"/>
      <c r="AD6" s="1173"/>
      <c r="AE6" s="1173"/>
      <c r="AF6" s="1173"/>
      <c r="AG6" s="851"/>
      <c r="AH6" s="851" t="s">
        <v>1314</v>
      </c>
      <c r="AI6" s="851"/>
      <c r="AJ6" s="1173"/>
      <c r="AK6" s="1173"/>
      <c r="AL6" s="1173"/>
    </row>
    <row r="7" spans="1:39" x14ac:dyDescent="0.2">
      <c r="A7" s="1186"/>
      <c r="B7" s="1186"/>
      <c r="C7" s="853">
        <v>2005</v>
      </c>
      <c r="D7" s="728">
        <v>2010</v>
      </c>
      <c r="E7" s="728" t="s">
        <v>1315</v>
      </c>
      <c r="F7" s="728">
        <v>2005</v>
      </c>
      <c r="G7" s="728">
        <v>2010</v>
      </c>
      <c r="H7" s="728" t="s">
        <v>1315</v>
      </c>
      <c r="I7" s="729">
        <v>2005</v>
      </c>
      <c r="J7" s="728">
        <v>2010</v>
      </c>
      <c r="K7" s="730" t="s">
        <v>1315</v>
      </c>
      <c r="L7" s="730">
        <v>2005</v>
      </c>
      <c r="M7" s="730">
        <v>2010</v>
      </c>
      <c r="N7" s="730" t="s">
        <v>1315</v>
      </c>
      <c r="O7" s="730">
        <v>2005</v>
      </c>
      <c r="P7" s="730">
        <v>2010</v>
      </c>
      <c r="Q7" s="730" t="s">
        <v>1315</v>
      </c>
      <c r="R7" s="730">
        <v>2005</v>
      </c>
      <c r="S7" s="730">
        <v>2010</v>
      </c>
      <c r="T7" s="730" t="s">
        <v>1315</v>
      </c>
      <c r="U7" s="730">
        <v>2005</v>
      </c>
      <c r="V7" s="730">
        <v>2010</v>
      </c>
      <c r="W7" s="730" t="s">
        <v>1315</v>
      </c>
      <c r="X7" s="730">
        <v>2005</v>
      </c>
      <c r="Y7" s="730">
        <v>2010</v>
      </c>
      <c r="Z7" s="730" t="s">
        <v>1315</v>
      </c>
      <c r="AA7" s="730">
        <v>2005</v>
      </c>
      <c r="AB7" s="730">
        <v>2010</v>
      </c>
      <c r="AC7" s="730" t="s">
        <v>1315</v>
      </c>
      <c r="AD7" s="730">
        <v>2005</v>
      </c>
      <c r="AE7" s="730">
        <v>2010</v>
      </c>
      <c r="AF7" s="730" t="s">
        <v>1315</v>
      </c>
      <c r="AG7" s="730">
        <v>2005</v>
      </c>
      <c r="AH7" s="730">
        <v>2010</v>
      </c>
      <c r="AI7" s="730" t="s">
        <v>1315</v>
      </c>
      <c r="AJ7" s="730">
        <v>2005</v>
      </c>
      <c r="AK7" s="730">
        <v>2010</v>
      </c>
      <c r="AL7" s="730" t="s">
        <v>1315</v>
      </c>
      <c r="AM7" s="684" t="s">
        <v>1316</v>
      </c>
    </row>
    <row r="8" spans="1:39" x14ac:dyDescent="0.2">
      <c r="A8" s="552" t="s">
        <v>1317</v>
      </c>
      <c r="B8" s="552" t="s">
        <v>922</v>
      </c>
      <c r="C8" s="721">
        <v>17.962114828517262</v>
      </c>
      <c r="D8" s="694">
        <v>4.6523380728425474</v>
      </c>
      <c r="E8" s="694">
        <v>1.3629767232857672</v>
      </c>
      <c r="F8" s="694">
        <v>0.40414599053598366</v>
      </c>
      <c r="G8" s="694">
        <v>1.7984556670859825E-2</v>
      </c>
      <c r="H8" s="694">
        <v>1.179241160567665E-2</v>
      </c>
      <c r="I8" s="694">
        <v>1.0321411303600128</v>
      </c>
      <c r="J8" s="694">
        <v>0.4415251527819451</v>
      </c>
      <c r="K8" s="720">
        <v>0.13619765323203623</v>
      </c>
      <c r="L8" s="731">
        <v>0.92419917430972542</v>
      </c>
      <c r="M8" s="720">
        <v>0.35114837559258066</v>
      </c>
      <c r="N8" s="720">
        <v>5.4969733054383851E-2</v>
      </c>
      <c r="O8" s="720">
        <v>4.9772842258370469</v>
      </c>
      <c r="P8" s="720">
        <v>1.6481927173261064</v>
      </c>
      <c r="Q8" s="720">
        <v>0.55576083531113063</v>
      </c>
      <c r="R8" s="720">
        <v>2.3859555981933876E-3</v>
      </c>
      <c r="S8" s="720">
        <v>2.403418710107655E-3</v>
      </c>
      <c r="T8" s="720">
        <v>2.0327619608013709E-3</v>
      </c>
      <c r="U8" s="720">
        <v>2.285741596563941E-3</v>
      </c>
      <c r="V8" s="720">
        <v>2.0754325914590531E-3</v>
      </c>
      <c r="W8" s="720">
        <v>2.0754344364976077E-3</v>
      </c>
      <c r="X8" s="720">
        <v>0.80935060021256977</v>
      </c>
      <c r="Y8" s="720">
        <v>0.41390182365219486</v>
      </c>
      <c r="Z8" s="720">
        <v>0.14750335559717209</v>
      </c>
      <c r="AA8" s="720">
        <v>0.78603431053300898</v>
      </c>
      <c r="AB8" s="720">
        <v>0.46597409058529771</v>
      </c>
      <c r="AC8" s="720">
        <v>0.14703367393174555</v>
      </c>
      <c r="AD8" s="720">
        <v>0.71782078505052327</v>
      </c>
      <c r="AE8" s="720">
        <v>0.24803934141425846</v>
      </c>
      <c r="AF8" s="720">
        <v>2.3298188080156318E-3</v>
      </c>
      <c r="AG8" s="720">
        <f t="shared" ref="AG8:AI9" si="0">0.21*L8</f>
        <v>0.19408182660504233</v>
      </c>
      <c r="AH8" s="720">
        <f t="shared" si="0"/>
        <v>7.3741158874441937E-2</v>
      </c>
      <c r="AI8" s="720">
        <f t="shared" si="0"/>
        <v>1.1543643941420609E-2</v>
      </c>
      <c r="AJ8" s="720">
        <v>0.69630848825516667</v>
      </c>
      <c r="AK8" s="720">
        <v>0.24060547815027755</v>
      </c>
      <c r="AL8" s="720">
        <v>2.2599841740569226E-3</v>
      </c>
      <c r="AM8" s="684">
        <f t="shared" ref="AM8:AM54" si="1">AJ8/AG8</f>
        <v>3.5877057653221627</v>
      </c>
    </row>
    <row r="9" spans="1:39" s="690" customFormat="1" x14ac:dyDescent="0.2">
      <c r="A9" s="552" t="s">
        <v>1317</v>
      </c>
      <c r="B9" s="552" t="s">
        <v>1318</v>
      </c>
      <c r="C9" s="722">
        <v>17.962114828517262</v>
      </c>
      <c r="D9" s="720">
        <v>4.6523380728425474</v>
      </c>
      <c r="E9" s="720">
        <v>1.3629748380013151</v>
      </c>
      <c r="F9" s="720">
        <v>0.32835689594982631</v>
      </c>
      <c r="G9" s="720">
        <v>1.6080938921910478E-2</v>
      </c>
      <c r="H9" s="720">
        <v>1.1405811151770683E-2</v>
      </c>
      <c r="I9" s="720">
        <v>0.93883199931032346</v>
      </c>
      <c r="J9" s="694">
        <v>0.40975807996419256</v>
      </c>
      <c r="K9" s="720">
        <v>0.13619755200351746</v>
      </c>
      <c r="L9" s="732">
        <v>0.8336726087101507</v>
      </c>
      <c r="M9" s="694">
        <v>0.32033316565589598</v>
      </c>
      <c r="N9" s="694">
        <v>5.4969630271788368E-2</v>
      </c>
      <c r="O9" s="694">
        <v>4.4297829609949728</v>
      </c>
      <c r="P9" s="694">
        <v>1.5078486375895881</v>
      </c>
      <c r="Q9" s="694">
        <v>0.55575985859600896</v>
      </c>
      <c r="R9" s="694">
        <v>2.3859555981933876E-3</v>
      </c>
      <c r="S9" s="694">
        <v>2.4034148718508259E-3</v>
      </c>
      <c r="T9" s="694">
        <v>2.032742707459487E-3</v>
      </c>
      <c r="U9" s="694">
        <v>2.285741596563941E-3</v>
      </c>
      <c r="V9" s="694">
        <v>2.0754325914590531E-3</v>
      </c>
      <c r="W9" s="694">
        <v>2.0754223366792985E-3</v>
      </c>
      <c r="X9" s="694">
        <v>0.80935060021256977</v>
      </c>
      <c r="Y9" s="694">
        <v>0.41390182365219486</v>
      </c>
      <c r="Z9" s="694">
        <v>0.14747141799345045</v>
      </c>
      <c r="AA9" s="694">
        <v>0.62018107101054409</v>
      </c>
      <c r="AB9" s="694">
        <v>0.38351649035946672</v>
      </c>
      <c r="AC9" s="694">
        <v>0.14700161508548834</v>
      </c>
      <c r="AD9" s="694">
        <v>0.64532088576042035</v>
      </c>
      <c r="AE9" s="694">
        <v>0.22314413438496933</v>
      </c>
      <c r="AF9" s="694">
        <v>2.3298109938294123E-3</v>
      </c>
      <c r="AG9" s="720">
        <f t="shared" si="0"/>
        <v>0.17507124782913164</v>
      </c>
      <c r="AH9" s="720">
        <f t="shared" si="0"/>
        <v>6.7269964787738154E-2</v>
      </c>
      <c r="AI9" s="720">
        <f t="shared" si="0"/>
        <v>1.1543622357075557E-2</v>
      </c>
      <c r="AJ9" s="694">
        <v>0.62598133094139485</v>
      </c>
      <c r="AK9" s="694">
        <v>0.21645639235463268</v>
      </c>
      <c r="AL9" s="694">
        <v>2.259978857852789E-3</v>
      </c>
      <c r="AM9" s="684">
        <f t="shared" si="1"/>
        <v>3.5755804491229104</v>
      </c>
    </row>
    <row r="10" spans="1:39" s="690" customFormat="1" x14ac:dyDescent="0.2">
      <c r="A10" s="552" t="s">
        <v>1317</v>
      </c>
      <c r="B10" s="552" t="s">
        <v>501</v>
      </c>
      <c r="C10" s="722">
        <v>4.6512038200826042</v>
      </c>
      <c r="D10" s="720">
        <v>3.8987808959144905</v>
      </c>
      <c r="E10" s="720">
        <v>4.0282042486824468</v>
      </c>
      <c r="F10" s="720">
        <v>0</v>
      </c>
      <c r="G10" s="720">
        <v>0</v>
      </c>
      <c r="H10" s="720">
        <v>0</v>
      </c>
      <c r="I10" s="720">
        <v>0.11616255434992932</v>
      </c>
      <c r="J10" s="694">
        <v>0.11561577545032189</v>
      </c>
      <c r="K10" s="720">
        <v>0.11509282177031586</v>
      </c>
      <c r="L10" s="732">
        <v>3.5770818999639444E-2</v>
      </c>
      <c r="M10" s="694">
        <v>3.5224092907526351E-2</v>
      </c>
      <c r="N10" s="694">
        <v>3.4701239457145955E-2</v>
      </c>
      <c r="O10" s="694">
        <v>44.68076752157949</v>
      </c>
      <c r="P10" s="694">
        <v>12.255522353960895</v>
      </c>
      <c r="Q10" s="694">
        <v>10.205311485453915</v>
      </c>
      <c r="R10" s="694">
        <v>9.714890115404147E-2</v>
      </c>
      <c r="S10" s="694">
        <v>9.7939142294508619E-2</v>
      </c>
      <c r="T10" s="694">
        <v>7.4616223398544013E-2</v>
      </c>
      <c r="U10" s="694">
        <v>1.1943362728551883</v>
      </c>
      <c r="V10" s="694">
        <v>1.2050953534301039</v>
      </c>
      <c r="W10" s="694">
        <v>1.0777153452500186</v>
      </c>
      <c r="X10" s="694">
        <v>0</v>
      </c>
      <c r="Y10" s="694">
        <v>0</v>
      </c>
      <c r="Z10" s="694">
        <v>0</v>
      </c>
      <c r="AA10" s="694">
        <v>1.1049587930841958</v>
      </c>
      <c r="AB10" s="694">
        <v>0.70336566783052323</v>
      </c>
      <c r="AC10" s="694">
        <v>0.77403184020582116</v>
      </c>
      <c r="AD10" s="694">
        <v>9.7290643345246278E-4</v>
      </c>
      <c r="AE10" s="694">
        <v>8.5111595280083568E-4</v>
      </c>
      <c r="AF10" s="694">
        <v>7.1220942152918547E-4</v>
      </c>
      <c r="AG10" s="694">
        <f>0.1*L10</f>
        <v>3.5770818999639447E-3</v>
      </c>
      <c r="AH10" s="694">
        <f>0.1*M10</f>
        <v>3.5224092907526353E-3</v>
      </c>
      <c r="AI10" s="694">
        <f>0.1*N10</f>
        <v>3.4701239457145955E-3</v>
      </c>
      <c r="AJ10" s="694">
        <v>9.7291313785739591E-4</v>
      </c>
      <c r="AK10" s="694">
        <v>8.5111720162684562E-4</v>
      </c>
      <c r="AL10" s="694">
        <v>7.1220853983028538E-4</v>
      </c>
      <c r="AM10" s="684">
        <f t="shared" si="1"/>
        <v>0.27198514461388273</v>
      </c>
    </row>
    <row r="11" spans="1:39" s="690" customFormat="1" x14ac:dyDescent="0.2">
      <c r="A11" s="552" t="s">
        <v>1319</v>
      </c>
      <c r="B11" s="552" t="s">
        <v>922</v>
      </c>
      <c r="C11" s="694">
        <v>15.270663189719523</v>
      </c>
      <c r="D11" s="720">
        <v>4.0797908760221002</v>
      </c>
      <c r="E11" s="720">
        <v>1.0477607375692264</v>
      </c>
      <c r="F11" s="720">
        <v>0.30074964182794073</v>
      </c>
      <c r="G11" s="720">
        <v>1.3383639917988082E-2</v>
      </c>
      <c r="H11" s="720">
        <v>8.7656929539112194E-3</v>
      </c>
      <c r="I11" s="720">
        <v>0.79784535621644803</v>
      </c>
      <c r="J11" s="694">
        <v>0.31050444205145378</v>
      </c>
      <c r="K11" s="720">
        <v>6.8575173207609044E-2</v>
      </c>
      <c r="L11" s="732">
        <v>0.73881873615384075</v>
      </c>
      <c r="M11" s="694">
        <v>0.26598176719973649</v>
      </c>
      <c r="N11" s="694">
        <v>3.1302189904520279E-2</v>
      </c>
      <c r="O11" s="694">
        <v>4.7981487969340444</v>
      </c>
      <c r="P11" s="694">
        <v>1.7425146664241946</v>
      </c>
      <c r="Q11" s="694">
        <v>0.74729407741249798</v>
      </c>
      <c r="R11" s="694">
        <v>2.7173514600990194E-3</v>
      </c>
      <c r="S11" s="694">
        <v>2.7490458331344502E-3</v>
      </c>
      <c r="T11" s="694">
        <v>2.2569004798639694E-3</v>
      </c>
      <c r="U11" s="694">
        <v>2.2857327399990338E-3</v>
      </c>
      <c r="V11" s="694">
        <v>2.0754364907473385E-3</v>
      </c>
      <c r="W11" s="694">
        <v>2.0754317924232611E-3</v>
      </c>
      <c r="X11" s="694">
        <v>0.78477080250078279</v>
      </c>
      <c r="Y11" s="694">
        <v>0.36686531750859069</v>
      </c>
      <c r="Z11" s="694">
        <v>0.13255481998794993</v>
      </c>
      <c r="AA11" s="694">
        <v>0.76165174402085445</v>
      </c>
      <c r="AB11" s="694">
        <v>0.40897209693770542</v>
      </c>
      <c r="AC11" s="694">
        <v>0.1319433122542987</v>
      </c>
      <c r="AD11" s="694">
        <v>0.55815290834032727</v>
      </c>
      <c r="AE11" s="694">
        <v>0.18529754643411128</v>
      </c>
      <c r="AF11" s="694">
        <v>1.5980414642542031E-3</v>
      </c>
      <c r="AG11" s="720">
        <f t="shared" ref="AG11:AI12" si="2">0.21*L11</f>
        <v>0.15515193459230656</v>
      </c>
      <c r="AH11" s="720">
        <f t="shared" si="2"/>
        <v>5.5856171111944658E-2</v>
      </c>
      <c r="AI11" s="720">
        <f t="shared" si="2"/>
        <v>6.5734598799492587E-3</v>
      </c>
      <c r="AJ11" s="694">
        <v>0.54142222110163596</v>
      </c>
      <c r="AK11" s="694">
        <v>0.17974330995186855</v>
      </c>
      <c r="AL11" s="694">
        <v>1.5501433779705925E-3</v>
      </c>
      <c r="AM11" s="684">
        <f t="shared" si="1"/>
        <v>3.4896259754951404</v>
      </c>
    </row>
    <row r="12" spans="1:39" x14ac:dyDescent="0.2">
      <c r="A12" s="552" t="s">
        <v>1319</v>
      </c>
      <c r="B12" s="552" t="s">
        <v>1318</v>
      </c>
      <c r="C12" s="694">
        <v>15.270663189719523</v>
      </c>
      <c r="D12" s="720">
        <v>4.0797908760221002</v>
      </c>
      <c r="E12" s="720">
        <v>1.0477607375692264</v>
      </c>
      <c r="F12" s="720">
        <v>0.24435036140696789</v>
      </c>
      <c r="G12" s="720">
        <v>1.1974756312486066E-2</v>
      </c>
      <c r="H12" s="720">
        <v>8.5192503581835288E-3</v>
      </c>
      <c r="I12" s="720">
        <v>0.72225064611020739</v>
      </c>
      <c r="J12" s="694">
        <v>0.28539364263941613</v>
      </c>
      <c r="K12" s="721">
        <v>6.8575173207609044E-2</v>
      </c>
      <c r="L12" s="731">
        <v>0.66547923439154388</v>
      </c>
      <c r="M12" s="720">
        <v>0.24162343954730964</v>
      </c>
      <c r="N12" s="720">
        <v>3.1302189904520279E-2</v>
      </c>
      <c r="O12" s="720">
        <v>4.2703524292712993</v>
      </c>
      <c r="P12" s="720">
        <v>1.6087213192588457</v>
      </c>
      <c r="Q12" s="720">
        <v>0.74729407741249798</v>
      </c>
      <c r="R12" s="720">
        <v>2.7173514600990194E-3</v>
      </c>
      <c r="S12" s="720">
        <v>2.7490458331344502E-3</v>
      </c>
      <c r="T12" s="720">
        <v>2.2569004798639694E-3</v>
      </c>
      <c r="U12" s="720">
        <v>2.2857327399990338E-3</v>
      </c>
      <c r="V12" s="720">
        <v>2.0754330567612825E-3</v>
      </c>
      <c r="W12" s="720">
        <v>2.0754283937039733E-3</v>
      </c>
      <c r="X12" s="720">
        <v>0.78477080250078279</v>
      </c>
      <c r="Y12" s="720">
        <v>0.36686531750859069</v>
      </c>
      <c r="Z12" s="720">
        <v>0.13255481998794993</v>
      </c>
      <c r="AA12" s="720">
        <v>0.6009432260324542</v>
      </c>
      <c r="AB12" s="720">
        <v>0.33681876242537134</v>
      </c>
      <c r="AC12" s="720">
        <v>0.1319433122542987</v>
      </c>
      <c r="AD12" s="720">
        <v>0.50177946459795419</v>
      </c>
      <c r="AE12" s="720">
        <v>0.16668676592032455</v>
      </c>
      <c r="AF12" s="720">
        <v>1.5980414642542031E-3</v>
      </c>
      <c r="AG12" s="720">
        <f t="shared" si="2"/>
        <v>0.13975063922222422</v>
      </c>
      <c r="AH12" s="720">
        <f t="shared" si="2"/>
        <v>5.0740922304935022E-2</v>
      </c>
      <c r="AI12" s="720">
        <f t="shared" si="2"/>
        <v>6.5734598799492587E-3</v>
      </c>
      <c r="AJ12" s="720">
        <v>0.48673857677037069</v>
      </c>
      <c r="AK12" s="720">
        <v>0.16169038190822829</v>
      </c>
      <c r="AL12" s="720">
        <v>1.5501433779705925E-3</v>
      </c>
      <c r="AM12" s="684">
        <f t="shared" si="1"/>
        <v>3.4829076953013733</v>
      </c>
    </row>
    <row r="13" spans="1:39" x14ac:dyDescent="0.2">
      <c r="A13" s="552" t="s">
        <v>1319</v>
      </c>
      <c r="B13" s="552" t="s">
        <v>501</v>
      </c>
      <c r="C13" s="694">
        <v>3.9791725422119413</v>
      </c>
      <c r="D13" s="720">
        <v>3.2238255647354079</v>
      </c>
      <c r="E13" s="720">
        <v>3.0949325344600145</v>
      </c>
      <c r="F13" s="720">
        <v>0</v>
      </c>
      <c r="G13" s="720">
        <v>0</v>
      </c>
      <c r="H13" s="720">
        <v>0</v>
      </c>
      <c r="I13" s="720">
        <v>5.6197725166430845E-2</v>
      </c>
      <c r="J13" s="694">
        <v>5.4982010757245549E-2</v>
      </c>
      <c r="K13" s="721">
        <v>5.4394367168499935E-2</v>
      </c>
      <c r="L13" s="731">
        <v>1.9307303696831788E-2</v>
      </c>
      <c r="M13" s="720">
        <v>1.8091525564614998E-2</v>
      </c>
      <c r="N13" s="720">
        <v>1.750393564285627E-2</v>
      </c>
      <c r="O13" s="720">
        <v>52.665289288976034</v>
      </c>
      <c r="P13" s="720">
        <v>14.76634539150545</v>
      </c>
      <c r="Q13" s="720">
        <v>13.981182077926817</v>
      </c>
      <c r="R13" s="720">
        <v>0.11080753890163934</v>
      </c>
      <c r="S13" s="720">
        <v>0.11210148600229124</v>
      </c>
      <c r="T13" s="720">
        <v>8.2964975059888355E-2</v>
      </c>
      <c r="U13" s="720">
        <v>1.1943315166574251</v>
      </c>
      <c r="V13" s="720">
        <v>1.205097625675124</v>
      </c>
      <c r="W13" s="720">
        <v>1.0777138660055503</v>
      </c>
      <c r="X13" s="720">
        <v>0</v>
      </c>
      <c r="Y13" s="720">
        <v>0</v>
      </c>
      <c r="Z13" s="720">
        <v>0</v>
      </c>
      <c r="AA13" s="720">
        <v>1.2335917622232881</v>
      </c>
      <c r="AB13" s="720">
        <v>0.64389436283255153</v>
      </c>
      <c r="AC13" s="720">
        <v>0.70916452886876657</v>
      </c>
      <c r="AD13" s="720">
        <v>7.7014314069657932E-4</v>
      </c>
      <c r="AE13" s="720">
        <v>6.0163859796712009E-4</v>
      </c>
      <c r="AF13" s="720">
        <v>4.923342001031235E-4</v>
      </c>
      <c r="AG13" s="694">
        <f>0.1*L13</f>
        <v>1.9307303696831789E-3</v>
      </c>
      <c r="AH13" s="694">
        <f>0.1*M13</f>
        <v>1.8091525564614998E-3</v>
      </c>
      <c r="AI13" s="694">
        <f>0.1*N13</f>
        <v>1.7503935642856272E-3</v>
      </c>
      <c r="AJ13" s="720">
        <v>7.7014314069657932E-4</v>
      </c>
      <c r="AK13" s="720">
        <v>6.0163859796712009E-4</v>
      </c>
      <c r="AL13" s="720">
        <v>4.923342001031235E-4</v>
      </c>
      <c r="AM13" s="684">
        <f t="shared" si="1"/>
        <v>0.39888694599181923</v>
      </c>
    </row>
    <row r="14" spans="1:39" x14ac:dyDescent="0.2">
      <c r="A14" s="552" t="s">
        <v>1228</v>
      </c>
      <c r="B14" s="552" t="s">
        <v>922</v>
      </c>
      <c r="C14" s="694">
        <v>9.3660001143083189</v>
      </c>
      <c r="D14" s="720">
        <v>2.9275846507209944</v>
      </c>
      <c r="E14" s="720">
        <v>0.97769617660764274</v>
      </c>
      <c r="F14" s="720">
        <v>0.21932825512499254</v>
      </c>
      <c r="G14" s="720">
        <v>9.7907856162758131E-3</v>
      </c>
      <c r="H14" s="720">
        <v>6.3689965413232996E-3</v>
      </c>
      <c r="I14" s="720">
        <v>0.62182434376561324</v>
      </c>
      <c r="J14" s="694">
        <v>0.26817315848223738</v>
      </c>
      <c r="K14" s="721">
        <v>9.5799261900940028E-2</v>
      </c>
      <c r="L14" s="731">
        <v>0.54558284251402889</v>
      </c>
      <c r="M14" s="720">
        <v>0.20245629987802988</v>
      </c>
      <c r="N14" s="720">
        <v>3.5247558604900399E-2</v>
      </c>
      <c r="O14" s="720">
        <v>5.0902822397158181</v>
      </c>
      <c r="P14" s="720">
        <v>3.4045309518514713</v>
      </c>
      <c r="Q14" s="720">
        <v>2.1116023417759382</v>
      </c>
      <c r="R14" s="720">
        <v>4.0713184988097175E-3</v>
      </c>
      <c r="S14" s="720">
        <v>4.0891303008931514E-3</v>
      </c>
      <c r="T14" s="720">
        <v>3.1825881836955424E-3</v>
      </c>
      <c r="U14" s="720">
        <v>2.2857353581796119E-3</v>
      </c>
      <c r="V14" s="720">
        <v>2.07543533488019E-3</v>
      </c>
      <c r="W14" s="720">
        <v>2.0754342786060698E-3</v>
      </c>
      <c r="X14" s="720">
        <v>0.84280550198566917</v>
      </c>
      <c r="Y14" s="720">
        <v>0.44417482663474905</v>
      </c>
      <c r="Z14" s="720">
        <v>0.18914103082988257</v>
      </c>
      <c r="AA14" s="720">
        <v>0.81714722897804482</v>
      </c>
      <c r="AB14" s="720">
        <v>0.48798872363891244</v>
      </c>
      <c r="AC14" s="720">
        <v>0.18603582243938988</v>
      </c>
      <c r="AD14" s="720">
        <v>0.31250386946119418</v>
      </c>
      <c r="AE14" s="720">
        <v>0.10370896289882306</v>
      </c>
      <c r="AF14" s="720">
        <v>1.2410229229904189E-3</v>
      </c>
      <c r="AG14" s="720">
        <f t="shared" ref="AG14:AI15" si="3">0.21*L14</f>
        <v>0.11457239692794606</v>
      </c>
      <c r="AH14" s="720">
        <f t="shared" si="3"/>
        <v>4.2515822974386275E-2</v>
      </c>
      <c r="AI14" s="720">
        <f t="shared" si="3"/>
        <v>7.4019873070290832E-3</v>
      </c>
      <c r="AJ14" s="720">
        <v>0.30313723285554089</v>
      </c>
      <c r="AK14" s="720">
        <v>0.10060050470610271</v>
      </c>
      <c r="AL14" s="720">
        <v>1.2038250381716221E-3</v>
      </c>
      <c r="AM14" s="684">
        <f t="shared" si="1"/>
        <v>2.645813834602607</v>
      </c>
    </row>
    <row r="15" spans="1:39" s="690" customFormat="1" x14ac:dyDescent="0.2">
      <c r="A15" s="552" t="s">
        <v>1228</v>
      </c>
      <c r="B15" s="552" t="s">
        <v>1318</v>
      </c>
      <c r="C15" s="694">
        <v>9.3660001143083189</v>
      </c>
      <c r="D15" s="720">
        <v>2.9275846507209944</v>
      </c>
      <c r="E15" s="720">
        <v>0.97769617660764274</v>
      </c>
      <c r="F15" s="720">
        <v>0.17819784615807518</v>
      </c>
      <c r="G15" s="720">
        <v>8.7541589643136651E-3</v>
      </c>
      <c r="H15" s="720">
        <v>6.1602522954844613E-3</v>
      </c>
      <c r="I15" s="720">
        <v>0.56719366575254337</v>
      </c>
      <c r="J15" s="694">
        <v>0.25026599229460134</v>
      </c>
      <c r="K15" s="721">
        <v>9.5799261900940028E-2</v>
      </c>
      <c r="L15" s="732">
        <v>0.49258182774218556</v>
      </c>
      <c r="M15" s="694">
        <v>0.1850857033041316</v>
      </c>
      <c r="N15" s="694">
        <v>3.5247558604900399E-2</v>
      </c>
      <c r="O15" s="694">
        <v>4.5303511933470784</v>
      </c>
      <c r="P15" s="694">
        <v>3.1997835979547893</v>
      </c>
      <c r="Q15" s="694">
        <v>2.1116023417759382</v>
      </c>
      <c r="R15" s="694">
        <v>4.0713184988097175E-3</v>
      </c>
      <c r="S15" s="694">
        <v>4.0891303008931514E-3</v>
      </c>
      <c r="T15" s="694">
        <v>3.1825748169042939E-3</v>
      </c>
      <c r="U15" s="694">
        <v>2.2857353581796119E-3</v>
      </c>
      <c r="V15" s="694">
        <v>2.07543533488019E-3</v>
      </c>
      <c r="W15" s="694">
        <v>2.0754261226938603E-3</v>
      </c>
      <c r="X15" s="694">
        <v>0.84280550198566917</v>
      </c>
      <c r="Y15" s="694">
        <v>0.44417482663474905</v>
      </c>
      <c r="Z15" s="694">
        <v>0.18914103082988257</v>
      </c>
      <c r="AA15" s="694">
        <v>0.64472916366367727</v>
      </c>
      <c r="AB15" s="694">
        <v>0.40726363603360555</v>
      </c>
      <c r="AC15" s="694">
        <v>0.18603582243938988</v>
      </c>
      <c r="AD15" s="694">
        <v>0.28094097864561363</v>
      </c>
      <c r="AE15" s="694">
        <v>9.3317627443849707E-2</v>
      </c>
      <c r="AF15" s="694">
        <v>1.2410229229904189E-3</v>
      </c>
      <c r="AG15" s="720">
        <f t="shared" si="3"/>
        <v>0.10344218382585896</v>
      </c>
      <c r="AH15" s="720">
        <f t="shared" si="3"/>
        <v>3.8867997693867631E-2</v>
      </c>
      <c r="AI15" s="720">
        <f t="shared" si="3"/>
        <v>7.4019873070290832E-3</v>
      </c>
      <c r="AJ15" s="694">
        <v>0.27252037233713128</v>
      </c>
      <c r="AK15" s="694">
        <v>9.0520627622109245E-2</v>
      </c>
      <c r="AL15" s="694">
        <v>1.2038250381716221E-3</v>
      </c>
      <c r="AM15" s="684">
        <f t="shared" si="1"/>
        <v>2.6345187452336574</v>
      </c>
    </row>
    <row r="16" spans="1:39" s="690" customFormat="1" x14ac:dyDescent="0.2">
      <c r="A16" s="552" t="s">
        <v>1228</v>
      </c>
      <c r="B16" s="552" t="s">
        <v>501</v>
      </c>
      <c r="C16" s="694">
        <v>2.4594593738456418</v>
      </c>
      <c r="D16" s="720">
        <v>2.6882925831123154</v>
      </c>
      <c r="E16" s="720">
        <v>2.8988182528049617</v>
      </c>
      <c r="F16" s="720">
        <v>0</v>
      </c>
      <c r="G16" s="720">
        <v>0</v>
      </c>
      <c r="H16" s="720">
        <v>0</v>
      </c>
      <c r="I16" s="720">
        <v>8.5589600399166757E-2</v>
      </c>
      <c r="J16" s="694">
        <v>8.4922306337576428E-2</v>
      </c>
      <c r="K16" s="721">
        <v>8.4558597651680778E-2</v>
      </c>
      <c r="L16" s="732">
        <v>2.5483381027706406E-2</v>
      </c>
      <c r="M16" s="694">
        <v>2.4816124424883741E-2</v>
      </c>
      <c r="N16" s="694">
        <v>2.4452571188789348E-2</v>
      </c>
      <c r="O16" s="694">
        <v>43.289474067457725</v>
      </c>
      <c r="P16" s="694">
        <v>33.215968129061068</v>
      </c>
      <c r="Q16" s="694">
        <v>37.990947180356315</v>
      </c>
      <c r="R16" s="694">
        <v>0.16577172461436343</v>
      </c>
      <c r="S16" s="694">
        <v>0.16657896847963566</v>
      </c>
      <c r="T16" s="694">
        <v>0.11720236095943226</v>
      </c>
      <c r="U16" s="694">
        <v>1.1943328610077379</v>
      </c>
      <c r="V16" s="694">
        <v>1.2050969010908397</v>
      </c>
      <c r="W16" s="694">
        <v>1.0777154181446527</v>
      </c>
      <c r="X16" s="694">
        <v>0</v>
      </c>
      <c r="Y16" s="694">
        <v>0</v>
      </c>
      <c r="Z16" s="694">
        <v>0</v>
      </c>
      <c r="AA16" s="694">
        <v>1.1342314153256929</v>
      </c>
      <c r="AB16" s="694">
        <v>0.79674730975832153</v>
      </c>
      <c r="AC16" s="694">
        <v>0.9675960925980821</v>
      </c>
      <c r="AD16" s="694">
        <v>4.2800939717242979E-4</v>
      </c>
      <c r="AE16" s="694">
        <v>4.1160733610272961E-4</v>
      </c>
      <c r="AF16" s="694">
        <v>3.800902348508699E-4</v>
      </c>
      <c r="AG16" s="694">
        <f>0.1*L16</f>
        <v>2.5483381027706408E-3</v>
      </c>
      <c r="AH16" s="694">
        <f>0.1*M16</f>
        <v>2.4816124424883743E-3</v>
      </c>
      <c r="AI16" s="694">
        <f>0.1*N16</f>
        <v>2.4452571188789351E-3</v>
      </c>
      <c r="AJ16" s="694">
        <v>4.2801059100533635E-4</v>
      </c>
      <c r="AK16" s="694">
        <v>4.1160764308454702E-4</v>
      </c>
      <c r="AL16" s="694">
        <v>3.800900425781736E-4</v>
      </c>
      <c r="AM16" s="684">
        <f t="shared" si="1"/>
        <v>0.16795675210443564</v>
      </c>
    </row>
    <row r="17" spans="1:39" s="690" customFormat="1" x14ac:dyDescent="0.2">
      <c r="A17" s="552" t="s">
        <v>1320</v>
      </c>
      <c r="B17" s="552" t="s">
        <v>922</v>
      </c>
      <c r="C17" s="694">
        <v>5.2527090121109614</v>
      </c>
      <c r="D17" s="720">
        <v>2.5750314307620501</v>
      </c>
      <c r="E17" s="720">
        <v>0.88111864008919272</v>
      </c>
      <c r="F17" s="720">
        <v>0.14940236209838301</v>
      </c>
      <c r="G17" s="720">
        <v>7.4882380159281507E-3</v>
      </c>
      <c r="H17" s="720">
        <v>4.7982271401190201E-3</v>
      </c>
      <c r="I17" s="720">
        <v>0.43825702143855388</v>
      </c>
      <c r="J17" s="694">
        <v>0.13077145285921135</v>
      </c>
      <c r="K17" s="721">
        <v>3.8328044839425368E-2</v>
      </c>
      <c r="L17" s="732">
        <v>0.40398953116188024</v>
      </c>
      <c r="M17" s="694">
        <v>0.10660639457820084</v>
      </c>
      <c r="N17" s="694">
        <v>1.6932815658923944E-2</v>
      </c>
      <c r="O17" s="694">
        <v>3.2997127587766868</v>
      </c>
      <c r="P17" s="694">
        <v>1.7323647833124949</v>
      </c>
      <c r="Q17" s="694">
        <v>1.0396836634047706</v>
      </c>
      <c r="R17" s="694">
        <v>2.9467324781912827E-3</v>
      </c>
      <c r="S17" s="694">
        <v>2.7813110250467688E-3</v>
      </c>
      <c r="T17" s="694">
        <v>2.2734811799662029E-3</v>
      </c>
      <c r="U17" s="694">
        <v>1.9670410462431956E-3</v>
      </c>
      <c r="V17" s="694">
        <v>1.8222089420301853E-3</v>
      </c>
      <c r="W17" s="694">
        <v>1.8042323512116895E-3</v>
      </c>
      <c r="X17" s="694">
        <v>0.79430383018329354</v>
      </c>
      <c r="Y17" s="694">
        <v>0.3557530850386087</v>
      </c>
      <c r="Z17" s="694">
        <v>0.14970844514113274</v>
      </c>
      <c r="AA17" s="694">
        <v>0.76924054111741114</v>
      </c>
      <c r="AB17" s="694">
        <v>0.38366417987429718</v>
      </c>
      <c r="AC17" s="694">
        <v>0.14681978947672636</v>
      </c>
      <c r="AD17" s="694">
        <v>0.27294775748426386</v>
      </c>
      <c r="AE17" s="694">
        <v>6.876774861854161E-2</v>
      </c>
      <c r="AF17" s="694">
        <v>9.7668835000316542E-4</v>
      </c>
      <c r="AG17" s="720">
        <f>0.21*L17</f>
        <v>8.4837801543994854E-2</v>
      </c>
      <c r="AH17" s="720">
        <f>0.21*M17</f>
        <v>2.2387342861422174E-2</v>
      </c>
      <c r="AI17" s="720">
        <f>0.21*N17</f>
        <v>3.555891288374028E-3</v>
      </c>
      <c r="AJ17" s="694">
        <v>0.26476641543553953</v>
      </c>
      <c r="AK17" s="694">
        <v>6.6706374561248089E-2</v>
      </c>
      <c r="AL17" s="694">
        <v>9.474130672766076E-4</v>
      </c>
      <c r="AM17" s="684">
        <f t="shared" si="1"/>
        <v>3.1208542727057584</v>
      </c>
    </row>
    <row r="18" spans="1:39" s="690" customFormat="1" x14ac:dyDescent="0.2">
      <c r="A18" s="552" t="s">
        <v>1320</v>
      </c>
      <c r="B18" s="552" t="s">
        <v>1321</v>
      </c>
      <c r="C18" s="694">
        <v>2.2256446131044636</v>
      </c>
      <c r="D18" s="720">
        <v>0.50520914230380454</v>
      </c>
      <c r="E18" s="720">
        <v>0.34644203347723984</v>
      </c>
      <c r="F18" s="720">
        <v>3.0387632373457679E-2</v>
      </c>
      <c r="G18" s="720">
        <v>8.9132985328794646E-3</v>
      </c>
      <c r="H18" s="720">
        <v>7.8431550310794056E-3</v>
      </c>
      <c r="I18" s="720">
        <v>4.2975051885386827E-2</v>
      </c>
      <c r="J18" s="694">
        <v>3.8288846966886877E-2</v>
      </c>
      <c r="K18" s="721">
        <v>3.701430154965854E-2</v>
      </c>
      <c r="L18" s="733">
        <v>2.2019633817379064E-2</v>
      </c>
      <c r="M18" s="722">
        <v>1.7664381562035137E-2</v>
      </c>
      <c r="N18" s="694">
        <v>1.6449821562436358E-2</v>
      </c>
      <c r="O18" s="694">
        <v>16.611921983389848</v>
      </c>
      <c r="P18" s="694">
        <v>6.7065892779184422</v>
      </c>
      <c r="Q18" s="694">
        <v>5.1178910523048877</v>
      </c>
      <c r="R18" s="694">
        <v>5.3349832068806134E-2</v>
      </c>
      <c r="S18" s="694">
        <v>1.5261726391086378E-2</v>
      </c>
      <c r="T18" s="694">
        <v>6.1596250977922953E-3</v>
      </c>
      <c r="U18" s="694">
        <v>3.9611229973341509E-2</v>
      </c>
      <c r="V18" s="694">
        <v>1.8438128163137245E-2</v>
      </c>
      <c r="W18" s="694">
        <v>1.7230172593621172E-2</v>
      </c>
      <c r="X18" s="694">
        <v>1.725728833283114</v>
      </c>
      <c r="Y18" s="694">
        <v>0.27752727818491491</v>
      </c>
      <c r="Z18" s="694">
        <v>0.19781159329499731</v>
      </c>
      <c r="AA18" s="694">
        <v>1.7984520041864711</v>
      </c>
      <c r="AB18" s="694">
        <v>0.27374456350779025</v>
      </c>
      <c r="AC18" s="694">
        <v>0.21088881365500645</v>
      </c>
      <c r="AD18" s="694">
        <v>2.1602893564365874E-3</v>
      </c>
      <c r="AE18" s="694">
        <v>1.5126340239417291E-3</v>
      </c>
      <c r="AF18" s="694">
        <v>1.2447747632837705E-3</v>
      </c>
      <c r="AG18" s="694">
        <f>0.36*L18</f>
        <v>7.9270681742564623E-3</v>
      </c>
      <c r="AH18" s="694">
        <f>0.36*M18</f>
        <v>6.3591773623326488E-3</v>
      </c>
      <c r="AI18" s="694">
        <f>0.36*N18</f>
        <v>5.921935762477089E-3</v>
      </c>
      <c r="AJ18" s="694">
        <v>1.9892182592982205E-3</v>
      </c>
      <c r="AK18" s="694">
        <v>1.3928499714155774E-3</v>
      </c>
      <c r="AL18" s="694">
        <v>1.1462004810943872E-3</v>
      </c>
      <c r="AM18" s="684">
        <f t="shared" si="1"/>
        <v>0.25093997119367578</v>
      </c>
    </row>
    <row r="19" spans="1:39" x14ac:dyDescent="0.2">
      <c r="A19" s="552" t="s">
        <v>1320</v>
      </c>
      <c r="B19" s="552" t="s">
        <v>1318</v>
      </c>
      <c r="C19" s="694">
        <v>5.1886490543727515</v>
      </c>
      <c r="D19" s="720">
        <v>2.5103904128390653</v>
      </c>
      <c r="E19" s="720">
        <v>0.88111864008919272</v>
      </c>
      <c r="F19" s="720">
        <v>0.11121133131945561</v>
      </c>
      <c r="G19" s="720">
        <v>5.3590008417782262E-3</v>
      </c>
      <c r="H19" s="720">
        <v>3.8963296083457783E-3</v>
      </c>
      <c r="I19" s="720">
        <v>0.40287532597071379</v>
      </c>
      <c r="J19" s="694">
        <v>0.13077145285921135</v>
      </c>
      <c r="K19" s="721">
        <v>3.8328044839425368E-2</v>
      </c>
      <c r="L19" s="733">
        <v>0.36966509479275417</v>
      </c>
      <c r="M19" s="722">
        <v>0.10660639457820084</v>
      </c>
      <c r="N19" s="720">
        <v>1.6932815658923944E-2</v>
      </c>
      <c r="O19" s="720">
        <v>2.9857087391492363</v>
      </c>
      <c r="P19" s="720">
        <v>1.7323647833124949</v>
      </c>
      <c r="Q19" s="720">
        <v>1.0396836634047706</v>
      </c>
      <c r="R19" s="720">
        <v>2.9467324781912827E-3</v>
      </c>
      <c r="S19" s="720">
        <v>2.7813110250467688E-3</v>
      </c>
      <c r="T19" s="720">
        <v>2.2734811799662029E-3</v>
      </c>
      <c r="U19" s="720">
        <v>1.9670410462431956E-3</v>
      </c>
      <c r="V19" s="720">
        <v>1.8222089420301853E-3</v>
      </c>
      <c r="W19" s="720">
        <v>1.8042252765781937E-3</v>
      </c>
      <c r="X19" s="720">
        <v>0.79430383018329354</v>
      </c>
      <c r="Y19" s="720">
        <v>0.3557530850386087</v>
      </c>
      <c r="Z19" s="720">
        <v>0.14970844514113274</v>
      </c>
      <c r="AA19" s="720">
        <v>0.62886714655019504</v>
      </c>
      <c r="AB19" s="720">
        <v>0.38366417987429718</v>
      </c>
      <c r="AC19" s="720">
        <v>0.14681978947672636</v>
      </c>
      <c r="AD19" s="720">
        <v>0.24926633163412873</v>
      </c>
      <c r="AE19" s="720">
        <v>6.876774861854161E-2</v>
      </c>
      <c r="AF19" s="720">
        <v>9.7668835000316542E-4</v>
      </c>
      <c r="AG19" s="720">
        <f>0.21*L19</f>
        <v>7.7629669906478377E-2</v>
      </c>
      <c r="AH19" s="720">
        <f>0.21*M19</f>
        <v>2.2387342861422174E-2</v>
      </c>
      <c r="AI19" s="720">
        <f>0.21*N19</f>
        <v>3.555891288374028E-3</v>
      </c>
      <c r="AJ19" s="720">
        <v>0.24179481530758873</v>
      </c>
      <c r="AK19" s="720">
        <v>6.6706374561248089E-2</v>
      </c>
      <c r="AL19" s="720">
        <v>9.474130672766076E-4</v>
      </c>
      <c r="AM19" s="684">
        <f t="shared" si="1"/>
        <v>3.114721672768705</v>
      </c>
    </row>
    <row r="20" spans="1:39" s="690" customFormat="1" x14ac:dyDescent="0.2">
      <c r="A20" s="552" t="s">
        <v>1320</v>
      </c>
      <c r="B20" s="552" t="s">
        <v>501</v>
      </c>
      <c r="C20" s="694">
        <v>2.2256446131044636</v>
      </c>
      <c r="D20" s="720">
        <v>0.50520914230380454</v>
      </c>
      <c r="E20" s="720">
        <v>0.34644203347723984</v>
      </c>
      <c r="F20" s="720">
        <v>6.7693176526008965E-3</v>
      </c>
      <c r="G20" s="720">
        <v>1.9944639193082412E-3</v>
      </c>
      <c r="H20" s="720">
        <v>1.831797241691807E-3</v>
      </c>
      <c r="I20" s="720">
        <v>3.0178747839646979E-2</v>
      </c>
      <c r="J20" s="694">
        <v>3.2694338216875271E-2</v>
      </c>
      <c r="K20" s="721">
        <v>3.701430154965854E-2</v>
      </c>
      <c r="L20" s="732">
        <v>1.023658773209047E-2</v>
      </c>
      <c r="M20" s="694">
        <v>1.2512910398755666E-2</v>
      </c>
      <c r="N20" s="694">
        <v>1.6449821562436358E-2</v>
      </c>
      <c r="O20" s="694">
        <v>12.150208215530604</v>
      </c>
      <c r="P20" s="694">
        <v>6.7065892779184422</v>
      </c>
      <c r="Q20" s="694">
        <v>5.1178910523048877</v>
      </c>
      <c r="R20" s="694">
        <v>5.3349832068806134E-2</v>
      </c>
      <c r="S20" s="694">
        <v>1.5261726391086378E-2</v>
      </c>
      <c r="T20" s="694">
        <v>6.1596250977922953E-3</v>
      </c>
      <c r="U20" s="694">
        <v>0.17288724581150791</v>
      </c>
      <c r="V20" s="694">
        <v>1.8438128163137245E-2</v>
      </c>
      <c r="W20" s="694">
        <v>1.7230172593621172E-2</v>
      </c>
      <c r="X20" s="694">
        <v>1.5600285862101548</v>
      </c>
      <c r="Y20" s="694">
        <v>0.27752727818491491</v>
      </c>
      <c r="Z20" s="694">
        <v>0.19781159329499731</v>
      </c>
      <c r="AA20" s="694">
        <v>1.6262269654821895</v>
      </c>
      <c r="AB20" s="694">
        <v>0.27374456350779025</v>
      </c>
      <c r="AC20" s="694">
        <v>0.21088881365500645</v>
      </c>
      <c r="AD20" s="694">
        <v>4.8757382205522233E-4</v>
      </c>
      <c r="AE20" s="694">
        <v>8.6276371210263197E-4</v>
      </c>
      <c r="AF20" s="694">
        <v>1.2447747632837705E-3</v>
      </c>
      <c r="AG20" s="694">
        <f t="shared" ref="AG20:AI21" si="4">0.1*L20</f>
        <v>1.0236587732090471E-3</v>
      </c>
      <c r="AH20" s="694">
        <f t="shared" si="4"/>
        <v>1.2512910398755667E-3</v>
      </c>
      <c r="AI20" s="694">
        <f t="shared" si="4"/>
        <v>1.6449821562436358E-3</v>
      </c>
      <c r="AJ20" s="694">
        <v>4.4896292531863895E-4</v>
      </c>
      <c r="AK20" s="694">
        <v>7.9444451248780854E-4</v>
      </c>
      <c r="AL20" s="694">
        <v>1.1462004810943872E-3</v>
      </c>
      <c r="AM20" s="684">
        <f t="shared" si="1"/>
        <v>0.43858650662583021</v>
      </c>
    </row>
    <row r="21" spans="1:39" s="690" customFormat="1" x14ac:dyDescent="0.2">
      <c r="A21" s="552" t="s">
        <v>1320</v>
      </c>
      <c r="B21" s="552" t="s">
        <v>504</v>
      </c>
      <c r="C21" s="694">
        <v>1.602685720368437</v>
      </c>
      <c r="D21" s="720">
        <v>0.50520914230380454</v>
      </c>
      <c r="E21" s="720">
        <v>0.34644203347723984</v>
      </c>
      <c r="F21" s="720">
        <v>0</v>
      </c>
      <c r="G21" s="720">
        <v>0</v>
      </c>
      <c r="H21" s="720">
        <v>0</v>
      </c>
      <c r="I21" s="720">
        <v>2.6434713809344326E-2</v>
      </c>
      <c r="J21" s="694">
        <v>2.6495567442137408E-2</v>
      </c>
      <c r="K21" s="721">
        <v>2.6557223416884882E-2</v>
      </c>
      <c r="L21" s="732">
        <v>6.7890225306364337E-3</v>
      </c>
      <c r="M21" s="694">
        <v>6.8049844425761121E-3</v>
      </c>
      <c r="N21" s="694">
        <v>6.8208027021063738E-3</v>
      </c>
      <c r="O21" s="694">
        <v>13.637446138150352</v>
      </c>
      <c r="P21" s="694">
        <v>6.7065892779184422</v>
      </c>
      <c r="Q21" s="694">
        <v>5.1178910523048877</v>
      </c>
      <c r="R21" s="694">
        <v>5.3349832068806134E-2</v>
      </c>
      <c r="S21" s="694">
        <v>1.5261726391086378E-2</v>
      </c>
      <c r="T21" s="694">
        <v>6.1596250977922953E-3</v>
      </c>
      <c r="U21" s="694">
        <v>3.9611229973341509E-2</v>
      </c>
      <c r="V21" s="694">
        <v>1.8438128163137245E-2</v>
      </c>
      <c r="W21" s="694">
        <v>1.7230172593621172E-2</v>
      </c>
      <c r="X21" s="694">
        <v>1.5070045071468077</v>
      </c>
      <c r="Y21" s="694">
        <v>0.27752727818491491</v>
      </c>
      <c r="Z21" s="694">
        <v>0.19781159329499731</v>
      </c>
      <c r="AA21" s="694">
        <v>1.1095518493693444</v>
      </c>
      <c r="AB21" s="694">
        <v>0.27374456350779025</v>
      </c>
      <c r="AC21" s="694">
        <v>0.21088881365500645</v>
      </c>
      <c r="AD21" s="694">
        <v>0</v>
      </c>
      <c r="AE21" s="694">
        <v>0</v>
      </c>
      <c r="AF21" s="694">
        <v>0</v>
      </c>
      <c r="AG21" s="694">
        <f t="shared" si="4"/>
        <v>6.7890225306364339E-4</v>
      </c>
      <c r="AH21" s="694">
        <f t="shared" si="4"/>
        <v>6.8049844425761125E-4</v>
      </c>
      <c r="AI21" s="694">
        <f t="shared" si="4"/>
        <v>6.8208027021063745E-4</v>
      </c>
      <c r="AJ21" s="694">
        <v>0</v>
      </c>
      <c r="AK21" s="694">
        <v>0</v>
      </c>
      <c r="AL21" s="694">
        <v>0</v>
      </c>
      <c r="AM21" s="684">
        <f t="shared" si="1"/>
        <v>0</v>
      </c>
    </row>
    <row r="22" spans="1:39" x14ac:dyDescent="0.2">
      <c r="A22" s="552" t="s">
        <v>1320</v>
      </c>
      <c r="B22" s="552" t="s">
        <v>509</v>
      </c>
      <c r="C22" s="694">
        <v>1.8518692774628478</v>
      </c>
      <c r="D22" s="720">
        <v>0.40066292315980989</v>
      </c>
      <c r="E22" s="720">
        <v>0.31503734990905463</v>
      </c>
      <c r="F22" s="720">
        <v>8.8151558764980546E-3</v>
      </c>
      <c r="G22" s="720">
        <v>2.9894449611191434E-3</v>
      </c>
      <c r="H22" s="720">
        <v>2.9894449611191434E-3</v>
      </c>
      <c r="I22" s="720">
        <v>3.8099023898293595E-2</v>
      </c>
      <c r="J22" s="694">
        <v>3.5951969852872502E-2</v>
      </c>
      <c r="K22" s="721">
        <v>3.5174864651377084E-2</v>
      </c>
      <c r="L22" s="731">
        <v>1.7529716037726014E-2</v>
      </c>
      <c r="M22" s="720">
        <v>1.5512540681378301E-2</v>
      </c>
      <c r="N22" s="720">
        <v>1.4756037997643407E-2</v>
      </c>
      <c r="O22" s="720">
        <v>13.637446138150352</v>
      </c>
      <c r="P22" s="720">
        <v>5.2004022327414479</v>
      </c>
      <c r="Q22" s="720">
        <v>4.0006131816803743</v>
      </c>
      <c r="R22" s="720">
        <v>5.3349832068806134E-2</v>
      </c>
      <c r="S22" s="720">
        <v>1.4513914745989509E-2</v>
      </c>
      <c r="T22" s="720">
        <v>5.90699189218751E-3</v>
      </c>
      <c r="U22" s="720">
        <v>7.0264713616119773E-2</v>
      </c>
      <c r="V22" s="720">
        <v>1.7607219485902513E-2</v>
      </c>
      <c r="W22" s="720">
        <v>1.6328853541591637E-2</v>
      </c>
      <c r="X22" s="720">
        <v>1.6461927146880937</v>
      </c>
      <c r="Y22" s="720">
        <v>0.18904545174361304</v>
      </c>
      <c r="Z22" s="720">
        <v>0.13685534409178091</v>
      </c>
      <c r="AA22" s="720">
        <v>1.6606719732230459</v>
      </c>
      <c r="AB22" s="720">
        <v>0.21345336126105813</v>
      </c>
      <c r="AC22" s="720">
        <v>0.14990141953667757</v>
      </c>
      <c r="AD22" s="720">
        <v>1.5157802980222948E-3</v>
      </c>
      <c r="AE22" s="720">
        <v>1.175358798450789E-3</v>
      </c>
      <c r="AF22" s="720">
        <v>9.9758495413303379E-4</v>
      </c>
      <c r="AG22" s="694">
        <f>0.36*L22</f>
        <v>6.3106977735813644E-3</v>
      </c>
      <c r="AH22" s="694">
        <f>0.36*M22</f>
        <v>5.5845146452961885E-3</v>
      </c>
      <c r="AI22" s="694">
        <f>0.36*N22</f>
        <v>5.3121736791516263E-3</v>
      </c>
      <c r="AJ22" s="720">
        <v>1.3957473987422293E-3</v>
      </c>
      <c r="AK22" s="720">
        <v>1.0822808014175562E-3</v>
      </c>
      <c r="AL22" s="720">
        <v>9.1858676898909592E-4</v>
      </c>
      <c r="AM22" s="684">
        <f t="shared" si="1"/>
        <v>0.22117164358357999</v>
      </c>
    </row>
    <row r="23" spans="1:39" x14ac:dyDescent="0.2">
      <c r="A23" s="552" t="s">
        <v>1322</v>
      </c>
      <c r="B23" s="552" t="s">
        <v>922</v>
      </c>
      <c r="C23" s="694">
        <v>9.303775984229004</v>
      </c>
      <c r="D23" s="720">
        <v>3.0986302101176677</v>
      </c>
      <c r="E23" s="720">
        <v>0.89431217549895858</v>
      </c>
      <c r="F23" s="720">
        <v>0.23659536708013296</v>
      </c>
      <c r="G23" s="720">
        <v>1.0528110838115891E-2</v>
      </c>
      <c r="H23" s="720">
        <v>6.8961405555968622E-3</v>
      </c>
      <c r="I23" s="720">
        <v>0.67126977029085566</v>
      </c>
      <c r="J23" s="720">
        <v>0.2613527099558518</v>
      </c>
      <c r="K23" s="721">
        <v>9.0951959766611634E-2</v>
      </c>
      <c r="L23" s="731">
        <v>0.59698708564789327</v>
      </c>
      <c r="M23" s="720">
        <v>0.19889386768870534</v>
      </c>
      <c r="N23" s="720">
        <v>3.3598863106705956E-2</v>
      </c>
      <c r="O23" s="720">
        <v>3.5447507117951371</v>
      </c>
      <c r="P23" s="720">
        <v>1.9197442411027068</v>
      </c>
      <c r="Q23" s="720">
        <v>0.6860846812328546</v>
      </c>
      <c r="R23" s="720">
        <v>2.7990296003248976E-3</v>
      </c>
      <c r="S23" s="720">
        <v>2.8421040815926552E-3</v>
      </c>
      <c r="T23" s="720">
        <v>2.3122041618318383E-3</v>
      </c>
      <c r="U23" s="720">
        <v>2.3657186798832094E-3</v>
      </c>
      <c r="V23" s="720">
        <v>2.1480582710492633E-3</v>
      </c>
      <c r="W23" s="720">
        <v>2.148060269955268E-3</v>
      </c>
      <c r="X23" s="720">
        <v>1.0358354714902605</v>
      </c>
      <c r="Y23" s="720">
        <v>0.45481577304189724</v>
      </c>
      <c r="Z23" s="720">
        <v>0.13419059414273959</v>
      </c>
      <c r="AA23" s="720">
        <v>1.003319362444427</v>
      </c>
      <c r="AB23" s="720">
        <v>0.51242548710443092</v>
      </c>
      <c r="AC23" s="720">
        <v>0.13273884692165114</v>
      </c>
      <c r="AD23" s="720">
        <v>0.29280960508153125</v>
      </c>
      <c r="AE23" s="720">
        <v>9.0005349903937312E-2</v>
      </c>
      <c r="AF23" s="720">
        <v>1.1811053899383021E-3</v>
      </c>
      <c r="AG23" s="720">
        <f>0.21*L23</f>
        <v>0.12536728798605759</v>
      </c>
      <c r="AH23" s="720">
        <f>0.21*M23</f>
        <v>4.1767712214628119E-2</v>
      </c>
      <c r="AI23" s="720">
        <f>0.21*N23</f>
        <v>7.0557612524082504E-3</v>
      </c>
      <c r="AJ23" s="720">
        <v>0.28403339492856694</v>
      </c>
      <c r="AK23" s="720">
        <v>8.7307554470681739E-2</v>
      </c>
      <c r="AL23" s="720">
        <v>1.1457053951305738E-3</v>
      </c>
      <c r="AM23" s="684">
        <f t="shared" si="1"/>
        <v>2.2656101084371785</v>
      </c>
    </row>
    <row r="24" spans="1:39" x14ac:dyDescent="0.2">
      <c r="A24" s="552" t="s">
        <v>1322</v>
      </c>
      <c r="B24" s="552" t="s">
        <v>1321</v>
      </c>
      <c r="C24" s="694">
        <v>4.2663411240536577</v>
      </c>
      <c r="D24" s="720">
        <v>3.2140849448617628</v>
      </c>
      <c r="E24" s="720">
        <v>2.9141853792979426</v>
      </c>
      <c r="F24" s="720">
        <v>5.3300180578503144E-2</v>
      </c>
      <c r="G24" s="720">
        <v>1.5458099434990425E-2</v>
      </c>
      <c r="H24" s="720">
        <v>1.379681232519772E-2</v>
      </c>
      <c r="I24" s="720">
        <v>7.296961055475347E-2</v>
      </c>
      <c r="J24" s="720">
        <v>7.1171786501975476E-2</v>
      </c>
      <c r="K24" s="721">
        <v>7.0293940862293736E-2</v>
      </c>
      <c r="L24" s="731">
        <v>2.5580575038844793E-2</v>
      </c>
      <c r="M24" s="720">
        <v>2.3656629380179688E-2</v>
      </c>
      <c r="N24" s="720">
        <v>2.2750839098643481E-2</v>
      </c>
      <c r="O24" s="720">
        <v>43.244382339133359</v>
      </c>
      <c r="P24" s="720">
        <v>27.574379311686648</v>
      </c>
      <c r="Q24" s="720">
        <v>22.334301202781276</v>
      </c>
      <c r="R24" s="720">
        <v>5.1921079553847616E-2</v>
      </c>
      <c r="S24" s="720">
        <v>3.1897675799081329E-2</v>
      </c>
      <c r="T24" s="720">
        <v>6.2840498621211452E-3</v>
      </c>
      <c r="U24" s="720">
        <v>8.5790804254277986E-2</v>
      </c>
      <c r="V24" s="720">
        <v>2.3555454263633174E-2</v>
      </c>
      <c r="W24" s="720">
        <v>1.7683755411684831E-2</v>
      </c>
      <c r="X24" s="720">
        <v>1.7769296119141302</v>
      </c>
      <c r="Y24" s="720">
        <v>0.91730572321668336</v>
      </c>
      <c r="Z24" s="720">
        <v>0.77889365480066897</v>
      </c>
      <c r="AA24" s="720">
        <v>1.8884810775833099</v>
      </c>
      <c r="AB24" s="720">
        <v>0.84368835111829266</v>
      </c>
      <c r="AC24" s="720">
        <v>0.77602347204369704</v>
      </c>
      <c r="AD24" s="720">
        <v>1.2400461625190881E-3</v>
      </c>
      <c r="AE24" s="720">
        <v>9.3174284441804108E-4</v>
      </c>
      <c r="AF24" s="720">
        <v>7.1781501439581615E-4</v>
      </c>
      <c r="AG24" s="694">
        <f>0.36*L24</f>
        <v>9.2090070139841246E-3</v>
      </c>
      <c r="AH24" s="694">
        <f>0.36*M24</f>
        <v>8.516386576864687E-3</v>
      </c>
      <c r="AI24" s="694">
        <f>0.36*N24</f>
        <v>8.1903020755116525E-3</v>
      </c>
      <c r="AJ24" s="720">
        <v>1.1418429469478603E-3</v>
      </c>
      <c r="AK24" s="720">
        <v>8.5795888371057003E-4</v>
      </c>
      <c r="AL24" s="720">
        <v>6.609729181305306E-4</v>
      </c>
      <c r="AM24" s="684">
        <f t="shared" si="1"/>
        <v>0.12399197277338818</v>
      </c>
    </row>
    <row r="25" spans="1:39" x14ac:dyDescent="0.2">
      <c r="A25" s="552" t="s">
        <v>1322</v>
      </c>
      <c r="B25" s="552" t="s">
        <v>1318</v>
      </c>
      <c r="C25" s="694">
        <v>9.303775984229004</v>
      </c>
      <c r="D25" s="720">
        <v>3.0986302101176677</v>
      </c>
      <c r="E25" s="720">
        <v>0.89431217549895858</v>
      </c>
      <c r="F25" s="720">
        <v>0.19222687382723183</v>
      </c>
      <c r="G25" s="720">
        <v>9.4302190817694663E-3</v>
      </c>
      <c r="H25" s="720">
        <v>6.7678192682984724E-3</v>
      </c>
      <c r="I25" s="720">
        <v>0.6111677858988811</v>
      </c>
      <c r="J25" s="694">
        <v>0.24366396901653889</v>
      </c>
      <c r="K25" s="721">
        <v>9.0951959766611634E-2</v>
      </c>
      <c r="L25" s="731">
        <v>0.53867823238046197</v>
      </c>
      <c r="M25" s="720">
        <v>0.18173513891901197</v>
      </c>
      <c r="N25" s="720">
        <v>3.3598863106705956E-2</v>
      </c>
      <c r="O25" s="720">
        <v>3.1548281334976718</v>
      </c>
      <c r="P25" s="720">
        <v>1.7607506455930602</v>
      </c>
      <c r="Q25" s="720">
        <v>0.6860846812328546</v>
      </c>
      <c r="R25" s="720">
        <v>2.7990296003248976E-3</v>
      </c>
      <c r="S25" s="720">
        <v>2.8421040815926552E-3</v>
      </c>
      <c r="T25" s="720">
        <v>2.3122041618318383E-3</v>
      </c>
      <c r="U25" s="720">
        <v>2.3657186798832094E-3</v>
      </c>
      <c r="V25" s="720">
        <v>2.1480574316974205E-3</v>
      </c>
      <c r="W25" s="720">
        <v>2.1480534209695639E-3</v>
      </c>
      <c r="X25" s="720">
        <v>1.0358354714902605</v>
      </c>
      <c r="Y25" s="720">
        <v>0.45481577304189724</v>
      </c>
      <c r="Z25" s="720">
        <v>0.13419059414273959</v>
      </c>
      <c r="AA25" s="720">
        <v>0.7916189769686528</v>
      </c>
      <c r="AB25" s="720">
        <v>0.41824613468644789</v>
      </c>
      <c r="AC25" s="720">
        <v>0.13273884692165114</v>
      </c>
      <c r="AD25" s="720">
        <v>0.26323583496829661</v>
      </c>
      <c r="AE25" s="720">
        <v>8.0993764784216757E-2</v>
      </c>
      <c r="AF25" s="720">
        <v>1.1811053899383021E-3</v>
      </c>
      <c r="AG25" s="720">
        <f>0.21*L25</f>
        <v>0.11312242879989701</v>
      </c>
      <c r="AH25" s="720">
        <f>0.21*M25</f>
        <v>3.8164379172992514E-2</v>
      </c>
      <c r="AI25" s="720">
        <f>0.21*N25</f>
        <v>7.0557612524082504E-3</v>
      </c>
      <c r="AJ25" s="720">
        <v>0.25534602204078166</v>
      </c>
      <c r="AK25" s="720">
        <v>7.8566080184099885E-2</v>
      </c>
      <c r="AL25" s="720">
        <v>1.1457053951305738E-3</v>
      </c>
      <c r="AM25" s="684">
        <f t="shared" si="1"/>
        <v>2.25725370954035</v>
      </c>
    </row>
    <row r="26" spans="1:39" s="690" customFormat="1" x14ac:dyDescent="0.2">
      <c r="A26" s="552" t="s">
        <v>1322</v>
      </c>
      <c r="B26" s="552" t="s">
        <v>501</v>
      </c>
      <c r="C26" s="694">
        <v>6.0474543897488529</v>
      </c>
      <c r="D26" s="720">
        <v>2.2239779274963114</v>
      </c>
      <c r="E26" s="720">
        <v>0.89431217549895858</v>
      </c>
      <c r="F26" s="720">
        <v>0.14735236874099014</v>
      </c>
      <c r="G26" s="720">
        <v>7.2287765585477819E-3</v>
      </c>
      <c r="H26" s="720">
        <v>5.1879020895434155E-3</v>
      </c>
      <c r="I26" s="720">
        <v>0.13570753313464637</v>
      </c>
      <c r="J26" s="694">
        <v>0.10373026594217198</v>
      </c>
      <c r="K26" s="721">
        <v>9.0951959766611634E-2</v>
      </c>
      <c r="L26" s="732">
        <v>7.7403244650980724E-2</v>
      </c>
      <c r="M26" s="694">
        <v>4.5994304394407971E-2</v>
      </c>
      <c r="N26" s="694">
        <v>3.3598863106705956E-2</v>
      </c>
      <c r="O26" s="694">
        <v>0.35447507117951355</v>
      </c>
      <c r="P26" s="694">
        <v>0.38985372407150898</v>
      </c>
      <c r="Q26" s="694">
        <v>0.56951735402723391</v>
      </c>
      <c r="R26" s="694">
        <v>2.7990296003248976E-3</v>
      </c>
      <c r="S26" s="694">
        <v>2.8421040815926552E-3</v>
      </c>
      <c r="T26" s="694">
        <v>2.3122041618318383E-3</v>
      </c>
      <c r="U26" s="694">
        <v>0.13284420556379697</v>
      </c>
      <c r="V26" s="694">
        <v>4.9537521934713932E-2</v>
      </c>
      <c r="W26" s="694">
        <v>2.1480534209695639E-3</v>
      </c>
      <c r="X26" s="694">
        <v>1.0358354714902605</v>
      </c>
      <c r="Y26" s="694">
        <v>0.45481577304189724</v>
      </c>
      <c r="Z26" s="694">
        <v>0.13419059414273959</v>
      </c>
      <c r="AA26" s="694">
        <v>1.003319362444427</v>
      </c>
      <c r="AB26" s="694">
        <v>0.51242548710443092</v>
      </c>
      <c r="AC26" s="694">
        <v>0.13273884692165114</v>
      </c>
      <c r="AD26" s="694">
        <v>2.9280960508153115E-2</v>
      </c>
      <c r="AE26" s="694">
        <v>9.7040963618729003E-3</v>
      </c>
      <c r="AF26" s="694">
        <v>1.1811053899383021E-3</v>
      </c>
      <c r="AG26" s="694">
        <f t="shared" ref="AG26:AI27" si="5">0.1*L26</f>
        <v>7.7403244650980727E-3</v>
      </c>
      <c r="AH26" s="694">
        <f t="shared" si="5"/>
        <v>4.599430439440797E-3</v>
      </c>
      <c r="AI26" s="694">
        <f t="shared" si="5"/>
        <v>3.3598863106705959E-3</v>
      </c>
      <c r="AJ26" s="694">
        <v>2.8403339492856689E-2</v>
      </c>
      <c r="AK26" s="694">
        <v>9.4132291447048683E-3</v>
      </c>
      <c r="AL26" s="694">
        <v>1.1457053951305738E-3</v>
      </c>
      <c r="AM26" s="684">
        <f t="shared" si="1"/>
        <v>3.6695282763571861</v>
      </c>
    </row>
    <row r="27" spans="1:39" s="690" customFormat="1" x14ac:dyDescent="0.2">
      <c r="A27" s="552" t="s">
        <v>1322</v>
      </c>
      <c r="B27" s="552" t="s">
        <v>504</v>
      </c>
      <c r="C27" s="694">
        <v>3.7215103936916019</v>
      </c>
      <c r="D27" s="720">
        <v>1.5992262970524851</v>
      </c>
      <c r="E27" s="720">
        <v>0.89431217549895858</v>
      </c>
      <c r="F27" s="720">
        <v>0</v>
      </c>
      <c r="G27" s="720">
        <v>0</v>
      </c>
      <c r="H27" s="720">
        <v>0</v>
      </c>
      <c r="I27" s="720">
        <v>7.6200617895067588E-2</v>
      </c>
      <c r="J27" s="694">
        <v>7.673697800115048E-2</v>
      </c>
      <c r="K27" s="720">
        <v>7.6736967059604602E-2</v>
      </c>
      <c r="L27" s="732">
        <v>1.9671706762434901E-2</v>
      </c>
      <c r="M27" s="694">
        <v>1.9809830761889906E-2</v>
      </c>
      <c r="N27" s="694">
        <v>1.9809822081246108E-2</v>
      </c>
      <c r="O27" s="694">
        <v>0.35447507117951355</v>
      </c>
      <c r="P27" s="694">
        <v>0.38985372407150898</v>
      </c>
      <c r="Q27" s="694">
        <v>0.56951735402723391</v>
      </c>
      <c r="R27" s="694">
        <v>2.7990296003248976E-3</v>
      </c>
      <c r="S27" s="694">
        <v>2.8421040815926552E-3</v>
      </c>
      <c r="T27" s="694">
        <v>2.3122041618318383E-3</v>
      </c>
      <c r="U27" s="694">
        <v>1.3284420556379697E-2</v>
      </c>
      <c r="V27" s="694">
        <v>6.1137037823355373E-3</v>
      </c>
      <c r="W27" s="694">
        <v>2.1480534209695639E-3</v>
      </c>
      <c r="X27" s="694">
        <v>1.8386079445657464</v>
      </c>
      <c r="Y27" s="694">
        <v>0.74050680529556889</v>
      </c>
      <c r="Z27" s="694">
        <v>0.13419059414273959</v>
      </c>
      <c r="AA27" s="694">
        <v>0.20066387248888537</v>
      </c>
      <c r="AB27" s="694">
        <v>0.1553473736713202</v>
      </c>
      <c r="AC27" s="694">
        <v>0.13273884692165114</v>
      </c>
      <c r="AD27" s="694">
        <v>0</v>
      </c>
      <c r="AE27" s="694">
        <v>0</v>
      </c>
      <c r="AF27" s="694">
        <v>0</v>
      </c>
      <c r="AG27" s="694">
        <f t="shared" si="5"/>
        <v>1.9671706762434903E-3</v>
      </c>
      <c r="AH27" s="694">
        <f t="shared" si="5"/>
        <v>1.9809830761889908E-3</v>
      </c>
      <c r="AI27" s="694">
        <f t="shared" si="5"/>
        <v>1.9809822081246109E-3</v>
      </c>
      <c r="AJ27" s="694">
        <v>0</v>
      </c>
      <c r="AK27" s="694">
        <v>0</v>
      </c>
      <c r="AL27" s="694">
        <v>0</v>
      </c>
      <c r="AM27" s="684">
        <f t="shared" si="1"/>
        <v>0</v>
      </c>
    </row>
    <row r="28" spans="1:39" s="690" customFormat="1" x14ac:dyDescent="0.2">
      <c r="A28" s="552" t="s">
        <v>1322</v>
      </c>
      <c r="B28" s="552" t="s">
        <v>509</v>
      </c>
      <c r="C28" s="694">
        <v>3.4983997217239993</v>
      </c>
      <c r="D28" s="720">
        <v>2.8907715491531296</v>
      </c>
      <c r="E28" s="720">
        <v>2.9141853792979426</v>
      </c>
      <c r="F28" s="720">
        <v>1.5616952909501417E-2</v>
      </c>
      <c r="G28" s="720">
        <v>4.5462406398802061E-3</v>
      </c>
      <c r="H28" s="720">
        <v>4.1559566318305485E-3</v>
      </c>
      <c r="I28" s="720">
        <v>6.9514546398020502E-2</v>
      </c>
      <c r="J28" s="694">
        <v>6.9948089841250075E-2</v>
      </c>
      <c r="K28" s="720">
        <v>7.0293940862293736E-2</v>
      </c>
      <c r="L28" s="732">
        <v>2.2399056277001218E-2</v>
      </c>
      <c r="M28" s="694">
        <v>2.2529831982933856E-2</v>
      </c>
      <c r="N28" s="694">
        <v>2.2750839098643481E-2</v>
      </c>
      <c r="O28" s="694">
        <v>34.595505871306692</v>
      </c>
      <c r="P28" s="694">
        <v>25.025948035897603</v>
      </c>
      <c r="Q28" s="694">
        <v>22.334301202781276</v>
      </c>
      <c r="R28" s="694">
        <v>5.1921079553847616E-2</v>
      </c>
      <c r="S28" s="694">
        <v>3.1897675799081329E-2</v>
      </c>
      <c r="T28" s="694">
        <v>6.2840498621211452E-3</v>
      </c>
      <c r="U28" s="694">
        <v>0.16471834416821374</v>
      </c>
      <c r="V28" s="694">
        <v>3.3033308193253584E-2</v>
      </c>
      <c r="W28" s="694">
        <v>1.7683755411684831E-2</v>
      </c>
      <c r="X28" s="694">
        <v>1.6916369905422519</v>
      </c>
      <c r="Y28" s="694">
        <v>0.89594768125954227</v>
      </c>
      <c r="Z28" s="694">
        <v>0.77889365480066897</v>
      </c>
      <c r="AA28" s="694">
        <v>1.7374025913766451</v>
      </c>
      <c r="AB28" s="694">
        <v>0.79885455761749791</v>
      </c>
      <c r="AC28" s="694">
        <v>0.77602347204369704</v>
      </c>
      <c r="AD28" s="694">
        <v>8.1843046726259806E-4</v>
      </c>
      <c r="AE28" s="694">
        <v>7.832584037006532E-4</v>
      </c>
      <c r="AF28" s="694">
        <v>7.1781501439581615E-4</v>
      </c>
      <c r="AG28" s="694">
        <f>0.36*L28</f>
        <v>8.0636602597204381E-3</v>
      </c>
      <c r="AH28" s="694">
        <f>0.36*M28</f>
        <v>8.1107395138561873E-3</v>
      </c>
      <c r="AI28" s="694">
        <f>0.36*N28</f>
        <v>8.1903020755116525E-3</v>
      </c>
      <c r="AJ28" s="694">
        <v>7.5361634498558776E-4</v>
      </c>
      <c r="AK28" s="694">
        <v>7.2123298471141498E-4</v>
      </c>
      <c r="AL28" s="694">
        <v>6.609729181305306E-4</v>
      </c>
      <c r="AM28" s="684">
        <f t="shared" si="1"/>
        <v>9.3458345306293336E-2</v>
      </c>
    </row>
    <row r="29" spans="1:39" s="690" customFormat="1" x14ac:dyDescent="0.2">
      <c r="A29" s="552" t="s">
        <v>1323</v>
      </c>
      <c r="B29" s="552" t="s">
        <v>922</v>
      </c>
      <c r="C29" s="694">
        <v>8.6948571633156053</v>
      </c>
      <c r="D29" s="720">
        <v>2.953123348159342</v>
      </c>
      <c r="E29" s="720">
        <v>0.84872357047795977</v>
      </c>
      <c r="F29" s="720">
        <v>0.22336122878378059</v>
      </c>
      <c r="G29" s="720">
        <v>9.9394876807098274E-3</v>
      </c>
      <c r="H29" s="720">
        <v>6.5105677717680333E-3</v>
      </c>
      <c r="I29" s="720">
        <v>0.64287261897983505</v>
      </c>
      <c r="J29" s="694">
        <v>0.25395322582894375</v>
      </c>
      <c r="K29" s="720">
        <v>9.0038539209407922E-2</v>
      </c>
      <c r="L29" s="732">
        <v>0.56970011956475031</v>
      </c>
      <c r="M29" s="694">
        <v>0.19198273859839871</v>
      </c>
      <c r="N29" s="694">
        <v>3.2979612662695022E-2</v>
      </c>
      <c r="O29" s="694">
        <v>3.4341682299642997</v>
      </c>
      <c r="P29" s="694">
        <v>1.8445841772648333</v>
      </c>
      <c r="Q29" s="694">
        <v>0.64493343186179974</v>
      </c>
      <c r="R29" s="694">
        <v>2.6696565647397028E-3</v>
      </c>
      <c r="S29" s="694">
        <v>2.7006231216641753E-3</v>
      </c>
      <c r="T29" s="694">
        <v>2.2291950911777418E-3</v>
      </c>
      <c r="U29" s="694">
        <v>2.3657327709141426E-3</v>
      </c>
      <c r="V29" s="694">
        <v>2.148059623622905E-3</v>
      </c>
      <c r="W29" s="694">
        <v>2.1480600665083074E-3</v>
      </c>
      <c r="X29" s="694">
        <v>1.0251156560554995</v>
      </c>
      <c r="Y29" s="694">
        <v>0.4497372995528181</v>
      </c>
      <c r="Z29" s="694">
        <v>0.13084224844434558</v>
      </c>
      <c r="AA29" s="694">
        <v>0.99299000586906361</v>
      </c>
      <c r="AB29" s="694">
        <v>0.50870028119707911</v>
      </c>
      <c r="AC29" s="694">
        <v>0.12956176109175357</v>
      </c>
      <c r="AD29" s="694">
        <v>0.26350810123116902</v>
      </c>
      <c r="AE29" s="694">
        <v>8.2075992954659158E-2</v>
      </c>
      <c r="AF29" s="694">
        <v>1.1372905389217527E-3</v>
      </c>
      <c r="AG29" s="720">
        <f>0.21*L29</f>
        <v>0.11963702510859756</v>
      </c>
      <c r="AH29" s="720">
        <f>0.21*M29</f>
        <v>4.0316375105663729E-2</v>
      </c>
      <c r="AI29" s="720">
        <f>0.21*N29</f>
        <v>6.9257186591659544E-3</v>
      </c>
      <c r="AJ29" s="694">
        <v>0.2556091445339892</v>
      </c>
      <c r="AK29" s="694">
        <v>7.9615612702181454E-2</v>
      </c>
      <c r="AL29" s="694">
        <v>1.1032017338635505E-3</v>
      </c>
      <c r="AM29" s="684">
        <f t="shared" si="1"/>
        <v>2.1365387872355259</v>
      </c>
    </row>
    <row r="30" spans="1:39" s="690" customFormat="1" x14ac:dyDescent="0.2">
      <c r="A30" s="552" t="s">
        <v>1323</v>
      </c>
      <c r="B30" s="552" t="s">
        <v>1321</v>
      </c>
      <c r="C30" s="694">
        <v>3.9787597984639889</v>
      </c>
      <c r="D30" s="720">
        <v>3.0689978042106385</v>
      </c>
      <c r="E30" s="720">
        <v>2.7916058620748743</v>
      </c>
      <c r="F30" s="720">
        <v>5.0124832967383876E-2</v>
      </c>
      <c r="G30" s="720">
        <v>1.4534864389297015E-2</v>
      </c>
      <c r="H30" s="720">
        <v>1.2974652745769998E-2</v>
      </c>
      <c r="I30" s="720">
        <v>7.2318920148723209E-2</v>
      </c>
      <c r="J30" s="694">
        <v>7.0587325808324108E-2</v>
      </c>
      <c r="K30" s="720">
        <v>6.9818554566400071E-2</v>
      </c>
      <c r="L30" s="732">
        <v>2.515246162521682E-2</v>
      </c>
      <c r="M30" s="694">
        <v>2.3291059710242912E-2</v>
      </c>
      <c r="N30" s="694">
        <v>2.2486256681336012E-2</v>
      </c>
      <c r="O30" s="694">
        <v>37.632649500456083</v>
      </c>
      <c r="P30" s="694">
        <v>24.9288254243585</v>
      </c>
      <c r="Q30" s="694">
        <v>20.424892261493593</v>
      </c>
      <c r="R30" s="694">
        <v>4.3937414658450608E-2</v>
      </c>
      <c r="S30" s="694">
        <v>2.6935157570369829E-2</v>
      </c>
      <c r="T30" s="694">
        <v>5.4889770428495884E-3</v>
      </c>
      <c r="U30" s="694">
        <v>7.3491517585629496E-2</v>
      </c>
      <c r="V30" s="694">
        <v>1.9674003539837857E-2</v>
      </c>
      <c r="W30" s="694">
        <v>1.5279613971773166E-2</v>
      </c>
      <c r="X30" s="694">
        <v>1.677449635521558</v>
      </c>
      <c r="Y30" s="694">
        <v>0.92593169196553993</v>
      </c>
      <c r="Z30" s="694">
        <v>0.80155567663861393</v>
      </c>
      <c r="AA30" s="694">
        <v>1.7730042074003276</v>
      </c>
      <c r="AB30" s="694">
        <v>0.84932928856750034</v>
      </c>
      <c r="AC30" s="694">
        <v>0.79191744049936341</v>
      </c>
      <c r="AD30" s="694">
        <v>1.1141359769617448E-3</v>
      </c>
      <c r="AE30" s="694">
        <v>8.4273944341062344E-4</v>
      </c>
      <c r="AF30" s="694">
        <v>6.6332587029518041E-4</v>
      </c>
      <c r="AG30" s="694">
        <f>0.36*L30</f>
        <v>9.0548861850780551E-3</v>
      </c>
      <c r="AH30" s="694">
        <f>0.36*M30</f>
        <v>8.3847814956874486E-3</v>
      </c>
      <c r="AI30" s="694">
        <f>0.36*N30</f>
        <v>8.0950524052809635E-3</v>
      </c>
      <c r="AJ30" s="694">
        <v>1.025906396722308E-3</v>
      </c>
      <c r="AK30" s="694">
        <v>7.7600177703384971E-4</v>
      </c>
      <c r="AL30" s="694">
        <v>6.1079833876457451E-4</v>
      </c>
      <c r="AM30" s="684">
        <f t="shared" si="1"/>
        <v>0.11329865177244793</v>
      </c>
    </row>
    <row r="31" spans="1:39" s="690" customFormat="1" x14ac:dyDescent="0.2">
      <c r="A31" s="552" t="s">
        <v>1323</v>
      </c>
      <c r="B31" s="552" t="s">
        <v>1318</v>
      </c>
      <c r="C31" s="694">
        <v>8.6948571633156053</v>
      </c>
      <c r="D31" s="720">
        <v>2.953123348159342</v>
      </c>
      <c r="E31" s="720">
        <v>0.84872357047795977</v>
      </c>
      <c r="F31" s="720">
        <v>0.18147452028835867</v>
      </c>
      <c r="G31" s="720">
        <v>8.8994620270462683E-3</v>
      </c>
      <c r="H31" s="720">
        <v>6.3656685415657242E-3</v>
      </c>
      <c r="I31" s="720">
        <v>0.58560117340942741</v>
      </c>
      <c r="J31" s="694">
        <v>0.23693752655349862</v>
      </c>
      <c r="K31" s="720">
        <v>9.0038539209407922E-2</v>
      </c>
      <c r="L31" s="732">
        <v>0.51413741385880529</v>
      </c>
      <c r="M31" s="694">
        <v>0.1754768967703467</v>
      </c>
      <c r="N31" s="694">
        <v>3.2979612662695022E-2</v>
      </c>
      <c r="O31" s="694">
        <v>3.0564097246682267</v>
      </c>
      <c r="P31" s="694">
        <v>1.6904861391799717</v>
      </c>
      <c r="Q31" s="694">
        <v>0.64493343186179974</v>
      </c>
      <c r="R31" s="694">
        <v>2.6696565647397028E-3</v>
      </c>
      <c r="S31" s="694">
        <v>2.7006231216641753E-3</v>
      </c>
      <c r="T31" s="694">
        <v>2.2291950911777418E-3</v>
      </c>
      <c r="U31" s="694">
        <v>2.3657327709141426E-3</v>
      </c>
      <c r="V31" s="694">
        <v>2.1480594011873814E-3</v>
      </c>
      <c r="W31" s="694">
        <v>2.1480538029748958E-3</v>
      </c>
      <c r="X31" s="694">
        <v>1.0251156560554995</v>
      </c>
      <c r="Y31" s="694">
        <v>0.4497372995528181</v>
      </c>
      <c r="Z31" s="694">
        <v>0.13084224844434558</v>
      </c>
      <c r="AA31" s="694">
        <v>0.78346911463069102</v>
      </c>
      <c r="AB31" s="694">
        <v>0.41511524346093354</v>
      </c>
      <c r="AC31" s="694">
        <v>0.12956176109175357</v>
      </c>
      <c r="AD31" s="694">
        <v>0.23689378300682096</v>
      </c>
      <c r="AE31" s="694">
        <v>7.3862345075689867E-2</v>
      </c>
      <c r="AF31" s="694">
        <v>1.1372905389217527E-3</v>
      </c>
      <c r="AG31" s="720">
        <f>0.21*L31</f>
        <v>0.1079688569103491</v>
      </c>
      <c r="AH31" s="720">
        <f>0.21*M31</f>
        <v>3.6850148321772802E-2</v>
      </c>
      <c r="AI31" s="720">
        <f>0.21*N31</f>
        <v>6.9257186591659544E-3</v>
      </c>
      <c r="AJ31" s="694">
        <v>0.22979262093605626</v>
      </c>
      <c r="AK31" s="694">
        <v>7.1648184496424572E-2</v>
      </c>
      <c r="AL31" s="694">
        <v>1.1032017338635505E-3</v>
      </c>
      <c r="AM31" s="684">
        <f t="shared" si="1"/>
        <v>2.1283231805154919</v>
      </c>
    </row>
    <row r="32" spans="1:39" s="690" customFormat="1" x14ac:dyDescent="0.2">
      <c r="A32" s="552" t="s">
        <v>1323</v>
      </c>
      <c r="B32" s="552" t="s">
        <v>501</v>
      </c>
      <c r="C32" s="694">
        <v>5.6516571561551432</v>
      </c>
      <c r="D32" s="720">
        <v>2.1178973902764597</v>
      </c>
      <c r="E32" s="720">
        <v>0.84872357047795977</v>
      </c>
      <c r="F32" s="720">
        <v>0.13911010410884753</v>
      </c>
      <c r="G32" s="720">
        <v>6.8219223675476948E-3</v>
      </c>
      <c r="H32" s="720">
        <v>4.8796316537028971E-3</v>
      </c>
      <c r="I32" s="720">
        <v>0.1325330049861039</v>
      </c>
      <c r="J32" s="694">
        <v>0.10232818278042285</v>
      </c>
      <c r="K32" s="720">
        <v>9.0038539209407922E-2</v>
      </c>
      <c r="L32" s="732">
        <v>7.458690040286374E-2</v>
      </c>
      <c r="M32" s="694">
        <v>4.4900979734569059E-2</v>
      </c>
      <c r="N32" s="694">
        <v>3.2979612662695022E-2</v>
      </c>
      <c r="O32" s="694">
        <v>0.34341682299642989</v>
      </c>
      <c r="P32" s="694">
        <v>0.36976279150102304</v>
      </c>
      <c r="Q32" s="694">
        <v>0.52112999378475255</v>
      </c>
      <c r="R32" s="694">
        <v>2.6696565647397028E-3</v>
      </c>
      <c r="S32" s="694">
        <v>2.7006231216641753E-3</v>
      </c>
      <c r="T32" s="694">
        <v>2.2291950911777418E-3</v>
      </c>
      <c r="U32" s="694">
        <v>0.13284499682939663</v>
      </c>
      <c r="V32" s="694">
        <v>4.9537588475923718E-2</v>
      </c>
      <c r="W32" s="694">
        <v>2.1480540810192646E-3</v>
      </c>
      <c r="X32" s="694">
        <v>1.0251156560554995</v>
      </c>
      <c r="Y32" s="694">
        <v>0.4497372995528181</v>
      </c>
      <c r="Z32" s="694">
        <v>0.13084224844434558</v>
      </c>
      <c r="AA32" s="694">
        <v>0.99299000586906361</v>
      </c>
      <c r="AB32" s="694">
        <v>0.50870028119707911</v>
      </c>
      <c r="AC32" s="694">
        <v>0.12956176109175357</v>
      </c>
      <c r="AD32" s="694">
        <v>2.6350810123116897E-2</v>
      </c>
      <c r="AE32" s="694">
        <v>8.8850712608733902E-3</v>
      </c>
      <c r="AF32" s="694">
        <v>1.1372905389217527E-3</v>
      </c>
      <c r="AG32" s="694">
        <f t="shared" ref="AG32:AI33" si="6">0.1*L32</f>
        <v>7.4586900402863745E-3</v>
      </c>
      <c r="AH32" s="694">
        <f t="shared" si="6"/>
        <v>4.4900979734569064E-3</v>
      </c>
      <c r="AI32" s="694">
        <f t="shared" si="6"/>
        <v>3.2979612662695024E-3</v>
      </c>
      <c r="AJ32" s="694">
        <v>2.5560914453398916E-2</v>
      </c>
      <c r="AK32" s="694">
        <v>8.6187277003875098E-3</v>
      </c>
      <c r="AL32" s="694">
        <v>1.1032017338635505E-3</v>
      </c>
      <c r="AM32" s="684">
        <f t="shared" si="1"/>
        <v>3.4269978126638323</v>
      </c>
    </row>
    <row r="33" spans="1:39" s="690" customFormat="1" x14ac:dyDescent="0.2">
      <c r="A33" s="552" t="s">
        <v>1323</v>
      </c>
      <c r="B33" s="552" t="s">
        <v>504</v>
      </c>
      <c r="C33" s="694">
        <v>3.4779428653262427</v>
      </c>
      <c r="D33" s="720">
        <v>1.5213074203601149</v>
      </c>
      <c r="E33" s="720">
        <v>0.84872357047795977</v>
      </c>
      <c r="F33" s="720">
        <v>0</v>
      </c>
      <c r="G33" s="720">
        <v>0</v>
      </c>
      <c r="H33" s="720">
        <v>0</v>
      </c>
      <c r="I33" s="720">
        <v>7.5828603431244923E-2</v>
      </c>
      <c r="J33" s="694">
        <v>7.6360287471405039E-2</v>
      </c>
      <c r="K33" s="720">
        <v>7.6360218336942634E-2</v>
      </c>
      <c r="L33" s="732">
        <v>1.9574320495987469E-2</v>
      </c>
      <c r="M33" s="694">
        <v>1.9711179321588716E-2</v>
      </c>
      <c r="N33" s="694">
        <v>1.9711165327869411E-2</v>
      </c>
      <c r="O33" s="694">
        <v>0.34341682299642989</v>
      </c>
      <c r="P33" s="694">
        <v>0.36976279150102304</v>
      </c>
      <c r="Q33" s="694">
        <v>0.52112999378475255</v>
      </c>
      <c r="R33" s="694">
        <v>2.6696565647397028E-3</v>
      </c>
      <c r="S33" s="694">
        <v>2.7006231216641753E-3</v>
      </c>
      <c r="T33" s="694">
        <v>2.2291950911777418E-3</v>
      </c>
      <c r="U33" s="694">
        <v>1.3284499682939663E-2</v>
      </c>
      <c r="V33" s="694">
        <v>6.1137105900251959E-3</v>
      </c>
      <c r="W33" s="694">
        <v>2.1480540810192646E-3</v>
      </c>
      <c r="X33" s="694">
        <v>1.8195802723483874</v>
      </c>
      <c r="Y33" s="694">
        <v>0.73360081246416065</v>
      </c>
      <c r="Z33" s="694">
        <v>0.13084224844434558</v>
      </c>
      <c r="AA33" s="694">
        <v>0.19859800117381268</v>
      </c>
      <c r="AB33" s="694">
        <v>0.15387549357188299</v>
      </c>
      <c r="AC33" s="694">
        <v>0.12956176109175357</v>
      </c>
      <c r="AD33" s="694">
        <v>0</v>
      </c>
      <c r="AE33" s="694">
        <v>0</v>
      </c>
      <c r="AF33" s="694">
        <v>0</v>
      </c>
      <c r="AG33" s="694">
        <f t="shared" si="6"/>
        <v>1.9574320495987468E-3</v>
      </c>
      <c r="AH33" s="694">
        <f t="shared" si="6"/>
        <v>1.9711179321588719E-3</v>
      </c>
      <c r="AI33" s="694">
        <f t="shared" si="6"/>
        <v>1.9711165327869411E-3</v>
      </c>
      <c r="AJ33" s="694">
        <v>0</v>
      </c>
      <c r="AK33" s="694">
        <v>0</v>
      </c>
      <c r="AL33" s="694">
        <v>0</v>
      </c>
      <c r="AM33" s="684">
        <f t="shared" si="1"/>
        <v>0</v>
      </c>
    </row>
    <row r="34" spans="1:39" s="690" customFormat="1" x14ac:dyDescent="0.2">
      <c r="A34" s="552" t="s">
        <v>1323</v>
      </c>
      <c r="B34" s="552" t="s">
        <v>509</v>
      </c>
      <c r="C34" s="694">
        <v>3.2625830347404712</v>
      </c>
      <c r="D34" s="720">
        <v>2.7586398867898176</v>
      </c>
      <c r="E34" s="720">
        <v>2.7916058620748743</v>
      </c>
      <c r="F34" s="720">
        <v>1.4686576059443476E-2</v>
      </c>
      <c r="G34" s="720">
        <v>4.271033741964329E-3</v>
      </c>
      <c r="H34" s="720">
        <v>3.8810367453743048E-3</v>
      </c>
      <c r="I34" s="720">
        <v>6.8996849004222052E-2</v>
      </c>
      <c r="J34" s="720">
        <v>6.9418890123087509E-2</v>
      </c>
      <c r="K34" s="720">
        <v>6.9818554566400071E-2</v>
      </c>
      <c r="L34" s="732">
        <v>2.209339767101598E-2</v>
      </c>
      <c r="M34" s="694">
        <v>2.2215146823988612E-2</v>
      </c>
      <c r="N34" s="694">
        <v>2.2486256681336012E-2</v>
      </c>
      <c r="O34" s="694">
        <v>30.106119600364867</v>
      </c>
      <c r="P34" s="694">
        <v>22.645641175687938</v>
      </c>
      <c r="Q34" s="694">
        <v>20.424892261493593</v>
      </c>
      <c r="R34" s="694">
        <v>4.3937414658450608E-2</v>
      </c>
      <c r="S34" s="694">
        <v>2.6935157570369829E-2</v>
      </c>
      <c r="T34" s="694">
        <v>5.4889770428495884E-3</v>
      </c>
      <c r="U34" s="694">
        <v>0.14110371376440864</v>
      </c>
      <c r="V34" s="694">
        <v>2.741413985669288E-2</v>
      </c>
      <c r="W34" s="694">
        <v>1.5279613971773166E-2</v>
      </c>
      <c r="X34" s="694">
        <v>1.5969320530165232</v>
      </c>
      <c r="Y34" s="694">
        <v>0.90479307937505771</v>
      </c>
      <c r="Z34" s="694">
        <v>0.80155567663861393</v>
      </c>
      <c r="AA34" s="694">
        <v>1.6311638708083016</v>
      </c>
      <c r="AB34" s="694">
        <v>0.80531642695666505</v>
      </c>
      <c r="AC34" s="694">
        <v>0.79191744049936341</v>
      </c>
      <c r="AD34" s="694">
        <v>7.3532974479475143E-4</v>
      </c>
      <c r="AE34" s="694">
        <v>7.0984758291795988E-4</v>
      </c>
      <c r="AF34" s="694">
        <v>6.6332587029518041E-4</v>
      </c>
      <c r="AG34" s="694">
        <f>0.36*L34</f>
        <v>7.953623161565752E-3</v>
      </c>
      <c r="AH34" s="694">
        <f>0.36*M34</f>
        <v>7.9974528566358997E-3</v>
      </c>
      <c r="AI34" s="694">
        <f>0.36*N34</f>
        <v>8.0950524052809635E-3</v>
      </c>
      <c r="AJ34" s="694">
        <v>6.7709822183672325E-4</v>
      </c>
      <c r="AK34" s="694">
        <v>6.5363362322417087E-4</v>
      </c>
      <c r="AL34" s="694">
        <v>6.1079833876457451E-4</v>
      </c>
      <c r="AM34" s="684">
        <f t="shared" si="1"/>
        <v>8.5130789840366233E-2</v>
      </c>
    </row>
    <row r="35" spans="1:39" s="690" customFormat="1" x14ac:dyDescent="0.2">
      <c r="A35" s="552" t="s">
        <v>1324</v>
      </c>
      <c r="B35" s="552" t="s">
        <v>922</v>
      </c>
      <c r="C35" s="694">
        <v>20.050587493832023</v>
      </c>
      <c r="D35" s="720">
        <v>5.0204996416966692</v>
      </c>
      <c r="E35" s="720">
        <v>1.4476469598286792</v>
      </c>
      <c r="F35" s="720">
        <v>0.4573145136331187</v>
      </c>
      <c r="G35" s="720">
        <v>2.0348519630241972E-2</v>
      </c>
      <c r="H35" s="720">
        <v>1.334666951844047E-2</v>
      </c>
      <c r="I35" s="720">
        <v>1.0492174092660356</v>
      </c>
      <c r="J35" s="720">
        <v>0.38630085997251995</v>
      </c>
      <c r="K35" s="720">
        <v>9.6606517388985944E-2</v>
      </c>
      <c r="L35" s="732">
        <v>0.96650870889207885</v>
      </c>
      <c r="M35" s="694">
        <v>0.32447193896229926</v>
      </c>
      <c r="N35" s="694">
        <v>4.3458458042759579E-2</v>
      </c>
      <c r="O35" s="694">
        <v>4.6188148257548418</v>
      </c>
      <c r="P35" s="694">
        <v>1.4211053221791872</v>
      </c>
      <c r="Q35" s="694">
        <v>0.3954129060800356</v>
      </c>
      <c r="R35" s="694">
        <v>2.0315639165266728E-3</v>
      </c>
      <c r="S35" s="694">
        <v>2.0432931333626788E-3</v>
      </c>
      <c r="T35" s="694">
        <v>1.721135451454057E-3</v>
      </c>
      <c r="U35" s="694">
        <v>1.9576898793656613E-3</v>
      </c>
      <c r="V35" s="694">
        <v>1.7775696113376759E-3</v>
      </c>
      <c r="W35" s="694">
        <v>1.7775753074524593E-3</v>
      </c>
      <c r="X35" s="694">
        <v>0.83003831942733852</v>
      </c>
      <c r="Y35" s="694">
        <v>0.38384727643738664</v>
      </c>
      <c r="Z35" s="694">
        <v>0.1388800325883375</v>
      </c>
      <c r="AA35" s="694">
        <v>0.80596106679522084</v>
      </c>
      <c r="AB35" s="694">
        <v>0.43108160438107057</v>
      </c>
      <c r="AC35" s="694">
        <v>0.13862804900570658</v>
      </c>
      <c r="AD35" s="694">
        <v>0.79522480708569987</v>
      </c>
      <c r="AE35" s="694">
        <v>0.24719687376286056</v>
      </c>
      <c r="AF35" s="694">
        <v>2.1690847708206802E-3</v>
      </c>
      <c r="AG35" s="720">
        <f t="shared" ref="AG35:AI36" si="7">0.21*L35</f>
        <v>0.20296682886733655</v>
      </c>
      <c r="AH35" s="720">
        <f t="shared" si="7"/>
        <v>6.8139107182082839E-2</v>
      </c>
      <c r="AI35" s="720">
        <f t="shared" si="7"/>
        <v>9.1262761889795117E-3</v>
      </c>
      <c r="AJ35" s="694">
        <v>0.77138932984109143</v>
      </c>
      <c r="AK35" s="694">
        <v>0.2397878736219185</v>
      </c>
      <c r="AL35" s="694">
        <v>2.1040685283064378E-3</v>
      </c>
      <c r="AM35" s="684">
        <f t="shared" si="1"/>
        <v>3.8005684679898506</v>
      </c>
    </row>
    <row r="36" spans="1:39" s="690" customFormat="1" x14ac:dyDescent="0.2">
      <c r="A36" s="552" t="s">
        <v>1324</v>
      </c>
      <c r="B36" s="552" t="s">
        <v>1318</v>
      </c>
      <c r="C36" s="694">
        <v>20.050587493832023</v>
      </c>
      <c r="D36" s="720">
        <v>5.0204996416966692</v>
      </c>
      <c r="E36" s="720">
        <v>1.4476469598286792</v>
      </c>
      <c r="F36" s="720">
        <v>0.37155477893082173</v>
      </c>
      <c r="G36" s="720">
        <v>1.8198680154360134E-2</v>
      </c>
      <c r="H36" s="720">
        <v>1.2932825206236613E-2</v>
      </c>
      <c r="I36" s="720">
        <v>0.9505272836189832</v>
      </c>
      <c r="J36" s="720">
        <v>0.35617119275635978</v>
      </c>
      <c r="K36" s="720">
        <v>9.6606517388985944E-2</v>
      </c>
      <c r="L36" s="732">
        <v>0.87076048199657929</v>
      </c>
      <c r="M36" s="694">
        <v>0.2952451280538691</v>
      </c>
      <c r="N36" s="694">
        <v>4.3458458042759579E-2</v>
      </c>
      <c r="O36" s="694">
        <v>4.1107451949218108</v>
      </c>
      <c r="P36" s="694">
        <v>1.2930564439623251</v>
      </c>
      <c r="Q36" s="694">
        <v>0.3954129060800356</v>
      </c>
      <c r="R36" s="694">
        <v>2.0315639165266728E-3</v>
      </c>
      <c r="S36" s="694">
        <v>2.0432931333626788E-3</v>
      </c>
      <c r="T36" s="694">
        <v>1.721135451454057E-3</v>
      </c>
      <c r="U36" s="694">
        <v>1.9576898793656613E-3</v>
      </c>
      <c r="V36" s="694">
        <v>1.7775690391840491E-3</v>
      </c>
      <c r="W36" s="694">
        <v>1.7775645626906084E-3</v>
      </c>
      <c r="X36" s="694">
        <v>0.83003831942733852</v>
      </c>
      <c r="Y36" s="694">
        <v>0.38384727643738664</v>
      </c>
      <c r="Z36" s="694">
        <v>0.1388800325883375</v>
      </c>
      <c r="AA36" s="694">
        <v>0.63590328170142918</v>
      </c>
      <c r="AB36" s="694">
        <v>0.35478527452809172</v>
      </c>
      <c r="AC36" s="694">
        <v>0.13862804900570658</v>
      </c>
      <c r="AD36" s="694">
        <v>0.71490710157004422</v>
      </c>
      <c r="AE36" s="694">
        <v>0.2223757488420664</v>
      </c>
      <c r="AF36" s="694">
        <v>2.1690847708206802E-3</v>
      </c>
      <c r="AG36" s="720">
        <f t="shared" si="7"/>
        <v>0.18285970121928163</v>
      </c>
      <c r="AH36" s="720">
        <f t="shared" si="7"/>
        <v>6.200147689131251E-2</v>
      </c>
      <c r="AI36" s="720">
        <f t="shared" si="7"/>
        <v>9.1262761889795117E-3</v>
      </c>
      <c r="AJ36" s="694">
        <v>0.6934790075271412</v>
      </c>
      <c r="AK36" s="694">
        <v>0.21571068889556769</v>
      </c>
      <c r="AL36" s="694">
        <v>2.1040685283064378E-3</v>
      </c>
      <c r="AM36" s="684">
        <f t="shared" si="1"/>
        <v>3.7924102626391982</v>
      </c>
    </row>
    <row r="37" spans="1:39" s="690" customFormat="1" x14ac:dyDescent="0.2">
      <c r="A37" s="552" t="s">
        <v>1324</v>
      </c>
      <c r="B37" s="552" t="s">
        <v>501</v>
      </c>
      <c r="C37" s="694">
        <v>13.032881870990813</v>
      </c>
      <c r="D37" s="720">
        <v>3.598713136051245</v>
      </c>
      <c r="E37" s="720">
        <v>1.4476469598286792</v>
      </c>
      <c r="F37" s="720">
        <v>0.28481697539179057</v>
      </c>
      <c r="G37" s="720">
        <v>1.3950279559323106E-2</v>
      </c>
      <c r="H37" s="720">
        <v>9.9137149281474744E-3</v>
      </c>
      <c r="I37" s="720">
        <v>0.1698004480546785</v>
      </c>
      <c r="J37" s="720">
        <v>0.11781867685822141</v>
      </c>
      <c r="K37" s="720">
        <v>9.6606517388985944E-2</v>
      </c>
      <c r="L37" s="732">
        <v>0.11330668705099357</v>
      </c>
      <c r="M37" s="694">
        <v>6.403501007529791E-2</v>
      </c>
      <c r="N37" s="694">
        <v>4.3458458042759579E-2</v>
      </c>
      <c r="O37" s="694">
        <v>0.46188148257548406</v>
      </c>
      <c r="P37" s="694">
        <v>0.30039803132652415</v>
      </c>
      <c r="Q37" s="694">
        <v>0.36104701654010096</v>
      </c>
      <c r="R37" s="694">
        <v>2.0315639165266728E-3</v>
      </c>
      <c r="S37" s="694">
        <v>2.0432931333626788E-3</v>
      </c>
      <c r="T37" s="694">
        <v>1.721135451454057E-3</v>
      </c>
      <c r="U37" s="694">
        <v>0.10993181859537747</v>
      </c>
      <c r="V37" s="694">
        <v>4.0993494728835615E-2</v>
      </c>
      <c r="W37" s="694">
        <v>1.777565638726583E-3</v>
      </c>
      <c r="X37" s="694">
        <v>0.83003831942733852</v>
      </c>
      <c r="Y37" s="694">
        <v>0.38384727643738664</v>
      </c>
      <c r="Z37" s="694">
        <v>0.1388800325883375</v>
      </c>
      <c r="AA37" s="694">
        <v>0.80596106679522084</v>
      </c>
      <c r="AB37" s="694">
        <v>0.43108160438107057</v>
      </c>
      <c r="AC37" s="694">
        <v>0.13862804900570658</v>
      </c>
      <c r="AD37" s="694">
        <v>7.9522480708569973E-2</v>
      </c>
      <c r="AE37" s="694">
        <v>2.6018532884496137E-2</v>
      </c>
      <c r="AF37" s="694">
        <v>2.1690847708206802E-3</v>
      </c>
      <c r="AG37" s="694">
        <f t="shared" ref="AG37:AI38" si="8">0.1*L37</f>
        <v>1.1330668705099358E-2</v>
      </c>
      <c r="AH37" s="694">
        <f t="shared" si="8"/>
        <v>6.4035010075297917E-3</v>
      </c>
      <c r="AI37" s="694">
        <f t="shared" si="8"/>
        <v>4.3458458042759584E-3</v>
      </c>
      <c r="AJ37" s="694">
        <v>7.7138932984109135E-2</v>
      </c>
      <c r="AK37" s="694">
        <v>2.5238702793049315E-2</v>
      </c>
      <c r="AL37" s="694">
        <v>2.1040685283064378E-3</v>
      </c>
      <c r="AM37" s="684">
        <f t="shared" si="1"/>
        <v>6.8079770922428278</v>
      </c>
    </row>
    <row r="38" spans="1:39" s="690" customFormat="1" x14ac:dyDescent="0.2">
      <c r="A38" s="552" t="s">
        <v>1324</v>
      </c>
      <c r="B38" s="552" t="s">
        <v>504</v>
      </c>
      <c r="C38" s="694">
        <v>8.0202349975328087</v>
      </c>
      <c r="D38" s="720">
        <v>2.5831513463045126</v>
      </c>
      <c r="E38" s="720">
        <v>1.4476469598286792</v>
      </c>
      <c r="F38" s="720">
        <v>0</v>
      </c>
      <c r="G38" s="720">
        <v>0</v>
      </c>
      <c r="H38" s="720">
        <v>0</v>
      </c>
      <c r="I38" s="720">
        <v>7.2087452364527752E-2</v>
      </c>
      <c r="J38" s="720">
        <v>7.045164952785643E-2</v>
      </c>
      <c r="K38" s="720">
        <v>7.0451693323048195E-2</v>
      </c>
      <c r="L38" s="732">
        <v>1.8506462401984131E-2</v>
      </c>
      <c r="M38" s="694">
        <v>1.8087330193072956E-2</v>
      </c>
      <c r="N38" s="694">
        <v>1.8087358847925394E-2</v>
      </c>
      <c r="O38" s="694">
        <v>0.46188148257548406</v>
      </c>
      <c r="P38" s="694">
        <v>0.30039803132652415</v>
      </c>
      <c r="Q38" s="694">
        <v>0.36104701654010096</v>
      </c>
      <c r="R38" s="694">
        <v>2.0315639165266728E-3</v>
      </c>
      <c r="S38" s="694">
        <v>2.0432931333626788E-3</v>
      </c>
      <c r="T38" s="694">
        <v>1.721135451454057E-3</v>
      </c>
      <c r="U38" s="694">
        <v>1.0993181859537746E-2</v>
      </c>
      <c r="V38" s="694">
        <v>5.0592369987739428E-3</v>
      </c>
      <c r="W38" s="694">
        <v>1.777565638726583E-3</v>
      </c>
      <c r="X38" s="694">
        <v>1.4733180030970339</v>
      </c>
      <c r="Y38" s="694">
        <v>0.61465564937190664</v>
      </c>
      <c r="Z38" s="694">
        <v>0.1388800325883375</v>
      </c>
      <c r="AA38" s="694">
        <v>0.16119221335904413</v>
      </c>
      <c r="AB38" s="694">
        <v>0.14179257541922194</v>
      </c>
      <c r="AC38" s="694">
        <v>0.13862804900570658</v>
      </c>
      <c r="AD38" s="694">
        <v>0</v>
      </c>
      <c r="AE38" s="694">
        <v>0</v>
      </c>
      <c r="AF38" s="694">
        <v>0</v>
      </c>
      <c r="AG38" s="694">
        <f t="shared" si="8"/>
        <v>1.8506462401984133E-3</v>
      </c>
      <c r="AH38" s="694">
        <f t="shared" si="8"/>
        <v>1.8087330193072956E-3</v>
      </c>
      <c r="AI38" s="694">
        <f t="shared" si="8"/>
        <v>1.8087358847925395E-3</v>
      </c>
      <c r="AJ38" s="694">
        <v>0</v>
      </c>
      <c r="AK38" s="694">
        <v>0</v>
      </c>
      <c r="AL38" s="694">
        <v>0</v>
      </c>
      <c r="AM38" s="684">
        <f t="shared" si="1"/>
        <v>0</v>
      </c>
    </row>
    <row r="39" spans="1:39" s="690" customFormat="1" x14ac:dyDescent="0.2">
      <c r="A39" s="552" t="s">
        <v>1325</v>
      </c>
      <c r="B39" s="552" t="s">
        <v>922</v>
      </c>
      <c r="C39" s="694">
        <v>24.527246100024183</v>
      </c>
      <c r="D39" s="720">
        <v>8.4379662858229221</v>
      </c>
      <c r="E39" s="720">
        <v>4.6015934314000333</v>
      </c>
      <c r="F39" s="720">
        <v>0.50594745615991388</v>
      </c>
      <c r="G39" s="720">
        <v>2.2488105062987561E-2</v>
      </c>
      <c r="H39" s="720">
        <v>1.4750172417601003E-2</v>
      </c>
      <c r="I39" s="720">
        <v>1.1942611749013932</v>
      </c>
      <c r="J39" s="720">
        <v>0.45755398622307875</v>
      </c>
      <c r="K39" s="720">
        <v>0.11180534480343195</v>
      </c>
      <c r="L39" s="732">
        <v>1.103490174911413</v>
      </c>
      <c r="M39" s="694">
        <v>0.38881952778189721</v>
      </c>
      <c r="N39" s="694">
        <v>5.3430332189753814E-2</v>
      </c>
      <c r="O39" s="694">
        <v>6.1609833715283555</v>
      </c>
      <c r="P39" s="694">
        <v>2.6145120602562608</v>
      </c>
      <c r="Q39" s="694">
        <v>1.6167959181858123</v>
      </c>
      <c r="R39" s="694">
        <v>1.9994773121915057E-3</v>
      </c>
      <c r="S39" s="694">
        <v>2.0111025818997795E-3</v>
      </c>
      <c r="T39" s="694">
        <v>1.7025137228281809E-3</v>
      </c>
      <c r="U39" s="694">
        <v>1.9576923325123614E-3</v>
      </c>
      <c r="V39" s="694">
        <v>1.7775687590790728E-3</v>
      </c>
      <c r="W39" s="694">
        <v>1.7775718753715716E-3</v>
      </c>
      <c r="X39" s="694">
        <v>1.6168168791761648</v>
      </c>
      <c r="Y39" s="694">
        <v>1.1462952828048887</v>
      </c>
      <c r="Z39" s="694">
        <v>0.88572158808886969</v>
      </c>
      <c r="AA39" s="694">
        <v>1.5656263987378713</v>
      </c>
      <c r="AB39" s="694">
        <v>1.1715671629304851</v>
      </c>
      <c r="AC39" s="694">
        <v>0.85982708755757198</v>
      </c>
      <c r="AD39" s="694">
        <v>0.8951277126336471</v>
      </c>
      <c r="AE39" s="694">
        <v>0.28940684402874917</v>
      </c>
      <c r="AF39" s="694">
        <v>2.8934351107818665E-3</v>
      </c>
      <c r="AG39" s="720">
        <f t="shared" ref="AG39:AI40" si="9">0.21*L39</f>
        <v>0.23173293673139672</v>
      </c>
      <c r="AH39" s="720">
        <f t="shared" si="9"/>
        <v>8.165210083419841E-2</v>
      </c>
      <c r="AI39" s="720">
        <f t="shared" si="9"/>
        <v>1.12203697598483E-2</v>
      </c>
      <c r="AJ39" s="694">
        <v>0.8682972677212778</v>
      </c>
      <c r="AK39" s="694">
        <v>0.28073254639931944</v>
      </c>
      <c r="AL39" s="694">
        <v>2.8067068593828192E-3</v>
      </c>
      <c r="AM39" s="684">
        <f t="shared" si="1"/>
        <v>3.7469739087099527</v>
      </c>
    </row>
    <row r="40" spans="1:39" x14ac:dyDescent="0.2">
      <c r="A40" s="552" t="s">
        <v>1325</v>
      </c>
      <c r="B40" s="552" t="s">
        <v>1318</v>
      </c>
      <c r="C40" s="694">
        <v>24.527246100024183</v>
      </c>
      <c r="D40" s="720">
        <v>8.4379662858229221</v>
      </c>
      <c r="E40" s="720">
        <v>4.6015934314000333</v>
      </c>
      <c r="F40" s="720">
        <v>0.41106763424289977</v>
      </c>
      <c r="G40" s="720">
        <v>2.0111258224661421E-2</v>
      </c>
      <c r="H40" s="720">
        <v>1.4286299972283568E-2</v>
      </c>
      <c r="I40" s="720">
        <v>1.0814496629564456</v>
      </c>
      <c r="J40" s="720">
        <v>0.42144557536637439</v>
      </c>
      <c r="K40" s="720">
        <v>0.11180534480343195</v>
      </c>
      <c r="L40" s="731">
        <v>0.99404214546062608</v>
      </c>
      <c r="M40" s="720">
        <v>0.35379303860125977</v>
      </c>
      <c r="N40" s="720">
        <v>5.3430332189753814E-2</v>
      </c>
      <c r="O40" s="720">
        <v>5.483275200660235</v>
      </c>
      <c r="P40" s="720">
        <v>2.4357573596493833</v>
      </c>
      <c r="Q40" s="720">
        <v>1.6167959181858123</v>
      </c>
      <c r="R40" s="720">
        <v>1.9994773121915057E-3</v>
      </c>
      <c r="S40" s="720">
        <v>2.0111025818997795E-3</v>
      </c>
      <c r="T40" s="720">
        <v>1.7025137228281809E-3</v>
      </c>
      <c r="U40" s="720">
        <v>1.9576923325123614E-3</v>
      </c>
      <c r="V40" s="720">
        <v>1.7775687590790728E-3</v>
      </c>
      <c r="W40" s="720">
        <v>1.777557711737196E-3</v>
      </c>
      <c r="X40" s="720">
        <v>1.6168168791761648</v>
      </c>
      <c r="Y40" s="720">
        <v>1.1462952828048887</v>
      </c>
      <c r="Z40" s="720">
        <v>0.88572158808886969</v>
      </c>
      <c r="AA40" s="720">
        <v>1.2352792286041805</v>
      </c>
      <c r="AB40" s="720">
        <v>1.0151686031321909</v>
      </c>
      <c r="AC40" s="720">
        <v>0.85982708755757198</v>
      </c>
      <c r="AD40" s="720">
        <v>0.80471981365764866</v>
      </c>
      <c r="AE40" s="720">
        <v>0.26036852808143746</v>
      </c>
      <c r="AF40" s="720">
        <v>2.8934351107818665E-3</v>
      </c>
      <c r="AG40" s="720">
        <f t="shared" si="9"/>
        <v>0.20874885054673148</v>
      </c>
      <c r="AH40" s="720">
        <f t="shared" si="9"/>
        <v>7.4296538106264548E-2</v>
      </c>
      <c r="AI40" s="720">
        <f t="shared" si="9"/>
        <v>1.12203697598483E-2</v>
      </c>
      <c r="AJ40" s="720">
        <v>0.78059924368142874</v>
      </c>
      <c r="AK40" s="720">
        <v>0.25256458666309306</v>
      </c>
      <c r="AL40" s="720">
        <v>2.8067068593828192E-3</v>
      </c>
      <c r="AM40" s="684">
        <f t="shared" si="1"/>
        <v>3.7394181651155018</v>
      </c>
    </row>
    <row r="41" spans="1:39" x14ac:dyDescent="0.2">
      <c r="A41" s="552" t="s">
        <v>1325</v>
      </c>
      <c r="B41" s="552" t="s">
        <v>501</v>
      </c>
      <c r="C41" s="694">
        <v>15.942709965015716</v>
      </c>
      <c r="D41" s="720">
        <v>6.4832730684444098</v>
      </c>
      <c r="E41" s="720">
        <v>4.6015934314000333</v>
      </c>
      <c r="F41" s="720">
        <v>0.31510573112106305</v>
      </c>
      <c r="G41" s="720">
        <v>1.5416374821915064E-2</v>
      </c>
      <c r="H41" s="720">
        <v>1.095122705554869E-2</v>
      </c>
      <c r="I41" s="720">
        <v>0.18901007836225869</v>
      </c>
      <c r="J41" s="720">
        <v>0.13579586967818855</v>
      </c>
      <c r="K41" s="720">
        <v>0.11180534480343195</v>
      </c>
      <c r="L41" s="731">
        <v>0.12821070455786887</v>
      </c>
      <c r="M41" s="720">
        <v>7.6702297459385158E-2</v>
      </c>
      <c r="N41" s="720">
        <v>5.3430332189753814E-2</v>
      </c>
      <c r="O41" s="720">
        <v>0.61609833715283535</v>
      </c>
      <c r="P41" s="720">
        <v>0.40902855320703979</v>
      </c>
      <c r="Q41" s="720">
        <v>0.44375701776078175</v>
      </c>
      <c r="R41" s="720">
        <v>1.9994773121915057E-3</v>
      </c>
      <c r="S41" s="720">
        <v>2.0111025818997795E-3</v>
      </c>
      <c r="T41" s="720">
        <v>1.7025137228281809E-3</v>
      </c>
      <c r="U41" s="720">
        <v>0.10993195634900273</v>
      </c>
      <c r="V41" s="720">
        <v>4.0993512176559707E-2</v>
      </c>
      <c r="W41" s="720">
        <v>1.777557711737196E-3</v>
      </c>
      <c r="X41" s="720">
        <v>1.6168168791761648</v>
      </c>
      <c r="Y41" s="720">
        <v>1.1462952828048887</v>
      </c>
      <c r="Z41" s="720">
        <v>0.88572158808886969</v>
      </c>
      <c r="AA41" s="720">
        <v>1.5656263987378713</v>
      </c>
      <c r="AB41" s="720">
        <v>1.1715671629304851</v>
      </c>
      <c r="AC41" s="720">
        <v>0.85982708755757198</v>
      </c>
      <c r="AD41" s="720">
        <v>8.9512771263364668E-2</v>
      </c>
      <c r="AE41" s="720">
        <v>3.0649573211120145E-2</v>
      </c>
      <c r="AF41" s="720">
        <v>2.8934351107818665E-3</v>
      </c>
      <c r="AG41" s="694">
        <f t="shared" ref="AG41:AI42" si="10">0.1*L41</f>
        <v>1.2821070455786888E-2</v>
      </c>
      <c r="AH41" s="694">
        <f t="shared" si="10"/>
        <v>7.6702297459385164E-3</v>
      </c>
      <c r="AI41" s="694">
        <f t="shared" si="10"/>
        <v>5.3430332189753817E-3</v>
      </c>
      <c r="AJ41" s="720">
        <v>8.682972677212776E-2</v>
      </c>
      <c r="AK41" s="720">
        <v>2.9730924987400736E-2</v>
      </c>
      <c r="AL41" s="720">
        <v>2.8067068593828192E-3</v>
      </c>
      <c r="AM41" s="684">
        <f t="shared" si="1"/>
        <v>6.7724241179047961</v>
      </c>
    </row>
    <row r="42" spans="1:39" x14ac:dyDescent="0.2">
      <c r="A42" s="552" t="s">
        <v>1325</v>
      </c>
      <c r="B42" s="552" t="s">
        <v>504</v>
      </c>
      <c r="C42" s="720">
        <v>9.810898440009673</v>
      </c>
      <c r="D42" s="720">
        <v>5.0870636274597603</v>
      </c>
      <c r="E42" s="720">
        <v>4.6015934314000333</v>
      </c>
      <c r="F42" s="720">
        <v>0</v>
      </c>
      <c r="G42" s="720">
        <v>0</v>
      </c>
      <c r="H42" s="720">
        <v>0</v>
      </c>
      <c r="I42" s="720">
        <v>7.7315512080132667E-2</v>
      </c>
      <c r="J42" s="720">
        <v>7.7136267233311823E-2</v>
      </c>
      <c r="K42" s="720">
        <v>7.7136485357743409E-2</v>
      </c>
      <c r="L42" s="731">
        <v>1.9846318963030709E-2</v>
      </c>
      <c r="M42" s="720">
        <v>1.9800364856202957E-2</v>
      </c>
      <c r="N42" s="720">
        <v>1.9800391949515148E-2</v>
      </c>
      <c r="O42" s="720">
        <v>0.61609833715283535</v>
      </c>
      <c r="P42" s="720">
        <v>0.40902855320703979</v>
      </c>
      <c r="Q42" s="720">
        <v>0.44375701776078175</v>
      </c>
      <c r="R42" s="720">
        <v>1.9994773121915057E-3</v>
      </c>
      <c r="S42" s="720">
        <v>2.0111025818997795E-3</v>
      </c>
      <c r="T42" s="720">
        <v>1.7025137228281809E-3</v>
      </c>
      <c r="U42" s="720">
        <v>1.0993195634900274E-2</v>
      </c>
      <c r="V42" s="720">
        <v>5.0592376778946513E-3</v>
      </c>
      <c r="W42" s="720">
        <v>1.777557711737196E-3</v>
      </c>
      <c r="X42" s="720">
        <v>2.869849933488442</v>
      </c>
      <c r="Y42" s="720">
        <v>1.6208504613486057</v>
      </c>
      <c r="Z42" s="720">
        <v>0.88572158808886969</v>
      </c>
      <c r="AA42" s="720">
        <v>0.3131252797475742</v>
      </c>
      <c r="AB42" s="720">
        <v>0.29649016075505991</v>
      </c>
      <c r="AC42" s="720">
        <v>0.29959000526923962</v>
      </c>
      <c r="AD42" s="720">
        <v>0</v>
      </c>
      <c r="AE42" s="720">
        <v>0</v>
      </c>
      <c r="AF42" s="720">
        <v>0</v>
      </c>
      <c r="AG42" s="694">
        <f t="shared" si="10"/>
        <v>1.984631896303071E-3</v>
      </c>
      <c r="AH42" s="694">
        <f t="shared" si="10"/>
        <v>1.9800364856202958E-3</v>
      </c>
      <c r="AI42" s="694">
        <f t="shared" si="10"/>
        <v>1.9800391949515148E-3</v>
      </c>
      <c r="AJ42" s="720">
        <v>0</v>
      </c>
      <c r="AK42" s="720">
        <v>0</v>
      </c>
      <c r="AL42" s="720">
        <v>0</v>
      </c>
      <c r="AM42" s="684">
        <f t="shared" si="1"/>
        <v>0</v>
      </c>
    </row>
    <row r="43" spans="1:39" x14ac:dyDescent="0.2">
      <c r="A43" s="552" t="s">
        <v>1326</v>
      </c>
      <c r="B43" s="552" t="s">
        <v>922</v>
      </c>
      <c r="C43" s="720">
        <v>17.021441886106931</v>
      </c>
      <c r="D43" s="720">
        <v>4.5537906534810606</v>
      </c>
      <c r="E43" s="720">
        <v>1.328930165807187</v>
      </c>
      <c r="F43" s="720">
        <v>0.39141819509888243</v>
      </c>
      <c r="G43" s="720">
        <v>1.7416893505990624E-2</v>
      </c>
      <c r="H43" s="720">
        <v>1.1421346346982617E-2</v>
      </c>
      <c r="I43" s="720">
        <v>1.002274385924397</v>
      </c>
      <c r="J43" s="720">
        <v>0.42867143498124555</v>
      </c>
      <c r="K43" s="720">
        <v>0.1302233405246595</v>
      </c>
      <c r="L43" s="731">
        <v>0.90313491322570039</v>
      </c>
      <c r="M43" s="720">
        <v>0.34241688482646293</v>
      </c>
      <c r="N43" s="720">
        <v>5.291129624822824E-2</v>
      </c>
      <c r="O43" s="720">
        <v>4.6340440748703413</v>
      </c>
      <c r="P43" s="720">
        <v>1.6435612001380406</v>
      </c>
      <c r="Q43" s="720">
        <v>0.51469666119522295</v>
      </c>
      <c r="R43" s="720">
        <v>2.4749042010988082E-3</v>
      </c>
      <c r="S43" s="720">
        <v>2.5031033192417793E-3</v>
      </c>
      <c r="T43" s="720">
        <v>2.1017159562078508E-3</v>
      </c>
      <c r="U43" s="720">
        <v>2.3657177806164637E-3</v>
      </c>
      <c r="V43" s="720">
        <v>2.1480621375851014E-3</v>
      </c>
      <c r="W43" s="720">
        <v>2.1480637821026495E-3</v>
      </c>
      <c r="X43" s="720">
        <v>0.89548289328762787</v>
      </c>
      <c r="Y43" s="720">
        <v>0.42585938311430721</v>
      </c>
      <c r="Z43" s="720">
        <v>0.14682971059684108</v>
      </c>
      <c r="AA43" s="720">
        <v>0.86911120036009892</v>
      </c>
      <c r="AB43" s="720">
        <v>0.47899518356461812</v>
      </c>
      <c r="AC43" s="720">
        <v>0.14630265589014693</v>
      </c>
      <c r="AD43" s="720">
        <v>0.66709657461273297</v>
      </c>
      <c r="AE43" s="720">
        <v>0.23384259007565786</v>
      </c>
      <c r="AF43" s="720">
        <v>2.2716239336022966E-3</v>
      </c>
      <c r="AG43" s="720">
        <f>0.21*L43</f>
        <v>0.18965833177739708</v>
      </c>
      <c r="AH43" s="720">
        <f>0.21*M43</f>
        <v>7.1907545813557211E-2</v>
      </c>
      <c r="AI43" s="720">
        <f>0.21*N43</f>
        <v>1.1111372212127929E-2</v>
      </c>
      <c r="AJ43" s="720">
        <v>0.64710281541336234</v>
      </c>
      <c r="AK43" s="720">
        <v>0.22683337461755698</v>
      </c>
      <c r="AL43" s="720">
        <v>2.2035327225121914E-3</v>
      </c>
      <c r="AM43" s="684">
        <f t="shared" si="1"/>
        <v>3.4119398254165292</v>
      </c>
    </row>
    <row r="44" spans="1:39" x14ac:dyDescent="0.2">
      <c r="A44" s="552" t="s">
        <v>1326</v>
      </c>
      <c r="B44" s="552" t="s">
        <v>1321</v>
      </c>
      <c r="C44" s="720">
        <v>6.4071489147693947</v>
      </c>
      <c r="D44" s="720">
        <v>4.6140517721094918</v>
      </c>
      <c r="E44" s="720">
        <v>4.3385194544015473</v>
      </c>
      <c r="F44" s="720">
        <v>8.5738791912418857E-2</v>
      </c>
      <c r="G44" s="720">
        <v>2.4841226700835335E-2</v>
      </c>
      <c r="H44" s="720">
        <v>2.2226658911116151E-2</v>
      </c>
      <c r="I44" s="720">
        <v>6.5193236621453876E-2</v>
      </c>
      <c r="J44" s="720">
        <v>6.2872280906493994E-2</v>
      </c>
      <c r="K44" s="720">
        <v>6.2119764282238178E-2</v>
      </c>
      <c r="L44" s="731">
        <v>2.4734126191991359E-2</v>
      </c>
      <c r="M44" s="720">
        <v>2.2466592985517161E-2</v>
      </c>
      <c r="N44" s="720">
        <v>2.1691297600346954E-2</v>
      </c>
      <c r="O44" s="720">
        <v>76.106372520891355</v>
      </c>
      <c r="P44" s="720">
        <v>27.467818150861525</v>
      </c>
      <c r="Q44" s="720">
        <v>24.169848665379206</v>
      </c>
      <c r="R44" s="720">
        <v>3.2449067208049159E-2</v>
      </c>
      <c r="S44" s="720">
        <v>2.0012277535292701E-2</v>
      </c>
      <c r="T44" s="720">
        <v>4.268007960369428E-3</v>
      </c>
      <c r="U44" s="720">
        <v>5.9280001990616692E-2</v>
      </c>
      <c r="V44" s="720">
        <v>1.424317310696962E-2</v>
      </c>
      <c r="W44" s="720">
        <v>1.1587634158853869E-2</v>
      </c>
      <c r="X44" s="720">
        <v>2.4231398942499798</v>
      </c>
      <c r="Y44" s="720">
        <v>1.7164933452555675</v>
      </c>
      <c r="Z44" s="720">
        <v>1.6251448545259954</v>
      </c>
      <c r="AA44" s="720">
        <v>2.5132979367651127</v>
      </c>
      <c r="AB44" s="720">
        <v>1.5484805343980965</v>
      </c>
      <c r="AC44" s="720">
        <v>1.5719286274030286</v>
      </c>
      <c r="AD44" s="720">
        <v>1.0251770338407472E-3</v>
      </c>
      <c r="AE44" s="720">
        <v>8.0246365306094051E-4</v>
      </c>
      <c r="AF44" s="720">
        <v>6.8074052389594994E-4</v>
      </c>
      <c r="AG44" s="694">
        <f>0.36*L44</f>
        <v>8.9042854291168892E-3</v>
      </c>
      <c r="AH44" s="694">
        <f>0.36*M44</f>
        <v>8.0879734747861774E-3</v>
      </c>
      <c r="AI44" s="694">
        <f>0.36*N44</f>
        <v>7.8088671361249036E-3</v>
      </c>
      <c r="AJ44" s="720">
        <v>9.4399422985744664E-4</v>
      </c>
      <c r="AK44" s="720">
        <v>7.3891682981119756E-4</v>
      </c>
      <c r="AL44" s="720">
        <v>6.2683302750838894E-4</v>
      </c>
      <c r="AM44" s="684">
        <f t="shared" si="1"/>
        <v>0.10601571988815618</v>
      </c>
    </row>
    <row r="45" spans="1:39" x14ac:dyDescent="0.2">
      <c r="A45" s="552" t="s">
        <v>1326</v>
      </c>
      <c r="B45" s="552" t="s">
        <v>1318</v>
      </c>
      <c r="C45" s="720">
        <v>17.021441886106931</v>
      </c>
      <c r="D45" s="720">
        <v>4.5537906534810606</v>
      </c>
      <c r="E45" s="720">
        <v>1.328930165807187</v>
      </c>
      <c r="F45" s="720">
        <v>0.31801593129873984</v>
      </c>
      <c r="G45" s="720">
        <v>1.5581415611801671E-2</v>
      </c>
      <c r="H45" s="720">
        <v>1.1095953006751235E-2</v>
      </c>
      <c r="I45" s="720">
        <v>0.91085806013115567</v>
      </c>
      <c r="J45" s="720">
        <v>0.39762215662595179</v>
      </c>
      <c r="K45" s="720">
        <v>0.1302233405246595</v>
      </c>
      <c r="L45" s="731">
        <v>0.81444481011229397</v>
      </c>
      <c r="M45" s="720">
        <v>0.31229795296945678</v>
      </c>
      <c r="N45" s="720">
        <v>5.291129624822824E-2</v>
      </c>
      <c r="O45" s="720">
        <v>4.1242992266346041</v>
      </c>
      <c r="P45" s="720">
        <v>1.5003936106865898</v>
      </c>
      <c r="Q45" s="720">
        <v>0.51469666119522295</v>
      </c>
      <c r="R45" s="720">
        <v>2.4749042010988082E-3</v>
      </c>
      <c r="S45" s="720">
        <v>2.5031033192417793E-3</v>
      </c>
      <c r="T45" s="720">
        <v>2.1017159562078508E-3</v>
      </c>
      <c r="U45" s="720">
        <v>2.3657177806164637E-3</v>
      </c>
      <c r="V45" s="720">
        <v>2.1480565717286334E-3</v>
      </c>
      <c r="W45" s="720">
        <v>2.1480510999413796E-3</v>
      </c>
      <c r="X45" s="720">
        <v>0.89548289328762787</v>
      </c>
      <c r="Y45" s="720">
        <v>0.42585938311430721</v>
      </c>
      <c r="Z45" s="720">
        <v>0.14682971059684108</v>
      </c>
      <c r="AA45" s="720">
        <v>0.68572873708411797</v>
      </c>
      <c r="AB45" s="720">
        <v>0.39340398472987165</v>
      </c>
      <c r="AC45" s="720">
        <v>0.14630265589014693</v>
      </c>
      <c r="AD45" s="720">
        <v>0.59971982057684714</v>
      </c>
      <c r="AE45" s="720">
        <v>0.21037731237392104</v>
      </c>
      <c r="AF45" s="720">
        <v>2.2716239336022966E-3</v>
      </c>
      <c r="AG45" s="720">
        <f>0.21*L45</f>
        <v>0.17103341012358173</v>
      </c>
      <c r="AH45" s="720">
        <f>0.21*M45</f>
        <v>6.5582570123585926E-2</v>
      </c>
      <c r="AI45" s="720">
        <f>0.21*N45</f>
        <v>1.1111372212127929E-2</v>
      </c>
      <c r="AJ45" s="720">
        <v>0.58174543105661269</v>
      </c>
      <c r="AK45" s="720">
        <v>0.20407144713624548</v>
      </c>
      <c r="AL45" s="720">
        <v>2.2035327225121914E-3</v>
      </c>
      <c r="AM45" s="684">
        <f t="shared" si="1"/>
        <v>3.4013555049640143</v>
      </c>
    </row>
    <row r="46" spans="1:39" x14ac:dyDescent="0.2">
      <c r="A46" s="552" t="s">
        <v>1326</v>
      </c>
      <c r="B46" s="552" t="s">
        <v>501</v>
      </c>
      <c r="C46" s="720">
        <v>11.063937225969505</v>
      </c>
      <c r="D46" s="694">
        <v>3.2682585518832701</v>
      </c>
      <c r="E46" s="694">
        <v>1.328930165807187</v>
      </c>
      <c r="F46" s="694">
        <v>0.24377653260052556</v>
      </c>
      <c r="G46" s="694">
        <v>1.1944003733839859E-2</v>
      </c>
      <c r="H46" s="694">
        <v>8.5056523389805145E-3</v>
      </c>
      <c r="I46" s="720">
        <v>0.18767346301432478</v>
      </c>
      <c r="J46" s="720">
        <v>0.15199469716179614</v>
      </c>
      <c r="K46" s="720">
        <v>0.1302233405246595</v>
      </c>
      <c r="L46" s="731">
        <v>0.11282706370029594</v>
      </c>
      <c r="M46" s="720">
        <v>7.4030363328387666E-2</v>
      </c>
      <c r="N46" s="720">
        <v>5.291129624822824E-2</v>
      </c>
      <c r="O46" s="720">
        <v>0.4634044074870341</v>
      </c>
      <c r="P46" s="720">
        <v>0.34119005169692312</v>
      </c>
      <c r="Q46" s="720">
        <v>0.44790321411585721</v>
      </c>
      <c r="R46" s="720">
        <v>2.4749042010988082E-3</v>
      </c>
      <c r="S46" s="720">
        <v>2.5031033192417793E-3</v>
      </c>
      <c r="T46" s="720">
        <v>2.1017159562078508E-3</v>
      </c>
      <c r="U46" s="720">
        <v>0.1328441550665094</v>
      </c>
      <c r="V46" s="720">
        <v>4.9537562016318655E-2</v>
      </c>
      <c r="W46" s="720">
        <v>2.1480556115521152E-3</v>
      </c>
      <c r="X46" s="720">
        <v>0.89548289328762787</v>
      </c>
      <c r="Y46" s="720">
        <v>0.42585938311430721</v>
      </c>
      <c r="Z46" s="720">
        <v>0.14682971059684108</v>
      </c>
      <c r="AA46" s="720">
        <v>0.86911120036009892</v>
      </c>
      <c r="AB46" s="720">
        <v>0.47899518356461812</v>
      </c>
      <c r="AC46" s="720">
        <v>0.14630265589014693</v>
      </c>
      <c r="AD46" s="720">
        <v>6.6709657461273289E-2</v>
      </c>
      <c r="AE46" s="720">
        <v>2.4746056099785019E-2</v>
      </c>
      <c r="AF46" s="720">
        <v>2.2716239336022966E-3</v>
      </c>
      <c r="AG46" s="694">
        <f t="shared" ref="AG46:AI47" si="11">0.1*L46</f>
        <v>1.1282706370029594E-2</v>
      </c>
      <c r="AH46" s="694">
        <f t="shared" si="11"/>
        <v>7.403036332838767E-3</v>
      </c>
      <c r="AI46" s="694">
        <f t="shared" si="11"/>
        <v>5.291129624822824E-3</v>
      </c>
      <c r="AJ46" s="720">
        <v>6.471028154133622E-2</v>
      </c>
      <c r="AK46" s="720">
        <v>2.4004317853395067E-2</v>
      </c>
      <c r="AL46" s="720">
        <v>2.2035327225121914E-3</v>
      </c>
      <c r="AM46" s="684">
        <f t="shared" si="1"/>
        <v>5.7353510247529815</v>
      </c>
    </row>
    <row r="47" spans="1:39" x14ac:dyDescent="0.2">
      <c r="A47" s="552" t="s">
        <v>1326</v>
      </c>
      <c r="B47" s="552" t="s">
        <v>504</v>
      </c>
      <c r="C47" s="720">
        <v>6.8085767544427727</v>
      </c>
      <c r="D47" s="694">
        <v>2.3500213364562765</v>
      </c>
      <c r="E47" s="694">
        <v>1.328930165807187</v>
      </c>
      <c r="F47" s="694">
        <v>0</v>
      </c>
      <c r="G47" s="694">
        <v>0</v>
      </c>
      <c r="H47" s="694">
        <v>0</v>
      </c>
      <c r="I47" s="720">
        <v>9.7162249357650124E-2</v>
      </c>
      <c r="J47" s="720">
        <v>0.10301637721447743</v>
      </c>
      <c r="K47" s="720">
        <v>0.10301640590872385</v>
      </c>
      <c r="L47" s="731">
        <v>2.5015080419695478E-2</v>
      </c>
      <c r="M47" s="720">
        <v>2.6519648968777565E-2</v>
      </c>
      <c r="N47" s="720">
        <v>2.6519669003932687E-2</v>
      </c>
      <c r="O47" s="720">
        <v>0.4634044074870341</v>
      </c>
      <c r="P47" s="720">
        <v>0.34119005169692312</v>
      </c>
      <c r="Q47" s="720">
        <v>0.44790321411585721</v>
      </c>
      <c r="R47" s="720">
        <v>2.4749042010988082E-3</v>
      </c>
      <c r="S47" s="720">
        <v>2.5031033192417793E-3</v>
      </c>
      <c r="T47" s="720">
        <v>2.1017159562078508E-3</v>
      </c>
      <c r="U47" s="720">
        <v>1.3284415506650942E-2</v>
      </c>
      <c r="V47" s="720">
        <v>6.1137106794210841E-3</v>
      </c>
      <c r="W47" s="720">
        <v>2.1480556115521152E-3</v>
      </c>
      <c r="X47" s="720">
        <v>1.5894821206041636</v>
      </c>
      <c r="Y47" s="720">
        <v>0.68496375900104989</v>
      </c>
      <c r="Z47" s="720">
        <v>0.14682971059684108</v>
      </c>
      <c r="AA47" s="720">
        <v>0.17382224007201974</v>
      </c>
      <c r="AB47" s="720">
        <v>0.1544787898783756</v>
      </c>
      <c r="AC47" s="720">
        <v>0.14630265589014693</v>
      </c>
      <c r="AD47" s="720">
        <v>0</v>
      </c>
      <c r="AE47" s="720">
        <v>0</v>
      </c>
      <c r="AF47" s="720">
        <v>0</v>
      </c>
      <c r="AG47" s="694">
        <f t="shared" si="11"/>
        <v>2.501508041969548E-3</v>
      </c>
      <c r="AH47" s="694">
        <f t="shared" si="11"/>
        <v>2.6519648968777567E-3</v>
      </c>
      <c r="AI47" s="694">
        <f t="shared" si="11"/>
        <v>2.651966900393269E-3</v>
      </c>
      <c r="AJ47" s="720">
        <v>0</v>
      </c>
      <c r="AK47" s="720">
        <v>0</v>
      </c>
      <c r="AL47" s="720">
        <v>0</v>
      </c>
      <c r="AM47" s="684">
        <f t="shared" si="1"/>
        <v>0</v>
      </c>
    </row>
    <row r="48" spans="1:39" x14ac:dyDescent="0.2">
      <c r="A48" s="552" t="s">
        <v>1326</v>
      </c>
      <c r="B48" s="552" t="s">
        <v>509</v>
      </c>
      <c r="C48" s="720">
        <v>5.2538621101109042</v>
      </c>
      <c r="D48" s="720">
        <v>4.1286744519918903</v>
      </c>
      <c r="E48" s="694">
        <v>4.3385194544015473</v>
      </c>
      <c r="F48" s="694">
        <v>2.5121466030338723E-2</v>
      </c>
      <c r="G48" s="694">
        <v>7.2870049677222796E-3</v>
      </c>
      <c r="H48" s="694">
        <v>6.5701279486012161E-3</v>
      </c>
      <c r="I48" s="720">
        <v>6.1128683806859409E-2</v>
      </c>
      <c r="J48" s="720">
        <v>6.1439580823075123E-2</v>
      </c>
      <c r="K48" s="720">
        <v>6.2119764282238178E-2</v>
      </c>
      <c r="L48" s="731">
        <v>2.0991339584901247E-2</v>
      </c>
      <c r="M48" s="720">
        <v>2.1147338912863196E-2</v>
      </c>
      <c r="N48" s="720">
        <v>2.1691297600346954E-2</v>
      </c>
      <c r="O48" s="720">
        <v>60.88509801671308</v>
      </c>
      <c r="P48" s="720">
        <v>24.77733051775861</v>
      </c>
      <c r="Q48" s="720">
        <v>24.169848665379206</v>
      </c>
      <c r="R48" s="720">
        <v>3.2449067208049159E-2</v>
      </c>
      <c r="S48" s="720">
        <v>2.0012277535292701E-2</v>
      </c>
      <c r="T48" s="720">
        <v>4.268007960369428E-3</v>
      </c>
      <c r="U48" s="720">
        <v>0.11381760382198404</v>
      </c>
      <c r="V48" s="720">
        <v>1.9802151267849323E-2</v>
      </c>
      <c r="W48" s="720">
        <v>1.1587634158853867E-2</v>
      </c>
      <c r="X48" s="720">
        <v>2.3068291793259807</v>
      </c>
      <c r="Y48" s="720">
        <v>1.6807445878317093</v>
      </c>
      <c r="Z48" s="720">
        <v>1.6251448545259954</v>
      </c>
      <c r="AA48" s="720">
        <v>2.3122341018239037</v>
      </c>
      <c r="AB48" s="720">
        <v>1.4660201380641675</v>
      </c>
      <c r="AC48" s="720">
        <v>1.5719286274030286</v>
      </c>
      <c r="AD48" s="720">
        <v>6.7661684233489303E-4</v>
      </c>
      <c r="AE48" s="720">
        <v>6.7776537504532475E-4</v>
      </c>
      <c r="AF48" s="720">
        <v>6.8074052389594994E-4</v>
      </c>
      <c r="AG48" s="694">
        <f>0.36*L48</f>
        <v>7.5568822505644485E-3</v>
      </c>
      <c r="AH48" s="694">
        <f>0.36*M48</f>
        <v>7.6130420086307502E-3</v>
      </c>
      <c r="AI48" s="694">
        <f>0.36*N48</f>
        <v>7.8088671361249036E-3</v>
      </c>
      <c r="AJ48" s="720">
        <v>6.230361917059148E-4</v>
      </c>
      <c r="AK48" s="720">
        <v>6.2409339170751651E-4</v>
      </c>
      <c r="AL48" s="720">
        <v>6.2683302750838894E-4</v>
      </c>
      <c r="AM48" s="684">
        <f t="shared" si="1"/>
        <v>8.244619554041327E-2</v>
      </c>
    </row>
    <row r="49" spans="1:39" x14ac:dyDescent="0.2">
      <c r="A49" s="552" t="s">
        <v>1327</v>
      </c>
      <c r="B49" s="552" t="s">
        <v>922</v>
      </c>
      <c r="C49" s="720">
        <v>9.5234462473121102</v>
      </c>
      <c r="D49" s="694">
        <v>3.2020596981791107</v>
      </c>
      <c r="E49" s="694">
        <v>0.90748405216263073</v>
      </c>
      <c r="F49" s="694">
        <v>0.24629359324727643</v>
      </c>
      <c r="G49" s="694">
        <v>1.0958394813758748E-2</v>
      </c>
      <c r="H49" s="694">
        <v>7.1760851110062107E-3</v>
      </c>
      <c r="I49" s="720">
        <v>0.66597538826921865</v>
      </c>
      <c r="J49" s="720">
        <v>0.23103814365168929</v>
      </c>
      <c r="K49" s="720">
        <v>7.2094201712716868E-2</v>
      </c>
      <c r="L49" s="731">
        <v>0.60389223090985633</v>
      </c>
      <c r="M49" s="720">
        <v>0.18187284635713552</v>
      </c>
      <c r="N49" s="720">
        <v>2.7691238159483971E-2</v>
      </c>
      <c r="O49" s="720">
        <v>3.3847689946281552</v>
      </c>
      <c r="P49" s="720">
        <v>1.9902713359863768</v>
      </c>
      <c r="Q49" s="720">
        <v>0.73493351587258859</v>
      </c>
      <c r="R49" s="720">
        <v>2.5719157369020343E-3</v>
      </c>
      <c r="S49" s="720">
        <v>2.5832955166996407E-3</v>
      </c>
      <c r="T49" s="720">
        <v>2.1679399782008374E-3</v>
      </c>
      <c r="U49" s="720">
        <v>2.3657163529749044E-3</v>
      </c>
      <c r="V49" s="720">
        <v>2.1480588510991634E-3</v>
      </c>
      <c r="W49" s="720">
        <v>2.1480597434622695E-3</v>
      </c>
      <c r="X49" s="720">
        <v>1.1133895343060825</v>
      </c>
      <c r="Y49" s="720">
        <v>0.46770551519047548</v>
      </c>
      <c r="Z49" s="720">
        <v>0.13933934878435472</v>
      </c>
      <c r="AA49" s="720">
        <v>1.0785364811443232</v>
      </c>
      <c r="AB49" s="720">
        <v>0.53067574167937603</v>
      </c>
      <c r="AC49" s="720">
        <v>0.13821858316406341</v>
      </c>
      <c r="AD49" s="720">
        <v>0.29305595133000373</v>
      </c>
      <c r="AE49" s="720">
        <v>8.2550683637770642E-2</v>
      </c>
      <c r="AF49" s="720">
        <v>1.054172534959314E-3</v>
      </c>
      <c r="AG49" s="720">
        <f>0.21*L49</f>
        <v>0.12681736849106984</v>
      </c>
      <c r="AH49" s="720">
        <f>0.21*M49</f>
        <v>3.8193297734998459E-2</v>
      </c>
      <c r="AI49" s="720">
        <f>0.21*N49</f>
        <v>5.8151600134916338E-3</v>
      </c>
      <c r="AJ49" s="720">
        <v>0.28427218493194512</v>
      </c>
      <c r="AK49" s="720">
        <v>8.0076387501911567E-2</v>
      </c>
      <c r="AL49" s="720">
        <v>1.0225744826414084E-3</v>
      </c>
      <c r="AM49" s="684">
        <f t="shared" si="1"/>
        <v>2.2415871604524176</v>
      </c>
    </row>
    <row r="50" spans="1:39" x14ac:dyDescent="0.2">
      <c r="A50" s="552" t="s">
        <v>1327</v>
      </c>
      <c r="B50" s="552" t="s">
        <v>1321</v>
      </c>
      <c r="C50" s="720">
        <v>4.2430210060321025</v>
      </c>
      <c r="D50" s="694">
        <v>3.201776566609726</v>
      </c>
      <c r="E50" s="694">
        <v>2.9368480634210954</v>
      </c>
      <c r="F50" s="694">
        <v>5.4583920386940064E-2</v>
      </c>
      <c r="G50" s="694">
        <v>1.5806866360760587E-2</v>
      </c>
      <c r="H50" s="694">
        <v>1.4109127892970847E-2</v>
      </c>
      <c r="I50" s="720">
        <v>6.7481898539374488E-2</v>
      </c>
      <c r="J50" s="720">
        <v>6.5519469584529907E-2</v>
      </c>
      <c r="K50" s="720">
        <v>6.4760530882413903E-2</v>
      </c>
      <c r="L50" s="731">
        <v>2.4134794921241393E-2</v>
      </c>
      <c r="M50" s="720">
        <v>2.2187495159161817E-2</v>
      </c>
      <c r="N50" s="720">
        <v>2.1399920625132393E-2</v>
      </c>
      <c r="O50" s="720">
        <v>44.898500020415241</v>
      </c>
      <c r="P50" s="720">
        <v>27.120387026251443</v>
      </c>
      <c r="Q50" s="720">
        <v>22.701986226306307</v>
      </c>
      <c r="R50" s="720">
        <v>3.7430985449944242E-2</v>
      </c>
      <c r="S50" s="720">
        <v>2.2816723893233731E-2</v>
      </c>
      <c r="T50" s="720">
        <v>4.9022936474735143E-3</v>
      </c>
      <c r="U50" s="720">
        <v>6.2091958013285826E-2</v>
      </c>
      <c r="V50" s="720">
        <v>1.6460706246318287E-2</v>
      </c>
      <c r="W50" s="720">
        <v>1.3505602016480463E-2</v>
      </c>
      <c r="X50" s="720">
        <v>1.9964568317092957</v>
      </c>
      <c r="Y50" s="720">
        <v>1.2481368076434183</v>
      </c>
      <c r="Z50" s="720">
        <v>1.1206046301848336</v>
      </c>
      <c r="AA50" s="720">
        <v>2.0797807536761135</v>
      </c>
      <c r="AB50" s="720">
        <v>1.1462730346848173</v>
      </c>
      <c r="AC50" s="720">
        <v>1.0888115119982049</v>
      </c>
      <c r="AD50" s="720">
        <v>1.1236204756891472E-3</v>
      </c>
      <c r="AE50" s="720">
        <v>8.6240339299886932E-4</v>
      </c>
      <c r="AF50" s="720">
        <v>6.9644272812585228E-4</v>
      </c>
      <c r="AG50" s="694">
        <f>0.36*L50</f>
        <v>8.6885261716469018E-3</v>
      </c>
      <c r="AH50" s="694">
        <f>0.36*M50</f>
        <v>7.9874982572982547E-3</v>
      </c>
      <c r="AI50" s="694">
        <f>0.36*N50</f>
        <v>7.7039714250476616E-3</v>
      </c>
      <c r="AJ50" s="720">
        <v>1.0346411319842753E-3</v>
      </c>
      <c r="AK50" s="720">
        <v>7.9410954292647806E-4</v>
      </c>
      <c r="AL50" s="720">
        <v>6.4129095212698693E-4</v>
      </c>
      <c r="AM50" s="684">
        <f t="shared" si="1"/>
        <v>0.1190813161570025</v>
      </c>
    </row>
    <row r="51" spans="1:39" x14ac:dyDescent="0.2">
      <c r="A51" s="552" t="s">
        <v>1327</v>
      </c>
      <c r="B51" s="552" t="s">
        <v>1318</v>
      </c>
      <c r="C51" s="720">
        <v>9.5234462473121102</v>
      </c>
      <c r="D51" s="694">
        <v>3.2020596981791107</v>
      </c>
      <c r="E51" s="694">
        <v>0.90748405216263073</v>
      </c>
      <c r="F51" s="694">
        <v>0.20010640131243421</v>
      </c>
      <c r="G51" s="694">
        <v>9.7984487954526391E-3</v>
      </c>
      <c r="H51" s="694">
        <v>6.9409053414974872E-3</v>
      </c>
      <c r="I51" s="720">
        <v>0.60469965149534077</v>
      </c>
      <c r="J51" s="720">
        <v>0.2145538305780697</v>
      </c>
      <c r="K51" s="720">
        <v>7.2094201712716868E-2</v>
      </c>
      <c r="L51" s="731">
        <v>0.54444443986297208</v>
      </c>
      <c r="M51" s="720">
        <v>0.16588244640886113</v>
      </c>
      <c r="N51" s="720">
        <v>2.7691238159483971E-2</v>
      </c>
      <c r="O51" s="720">
        <v>3.0124444052190582</v>
      </c>
      <c r="P51" s="720">
        <v>1.8274233536446531</v>
      </c>
      <c r="Q51" s="720">
        <v>0.73493351587258859</v>
      </c>
      <c r="R51" s="720">
        <v>2.5719157369020343E-3</v>
      </c>
      <c r="S51" s="720">
        <v>2.5832953652653013E-3</v>
      </c>
      <c r="T51" s="720">
        <v>2.1679293500441866E-3</v>
      </c>
      <c r="U51" s="720">
        <v>2.3657163529749044E-3</v>
      </c>
      <c r="V51" s="720">
        <v>2.1480588510991634E-3</v>
      </c>
      <c r="W51" s="720">
        <v>2.1480499088519026E-3</v>
      </c>
      <c r="X51" s="720">
        <v>1.1133895343060825</v>
      </c>
      <c r="Y51" s="720">
        <v>0.46770551519047548</v>
      </c>
      <c r="Z51" s="720">
        <v>0.13933934878435472</v>
      </c>
      <c r="AA51" s="720">
        <v>0.85096528362287083</v>
      </c>
      <c r="AB51" s="720">
        <v>0.4337197962815762</v>
      </c>
      <c r="AC51" s="720">
        <v>0.13821858316406341</v>
      </c>
      <c r="AD51" s="720">
        <v>0.26345730024567332</v>
      </c>
      <c r="AE51" s="720">
        <v>7.4283302125064982E-2</v>
      </c>
      <c r="AF51" s="720">
        <v>1.054172534959314E-3</v>
      </c>
      <c r="AG51" s="720">
        <f>0.21*L51</f>
        <v>0.11433333237122413</v>
      </c>
      <c r="AH51" s="720">
        <f>0.21*M51</f>
        <v>3.4835313745860838E-2</v>
      </c>
      <c r="AI51" s="720">
        <f>0.21*N51</f>
        <v>5.8151600134916338E-3</v>
      </c>
      <c r="AJ51" s="720">
        <v>0.25556069425381867</v>
      </c>
      <c r="AK51" s="720">
        <v>7.2056804930999557E-2</v>
      </c>
      <c r="AL51" s="720">
        <v>1.0225744826414084E-3</v>
      </c>
      <c r="AM51" s="684">
        <f t="shared" si="1"/>
        <v>2.2352247498922648</v>
      </c>
    </row>
    <row r="52" spans="1:39" x14ac:dyDescent="0.2">
      <c r="A52" s="552" t="s">
        <v>1327</v>
      </c>
      <c r="B52" s="552" t="s">
        <v>501</v>
      </c>
      <c r="C52" s="720">
        <v>6.1902400607528714</v>
      </c>
      <c r="D52" s="694">
        <v>2.2924010627658609</v>
      </c>
      <c r="E52" s="694">
        <v>0.90748405216263073</v>
      </c>
      <c r="F52" s="694">
        <v>0.15339245572980442</v>
      </c>
      <c r="G52" s="694">
        <v>7.5110446903221091E-3</v>
      </c>
      <c r="H52" s="694">
        <v>5.3205819920677322E-3</v>
      </c>
      <c r="I52" s="720">
        <v>0.11995397147228677</v>
      </c>
      <c r="J52" s="720">
        <v>8.4148225173891048E-2</v>
      </c>
      <c r="K52" s="720">
        <v>7.2094201712716868E-2</v>
      </c>
      <c r="L52" s="731">
        <v>7.4159439402966557E-2</v>
      </c>
      <c r="M52" s="720">
        <v>3.9384133946769796E-2</v>
      </c>
      <c r="N52" s="720">
        <v>2.7691238159483971E-2</v>
      </c>
      <c r="O52" s="720">
        <v>0.33847689946281551</v>
      </c>
      <c r="P52" s="720">
        <v>0.37186609503117846</v>
      </c>
      <c r="Q52" s="720">
        <v>0.36388584377424449</v>
      </c>
      <c r="R52" s="720">
        <v>2.5719157369020343E-3</v>
      </c>
      <c r="S52" s="720">
        <v>2.5832953652653013E-3</v>
      </c>
      <c r="T52" s="720">
        <v>2.1679293500441866E-3</v>
      </c>
      <c r="U52" s="720">
        <v>0.13284407489894326</v>
      </c>
      <c r="V52" s="720">
        <v>4.9537733255746549E-2</v>
      </c>
      <c r="W52" s="720">
        <v>2.1480499088519026E-3</v>
      </c>
      <c r="X52" s="720">
        <v>1.1133895343060825</v>
      </c>
      <c r="Y52" s="720">
        <v>0.46770551519047548</v>
      </c>
      <c r="Z52" s="720">
        <v>0.13933934878435472</v>
      </c>
      <c r="AA52" s="720">
        <v>1.0785364811443232</v>
      </c>
      <c r="AB52" s="720">
        <v>0.53067574167937603</v>
      </c>
      <c r="AC52" s="720">
        <v>0.13821858316406341</v>
      </c>
      <c r="AD52" s="720">
        <v>2.9305595133000368E-2</v>
      </c>
      <c r="AE52" s="720">
        <v>8.8809473859379744E-3</v>
      </c>
      <c r="AF52" s="720">
        <v>1.054172534959314E-3</v>
      </c>
      <c r="AG52" s="694">
        <f t="shared" ref="AG52:AI53" si="12">0.1*L52</f>
        <v>7.415943940296656E-3</v>
      </c>
      <c r="AH52" s="694">
        <f t="shared" si="12"/>
        <v>3.9384133946769794E-3</v>
      </c>
      <c r="AI52" s="694">
        <f t="shared" si="12"/>
        <v>2.7691238159483975E-3</v>
      </c>
      <c r="AJ52" s="720">
        <v>2.8427218493194507E-2</v>
      </c>
      <c r="AK52" s="720">
        <v>8.614760632398669E-3</v>
      </c>
      <c r="AL52" s="720">
        <v>1.0225744826414084E-3</v>
      </c>
      <c r="AM52" s="684">
        <f t="shared" si="1"/>
        <v>3.8332569288620255</v>
      </c>
    </row>
    <row r="53" spans="1:39" x14ac:dyDescent="0.2">
      <c r="A53" s="552" t="s">
        <v>1327</v>
      </c>
      <c r="B53" s="552" t="s">
        <v>504</v>
      </c>
      <c r="C53" s="694">
        <v>3.8093784989248438</v>
      </c>
      <c r="D53" s="694">
        <v>1.6426448946135395</v>
      </c>
      <c r="E53" s="694">
        <v>0.90748405216263073</v>
      </c>
      <c r="F53" s="694">
        <v>0</v>
      </c>
      <c r="G53" s="694">
        <v>0</v>
      </c>
      <c r="H53" s="694">
        <v>0</v>
      </c>
      <c r="I53" s="720">
        <v>5.9284925161516573E-2</v>
      </c>
      <c r="J53" s="720">
        <v>5.9333232150480877E-2</v>
      </c>
      <c r="K53" s="720">
        <v>5.9333250319434726E-2</v>
      </c>
      <c r="L53" s="731">
        <v>1.5300240346645483E-2</v>
      </c>
      <c r="M53" s="720">
        <v>1.5312672150143498E-2</v>
      </c>
      <c r="N53" s="720">
        <v>1.5312675744009479E-2</v>
      </c>
      <c r="O53" s="720">
        <v>0.33847689946281551</v>
      </c>
      <c r="P53" s="720">
        <v>0.37186609503117846</v>
      </c>
      <c r="Q53" s="720">
        <v>0.36388584377424449</v>
      </c>
      <c r="R53" s="720">
        <v>2.5719157369020343E-3</v>
      </c>
      <c r="S53" s="720">
        <v>2.5832953652653013E-3</v>
      </c>
      <c r="T53" s="720">
        <v>2.1679293500441866E-3</v>
      </c>
      <c r="U53" s="720">
        <v>1.3284407489894326E-2</v>
      </c>
      <c r="V53" s="720">
        <v>6.1137219976141891E-3</v>
      </c>
      <c r="W53" s="720">
        <v>2.1480499088519026E-3</v>
      </c>
      <c r="X53" s="720">
        <v>1.9762664047663552</v>
      </c>
      <c r="Y53" s="720">
        <v>0.76168679893676994</v>
      </c>
      <c r="Z53" s="720">
        <v>0.13933934878435472</v>
      </c>
      <c r="AA53" s="720">
        <v>0.21570729622886456</v>
      </c>
      <c r="AB53" s="720">
        <v>0.16307026149814446</v>
      </c>
      <c r="AC53" s="720">
        <v>0.13821858316406341</v>
      </c>
      <c r="AD53" s="720">
        <v>0</v>
      </c>
      <c r="AE53" s="720">
        <v>0</v>
      </c>
      <c r="AF53" s="720">
        <v>0</v>
      </c>
      <c r="AG53" s="694">
        <f t="shared" si="12"/>
        <v>1.5300240346645484E-3</v>
      </c>
      <c r="AH53" s="694">
        <f t="shared" si="12"/>
        <v>1.5312672150143499E-3</v>
      </c>
      <c r="AI53" s="694">
        <f t="shared" si="12"/>
        <v>1.531267574400948E-3</v>
      </c>
      <c r="AJ53" s="720">
        <v>0</v>
      </c>
      <c r="AK53" s="720">
        <v>0</v>
      </c>
      <c r="AL53" s="720">
        <v>0</v>
      </c>
      <c r="AM53" s="684">
        <f t="shared" si="1"/>
        <v>0</v>
      </c>
    </row>
    <row r="54" spans="1:39" x14ac:dyDescent="0.2">
      <c r="A54" s="552" t="s">
        <v>1327</v>
      </c>
      <c r="B54" s="552" t="s">
        <v>509</v>
      </c>
      <c r="C54" s="694">
        <v>3.479277224946324</v>
      </c>
      <c r="D54" s="694">
        <v>2.8784853106311763</v>
      </c>
      <c r="E54" s="694">
        <v>2.9368480634210954</v>
      </c>
      <c r="F54" s="694">
        <v>1.5993088673373439E-2</v>
      </c>
      <c r="G54" s="694">
        <v>4.6314103074508823E-3</v>
      </c>
      <c r="H54" s="694">
        <v>4.1339436238504558E-3</v>
      </c>
      <c r="I54" s="720">
        <v>6.4035577432464172E-2</v>
      </c>
      <c r="J54" s="720">
        <v>6.4313633224345884E-2</v>
      </c>
      <c r="K54" s="720">
        <v>6.4760530882413903E-2</v>
      </c>
      <c r="L54" s="731">
        <v>2.0961324378626675E-2</v>
      </c>
      <c r="M54" s="720">
        <v>2.1077136392485936E-2</v>
      </c>
      <c r="N54" s="720">
        <v>2.1399920625132393E-2</v>
      </c>
      <c r="O54" s="720">
        <v>35.918800016332192</v>
      </c>
      <c r="P54" s="720">
        <v>24.499792761232644</v>
      </c>
      <c r="Q54" s="720">
        <v>22.701986226306307</v>
      </c>
      <c r="R54" s="720">
        <v>3.7430985449944242E-2</v>
      </c>
      <c r="S54" s="720">
        <v>2.2816723893233731E-2</v>
      </c>
      <c r="T54" s="720">
        <v>4.9022841166968421E-3</v>
      </c>
      <c r="U54" s="720">
        <v>0.11921655938550879</v>
      </c>
      <c r="V54" s="720">
        <v>2.2596209932907452E-2</v>
      </c>
      <c r="W54" s="720">
        <v>1.3505582886272812E-2</v>
      </c>
      <c r="X54" s="720">
        <v>1.9006269037872494</v>
      </c>
      <c r="Y54" s="720">
        <v>1.2210272775602733</v>
      </c>
      <c r="Z54" s="720">
        <v>1.1206046301848336</v>
      </c>
      <c r="AA54" s="720">
        <v>1.9133982933820246</v>
      </c>
      <c r="AB54" s="720">
        <v>1.0906610478865379</v>
      </c>
      <c r="AC54" s="720">
        <v>1.0888115119982049</v>
      </c>
      <c r="AD54" s="720">
        <v>7.4158951395483699E-4</v>
      </c>
      <c r="AE54" s="720">
        <v>7.3031323579242423E-4</v>
      </c>
      <c r="AF54" s="720">
        <v>6.9644272812585228E-4</v>
      </c>
      <c r="AG54" s="694">
        <f>0.36*L54</f>
        <v>7.5460767763056028E-3</v>
      </c>
      <c r="AH54" s="694">
        <f>0.36*M54</f>
        <v>7.5877691012949363E-3</v>
      </c>
      <c r="AI54" s="694">
        <f>0.36*N54</f>
        <v>7.7039714250476616E-3</v>
      </c>
      <c r="AJ54" s="720">
        <v>6.8286314710962149E-4</v>
      </c>
      <c r="AK54" s="720">
        <v>6.7247926719970889E-4</v>
      </c>
      <c r="AL54" s="720">
        <v>6.4129095212698693E-4</v>
      </c>
      <c r="AM54" s="684">
        <f t="shared" si="1"/>
        <v>9.049247275800136E-2</v>
      </c>
    </row>
    <row r="55" spans="1:39" x14ac:dyDescent="0.2">
      <c r="A55" s="552"/>
      <c r="B55" s="552"/>
      <c r="C55" s="694"/>
      <c r="D55" s="694"/>
      <c r="E55" s="694"/>
      <c r="F55" s="694"/>
      <c r="G55" s="694"/>
      <c r="H55" s="694"/>
      <c r="I55" s="720"/>
      <c r="J55" s="720"/>
      <c r="K55" s="720"/>
      <c r="L55" s="720"/>
      <c r="M55" s="720"/>
      <c r="N55" s="720"/>
      <c r="O55" s="720"/>
      <c r="P55" s="720"/>
      <c r="Q55" s="720"/>
      <c r="R55" s="720"/>
      <c r="S55" s="720"/>
      <c r="T55" s="720"/>
      <c r="U55" s="720"/>
      <c r="V55" s="720"/>
      <c r="W55" s="720"/>
      <c r="X55" s="720"/>
      <c r="Y55" s="720"/>
      <c r="Z55" s="720"/>
      <c r="AA55" s="720"/>
      <c r="AB55" s="720"/>
      <c r="AC55" s="720"/>
      <c r="AD55" s="720"/>
      <c r="AE55" s="720"/>
      <c r="AF55" s="720"/>
      <c r="AG55" s="694"/>
      <c r="AH55" s="694"/>
      <c r="AI55" s="694"/>
      <c r="AJ55" s="720"/>
      <c r="AK55" s="720"/>
      <c r="AL55" s="720"/>
    </row>
    <row r="56" spans="1:39" ht="16.5" customHeight="1" x14ac:dyDescent="0.2">
      <c r="A56" s="1186" t="s">
        <v>1328</v>
      </c>
      <c r="B56" s="1141"/>
      <c r="C56" s="694"/>
      <c r="D56" s="694"/>
      <c r="E56" s="694"/>
      <c r="F56" s="694"/>
      <c r="G56" s="694"/>
      <c r="H56" s="694"/>
      <c r="I56" s="720"/>
      <c r="J56" s="720"/>
      <c r="K56" s="720"/>
      <c r="L56" s="720"/>
      <c r="M56" s="720"/>
      <c r="N56" s="720"/>
      <c r="O56" s="720"/>
      <c r="P56" s="720"/>
      <c r="Q56" s="720"/>
      <c r="R56" s="720"/>
      <c r="S56" s="720"/>
      <c r="T56" s="720"/>
      <c r="U56" s="720"/>
      <c r="V56" s="720"/>
      <c r="W56" s="720"/>
      <c r="X56" s="720"/>
      <c r="Y56" s="720"/>
      <c r="Z56" s="720"/>
      <c r="AA56" s="720"/>
      <c r="AB56" s="720"/>
      <c r="AC56" s="720"/>
      <c r="AD56" s="720"/>
      <c r="AE56" s="720"/>
      <c r="AF56" s="720"/>
      <c r="AG56" s="720"/>
      <c r="AH56" s="720"/>
      <c r="AI56" s="720"/>
      <c r="AJ56" s="720"/>
      <c r="AK56" s="720"/>
      <c r="AL56" s="720"/>
    </row>
    <row r="57" spans="1:39" x14ac:dyDescent="0.2">
      <c r="A57" s="525" t="s">
        <v>1329</v>
      </c>
      <c r="B57" s="525" t="s">
        <v>1318</v>
      </c>
      <c r="C57" s="580">
        <v>6.5000000000000002E-2</v>
      </c>
      <c r="D57" s="580">
        <f t="shared" ref="D57:E59" si="13">C57</f>
        <v>6.5000000000000002E-2</v>
      </c>
      <c r="E57" s="580">
        <f t="shared" si="13"/>
        <v>6.5000000000000002E-2</v>
      </c>
      <c r="F57" s="723">
        <v>2.1508132663782174E-2</v>
      </c>
      <c r="G57" s="723">
        <v>2.1508132663782174E-2</v>
      </c>
      <c r="H57" s="723">
        <v>1.5931950121320128E-2</v>
      </c>
      <c r="I57" s="693">
        <v>8.1908342965276229E-3</v>
      </c>
      <c r="J57" s="693">
        <v>4.1193391755001097E-3</v>
      </c>
      <c r="K57" s="693">
        <v>4.1193391755001097E-3</v>
      </c>
      <c r="L57" s="693">
        <v>8.1908342965276229E-3</v>
      </c>
      <c r="M57" s="693">
        <v>3.9834009827086061E-3</v>
      </c>
      <c r="N57" s="693">
        <v>3.9834009827086061E-3</v>
      </c>
      <c r="O57" s="693">
        <v>0.1497</v>
      </c>
      <c r="P57" s="693">
        <v>5.7633829563875541E-2</v>
      </c>
      <c r="Q57" s="693">
        <v>5.7633829563875541E-2</v>
      </c>
      <c r="R57" s="693">
        <v>7.9197146620266709E-3</v>
      </c>
      <c r="S57" s="693">
        <v>3.982987530330032E-3</v>
      </c>
      <c r="T57" s="693">
        <v>3.982987530330032E-3</v>
      </c>
      <c r="U57" s="693">
        <v>6.8901517559632032E-3</v>
      </c>
      <c r="V57" s="693">
        <v>3.4651991513871272E-3</v>
      </c>
      <c r="W57" s="693">
        <v>3.4651991513871272E-3</v>
      </c>
      <c r="X57" s="693">
        <v>9.4153068416053688E-3</v>
      </c>
      <c r="Y57" s="693">
        <v>4.7351516241051824E-3</v>
      </c>
      <c r="Z57" s="693">
        <v>4.7351516241051824E-3</v>
      </c>
      <c r="AD57" s="693">
        <v>5.7335840075693357E-3</v>
      </c>
      <c r="AE57" s="693">
        <v>2.8835374228500768E-3</v>
      </c>
      <c r="AF57" s="693">
        <v>2.8835374228500768E-3</v>
      </c>
      <c r="AG57" s="693">
        <f>0.2*L57</f>
        <v>1.6381668593055247E-3</v>
      </c>
      <c r="AH57" s="693">
        <f t="shared" ref="AH57:AI60" si="14">0.2*M57</f>
        <v>7.9668019654172129E-4</v>
      </c>
      <c r="AI57" s="693">
        <f t="shared" si="14"/>
        <v>7.9668019654172129E-4</v>
      </c>
      <c r="AJ57" s="693">
        <f>0.66*0.00819083429652762</f>
        <v>5.4059506357082288E-3</v>
      </c>
      <c r="AK57" s="693">
        <f>0.66*0.00398340098270861</f>
        <v>2.6290446485876823E-3</v>
      </c>
      <c r="AL57" s="693">
        <f>AK57</f>
        <v>2.6290446485876823E-3</v>
      </c>
    </row>
    <row r="58" spans="1:39" x14ac:dyDescent="0.2">
      <c r="A58" s="525" t="s">
        <v>1329</v>
      </c>
      <c r="B58" s="525" t="s">
        <v>1330</v>
      </c>
      <c r="C58" s="580">
        <v>6.5000000000000002E-2</v>
      </c>
      <c r="D58" s="580">
        <f t="shared" si="13"/>
        <v>6.5000000000000002E-2</v>
      </c>
      <c r="E58" s="580">
        <f t="shared" si="13"/>
        <v>6.5000000000000002E-2</v>
      </c>
      <c r="F58" s="723">
        <v>2.1508132663782174E-2</v>
      </c>
      <c r="G58" s="723">
        <v>2.1508132663782174E-2</v>
      </c>
      <c r="H58" s="723">
        <v>1.5931950121320128E-2</v>
      </c>
      <c r="I58" s="693">
        <v>8.1908342965276229E-3</v>
      </c>
      <c r="J58" s="693">
        <v>4.1193391755001097E-3</v>
      </c>
      <c r="K58" s="693">
        <v>4.1193391755001097E-3</v>
      </c>
      <c r="L58" s="693">
        <v>8.1908342965276229E-3</v>
      </c>
      <c r="M58" s="693">
        <v>3.9834009827086061E-3</v>
      </c>
      <c r="N58" s="693">
        <v>3.9834009827086061E-3</v>
      </c>
      <c r="O58" s="693">
        <v>0.1497</v>
      </c>
      <c r="P58" s="693">
        <v>5.7633829563875541E-2</v>
      </c>
      <c r="Q58" s="693">
        <v>5.7633829563875541E-2</v>
      </c>
      <c r="R58" s="693">
        <v>7.9197146620266709E-3</v>
      </c>
      <c r="S58" s="693">
        <v>3.982987530330032E-3</v>
      </c>
      <c r="T58" s="693">
        <v>3.982987530330032E-3</v>
      </c>
      <c r="U58" s="693">
        <v>6.8901517559632032E-3</v>
      </c>
      <c r="V58" s="693">
        <v>3.4651991513871272E-3</v>
      </c>
      <c r="W58" s="693">
        <v>3.4651991513871272E-3</v>
      </c>
      <c r="X58" s="693">
        <v>9.4153068416053688E-3</v>
      </c>
      <c r="Y58" s="693">
        <v>4.7351516241051824E-3</v>
      </c>
      <c r="Z58" s="693">
        <v>4.7351516241051824E-3</v>
      </c>
      <c r="AD58" s="693">
        <v>5.7335840075693357E-3</v>
      </c>
      <c r="AE58" s="693">
        <v>2.8835374228500768E-3</v>
      </c>
      <c r="AF58" s="693">
        <v>2.8835374228500768E-3</v>
      </c>
      <c r="AG58" s="693">
        <f>0.2*L58</f>
        <v>1.6381668593055247E-3</v>
      </c>
      <c r="AH58" s="693">
        <f t="shared" si="14"/>
        <v>7.9668019654172129E-4</v>
      </c>
      <c r="AI58" s="693">
        <f t="shared" si="14"/>
        <v>7.9668019654172129E-4</v>
      </c>
      <c r="AJ58" s="693">
        <f>0.66*0.00819083429652762</f>
        <v>5.4059506357082288E-3</v>
      </c>
      <c r="AK58" s="693">
        <f>0.66*0.00398340098270861</f>
        <v>2.6290446485876823E-3</v>
      </c>
      <c r="AL58" s="693">
        <f>AK58</f>
        <v>2.6290446485876823E-3</v>
      </c>
    </row>
    <row r="59" spans="1:39" x14ac:dyDescent="0.2">
      <c r="A59" s="525" t="s">
        <v>1329</v>
      </c>
      <c r="B59" s="525" t="s">
        <v>1331</v>
      </c>
      <c r="C59" s="580">
        <v>6.5000000000000002E-2</v>
      </c>
      <c r="D59" s="580">
        <f t="shared" si="13"/>
        <v>6.5000000000000002E-2</v>
      </c>
      <c r="E59" s="580">
        <f t="shared" si="13"/>
        <v>6.5000000000000002E-2</v>
      </c>
      <c r="F59" s="723">
        <v>2.1508132663782174E-2</v>
      </c>
      <c r="G59" s="723">
        <v>2.1508132663782174E-2</v>
      </c>
      <c r="H59" s="723">
        <v>1.5931950121320128E-2</v>
      </c>
      <c r="I59" s="693">
        <v>8.1908342965276229E-3</v>
      </c>
      <c r="J59" s="693">
        <v>4.1193391755001097E-3</v>
      </c>
      <c r="K59" s="693">
        <v>4.1193391755001097E-3</v>
      </c>
      <c r="L59" s="693">
        <v>8.1908342965276229E-3</v>
      </c>
      <c r="M59" s="693">
        <v>3.9834009827086061E-3</v>
      </c>
      <c r="N59" s="693">
        <v>3.9834009827086061E-3</v>
      </c>
      <c r="O59" s="693">
        <v>0.1497</v>
      </c>
      <c r="P59" s="693">
        <v>5.7633829563875541E-2</v>
      </c>
      <c r="Q59" s="693">
        <v>5.7633829563875541E-2</v>
      </c>
      <c r="R59" s="693">
        <v>7.9197146620266709E-3</v>
      </c>
      <c r="S59" s="693">
        <v>3.982987530330032E-3</v>
      </c>
      <c r="T59" s="693">
        <v>3.982987530330032E-3</v>
      </c>
      <c r="U59" s="693">
        <v>6.8901517559632032E-3</v>
      </c>
      <c r="V59" s="693">
        <v>3.4651991513871272E-3</v>
      </c>
      <c r="W59" s="693">
        <v>3.4651991513871272E-3</v>
      </c>
      <c r="X59" s="693">
        <v>9.4153068416053688E-3</v>
      </c>
      <c r="Y59" s="693">
        <v>4.7351516241051824E-3</v>
      </c>
      <c r="Z59" s="693">
        <v>4.7351516241051824E-3</v>
      </c>
      <c r="AD59" s="693">
        <v>5.7335840075693357E-3</v>
      </c>
      <c r="AE59" s="693">
        <v>2.8835374228500768E-3</v>
      </c>
      <c r="AF59" s="693">
        <v>2.8835374228500768E-3</v>
      </c>
      <c r="AG59" s="693">
        <f>0.2*L59</f>
        <v>1.6381668593055247E-3</v>
      </c>
      <c r="AH59" s="693">
        <f t="shared" si="14"/>
        <v>7.9668019654172129E-4</v>
      </c>
      <c r="AI59" s="693">
        <f t="shared" si="14"/>
        <v>7.9668019654172129E-4</v>
      </c>
      <c r="AJ59" s="693">
        <f>0.66*0.00819083429652762</f>
        <v>5.4059506357082288E-3</v>
      </c>
      <c r="AK59" s="693">
        <f>0.66*0.00398340098270861</f>
        <v>2.6290446485876823E-3</v>
      </c>
      <c r="AL59" s="693">
        <f>AK59</f>
        <v>2.6290446485876823E-3</v>
      </c>
    </row>
    <row r="60" spans="1:39" x14ac:dyDescent="0.2">
      <c r="A60" s="525" t="s">
        <v>1332</v>
      </c>
      <c r="B60" s="525" t="s">
        <v>1321</v>
      </c>
      <c r="C60" s="693">
        <v>0.18</v>
      </c>
      <c r="D60" s="724">
        <v>0.1636</v>
      </c>
      <c r="E60" s="724">
        <v>0.1636</v>
      </c>
      <c r="F60" s="723">
        <v>1.0849608754244008E-3</v>
      </c>
      <c r="G60" s="723">
        <v>1.0849608754244008E-3</v>
      </c>
      <c r="H60" s="723">
        <v>1.0849608754244008E-3</v>
      </c>
      <c r="I60" s="693">
        <v>0.04</v>
      </c>
      <c r="J60" s="693">
        <v>3.6400000000000002E-2</v>
      </c>
      <c r="K60" s="693">
        <v>3.6400000000000002E-2</v>
      </c>
      <c r="L60" s="693">
        <v>3.8679999999999999E-2</v>
      </c>
      <c r="M60" s="693">
        <v>3.5198800000000002E-2</v>
      </c>
      <c r="N60" s="693">
        <v>3.5198800000000002E-2</v>
      </c>
      <c r="O60" s="693">
        <v>0.1497</v>
      </c>
      <c r="P60" s="693">
        <v>5.7633829563875541E-2</v>
      </c>
      <c r="Q60" s="693">
        <v>5.7633829563875541E-2</v>
      </c>
      <c r="R60" s="693">
        <f>R59</f>
        <v>7.9197146620266709E-3</v>
      </c>
      <c r="S60" s="693">
        <v>3.982987530330032E-3</v>
      </c>
      <c r="T60" s="693">
        <v>3.982987530330032E-3</v>
      </c>
      <c r="U60" s="693">
        <f>U59</f>
        <v>6.8901517559632032E-3</v>
      </c>
      <c r="V60" s="693">
        <v>3.4651991513871272E-3</v>
      </c>
      <c r="W60" s="693">
        <v>3.4651991513871272E-3</v>
      </c>
      <c r="X60" s="693">
        <f>X59</f>
        <v>9.4153068416053688E-3</v>
      </c>
      <c r="Y60" s="693">
        <v>4.7351516241051824E-3</v>
      </c>
      <c r="Z60" s="693">
        <v>4.7351516241051824E-3</v>
      </c>
      <c r="AD60" s="693">
        <v>5.7335840075693357E-3</v>
      </c>
      <c r="AE60" s="693">
        <v>2.8835374228500768E-3</v>
      </c>
      <c r="AF60" s="693">
        <v>2.8835374228500768E-3</v>
      </c>
      <c r="AG60" s="693">
        <f>0.2*L60</f>
        <v>7.7359999999999998E-3</v>
      </c>
      <c r="AH60" s="693">
        <f t="shared" si="14"/>
        <v>7.0397600000000008E-3</v>
      </c>
      <c r="AI60" s="693">
        <f t="shared" si="14"/>
        <v>7.0397600000000008E-3</v>
      </c>
      <c r="AJ60" s="693">
        <f>0.66*0.04</f>
        <v>2.6400000000000003E-2</v>
      </c>
      <c r="AK60" s="693">
        <f>0.66*0.03868</f>
        <v>2.5528800000000001E-2</v>
      </c>
      <c r="AL60" s="693">
        <f>AK60</f>
        <v>2.5528800000000001E-2</v>
      </c>
    </row>
    <row r="61" spans="1:39" ht="12.75" x14ac:dyDescent="0.2">
      <c r="A61" s="1186" t="s">
        <v>1333</v>
      </c>
      <c r="B61" s="1141"/>
      <c r="C61" s="694"/>
      <c r="D61" s="694"/>
      <c r="E61" s="694"/>
      <c r="F61" s="694"/>
      <c r="G61" s="694" t="s">
        <v>1334</v>
      </c>
      <c r="H61" s="694"/>
      <c r="I61" s="720"/>
      <c r="J61" s="720"/>
      <c r="K61" s="720"/>
      <c r="L61" s="720"/>
      <c r="M61" s="720"/>
      <c r="N61" s="720"/>
      <c r="O61" s="720"/>
      <c r="P61" s="720"/>
      <c r="Q61" s="720"/>
      <c r="R61" s="720"/>
      <c r="S61" s="720"/>
      <c r="T61" s="720"/>
      <c r="U61" s="720"/>
      <c r="V61" s="720"/>
      <c r="W61" s="720"/>
      <c r="X61" s="720"/>
      <c r="Y61" s="720"/>
      <c r="Z61" s="720"/>
      <c r="AA61" s="720"/>
      <c r="AB61" s="720"/>
      <c r="AC61" s="720"/>
      <c r="AD61" s="720"/>
      <c r="AE61" s="720"/>
      <c r="AF61" s="720"/>
      <c r="AG61" s="720"/>
      <c r="AH61" s="720"/>
      <c r="AI61" s="720"/>
      <c r="AJ61" s="720"/>
      <c r="AK61" s="720"/>
      <c r="AL61" s="720"/>
    </row>
    <row r="62" spans="1:39" x14ac:dyDescent="0.2">
      <c r="A62" s="525" t="s">
        <v>1335</v>
      </c>
      <c r="B62" s="525" t="s">
        <v>922</v>
      </c>
      <c r="C62" s="693">
        <v>2.0867907816968794</v>
      </c>
      <c r="D62" s="724">
        <v>1.279773520969089</v>
      </c>
      <c r="E62" s="724">
        <v>0.27100194505935099</v>
      </c>
      <c r="F62" s="724">
        <v>3.4426155231705131</v>
      </c>
      <c r="G62" s="724">
        <v>0.40423070386530668</v>
      </c>
      <c r="H62" s="724">
        <v>7.1764650460270724E-2</v>
      </c>
      <c r="I62" s="693">
        <v>8.7175450858252762E-2</v>
      </c>
      <c r="J62" s="693">
        <v>3.6954810689911494E-2</v>
      </c>
      <c r="K62" s="693">
        <v>9.5892995944078033E-3</v>
      </c>
      <c r="L62" s="693">
        <v>8.0201414789592543E-2</v>
      </c>
      <c r="M62" s="693">
        <v>3.3998425834718571E-2</v>
      </c>
      <c r="N62" s="693">
        <v>8.8221556268551805E-3</v>
      </c>
      <c r="O62" s="693">
        <v>0.36348372770897563</v>
      </c>
      <c r="P62" s="693">
        <v>0.25015564159324705</v>
      </c>
      <c r="Q62" s="693">
        <v>0.25015564159324705</v>
      </c>
      <c r="R62" s="693">
        <v>8.6497292850933982E-4</v>
      </c>
      <c r="S62" s="693">
        <f>R62</f>
        <v>8.6497292850933982E-4</v>
      </c>
      <c r="T62" s="693">
        <f>S62</f>
        <v>8.6497292850933982E-4</v>
      </c>
      <c r="U62" s="693">
        <v>2.7030404015916873E-3</v>
      </c>
      <c r="V62" s="693">
        <f>U62</f>
        <v>2.7030404015916873E-3</v>
      </c>
      <c r="W62" s="693">
        <f>V62</f>
        <v>2.7030404015916873E-3</v>
      </c>
      <c r="X62" s="693">
        <v>6.0909108490961816E-2</v>
      </c>
      <c r="Y62" s="693">
        <v>5.2949610803903951E-2</v>
      </c>
      <c r="Z62" s="693">
        <v>6.9835116611448138E-3</v>
      </c>
      <c r="AA62" s="693"/>
      <c r="AB62" s="693"/>
      <c r="AC62" s="693"/>
      <c r="AD62" s="693"/>
      <c r="AE62" s="693"/>
      <c r="AF62" s="693"/>
      <c r="AG62" s="693">
        <f t="shared" ref="AG62:AI63" si="15">0.21*L62</f>
        <v>1.6842297105814433E-2</v>
      </c>
      <c r="AH62" s="693">
        <f t="shared" si="15"/>
        <v>7.1396694252908992E-3</v>
      </c>
      <c r="AI62" s="693">
        <f t="shared" si="15"/>
        <v>1.8526526816395879E-3</v>
      </c>
      <c r="AJ62" s="693">
        <f t="shared" ref="AJ62:AL63" si="16">0.51*L62</f>
        <v>4.09027215426922E-2</v>
      </c>
      <c r="AK62" s="693">
        <f t="shared" si="16"/>
        <v>1.7339197175706471E-2</v>
      </c>
      <c r="AL62" s="693">
        <f t="shared" si="16"/>
        <v>4.4992993696961418E-3</v>
      </c>
    </row>
    <row r="63" spans="1:39" x14ac:dyDescent="0.2">
      <c r="A63" s="525" t="s">
        <v>1335</v>
      </c>
      <c r="B63" s="525" t="s">
        <v>1336</v>
      </c>
      <c r="C63" s="693">
        <v>2.3297866254190249</v>
      </c>
      <c r="D63" s="724">
        <v>2.0502459099730128</v>
      </c>
      <c r="E63" s="724">
        <v>0.44204480605167623</v>
      </c>
      <c r="F63" s="724">
        <v>1.7572333528187587</v>
      </c>
      <c r="G63" s="724">
        <v>1.7572333528187587</v>
      </c>
      <c r="H63" s="724">
        <v>6.441224316752997E-2</v>
      </c>
      <c r="I63" s="693">
        <v>0.22733732882657637</v>
      </c>
      <c r="J63" s="693">
        <v>0.22733732882657637</v>
      </c>
      <c r="K63" s="693">
        <v>3.1995624057073714E-2</v>
      </c>
      <c r="L63" s="693">
        <v>0.20915034252045028</v>
      </c>
      <c r="M63" s="693">
        <v>0.20915034252045028</v>
      </c>
      <c r="N63" s="693">
        <v>2.9435974132507807E-2</v>
      </c>
      <c r="O63" s="693">
        <v>0.19534170476950266</v>
      </c>
      <c r="P63" s="693">
        <v>0.19534170476950266</v>
      </c>
      <c r="Q63" s="693">
        <v>0.19534170476950266</v>
      </c>
      <c r="R63" s="693">
        <v>7.3410763464156143E-4</v>
      </c>
      <c r="S63" s="693">
        <f>R63</f>
        <v>7.3410763464156143E-4</v>
      </c>
      <c r="T63" s="693">
        <f>S63</f>
        <v>7.3410763464156143E-4</v>
      </c>
      <c r="U63" s="693">
        <v>2.1117829623188917E-3</v>
      </c>
      <c r="V63" s="693">
        <f>U63</f>
        <v>2.1117829623188917E-3</v>
      </c>
      <c r="W63" s="693">
        <f>V63</f>
        <v>2.1117829623188917E-3</v>
      </c>
      <c r="X63" s="693">
        <v>7.7463089822388975E-2</v>
      </c>
      <c r="Y63" s="693">
        <v>7.7463089822388975E-2</v>
      </c>
      <c r="Z63" s="693">
        <v>7.7463089822388975E-2</v>
      </c>
      <c r="AA63" s="693"/>
      <c r="AB63" s="693"/>
      <c r="AC63" s="693"/>
      <c r="AD63" s="693"/>
      <c r="AE63" s="693"/>
      <c r="AF63" s="693"/>
      <c r="AG63" s="693">
        <f t="shared" si="15"/>
        <v>4.3921571929294558E-2</v>
      </c>
      <c r="AH63" s="693">
        <f t="shared" si="15"/>
        <v>4.3921571929294558E-2</v>
      </c>
      <c r="AI63" s="693">
        <f t="shared" si="15"/>
        <v>6.1815545678266396E-3</v>
      </c>
      <c r="AJ63" s="693">
        <f t="shared" si="16"/>
        <v>0.10666667468542965</v>
      </c>
      <c r="AK63" s="693">
        <f t="shared" si="16"/>
        <v>0.10666667468542965</v>
      </c>
      <c r="AL63" s="693">
        <f t="shared" si="16"/>
        <v>1.5012346807578982E-2</v>
      </c>
    </row>
    <row r="64" spans="1:39" x14ac:dyDescent="0.2">
      <c r="A64" s="525"/>
      <c r="B64" s="525"/>
      <c r="D64" s="724"/>
      <c r="E64" s="724"/>
      <c r="F64" s="723"/>
      <c r="G64" s="723"/>
      <c r="H64" s="723"/>
      <c r="I64" s="693"/>
      <c r="J64" s="693"/>
      <c r="K64" s="693"/>
      <c r="L64" s="693"/>
      <c r="M64" s="693"/>
      <c r="N64" s="693"/>
      <c r="O64" s="693"/>
      <c r="P64" s="693"/>
      <c r="Q64" s="693"/>
      <c r="R64" s="693"/>
      <c r="S64" s="693"/>
      <c r="T64" s="693"/>
      <c r="U64" s="693"/>
      <c r="V64" s="693"/>
      <c r="W64" s="693"/>
      <c r="X64" s="693"/>
      <c r="Y64" s="693"/>
      <c r="Z64" s="693"/>
      <c r="AD64" s="693"/>
      <c r="AE64" s="693"/>
      <c r="AF64" s="693"/>
      <c r="AG64" s="693"/>
      <c r="AH64" s="693"/>
      <c r="AI64" s="693"/>
    </row>
    <row r="65" spans="1:38" ht="12.75" x14ac:dyDescent="0.2">
      <c r="A65" s="1184" t="s">
        <v>1337</v>
      </c>
      <c r="B65" s="1185"/>
      <c r="C65" s="527" t="s">
        <v>1338</v>
      </c>
      <c r="D65" s="527"/>
      <c r="E65" s="527"/>
      <c r="F65" s="527" t="s">
        <v>1339</v>
      </c>
      <c r="G65" s="527"/>
      <c r="H65" s="527"/>
      <c r="I65" s="527" t="s">
        <v>1340</v>
      </c>
      <c r="J65" s="527"/>
      <c r="K65" s="527"/>
      <c r="L65" s="527" t="s">
        <v>1341</v>
      </c>
      <c r="M65" s="527"/>
      <c r="N65" s="527"/>
      <c r="O65" s="527" t="s">
        <v>1342</v>
      </c>
      <c r="P65" s="527"/>
      <c r="Q65" s="527"/>
      <c r="R65" s="527" t="s">
        <v>1343</v>
      </c>
      <c r="S65" s="527"/>
      <c r="T65" s="527"/>
      <c r="U65" s="527" t="s">
        <v>1344</v>
      </c>
      <c r="V65" s="527" t="s">
        <v>1345</v>
      </c>
      <c r="W65" s="527" t="s">
        <v>1346</v>
      </c>
      <c r="X65" s="527" t="s">
        <v>1347</v>
      </c>
      <c r="Y65" s="527"/>
      <c r="Z65" s="527"/>
      <c r="AA65" s="527" t="s">
        <v>1348</v>
      </c>
      <c r="AB65" s="527"/>
      <c r="AC65" s="527"/>
      <c r="AD65" s="693"/>
      <c r="AE65" s="693"/>
      <c r="AF65" s="693"/>
      <c r="AG65" s="693"/>
      <c r="AH65" s="693"/>
      <c r="AI65" s="693"/>
    </row>
    <row r="66" spans="1:38" ht="12.75" x14ac:dyDescent="0.2">
      <c r="A66" s="1147" t="s">
        <v>751</v>
      </c>
      <c r="B66" s="1185"/>
      <c r="C66" s="527">
        <v>2005</v>
      </c>
      <c r="D66" s="527">
        <v>2010</v>
      </c>
      <c r="E66" s="527">
        <v>2015</v>
      </c>
      <c r="F66" s="527">
        <v>2005</v>
      </c>
      <c r="G66" s="527">
        <v>2010</v>
      </c>
      <c r="H66" s="527">
        <v>2015</v>
      </c>
      <c r="I66" s="527">
        <v>2005</v>
      </c>
      <c r="J66" s="527">
        <v>2010</v>
      </c>
      <c r="K66" s="527">
        <v>2015</v>
      </c>
      <c r="L66" s="527">
        <v>2005</v>
      </c>
      <c r="M66" s="527">
        <v>2010</v>
      </c>
      <c r="N66" s="527">
        <v>2015</v>
      </c>
      <c r="O66" s="527">
        <v>2005</v>
      </c>
      <c r="P66" s="527">
        <v>2010</v>
      </c>
      <c r="Q66" s="527">
        <v>2015</v>
      </c>
      <c r="R66" s="527">
        <v>2005</v>
      </c>
      <c r="S66" s="527">
        <v>2010</v>
      </c>
      <c r="T66" s="527">
        <v>2015</v>
      </c>
      <c r="U66" s="527" t="s">
        <v>1349</v>
      </c>
      <c r="V66" s="527" t="s">
        <v>1349</v>
      </c>
      <c r="W66" s="527" t="s">
        <v>1349</v>
      </c>
      <c r="X66" s="527">
        <v>2005</v>
      </c>
      <c r="Y66" s="527">
        <v>2010</v>
      </c>
      <c r="Z66" s="527">
        <v>2015</v>
      </c>
      <c r="AA66" s="527">
        <v>2005</v>
      </c>
      <c r="AB66" s="527">
        <v>2010</v>
      </c>
      <c r="AC66" s="527">
        <v>2015</v>
      </c>
      <c r="AD66" s="693"/>
      <c r="AE66" s="693"/>
      <c r="AF66" s="693"/>
      <c r="AG66" s="693"/>
      <c r="AH66" s="693"/>
      <c r="AI66" s="693"/>
    </row>
    <row r="67" spans="1:38" x14ac:dyDescent="0.2">
      <c r="A67" s="525" t="s">
        <v>1350</v>
      </c>
      <c r="B67" s="525" t="s">
        <v>922</v>
      </c>
      <c r="C67" s="580">
        <v>0.20462837580078203</v>
      </c>
      <c r="D67" s="580">
        <v>0.27793701448229979</v>
      </c>
      <c r="E67" s="580">
        <v>0.34985990795523431</v>
      </c>
      <c r="F67" s="580"/>
      <c r="G67" s="580"/>
      <c r="H67" s="580"/>
      <c r="I67" s="580">
        <v>8.0264536199111686E-3</v>
      </c>
      <c r="J67" s="580">
        <v>1.1629391162227428E-3</v>
      </c>
      <c r="K67" s="580">
        <v>1.0167565824545565E-2</v>
      </c>
      <c r="L67" s="580">
        <v>7.7856600113138334E-3</v>
      </c>
      <c r="M67" s="580">
        <v>1.1280509427360605E-3</v>
      </c>
      <c r="N67" s="580">
        <v>9.8625388498091993E-3</v>
      </c>
      <c r="O67" s="580">
        <v>1.4712065610292193E-2</v>
      </c>
      <c r="P67" s="580">
        <v>3.3704421020856069E-3</v>
      </c>
      <c r="Q67" s="580">
        <v>1.5799304998061744E-2</v>
      </c>
      <c r="R67" s="580"/>
      <c r="S67" s="580"/>
      <c r="T67" s="580"/>
      <c r="U67" s="734"/>
      <c r="V67" s="580"/>
      <c r="W67" s="580"/>
      <c r="X67" s="580">
        <v>5.1385356074671292E-3</v>
      </c>
      <c r="Y67" s="580">
        <v>7.4451362220579983E-4</v>
      </c>
      <c r="Z67" s="580">
        <v>6.509275640874071E-3</v>
      </c>
      <c r="AA67" s="693">
        <f t="shared" ref="AA67:AC69" si="17">0.21*L67</f>
        <v>1.634988602375905E-3</v>
      </c>
      <c r="AB67" s="693">
        <f t="shared" si="17"/>
        <v>2.3689069797457269E-4</v>
      </c>
      <c r="AC67" s="693">
        <f t="shared" si="17"/>
        <v>2.071133158459932E-3</v>
      </c>
      <c r="AD67" s="693"/>
      <c r="AE67" s="693"/>
      <c r="AF67" s="693"/>
      <c r="AG67" s="693"/>
      <c r="AH67" s="693"/>
      <c r="AI67" s="693"/>
    </row>
    <row r="68" spans="1:38" x14ac:dyDescent="0.2">
      <c r="A68" s="525" t="s">
        <v>1351</v>
      </c>
      <c r="B68" s="525" t="s">
        <v>922</v>
      </c>
      <c r="C68" s="580"/>
      <c r="D68" s="580">
        <f>E68</f>
        <v>0.21294284705228111</v>
      </c>
      <c r="E68" s="580">
        <v>0.21294284705228111</v>
      </c>
      <c r="F68" s="580"/>
      <c r="G68" s="580"/>
      <c r="H68" s="580"/>
      <c r="I68" s="580"/>
      <c r="J68" s="580">
        <f>K68</f>
        <v>3.5322917081531896E-3</v>
      </c>
      <c r="K68" s="580">
        <v>3.5322917081531896E-3</v>
      </c>
      <c r="L68" s="580"/>
      <c r="M68" s="580">
        <f>N68</f>
        <v>3.4263229569085939E-3</v>
      </c>
      <c r="N68" s="580">
        <v>3.4263229569085939E-3</v>
      </c>
      <c r="O68" s="580"/>
      <c r="P68" s="580">
        <f>Q68</f>
        <v>5.5105870022214651E-3</v>
      </c>
      <c r="Q68" s="580">
        <v>5.5105870022214651E-3</v>
      </c>
      <c r="R68" s="580"/>
      <c r="S68" s="580"/>
      <c r="T68" s="580"/>
      <c r="U68" s="734"/>
      <c r="V68" s="580"/>
      <c r="W68" s="580"/>
      <c r="X68" s="580"/>
      <c r="Y68" s="580">
        <f>Z68</f>
        <v>2.261373151559672E-3</v>
      </c>
      <c r="Z68" s="580">
        <v>2.261373151559672E-3</v>
      </c>
      <c r="AA68" s="693"/>
      <c r="AB68" s="693">
        <f>AC68</f>
        <v>7.195278209508047E-4</v>
      </c>
      <c r="AC68" s="693">
        <f t="shared" si="17"/>
        <v>7.195278209508047E-4</v>
      </c>
      <c r="AD68" s="693"/>
      <c r="AE68" s="693"/>
      <c r="AF68" s="693"/>
      <c r="AG68" s="693"/>
      <c r="AH68" s="693"/>
      <c r="AI68" s="693"/>
    </row>
    <row r="69" spans="1:38" x14ac:dyDescent="0.2">
      <c r="A69" s="525" t="s">
        <v>1352</v>
      </c>
      <c r="B69" s="525" t="s">
        <v>1318</v>
      </c>
      <c r="C69" s="580"/>
      <c r="D69" s="580">
        <f>E69</f>
        <v>0.24594898834538476</v>
      </c>
      <c r="E69" s="580">
        <v>0.24594898834538476</v>
      </c>
      <c r="F69" s="580"/>
      <c r="G69" s="580"/>
      <c r="H69" s="580"/>
      <c r="I69" s="580"/>
      <c r="J69" s="580">
        <f>K69</f>
        <v>4.0797969229169348E-3</v>
      </c>
      <c r="K69" s="580">
        <v>4.0797969229169348E-3</v>
      </c>
      <c r="L69" s="580"/>
      <c r="M69" s="580">
        <f>N69</f>
        <v>3.9574030152294271E-3</v>
      </c>
      <c r="N69" s="580">
        <v>3.9574030152294271E-3</v>
      </c>
      <c r="O69" s="580"/>
      <c r="P69" s="580">
        <f>Q69</f>
        <v>6.3647279875657936E-3</v>
      </c>
      <c r="Q69" s="580">
        <v>6.3647279875657936E-3</v>
      </c>
      <c r="R69" s="580"/>
      <c r="S69" s="580"/>
      <c r="T69" s="580"/>
      <c r="U69" s="734">
        <v>0</v>
      </c>
      <c r="V69" s="580" t="s">
        <v>1353</v>
      </c>
      <c r="W69" s="580" t="s">
        <v>1353</v>
      </c>
      <c r="X69" s="580"/>
      <c r="Y69" s="580">
        <f>Z69</f>
        <v>2.6118859900514215E-3</v>
      </c>
      <c r="Z69" s="580">
        <v>2.6118859900514215E-3</v>
      </c>
      <c r="AA69" s="693"/>
      <c r="AB69" s="693">
        <f>AC69</f>
        <v>8.3105463319817967E-4</v>
      </c>
      <c r="AC69" s="693">
        <f t="shared" si="17"/>
        <v>8.3105463319817967E-4</v>
      </c>
      <c r="AD69" s="693"/>
      <c r="AE69" s="693"/>
      <c r="AF69" s="693"/>
      <c r="AG69" s="693"/>
      <c r="AH69" s="693"/>
      <c r="AI69" s="693"/>
    </row>
    <row r="70" spans="1:38" x14ac:dyDescent="0.2">
      <c r="A70" s="525" t="s">
        <v>1354</v>
      </c>
      <c r="B70" s="525" t="s">
        <v>922</v>
      </c>
      <c r="C70" s="580">
        <v>0.2275251480052142</v>
      </c>
      <c r="D70" s="580">
        <v>0.1403942853246887</v>
      </c>
      <c r="E70" s="580">
        <v>0.23676996214538096</v>
      </c>
      <c r="F70" s="580"/>
      <c r="G70" s="580"/>
      <c r="H70" s="580"/>
      <c r="I70" s="580">
        <v>8.9245689444615948E-3</v>
      </c>
      <c r="J70" s="580">
        <v>1.2930655071867181E-3</v>
      </c>
      <c r="K70" s="580">
        <v>3.927535419025077E-3</v>
      </c>
      <c r="L70" s="580">
        <v>8.656831876127747E-3</v>
      </c>
      <c r="M70" s="580">
        <v>1.2542735419711164E-3</v>
      </c>
      <c r="N70" s="580">
        <v>3.8097093564543245E-3</v>
      </c>
      <c r="O70" s="580">
        <v>1.6358263570947822E-2</v>
      </c>
      <c r="P70" s="580">
        <v>3.7475757461253438E-3</v>
      </c>
      <c r="Q70" s="580">
        <v>6.1271909058042617E-3</v>
      </c>
      <c r="R70" s="580"/>
      <c r="S70" s="580"/>
      <c r="T70" s="580"/>
      <c r="U70" s="734"/>
      <c r="V70" s="580"/>
      <c r="W70" s="580"/>
      <c r="X70" s="580">
        <v>5.7135090382443125E-3</v>
      </c>
      <c r="Y70" s="580">
        <v>8.2782053770093678E-4</v>
      </c>
      <c r="Z70" s="580">
        <v>2.514408175259854E-3</v>
      </c>
      <c r="AA70" s="693">
        <f t="shared" ref="AA70:AC71" si="18">0.21*L70</f>
        <v>1.8179346939868268E-3</v>
      </c>
      <c r="AB70" s="693">
        <f t="shared" si="18"/>
        <v>2.6339744381393445E-4</v>
      </c>
      <c r="AC70" s="693">
        <f t="shared" si="18"/>
        <v>8.0003896485540812E-4</v>
      </c>
      <c r="AD70" s="693"/>
      <c r="AE70" s="693"/>
      <c r="AF70" s="693"/>
      <c r="AG70" s="693"/>
      <c r="AH70" s="693"/>
      <c r="AI70" s="693"/>
      <c r="AJ70" s="693"/>
      <c r="AK70" s="693"/>
      <c r="AL70" s="693"/>
    </row>
    <row r="71" spans="1:38" x14ac:dyDescent="0.2">
      <c r="A71" s="525" t="s">
        <v>1355</v>
      </c>
      <c r="B71" s="525" t="s">
        <v>922</v>
      </c>
      <c r="C71" s="580">
        <v>1.3880039828017605</v>
      </c>
      <c r="D71" s="580">
        <v>0.85646720330364934</v>
      </c>
      <c r="E71" s="580">
        <v>1.4444014358275659</v>
      </c>
      <c r="F71" s="580"/>
      <c r="G71" s="580"/>
      <c r="H71" s="580"/>
      <c r="I71" s="580">
        <v>5.4443815764126949E-2</v>
      </c>
      <c r="J71" s="580">
        <v>7.8882712075309235E-3</v>
      </c>
      <c r="K71" s="580">
        <v>2.3959702265864948E-2</v>
      </c>
      <c r="L71" s="580">
        <v>5.2810501291203141E-2</v>
      </c>
      <c r="M71" s="580">
        <v>7.6516230713049955E-3</v>
      </c>
      <c r="N71" s="580">
        <v>2.3240911197889E-2</v>
      </c>
      <c r="O71" s="580">
        <v>9.979263913137279E-2</v>
      </c>
      <c r="P71" s="580">
        <v>2.2861868708042993E-2</v>
      </c>
      <c r="Q71" s="580">
        <v>3.7378573116885271E-2</v>
      </c>
      <c r="R71" s="580"/>
      <c r="S71" s="580"/>
      <c r="T71" s="580"/>
      <c r="U71" s="734"/>
      <c r="V71" s="580" t="s">
        <v>1353</v>
      </c>
      <c r="W71" s="580" t="s">
        <v>1353</v>
      </c>
      <c r="X71" s="580">
        <v>3.4854930852194065E-2</v>
      </c>
      <c r="Y71" s="580">
        <v>5.0500712270612966E-3</v>
      </c>
      <c r="Z71" s="580">
        <v>1.5339001390606738E-2</v>
      </c>
      <c r="AA71" s="693">
        <f t="shared" si="18"/>
        <v>1.109020527115266E-2</v>
      </c>
      <c r="AB71" s="693">
        <f t="shared" si="18"/>
        <v>1.6068408449740491E-3</v>
      </c>
      <c r="AC71" s="693">
        <f t="shared" si="18"/>
        <v>4.8805913515566901E-3</v>
      </c>
      <c r="AJ71" s="693"/>
      <c r="AK71" s="693"/>
      <c r="AL71" s="693"/>
    </row>
    <row r="72" spans="1:38" ht="12.75" x14ac:dyDescent="0.2">
      <c r="A72" s="1184" t="s">
        <v>1337</v>
      </c>
      <c r="B72" s="1185"/>
      <c r="C72" s="527" t="s">
        <v>1338</v>
      </c>
      <c r="D72" s="527"/>
      <c r="E72" s="527"/>
      <c r="F72" s="527" t="s">
        <v>1339</v>
      </c>
      <c r="G72" s="527"/>
      <c r="H72" s="527"/>
      <c r="I72" s="527" t="s">
        <v>1340</v>
      </c>
      <c r="J72" s="527"/>
      <c r="K72" s="527"/>
      <c r="L72" s="527" t="s">
        <v>1341</v>
      </c>
      <c r="M72" s="527"/>
      <c r="N72" s="527"/>
      <c r="O72" s="527" t="s">
        <v>1342</v>
      </c>
      <c r="P72" s="527"/>
      <c r="Q72" s="527"/>
      <c r="R72" s="527" t="s">
        <v>1343</v>
      </c>
      <c r="S72" s="527"/>
      <c r="T72" s="527"/>
      <c r="U72" s="527" t="s">
        <v>1344</v>
      </c>
      <c r="V72" s="527" t="s">
        <v>1345</v>
      </c>
      <c r="W72" s="527" t="s">
        <v>1346</v>
      </c>
      <c r="X72" s="527" t="s">
        <v>1356</v>
      </c>
      <c r="Y72" s="527"/>
      <c r="Z72" s="527"/>
      <c r="AA72" s="735" t="s">
        <v>1348</v>
      </c>
      <c r="AB72" s="735"/>
      <c r="AC72" s="735"/>
    </row>
    <row r="73" spans="1:38" x14ac:dyDescent="0.2">
      <c r="A73" s="690" t="s">
        <v>497</v>
      </c>
      <c r="B73" s="690" t="s">
        <v>922</v>
      </c>
      <c r="C73" s="693">
        <v>0.80731566645417852</v>
      </c>
      <c r="D73" s="724">
        <v>0.80731566645417852</v>
      </c>
      <c r="E73" s="724">
        <v>0.15784840482044746</v>
      </c>
      <c r="F73" s="724">
        <v>0.11239503870321466</v>
      </c>
      <c r="G73" s="724">
        <v>1.471557053091704E-2</v>
      </c>
      <c r="H73" s="724">
        <v>2.5080120207631369E-3</v>
      </c>
      <c r="I73" s="693">
        <v>2.8523206751054856E-2</v>
      </c>
      <c r="J73" s="693">
        <v>2.8523206751054856E-2</v>
      </c>
      <c r="K73" s="693">
        <v>2.367726072306712E-3</v>
      </c>
      <c r="L73" s="693">
        <v>2.7667510548523209E-2</v>
      </c>
      <c r="M73" s="693">
        <v>2.7667510548523209E-2</v>
      </c>
      <c r="N73" s="693">
        <v>2.2966942901375101E-3</v>
      </c>
      <c r="O73" s="693">
        <v>4.3215736271742106E-2</v>
      </c>
      <c r="P73" s="693">
        <v>4.3215736271742106E-2</v>
      </c>
      <c r="Q73" s="693">
        <v>7.113975047809854E-3</v>
      </c>
      <c r="R73" s="693">
        <v>0.20812312175575998</v>
      </c>
      <c r="S73" s="693">
        <v>0.20812312175575998</v>
      </c>
      <c r="T73" s="693">
        <v>0.20812312175575998</v>
      </c>
      <c r="U73" s="693">
        <v>0</v>
      </c>
      <c r="V73" s="693">
        <v>4.9441213450429613E-3</v>
      </c>
      <c r="W73" s="693">
        <v>1.3697998531720754E-3</v>
      </c>
      <c r="X73" s="693">
        <v>1.8260556962025318E-2</v>
      </c>
      <c r="Y73" s="693">
        <v>1.8260556962025318E-2</v>
      </c>
      <c r="Z73" s="693">
        <v>1.5158182314907571E-3</v>
      </c>
      <c r="AA73" s="693">
        <f t="shared" ref="AA73:AC74" si="19">0.21*L73</f>
        <v>5.8101772151898734E-3</v>
      </c>
      <c r="AB73" s="693">
        <f t="shared" si="19"/>
        <v>5.8101772151898734E-3</v>
      </c>
      <c r="AC73" s="693">
        <f t="shared" si="19"/>
        <v>4.8230580092887708E-4</v>
      </c>
    </row>
    <row r="74" spans="1:38" x14ac:dyDescent="0.2">
      <c r="A74" s="690" t="s">
        <v>497</v>
      </c>
      <c r="B74" s="690" t="s">
        <v>1318</v>
      </c>
      <c r="C74" s="693">
        <v>0.8287804847646294</v>
      </c>
      <c r="D74" s="724">
        <v>0.8287804847646294</v>
      </c>
      <c r="E74" s="724">
        <v>0.16204526048775628</v>
      </c>
      <c r="F74" s="724">
        <v>0.11538338537479201</v>
      </c>
      <c r="G74" s="724">
        <v>1.510682646822355E-2</v>
      </c>
      <c r="H74" s="724">
        <v>2.5746947628218319E-3</v>
      </c>
      <c r="I74" s="693">
        <v>2.9281578570137558E-2</v>
      </c>
      <c r="J74" s="693">
        <v>2.9281578570137558E-2</v>
      </c>
      <c r="K74" s="693">
        <v>2.4306789073163439E-3</v>
      </c>
      <c r="L74" s="693">
        <v>2.8403131213033429E-2</v>
      </c>
      <c r="M74" s="693">
        <v>2.8403131213033429E-2</v>
      </c>
      <c r="N74" s="693">
        <v>2.3577585400968533E-3</v>
      </c>
      <c r="O74" s="693">
        <v>4.4364751416337909E-2</v>
      </c>
      <c r="P74" s="693">
        <v>4.4364751416337909E-2</v>
      </c>
      <c r="Q74" s="693">
        <v>7.3031206177663942E-3</v>
      </c>
      <c r="R74" s="693">
        <v>0.21365667595310664</v>
      </c>
      <c r="S74" s="693">
        <v>0.21365667595310664</v>
      </c>
      <c r="T74" s="693">
        <v>0.21365667595310664</v>
      </c>
      <c r="U74" s="693"/>
      <c r="V74" s="693"/>
      <c r="W74" s="693"/>
      <c r="X74" s="693">
        <v>1.8746066600602063E-2</v>
      </c>
      <c r="Y74" s="693">
        <v>1.8746066600602063E-2</v>
      </c>
      <c r="Z74" s="693">
        <v>1.5561206364639235E-3</v>
      </c>
      <c r="AA74" s="693">
        <f t="shared" si="19"/>
        <v>5.9646575547370202E-3</v>
      </c>
      <c r="AB74" s="693">
        <f t="shared" si="19"/>
        <v>5.9646575547370202E-3</v>
      </c>
      <c r="AC74" s="693">
        <f t="shared" si="19"/>
        <v>4.9512929342033921E-4</v>
      </c>
    </row>
    <row r="75" spans="1:38" x14ac:dyDescent="0.2">
      <c r="A75" s="690"/>
      <c r="B75" s="690"/>
      <c r="D75" s="690"/>
      <c r="E75" s="690"/>
      <c r="F75" s="690"/>
      <c r="G75" s="690"/>
      <c r="H75" s="690"/>
    </row>
    <row r="76" spans="1:38" x14ac:dyDescent="0.2">
      <c r="A76" s="690"/>
      <c r="B76" s="690"/>
      <c r="D76" s="690"/>
      <c r="E76" s="690"/>
      <c r="F76" s="690"/>
      <c r="G76" s="690"/>
      <c r="H76" s="690"/>
    </row>
    <row r="77" spans="1:38" x14ac:dyDescent="0.2">
      <c r="A77" s="690"/>
      <c r="C77" s="690" t="s">
        <v>1357</v>
      </c>
      <c r="D77" s="690"/>
      <c r="E77" s="690"/>
      <c r="F77" s="690"/>
      <c r="G77" s="690"/>
      <c r="H77" s="690"/>
    </row>
    <row r="78" spans="1:38" x14ac:dyDescent="0.2">
      <c r="A78" s="690" t="s">
        <v>1358</v>
      </c>
      <c r="B78" s="736">
        <f>C78/C80</f>
        <v>0.41722539539244108</v>
      </c>
      <c r="C78" s="690">
        <v>120163</v>
      </c>
      <c r="D78" s="690"/>
      <c r="E78" s="690"/>
      <c r="F78" s="690"/>
      <c r="G78" s="690"/>
      <c r="H78" s="690"/>
    </row>
    <row r="79" spans="1:38" x14ac:dyDescent="0.2">
      <c r="A79" s="690" t="s">
        <v>1359</v>
      </c>
      <c r="B79" s="736">
        <f>C79/C80</f>
        <v>0.58277460460755892</v>
      </c>
      <c r="C79" s="690">
        <v>167842</v>
      </c>
      <c r="D79" s="690"/>
      <c r="E79" s="690"/>
      <c r="F79" s="690"/>
      <c r="G79" s="690"/>
      <c r="H79" s="690"/>
    </row>
    <row r="80" spans="1:38" x14ac:dyDescent="0.2">
      <c r="A80" s="690"/>
      <c r="C80" s="690">
        <f>SUM(C78:C79)</f>
        <v>288005</v>
      </c>
      <c r="D80" s="690"/>
      <c r="E80" s="690"/>
      <c r="F80" s="690"/>
      <c r="G80" s="690"/>
      <c r="H80" s="690"/>
    </row>
    <row r="81" spans="1:8" x14ac:dyDescent="0.2">
      <c r="A81" s="690" t="s">
        <v>1360</v>
      </c>
      <c r="C81" s="690"/>
      <c r="D81" s="690"/>
      <c r="E81" s="690"/>
      <c r="F81" s="690"/>
      <c r="G81" s="690"/>
      <c r="H81" s="690"/>
    </row>
    <row r="82" spans="1:8" x14ac:dyDescent="0.2">
      <c r="A82" s="690" t="s">
        <v>1361</v>
      </c>
      <c r="C82" s="690"/>
      <c r="D82" s="690"/>
      <c r="E82" s="690"/>
      <c r="F82" s="690"/>
      <c r="G82" s="690"/>
      <c r="H82" s="690"/>
    </row>
    <row r="83" spans="1:8" x14ac:dyDescent="0.2">
      <c r="A83" s="690" t="s">
        <v>1362</v>
      </c>
      <c r="B83" s="690"/>
      <c r="D83" s="690"/>
      <c r="E83" s="690"/>
      <c r="F83" s="690"/>
      <c r="G83" s="690"/>
      <c r="H83" s="690"/>
    </row>
    <row r="84" spans="1:8" x14ac:dyDescent="0.2">
      <c r="A84" s="737" t="s">
        <v>1363</v>
      </c>
      <c r="B84" s="690"/>
      <c r="D84" s="690"/>
      <c r="E84" s="690"/>
      <c r="F84" s="690"/>
      <c r="G84" s="690"/>
      <c r="H84" s="690"/>
    </row>
    <row r="85" spans="1:8" x14ac:dyDescent="0.2">
      <c r="A85" s="737" t="s">
        <v>1364</v>
      </c>
      <c r="B85" s="690"/>
      <c r="D85" s="690"/>
      <c r="E85" s="690"/>
      <c r="F85" s="690"/>
      <c r="G85" s="690"/>
      <c r="H85" s="690"/>
    </row>
    <row r="86" spans="1:8" x14ac:dyDescent="0.2">
      <c r="A86" s="737" t="s">
        <v>1365</v>
      </c>
      <c r="B86" s="690"/>
      <c r="D86" s="690"/>
      <c r="E86" s="690"/>
      <c r="F86" s="690"/>
      <c r="G86" s="690"/>
      <c r="H86" s="690"/>
    </row>
    <row r="87" spans="1:8" x14ac:dyDescent="0.2">
      <c r="A87" s="737" t="s">
        <v>1366</v>
      </c>
      <c r="B87" s="690"/>
      <c r="D87" s="690"/>
      <c r="E87" s="690"/>
      <c r="F87" s="690"/>
      <c r="G87" s="690"/>
      <c r="H87" s="690"/>
    </row>
    <row r="88" spans="1:8" x14ac:dyDescent="0.2">
      <c r="A88" s="737" t="s">
        <v>1367</v>
      </c>
      <c r="B88" s="690"/>
      <c r="D88" s="690"/>
      <c r="E88" s="690"/>
      <c r="F88" s="690"/>
      <c r="G88" s="690"/>
      <c r="H88" s="690"/>
    </row>
    <row r="89" spans="1:8" x14ac:dyDescent="0.2">
      <c r="A89" s="738" t="s">
        <v>1368</v>
      </c>
      <c r="D89" s="690"/>
      <c r="E89" s="690"/>
      <c r="F89" s="690"/>
      <c r="G89" s="690"/>
      <c r="H89" s="690"/>
    </row>
    <row r="90" spans="1:8" x14ac:dyDescent="0.2">
      <c r="A90" s="738" t="s">
        <v>1369</v>
      </c>
      <c r="D90" s="690"/>
      <c r="E90" s="690"/>
      <c r="F90" s="690"/>
      <c r="G90" s="690"/>
      <c r="H90" s="690"/>
    </row>
    <row r="91" spans="1:8" x14ac:dyDescent="0.2">
      <c r="A91" s="738" t="s">
        <v>1370</v>
      </c>
      <c r="D91" s="690"/>
      <c r="E91" s="690"/>
      <c r="F91" s="690"/>
      <c r="G91" s="690"/>
      <c r="H91" s="690"/>
    </row>
    <row r="92" spans="1:8" x14ac:dyDescent="0.2">
      <c r="A92" s="738" t="s">
        <v>1371</v>
      </c>
      <c r="D92" s="690"/>
      <c r="E92" s="690"/>
      <c r="F92" s="690"/>
      <c r="G92" s="690"/>
      <c r="H92" s="690"/>
    </row>
    <row r="93" spans="1:8" x14ac:dyDescent="0.2">
      <c r="A93" s="739" t="s">
        <v>1372</v>
      </c>
      <c r="D93" s="690"/>
      <c r="E93" s="690"/>
      <c r="F93" s="690"/>
      <c r="G93" s="690"/>
      <c r="H93" s="690"/>
    </row>
    <row r="94" spans="1:8" x14ac:dyDescent="0.2">
      <c r="A94" s="739" t="s">
        <v>1373</v>
      </c>
      <c r="B94" s="739"/>
      <c r="D94" s="690"/>
      <c r="E94" s="690"/>
      <c r="F94" s="690"/>
      <c r="G94" s="690"/>
      <c r="H94" s="690"/>
    </row>
    <row r="95" spans="1:8" x14ac:dyDescent="0.2">
      <c r="A95" s="740" t="s">
        <v>1374</v>
      </c>
      <c r="B95" s="739"/>
      <c r="D95" s="690"/>
      <c r="E95" s="690"/>
      <c r="F95" s="690"/>
      <c r="G95" s="690"/>
      <c r="H95" s="690"/>
    </row>
    <row r="96" spans="1:8" x14ac:dyDescent="0.2">
      <c r="A96" s="690" t="s">
        <v>781</v>
      </c>
      <c r="B96" s="739"/>
      <c r="D96" s="690"/>
      <c r="E96" s="690"/>
      <c r="F96" s="690"/>
      <c r="G96" s="690"/>
      <c r="H96" s="690"/>
    </row>
    <row r="97" spans="1:8" x14ac:dyDescent="0.2">
      <c r="A97" s="690" t="s">
        <v>1375</v>
      </c>
      <c r="D97" s="690"/>
      <c r="E97" s="690"/>
      <c r="F97" s="690"/>
      <c r="G97" s="690"/>
      <c r="H97" s="690"/>
    </row>
  </sheetData>
  <mergeCells count="19">
    <mergeCell ref="AD5:AF6"/>
    <mergeCell ref="AJ5:AL6"/>
    <mergeCell ref="L5:N6"/>
    <mergeCell ref="O5:Q6"/>
    <mergeCell ref="R5:T6"/>
    <mergeCell ref="U5:W6"/>
    <mergeCell ref="X5:Z6"/>
    <mergeCell ref="AA5:AC6"/>
    <mergeCell ref="C5:E6"/>
    <mergeCell ref="I5:K6"/>
    <mergeCell ref="F5:H6"/>
    <mergeCell ref="A72:B72"/>
    <mergeCell ref="A65:B65"/>
    <mergeCell ref="A66:B66"/>
    <mergeCell ref="A61:B61"/>
    <mergeCell ref="A56:B56"/>
    <mergeCell ref="A5:B5"/>
    <mergeCell ref="A6:A7"/>
    <mergeCell ref="B6:B7"/>
  </mergeCells>
  <phoneticPr fontId="18" type="noConversion"/>
  <conditionalFormatting sqref="B4:B55 A4:A56 A61">
    <cfRule type="cellIs" dxfId="12" priority="2" operator="equal">
      <formula>"N/A"</formula>
    </cfRule>
  </conditionalFormatting>
  <pageMargins left="0.75" right="0.75" top="1" bottom="1" header="0.5" footer="0.5"/>
  <pageSetup orientation="portrait" horizontalDpi="300" verticalDpi="300"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Z33"/>
  <sheetViews>
    <sheetView workbookViewId="0">
      <pane xSplit="2" ySplit="6" topLeftCell="C7" activePane="bottomRight" state="frozen"/>
      <selection pane="topRight" activeCell="B16" sqref="B16"/>
      <selection pane="bottomLeft" activeCell="B16" sqref="B16"/>
      <selection pane="bottomRight" sqref="A1:XFD1048576"/>
    </sheetView>
  </sheetViews>
  <sheetFormatPr defaultColWidth="8" defaultRowHeight="11.25" x14ac:dyDescent="0.2"/>
  <cols>
    <col min="1" max="1" width="9.5703125" style="686" customWidth="1"/>
    <col min="2" max="2" width="37.42578125" style="686" customWidth="1"/>
    <col min="3" max="16384" width="8" style="686"/>
  </cols>
  <sheetData>
    <row r="1" spans="1:52" x14ac:dyDescent="0.2">
      <c r="B1" s="687" t="s">
        <v>1376</v>
      </c>
    </row>
    <row r="2" spans="1:52" ht="12.75" x14ac:dyDescent="0.2">
      <c r="A2" s="688" t="s">
        <v>1301</v>
      </c>
      <c r="B2" s="858"/>
      <c r="H2" s="678"/>
      <c r="I2" s="678"/>
      <c r="J2" s="678"/>
      <c r="K2" s="678"/>
      <c r="L2" s="678"/>
    </row>
    <row r="3" spans="1:52" ht="12.75" x14ac:dyDescent="0.2">
      <c r="A3" s="689" t="s">
        <v>1377</v>
      </c>
      <c r="B3" s="858"/>
      <c r="C3" s="684" t="s">
        <v>1378</v>
      </c>
      <c r="H3" s="855"/>
      <c r="I3" s="679"/>
      <c r="J3" s="855"/>
      <c r="K3" s="855"/>
      <c r="L3" s="855"/>
      <c r="M3" s="684"/>
      <c r="R3" s="684"/>
      <c r="W3" s="684"/>
      <c r="AB3" s="684"/>
      <c r="AG3" s="684"/>
      <c r="AL3" s="684"/>
      <c r="AQ3" s="684"/>
    </row>
    <row r="4" spans="1:52" x14ac:dyDescent="0.2">
      <c r="A4" s="690"/>
      <c r="B4" s="690"/>
      <c r="H4" s="680"/>
      <c r="I4" s="681"/>
      <c r="J4" s="680"/>
      <c r="K4" s="680"/>
      <c r="L4" s="680"/>
    </row>
    <row r="5" spans="1:52" x14ac:dyDescent="0.2">
      <c r="A5" s="690"/>
      <c r="B5" s="690"/>
      <c r="C5" s="457" t="str">
        <f>'Raw Resid emissions'!D4</f>
        <v>NOx</v>
      </c>
      <c r="D5" s="457" t="str">
        <f>'Raw Resid emissions'!E4</f>
        <v>NOx</v>
      </c>
      <c r="E5" s="457" t="str">
        <f>'Raw Resid emissions'!F4</f>
        <v>NOx</v>
      </c>
      <c r="F5" s="457" t="str">
        <f>'Raw Resid emissions'!G4</f>
        <v>NOx</v>
      </c>
      <c r="G5" s="457" t="str">
        <f>'Raw Resid emissions'!H4</f>
        <v>NOx</v>
      </c>
      <c r="H5" s="457" t="str">
        <f>'Raw Resid emissions'!I4</f>
        <v>SO2</v>
      </c>
      <c r="I5" s="457" t="str">
        <f>'Raw Resid emissions'!J4</f>
        <v>SO2</v>
      </c>
      <c r="J5" s="457" t="str">
        <f>'Raw Resid emissions'!K4</f>
        <v>SO2</v>
      </c>
      <c r="K5" s="457" t="str">
        <f>'Raw Resid emissions'!L4</f>
        <v>SO2</v>
      </c>
      <c r="L5" s="457" t="str">
        <f>'Raw Resid emissions'!M4</f>
        <v>SO2</v>
      </c>
      <c r="M5" s="457" t="str">
        <f>'Raw Resid emissions'!N4</f>
        <v>PM10</v>
      </c>
      <c r="N5" s="457" t="str">
        <f>'Raw Resid emissions'!O4</f>
        <v>PM10</v>
      </c>
      <c r="O5" s="457" t="str">
        <f>'Raw Resid emissions'!P4</f>
        <v>PM10</v>
      </c>
      <c r="P5" s="457" t="str">
        <f>'Raw Resid emissions'!Q4</f>
        <v>PM10</v>
      </c>
      <c r="Q5" s="457" t="str">
        <f>'Raw Resid emissions'!R4</f>
        <v>PM10</v>
      </c>
      <c r="R5" s="457" t="str">
        <f>'Raw Resid emissions'!S4</f>
        <v>PM2.5</v>
      </c>
      <c r="S5" s="457" t="str">
        <f>'Raw Resid emissions'!T4</f>
        <v>PM2.5</v>
      </c>
      <c r="T5" s="457" t="str">
        <f>'Raw Resid emissions'!U4</f>
        <v>PM2.5</v>
      </c>
      <c r="U5" s="457" t="str">
        <f>'Raw Resid emissions'!V4</f>
        <v>PM2.5</v>
      </c>
      <c r="V5" s="457" t="str">
        <f>'Raw Resid emissions'!W4</f>
        <v>PM2.5</v>
      </c>
      <c r="W5" s="457" t="str">
        <f>'Raw Resid emissions'!X4</f>
        <v>CO</v>
      </c>
      <c r="X5" s="457" t="str">
        <f>'Raw Resid emissions'!Y4</f>
        <v>CO</v>
      </c>
      <c r="Y5" s="457" t="str">
        <f>'Raw Resid emissions'!Z4</f>
        <v>CO</v>
      </c>
      <c r="Z5" s="457" t="str">
        <f>'Raw Resid emissions'!AA4</f>
        <v>CO</v>
      </c>
      <c r="AA5" s="457" t="str">
        <f>'Raw Resid emissions'!AB4</f>
        <v>CO</v>
      </c>
      <c r="AB5" s="457" t="str">
        <f>'Raw Resid emissions'!AC4</f>
        <v>N2O</v>
      </c>
      <c r="AC5" s="457" t="str">
        <f>'Raw Resid emissions'!AD4</f>
        <v>N2O</v>
      </c>
      <c r="AD5" s="457" t="str">
        <f>'Raw Resid emissions'!AE4</f>
        <v>N2O</v>
      </c>
      <c r="AE5" s="457" t="str">
        <f>'Raw Resid emissions'!AF4</f>
        <v>N2O</v>
      </c>
      <c r="AF5" s="457" t="str">
        <f>'Raw Resid emissions'!AG4</f>
        <v>N2O</v>
      </c>
      <c r="AG5" s="457" t="str">
        <f>'Raw Resid emissions'!AH4</f>
        <v>CH4</v>
      </c>
      <c r="AH5" s="457" t="str">
        <f>'Raw Resid emissions'!AI4</f>
        <v>CH4</v>
      </c>
      <c r="AI5" s="457" t="str">
        <f>'Raw Resid emissions'!AJ4</f>
        <v>CH4</v>
      </c>
      <c r="AJ5" s="457" t="str">
        <f>'Raw Resid emissions'!AK4</f>
        <v>CH4</v>
      </c>
      <c r="AK5" s="457" t="str">
        <f>'Raw Resid emissions'!AL4</f>
        <v>CH4</v>
      </c>
      <c r="AL5" s="457" t="str">
        <f>'Raw Resid emissions'!AM4</f>
        <v>VOC</v>
      </c>
      <c r="AM5" s="457" t="str">
        <f>'Raw Resid emissions'!AN4</f>
        <v>VOC</v>
      </c>
      <c r="AN5" s="457" t="str">
        <f>'Raw Resid emissions'!AO4</f>
        <v>VOC</v>
      </c>
      <c r="AO5" s="457" t="str">
        <f>'Raw Resid emissions'!AP4</f>
        <v>VOC</v>
      </c>
      <c r="AP5" s="457" t="str">
        <f>'Raw Resid emissions'!AQ4</f>
        <v>VOC</v>
      </c>
      <c r="AQ5" s="457" t="str">
        <f>'Raw Resid emissions'!AR4</f>
        <v>BC-PM25</v>
      </c>
      <c r="AR5" s="457" t="str">
        <f>'Raw Resid emissions'!AS4</f>
        <v>BC-PM25</v>
      </c>
      <c r="AS5" s="457" t="str">
        <f>'Raw Resid emissions'!AT4</f>
        <v>BC-PM25</v>
      </c>
      <c r="AT5" s="457" t="str">
        <f>'Raw Resid emissions'!AU4</f>
        <v>BC-PM25</v>
      </c>
      <c r="AU5" s="457" t="str">
        <f>'Raw Resid emissions'!AV4</f>
        <v>BC-PM25</v>
      </c>
      <c r="AV5" s="457" t="s">
        <v>1379</v>
      </c>
      <c r="AW5" s="457" t="s">
        <v>1379</v>
      </c>
      <c r="AX5" s="457" t="s">
        <v>1379</v>
      </c>
      <c r="AY5" s="457" t="s">
        <v>1379</v>
      </c>
      <c r="AZ5" s="457" t="s">
        <v>1379</v>
      </c>
    </row>
    <row r="6" spans="1:52" x14ac:dyDescent="0.2">
      <c r="A6" s="690"/>
      <c r="B6" s="690"/>
      <c r="C6" s="457">
        <f>'Raw Resid emissions'!D5</f>
        <v>2005</v>
      </c>
      <c r="D6" s="457">
        <f>'Raw Resid emissions'!E5</f>
        <v>2010</v>
      </c>
      <c r="E6" s="457">
        <f>'Raw Resid emissions'!F5</f>
        <v>2015</v>
      </c>
      <c r="F6" s="457">
        <f>'Raw Resid emissions'!G5</f>
        <v>2020</v>
      </c>
      <c r="G6" s="457">
        <f>'Raw Resid emissions'!H5</f>
        <v>2025</v>
      </c>
      <c r="H6" s="457">
        <f>'Raw Resid emissions'!I5</f>
        <v>2005</v>
      </c>
      <c r="I6" s="457">
        <f>'Raw Resid emissions'!J5</f>
        <v>2010</v>
      </c>
      <c r="J6" s="457">
        <f>'Raw Resid emissions'!K5</f>
        <v>2015</v>
      </c>
      <c r="K6" s="457">
        <f>'Raw Resid emissions'!L5</f>
        <v>2020</v>
      </c>
      <c r="L6" s="457">
        <f>'Raw Resid emissions'!M5</f>
        <v>2025</v>
      </c>
      <c r="M6" s="457">
        <f>'Raw Resid emissions'!N5</f>
        <v>2005</v>
      </c>
      <c r="N6" s="457">
        <f>'Raw Resid emissions'!O5</f>
        <v>2010</v>
      </c>
      <c r="O6" s="457">
        <f>'Raw Resid emissions'!P5</f>
        <v>2015</v>
      </c>
      <c r="P6" s="457">
        <f>'Raw Resid emissions'!Q5</f>
        <v>2020</v>
      </c>
      <c r="Q6" s="457">
        <f>'Raw Resid emissions'!R5</f>
        <v>2025</v>
      </c>
      <c r="R6" s="457">
        <f>'Raw Resid emissions'!S5</f>
        <v>2005</v>
      </c>
      <c r="S6" s="457">
        <f>'Raw Resid emissions'!T5</f>
        <v>2010</v>
      </c>
      <c r="T6" s="457">
        <f>'Raw Resid emissions'!U5</f>
        <v>2015</v>
      </c>
      <c r="U6" s="457">
        <f>'Raw Resid emissions'!V5</f>
        <v>2020</v>
      </c>
      <c r="V6" s="457">
        <f>'Raw Resid emissions'!W5</f>
        <v>2025</v>
      </c>
      <c r="W6" s="457">
        <f>'Raw Resid emissions'!X5</f>
        <v>2005</v>
      </c>
      <c r="X6" s="457">
        <f>'Raw Resid emissions'!Y5</f>
        <v>2010</v>
      </c>
      <c r="Y6" s="457">
        <f>'Raw Resid emissions'!Z5</f>
        <v>2015</v>
      </c>
      <c r="Z6" s="457">
        <f>'Raw Resid emissions'!AA5</f>
        <v>2020</v>
      </c>
      <c r="AA6" s="457">
        <f>'Raw Resid emissions'!AB5</f>
        <v>2025</v>
      </c>
      <c r="AB6" s="457">
        <f>'Raw Resid emissions'!AC5</f>
        <v>2005</v>
      </c>
      <c r="AC6" s="457">
        <f>'Raw Resid emissions'!AD5</f>
        <v>2010</v>
      </c>
      <c r="AD6" s="457">
        <f>'Raw Resid emissions'!AE5</f>
        <v>2015</v>
      </c>
      <c r="AE6" s="457">
        <f>'Raw Resid emissions'!AF5</f>
        <v>2020</v>
      </c>
      <c r="AF6" s="457">
        <f>'Raw Resid emissions'!AG5</f>
        <v>2025</v>
      </c>
      <c r="AG6" s="457">
        <f>'Raw Resid emissions'!AH5</f>
        <v>2005</v>
      </c>
      <c r="AH6" s="457">
        <f>'Raw Resid emissions'!AI5</f>
        <v>2010</v>
      </c>
      <c r="AI6" s="457">
        <f>'Raw Resid emissions'!AJ5</f>
        <v>2015</v>
      </c>
      <c r="AJ6" s="457">
        <f>'Raw Resid emissions'!AK5</f>
        <v>2020</v>
      </c>
      <c r="AK6" s="457">
        <f>'Raw Resid emissions'!AL5</f>
        <v>2025</v>
      </c>
      <c r="AL6" s="457">
        <f>'Raw Resid emissions'!AM5</f>
        <v>2005</v>
      </c>
      <c r="AM6" s="457">
        <f>'Raw Resid emissions'!AN5</f>
        <v>2010</v>
      </c>
      <c r="AN6" s="457">
        <f>'Raw Resid emissions'!AO5</f>
        <v>2015</v>
      </c>
      <c r="AO6" s="457">
        <f>'Raw Resid emissions'!AP5</f>
        <v>2020</v>
      </c>
      <c r="AP6" s="457">
        <f>'Raw Resid emissions'!AQ5</f>
        <v>2025</v>
      </c>
      <c r="AQ6" s="457">
        <f>'Raw Resid emissions'!AR5</f>
        <v>2005</v>
      </c>
      <c r="AR6" s="457">
        <f>'Raw Resid emissions'!AS5</f>
        <v>2010</v>
      </c>
      <c r="AS6" s="457">
        <f>'Raw Resid emissions'!AT5</f>
        <v>2015</v>
      </c>
      <c r="AT6" s="457">
        <f>'Raw Resid emissions'!AU5</f>
        <v>2020</v>
      </c>
      <c r="AU6" s="457">
        <f>'Raw Resid emissions'!AV5</f>
        <v>2025</v>
      </c>
      <c r="AV6" s="457">
        <v>2005</v>
      </c>
      <c r="AW6" s="457">
        <v>2010</v>
      </c>
      <c r="AX6" s="457">
        <v>2015</v>
      </c>
      <c r="AY6" s="457">
        <v>2020</v>
      </c>
      <c r="AZ6" s="457">
        <v>2025</v>
      </c>
    </row>
    <row r="7" spans="1:52" x14ac:dyDescent="0.2">
      <c r="A7" s="690" t="str">
        <f>TechData!B11</f>
        <v>TBDSLE</v>
      </c>
      <c r="B7" s="690" t="str">
        <f>TechData!C11</f>
        <v>Bus, Exisiting Diesel</v>
      </c>
      <c r="C7" s="682">
        <f>'Raw Resid emissions'!D6</f>
        <v>19.189104707518698</v>
      </c>
      <c r="D7" s="682">
        <f>'Raw Resid emissions'!E6</f>
        <v>16.60535036509917</v>
      </c>
      <c r="E7" s="682">
        <f>'Raw Resid emissions'!F6</f>
        <v>14.402347681026407</v>
      </c>
      <c r="F7" s="682">
        <f>'Raw Resid emissions'!G6</f>
        <v>13.75296870507842</v>
      </c>
      <c r="G7" s="682">
        <f>'Raw Resid emissions'!H6</f>
        <v>9.3767940610393179</v>
      </c>
      <c r="H7" s="682">
        <f>'Raw Resid emissions'!I6</f>
        <v>0.40431186991574936</v>
      </c>
      <c r="I7" s="682">
        <f>'Raw Resid emissions'!J6</f>
        <v>2.3868934783331672E-2</v>
      </c>
      <c r="J7" s="682">
        <f>'Raw Resid emissions'!K6</f>
        <v>1.1797714082972199E-2</v>
      </c>
      <c r="K7" s="682">
        <f>'Raw Resid emissions'!L6</f>
        <v>1.1796093921039188E-2</v>
      </c>
      <c r="L7" s="682">
        <f>'Raw Resid emissions'!M6</f>
        <v>1.1794360513286053E-2</v>
      </c>
      <c r="M7" s="682">
        <f>'Raw Resid emissions'!N6</f>
        <v>1.0594407325391513</v>
      </c>
      <c r="N7" s="682">
        <f>'Raw Resid emissions'!O6</f>
        <v>0.96646625645494033</v>
      </c>
      <c r="O7" s="682">
        <f>'Raw Resid emissions'!P6</f>
        <v>0.90744849069431921</v>
      </c>
      <c r="P7" s="682">
        <f>'Raw Resid emissions'!Q6</f>
        <v>0.86848550681633307</v>
      </c>
      <c r="Q7" s="682">
        <f>'Raw Resid emissions'!R6</f>
        <v>0.73141182293098705</v>
      </c>
      <c r="R7" s="682">
        <f>'Raw Resid emissions'!S6</f>
        <v>0.95068024683727481</v>
      </c>
      <c r="S7" s="682">
        <f>'Raw Resid emissions'!T6</f>
        <v>0.86049246257182077</v>
      </c>
      <c r="T7" s="682">
        <f>'Raw Resid emissions'!U6</f>
        <v>0.80324358810294794</v>
      </c>
      <c r="U7" s="682">
        <f>'Raw Resid emissions'!V6</f>
        <v>0.76544864098452736</v>
      </c>
      <c r="V7" s="682">
        <f>'Raw Resid emissions'!W6</f>
        <v>0.63248276051690955</v>
      </c>
      <c r="W7" s="682">
        <f>'Raw Resid emissions'!X6</f>
        <v>5.1230603623074309</v>
      </c>
      <c r="X7" s="682">
        <f>'Raw Resid emissions'!Y6</f>
        <v>4.5933870386976654</v>
      </c>
      <c r="Y7" s="682">
        <f>'Raw Resid emissions'!Z6</f>
        <v>3.6896037708971088</v>
      </c>
      <c r="Z7" s="682">
        <f>'Raw Resid emissions'!AA6</f>
        <v>4.2008818269903641</v>
      </c>
      <c r="AA7" s="682">
        <f>'Raw Resid emissions'!AB6</f>
        <v>1.8717019521583722</v>
      </c>
      <c r="AB7" s="682">
        <f>'Raw Resid emissions'!AC6</f>
        <v>2.3761307932958979E-3</v>
      </c>
      <c r="AC7" s="682">
        <f>'Raw Resid emissions'!AD6</f>
        <v>2.3878687852811171E-3</v>
      </c>
      <c r="AD7" s="682">
        <f>'Raw Resid emissions'!AE6</f>
        <v>2.393694161330394E-3</v>
      </c>
      <c r="AE7" s="682">
        <f>'Raw Resid emissions'!AF6</f>
        <v>2.404616956991631E-3</v>
      </c>
      <c r="AF7" s="682">
        <f>'Raw Resid emissions'!AG6</f>
        <v>2.4046191916414629E-3</v>
      </c>
      <c r="AG7" s="682">
        <f>'Raw Resid emissions'!AH6</f>
        <v>2.3341113425426126E-3</v>
      </c>
      <c r="AH7" s="682">
        <f>'Raw Resid emissions'!AI6</f>
        <v>2.2196465424378971E-3</v>
      </c>
      <c r="AI7" s="682">
        <f>'Raw Resid emissions'!AJ6</f>
        <v>2.198541631610569E-3</v>
      </c>
      <c r="AJ7" s="682">
        <f>'Raw Resid emissions'!AK6</f>
        <v>2.0754392367187372E-3</v>
      </c>
      <c r="AK7" s="682">
        <f>'Raw Resid emissions'!AL6</f>
        <v>2.0754357987352212E-3</v>
      </c>
      <c r="AL7" s="682">
        <f>'Raw Resid emissions'!AM6</f>
        <v>0.8257528141320587</v>
      </c>
      <c r="AM7" s="682">
        <f>'Raw Resid emissions'!AN6</f>
        <v>0.76800157411001391</v>
      </c>
      <c r="AN7" s="682">
        <f>'Raw Resid emissions'!AO6</f>
        <v>0.66910255162962495</v>
      </c>
      <c r="AO7" s="682">
        <f>'Raw Resid emissions'!AP6</f>
        <v>0.72499446703226711</v>
      </c>
      <c r="AP7" s="682">
        <f>'Raw Resid emissions'!AQ6</f>
        <v>0.47110530657135002</v>
      </c>
      <c r="AQ7" s="682">
        <f>'Raw Resid emissions'!AR6</f>
        <v>0.63044463287296681</v>
      </c>
      <c r="AR7" s="682">
        <f>'Raw Resid emissions'!AS6</f>
        <v>0.58794819285013811</v>
      </c>
      <c r="AS7" s="682">
        <f>'Raw Resid emissions'!AT6</f>
        <v>0.52155780729422729</v>
      </c>
      <c r="AT7" s="682">
        <f>'Raw Resid emissions'!AU6</f>
        <v>0.52509196844292583</v>
      </c>
      <c r="AU7" s="682">
        <f>'Raw Resid emissions'!AV6</f>
        <v>0.45242562551553478</v>
      </c>
      <c r="AV7" s="682">
        <f>AQ7/'Raw Resid emissions'!$AW6</f>
        <v>0.17572361673766054</v>
      </c>
      <c r="AW7" s="686">
        <f>AR7/'Raw Resid emissions'!$AW6</f>
        <v>0.16387859855540371</v>
      </c>
      <c r="AX7" s="686">
        <f>AS7/'Raw Resid emissions'!$AW6</f>
        <v>0.14537362911291957</v>
      </c>
      <c r="AY7" s="686">
        <f>AT7/'Raw Resid emissions'!$AW6</f>
        <v>0.14635870464025483</v>
      </c>
      <c r="AZ7" s="686">
        <f>AU7/'Raw Resid emissions'!$AW6</f>
        <v>0.12610443974769728</v>
      </c>
    </row>
    <row r="8" spans="1:52" x14ac:dyDescent="0.2">
      <c r="A8" s="690" t="str">
        <f>TechData!B12</f>
        <v>TBGSLE</v>
      </c>
      <c r="B8" s="690" t="s">
        <v>1380</v>
      </c>
      <c r="C8" s="682">
        <f>'Raw Resid emissions'!D8</f>
        <v>4.9216131187148209</v>
      </c>
      <c r="D8" s="682">
        <f>'Raw Resid emissions'!E8</f>
        <v>4.2904208049897656</v>
      </c>
      <c r="E8" s="682">
        <f>'Raw Resid emissions'!F8</f>
        <v>4.1129457606812236</v>
      </c>
      <c r="F8" s="682">
        <f>'Raw Resid emissions'!G8</f>
        <v>3.5101456626830685</v>
      </c>
      <c r="G8" s="682">
        <f>'Raw Resid emissions'!H8</f>
        <v>3.3530520297616269</v>
      </c>
      <c r="H8" s="682">
        <f>'Raw Resid emissions'!I8</f>
        <v>0</v>
      </c>
      <c r="I8" s="682">
        <f>'Raw Resid emissions'!J8</f>
        <v>0</v>
      </c>
      <c r="J8" s="682">
        <f>'Raw Resid emissions'!K8</f>
        <v>0</v>
      </c>
      <c r="K8" s="682">
        <f>'Raw Resid emissions'!L8</f>
        <v>0</v>
      </c>
      <c r="L8" s="682">
        <f>'Raw Resid emissions'!M8</f>
        <v>0</v>
      </c>
      <c r="M8" s="682">
        <f>'Raw Resid emissions'!N8</f>
        <v>0.11825972764121287</v>
      </c>
      <c r="N8" s="682">
        <f>'Raw Resid emissions'!O8</f>
        <v>0.11630882010231909</v>
      </c>
      <c r="O8" s="682">
        <f>'Raw Resid emissions'!P8</f>
        <v>0.11437597727966439</v>
      </c>
      <c r="P8" s="682">
        <f>'Raw Resid emissions'!Q8</f>
        <v>0.11351124603097995</v>
      </c>
      <c r="Q8" s="682">
        <f>'Raw Resid emissions'!R8</f>
        <v>0.11185375082752569</v>
      </c>
      <c r="R8" s="682">
        <f>'Raw Resid emissions'!S8</f>
        <v>3.7867962861858215E-2</v>
      </c>
      <c r="S8" s="682">
        <f>'Raw Resid emissions'!T8</f>
        <v>3.5916994978025793E-2</v>
      </c>
      <c r="T8" s="682">
        <f>'Raw Resid emissions'!U8</f>
        <v>3.3984236775562122E-2</v>
      </c>
      <c r="U8" s="682">
        <f>'Raw Resid emissions'!V8</f>
        <v>3.3119351706598077E-2</v>
      </c>
      <c r="V8" s="682">
        <f>'Raw Resid emissions'!W8</f>
        <v>3.1462003047452967E-2</v>
      </c>
      <c r="W8" s="682">
        <f>'Raw Resid emissions'!X8</f>
        <v>52.136359134038578</v>
      </c>
      <c r="X8" s="682">
        <f>'Raw Resid emissions'!Y8</f>
        <v>34.70714784457234</v>
      </c>
      <c r="Y8" s="682">
        <f>'Raw Resid emissions'!Z8</f>
        <v>30.562097707394692</v>
      </c>
      <c r="Z8" s="682">
        <f>'Raw Resid emissions'!AA8</f>
        <v>12.955608368847686</v>
      </c>
      <c r="AA8" s="682">
        <f>'Raw Resid emissions'!AB8</f>
        <v>10.629857969722048</v>
      </c>
      <c r="AB8" s="682">
        <f>'Raw Resid emissions'!AC8</f>
        <v>9.6000669768013733E-2</v>
      </c>
      <c r="AC8" s="682">
        <f>'Raw Resid emissions'!AD8</f>
        <v>9.4633402360403615E-2</v>
      </c>
      <c r="AD8" s="682">
        <f>'Raw Resid emissions'!AE8</f>
        <v>9.4554688983560314E-2</v>
      </c>
      <c r="AE8" s="682">
        <f>'Raw Resid emissions'!AF8</f>
        <v>9.392306303670539E-2</v>
      </c>
      <c r="AF8" s="682">
        <f>'Raw Resid emissions'!AG8</f>
        <v>9.0892271801704574E-2</v>
      </c>
      <c r="AG8" s="682">
        <f>'Raw Resid emissions'!AH8</f>
        <v>1.1815016635942208</v>
      </c>
      <c r="AH8" s="682">
        <f>'Raw Resid emissions'!AI8</f>
        <v>1.1618461973568415</v>
      </c>
      <c r="AI8" s="682">
        <f>'Raw Resid emissions'!AJ8</f>
        <v>1.1592019482789813</v>
      </c>
      <c r="AJ8" s="682">
        <f>'Raw Resid emissions'!AK8</f>
        <v>1.149802946591415</v>
      </c>
      <c r="AK8" s="682">
        <f>'Raw Resid emissions'!AL8</f>
        <v>1.1096005488772775</v>
      </c>
      <c r="AL8" s="682">
        <f>'Raw Resid emissions'!AM8</f>
        <v>0</v>
      </c>
      <c r="AM8" s="682">
        <f>'Raw Resid emissions'!AN8</f>
        <v>0</v>
      </c>
      <c r="AN8" s="682">
        <f>'Raw Resid emissions'!AO8</f>
        <v>0</v>
      </c>
      <c r="AO8" s="682">
        <f>'Raw Resid emissions'!AP8</f>
        <v>0</v>
      </c>
      <c r="AP8" s="682">
        <f>'Raw Resid emissions'!AQ8</f>
        <v>0</v>
      </c>
      <c r="AQ8" s="682">
        <f>'Raw Resid emissions'!AR8</f>
        <v>8.7782237222144583E-4</v>
      </c>
      <c r="AR8" s="682">
        <f>'Raw Resid emissions'!AS8</f>
        <v>7.5914489967916071E-4</v>
      </c>
      <c r="AS8" s="682">
        <f>'Raw Resid emissions'!AT8</f>
        <v>6.0477662275529721E-4</v>
      </c>
      <c r="AT8" s="682">
        <f>'Raw Resid emissions'!AU8</f>
        <v>5.9986450534525379E-4</v>
      </c>
      <c r="AU8" s="682">
        <f>'Raw Resid emissions'!AV8</f>
        <v>3.9814354590663262E-4</v>
      </c>
      <c r="AV8" s="682">
        <f>AQ8/'Raw Resid emissions'!$AW8</f>
        <v>3.2274644023945701E-3</v>
      </c>
      <c r="AW8" s="686">
        <f>AR8/'Raw Resid emissions'!$AW8</f>
        <v>2.7911263343329386E-3</v>
      </c>
      <c r="AX8" s="686">
        <f>AS8/'Raw Resid emissions'!$AW8</f>
        <v>2.2235649068770061E-3</v>
      </c>
      <c r="AY8" s="686">
        <f>AT8/'Raw Resid emissions'!$AW8</f>
        <v>2.2055046653258847E-3</v>
      </c>
      <c r="AZ8" s="686">
        <f>AU8/'Raw Resid emissions'!$AW8</f>
        <v>1.4638429847771564E-3</v>
      </c>
    </row>
    <row r="9" spans="1:52" x14ac:dyDescent="0.2">
      <c r="A9" s="690" t="str">
        <f>TechData!B13</f>
        <v>TBCNGE</v>
      </c>
      <c r="B9" s="690" t="str">
        <f>TechData!C13</f>
        <v>Bus, Exisiting CNG</v>
      </c>
      <c r="C9" s="682">
        <f>'Raw Resid emissions'!D8</f>
        <v>4.9216131187148209</v>
      </c>
      <c r="D9" s="682">
        <f>'Raw Resid emissions'!E8</f>
        <v>4.2904208049897656</v>
      </c>
      <c r="E9" s="682">
        <f>'Raw Resid emissions'!F8</f>
        <v>4.1129457606812236</v>
      </c>
      <c r="F9" s="682">
        <f>'Raw Resid emissions'!G8</f>
        <v>3.5101456626830685</v>
      </c>
      <c r="G9" s="682">
        <f>'Raw Resid emissions'!H8</f>
        <v>3.3530520297616269</v>
      </c>
      <c r="H9" s="682">
        <f>'Raw Resid emissions'!I8</f>
        <v>0</v>
      </c>
      <c r="I9" s="682">
        <f>'Raw Resid emissions'!J8</f>
        <v>0</v>
      </c>
      <c r="J9" s="682">
        <f>'Raw Resid emissions'!K8</f>
        <v>0</v>
      </c>
      <c r="K9" s="682">
        <f>'Raw Resid emissions'!L8</f>
        <v>0</v>
      </c>
      <c r="L9" s="682">
        <f>'Raw Resid emissions'!M8</f>
        <v>0</v>
      </c>
      <c r="M9" s="682">
        <f>'Raw Resid emissions'!N8</f>
        <v>0.11825972764121287</v>
      </c>
      <c r="N9" s="682">
        <f>'Raw Resid emissions'!O8</f>
        <v>0.11630882010231909</v>
      </c>
      <c r="O9" s="682">
        <f>'Raw Resid emissions'!P8</f>
        <v>0.11437597727966439</v>
      </c>
      <c r="P9" s="682">
        <f>'Raw Resid emissions'!Q8</f>
        <v>0.11351124603097995</v>
      </c>
      <c r="Q9" s="682">
        <f>'Raw Resid emissions'!R8</f>
        <v>0.11185375082752569</v>
      </c>
      <c r="R9" s="682">
        <f>'Raw Resid emissions'!S8</f>
        <v>3.7867962861858215E-2</v>
      </c>
      <c r="S9" s="682">
        <f>'Raw Resid emissions'!T8</f>
        <v>3.5916994978025793E-2</v>
      </c>
      <c r="T9" s="682">
        <f>'Raw Resid emissions'!U8</f>
        <v>3.3984236775562122E-2</v>
      </c>
      <c r="U9" s="682">
        <f>'Raw Resid emissions'!V8</f>
        <v>3.3119351706598077E-2</v>
      </c>
      <c r="V9" s="682">
        <f>'Raw Resid emissions'!W8</f>
        <v>3.1462003047452967E-2</v>
      </c>
      <c r="W9" s="682">
        <f>'Raw Resid emissions'!X8</f>
        <v>52.136359134038578</v>
      </c>
      <c r="X9" s="682">
        <f>'Raw Resid emissions'!Y8</f>
        <v>34.70714784457234</v>
      </c>
      <c r="Y9" s="682">
        <f>'Raw Resid emissions'!Z8</f>
        <v>30.562097707394692</v>
      </c>
      <c r="Z9" s="682">
        <f>'Raw Resid emissions'!AA8</f>
        <v>12.955608368847686</v>
      </c>
      <c r="AA9" s="682">
        <f>'Raw Resid emissions'!AB8</f>
        <v>10.629857969722048</v>
      </c>
      <c r="AB9" s="682">
        <f>'Raw Resid emissions'!AC8</f>
        <v>9.6000669768013733E-2</v>
      </c>
      <c r="AC9" s="682">
        <f>'Raw Resid emissions'!AD8</f>
        <v>9.4633402360403615E-2</v>
      </c>
      <c r="AD9" s="682">
        <f>'Raw Resid emissions'!AE8</f>
        <v>9.4554688983560314E-2</v>
      </c>
      <c r="AE9" s="682">
        <f>'Raw Resid emissions'!AF8</f>
        <v>9.392306303670539E-2</v>
      </c>
      <c r="AF9" s="682">
        <f>'Raw Resid emissions'!AG8</f>
        <v>9.0892271801704574E-2</v>
      </c>
      <c r="AG9" s="682">
        <f>'Raw Resid emissions'!AH8</f>
        <v>1.1815016635942208</v>
      </c>
      <c r="AH9" s="682">
        <f>'Raw Resid emissions'!AI8</f>
        <v>1.1618461973568415</v>
      </c>
      <c r="AI9" s="682">
        <f>'Raw Resid emissions'!AJ8</f>
        <v>1.1592019482789813</v>
      </c>
      <c r="AJ9" s="682">
        <f>'Raw Resid emissions'!AK8</f>
        <v>1.149802946591415</v>
      </c>
      <c r="AK9" s="682">
        <f>'Raw Resid emissions'!AL8</f>
        <v>1.1096005488772775</v>
      </c>
      <c r="AL9" s="682">
        <f>'Raw Resid emissions'!AM8</f>
        <v>0</v>
      </c>
      <c r="AM9" s="682">
        <f>'Raw Resid emissions'!AN8</f>
        <v>0</v>
      </c>
      <c r="AN9" s="682">
        <f>'Raw Resid emissions'!AO8</f>
        <v>0</v>
      </c>
      <c r="AO9" s="682">
        <f>'Raw Resid emissions'!AP8</f>
        <v>0</v>
      </c>
      <c r="AP9" s="682">
        <f>'Raw Resid emissions'!AQ8</f>
        <v>0</v>
      </c>
      <c r="AQ9" s="682">
        <f>'Raw Resid emissions'!AR8</f>
        <v>8.7782237222144583E-4</v>
      </c>
      <c r="AR9" s="682">
        <f>'Raw Resid emissions'!AS8</f>
        <v>7.5914489967916071E-4</v>
      </c>
      <c r="AS9" s="682">
        <f>'Raw Resid emissions'!AT8</f>
        <v>6.0477662275529721E-4</v>
      </c>
      <c r="AT9" s="682">
        <f>'Raw Resid emissions'!AU8</f>
        <v>5.9986450534525379E-4</v>
      </c>
      <c r="AU9" s="682">
        <f>'Raw Resid emissions'!AV8</f>
        <v>3.9814354590663262E-4</v>
      </c>
      <c r="AV9" s="682">
        <f>AQ9/'Raw Resid emissions'!$AW8</f>
        <v>3.2274644023945701E-3</v>
      </c>
      <c r="AW9" s="686">
        <f>AR9/'Raw Resid emissions'!$AW8</f>
        <v>2.7911263343329386E-3</v>
      </c>
      <c r="AX9" s="686">
        <f>AS9/'Raw Resid emissions'!$AW8</f>
        <v>2.2235649068770061E-3</v>
      </c>
      <c r="AY9" s="686">
        <f>AT9/'Raw Resid emissions'!$AW8</f>
        <v>2.2055046653258847E-3</v>
      </c>
      <c r="AZ9" s="686">
        <f>AU9/'Raw Resid emissions'!$AW8</f>
        <v>1.4638429847771564E-3</v>
      </c>
    </row>
    <row r="10" spans="1:52" x14ac:dyDescent="0.2">
      <c r="A10" s="690" t="str">
        <f>Technologies!C79</f>
        <v>TCGSLE</v>
      </c>
      <c r="B10" s="690" t="str">
        <f>Technologies!D79</f>
        <v>Truck, Commerical, Exisiting Gasoline</v>
      </c>
      <c r="C10" s="682">
        <f>'Raw Resid emissions'!D16</f>
        <v>2.4555996106187621</v>
      </c>
      <c r="D10" s="682">
        <f>'Raw Resid emissions'!E16</f>
        <v>1.7540293644631779</v>
      </c>
      <c r="E10" s="682">
        <f>'Raw Resid emissions'!F16</f>
        <v>1.4883008345782998</v>
      </c>
      <c r="F10" s="682">
        <f>'Raw Resid emissions'!G16</f>
        <v>0.94941900221862174</v>
      </c>
      <c r="G10" s="682">
        <f>'Raw Resid emissions'!H16</f>
        <v>0.44734491195312753</v>
      </c>
      <c r="H10" s="682">
        <f>'Raw Resid emissions'!I16</f>
        <v>3.8493926976571891E-2</v>
      </c>
      <c r="I10" s="682">
        <f>'Raw Resid emissions'!J16</f>
        <v>1.0132910796301324E-2</v>
      </c>
      <c r="J10" s="682">
        <f>'Raw Resid emissions'!K16</f>
        <v>7.8303108507665666E-3</v>
      </c>
      <c r="K10" s="682">
        <f>'Raw Resid emissions'!L16</f>
        <v>7.8216249729070372E-3</v>
      </c>
      <c r="L10" s="682">
        <f>'Raw Resid emissions'!M16</f>
        <v>7.8156757046561158E-3</v>
      </c>
      <c r="M10" s="682">
        <f>'Raw Resid emissions'!N16</f>
        <v>4.7744106721079441E-2</v>
      </c>
      <c r="N10" s="682">
        <f>'Raw Resid emissions'!O16</f>
        <v>4.3009734531088209E-2</v>
      </c>
      <c r="O10" s="682">
        <f>'Raw Resid emissions'!P16</f>
        <v>3.8837182681598685E-2</v>
      </c>
      <c r="P10" s="682">
        <f>'Raw Resid emissions'!Q16</f>
        <v>3.627183613791532E-2</v>
      </c>
      <c r="Q10" s="682">
        <f>'Raw Resid emissions'!R16</f>
        <v>3.2995484982133089E-2</v>
      </c>
      <c r="R10" s="682">
        <f>'Raw Resid emissions'!S16</f>
        <v>2.6388083296904161E-2</v>
      </c>
      <c r="S10" s="682">
        <f>'Raw Resid emissions'!T16</f>
        <v>2.2044930543619928E-2</v>
      </c>
      <c r="T10" s="682">
        <f>'Raw Resid emissions'!U16</f>
        <v>1.8219615444350228E-2</v>
      </c>
      <c r="U10" s="682">
        <f>'Raw Resid emissions'!V16</f>
        <v>1.5867131235339726E-2</v>
      </c>
      <c r="V10" s="682">
        <f>'Raw Resid emissions'!W16</f>
        <v>1.2854883623603644E-2</v>
      </c>
      <c r="W10" s="682">
        <f>'Raw Resid emissions'!X16</f>
        <v>18.588225857032132</v>
      </c>
      <c r="X10" s="682">
        <f>'Raw Resid emissions'!Y16</f>
        <v>13.277158266906788</v>
      </c>
      <c r="Y10" s="682">
        <f>'Raw Resid emissions'!Z16</f>
        <v>11.887873371174811</v>
      </c>
      <c r="Z10" s="682">
        <f>'Raw Resid emissions'!AA16</f>
        <v>6.8661844552370592</v>
      </c>
      <c r="AA10" s="682">
        <f>'Raw Resid emissions'!AB16</f>
        <v>5.2186282715771171</v>
      </c>
      <c r="AB10" s="682">
        <f>'Raw Resid emissions'!AC16</f>
        <v>6.0394261447408809E-2</v>
      </c>
      <c r="AC10" s="682">
        <f>'Raw Resid emissions'!AD16</f>
        <v>4.8954582773010867E-2</v>
      </c>
      <c r="AD10" s="682">
        <f>'Raw Resid emissions'!AE16</f>
        <v>3.7105751062380544E-2</v>
      </c>
      <c r="AE10" s="682">
        <f>'Raw Resid emissions'!AF16</f>
        <v>3.5924173226871706E-2</v>
      </c>
      <c r="AF10" s="682">
        <f>'Raw Resid emissions'!AG16</f>
        <v>1.4172930818015001E-2</v>
      </c>
      <c r="AG10" s="682">
        <f>'Raw Resid emissions'!AH16</f>
        <v>4.5319603228106506E-2</v>
      </c>
      <c r="AH10" s="682">
        <f>'Raw Resid emissions'!AI16</f>
        <v>3.572881829374084E-2</v>
      </c>
      <c r="AI10" s="682">
        <f>'Raw Resid emissions'!AJ16</f>
        <v>3.1013976733268087E-2</v>
      </c>
      <c r="AJ10" s="682">
        <f>'Raw Resid emissions'!AK16</f>
        <v>2.3457345021724838E-2</v>
      </c>
      <c r="AK10" s="682">
        <f>'Raw Resid emissions'!AL16</f>
        <v>1.8876678041399735E-2</v>
      </c>
      <c r="AL10" s="682">
        <f>'Raw Resid emissions'!AM16</f>
        <v>1.7678657288132089</v>
      </c>
      <c r="AM10" s="682">
        <f>'Raw Resid emissions'!AN16</f>
        <v>1.1475119598349708</v>
      </c>
      <c r="AN10" s="682">
        <f>'Raw Resid emissions'!AO16</f>
        <v>1.0956716216835187</v>
      </c>
      <c r="AO10" s="682">
        <f>'Raw Resid emissions'!AP16</f>
        <v>0.48360877300991989</v>
      </c>
      <c r="AP10" s="682">
        <f>'Raw Resid emissions'!AQ16</f>
        <v>0.20617908766056078</v>
      </c>
      <c r="AQ10" s="682">
        <f>'Raw Resid emissions'!AR16</f>
        <v>1.7790943037230245E-3</v>
      </c>
      <c r="AR10" s="682">
        <f>'Raw Resid emissions'!AS16</f>
        <v>1.4380518422965126E-3</v>
      </c>
      <c r="AS10" s="682">
        <f>'Raw Resid emissions'!AT16</f>
        <v>1.1590228175550475E-3</v>
      </c>
      <c r="AT10" s="682">
        <f>'Raw Resid emissions'!AU16</f>
        <v>9.6294224678748362E-4</v>
      </c>
      <c r="AU10" s="682">
        <f>'Raw Resid emissions'!AV16</f>
        <v>7.3114718475356534E-4</v>
      </c>
      <c r="AV10" s="682">
        <f>AQ10/'Raw Resid emissions'!$AW16</f>
        <v>7.0897206820427876E-3</v>
      </c>
      <c r="AW10" s="686">
        <f>AR10/'Raw Resid emissions'!$AW16</f>
        <v>5.7306607451015545E-3</v>
      </c>
      <c r="AX10" s="686">
        <f>AS10/'Raw Resid emissions'!$AW16</f>
        <v>4.6187253949292609E-3</v>
      </c>
      <c r="AY10" s="686">
        <f>AT10/'Raw Resid emissions'!$AW16</f>
        <v>3.8373410270469968E-3</v>
      </c>
      <c r="AZ10" s="686">
        <f>AU10/'Raw Resid emissions'!$AW16</f>
        <v>2.9136338116069402E-3</v>
      </c>
    </row>
    <row r="11" spans="1:52" x14ac:dyDescent="0.2">
      <c r="A11" s="690" t="str">
        <f>Technologies!C80</f>
        <v>TCDSLE</v>
      </c>
      <c r="B11" s="690" t="str">
        <f>Technologies!D80</f>
        <v>Truck, Commerical, Existing Diesel</v>
      </c>
      <c r="C11" s="682">
        <f>'Raw Resid emissions'!D15</f>
        <v>5.5483297076586835</v>
      </c>
      <c r="D11" s="682">
        <f>'Raw Resid emissions'!E15</f>
        <v>5.2936238324083309</v>
      </c>
      <c r="E11" s="682">
        <f>'Raw Resid emissions'!F15</f>
        <v>5.1408902371623162</v>
      </c>
      <c r="F11" s="682">
        <f>'Raw Resid emissions'!G15</f>
        <v>4.8869385006275055</v>
      </c>
      <c r="G11" s="682">
        <f>'Raw Resid emissions'!H15</f>
        <v>4.983028437234819</v>
      </c>
      <c r="H11" s="682">
        <f>'Raw Resid emissions'!I15</f>
        <v>0.14727368939298702</v>
      </c>
      <c r="I11" s="682">
        <f>'Raw Resid emissions'!J15</f>
        <v>9.7143704289385253E-3</v>
      </c>
      <c r="J11" s="682">
        <f>'Raw Resid emissions'!K15</f>
        <v>4.79092160102203E-3</v>
      </c>
      <c r="K11" s="682">
        <f>'Raw Resid emissions'!L15</f>
        <v>4.785991384847265E-3</v>
      </c>
      <c r="L11" s="682">
        <f>'Raw Resid emissions'!M15</f>
        <v>4.7825888938573397E-3</v>
      </c>
      <c r="M11" s="682">
        <f>'Raw Resid emissions'!N15</f>
        <v>0.49718087828686636</v>
      </c>
      <c r="N11" s="682">
        <f>'Raw Resid emissions'!O15</f>
        <v>0.40287341246158354</v>
      </c>
      <c r="O11" s="682">
        <f>'Raw Resid emissions'!P15</f>
        <v>0.34077855951729086</v>
      </c>
      <c r="P11" s="682">
        <f>'Raw Resid emissions'!Q15</f>
        <v>0.28491660238373234</v>
      </c>
      <c r="Q11" s="682">
        <f>'Raw Resid emissions'!R15</f>
        <v>0.20316190739315482</v>
      </c>
      <c r="R11" s="682">
        <f>'Raw Resid emissions'!S15</f>
        <v>0.460475737882452</v>
      </c>
      <c r="S11" s="682">
        <f>'Raw Resid emissions'!T15</f>
        <v>0.36929196140383919</v>
      </c>
      <c r="T11" s="682">
        <f>'Raw Resid emissions'!U15</f>
        <v>0.30982460647244975</v>
      </c>
      <c r="U11" s="682">
        <f>'Raw Resid emissions'!V15</f>
        <v>0.25538028208026958</v>
      </c>
      <c r="V11" s="682">
        <f>'Raw Resid emissions'!W15</f>
        <v>0.17688588926384202</v>
      </c>
      <c r="W11" s="682">
        <f>'Raw Resid emissions'!X15</f>
        <v>3.4738828491213969</v>
      </c>
      <c r="X11" s="682">
        <f>'Raw Resid emissions'!Y15</f>
        <v>3.1034360237257061</v>
      </c>
      <c r="Y11" s="682">
        <f>'Raw Resid emissions'!Z15</f>
        <v>2.4852384166092452</v>
      </c>
      <c r="Z11" s="682">
        <f>'Raw Resid emissions'!AA15</f>
        <v>2.7806209481832704</v>
      </c>
      <c r="AA11" s="682">
        <f>'Raw Resid emissions'!AB15</f>
        <v>1.3353922864905046</v>
      </c>
      <c r="AB11" s="682">
        <f>'Raw Resid emissions'!AC15</f>
        <v>2.9966056339890551E-3</v>
      </c>
      <c r="AC11" s="682">
        <f>'Raw Resid emissions'!AD15</f>
        <v>2.9321561476067059E-3</v>
      </c>
      <c r="AD11" s="682">
        <f>'Raw Resid emissions'!AE15</f>
        <v>2.8634128196189622E-3</v>
      </c>
      <c r="AE11" s="682">
        <f>'Raw Resid emissions'!AF15</f>
        <v>2.8530429785469211E-3</v>
      </c>
      <c r="AF11" s="682">
        <f>'Raw Resid emissions'!AG15</f>
        <v>2.7457850663403917E-3</v>
      </c>
      <c r="AG11" s="682">
        <f>'Raw Resid emissions'!AH15</f>
        <v>2.0711519584601427E-3</v>
      </c>
      <c r="AH11" s="682">
        <f>'Raw Resid emissions'!AI15</f>
        <v>2.0027559030556426E-3</v>
      </c>
      <c r="AI11" s="682">
        <f>'Raw Resid emissions'!AJ15</f>
        <v>1.917544518650872E-3</v>
      </c>
      <c r="AJ11" s="682">
        <f>'Raw Resid emissions'!AK15</f>
        <v>1.8907844892469316E-3</v>
      </c>
      <c r="AK11" s="682">
        <f>'Raw Resid emissions'!AL15</f>
        <v>1.8476670679322979E-3</v>
      </c>
      <c r="AL11" s="682">
        <f>'Raw Resid emissions'!AM15</f>
        <v>0.8416911833770665</v>
      </c>
      <c r="AM11" s="682">
        <f>'Raw Resid emissions'!AN15</f>
        <v>0.74912112756892124</v>
      </c>
      <c r="AN11" s="682">
        <f>'Raw Resid emissions'!AO15</f>
        <v>0.59790395617351721</v>
      </c>
      <c r="AO11" s="682">
        <f>'Raw Resid emissions'!AP15</f>
        <v>0.66516013527073115</v>
      </c>
      <c r="AP11" s="682">
        <f>'Raw Resid emissions'!AQ15</f>
        <v>0.32063354580677417</v>
      </c>
      <c r="AQ11" s="682">
        <f>'Raw Resid emissions'!AR15</f>
        <v>0.21103732385305474</v>
      </c>
      <c r="AR11" s="682">
        <f>'Raw Resid emissions'!AS15</f>
        <v>0.18349067587180876</v>
      </c>
      <c r="AS11" s="682">
        <f>'Raw Resid emissions'!AT15</f>
        <v>0.14435678865754983</v>
      </c>
      <c r="AT11" s="682">
        <f>'Raw Resid emissions'!AU15</f>
        <v>0.13863475935868741</v>
      </c>
      <c r="AU11" s="682">
        <f>'Raw Resid emissions'!AV15</f>
        <v>0.1119744900308514</v>
      </c>
      <c r="AV11" s="682">
        <f>AQ11/'Raw Resid emissions'!$AW15</f>
        <v>6.7621652731028312E-2</v>
      </c>
      <c r="AW11" s="686">
        <f>AR11/'Raw Resid emissions'!$AW15</f>
        <v>5.879501567137374E-2</v>
      </c>
      <c r="AX11" s="686">
        <f>AS11/'Raw Resid emissions'!$AW15</f>
        <v>4.6255536479245324E-2</v>
      </c>
      <c r="AY11" s="686">
        <f>AT11/'Raw Resid emissions'!$AW15</f>
        <v>4.4422054746725503E-2</v>
      </c>
      <c r="AZ11" s="686">
        <f>AU11/'Raw Resid emissions'!$AW15</f>
        <v>3.5879435643680443E-2</v>
      </c>
    </row>
    <row r="12" spans="1:52" x14ac:dyDescent="0.2">
      <c r="A12" s="690" t="str">
        <f>Technologies!C110</f>
        <v>TMGSLE</v>
      </c>
      <c r="B12" s="690" t="str">
        <f>Technologies!D110</f>
        <v>Medium Duty Truck, Existing Gasoline</v>
      </c>
      <c r="C12" s="682">
        <f>'Raw Resid emissions'!D22</f>
        <v>4.5716386228589467</v>
      </c>
      <c r="D12" s="682">
        <f>'Raw Resid emissions'!E22</f>
        <v>4.0362378455816632</v>
      </c>
      <c r="E12" s="682">
        <f>'Raw Resid emissions'!F22</f>
        <v>3.8641065015027358</v>
      </c>
      <c r="F12" s="682">
        <f>'Raw Resid emissions'!G22</f>
        <v>3.3337820906612814</v>
      </c>
      <c r="G12" s="682">
        <f>'Raw Resid emissions'!H22</f>
        <v>3.2962458579014355</v>
      </c>
      <c r="H12" s="682">
        <f>'Raw Resid emissions'!I22</f>
        <v>6.7514682997578318E-2</v>
      </c>
      <c r="I12" s="682">
        <f>'Raw Resid emissions'!J22</f>
        <v>1.7776362953857931E-2</v>
      </c>
      <c r="J12" s="682">
        <f>'Raw Resid emissions'!K22</f>
        <v>1.3758716115018003E-2</v>
      </c>
      <c r="K12" s="682">
        <f>'Raw Resid emissions'!L22</f>
        <v>1.3752945638960984E-2</v>
      </c>
      <c r="L12" s="682">
        <f>'Raw Resid emissions'!M22</f>
        <v>1.3746081019759911E-2</v>
      </c>
      <c r="M12" s="682">
        <f>'Raw Resid emissions'!N22</f>
        <v>7.5206682090866311E-2</v>
      </c>
      <c r="N12" s="682">
        <f>'Raw Resid emissions'!O22</f>
        <v>7.2220317799899944E-2</v>
      </c>
      <c r="O12" s="682">
        <f>'Raw Resid emissions'!P22</f>
        <v>7.0607365130787178E-2</v>
      </c>
      <c r="P12" s="682">
        <f>'Raw Resid emissions'!Q22</f>
        <v>6.8157479249591826E-2</v>
      </c>
      <c r="Q12" s="682">
        <f>'Raw Resid emissions'!R22</f>
        <v>6.7272430414599488E-2</v>
      </c>
      <c r="R12" s="682">
        <f>'Raw Resid emissions'!S22</f>
        <v>2.7780146795212523E-2</v>
      </c>
      <c r="S12" s="682">
        <f>'Raw Resid emissions'!T22</f>
        <v>2.491494662785709E-2</v>
      </c>
      <c r="T12" s="682">
        <f>'Raw Resid emissions'!U22</f>
        <v>2.3357999777124515E-2</v>
      </c>
      <c r="U12" s="682">
        <f>'Raw Resid emissions'!V22</f>
        <v>2.0986860819372091E-2</v>
      </c>
      <c r="V12" s="682">
        <f>'Raw Resid emissions'!W22</f>
        <v>2.0220246466460597E-2</v>
      </c>
      <c r="W12" s="682">
        <f>'Raw Resid emissions'!X22</f>
        <v>50.746477423086645</v>
      </c>
      <c r="X12" s="682">
        <f>'Raw Resid emissions'!Y22</f>
        <v>36.19366931021392</v>
      </c>
      <c r="Y12" s="682">
        <f>'Raw Resid emissions'!Z22</f>
        <v>32.037917331399022</v>
      </c>
      <c r="Z12" s="682">
        <f>'Raw Resid emissions'!AA22</f>
        <v>17.442418423124458</v>
      </c>
      <c r="AA12" s="682">
        <f>'Raw Resid emissions'!AB22</f>
        <v>16.217025555774075</v>
      </c>
      <c r="AB12" s="682">
        <f>'Raw Resid emissions'!AC22</f>
        <v>5.4207479723256596E-2</v>
      </c>
      <c r="AC12" s="682">
        <f>'Raw Resid emissions'!AD22</f>
        <v>4.9110114823270677E-2</v>
      </c>
      <c r="AD12" s="682">
        <f>'Raw Resid emissions'!AE22</f>
        <v>4.0147174239998772E-2</v>
      </c>
      <c r="AE12" s="682">
        <f>'Raw Resid emissions'!AF22</f>
        <v>4.4864348650226281E-2</v>
      </c>
      <c r="AF12" s="682">
        <f>'Raw Resid emissions'!AG22</f>
        <v>2.3525190267506279E-2</v>
      </c>
      <c r="AG12" s="682">
        <f>'Raw Resid emissions'!AH22</f>
        <v>0.10547552096003099</v>
      </c>
      <c r="AH12" s="682">
        <f>'Raw Resid emissions'!AI22</f>
        <v>6.9010399500869526E-2</v>
      </c>
      <c r="AI12" s="682">
        <f>'Raw Resid emissions'!AJ22</f>
        <v>5.8047234937988496E-2</v>
      </c>
      <c r="AJ12" s="682">
        <f>'Raw Resid emissions'!AK22</f>
        <v>2.1634944137496451E-2</v>
      </c>
      <c r="AK12" s="682">
        <f>'Raw Resid emissions'!AL22</f>
        <v>1.8879842962050399E-2</v>
      </c>
      <c r="AL12" s="682">
        <f>'Raw Resid emissions'!AM22</f>
        <v>1.9895924256235769</v>
      </c>
      <c r="AM12" s="682">
        <f>'Raw Resid emissions'!AN22</f>
        <v>1.475798581095088</v>
      </c>
      <c r="AN12" s="682">
        <f>'Raw Resid emissions'!AO22</f>
        <v>1.3017021027278499</v>
      </c>
      <c r="AO12" s="682">
        <f>'Raw Resid emissions'!AP22</f>
        <v>0.85356849277793756</v>
      </c>
      <c r="AP12" s="682">
        <f>'Raw Resid emissions'!AQ22</f>
        <v>0.63079267799427807</v>
      </c>
      <c r="AQ12" s="682">
        <f>'Raw Resid emissions'!AR22</f>
        <v>1.0405159758049556E-3</v>
      </c>
      <c r="AR12" s="682">
        <f>'Raw Resid emissions'!AS22</f>
        <v>8.2674689673951777E-4</v>
      </c>
      <c r="AS12" s="682">
        <f>'Raw Resid emissions'!AT22</f>
        <v>6.2174377947501721E-4</v>
      </c>
      <c r="AT12" s="682">
        <f>'Raw Resid emissions'!AU22</f>
        <v>5.1958057743009946E-4</v>
      </c>
      <c r="AU12" s="682">
        <f>'Raw Resid emissions'!AV22</f>
        <v>3.5200249360827342E-4</v>
      </c>
      <c r="AV12" s="682">
        <f>AQ12/'Raw Resid emissions'!$AW22</f>
        <v>8.3918011185017353E-3</v>
      </c>
      <c r="AW12" s="686">
        <f>AR12/'Raw Resid emissions'!$AW22</f>
        <v>6.6677453245340941E-3</v>
      </c>
      <c r="AX12" s="686">
        <f>AS12/'Raw Resid emissions'!$AW22</f>
        <v>5.0143873475691578E-3</v>
      </c>
      <c r="AY12" s="686">
        <f>AT12/'Raw Resid emissions'!$AW22</f>
        <v>4.1904372178971786E-3</v>
      </c>
      <c r="AZ12" s="686">
        <f>AU12/'Raw Resid emissions'!$AW22</f>
        <v>2.8389135662161354E-3</v>
      </c>
    </row>
    <row r="13" spans="1:52" x14ac:dyDescent="0.2">
      <c r="A13" s="690" t="str">
        <f>Technologies!C111</f>
        <v>TMDSLE</v>
      </c>
      <c r="B13" s="690" t="str">
        <f>Technologies!D111</f>
        <v>Medium Duty Truck, Existing Diesel</v>
      </c>
      <c r="C13" s="682">
        <f>'Raw Resid emissions'!D21</f>
        <v>9.9916010840631806</v>
      </c>
      <c r="D13" s="682">
        <f>'Raw Resid emissions'!E21</f>
        <v>8.646075386485208</v>
      </c>
      <c r="E13" s="682">
        <f>'Raw Resid emissions'!F21</f>
        <v>8.018799060229167</v>
      </c>
      <c r="F13" s="682">
        <f>'Raw Resid emissions'!G21</f>
        <v>6.9843233223070635</v>
      </c>
      <c r="G13" s="682">
        <f>'Raw Resid emissions'!H21</f>
        <v>6.2047139910529268</v>
      </c>
      <c r="H13" s="682">
        <f>'Raw Resid emissions'!I21</f>
        <v>0.23684699338548493</v>
      </c>
      <c r="I13" s="682">
        <f>'Raw Resid emissions'!J21</f>
        <v>1.393381343982739E-2</v>
      </c>
      <c r="J13" s="682">
        <f>'Raw Resid emissions'!K21</f>
        <v>6.8861302243331786E-3</v>
      </c>
      <c r="K13" s="682">
        <f>'Raw Resid emissions'!L21</f>
        <v>6.8846457605054546E-3</v>
      </c>
      <c r="L13" s="682">
        <f>'Raw Resid emissions'!M21</f>
        <v>6.8828176795580108E-3</v>
      </c>
      <c r="M13" s="682">
        <f>'Raw Resid emissions'!N21</f>
        <v>0.72155277716218347</v>
      </c>
      <c r="N13" s="682">
        <f>'Raw Resid emissions'!O21</f>
        <v>0.61463951609616452</v>
      </c>
      <c r="O13" s="682">
        <f>'Raw Resid emissions'!P21</f>
        <v>0.56446766016249073</v>
      </c>
      <c r="P13" s="682">
        <f>'Raw Resid emissions'!Q21</f>
        <v>0.48537868101852077</v>
      </c>
      <c r="Q13" s="682">
        <f>'Raw Resid emissions'!R21</f>
        <v>0.41368821056950522</v>
      </c>
      <c r="R13" s="682">
        <f>'Raw Resid emissions'!S21</f>
        <v>0.64564396816218428</v>
      </c>
      <c r="S13" s="682">
        <f>'Raw Resid emissions'!T21</f>
        <v>0.54202852665356538</v>
      </c>
      <c r="T13" s="682">
        <f>'Raw Resid emissions'!U21</f>
        <v>0.4932276665243529</v>
      </c>
      <c r="U13" s="682">
        <f>'Raw Resid emissions'!V21</f>
        <v>0.41685069604756092</v>
      </c>
      <c r="V13" s="682">
        <f>'Raw Resid emissions'!W21</f>
        <v>0.34674378070288431</v>
      </c>
      <c r="W13" s="682">
        <f>'Raw Resid emissions'!X21</f>
        <v>3.6455773607814708</v>
      </c>
      <c r="X13" s="682">
        <f>'Raw Resid emissions'!Y21</f>
        <v>3.3459867062386972</v>
      </c>
      <c r="Y13" s="682">
        <f>'Raw Resid emissions'!Z21</f>
        <v>2.8080133840322179</v>
      </c>
      <c r="Z13" s="682">
        <f>'Raw Resid emissions'!AA21</f>
        <v>3.1202212770567694</v>
      </c>
      <c r="AA13" s="682">
        <f>'Raw Resid emissions'!AB21</f>
        <v>1.7679136271904505</v>
      </c>
      <c r="AB13" s="682">
        <f>'Raw Resid emissions'!AC21</f>
        <v>2.8359268869761305E-3</v>
      </c>
      <c r="AC13" s="682">
        <f>'Raw Resid emissions'!AD21</f>
        <v>2.7714107431740355E-3</v>
      </c>
      <c r="AD13" s="682">
        <f>'Raw Resid emissions'!AE21</f>
        <v>2.7189756249926741E-3</v>
      </c>
      <c r="AE13" s="682">
        <f>'Raw Resid emissions'!AF21</f>
        <v>2.695615113652545E-3</v>
      </c>
      <c r="AF13" s="682">
        <f>'Raw Resid emissions'!AG21</f>
        <v>2.6059582480530653E-3</v>
      </c>
      <c r="AG13" s="682">
        <f>'Raw Resid emissions'!AH21</f>
        <v>2.4157825602538984E-3</v>
      </c>
      <c r="AH13" s="682">
        <f>'Raw Resid emissions'!AI21</f>
        <v>2.2973130411667771E-3</v>
      </c>
      <c r="AI13" s="682">
        <f>'Raw Resid emissions'!AJ21</f>
        <v>2.2754703146737969E-3</v>
      </c>
      <c r="AJ13" s="682">
        <f>'Raw Resid emissions'!AK21</f>
        <v>2.1480591348242107E-3</v>
      </c>
      <c r="AK13" s="682">
        <f>'Raw Resid emissions'!AL21</f>
        <v>2.1480608579075681E-3</v>
      </c>
      <c r="AL13" s="682">
        <f>'Raw Resid emissions'!AM21</f>
        <v>1.0557273967698739</v>
      </c>
      <c r="AM13" s="682">
        <f>'Raw Resid emissions'!AN21</f>
        <v>0.97582416721463716</v>
      </c>
      <c r="AN13" s="682">
        <f>'Raw Resid emissions'!AO21</f>
        <v>0.79841232365435644</v>
      </c>
      <c r="AO13" s="682">
        <f>'Raw Resid emissions'!AP21</f>
        <v>0.9294602423506314</v>
      </c>
      <c r="AP13" s="682">
        <f>'Raw Resid emissions'!AQ21</f>
        <v>0.46322670318013898</v>
      </c>
      <c r="AQ13" s="682">
        <f>'Raw Resid emissions'!AR21</f>
        <v>0.24376872881798695</v>
      </c>
      <c r="AR13" s="682">
        <f>'Raw Resid emissions'!AS21</f>
        <v>0.22217910951772496</v>
      </c>
      <c r="AS13" s="682">
        <f>'Raw Resid emissions'!AT21</f>
        <v>0.18536313824098238</v>
      </c>
      <c r="AT13" s="682">
        <f>'Raw Resid emissions'!AU21</f>
        <v>0.18552761642360585</v>
      </c>
      <c r="AU13" s="682">
        <f>'Raw Resid emissions'!AV21</f>
        <v>0.15871464944045013</v>
      </c>
      <c r="AV13" s="682">
        <f>AQ13/'Raw Resid emissions'!$AW21</f>
        <v>0.10759518061390493</v>
      </c>
      <c r="AW13" s="686">
        <f>AR13/'Raw Resid emissions'!$AW21</f>
        <v>9.8065906702272124E-2</v>
      </c>
      <c r="AX13" s="686">
        <f>AS13/'Raw Resid emissions'!$AW21</f>
        <v>8.1815991882577793E-2</v>
      </c>
      <c r="AY13" s="686">
        <f>AT13/'Raw Resid emissions'!$AW21</f>
        <v>8.1888589626563368E-2</v>
      </c>
      <c r="AZ13" s="686">
        <f>AU13/'Raw Resid emissions'!$AW21</f>
        <v>7.0053822963356993E-2</v>
      </c>
    </row>
    <row r="14" spans="1:52" x14ac:dyDescent="0.2">
      <c r="A14" s="690" t="str">
        <f>Technologies!C112</f>
        <v>TMCNGE</v>
      </c>
      <c r="B14" s="690" t="str">
        <f>Technologies!D112</f>
        <v>Medium Duty Truck, Existing CNG</v>
      </c>
      <c r="C14" s="682">
        <f>'Raw Resid emissions'!D24</f>
        <v>6.4945407046410661</v>
      </c>
      <c r="D14" s="682">
        <f>'Raw Resid emissions'!E24</f>
        <v>5.6199490012153843</v>
      </c>
      <c r="E14" s="682">
        <f>'Raw Resid emissions'!F24</f>
        <v>5.2122193891489585</v>
      </c>
      <c r="F14" s="682">
        <f>'Raw Resid emissions'!G24</f>
        <v>4.5398101594995905</v>
      </c>
      <c r="G14" s="682">
        <f>'Raw Resid emissions'!H24</f>
        <v>4.0330640941844029</v>
      </c>
      <c r="H14" s="682">
        <f>'Raw Resid emissions'!I24</f>
        <v>0.14750908242726701</v>
      </c>
      <c r="I14" s="682">
        <f>'Raw Resid emissions'!J24</f>
        <v>1.0357123727056477E-2</v>
      </c>
      <c r="J14" s="682">
        <f>'Raw Resid emissions'!K24</f>
        <v>5.1375742418903522E-3</v>
      </c>
      <c r="K14" s="682">
        <f>'Raw Resid emissions'!L24</f>
        <v>5.1544868548452525E-3</v>
      </c>
      <c r="L14" s="682">
        <f>'Raw Resid emissions'!M24</f>
        <v>5.1696547815989532E-3</v>
      </c>
      <c r="M14" s="682">
        <f>'Raw Resid emissions'!N24</f>
        <v>0.1408849807447991</v>
      </c>
      <c r="N14" s="682">
        <f>'Raw Resid emissions'!O24</f>
        <v>0.13007633834533563</v>
      </c>
      <c r="O14" s="682">
        <f>'Raw Resid emissions'!P24</f>
        <v>0.12522745678711203</v>
      </c>
      <c r="P14" s="682">
        <f>'Raw Resid emissions'!Q24</f>
        <v>0.11688780507182597</v>
      </c>
      <c r="Q14" s="682">
        <f>'Raw Resid emissions'!R24</f>
        <v>0.11043205488471061</v>
      </c>
      <c r="R14" s="682">
        <f>'Raw Resid emissions'!S24</f>
        <v>8.2307335649830143E-2</v>
      </c>
      <c r="S14" s="682">
        <f>'Raw Resid emissions'!T24</f>
        <v>7.1915597482680491E-2</v>
      </c>
      <c r="T14" s="682">
        <f>'Raw Resid emissions'!U24</f>
        <v>6.7078852583361326E-2</v>
      </c>
      <c r="U14" s="682">
        <f>'Raw Resid emissions'!V24</f>
        <v>5.9330250106675031E-2</v>
      </c>
      <c r="V14" s="682">
        <f>'Raw Resid emissions'!W24</f>
        <v>5.250324025260452E-2</v>
      </c>
      <c r="W14" s="682">
        <f>'Raw Resid emissions'!X24</f>
        <v>0.3645577360781469</v>
      </c>
      <c r="X14" s="682">
        <f>'Raw Resid emissions'!Y24</f>
        <v>0.33459867062386967</v>
      </c>
      <c r="Y14" s="682">
        <f>'Raw Resid emissions'!Z24</f>
        <v>0.28080133840322175</v>
      </c>
      <c r="Z14" s="682">
        <f>'Raw Resid emissions'!AA24</f>
        <v>0.31202212770567689</v>
      </c>
      <c r="AA14" s="682">
        <f>'Raw Resid emissions'!AB24</f>
        <v>0.17679136271904503</v>
      </c>
      <c r="AB14" s="682">
        <f>'Raw Resid emissions'!AC24</f>
        <v>2.8359268869761305E-3</v>
      </c>
      <c r="AC14" s="682">
        <f>'Raw Resid emissions'!AD24</f>
        <v>2.7714107431740355E-3</v>
      </c>
      <c r="AD14" s="682">
        <f>'Raw Resid emissions'!AE24</f>
        <v>2.7189756249926741E-3</v>
      </c>
      <c r="AE14" s="682">
        <f>'Raw Resid emissions'!AF24</f>
        <v>2.695615113652545E-3</v>
      </c>
      <c r="AF14" s="682">
        <f>'Raw Resid emissions'!AG24</f>
        <v>2.6059582480530653E-3</v>
      </c>
      <c r="AG14" s="682">
        <f>'Raw Resid emissions'!AH24</f>
        <v>0.13565548505862407</v>
      </c>
      <c r="AH14" s="682">
        <f>'Raw Resid emissions'!AI24</f>
        <v>0.12900296577115297</v>
      </c>
      <c r="AI14" s="682">
        <f>'Raw Resid emissions'!AJ24</f>
        <v>0.12777641264250691</v>
      </c>
      <c r="AJ14" s="682">
        <f>'Raw Resid emissions'!AK24</f>
        <v>0.1206217847017494</v>
      </c>
      <c r="AK14" s="682">
        <f>'Raw Resid emissions'!AL24</f>
        <v>0.12062188145950919</v>
      </c>
      <c r="AL14" s="682">
        <f>'Raw Resid emissions'!AM24</f>
        <v>1.0557273967698739</v>
      </c>
      <c r="AM14" s="682">
        <f>'Raw Resid emissions'!AN24</f>
        <v>0.97582416721463716</v>
      </c>
      <c r="AN14" s="682">
        <f>'Raw Resid emissions'!AO24</f>
        <v>0.79841232365435644</v>
      </c>
      <c r="AO14" s="682">
        <f>'Raw Resid emissions'!AP24</f>
        <v>0.9294602423506314</v>
      </c>
      <c r="AP14" s="682">
        <f>'Raw Resid emissions'!AQ24</f>
        <v>0.46322670318013898</v>
      </c>
      <c r="AQ14" s="682">
        <f>'Raw Resid emissions'!AR24</f>
        <v>2.437687288179869E-2</v>
      </c>
      <c r="AR14" s="682">
        <f>'Raw Resid emissions'!AS24</f>
        <v>2.2217910951772491E-2</v>
      </c>
      <c r="AS14" s="682">
        <f>'Raw Resid emissions'!AT24</f>
        <v>1.8536313824098236E-2</v>
      </c>
      <c r="AT14" s="682">
        <f>'Raw Resid emissions'!AU24</f>
        <v>1.8552761642360586E-2</v>
      </c>
      <c r="AU14" s="682">
        <f>'Raw Resid emissions'!AV24</f>
        <v>1.5871464944045011E-2</v>
      </c>
      <c r="AV14" s="682">
        <f>AQ14/'Raw Resid emissions'!$AW24</f>
        <v>6.643053560551412E-3</v>
      </c>
      <c r="AW14" s="686">
        <f>AR14/'Raw Resid emissions'!$AW24</f>
        <v>6.0547049316727582E-3</v>
      </c>
      <c r="AX14" s="686">
        <f>AS14/'Raw Resid emissions'!$AW24</f>
        <v>5.0514159935836781E-3</v>
      </c>
      <c r="AY14" s="686">
        <f>AT14/'Raw Resid emissions'!$AW24</f>
        <v>5.0558982640619629E-3</v>
      </c>
      <c r="AZ14" s="686">
        <f>AU14/'Raw Resid emissions'!$AW24</f>
        <v>4.3252057890669614E-3</v>
      </c>
    </row>
    <row r="15" spans="1:52" x14ac:dyDescent="0.2">
      <c r="A15" s="690" t="str">
        <f>Technologies!C113</f>
        <v>TMLPGE</v>
      </c>
      <c r="B15" s="690" t="str">
        <f>Technologies!D113</f>
        <v>Medium Duty Truck, Existing LPG</v>
      </c>
      <c r="C15" s="682">
        <f>'Raw Resid emissions'!D19</f>
        <v>1.759180769508915</v>
      </c>
      <c r="D15" s="682">
        <f>'Raw Resid emissions'!E19</f>
        <v>1.2834191370383989</v>
      </c>
      <c r="E15" s="682">
        <f>'Raw Resid emissions'!F19</f>
        <v>1.123641970537699</v>
      </c>
      <c r="F15" s="682">
        <f>'Raw Resid emissions'!G19</f>
        <v>0.73169503834600425</v>
      </c>
      <c r="G15" s="682">
        <f>'Raw Resid emissions'!H19</f>
        <v>0.44734491195312753</v>
      </c>
      <c r="H15" s="682">
        <f>'Raw Resid emissions'!I19</f>
        <v>0</v>
      </c>
      <c r="I15" s="682">
        <f>'Raw Resid emissions'!J19</f>
        <v>0</v>
      </c>
      <c r="J15" s="682">
        <f>'Raw Resid emissions'!K19</f>
        <v>0</v>
      </c>
      <c r="K15" s="682">
        <f>'Raw Resid emissions'!L19</f>
        <v>0</v>
      </c>
      <c r="L15" s="682">
        <f>'Raw Resid emissions'!M19</f>
        <v>0</v>
      </c>
      <c r="M15" s="682">
        <f>'Raw Resid emissions'!N19</f>
        <v>2.6469764428309863E-2</v>
      </c>
      <c r="N15" s="682">
        <f>'Raw Resid emissions'!O19</f>
        <v>2.6445127921077546E-2</v>
      </c>
      <c r="O15" s="682">
        <f>'Raw Resid emissions'!P19</f>
        <v>2.6419593470886394E-2</v>
      </c>
      <c r="P15" s="682">
        <f>'Raw Resid emissions'!Q19</f>
        <v>2.6404850153286571E-2</v>
      </c>
      <c r="Q15" s="682">
        <f>'Raw Resid emissions'!R19</f>
        <v>2.6398247110710493E-2</v>
      </c>
      <c r="R15" s="682">
        <f>'Raw Resid emissions'!S19</f>
        <v>6.7983139282823254E-3</v>
      </c>
      <c r="S15" s="682">
        <f>'Raw Resid emissions'!T19</f>
        <v>6.7919385479326133E-3</v>
      </c>
      <c r="T15" s="682">
        <f>'Raw Resid emissions'!U19</f>
        <v>6.7852696014785285E-3</v>
      </c>
      <c r="U15" s="682">
        <f>'Raw Resid emissions'!V19</f>
        <v>6.7813968794944854E-3</v>
      </c>
      <c r="V15" s="682">
        <f>'Raw Resid emissions'!W19</f>
        <v>6.7799713485497213E-3</v>
      </c>
      <c r="W15" s="682">
        <f>'Raw Resid emissions'!X19</f>
        <v>15.183698381920331</v>
      </c>
      <c r="X15" s="682">
        <f>'Raw Resid emissions'!Y19</f>
        <v>11.054127241741821</v>
      </c>
      <c r="Y15" s="682">
        <f>'Raw Resid emissions'!Z19</f>
        <v>10.146716778839499</v>
      </c>
      <c r="Z15" s="682">
        <f>'Raw Resid emissions'!AA19</f>
        <v>6.0148103913473596</v>
      </c>
      <c r="AA15" s="682">
        <f>'Raw Resid emissions'!AB19</f>
        <v>5.2186282715771171</v>
      </c>
      <c r="AB15" s="682">
        <f>'Raw Resid emissions'!AC19</f>
        <v>6.0394261447408809E-2</v>
      </c>
      <c r="AC15" s="682">
        <f>'Raw Resid emissions'!AD19</f>
        <v>4.8954582773010867E-2</v>
      </c>
      <c r="AD15" s="682">
        <f>'Raw Resid emissions'!AE19</f>
        <v>3.7105751062380544E-2</v>
      </c>
      <c r="AE15" s="682">
        <f>'Raw Resid emissions'!AF19</f>
        <v>3.5924173226871706E-2</v>
      </c>
      <c r="AF15" s="682">
        <f>'Raw Resid emissions'!AG19</f>
        <v>1.4172930818015001E-2</v>
      </c>
      <c r="AG15" s="682">
        <f>'Raw Resid emissions'!AH19</f>
        <v>4.5319603228106506E-2</v>
      </c>
      <c r="AH15" s="682">
        <f>'Raw Resid emissions'!AI19</f>
        <v>3.572881829374084E-2</v>
      </c>
      <c r="AI15" s="682">
        <f>'Raw Resid emissions'!AJ19</f>
        <v>3.1013976733268087E-2</v>
      </c>
      <c r="AJ15" s="682">
        <f>'Raw Resid emissions'!AK19</f>
        <v>2.3457345021724838E-2</v>
      </c>
      <c r="AK15" s="682">
        <f>'Raw Resid emissions'!AL19</f>
        <v>1.8876678041399735E-2</v>
      </c>
      <c r="AL15" s="682">
        <f>'Raw Resid emissions'!AM19</f>
        <v>1.5426721444812235</v>
      </c>
      <c r="AM15" s="682">
        <f>'Raw Resid emissions'!AN19</f>
        <v>1.0073154318162494</v>
      </c>
      <c r="AN15" s="682">
        <f>'Raw Resid emissions'!AO19</f>
        <v>0.96763786979885147</v>
      </c>
      <c r="AO15" s="682">
        <f>'Raw Resid emissions'!AP19</f>
        <v>0.43338023475820747</v>
      </c>
      <c r="AP15" s="682">
        <f>'Raw Resid emissions'!AQ19</f>
        <v>0.20617908766056078</v>
      </c>
      <c r="AQ15" s="682">
        <f>'Raw Resid emissions'!AR19</f>
        <v>0</v>
      </c>
      <c r="AR15" s="682">
        <f>'Raw Resid emissions'!AS19</f>
        <v>0</v>
      </c>
      <c r="AS15" s="682">
        <f>'Raw Resid emissions'!AT19</f>
        <v>0</v>
      </c>
      <c r="AT15" s="682">
        <f>'Raw Resid emissions'!AU19</f>
        <v>0</v>
      </c>
      <c r="AU15" s="682">
        <f>'Raw Resid emissions'!AV19</f>
        <v>0</v>
      </c>
      <c r="AV15" s="682"/>
    </row>
    <row r="16" spans="1:52" x14ac:dyDescent="0.2">
      <c r="A16" s="690" t="str">
        <f>Technologies!C136</f>
        <v>THSGSLE</v>
      </c>
      <c r="B16" s="690" t="str">
        <f>Technologies!D136</f>
        <v>Heavy Truck, Short Haul, Gasoline exisiting</v>
      </c>
      <c r="C16" s="682">
        <f>'Raw Resid emissions'!D28</f>
        <v>4.2449003276218749</v>
      </c>
      <c r="D16" s="682">
        <f>'Raw Resid emissions'!E28</f>
        <v>3.7819705206042507</v>
      </c>
      <c r="E16" s="682">
        <f>'Raw Resid emissions'!F28</f>
        <v>3.6360304958769993</v>
      </c>
      <c r="F16" s="682">
        <f>'Raw Resid emissions'!G28</f>
        <v>3.1724518856874044</v>
      </c>
      <c r="G16" s="682">
        <f>'Raw Resid emissions'!H28</f>
        <v>3.1521773628130147</v>
      </c>
      <c r="H16" s="682">
        <f>'Raw Resid emissions'!I28</f>
        <v>6.3460642954069404E-2</v>
      </c>
      <c r="I16" s="682">
        <f>'Raw Resid emissions'!J28</f>
        <v>1.6736105944498179E-2</v>
      </c>
      <c r="J16" s="682">
        <f>'Raw Resid emissions'!K28</f>
        <v>1.2952613299536493E-2</v>
      </c>
      <c r="K16" s="682">
        <f>'Raw Resid emissions'!L28</f>
        <v>1.2946498655383344E-2</v>
      </c>
      <c r="L16" s="682">
        <f>'Raw Resid emissions'!M28</f>
        <v>1.293894415242311E-2</v>
      </c>
      <c r="M16" s="682">
        <f>'Raw Resid emissions'!N28</f>
        <v>7.4345138647521611E-2</v>
      </c>
      <c r="N16" s="682">
        <f>'Raw Resid emissions'!O28</f>
        <v>7.1570905604660284E-2</v>
      </c>
      <c r="O16" s="682">
        <f>'Raw Resid emissions'!P28</f>
        <v>7.0096809904682908E-2</v>
      </c>
      <c r="P16" s="682">
        <f>'Raw Resid emissions'!Q28</f>
        <v>6.782176287148059E-2</v>
      </c>
      <c r="Q16" s="682">
        <f>'Raw Resid emissions'!R28</f>
        <v>6.6959713089567177E-2</v>
      </c>
      <c r="R16" s="682">
        <f>'Raw Resid emissions'!S28</f>
        <v>2.7156545204105088E-2</v>
      </c>
      <c r="S16" s="682">
        <f>'Raw Resid emissions'!T28</f>
        <v>2.4487668874939441E-2</v>
      </c>
      <c r="T16" s="682">
        <f>'Raw Resid emissions'!U28</f>
        <v>2.305925775537853E-2</v>
      </c>
      <c r="U16" s="682">
        <f>'Raw Resid emissions'!V28</f>
        <v>2.0850109351563274E-2</v>
      </c>
      <c r="V16" s="682">
        <f>'Raw Resid emissions'!W28</f>
        <v>2.0104146409724487E-2</v>
      </c>
      <c r="W16" s="682">
        <f>'Raw Resid emissions'!X28</f>
        <v>43.80863954326928</v>
      </c>
      <c r="X16" s="682">
        <f>'Raw Resid emissions'!Y28</f>
        <v>31.907192883020887</v>
      </c>
      <c r="Y16" s="682">
        <f>'Raw Resid emissions'!Z28</f>
        <v>28.549777105442434</v>
      </c>
      <c r="Z16" s="682">
        <f>'Raw Resid emissions'!AA28</f>
        <v>16.53560494662344</v>
      </c>
      <c r="AA16" s="682">
        <f>'Raw Resid emissions'!AB28</f>
        <v>15.726898430129058</v>
      </c>
      <c r="AB16" s="682">
        <f>'Raw Resid emissions'!AC28</f>
        <v>4.5296581375124011E-2</v>
      </c>
      <c r="AC16" s="682">
        <f>'Raw Resid emissions'!AD28</f>
        <v>4.2068102455911652E-2</v>
      </c>
      <c r="AD16" s="682">
        <f>'Raw Resid emissions'!AE28</f>
        <v>3.4870163614567698E-2</v>
      </c>
      <c r="AE16" s="682">
        <f>'Raw Resid emissions'!AF28</f>
        <v>3.9861683863555403E-2</v>
      </c>
      <c r="AF16" s="682">
        <f>'Raw Resid emissions'!AG28</f>
        <v>2.2069338611438907E-2</v>
      </c>
      <c r="AG16" s="682">
        <f>'Raw Resid emissions'!AH28</f>
        <v>9.0077218659583708E-2</v>
      </c>
      <c r="AH16" s="682">
        <f>'Raw Resid emissions'!AI28</f>
        <v>5.9330572831947315E-2</v>
      </c>
      <c r="AI16" s="682">
        <f>'Raw Resid emissions'!AJ28</f>
        <v>5.0325878928057531E-2</v>
      </c>
      <c r="AJ16" s="682">
        <f>'Raw Resid emissions'!AK28</f>
        <v>1.9324652835862263E-2</v>
      </c>
      <c r="AK16" s="682">
        <f>'Raw Resid emissions'!AL28</f>
        <v>1.7621447882073579E-2</v>
      </c>
      <c r="AL16" s="682">
        <f>'Raw Resid emissions'!AM28</f>
        <v>1.8696410061157183</v>
      </c>
      <c r="AM16" s="682">
        <f>'Raw Resid emissions'!AN28</f>
        <v>1.4052753072832473</v>
      </c>
      <c r="AN16" s="682">
        <f>'Raw Resid emissions'!AO28</f>
        <v>1.2590410003032866</v>
      </c>
      <c r="AO16" s="682">
        <f>'Raw Resid emissions'!AP28</f>
        <v>0.83978595619841334</v>
      </c>
      <c r="AP16" s="682">
        <f>'Raw Resid emissions'!AQ28</f>
        <v>0.66834645646572743</v>
      </c>
      <c r="AQ16" s="682">
        <f>'Raw Resid emissions'!AR28</f>
        <v>9.2888967351308148E-4</v>
      </c>
      <c r="AR16" s="682">
        <f>'Raw Resid emissions'!AS28</f>
        <v>7.5312945187400409E-4</v>
      </c>
      <c r="AS16" s="682">
        <f>'Raw Resid emissions'!AT28</f>
        <v>5.7296893126380704E-4</v>
      </c>
      <c r="AT16" s="682">
        <f>'Raw Resid emissions'!AU28</f>
        <v>4.9755848038016614E-4</v>
      </c>
      <c r="AU16" s="682">
        <f>'Raw Resid emissions'!AV28</f>
        <v>3.4923785809705442E-4</v>
      </c>
      <c r="AV16" s="682">
        <f>AQ16/'Raw Resid emissions'!$AW28</f>
        <v>8.1985942372790853E-3</v>
      </c>
      <c r="AW16" s="686">
        <f>AR16/'Raw Resid emissions'!$AW28</f>
        <v>6.6472940330005838E-3</v>
      </c>
      <c r="AX16" s="686">
        <f>AS16/'Raw Resid emissions'!$AW28</f>
        <v>5.0571557763509252E-3</v>
      </c>
      <c r="AY16" s="686">
        <f>AT16/'Raw Resid emissions'!$AW28</f>
        <v>4.3915657653144542E-3</v>
      </c>
      <c r="AZ16" s="686">
        <f>AU16/'Raw Resid emissions'!$AW28</f>
        <v>3.0824537859327149E-3</v>
      </c>
    </row>
    <row r="17" spans="1:52" x14ac:dyDescent="0.2">
      <c r="A17" s="690" t="str">
        <f>Technologies!C137</f>
        <v>THSDSLE</v>
      </c>
      <c r="B17" s="690" t="str">
        <f>Technologies!D137</f>
        <v>Heavy Truck, Short Haul, Diesel exisiting</v>
      </c>
      <c r="C17" s="682">
        <f>('Raw Resid emissions'!D21+'Raw Resid emissions'!D33)/2</f>
        <v>15.750431520340038</v>
      </c>
      <c r="D17" s="682">
        <f>('Raw Resid emissions'!E21+'Raw Resid emissions'!E33)/2</f>
        <v>13.536826333284937</v>
      </c>
      <c r="E17" s="682">
        <f>('Raw Resid emissions'!F21+'Raw Resid emissions'!F33)/2</f>
        <v>11.981177618213</v>
      </c>
      <c r="F17" s="682">
        <f>('Raw Resid emissions'!G21+'Raw Resid emissions'!G33)/2</f>
        <v>10.986184375083416</v>
      </c>
      <c r="G17" s="682">
        <f>('Raw Resid emissions'!H21+'Raw Resid emissions'!H33)/2</f>
        <v>8.1750541535294516</v>
      </c>
      <c r="H17" s="682">
        <f>('Raw Resid emissions'!I21+'Raw Resid emissions'!I33)/2</f>
        <v>0.34720933328333747</v>
      </c>
      <c r="I17" s="682">
        <f>('Raw Resid emissions'!J21+'Raw Resid emissions'!J33)/2</f>
        <v>2.0464795393889321E-2</v>
      </c>
      <c r="J17" s="682">
        <f>('Raw Resid emissions'!K21+'Raw Resid emissions'!K33)/2</f>
        <v>1.0115145515712905E-2</v>
      </c>
      <c r="K17" s="682">
        <f>('Raw Resid emissions'!L21+'Raw Resid emissions'!L33)/2</f>
        <v>1.011422779054966E-2</v>
      </c>
      <c r="L17" s="682">
        <f>('Raw Resid emissions'!M21+'Raw Resid emissions'!M33)/2</f>
        <v>1.0113184428141474E-2</v>
      </c>
      <c r="M17" s="682">
        <f>('Raw Resid emissions'!N21+'Raw Resid emissions'!N33)/2</f>
        <v>0.90599587030150253</v>
      </c>
      <c r="N17" s="682">
        <f>('Raw Resid emissions'!O21+'Raw Resid emissions'!O33)/2</f>
        <v>0.7851868311347574</v>
      </c>
      <c r="O17" s="682">
        <f>('Raw Resid emissions'!P21+'Raw Resid emissions'!P33)/2</f>
        <v>0.72666383693245973</v>
      </c>
      <c r="P17" s="682">
        <f>('Raw Resid emissions'!Q21+'Raw Resid emissions'!Q33)/2</f>
        <v>0.64644302762709582</v>
      </c>
      <c r="Q17" s="682">
        <f>('Raw Resid emissions'!R21+'Raw Resid emissions'!R33)/2</f>
        <v>0.53808065644400926</v>
      </c>
      <c r="R17" s="682">
        <f>('Raw Resid emissions'!S21+'Raw Resid emissions'!S33)/2</f>
        <v>0.82628023791839289</v>
      </c>
      <c r="S17" s="682">
        <f>('Raw Resid emissions'!T21+'Raw Resid emissions'!T33)/2</f>
        <v>0.70914260031014953</v>
      </c>
      <c r="T17" s="682">
        <f>('Raw Resid emissions'!U21+'Raw Resid emissions'!U33)/2</f>
        <v>0.65233469240395614</v>
      </c>
      <c r="U17" s="682">
        <f>('Raw Resid emissions'!V21+'Raw Resid emissions'!V33)/2</f>
        <v>0.57452829327964117</v>
      </c>
      <c r="V17" s="682">
        <f>('Raw Resid emissions'!W21+'Raw Resid emissions'!W33)/2</f>
        <v>0.46963369729897309</v>
      </c>
      <c r="W17" s="682">
        <f>('Raw Resid emissions'!X21+'Raw Resid emissions'!X33)/2</f>
        <v>4.1838624271789273</v>
      </c>
      <c r="X17" s="682">
        <f>('Raw Resid emissions'!Y21+'Raw Resid emissions'!Y33)/2</f>
        <v>3.7805560920935397</v>
      </c>
      <c r="Y17" s="682">
        <f>('Raw Resid emissions'!Z21+'Raw Resid emissions'!Z33)/2</f>
        <v>3.0742674829712495</v>
      </c>
      <c r="Z17" s="682">
        <f>('Raw Resid emissions'!AA21+'Raw Resid emissions'!AA33)/2</f>
        <v>3.4922749033211944</v>
      </c>
      <c r="AA17" s="682">
        <f>('Raw Resid emissions'!AB21+'Raw Resid emissions'!AB33)/2</f>
        <v>1.6518929618365574</v>
      </c>
      <c r="AB17" s="682">
        <f>('Raw Resid emissions'!AC21+'Raw Resid emissions'!AC33)/2</f>
        <v>2.4371122092149604E-3</v>
      </c>
      <c r="AC17" s="682">
        <f>('Raw Resid emissions'!AD21+'Raw Resid emissions'!AD33)/2</f>
        <v>2.3984475356673067E-3</v>
      </c>
      <c r="AD17" s="682">
        <f>('Raw Resid emissions'!AE21+'Raw Resid emissions'!AE33)/2</f>
        <v>2.3660631110356918E-3</v>
      </c>
      <c r="AE17" s="682">
        <f>('Raw Resid emissions'!AF21+'Raw Resid emissions'!AF33)/2</f>
        <v>2.3534758175377266E-3</v>
      </c>
      <c r="AF17" s="682">
        <f>('Raw Resid emissions'!AG21+'Raw Resid emissions'!AG33)/2</f>
        <v>2.2965567853085013E-3</v>
      </c>
      <c r="AG17" s="682">
        <f>('Raw Resid emissions'!AH21+'Raw Resid emissions'!AH33)/2</f>
        <v>2.2074502707142944E-3</v>
      </c>
      <c r="AH17" s="682">
        <f>('Raw Resid emissions'!AI21+'Raw Resid emissions'!AI33)/2</f>
        <v>2.099197115601188E-3</v>
      </c>
      <c r="AI17" s="682">
        <f>('Raw Resid emissions'!AJ21+'Raw Resid emissions'!AJ33)/2</f>
        <v>2.0792380995587069E-3</v>
      </c>
      <c r="AJ17" s="682">
        <f>('Raw Resid emissions'!AK21+'Raw Resid emissions'!AK33)/2</f>
        <v>1.9628146310467641E-3</v>
      </c>
      <c r="AK17" s="682">
        <f>('Raw Resid emissions'!AL21+'Raw Resid emissions'!AL33)/2</f>
        <v>1.9628152571129734E-3</v>
      </c>
      <c r="AL17" s="682">
        <f>('Raw Resid emissions'!AM21+'Raw Resid emissions'!AM33)/2</f>
        <v>0.95460024911732644</v>
      </c>
      <c r="AM17" s="682">
        <f>('Raw Resid emissions'!AN21+'Raw Resid emissions'!AN33)/2</f>
        <v>0.88024309326017891</v>
      </c>
      <c r="AN17" s="682">
        <f>('Raw Resid emissions'!AO21+'Raw Resid emissions'!AO33)/2</f>
        <v>0.72952373715684682</v>
      </c>
      <c r="AO17" s="682">
        <f>('Raw Resid emissions'!AP21+'Raw Resid emissions'!AP33)/2</f>
        <v>0.83111397975335644</v>
      </c>
      <c r="AP17" s="682">
        <f>('Raw Resid emissions'!AQ21+'Raw Resid emissions'!AQ33)/2</f>
        <v>0.44235221955408988</v>
      </c>
      <c r="AQ17" s="682">
        <f>('Raw Resid emissions'!AR21+'Raw Resid emissions'!AR33)/2</f>
        <v>0.4556987589466967</v>
      </c>
      <c r="AR17" s="682">
        <f>('Raw Resid emissions'!AS21+'Raw Resid emissions'!AS33)/2</f>
        <v>0.41683257544342855</v>
      </c>
      <c r="AS17" s="682">
        <f>('Raw Resid emissions'!AT21+'Raw Resid emissions'!AT33)/2</f>
        <v>0.35420207357035793</v>
      </c>
      <c r="AT17" s="682">
        <f>('Raw Resid emissions'!AU21+'Raw Resid emissions'!AU33)/2</f>
        <v>0.35326364782583675</v>
      </c>
      <c r="AU17" s="682">
        <f>('Raw Resid emissions'!AV21+'Raw Resid emissions'!AV33)/2</f>
        <v>0.30348082071934512</v>
      </c>
      <c r="AV17" s="682">
        <f>AQ17/('Raw Resid emissions'!$AW21+'Raw Resid emissions'!$AW33)/2</f>
        <v>3.75606119408953E-2</v>
      </c>
      <c r="AW17" s="686">
        <f>AR17/('Raw Resid emissions'!$AW21+'Raw Resid emissions'!$AW33)/2</f>
        <v>3.4357097321798785E-2</v>
      </c>
      <c r="AX17" s="686">
        <f>AS17/('Raw Resid emissions'!$AW21+'Raw Resid emissions'!$AW33)/2</f>
        <v>2.9194827444313586E-2</v>
      </c>
      <c r="AY17" s="686">
        <f>AT17/('Raw Resid emissions'!$AW21+'Raw Resid emissions'!$AW33)/2</f>
        <v>2.9117478440101291E-2</v>
      </c>
      <c r="AZ17" s="686">
        <f>AU17/('Raw Resid emissions'!$AW21+'Raw Resid emissions'!$AW33)/2</f>
        <v>2.5014168054552633E-2</v>
      </c>
    </row>
    <row r="18" spans="1:52" x14ac:dyDescent="0.2">
      <c r="A18" s="690" t="str">
        <f>Technologies!C139</f>
        <v>THSCNGE</v>
      </c>
      <c r="B18" s="690" t="str">
        <f>Technologies!D139</f>
        <v>Heavy Truck, Short Haul, CNG exisiting</v>
      </c>
      <c r="C18" s="682">
        <f>('Raw Resid emissions'!D24+'Raw Resid emissions'!D35)/2</f>
        <v>10.237780488221025</v>
      </c>
      <c r="D18" s="682">
        <f>('Raw Resid emissions'!E24+'Raw Resid emissions'!E35)/2</f>
        <v>8.7989371166352086</v>
      </c>
      <c r="E18" s="682">
        <f>('Raw Resid emissions'!F24+'Raw Resid emissions'!F35)/2</f>
        <v>7.7877654518384496</v>
      </c>
      <c r="F18" s="682">
        <f>('Raw Resid emissions'!G24+'Raw Resid emissions'!G35)/2</f>
        <v>7.1410198438042212</v>
      </c>
      <c r="G18" s="682">
        <f>('Raw Resid emissions'!H24+'Raw Resid emissions'!H35)/2</f>
        <v>5.3137851997941441</v>
      </c>
      <c r="H18" s="682">
        <f>('Raw Resid emissions'!I24+'Raw Resid emissions'!I35)/2</f>
        <v>0.2162431088135022</v>
      </c>
      <c r="I18" s="682">
        <f>('Raw Resid emissions'!J24+'Raw Resid emissions'!J35)/2</f>
        <v>1.5189327782215838E-2</v>
      </c>
      <c r="J18" s="682">
        <f>('Raw Resid emissions'!K24+'Raw Resid emissions'!K35)/2</f>
        <v>7.5194958205329837E-3</v>
      </c>
      <c r="K18" s="682">
        <f>('Raw Resid emissions'!L24+'Raw Resid emissions'!L35)/2</f>
        <v>7.5299930891795739E-3</v>
      </c>
      <c r="L18" s="682">
        <f>('Raw Resid emissions'!M24+'Raw Resid emissions'!M35)/2</f>
        <v>7.5394294969688717E-3</v>
      </c>
      <c r="M18" s="682">
        <f>('Raw Resid emissions'!N24+'Raw Resid emissions'!N35)/2</f>
        <v>0.15713768185042948</v>
      </c>
      <c r="N18" s="682">
        <f>('Raw Resid emissions'!O24+'Raw Resid emissions'!O35)/2</f>
        <v>0.14499343704991696</v>
      </c>
      <c r="O18" s="682">
        <f>('Raw Resid emissions'!P24+'Raw Resid emissions'!P35)/2</f>
        <v>0.13919089303009127</v>
      </c>
      <c r="P18" s="682">
        <f>('Raw Resid emissions'!Q24+'Raw Resid emissions'!Q35)/2</f>
        <v>0.13115616356498966</v>
      </c>
      <c r="Q18" s="682">
        <f>('Raw Resid emissions'!R24+'Raw Resid emissions'!R35)/2</f>
        <v>0.12004299058599079</v>
      </c>
      <c r="R18" s="682">
        <f>('Raw Resid emissions'!S24+'Raw Resid emissions'!S35)/2</f>
        <v>9.9759221911220136E-2</v>
      </c>
      <c r="S18" s="682">
        <f>('Raw Resid emissions'!T24+'Raw Resid emissions'!T35)/2</f>
        <v>8.8029162932439869E-2</v>
      </c>
      <c r="T18" s="682">
        <f>('Raw Resid emissions'!U24+'Raw Resid emissions'!U35)/2</f>
        <v>8.2361226382244981E-2</v>
      </c>
      <c r="U18" s="682">
        <f>('Raw Resid emissions'!V24+'Raw Resid emissions'!V35)/2</f>
        <v>7.4577080536271864E-2</v>
      </c>
      <c r="V18" s="682">
        <f>('Raw Resid emissions'!W24+'Raw Resid emissions'!W35)/2</f>
        <v>6.401712360284427E-2</v>
      </c>
      <c r="W18" s="682">
        <f>('Raw Resid emissions'!X24+'Raw Resid emissions'!X35)/2</f>
        <v>0.4183862427178926</v>
      </c>
      <c r="X18" s="682">
        <f>('Raw Resid emissions'!Y24+'Raw Resid emissions'!Y35)/2</f>
        <v>0.37805560920935388</v>
      </c>
      <c r="Y18" s="682">
        <f>('Raw Resid emissions'!Z24+'Raw Resid emissions'!Z35)/2</f>
        <v>0.30742674829712491</v>
      </c>
      <c r="Z18" s="682">
        <f>('Raw Resid emissions'!AA24+'Raw Resid emissions'!AA35)/2</f>
        <v>0.34922749033211936</v>
      </c>
      <c r="AA18" s="682">
        <f>('Raw Resid emissions'!AB24+'Raw Resid emissions'!AB35)/2</f>
        <v>0.16518929618365571</v>
      </c>
      <c r="AB18" s="682">
        <f>('Raw Resid emissions'!AC24+'Raw Resid emissions'!AC35)/2</f>
        <v>2.4371122092149604E-3</v>
      </c>
      <c r="AC18" s="682">
        <f>('Raw Resid emissions'!AD24+'Raw Resid emissions'!AD35)/2</f>
        <v>2.3984475356673067E-3</v>
      </c>
      <c r="AD18" s="682">
        <f>('Raw Resid emissions'!AE24+'Raw Resid emissions'!AE35)/2</f>
        <v>2.3660631110356918E-3</v>
      </c>
      <c r="AE18" s="682">
        <f>('Raw Resid emissions'!AF24+'Raw Resid emissions'!AF35)/2</f>
        <v>2.3534758175377266E-3</v>
      </c>
      <c r="AF18" s="682">
        <f>('Raw Resid emissions'!AG24+'Raw Resid emissions'!AG35)/2</f>
        <v>2.2965567853085013E-3</v>
      </c>
      <c r="AG18" s="682">
        <f>('Raw Resid emissions'!AH24+'Raw Resid emissions'!AH35)/2</f>
        <v>0.12395682547897281</v>
      </c>
      <c r="AH18" s="682">
        <f>('Raw Resid emissions'!AI24+'Raw Resid emissions'!AI35)/2</f>
        <v>0.11787799433431403</v>
      </c>
      <c r="AI18" s="682">
        <f>('Raw Resid emissions'!AJ24+'Raw Resid emissions'!AJ35)/2</f>
        <v>0.1167572187947096</v>
      </c>
      <c r="AJ18" s="682">
        <f>('Raw Resid emissions'!AK24+'Raw Resid emissions'!AK35)/2</f>
        <v>0.11021959311885607</v>
      </c>
      <c r="AK18" s="682">
        <f>('Raw Resid emissions'!AL24+'Raw Resid emissions'!AL35)/2</f>
        <v>0.11021962827488241</v>
      </c>
      <c r="AL18" s="682">
        <f>('Raw Resid emissions'!AM24+'Raw Resid emissions'!AM35)/2</f>
        <v>0.95460024911732644</v>
      </c>
      <c r="AM18" s="682">
        <f>('Raw Resid emissions'!AN24+'Raw Resid emissions'!AN35)/2</f>
        <v>0.88024309326017891</v>
      </c>
      <c r="AN18" s="682">
        <f>('Raw Resid emissions'!AO24+'Raw Resid emissions'!AO35)/2</f>
        <v>0.72952373715684682</v>
      </c>
      <c r="AO18" s="682">
        <f>('Raw Resid emissions'!AP24+'Raw Resid emissions'!AP35)/2</f>
        <v>0.83111397975335644</v>
      </c>
      <c r="AP18" s="682">
        <f>('Raw Resid emissions'!AQ24+'Raw Resid emissions'!AQ35)/2</f>
        <v>0.44235221955408988</v>
      </c>
      <c r="AQ18" s="682">
        <f>('Raw Resid emissions'!AR24+'Raw Resid emissions'!AR35)/2</f>
        <v>4.5569875894669654E-2</v>
      </c>
      <c r="AR18" s="682">
        <f>('Raw Resid emissions'!AS24+'Raw Resid emissions'!AS35)/2</f>
        <v>4.168325754434285E-2</v>
      </c>
      <c r="AS18" s="682">
        <f>('Raw Resid emissions'!AT24+'Raw Resid emissions'!AT35)/2</f>
        <v>3.5420207357035792E-2</v>
      </c>
      <c r="AT18" s="682">
        <f>('Raw Resid emissions'!AU24+'Raw Resid emissions'!AU35)/2</f>
        <v>3.532636478258367E-2</v>
      </c>
      <c r="AU18" s="682">
        <f>('Raw Resid emissions'!AV24+'Raw Resid emissions'!AV35)/2</f>
        <v>3.0348082071934505E-2</v>
      </c>
      <c r="AV18" s="682">
        <f>AQ18/('Raw Resid emissions'!$AW24+'Raw Resid emissions'!$AW35)/2</f>
        <v>2.1746529489375306E-3</v>
      </c>
      <c r="AW18" s="686">
        <f>AR18/('Raw Resid emissions'!$AW24+'Raw Resid emissions'!$AW35)/2</f>
        <v>1.9891785342942038E-3</v>
      </c>
      <c r="AX18" s="686">
        <f>AS18/('Raw Resid emissions'!$AW24+'Raw Resid emissions'!$AW35)/2</f>
        <v>1.6902977431625301E-3</v>
      </c>
      <c r="AY18" s="686">
        <f>AT18/('Raw Resid emissions'!$AW24+'Raw Resid emissions'!$AW35)/2</f>
        <v>1.6858194550991635E-3</v>
      </c>
      <c r="AZ18" s="686">
        <f>AU18/('Raw Resid emissions'!$AW24+'Raw Resid emissions'!$AW35)/2</f>
        <v>1.4482494164538694E-3</v>
      </c>
    </row>
    <row r="19" spans="1:52" x14ac:dyDescent="0.2">
      <c r="A19" s="690" t="str">
        <f>Technologies!C141</f>
        <v>THSLPGE</v>
      </c>
      <c r="B19" s="690" t="str">
        <f>Technologies!D141</f>
        <v>Heavy Truck, Short Haul, LPG exisiting</v>
      </c>
      <c r="C19" s="682">
        <f>('Raw Resid emissions'!D25+'Raw Resid emissions'!D36)/2</f>
        <v>6.3001726081360152</v>
      </c>
      <c r="D19" s="682">
        <f>('Raw Resid emissions'!E25+'Raw Resid emissions'!E36)/2</f>
        <v>5.4147305333139748</v>
      </c>
      <c r="E19" s="682">
        <f>('Raw Resid emissions'!F25+'Raw Resid emissions'!F36)/2</f>
        <v>4.7924710472852006</v>
      </c>
      <c r="F19" s="682">
        <f>('Raw Resid emissions'!G25+'Raw Resid emissions'!G36)/2</f>
        <v>4.3944737500333675</v>
      </c>
      <c r="G19" s="682">
        <f>('Raw Resid emissions'!H25+'Raw Resid emissions'!H36)/2</f>
        <v>3.2700216614117812</v>
      </c>
      <c r="H19" s="682">
        <f>('Raw Resid emissions'!I25+'Raw Resid emissions'!I36)/2</f>
        <v>0</v>
      </c>
      <c r="I19" s="682">
        <f>('Raw Resid emissions'!J25+'Raw Resid emissions'!J36)/2</f>
        <v>0</v>
      </c>
      <c r="J19" s="682">
        <f>('Raw Resid emissions'!K25+'Raw Resid emissions'!K36)/2</f>
        <v>0</v>
      </c>
      <c r="K19" s="682">
        <f>('Raw Resid emissions'!L25+'Raw Resid emissions'!L36)/2</f>
        <v>0</v>
      </c>
      <c r="L19" s="682">
        <f>('Raw Resid emissions'!M25+'Raw Resid emissions'!M36)/2</f>
        <v>0</v>
      </c>
      <c r="M19" s="682">
        <f>('Raw Resid emissions'!N25+'Raw Resid emissions'!N36)/2</f>
        <v>7.3931216466976951E-2</v>
      </c>
      <c r="N19" s="682">
        <f>('Raw Resid emissions'!O25+'Raw Resid emissions'!O36)/2</f>
        <v>7.3860837707156957E-2</v>
      </c>
      <c r="O19" s="682">
        <f>('Raw Resid emissions'!P25+'Raw Resid emissions'!P36)/2</f>
        <v>7.3916121485383665E-2</v>
      </c>
      <c r="P19" s="682">
        <f>('Raw Resid emissions'!Q25+'Raw Resid emissions'!Q36)/2</f>
        <v>7.3902067558089007E-2</v>
      </c>
      <c r="Q19" s="682">
        <f>('Raw Resid emissions'!R25+'Raw Resid emissions'!R36)/2</f>
        <v>7.3594361046210963E-2</v>
      </c>
      <c r="R19" s="682">
        <f>('Raw Resid emissions'!S25+'Raw Resid emissions'!S36)/2</f>
        <v>1.9034664577089862E-2</v>
      </c>
      <c r="S19" s="682">
        <f>('Raw Resid emissions'!T25+'Raw Resid emissions'!T36)/2</f>
        <v>1.9016558779361026E-2</v>
      </c>
      <c r="T19" s="682">
        <f>('Raw Resid emissions'!U25+'Raw Resid emissions'!U36)/2</f>
        <v>1.9030841268721517E-2</v>
      </c>
      <c r="U19" s="682">
        <f>('Raw Resid emissions'!V25+'Raw Resid emissions'!V36)/2</f>
        <v>1.9026945787008608E-2</v>
      </c>
      <c r="V19" s="682">
        <f>('Raw Resid emissions'!W25+'Raw Resid emissions'!W36)/2</f>
        <v>1.8948615414385521E-2</v>
      </c>
      <c r="W19" s="682">
        <f>('Raw Resid emissions'!X25+'Raw Resid emissions'!X36)/2</f>
        <v>0.4183862427178926</v>
      </c>
      <c r="X19" s="682">
        <f>('Raw Resid emissions'!Y25+'Raw Resid emissions'!Y36)/2</f>
        <v>0.37805560920935388</v>
      </c>
      <c r="Y19" s="682">
        <f>('Raw Resid emissions'!Z25+'Raw Resid emissions'!Z36)/2</f>
        <v>0.30742674829712491</v>
      </c>
      <c r="Z19" s="682">
        <f>('Raw Resid emissions'!AA25+'Raw Resid emissions'!AA36)/2</f>
        <v>0.34922749033211936</v>
      </c>
      <c r="AA19" s="682">
        <f>('Raw Resid emissions'!AB25+'Raw Resid emissions'!AB36)/2</f>
        <v>0.16518929618365571</v>
      </c>
      <c r="AB19" s="682">
        <f>('Raw Resid emissions'!AC25+'Raw Resid emissions'!AC36)/2</f>
        <v>2.4371122092149604E-3</v>
      </c>
      <c r="AC19" s="682">
        <f>('Raw Resid emissions'!AD25+'Raw Resid emissions'!AD36)/2</f>
        <v>2.3984475356673067E-3</v>
      </c>
      <c r="AD19" s="682">
        <f>('Raw Resid emissions'!AE25+'Raw Resid emissions'!AE36)/2</f>
        <v>2.3660631110356918E-3</v>
      </c>
      <c r="AE19" s="682">
        <f>('Raw Resid emissions'!AF25+'Raw Resid emissions'!AF36)/2</f>
        <v>2.3534758175377266E-3</v>
      </c>
      <c r="AF19" s="682">
        <f>('Raw Resid emissions'!AG25+'Raw Resid emissions'!AG36)/2</f>
        <v>2.2965567853085013E-3</v>
      </c>
      <c r="AG19" s="682">
        <f>('Raw Resid emissions'!AH25+'Raw Resid emissions'!AH36)/2</f>
        <v>1.2395682547897281E-2</v>
      </c>
      <c r="AH19" s="682">
        <f>('Raw Resid emissions'!AI25+'Raw Resid emissions'!AI36)/2</f>
        <v>1.1787799433431403E-2</v>
      </c>
      <c r="AI19" s="682">
        <f>('Raw Resid emissions'!AJ25+'Raw Resid emissions'!AJ36)/2</f>
        <v>1.1675721879470958E-2</v>
      </c>
      <c r="AJ19" s="682">
        <f>('Raw Resid emissions'!AK25+'Raw Resid emissions'!AK36)/2</f>
        <v>1.1021959311885605E-2</v>
      </c>
      <c r="AK19" s="682">
        <f>('Raw Resid emissions'!AL25+'Raw Resid emissions'!AL36)/2</f>
        <v>1.1021962827488241E-2</v>
      </c>
      <c r="AL19" s="682">
        <f>('Raw Resid emissions'!AM25+'Raw Resid emissions'!AM36)/2</f>
        <v>1.6944154262128488</v>
      </c>
      <c r="AM19" s="682">
        <f>('Raw Resid emissions'!AN25+'Raw Resid emissions'!AN36)/2</f>
        <v>1.5624314758104028</v>
      </c>
      <c r="AN19" s="682">
        <f>('Raw Resid emissions'!AO25+'Raw Resid emissions'!AO36)/2</f>
        <v>1.2949046212485138</v>
      </c>
      <c r="AO19" s="682">
        <f>('Raw Resid emissions'!AP25+'Raw Resid emissions'!AP36)/2</f>
        <v>1.4752273001577199</v>
      </c>
      <c r="AP19" s="682">
        <f>('Raw Resid emissions'!AQ25+'Raw Resid emissions'!AQ36)/2</f>
        <v>0.78517518230798311</v>
      </c>
      <c r="AQ19" s="682">
        <f>('Raw Resid emissions'!AR25+'Raw Resid emissions'!AR36)/2</f>
        <v>0</v>
      </c>
      <c r="AR19" s="682">
        <f>('Raw Resid emissions'!AS25+'Raw Resid emissions'!AS36)/2</f>
        <v>0</v>
      </c>
      <c r="AS19" s="682">
        <f>('Raw Resid emissions'!AT25+'Raw Resid emissions'!AT36)/2</f>
        <v>0</v>
      </c>
      <c r="AT19" s="682">
        <f>('Raw Resid emissions'!AU25+'Raw Resid emissions'!AU36)/2</f>
        <v>0</v>
      </c>
      <c r="AU19" s="682">
        <f>('Raw Resid emissions'!AV25+'Raw Resid emissions'!AV36)/2</f>
        <v>0</v>
      </c>
      <c r="AV19" s="682"/>
    </row>
    <row r="20" spans="1:52" x14ac:dyDescent="0.2">
      <c r="A20" s="690" t="str">
        <f>Technologies!C169</f>
        <v>THLDSLE</v>
      </c>
      <c r="B20" s="690" t="str">
        <f>Technologies!D169</f>
        <v>Heavy Truck, Long Haul, Diesel exisiting</v>
      </c>
      <c r="C20" s="682">
        <f>0.6*'Raw Resid emissions'!D37+0.4*'Raw Resid emissions'!D27</f>
        <v>19.159600687819214</v>
      </c>
      <c r="D20" s="682">
        <f>0.6*'Raw Resid emissions'!E37+0.4*'Raw Resid emissions'!E27</f>
        <v>16.821394653595981</v>
      </c>
      <c r="E20" s="682">
        <f>0.6*'Raw Resid emissions'!F37+0.4*'Raw Resid emissions'!F27</f>
        <v>15.107389592321335</v>
      </c>
      <c r="F20" s="682">
        <f>0.6*'Raw Resid emissions'!G37+0.4*'Raw Resid emissions'!G27</f>
        <v>14.250585737900206</v>
      </c>
      <c r="G20" s="682">
        <f>0.6*'Raw Resid emissions'!H37+0.4*'Raw Resid emissions'!H27</f>
        <v>10.74941180452922</v>
      </c>
      <c r="H20" s="682">
        <f>0.6*'Raw Resid emissions'!I37+0.4*'Raw Resid emissions'!I27</f>
        <v>0.39358393046961804</v>
      </c>
      <c r="I20" s="682">
        <f>0.6*'Raw Resid emissions'!J37+0.4*'Raw Resid emissions'!J27</f>
        <v>2.3166896997331092E-2</v>
      </c>
      <c r="J20" s="682">
        <f>0.6*'Raw Resid emissions'!K37+0.4*'Raw Resid emissions'!K27</f>
        <v>1.1450895358697486E-2</v>
      </c>
      <c r="K20" s="682">
        <f>0.6*'Raw Resid emissions'!L37+0.4*'Raw Resid emissions'!L27</f>
        <v>1.1450020412906577E-2</v>
      </c>
      <c r="L20" s="682">
        <f>0.6*'Raw Resid emissions'!M37+0.4*'Raw Resid emissions'!M27</f>
        <v>1.1448928167661077E-2</v>
      </c>
      <c r="M20" s="682">
        <f>0.6*'Raw Resid emissions'!N37+0.4*'Raw Resid emissions'!N27</f>
        <v>1.0211768583772409</v>
      </c>
      <c r="N20" s="682">
        <f>0.6*'Raw Resid emissions'!O37+0.4*'Raw Resid emissions'!O27</f>
        <v>0.89952758681312206</v>
      </c>
      <c r="O20" s="682">
        <f>0.6*'Raw Resid emissions'!P37+0.4*'Raw Resid emissions'!P27</f>
        <v>0.83587484578221583</v>
      </c>
      <c r="P20" s="682">
        <f>0.6*'Raw Resid emissions'!Q37+0.4*'Raw Resid emissions'!Q27</f>
        <v>0.7602866896788939</v>
      </c>
      <c r="Q20" s="682">
        <f>0.6*'Raw Resid emissions'!R37+0.4*'Raw Resid emissions'!R27</f>
        <v>0.64129003625202219</v>
      </c>
      <c r="R20" s="682">
        <f>0.6*'Raw Resid emissions'!S37+0.4*'Raw Resid emissions'!S27</f>
        <v>0.93639065426131951</v>
      </c>
      <c r="S20" s="682">
        <f>0.6*'Raw Resid emissions'!T37+0.4*'Raw Resid emissions'!T27</f>
        <v>0.81823472340969194</v>
      </c>
      <c r="T20" s="682">
        <f>0.6*'Raw Resid emissions'!U37+0.4*'Raw Resid emissions'!U27</f>
        <v>0.75624351555306646</v>
      </c>
      <c r="U20" s="682">
        <f>0.6*'Raw Resid emissions'!V37+0.4*'Raw Resid emissions'!V27</f>
        <v>0.68284944538784964</v>
      </c>
      <c r="V20" s="682">
        <f>0.6*'Raw Resid emissions'!W37+0.4*'Raw Resid emissions'!W27</f>
        <v>0.56744732183116353</v>
      </c>
      <c r="W20" s="682">
        <f>0.6*'Raw Resid emissions'!X37+0.4*'Raw Resid emissions'!X27</f>
        <v>5.1444582216979811</v>
      </c>
      <c r="X20" s="682">
        <f>0.6*'Raw Resid emissions'!Y37+0.4*'Raw Resid emissions'!Y27</f>
        <v>4.7138804158374104</v>
      </c>
      <c r="Y20" s="682">
        <f>0.6*'Raw Resid emissions'!Z37+0.4*'Raw Resid emissions'!Z27</f>
        <v>3.9496963314797737</v>
      </c>
      <c r="Z20" s="682">
        <f>0.6*'Raw Resid emissions'!AA37+0.4*'Raw Resid emissions'!AA27</f>
        <v>4.4303381393292032</v>
      </c>
      <c r="AA20" s="682">
        <f>0.6*'Raw Resid emissions'!AB37+0.4*'Raw Resid emissions'!AB27</f>
        <v>2.3677278842944212</v>
      </c>
      <c r="AB20" s="682">
        <f>0.6*'Raw Resid emissions'!AC37+0.4*'Raw Resid emissions'!AC27</f>
        <v>2.2774857265213371E-3</v>
      </c>
      <c r="AC20" s="682">
        <f>0.6*'Raw Resid emissions'!AD37+0.4*'Raw Resid emissions'!AD27</f>
        <v>2.2616280819040499E-3</v>
      </c>
      <c r="AD20" s="682">
        <f>0.6*'Raw Resid emissions'!AE37+0.4*'Raw Resid emissions'!AE27</f>
        <v>2.2444967365454517E-3</v>
      </c>
      <c r="AE20" s="682">
        <f>0.6*'Raw Resid emissions'!AF37+0.4*'Raw Resid emissions'!AF27</f>
        <v>2.2436585958235133E-3</v>
      </c>
      <c r="AF20" s="682">
        <f>0.6*'Raw Resid emissions'!AG37+0.4*'Raw Resid emissions'!AG27</f>
        <v>2.2119523459590996E-3</v>
      </c>
      <c r="AG20" s="682">
        <f>0.6*'Raw Resid emissions'!AH37+0.4*'Raw Resid emissions'!AH27</f>
        <v>2.165788319639682E-3</v>
      </c>
      <c r="AH20" s="682">
        <f>0.6*'Raw Resid emissions'!AI37+0.4*'Raw Resid emissions'!AI27</f>
        <v>2.0595786947120633E-3</v>
      </c>
      <c r="AI20" s="682">
        <f>0.6*'Raw Resid emissions'!AJ37+0.4*'Raw Resid emissions'!AJ27</f>
        <v>2.0399985781075999E-3</v>
      </c>
      <c r="AJ20" s="682">
        <f>0.6*'Raw Resid emissions'!AK37+0.4*'Raw Resid emissions'!AK27</f>
        <v>1.9257717573988125E-3</v>
      </c>
      <c r="AK20" s="682">
        <f>0.6*'Raw Resid emissions'!AL37+0.4*'Raw Resid emissions'!AL27</f>
        <v>1.9257727949092839E-3</v>
      </c>
      <c r="AL20" s="682">
        <f>0.6*'Raw Resid emissions'!AM37+0.4*'Raw Resid emissions'!AM27</f>
        <v>1.4619273645075519</v>
      </c>
      <c r="AM20" s="682">
        <f>0.6*'Raw Resid emissions'!AN37+0.4*'Raw Resid emissions'!AN27</f>
        <v>1.3737599399733478</v>
      </c>
      <c r="AN20" s="682">
        <f>0.6*'Raw Resid emissions'!AO37+0.4*'Raw Resid emissions'!AO27</f>
        <v>1.1899540325333686</v>
      </c>
      <c r="AO20" s="682">
        <f>0.6*'Raw Resid emissions'!AP37+0.4*'Raw Resid emissions'!AP27</f>
        <v>1.2824518104131812</v>
      </c>
      <c r="AP20" s="682">
        <f>0.6*'Raw Resid emissions'!AQ37+0.4*'Raw Resid emissions'!AQ27</f>
        <v>0.9214612926822674</v>
      </c>
      <c r="AQ20" s="682">
        <f>0.6*'Raw Resid emissions'!AR37+0.4*'Raw Resid emissions'!AR27</f>
        <v>0.54636301896800266</v>
      </c>
      <c r="AR20" s="682">
        <f>0.6*'Raw Resid emissions'!AS37+0.4*'Raw Resid emissions'!AS27</f>
        <v>0.50404021762187701</v>
      </c>
      <c r="AS20" s="682">
        <f>0.6*'Raw Resid emissions'!AT37+0.4*'Raw Resid emissions'!AT27</f>
        <v>0.4347670451065585</v>
      </c>
      <c r="AT20" s="682">
        <f>0.6*'Raw Resid emissions'!AU37+0.4*'Raw Resid emissions'!AU27</f>
        <v>0.43587035134870056</v>
      </c>
      <c r="AU20" s="682">
        <f>0.6*'Raw Resid emissions'!AV37+0.4*'Raw Resid emissions'!AV27</f>
        <v>0.3762961701389666</v>
      </c>
      <c r="AV20" s="682">
        <f>AQ20/(0.6*'Raw Resid emissions'!$AW37+0.4*'Raw Resid emissions'!$AW27)</f>
        <v>0.17608709668655206</v>
      </c>
      <c r="AW20" s="686">
        <f>AR20/(0.6*'Raw Resid emissions'!$AW37+0.4*'Raw Resid emissions'!$AW27)</f>
        <v>0.16244689968574186</v>
      </c>
      <c r="AX20" s="686">
        <f>AS20/(0.6*'Raw Resid emissions'!$AW37+0.4*'Raw Resid emissions'!$AW27)</f>
        <v>0.14012087943362178</v>
      </c>
      <c r="AY20" s="686">
        <f>AT20/(0.6*'Raw Resid emissions'!$AW37+0.4*'Raw Resid emissions'!$AW27)</f>
        <v>0.14047646351634741</v>
      </c>
      <c r="AZ20" s="686">
        <f>AU20/(0.6*'Raw Resid emissions'!$AW37+0.4*'Raw Resid emissions'!$AW27)</f>
        <v>0.12127632689927716</v>
      </c>
    </row>
    <row r="21" spans="1:52" x14ac:dyDescent="0.2">
      <c r="A21" s="690" t="str">
        <f>Technologies!C170</f>
        <v>THLLPGE</v>
      </c>
      <c r="B21" s="690" t="str">
        <f>Technologies!D170</f>
        <v>Heavy Truck, Long Haul, LPG exisiting</v>
      </c>
      <c r="C21" s="682">
        <f>0.6*'Raw Resid emissions'!D40+0.4*'Raw Resid emissions'!D31</f>
        <v>7.6638402751276864</v>
      </c>
      <c r="D21" s="682">
        <f>0.6*'Raw Resid emissions'!E40+0.4*'Raw Resid emissions'!E31</f>
        <v>6.7285578614383939</v>
      </c>
      <c r="E21" s="682">
        <f>0.6*'Raw Resid emissions'!F40+0.4*'Raw Resid emissions'!F31</f>
        <v>6.0429558369285346</v>
      </c>
      <c r="F21" s="682">
        <f>0.6*'Raw Resid emissions'!G40+0.4*'Raw Resid emissions'!G31</f>
        <v>5.7002342951600831</v>
      </c>
      <c r="G21" s="682">
        <f>0.6*'Raw Resid emissions'!H40+0.4*'Raw Resid emissions'!H31</f>
        <v>4.2997647218116875</v>
      </c>
      <c r="H21" s="682">
        <f>0.6*'Raw Resid emissions'!I40+0.4*'Raw Resid emissions'!I31</f>
        <v>0</v>
      </c>
      <c r="I21" s="682">
        <f>0.6*'Raw Resid emissions'!J40+0.4*'Raw Resid emissions'!J31</f>
        <v>0</v>
      </c>
      <c r="J21" s="682">
        <f>0.6*'Raw Resid emissions'!K40+0.4*'Raw Resid emissions'!K31</f>
        <v>0</v>
      </c>
      <c r="K21" s="682">
        <f>0.6*'Raw Resid emissions'!L40+0.4*'Raw Resid emissions'!L31</f>
        <v>0</v>
      </c>
      <c r="L21" s="682">
        <f>0.6*'Raw Resid emissions'!M40+0.4*'Raw Resid emissions'!M31</f>
        <v>0</v>
      </c>
      <c r="M21" s="682">
        <f>0.6*'Raw Resid emissions'!N40+0.4*'Raw Resid emissions'!N31</f>
        <v>7.6204184991000623E-2</v>
      </c>
      <c r="N21" s="682">
        <f>0.6*'Raw Resid emissions'!O40+0.4*'Raw Resid emissions'!O31</f>
        <v>7.6418522598219629E-2</v>
      </c>
      <c r="O21" s="682">
        <f>0.6*'Raw Resid emissions'!P40+0.4*'Raw Resid emissions'!P31</f>
        <v>7.6764449738577531E-2</v>
      </c>
      <c r="P21" s="682">
        <f>0.6*'Raw Resid emissions'!Q40+0.4*'Raw Resid emissions'!Q31</f>
        <v>7.6864197656070624E-2</v>
      </c>
      <c r="Q21" s="682">
        <f>0.6*'Raw Resid emissions'!R40+0.4*'Raw Resid emissions'!R31</f>
        <v>7.6826145434577497E-2</v>
      </c>
      <c r="R21" s="682">
        <f>0.6*'Raw Resid emissions'!S40+0.4*'Raw Resid emissions'!S31</f>
        <v>1.9605243025882457E-2</v>
      </c>
      <c r="S21" s="682">
        <f>0.6*'Raw Resid emissions'!T40+0.4*'Raw Resid emissions'!T31</f>
        <v>1.9660093987404998E-2</v>
      </c>
      <c r="T21" s="682">
        <f>0.6*'Raw Resid emissions'!U40+0.4*'Raw Resid emissions'!U31</f>
        <v>1.9748820914310912E-2</v>
      </c>
      <c r="U21" s="682">
        <f>0.6*'Raw Resid emissions'!V40+0.4*'Raw Resid emissions'!V31</f>
        <v>1.9774140899904213E-2</v>
      </c>
      <c r="V21" s="682">
        <f>0.6*'Raw Resid emissions'!W40+0.4*'Raw Resid emissions'!W31</f>
        <v>1.9764775744566206E-2</v>
      </c>
      <c r="W21" s="682">
        <f>0.6*'Raw Resid emissions'!X40+0.4*'Raw Resid emissions'!X31</f>
        <v>0.51444582216979795</v>
      </c>
      <c r="X21" s="682">
        <f>0.6*'Raw Resid emissions'!Y40+0.4*'Raw Resid emissions'!Y31</f>
        <v>0.47138804158374098</v>
      </c>
      <c r="Y21" s="682">
        <f>0.6*'Raw Resid emissions'!Z40+0.4*'Raw Resid emissions'!Z31</f>
        <v>0.39496963314797728</v>
      </c>
      <c r="Z21" s="682">
        <f>0.6*'Raw Resid emissions'!AA40+0.4*'Raw Resid emissions'!AA31</f>
        <v>0.4430338139329203</v>
      </c>
      <c r="AA21" s="682">
        <f>0.6*'Raw Resid emissions'!AB40+0.4*'Raw Resid emissions'!AB31</f>
        <v>0.23677278842944205</v>
      </c>
      <c r="AB21" s="682">
        <f>0.6*'Raw Resid emissions'!AC40+0.4*'Raw Resid emissions'!AC31</f>
        <v>2.2774857265213371E-3</v>
      </c>
      <c r="AC21" s="682">
        <f>0.6*'Raw Resid emissions'!AD40+0.4*'Raw Resid emissions'!AD31</f>
        <v>2.2616280819040499E-3</v>
      </c>
      <c r="AD21" s="682">
        <f>0.6*'Raw Resid emissions'!AE40+0.4*'Raw Resid emissions'!AE31</f>
        <v>2.2444967365454517E-3</v>
      </c>
      <c r="AE21" s="682">
        <f>0.6*'Raw Resid emissions'!AF40+0.4*'Raw Resid emissions'!AF31</f>
        <v>2.2436585958235133E-3</v>
      </c>
      <c r="AF21" s="682">
        <f>0.6*'Raw Resid emissions'!AG40+0.4*'Raw Resid emissions'!AG31</f>
        <v>2.2119523459590996E-3</v>
      </c>
      <c r="AG21" s="682">
        <f>0.6*'Raw Resid emissions'!AH40+0.4*'Raw Resid emissions'!AH31</f>
        <v>1.2161734663907211E-2</v>
      </c>
      <c r="AH21" s="682">
        <f>0.6*'Raw Resid emissions'!AI40+0.4*'Raw Resid emissions'!AI31</f>
        <v>1.1565326757645301E-2</v>
      </c>
      <c r="AI21" s="682">
        <f>0.6*'Raw Resid emissions'!AJ40+0.4*'Raw Resid emissions'!AJ31</f>
        <v>1.1455376869804246E-2</v>
      </c>
      <c r="AJ21" s="682">
        <f>0.6*'Raw Resid emissions'!AK40+0.4*'Raw Resid emissions'!AK31</f>
        <v>1.0813949324755389E-2</v>
      </c>
      <c r="AK21" s="682">
        <f>0.6*'Raw Resid emissions'!AL40+0.4*'Raw Resid emissions'!AL31</f>
        <v>1.081395515077585E-2</v>
      </c>
      <c r="AL21" s="682">
        <f>0.6*'Raw Resid emissions'!AM40+0.4*'Raw Resid emissions'!AM31</f>
        <v>2.5949210475429467</v>
      </c>
      <c r="AM21" s="682">
        <f>0.6*'Raw Resid emissions'!AN40+0.4*'Raw Resid emissions'!AN31</f>
        <v>2.4384238704697698</v>
      </c>
      <c r="AN21" s="682">
        <f>0.6*'Raw Resid emissions'!AO40+0.4*'Raw Resid emissions'!AO31</f>
        <v>2.1121683878388691</v>
      </c>
      <c r="AO21" s="682">
        <f>0.6*'Raw Resid emissions'!AP40+0.4*'Raw Resid emissions'!AP31</f>
        <v>2.2763519420280542</v>
      </c>
      <c r="AP21" s="682">
        <f>0.6*'Raw Resid emissions'!AQ40+0.4*'Raw Resid emissions'!AQ31</f>
        <v>1.6355937790950317</v>
      </c>
      <c r="AQ21" s="682">
        <f>0.6*'Raw Resid emissions'!AR40+0.4*'Raw Resid emissions'!AR31</f>
        <v>0</v>
      </c>
      <c r="AR21" s="682">
        <f>0.6*'Raw Resid emissions'!AS40+0.4*'Raw Resid emissions'!AS31</f>
        <v>0</v>
      </c>
      <c r="AS21" s="682">
        <f>0.6*'Raw Resid emissions'!AT40+0.4*'Raw Resid emissions'!AT31</f>
        <v>0</v>
      </c>
      <c r="AT21" s="682">
        <f>0.6*'Raw Resid emissions'!AU40+0.4*'Raw Resid emissions'!AU31</f>
        <v>0</v>
      </c>
      <c r="AU21" s="682">
        <f>0.6*'Raw Resid emissions'!AV40+0.4*'Raw Resid emissions'!AV31</f>
        <v>0</v>
      </c>
      <c r="AV21" s="682"/>
    </row>
    <row r="22" spans="1:52" ht="12.75" x14ac:dyDescent="0.2">
      <c r="A22" s="690"/>
      <c r="B22" s="690"/>
      <c r="C22" s="855"/>
      <c r="D22" s="855"/>
      <c r="E22" s="855"/>
      <c r="F22" s="679"/>
      <c r="G22" s="855"/>
      <c r="H22" s="858"/>
      <c r="I22" s="858"/>
      <c r="O22" s="684"/>
      <c r="AG22" s="682"/>
      <c r="AH22" s="682"/>
      <c r="AI22" s="682"/>
      <c r="AJ22" s="682"/>
      <c r="AK22" s="682"/>
      <c r="AL22" s="682"/>
      <c r="AM22" s="682"/>
      <c r="AN22" s="682"/>
      <c r="AO22" s="682"/>
      <c r="AP22" s="682"/>
      <c r="AQ22" s="682"/>
      <c r="AR22" s="682"/>
      <c r="AS22" s="682"/>
      <c r="AT22" s="682"/>
      <c r="AU22" s="682"/>
    </row>
    <row r="23" spans="1:52" x14ac:dyDescent="0.2">
      <c r="A23" s="690"/>
      <c r="B23" s="690"/>
      <c r="AG23" s="682"/>
      <c r="AH23" s="682"/>
      <c r="AI23" s="682"/>
      <c r="AJ23" s="682"/>
      <c r="AK23" s="682"/>
      <c r="AL23" s="682"/>
      <c r="AM23" s="682"/>
      <c r="AN23" s="682"/>
      <c r="AO23" s="682"/>
      <c r="AP23" s="682"/>
      <c r="AQ23" s="682"/>
      <c r="AR23" s="682"/>
      <c r="AS23" s="682"/>
      <c r="AT23" s="682"/>
      <c r="AU23" s="682"/>
    </row>
    <row r="24" spans="1:52" s="684" customFormat="1" x14ac:dyDescent="0.2">
      <c r="A24" s="690"/>
      <c r="B24" s="690"/>
      <c r="C24" s="680" t="s">
        <v>1308</v>
      </c>
      <c r="D24" s="680" t="s">
        <v>133</v>
      </c>
      <c r="E24" s="680" t="s">
        <v>125</v>
      </c>
      <c r="F24" s="680" t="s">
        <v>125</v>
      </c>
      <c r="G24" s="680" t="s">
        <v>125</v>
      </c>
      <c r="H24" s="691" t="s">
        <v>139</v>
      </c>
      <c r="I24" s="691" t="s">
        <v>1309</v>
      </c>
      <c r="J24" s="692" t="s">
        <v>145</v>
      </c>
      <c r="K24" s="692" t="s">
        <v>1381</v>
      </c>
      <c r="L24" s="692" t="s">
        <v>1382</v>
      </c>
      <c r="M24" s="692" t="s">
        <v>149</v>
      </c>
      <c r="N24" s="692" t="s">
        <v>147</v>
      </c>
      <c r="O24" s="457"/>
      <c r="P24" s="457" t="s">
        <v>1308</v>
      </c>
      <c r="Q24" s="457"/>
      <c r="R24" s="683"/>
      <c r="S24" s="683" t="s">
        <v>133</v>
      </c>
      <c r="T24" s="683"/>
      <c r="U24" s="457"/>
      <c r="V24" s="457" t="s">
        <v>1309</v>
      </c>
      <c r="W24" s="457"/>
      <c r="X24" s="683"/>
      <c r="Y24" s="683" t="s">
        <v>137</v>
      </c>
      <c r="Z24" s="683"/>
      <c r="AA24" s="457"/>
      <c r="AB24" s="457" t="s">
        <v>1383</v>
      </c>
      <c r="AC24" s="457"/>
      <c r="AD24" s="457"/>
      <c r="AE24" s="457" t="s">
        <v>1384</v>
      </c>
    </row>
    <row r="25" spans="1:52" s="684" customFormat="1" x14ac:dyDescent="0.2">
      <c r="A25" s="690"/>
      <c r="B25" s="690"/>
      <c r="C25" s="680"/>
      <c r="D25" s="680"/>
      <c r="E25" s="680">
        <v>2005</v>
      </c>
      <c r="F25" s="680">
        <v>2010</v>
      </c>
      <c r="G25" s="680" t="s">
        <v>1315</v>
      </c>
      <c r="H25" s="690"/>
      <c r="I25" s="690"/>
      <c r="O25" s="457">
        <v>2005</v>
      </c>
      <c r="P25" s="457">
        <v>2010</v>
      </c>
      <c r="Q25" s="457">
        <v>2015</v>
      </c>
      <c r="R25" s="683">
        <v>2005</v>
      </c>
      <c r="S25" s="683">
        <v>2010</v>
      </c>
      <c r="T25" s="683">
        <v>2015</v>
      </c>
      <c r="U25" s="457">
        <v>2005</v>
      </c>
      <c r="V25" s="457">
        <v>2010</v>
      </c>
      <c r="W25" s="457">
        <v>2015</v>
      </c>
      <c r="X25" s="683">
        <v>2005</v>
      </c>
      <c r="Y25" s="683">
        <v>2010</v>
      </c>
      <c r="Z25" s="683">
        <v>2015</v>
      </c>
      <c r="AA25" s="457">
        <v>2005</v>
      </c>
      <c r="AB25" s="457">
        <v>2010</v>
      </c>
      <c r="AC25" s="457">
        <v>2015</v>
      </c>
      <c r="AD25" s="457">
        <v>2005</v>
      </c>
      <c r="AE25" s="457">
        <v>2010</v>
      </c>
      <c r="AF25" s="457">
        <v>2015</v>
      </c>
    </row>
    <row r="26" spans="1:52" s="684" customFormat="1" x14ac:dyDescent="0.2">
      <c r="A26" s="684" t="s">
        <v>195</v>
      </c>
      <c r="B26" s="684" t="s">
        <v>1385</v>
      </c>
      <c r="C26" s="693">
        <v>6.5000000000000002E-2</v>
      </c>
      <c r="D26" s="693">
        <v>8.1908342965276229E-3</v>
      </c>
      <c r="E26" s="693">
        <v>2.1508132663782174E-2</v>
      </c>
      <c r="F26" s="693">
        <v>2.1508132663782174E-2</v>
      </c>
      <c r="G26" s="693">
        <v>1.5931950121320128E-2</v>
      </c>
      <c r="H26" s="693">
        <v>9.4153068416053688E-3</v>
      </c>
      <c r="I26" s="693">
        <v>8.1908342965276229E-3</v>
      </c>
      <c r="J26" s="693">
        <v>0.1497</v>
      </c>
      <c r="K26" s="693">
        <v>5.4059506357082288E-3</v>
      </c>
      <c r="L26" s="693">
        <v>1.6381668593055247E-3</v>
      </c>
      <c r="M26" s="693">
        <v>6.8901517559632032E-3</v>
      </c>
      <c r="N26" s="693">
        <v>7.9197146620266709E-3</v>
      </c>
    </row>
    <row r="27" spans="1:52" s="684" customFormat="1" x14ac:dyDescent="0.2">
      <c r="A27" s="684" t="s">
        <v>197</v>
      </c>
      <c r="B27" s="684" t="s">
        <v>198</v>
      </c>
      <c r="C27" s="693">
        <v>0.18</v>
      </c>
      <c r="D27" s="693">
        <v>0.04</v>
      </c>
      <c r="E27" s="693">
        <v>1.0849608754244008E-3</v>
      </c>
      <c r="F27" s="693">
        <v>1.0849608754244008E-3</v>
      </c>
      <c r="G27" s="693">
        <v>1.0849608754244008E-3</v>
      </c>
      <c r="H27" s="693">
        <v>9.4153068416053688E-3</v>
      </c>
      <c r="I27" s="693">
        <v>3.8679999999999999E-2</v>
      </c>
      <c r="J27" s="693">
        <v>0.1497</v>
      </c>
      <c r="K27" s="693">
        <v>2.6400000000000003E-2</v>
      </c>
      <c r="L27" s="693">
        <v>7.7359999999999998E-3</v>
      </c>
      <c r="M27" s="693">
        <v>6.8901517559632032E-3</v>
      </c>
      <c r="N27" s="693">
        <v>7.9197146620266709E-3</v>
      </c>
    </row>
    <row r="28" spans="1:52" s="684" customFormat="1" x14ac:dyDescent="0.2">
      <c r="A28" s="684" t="s">
        <v>434</v>
      </c>
      <c r="B28" s="684" t="s">
        <v>435</v>
      </c>
      <c r="C28" s="684">
        <v>2.3297866254190249</v>
      </c>
      <c r="D28" s="684">
        <v>0.22733732882657637</v>
      </c>
      <c r="E28" s="684">
        <v>1.7572333528187587</v>
      </c>
      <c r="F28" s="684">
        <v>1.7572333528187587</v>
      </c>
      <c r="G28" s="684">
        <v>6.441224316752997E-2</v>
      </c>
      <c r="H28" s="684">
        <v>7.7463089822388975E-2</v>
      </c>
      <c r="I28" s="685">
        <v>0.20915034252045028</v>
      </c>
      <c r="J28" s="694">
        <v>0.19534170476950266</v>
      </c>
      <c r="K28" s="694">
        <v>0.10666667468542965</v>
      </c>
      <c r="L28" s="694">
        <v>4.3921571929294558E-2</v>
      </c>
      <c r="M28" s="684">
        <v>2.1117829623188917E-3</v>
      </c>
      <c r="N28" s="684">
        <v>7.3410763464156143E-4</v>
      </c>
    </row>
    <row r="29" spans="1:52" s="684" customFormat="1" x14ac:dyDescent="0.2">
      <c r="A29" s="684" t="s">
        <v>442</v>
      </c>
      <c r="B29" s="684" t="s">
        <v>443</v>
      </c>
      <c r="C29" s="684">
        <v>2.0867907816968794</v>
      </c>
      <c r="D29" s="684">
        <v>8.7175450858252762E-2</v>
      </c>
      <c r="E29" s="684">
        <v>1.3770462092682052</v>
      </c>
      <c r="F29" s="684">
        <v>0.16169228154612267</v>
      </c>
      <c r="G29" s="684">
        <v>7.1764650460270724E-2</v>
      </c>
      <c r="H29" s="684">
        <v>6.0909108490961816E-2</v>
      </c>
      <c r="I29" s="685">
        <v>8.0201414789592543E-2</v>
      </c>
      <c r="J29" s="694">
        <v>0.36348372770897563</v>
      </c>
      <c r="K29" s="694">
        <v>4.09027215426922E-2</v>
      </c>
      <c r="L29" s="694">
        <v>1.6842297105814433E-2</v>
      </c>
      <c r="M29" s="684">
        <v>2.7030404015916873E-3</v>
      </c>
      <c r="N29" s="684">
        <v>8.6497292850933982E-4</v>
      </c>
    </row>
    <row r="30" spans="1:52" s="684" customFormat="1" x14ac:dyDescent="0.2">
      <c r="A30" s="684" t="s">
        <v>411</v>
      </c>
      <c r="B30" s="684" t="s">
        <v>412</v>
      </c>
      <c r="F30" s="695"/>
      <c r="G30" s="695"/>
      <c r="H30" s="685"/>
      <c r="I30" s="685"/>
      <c r="J30" s="694"/>
      <c r="K30" s="694"/>
      <c r="L30" s="694"/>
      <c r="O30" s="684">
        <v>7.4045024138166493E-2</v>
      </c>
      <c r="P30" s="695">
        <v>0.10057184330225802</v>
      </c>
      <c r="Q30" s="695">
        <v>0.12659722889430777</v>
      </c>
      <c r="R30" s="684">
        <v>2.9043819055124659E-3</v>
      </c>
      <c r="S30" s="684">
        <v>4.2081091928210436E-4</v>
      </c>
      <c r="T30" s="684">
        <v>3.6791459344711073E-3</v>
      </c>
      <c r="U30" s="695">
        <v>2.817250448347092E-3</v>
      </c>
      <c r="V30" s="695">
        <v>4.0818659170364116E-4</v>
      </c>
      <c r="W30" s="684">
        <v>3.5687715564369743E-3</v>
      </c>
      <c r="X30" s="684">
        <v>5.32357865312349E-3</v>
      </c>
      <c r="Y30" s="684">
        <v>1.2195985323569557E-3</v>
      </c>
      <c r="Z30" s="695">
        <v>5.7169975345289599E-3</v>
      </c>
      <c r="AA30" s="695">
        <v>1.8593852959090805E-3</v>
      </c>
      <c r="AB30" s="684">
        <v>2.6940315052440315E-4</v>
      </c>
      <c r="AC30" s="684">
        <v>2.3553892272484027E-3</v>
      </c>
      <c r="AD30" s="684">
        <v>5.916225941528893E-4</v>
      </c>
      <c r="AE30" s="695">
        <v>8.5719184257764642E-5</v>
      </c>
      <c r="AF30" s="695">
        <v>7.4944202685176464E-4</v>
      </c>
      <c r="AJ30" s="695"/>
      <c r="AK30" s="695"/>
      <c r="AO30" s="695"/>
      <c r="AP30" s="695"/>
      <c r="AT30" s="695"/>
    </row>
    <row r="31" spans="1:52" ht="12.75" x14ac:dyDescent="0.2">
      <c r="A31" s="718"/>
      <c r="B31" s="718"/>
      <c r="C31" s="858"/>
      <c r="H31" s="859"/>
      <c r="I31" s="860"/>
      <c r="J31" s="858"/>
      <c r="K31" s="858"/>
      <c r="L31" s="858"/>
      <c r="M31" s="858"/>
      <c r="R31" s="858"/>
      <c r="W31" s="858"/>
      <c r="AB31" s="858"/>
      <c r="AG31" s="858"/>
      <c r="AL31" s="858"/>
      <c r="AQ31" s="858"/>
    </row>
    <row r="32" spans="1:52" ht="12.75" x14ac:dyDescent="0.2">
      <c r="A32" s="718"/>
      <c r="B32" s="718"/>
      <c r="H32" s="861"/>
      <c r="I32" s="862"/>
      <c r="J32" s="861"/>
      <c r="K32" s="861"/>
      <c r="L32" s="861"/>
    </row>
    <row r="33" spans="1:12" ht="12.75" x14ac:dyDescent="0.2">
      <c r="A33" s="718"/>
      <c r="B33" s="718"/>
      <c r="H33" s="861"/>
      <c r="I33" s="862"/>
      <c r="J33" s="861"/>
      <c r="K33" s="861"/>
      <c r="L33" s="861"/>
    </row>
  </sheetData>
  <pageMargins left="0.25" right="0.25" top="1" bottom="1" header="0.5" footer="0.5"/>
  <pageSetup scale="30" orientation="landscape" r:id="rId1"/>
  <headerFooter alignWithMargins="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987B-8C74-4F1F-9B2E-F1EBC150EEAB}">
  <dimension ref="A1:AM60"/>
  <sheetViews>
    <sheetView topLeftCell="A4" workbookViewId="0">
      <selection activeCell="J11" sqref="J11"/>
    </sheetView>
  </sheetViews>
  <sheetFormatPr defaultRowHeight="12.75" x14ac:dyDescent="0.2"/>
  <cols>
    <col min="1" max="1" width="20.85546875" customWidth="1"/>
    <col min="2" max="2" width="13.5703125" customWidth="1"/>
    <col min="3" max="3" width="11.5703125" style="429" bestFit="1" customWidth="1"/>
    <col min="4" max="4" width="9.42578125" bestFit="1" customWidth="1"/>
    <col min="5" max="5" width="10.85546875" bestFit="1" customWidth="1"/>
    <col min="6" max="6" width="10.85546875" customWidth="1"/>
    <col min="7" max="7" width="11.5703125" bestFit="1" customWidth="1"/>
    <col min="8" max="8" width="9.42578125" bestFit="1" customWidth="1"/>
    <col min="9" max="9" width="10.85546875" bestFit="1" customWidth="1"/>
    <col min="10" max="10" width="10.85546875" customWidth="1"/>
    <col min="11" max="11" width="11.5703125" style="429" bestFit="1" customWidth="1"/>
    <col min="12" max="12" width="9.42578125" bestFit="1" customWidth="1"/>
    <col min="13" max="13" width="10.85546875" bestFit="1" customWidth="1"/>
    <col min="14" max="14" width="10.85546875" customWidth="1"/>
    <col min="15" max="20" width="9.42578125" bestFit="1" customWidth="1"/>
  </cols>
  <sheetData>
    <row r="1" spans="1:39" x14ac:dyDescent="0.2">
      <c r="A1" s="752" t="s">
        <v>1386</v>
      </c>
      <c r="B1" s="35"/>
      <c r="C1" s="428"/>
      <c r="D1" s="35"/>
      <c r="E1" s="35"/>
      <c r="F1" s="35"/>
      <c r="G1" s="35"/>
      <c r="H1" s="35"/>
      <c r="I1" s="35"/>
      <c r="J1" s="35"/>
      <c r="K1" s="428"/>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x14ac:dyDescent="0.2">
      <c r="A2" s="752" t="s">
        <v>1387</v>
      </c>
      <c r="B2" s="35"/>
      <c r="C2" s="428"/>
      <c r="D2" s="35"/>
      <c r="E2" s="35"/>
      <c r="F2" s="35"/>
      <c r="G2" s="35"/>
      <c r="H2" s="35"/>
      <c r="I2" s="35"/>
      <c r="J2" s="35"/>
      <c r="K2" s="428"/>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row>
    <row r="3" spans="1:39" x14ac:dyDescent="0.2">
      <c r="A3" s="35"/>
      <c r="B3" s="35"/>
      <c r="C3" s="428"/>
      <c r="D3" s="753" t="s">
        <v>1388</v>
      </c>
      <c r="E3" s="35"/>
      <c r="F3" s="35"/>
      <c r="G3" s="35"/>
      <c r="H3" s="753" t="s">
        <v>1389</v>
      </c>
      <c r="I3" s="35"/>
      <c r="J3" s="35"/>
      <c r="K3" s="428"/>
      <c r="L3" s="753" t="s">
        <v>1390</v>
      </c>
      <c r="M3" s="35"/>
      <c r="N3" s="35"/>
      <c r="O3" s="35"/>
      <c r="P3" s="753" t="s">
        <v>1391</v>
      </c>
      <c r="Q3" s="35"/>
      <c r="R3" s="35"/>
      <c r="S3" s="753" t="s">
        <v>1392</v>
      </c>
      <c r="T3" s="35"/>
      <c r="U3" s="35"/>
      <c r="V3" s="35"/>
      <c r="W3" s="35"/>
      <c r="X3" s="35"/>
      <c r="Y3" s="35"/>
      <c r="Z3" s="35"/>
      <c r="AA3" s="35"/>
      <c r="AB3" s="35"/>
      <c r="AC3" s="35"/>
      <c r="AD3" s="35"/>
      <c r="AE3" s="35"/>
      <c r="AF3" s="35"/>
      <c r="AG3" s="35"/>
      <c r="AH3" s="35"/>
      <c r="AI3" s="35"/>
      <c r="AJ3" s="35"/>
      <c r="AK3" s="35"/>
      <c r="AL3" s="35"/>
      <c r="AM3" s="35"/>
    </row>
    <row r="4" spans="1:39" x14ac:dyDescent="0.2">
      <c r="A4" s="753" t="s">
        <v>1393</v>
      </c>
      <c r="B4" s="753" t="s">
        <v>165</v>
      </c>
      <c r="C4" s="762" t="s">
        <v>1394</v>
      </c>
      <c r="D4" s="753" t="s">
        <v>1395</v>
      </c>
      <c r="E4" s="753" t="s">
        <v>1396</v>
      </c>
      <c r="F4" s="753" t="s">
        <v>1397</v>
      </c>
      <c r="G4" s="753" t="s">
        <v>1394</v>
      </c>
      <c r="H4" s="753" t="s">
        <v>1395</v>
      </c>
      <c r="I4" s="753" t="s">
        <v>1396</v>
      </c>
      <c r="J4" s="753" t="s">
        <v>1397</v>
      </c>
      <c r="K4" s="762" t="s">
        <v>1394</v>
      </c>
      <c r="L4" s="753" t="s">
        <v>1395</v>
      </c>
      <c r="M4" s="753" t="s">
        <v>1396</v>
      </c>
      <c r="N4" s="753" t="s">
        <v>1397</v>
      </c>
      <c r="O4" s="753" t="s">
        <v>1394</v>
      </c>
      <c r="P4" s="753" t="s">
        <v>1395</v>
      </c>
      <c r="Q4" s="753" t="s">
        <v>1396</v>
      </c>
      <c r="R4" s="753" t="s">
        <v>1394</v>
      </c>
      <c r="S4" s="753" t="s">
        <v>1395</v>
      </c>
      <c r="T4" s="753" t="s">
        <v>1396</v>
      </c>
      <c r="U4" s="35"/>
      <c r="V4" s="35"/>
      <c r="W4" s="35"/>
      <c r="X4" s="35"/>
      <c r="Y4" s="35"/>
      <c r="Z4" s="35"/>
      <c r="AA4" s="35"/>
      <c r="AB4" s="35"/>
      <c r="AC4" s="35"/>
      <c r="AD4" s="35"/>
      <c r="AE4" s="35"/>
      <c r="AF4" s="35"/>
      <c r="AG4" s="35"/>
      <c r="AH4" s="35"/>
      <c r="AI4" s="35"/>
      <c r="AJ4" s="35"/>
      <c r="AK4" s="35"/>
      <c r="AL4" s="35"/>
      <c r="AM4" s="35"/>
    </row>
    <row r="5" spans="1:39" x14ac:dyDescent="0.2">
      <c r="A5" s="753" t="s">
        <v>1398</v>
      </c>
      <c r="B5" s="35"/>
      <c r="C5" s="428"/>
      <c r="D5" s="35"/>
      <c r="E5" s="35"/>
      <c r="F5" s="35"/>
      <c r="G5" s="35"/>
      <c r="H5" s="35"/>
      <c r="I5" s="35"/>
      <c r="J5" s="35"/>
      <c r="K5" s="428"/>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row>
    <row r="6" spans="1:39" x14ac:dyDescent="0.2">
      <c r="A6" s="753" t="s">
        <v>1399</v>
      </c>
      <c r="B6" s="35"/>
      <c r="C6" s="428"/>
      <c r="D6" s="35"/>
      <c r="E6" s="35"/>
      <c r="F6" s="35"/>
      <c r="G6" s="35"/>
      <c r="H6" s="35"/>
      <c r="I6" s="35"/>
      <c r="J6" s="35"/>
      <c r="K6" s="428"/>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row>
    <row r="7" spans="1:39" x14ac:dyDescent="0.2">
      <c r="A7" s="754" t="s">
        <v>1400</v>
      </c>
      <c r="B7" s="754" t="s">
        <v>1401</v>
      </c>
      <c r="C7" s="763">
        <v>555115513</v>
      </c>
      <c r="D7" s="755">
        <v>1509205</v>
      </c>
      <c r="E7" s="755">
        <v>20485363</v>
      </c>
      <c r="F7" s="773">
        <f>E7*1.05505585262*10^(-6)</f>
        <v>21.613202126195198</v>
      </c>
      <c r="G7" s="755">
        <v>593685897</v>
      </c>
      <c r="H7" s="755">
        <v>1614067</v>
      </c>
      <c r="I7" s="755">
        <v>21908722</v>
      </c>
      <c r="J7" s="773">
        <f>I7*1.05505585262*10^(-6)</f>
        <v>23.114925369524553</v>
      </c>
      <c r="K7" s="763">
        <v>642371709</v>
      </c>
      <c r="L7" s="755">
        <v>1746430</v>
      </c>
      <c r="M7" s="755">
        <v>23705369</v>
      </c>
      <c r="N7" s="773">
        <f>M7*1.05505585262*10^(-6)</f>
        <v>25.010488301966713</v>
      </c>
      <c r="O7" s="756">
        <v>0.08</v>
      </c>
      <c r="P7" s="756">
        <v>0.08</v>
      </c>
      <c r="Q7" s="756">
        <v>0.08</v>
      </c>
      <c r="R7" s="756">
        <v>0.16</v>
      </c>
      <c r="S7" s="756">
        <v>0.16</v>
      </c>
      <c r="T7" s="756">
        <v>0.16</v>
      </c>
      <c r="U7" s="35"/>
      <c r="V7" s="35"/>
      <c r="W7" s="35"/>
      <c r="X7" s="35"/>
      <c r="Y7" s="35"/>
      <c r="Z7" s="35"/>
      <c r="AA7" s="35"/>
      <c r="AB7" s="35"/>
      <c r="AC7" s="35"/>
      <c r="AD7" s="35"/>
      <c r="AE7" s="35"/>
      <c r="AF7" s="35"/>
      <c r="AG7" s="35"/>
      <c r="AH7" s="35"/>
      <c r="AI7" s="35"/>
      <c r="AJ7" s="35"/>
      <c r="AK7" s="35"/>
      <c r="AL7" s="35"/>
      <c r="AM7" s="35"/>
    </row>
    <row r="8" spans="1:39" x14ac:dyDescent="0.2">
      <c r="A8" s="754" t="s">
        <v>1402</v>
      </c>
      <c r="B8" s="754" t="s">
        <v>1403</v>
      </c>
      <c r="C8" s="763">
        <v>294735132</v>
      </c>
      <c r="D8" s="755">
        <v>858782</v>
      </c>
      <c r="E8" s="755">
        <v>11486968</v>
      </c>
      <c r="F8" s="773">
        <f t="shared" ref="F8:F59" si="0">E8*1.05505585262*10^(-6)</f>
        <v>12.119392817258655</v>
      </c>
      <c r="G8" s="755">
        <v>303965661</v>
      </c>
      <c r="H8" s="755">
        <v>885678</v>
      </c>
      <c r="I8" s="755">
        <v>11846717</v>
      </c>
      <c r="J8" s="773">
        <f t="shared" ref="J8:J59" si="1">I8*1.05505585262*10^(-6)</f>
        <v>12.498948105182848</v>
      </c>
      <c r="K8" s="763">
        <v>371262975</v>
      </c>
      <c r="L8" s="755">
        <v>1081765</v>
      </c>
      <c r="M8" s="755">
        <v>14469554</v>
      </c>
      <c r="N8" s="773">
        <f t="shared" ref="N8:N48" si="2">M8*1.05505585262*10^(-6)</f>
        <v>15.266187632501131</v>
      </c>
      <c r="O8" s="756">
        <v>0.22</v>
      </c>
      <c r="P8" s="756">
        <v>0.22</v>
      </c>
      <c r="Q8" s="756">
        <v>0.22</v>
      </c>
      <c r="R8" s="756">
        <v>0.26</v>
      </c>
      <c r="S8" s="756">
        <v>0.26</v>
      </c>
      <c r="T8" s="756">
        <v>0.26</v>
      </c>
      <c r="U8" s="35"/>
      <c r="V8" s="35"/>
      <c r="W8" s="35"/>
      <c r="X8" s="35"/>
      <c r="Y8" s="35"/>
      <c r="Z8" s="35"/>
      <c r="AA8" s="35"/>
      <c r="AB8" s="35"/>
      <c r="AC8" s="35"/>
      <c r="AD8" s="35"/>
      <c r="AE8" s="35"/>
      <c r="AF8" s="35"/>
      <c r="AG8" s="35"/>
      <c r="AH8" s="35"/>
      <c r="AI8" s="35"/>
      <c r="AJ8" s="35"/>
      <c r="AK8" s="35"/>
      <c r="AL8" s="35"/>
      <c r="AM8" s="35"/>
    </row>
    <row r="9" spans="1:39" x14ac:dyDescent="0.2">
      <c r="A9" s="754" t="s">
        <v>1404</v>
      </c>
      <c r="B9" s="754" t="s">
        <v>1403</v>
      </c>
      <c r="C9" s="763">
        <v>733787288</v>
      </c>
      <c r="D9" s="755">
        <v>2202564</v>
      </c>
      <c r="E9" s="755">
        <v>29446928</v>
      </c>
      <c r="F9" s="773">
        <f t="shared" si="0"/>
        <v>31.06815372807975</v>
      </c>
      <c r="G9" s="755">
        <v>232103338</v>
      </c>
      <c r="H9" s="755">
        <v>696690</v>
      </c>
      <c r="I9" s="755">
        <v>9314321</v>
      </c>
      <c r="J9" s="773">
        <f t="shared" si="1"/>
        <v>9.8271288842313709</v>
      </c>
      <c r="K9" s="763">
        <v>48457191</v>
      </c>
      <c r="L9" s="755">
        <v>145451</v>
      </c>
      <c r="M9" s="755">
        <v>1944590</v>
      </c>
      <c r="N9" s="773">
        <f t="shared" si="2"/>
        <v>2.0516510604463258</v>
      </c>
      <c r="O9" s="756">
        <v>-0.79</v>
      </c>
      <c r="P9" s="756">
        <v>-0.79</v>
      </c>
      <c r="Q9" s="756">
        <v>-0.79</v>
      </c>
      <c r="R9" s="756">
        <v>-0.93</v>
      </c>
      <c r="S9" s="756">
        <v>-0.93</v>
      </c>
      <c r="T9" s="756">
        <v>-0.93</v>
      </c>
      <c r="U9" s="35"/>
      <c r="V9" s="35"/>
      <c r="W9" s="35"/>
      <c r="X9" s="35"/>
      <c r="Y9" s="35"/>
      <c r="Z9" s="35"/>
      <c r="AA9" s="35"/>
      <c r="AB9" s="35"/>
      <c r="AC9" s="35"/>
      <c r="AD9" s="35"/>
      <c r="AE9" s="35"/>
      <c r="AF9" s="35"/>
      <c r="AG9" s="35"/>
      <c r="AH9" s="35"/>
      <c r="AI9" s="35"/>
      <c r="AJ9" s="35"/>
      <c r="AK9" s="35"/>
      <c r="AL9" s="35"/>
      <c r="AM9" s="35"/>
    </row>
    <row r="10" spans="1:39" x14ac:dyDescent="0.2">
      <c r="A10" s="754" t="s">
        <v>752</v>
      </c>
      <c r="B10" s="754" t="s">
        <v>1403</v>
      </c>
      <c r="C10" s="763">
        <v>2723585</v>
      </c>
      <c r="D10" s="757">
        <v>5</v>
      </c>
      <c r="E10" s="755">
        <v>92994</v>
      </c>
      <c r="F10" s="773">
        <f t="shared" si="0"/>
        <v>9.8113863958544281E-2</v>
      </c>
      <c r="G10" s="755">
        <v>34445648</v>
      </c>
      <c r="H10" s="757">
        <v>59</v>
      </c>
      <c r="I10" s="755">
        <v>1176108</v>
      </c>
      <c r="J10" s="773">
        <f t="shared" si="1"/>
        <v>1.2408596287132028</v>
      </c>
      <c r="K10" s="763">
        <v>34527400</v>
      </c>
      <c r="L10" s="757">
        <v>59</v>
      </c>
      <c r="M10" s="755">
        <v>1178900</v>
      </c>
      <c r="N10" s="773">
        <f t="shared" si="2"/>
        <v>1.2438053446537178</v>
      </c>
      <c r="O10" s="756">
        <v>0</v>
      </c>
      <c r="P10" s="756">
        <v>0</v>
      </c>
      <c r="Q10" s="756">
        <v>0</v>
      </c>
      <c r="R10" s="754" t="s">
        <v>1405</v>
      </c>
      <c r="S10" s="754" t="s">
        <v>1405</v>
      </c>
      <c r="T10" s="754" t="s">
        <v>1405</v>
      </c>
      <c r="U10" s="35"/>
      <c r="V10" s="35"/>
      <c r="W10" s="35"/>
      <c r="X10" s="35"/>
      <c r="Y10" s="35"/>
      <c r="Z10" s="35"/>
      <c r="AA10" s="35"/>
      <c r="AB10" s="35"/>
      <c r="AC10" s="35"/>
      <c r="AD10" s="35"/>
      <c r="AE10" s="35"/>
      <c r="AF10" s="35"/>
      <c r="AG10" s="35"/>
      <c r="AH10" s="35"/>
      <c r="AI10" s="35"/>
      <c r="AJ10" s="35"/>
      <c r="AK10" s="35"/>
      <c r="AL10" s="35"/>
      <c r="AM10" s="35"/>
    </row>
    <row r="11" spans="1:39" x14ac:dyDescent="0.2">
      <c r="A11" s="754" t="s">
        <v>1406</v>
      </c>
      <c r="B11" s="754" t="s">
        <v>1407</v>
      </c>
      <c r="C11" s="763">
        <v>14168364734</v>
      </c>
      <c r="D11" s="755">
        <v>6079321</v>
      </c>
      <c r="E11" s="755">
        <v>133021044</v>
      </c>
      <c r="F11" s="773">
        <f t="shared" si="0"/>
        <v>140.34463099382253</v>
      </c>
      <c r="G11" s="755">
        <v>15050281601</v>
      </c>
      <c r="H11" s="755">
        <v>3984838</v>
      </c>
      <c r="I11" s="755">
        <v>132480574</v>
      </c>
      <c r="J11" s="773">
        <f t="shared" si="1"/>
        <v>139.774404957157</v>
      </c>
      <c r="K11" s="763">
        <v>15701860145</v>
      </c>
      <c r="L11" s="755">
        <v>4035680</v>
      </c>
      <c r="M11" s="755">
        <v>148976038</v>
      </c>
      <c r="N11" s="773">
        <f t="shared" si="2"/>
        <v>157.1780407920395</v>
      </c>
      <c r="O11" s="756">
        <v>0.04</v>
      </c>
      <c r="P11" s="756">
        <v>0.01</v>
      </c>
      <c r="Q11" s="756">
        <v>0.12</v>
      </c>
      <c r="R11" s="756">
        <v>0.11</v>
      </c>
      <c r="S11" s="756">
        <v>-0.34</v>
      </c>
      <c r="T11" s="756">
        <v>0.12</v>
      </c>
      <c r="U11" s="35"/>
      <c r="V11" s="35"/>
      <c r="W11" s="35"/>
      <c r="X11" s="35"/>
      <c r="Y11" s="35"/>
      <c r="Z11" s="35"/>
      <c r="AA11" s="35"/>
      <c r="AB11" s="35"/>
      <c r="AC11" s="35"/>
      <c r="AD11" s="35"/>
      <c r="AE11" s="35"/>
      <c r="AF11" s="35"/>
      <c r="AG11" s="35"/>
      <c r="AH11" s="35"/>
      <c r="AI11" s="35"/>
      <c r="AJ11" s="35"/>
      <c r="AK11" s="35"/>
      <c r="AL11" s="35"/>
      <c r="AM11" s="35"/>
    </row>
    <row r="12" spans="1:39" x14ac:dyDescent="0.2">
      <c r="A12" s="754" t="s">
        <v>1408</v>
      </c>
      <c r="B12" s="754" t="s">
        <v>1409</v>
      </c>
      <c r="C12" s="763">
        <v>180307273</v>
      </c>
      <c r="D12" s="755">
        <v>9088939</v>
      </c>
      <c r="E12" s="755">
        <v>179443212</v>
      </c>
      <c r="F12" s="773">
        <f t="shared" si="0"/>
        <v>189.32261103353142</v>
      </c>
      <c r="G12" s="755">
        <v>187277654</v>
      </c>
      <c r="H12" s="755">
        <v>9440303</v>
      </c>
      <c r="I12" s="755">
        <v>186380189</v>
      </c>
      <c r="J12" s="773">
        <f t="shared" si="1"/>
        <v>196.64150921687173</v>
      </c>
      <c r="K12" s="763">
        <v>184436188</v>
      </c>
      <c r="L12" s="755">
        <v>9297070</v>
      </c>
      <c r="M12" s="755">
        <v>183552340</v>
      </c>
      <c r="N12" s="773">
        <f t="shared" si="2"/>
        <v>193.65797057909612</v>
      </c>
      <c r="O12" s="756">
        <v>-0.02</v>
      </c>
      <c r="P12" s="756">
        <v>-0.02</v>
      </c>
      <c r="Q12" s="756">
        <v>-0.02</v>
      </c>
      <c r="R12" s="756">
        <v>0.02</v>
      </c>
      <c r="S12" s="756">
        <v>0.02</v>
      </c>
      <c r="T12" s="756">
        <v>0.02</v>
      </c>
      <c r="U12" s="35"/>
      <c r="V12" s="35"/>
      <c r="W12" s="35"/>
      <c r="X12" s="35"/>
      <c r="Y12" s="35"/>
      <c r="Z12" s="35"/>
      <c r="AA12" s="35"/>
      <c r="AB12" s="35"/>
      <c r="AC12" s="35"/>
      <c r="AD12" s="35"/>
      <c r="AE12" s="35"/>
      <c r="AF12" s="35"/>
      <c r="AG12" s="35"/>
      <c r="AH12" s="35"/>
      <c r="AI12" s="35"/>
      <c r="AJ12" s="35"/>
      <c r="AK12" s="35"/>
      <c r="AL12" s="35"/>
      <c r="AM12" s="35"/>
    </row>
    <row r="13" spans="1:39" x14ac:dyDescent="0.2">
      <c r="A13" s="754" t="s">
        <v>1410</v>
      </c>
      <c r="B13" s="754" t="s">
        <v>1411</v>
      </c>
      <c r="C13" s="763">
        <v>1998982584</v>
      </c>
      <c r="D13" s="755">
        <v>332201</v>
      </c>
      <c r="E13" s="755">
        <v>5749261</v>
      </c>
      <c r="F13" s="773">
        <f t="shared" si="0"/>
        <v>6.0657914662899142</v>
      </c>
      <c r="G13" s="755">
        <v>2914003579</v>
      </c>
      <c r="H13" s="755">
        <v>322749</v>
      </c>
      <c r="I13" s="755">
        <v>6708579</v>
      </c>
      <c r="J13" s="773">
        <f t="shared" si="1"/>
        <v>7.0779255367136269</v>
      </c>
      <c r="K13" s="763">
        <v>2671762180</v>
      </c>
      <c r="L13" s="755">
        <v>286277</v>
      </c>
      <c r="M13" s="755">
        <v>6099429</v>
      </c>
      <c r="N13" s="773">
        <f t="shared" si="2"/>
        <v>6.4352382640901542</v>
      </c>
      <c r="O13" s="756">
        <v>-0.08</v>
      </c>
      <c r="P13" s="756">
        <v>-0.11</v>
      </c>
      <c r="Q13" s="756">
        <v>-0.09</v>
      </c>
      <c r="R13" s="756">
        <v>0.34</v>
      </c>
      <c r="S13" s="756">
        <v>-0.14000000000000001</v>
      </c>
      <c r="T13" s="756">
        <v>0.06</v>
      </c>
      <c r="U13" s="35"/>
      <c r="V13" s="35"/>
      <c r="W13" s="35"/>
      <c r="X13" s="35"/>
      <c r="Y13" s="35"/>
      <c r="Z13" s="35"/>
      <c r="AA13" s="35"/>
      <c r="AB13" s="35"/>
      <c r="AC13" s="35"/>
      <c r="AD13" s="35"/>
      <c r="AE13" s="35"/>
      <c r="AF13" s="35"/>
      <c r="AG13" s="35"/>
      <c r="AH13" s="35"/>
      <c r="AI13" s="35"/>
      <c r="AJ13" s="35"/>
      <c r="AK13" s="35"/>
      <c r="AL13" s="35"/>
      <c r="AM13" s="35"/>
    </row>
    <row r="14" spans="1:39" x14ac:dyDescent="0.2">
      <c r="A14" s="753" t="s">
        <v>1412</v>
      </c>
      <c r="B14" s="35"/>
      <c r="C14" s="428"/>
      <c r="D14" s="35"/>
      <c r="E14" s="35"/>
      <c r="F14" s="773"/>
      <c r="G14" s="35"/>
      <c r="H14" s="35"/>
      <c r="I14" s="35"/>
      <c r="J14" s="773"/>
      <c r="K14" s="428"/>
      <c r="L14" s="35"/>
      <c r="M14" s="35"/>
      <c r="N14" s="773">
        <f t="shared" si="2"/>
        <v>0</v>
      </c>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row>
    <row r="15" spans="1:39" x14ac:dyDescent="0.2">
      <c r="A15" s="754" t="s">
        <v>1400</v>
      </c>
      <c r="B15" s="754" t="s">
        <v>1403</v>
      </c>
      <c r="C15" s="763">
        <v>314564916</v>
      </c>
      <c r="D15" s="755">
        <v>855215</v>
      </c>
      <c r="E15" s="755">
        <v>11608353</v>
      </c>
      <c r="F15" s="773">
        <f t="shared" si="0"/>
        <v>12.247460771928933</v>
      </c>
      <c r="G15" s="755">
        <v>336421430</v>
      </c>
      <c r="H15" s="755">
        <v>914636</v>
      </c>
      <c r="I15" s="755">
        <v>12414921</v>
      </c>
      <c r="J15" s="773">
        <f t="shared" si="1"/>
        <v>13.098435060864944</v>
      </c>
      <c r="K15" s="763">
        <v>364010009</v>
      </c>
      <c r="L15" s="755">
        <v>989642</v>
      </c>
      <c r="M15" s="755">
        <v>13433019</v>
      </c>
      <c r="N15" s="773">
        <f t="shared" si="2"/>
        <v>14.172585314305659</v>
      </c>
      <c r="O15" s="756">
        <v>0.08</v>
      </c>
      <c r="P15" s="756">
        <v>0.08</v>
      </c>
      <c r="Q15" s="756">
        <v>0.08</v>
      </c>
      <c r="R15" s="756">
        <v>0.16</v>
      </c>
      <c r="S15" s="756">
        <v>0.16</v>
      </c>
      <c r="T15" s="756">
        <v>0.16</v>
      </c>
      <c r="U15" s="35"/>
      <c r="V15" s="35"/>
      <c r="W15" s="35"/>
      <c r="X15" s="35"/>
      <c r="Y15" s="35"/>
      <c r="Z15" s="35"/>
      <c r="AA15" s="35"/>
      <c r="AB15" s="35"/>
      <c r="AC15" s="35"/>
      <c r="AD15" s="35"/>
      <c r="AE15" s="35"/>
      <c r="AF15" s="35"/>
      <c r="AG15" s="35"/>
      <c r="AH15" s="35"/>
      <c r="AI15" s="35"/>
      <c r="AJ15" s="35"/>
      <c r="AK15" s="35"/>
      <c r="AL15" s="35"/>
      <c r="AM15" s="35"/>
    </row>
    <row r="16" spans="1:39" x14ac:dyDescent="0.2">
      <c r="A16" s="754" t="s">
        <v>1402</v>
      </c>
      <c r="B16" s="754" t="s">
        <v>1403</v>
      </c>
      <c r="C16" s="763">
        <v>52603950</v>
      </c>
      <c r="D16" s="755">
        <v>153274</v>
      </c>
      <c r="E16" s="755">
        <v>2050179</v>
      </c>
      <c r="F16" s="773">
        <f t="shared" si="0"/>
        <v>2.1630533528686189</v>
      </c>
      <c r="G16" s="755">
        <v>54251403</v>
      </c>
      <c r="H16" s="755">
        <v>158075</v>
      </c>
      <c r="I16" s="755">
        <v>2114387</v>
      </c>
      <c r="J16" s="773">
        <f t="shared" si="1"/>
        <v>2.2307963790536438</v>
      </c>
      <c r="K16" s="763">
        <v>66262542</v>
      </c>
      <c r="L16" s="755">
        <v>193072</v>
      </c>
      <c r="M16" s="755">
        <v>2582507</v>
      </c>
      <c r="N16" s="773">
        <f t="shared" si="2"/>
        <v>2.7246891247821186</v>
      </c>
      <c r="O16" s="756">
        <v>0.22</v>
      </c>
      <c r="P16" s="756">
        <v>0.22</v>
      </c>
      <c r="Q16" s="756">
        <v>0.22</v>
      </c>
      <c r="R16" s="756">
        <v>0.26</v>
      </c>
      <c r="S16" s="756">
        <v>0.26</v>
      </c>
      <c r="T16" s="756">
        <v>0.26</v>
      </c>
      <c r="U16" s="35"/>
      <c r="V16" s="35"/>
      <c r="W16" s="35"/>
      <c r="X16" s="35"/>
      <c r="Y16" s="35"/>
      <c r="Z16" s="35"/>
      <c r="AA16" s="35"/>
      <c r="AB16" s="35"/>
      <c r="AC16" s="35"/>
      <c r="AD16" s="35"/>
      <c r="AE16" s="35"/>
      <c r="AF16" s="35"/>
      <c r="AG16" s="35"/>
      <c r="AH16" s="35"/>
      <c r="AI16" s="35"/>
      <c r="AJ16" s="35"/>
      <c r="AK16" s="35"/>
      <c r="AL16" s="35"/>
      <c r="AM16" s="35"/>
    </row>
    <row r="17" spans="1:39" x14ac:dyDescent="0.2">
      <c r="A17" s="754" t="s">
        <v>1404</v>
      </c>
      <c r="B17" s="754" t="s">
        <v>1403</v>
      </c>
      <c r="C17" s="763">
        <v>90043029</v>
      </c>
      <c r="D17" s="755">
        <v>270277</v>
      </c>
      <c r="E17" s="755">
        <v>3613432</v>
      </c>
      <c r="F17" s="773">
        <f t="shared" si="0"/>
        <v>3.8123725796443915</v>
      </c>
      <c r="G17" s="755">
        <v>28481398</v>
      </c>
      <c r="H17" s="755">
        <v>85491</v>
      </c>
      <c r="I17" s="755">
        <v>1142960</v>
      </c>
      <c r="J17" s="773">
        <f t="shared" si="1"/>
        <v>1.2058866373105552</v>
      </c>
      <c r="K17" s="763">
        <v>5946181</v>
      </c>
      <c r="L17" s="755">
        <v>17848</v>
      </c>
      <c r="M17" s="755">
        <v>238621</v>
      </c>
      <c r="N17" s="773">
        <f t="shared" si="2"/>
        <v>0.25175848260803702</v>
      </c>
      <c r="O17" s="756">
        <v>-0.79</v>
      </c>
      <c r="P17" s="756">
        <v>-0.79</v>
      </c>
      <c r="Q17" s="756">
        <v>-0.79</v>
      </c>
      <c r="R17" s="756">
        <v>-0.93</v>
      </c>
      <c r="S17" s="756">
        <v>-0.93</v>
      </c>
      <c r="T17" s="756">
        <v>-0.93</v>
      </c>
      <c r="U17" s="35"/>
      <c r="V17" s="35"/>
      <c r="W17" s="35"/>
      <c r="X17" s="35"/>
      <c r="Y17" s="35"/>
      <c r="Z17" s="35"/>
      <c r="AA17" s="35"/>
      <c r="AB17" s="35"/>
      <c r="AC17" s="35"/>
      <c r="AD17" s="35"/>
      <c r="AE17" s="35"/>
      <c r="AF17" s="35"/>
      <c r="AG17" s="35"/>
      <c r="AH17" s="35"/>
      <c r="AI17" s="35"/>
      <c r="AJ17" s="35"/>
      <c r="AK17" s="35"/>
      <c r="AL17" s="35"/>
      <c r="AM17" s="35"/>
    </row>
    <row r="18" spans="1:39" x14ac:dyDescent="0.2">
      <c r="A18" s="754" t="s">
        <v>752</v>
      </c>
      <c r="B18" s="754" t="s">
        <v>1403</v>
      </c>
      <c r="C18" s="763">
        <v>685603</v>
      </c>
      <c r="D18" s="757">
        <v>1</v>
      </c>
      <c r="E18" s="755">
        <v>23409</v>
      </c>
      <c r="F18" s="773">
        <f t="shared" si="0"/>
        <v>2.4697802453981579E-2</v>
      </c>
      <c r="G18" s="755">
        <v>8670941</v>
      </c>
      <c r="H18" s="757">
        <v>15</v>
      </c>
      <c r="I18" s="755">
        <v>296060</v>
      </c>
      <c r="J18" s="773">
        <f t="shared" si="1"/>
        <v>0.31235983572667719</v>
      </c>
      <c r="K18" s="763">
        <v>8691520</v>
      </c>
      <c r="L18" s="757">
        <v>15</v>
      </c>
      <c r="M18" s="755">
        <v>296762</v>
      </c>
      <c r="N18" s="773">
        <f t="shared" si="2"/>
        <v>0.31310048493521642</v>
      </c>
      <c r="O18" s="756">
        <v>0</v>
      </c>
      <c r="P18" s="756">
        <v>0</v>
      </c>
      <c r="Q18" s="756">
        <v>0</v>
      </c>
      <c r="R18" s="754" t="s">
        <v>1405</v>
      </c>
      <c r="S18" s="754" t="s">
        <v>1405</v>
      </c>
      <c r="T18" s="754" t="s">
        <v>1405</v>
      </c>
      <c r="U18" s="35"/>
      <c r="V18" s="35"/>
      <c r="W18" s="35"/>
      <c r="X18" s="35"/>
      <c r="Y18" s="35"/>
      <c r="Z18" s="35"/>
      <c r="AA18" s="35"/>
      <c r="AB18" s="35"/>
      <c r="AC18" s="35"/>
      <c r="AD18" s="35"/>
      <c r="AE18" s="35"/>
      <c r="AF18" s="35"/>
      <c r="AG18" s="35"/>
      <c r="AH18" s="35"/>
      <c r="AI18" s="35"/>
      <c r="AJ18" s="35"/>
      <c r="AK18" s="35"/>
      <c r="AL18" s="35"/>
      <c r="AM18" s="35"/>
    </row>
    <row r="19" spans="1:39" x14ac:dyDescent="0.2">
      <c r="A19" s="754" t="s">
        <v>1406</v>
      </c>
      <c r="B19" s="754" t="s">
        <v>1407</v>
      </c>
      <c r="C19" s="763">
        <v>26226076079</v>
      </c>
      <c r="D19" s="755">
        <v>11253009</v>
      </c>
      <c r="E19" s="755">
        <v>246226018</v>
      </c>
      <c r="F19" s="773">
        <f t="shared" si="0"/>
        <v>259.78220135821749</v>
      </c>
      <c r="G19" s="755">
        <v>24796507342</v>
      </c>
      <c r="H19" s="755">
        <v>6565330</v>
      </c>
      <c r="I19" s="755">
        <v>218272030</v>
      </c>
      <c r="J19" s="773">
        <f t="shared" si="1"/>
        <v>230.28918271474822</v>
      </c>
      <c r="K19" s="763">
        <v>24916358669</v>
      </c>
      <c r="L19" s="755">
        <v>6403983</v>
      </c>
      <c r="M19" s="755">
        <v>236401315</v>
      </c>
      <c r="N19" s="773">
        <f t="shared" si="2"/>
        <v>249.41659095781418</v>
      </c>
      <c r="O19" s="756">
        <v>0</v>
      </c>
      <c r="P19" s="756">
        <v>-0.02</v>
      </c>
      <c r="Q19" s="756">
        <v>0.08</v>
      </c>
      <c r="R19" s="756">
        <v>-0.05</v>
      </c>
      <c r="S19" s="756">
        <v>-0.43</v>
      </c>
      <c r="T19" s="756">
        <v>-0.04</v>
      </c>
      <c r="U19" s="35"/>
      <c r="V19" s="35"/>
      <c r="W19" s="35"/>
      <c r="X19" s="35"/>
      <c r="Y19" s="35"/>
      <c r="Z19" s="35"/>
      <c r="AA19" s="35"/>
      <c r="AB19" s="35"/>
      <c r="AC19" s="35"/>
      <c r="AD19" s="35"/>
      <c r="AE19" s="35"/>
      <c r="AF19" s="35"/>
      <c r="AG19" s="35"/>
      <c r="AH19" s="35"/>
      <c r="AI19" s="35"/>
      <c r="AJ19" s="35"/>
      <c r="AK19" s="35"/>
      <c r="AL19" s="35"/>
      <c r="AM19" s="35"/>
    </row>
    <row r="20" spans="1:39" x14ac:dyDescent="0.2">
      <c r="A20" s="754" t="s">
        <v>1408</v>
      </c>
      <c r="B20" s="754" t="s">
        <v>1409</v>
      </c>
      <c r="C20" s="763">
        <v>60301084</v>
      </c>
      <c r="D20" s="755">
        <v>3039660</v>
      </c>
      <c r="E20" s="755">
        <v>60012112</v>
      </c>
      <c r="F20" s="773">
        <f t="shared" si="0"/>
        <v>63.316129993686936</v>
      </c>
      <c r="G20" s="755">
        <v>113182819</v>
      </c>
      <c r="H20" s="755">
        <v>5705326</v>
      </c>
      <c r="I20" s="755">
        <v>112640429</v>
      </c>
      <c r="J20" s="773">
        <f t="shared" si="1"/>
        <v>118.84194385807757</v>
      </c>
      <c r="K20" s="763">
        <v>110953139</v>
      </c>
      <c r="L20" s="755">
        <v>5592932</v>
      </c>
      <c r="M20" s="755">
        <v>110421433</v>
      </c>
      <c r="N20" s="773">
        <f t="shared" si="2"/>
        <v>116.50077914133719</v>
      </c>
      <c r="O20" s="756">
        <v>-0.02</v>
      </c>
      <c r="P20" s="756">
        <v>-0.02</v>
      </c>
      <c r="Q20" s="756">
        <v>-0.02</v>
      </c>
      <c r="R20" s="756">
        <v>0.84</v>
      </c>
      <c r="S20" s="756">
        <v>0.84</v>
      </c>
      <c r="T20" s="756">
        <v>0.84</v>
      </c>
      <c r="U20" s="35"/>
      <c r="V20" s="35"/>
      <c r="W20" s="35"/>
      <c r="X20" s="35"/>
      <c r="Y20" s="35"/>
      <c r="Z20" s="35"/>
      <c r="AA20" s="35"/>
      <c r="AB20" s="35"/>
      <c r="AC20" s="35"/>
      <c r="AD20" s="35"/>
      <c r="AE20" s="35"/>
      <c r="AF20" s="35"/>
      <c r="AG20" s="35"/>
      <c r="AH20" s="35"/>
      <c r="AI20" s="35"/>
      <c r="AJ20" s="35"/>
      <c r="AK20" s="35"/>
      <c r="AL20" s="35"/>
      <c r="AM20" s="35"/>
    </row>
    <row r="21" spans="1:39" x14ac:dyDescent="0.2">
      <c r="A21" s="754" t="s">
        <v>1410</v>
      </c>
      <c r="B21" s="754" t="s">
        <v>1411</v>
      </c>
      <c r="C21" s="763">
        <v>7457786326</v>
      </c>
      <c r="D21" s="755">
        <v>1239372</v>
      </c>
      <c r="E21" s="755">
        <v>21449291</v>
      </c>
      <c r="F21" s="773">
        <f t="shared" si="0"/>
        <v>22.630200004099493</v>
      </c>
      <c r="G21" s="755">
        <v>5463998032</v>
      </c>
      <c r="H21" s="755">
        <v>605180</v>
      </c>
      <c r="I21" s="755">
        <v>12579142</v>
      </c>
      <c r="J21" s="773">
        <f t="shared" si="1"/>
        <v>13.271697388038051</v>
      </c>
      <c r="K21" s="763">
        <v>5318470947</v>
      </c>
      <c r="L21" s="755">
        <v>569870</v>
      </c>
      <c r="M21" s="755">
        <v>12141662</v>
      </c>
      <c r="N21" s="773">
        <f t="shared" si="2"/>
        <v>12.810131553633854</v>
      </c>
      <c r="O21" s="756">
        <v>-0.03</v>
      </c>
      <c r="P21" s="756">
        <v>-0.06</v>
      </c>
      <c r="Q21" s="756">
        <v>-0.03</v>
      </c>
      <c r="R21" s="756">
        <v>-0.28999999999999998</v>
      </c>
      <c r="S21" s="756">
        <v>-0.54</v>
      </c>
      <c r="T21" s="756">
        <v>-0.43</v>
      </c>
      <c r="U21" s="35"/>
      <c r="V21" s="35"/>
      <c r="W21" s="35"/>
      <c r="X21" s="35"/>
      <c r="Y21" s="35"/>
      <c r="Z21" s="35"/>
      <c r="AA21" s="35"/>
      <c r="AB21" s="35"/>
      <c r="AC21" s="35"/>
      <c r="AD21" s="35"/>
      <c r="AE21" s="35"/>
      <c r="AF21" s="35"/>
      <c r="AG21" s="35"/>
      <c r="AH21" s="35"/>
      <c r="AI21" s="35"/>
      <c r="AJ21" s="35"/>
      <c r="AK21" s="35"/>
      <c r="AL21" s="35"/>
      <c r="AM21" s="35"/>
    </row>
    <row r="22" spans="1:39" x14ac:dyDescent="0.2">
      <c r="A22" s="753" t="s">
        <v>1413</v>
      </c>
      <c r="B22" s="35"/>
      <c r="C22" s="428"/>
      <c r="D22" s="35"/>
      <c r="E22" s="35"/>
      <c r="F22" s="773"/>
      <c r="G22" s="35"/>
      <c r="H22" s="35"/>
      <c r="I22" s="35"/>
      <c r="J22" s="773"/>
      <c r="K22" s="428"/>
      <c r="L22" s="35"/>
      <c r="M22" s="35"/>
      <c r="N22" s="773">
        <f t="shared" si="2"/>
        <v>0</v>
      </c>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row>
    <row r="23" spans="1:39" x14ac:dyDescent="0.2">
      <c r="A23" s="754" t="s">
        <v>1400</v>
      </c>
      <c r="B23" s="754" t="s">
        <v>1403</v>
      </c>
      <c r="C23" s="763">
        <v>72520283</v>
      </c>
      <c r="D23" s="755">
        <v>196673</v>
      </c>
      <c r="E23" s="755">
        <v>2676208</v>
      </c>
      <c r="F23" s="773">
        <f t="shared" si="0"/>
        <v>2.8235489132284646</v>
      </c>
      <c r="G23" s="755">
        <v>77559117</v>
      </c>
      <c r="H23" s="755">
        <v>210338</v>
      </c>
      <c r="I23" s="755">
        <v>2862155</v>
      </c>
      <c r="J23" s="773">
        <f t="shared" si="1"/>
        <v>3.0197333838555962</v>
      </c>
      <c r="K23" s="763">
        <v>83919431</v>
      </c>
      <c r="L23" s="755">
        <v>227587</v>
      </c>
      <c r="M23" s="755">
        <v>3096869</v>
      </c>
      <c r="N23" s="773">
        <f t="shared" si="2"/>
        <v>3.2673697632474465</v>
      </c>
      <c r="O23" s="756">
        <v>0.08</v>
      </c>
      <c r="P23" s="756">
        <v>0.08</v>
      </c>
      <c r="Q23" s="756">
        <v>0.08</v>
      </c>
      <c r="R23" s="756">
        <v>0.16</v>
      </c>
      <c r="S23" s="756">
        <v>0.16</v>
      </c>
      <c r="T23" s="756">
        <v>0.16</v>
      </c>
      <c r="U23" s="35"/>
      <c r="V23" s="35"/>
      <c r="W23" s="35"/>
      <c r="X23" s="35"/>
      <c r="Y23" s="35"/>
      <c r="Z23" s="35"/>
      <c r="AA23" s="35"/>
      <c r="AB23" s="35"/>
      <c r="AC23" s="35"/>
      <c r="AD23" s="35"/>
      <c r="AE23" s="35"/>
      <c r="AF23" s="35"/>
      <c r="AG23" s="35"/>
      <c r="AH23" s="35"/>
      <c r="AI23" s="35"/>
      <c r="AJ23" s="35"/>
      <c r="AK23" s="35"/>
      <c r="AL23" s="35"/>
      <c r="AM23" s="35"/>
    </row>
    <row r="24" spans="1:39" x14ac:dyDescent="0.2">
      <c r="A24" s="754" t="s">
        <v>1402</v>
      </c>
      <c r="B24" s="754" t="s">
        <v>1403</v>
      </c>
      <c r="C24" s="763">
        <v>11333710</v>
      </c>
      <c r="D24" s="755">
        <v>32943</v>
      </c>
      <c r="E24" s="755">
        <v>441718</v>
      </c>
      <c r="F24" s="773">
        <f t="shared" si="0"/>
        <v>0.46603716110760118</v>
      </c>
      <c r="G24" s="755">
        <v>11688659</v>
      </c>
      <c r="H24" s="755">
        <v>33974</v>
      </c>
      <c r="I24" s="755">
        <v>455552</v>
      </c>
      <c r="J24" s="773">
        <f t="shared" si="1"/>
        <v>0.4806328037727462</v>
      </c>
      <c r="K24" s="763">
        <v>14276502</v>
      </c>
      <c r="L24" s="755">
        <v>41496</v>
      </c>
      <c r="M24" s="755">
        <v>556410</v>
      </c>
      <c r="N24" s="773">
        <f t="shared" si="2"/>
        <v>0.5870436269562942</v>
      </c>
      <c r="O24" s="756">
        <v>0.22</v>
      </c>
      <c r="P24" s="756">
        <v>0.22</v>
      </c>
      <c r="Q24" s="756">
        <v>0.22</v>
      </c>
      <c r="R24" s="756">
        <v>0.26</v>
      </c>
      <c r="S24" s="756">
        <v>0.26</v>
      </c>
      <c r="T24" s="756">
        <v>0.26</v>
      </c>
      <c r="U24" s="35"/>
      <c r="V24" s="35"/>
      <c r="W24" s="35"/>
      <c r="X24" s="35"/>
      <c r="Y24" s="35"/>
      <c r="Z24" s="35"/>
      <c r="AA24" s="35"/>
      <c r="AB24" s="35"/>
      <c r="AC24" s="35"/>
      <c r="AD24" s="35"/>
      <c r="AE24" s="35"/>
      <c r="AF24" s="35"/>
      <c r="AG24" s="35"/>
      <c r="AH24" s="35"/>
      <c r="AI24" s="35"/>
      <c r="AJ24" s="35"/>
      <c r="AK24" s="35"/>
      <c r="AL24" s="35"/>
      <c r="AM24" s="35"/>
    </row>
    <row r="25" spans="1:39" x14ac:dyDescent="0.2">
      <c r="A25" s="754" t="s">
        <v>1404</v>
      </c>
      <c r="B25" s="754" t="s">
        <v>1403</v>
      </c>
      <c r="C25" s="763">
        <v>6952951</v>
      </c>
      <c r="D25" s="755">
        <v>20819</v>
      </c>
      <c r="E25" s="755">
        <v>279022</v>
      </c>
      <c r="F25" s="773">
        <f t="shared" si="0"/>
        <v>0.29438379410973758</v>
      </c>
      <c r="G25" s="755">
        <v>2199279</v>
      </c>
      <c r="H25" s="755">
        <v>6585</v>
      </c>
      <c r="I25" s="755">
        <v>88257</v>
      </c>
      <c r="J25" s="773">
        <f t="shared" si="1"/>
        <v>9.3116064384683339E-2</v>
      </c>
      <c r="K25" s="763">
        <v>459153</v>
      </c>
      <c r="L25" s="755">
        <v>1375</v>
      </c>
      <c r="M25" s="755">
        <v>18426</v>
      </c>
      <c r="N25" s="773">
        <f t="shared" si="2"/>
        <v>1.9440459140376117E-2</v>
      </c>
      <c r="O25" s="756">
        <v>-0.79</v>
      </c>
      <c r="P25" s="756">
        <v>-0.79</v>
      </c>
      <c r="Q25" s="756">
        <v>-0.79</v>
      </c>
      <c r="R25" s="756">
        <v>-0.93</v>
      </c>
      <c r="S25" s="756">
        <v>-0.93</v>
      </c>
      <c r="T25" s="756">
        <v>-0.93</v>
      </c>
      <c r="U25" s="35"/>
      <c r="V25" s="35"/>
      <c r="W25" s="35"/>
      <c r="X25" s="35"/>
      <c r="Y25" s="35"/>
      <c r="Z25" s="35"/>
      <c r="AA25" s="35"/>
      <c r="AB25" s="35"/>
      <c r="AC25" s="35"/>
      <c r="AD25" s="35"/>
      <c r="AE25" s="35"/>
      <c r="AF25" s="35"/>
      <c r="AG25" s="35"/>
      <c r="AH25" s="35"/>
      <c r="AI25" s="35"/>
      <c r="AJ25" s="35"/>
      <c r="AK25" s="35"/>
      <c r="AL25" s="35"/>
      <c r="AM25" s="35"/>
    </row>
    <row r="26" spans="1:39" x14ac:dyDescent="0.2">
      <c r="A26" s="754" t="s">
        <v>752</v>
      </c>
      <c r="B26" s="754" t="s">
        <v>1403</v>
      </c>
      <c r="C26" s="763">
        <v>121709</v>
      </c>
      <c r="D26" s="757">
        <v>0</v>
      </c>
      <c r="E26" s="755">
        <v>4156</v>
      </c>
      <c r="F26" s="773">
        <f t="shared" si="0"/>
        <v>4.3848121234887202E-3</v>
      </c>
      <c r="G26" s="755">
        <v>1539277</v>
      </c>
      <c r="H26" s="757">
        <v>3</v>
      </c>
      <c r="I26" s="755">
        <v>52557</v>
      </c>
      <c r="J26" s="773">
        <f t="shared" si="1"/>
        <v>5.5450570446149344E-2</v>
      </c>
      <c r="K26" s="763">
        <v>1542930</v>
      </c>
      <c r="L26" s="757">
        <v>3</v>
      </c>
      <c r="M26" s="755">
        <v>52682</v>
      </c>
      <c r="N26" s="773">
        <f t="shared" si="2"/>
        <v>5.5582452427726838E-2</v>
      </c>
      <c r="O26" s="756">
        <v>0</v>
      </c>
      <c r="P26" s="756">
        <v>0</v>
      </c>
      <c r="Q26" s="756">
        <v>0</v>
      </c>
      <c r="R26" s="754" t="s">
        <v>1405</v>
      </c>
      <c r="S26" s="754" t="s">
        <v>1405</v>
      </c>
      <c r="T26" s="754" t="s">
        <v>1405</v>
      </c>
      <c r="U26" s="35"/>
      <c r="V26" s="35"/>
      <c r="W26" s="35"/>
      <c r="X26" s="35"/>
      <c r="Y26" s="35"/>
      <c r="Z26" s="35"/>
      <c r="AA26" s="35"/>
      <c r="AB26" s="35"/>
      <c r="AC26" s="35"/>
      <c r="AD26" s="35"/>
      <c r="AE26" s="35"/>
      <c r="AF26" s="35"/>
      <c r="AG26" s="35"/>
      <c r="AH26" s="35"/>
      <c r="AI26" s="35"/>
      <c r="AJ26" s="35"/>
      <c r="AK26" s="35"/>
      <c r="AL26" s="35"/>
      <c r="AM26" s="35"/>
    </row>
    <row r="27" spans="1:39" x14ac:dyDescent="0.2">
      <c r="A27" s="754" t="s">
        <v>1406</v>
      </c>
      <c r="B27" s="754" t="s">
        <v>1407</v>
      </c>
      <c r="C27" s="763">
        <v>8779889926</v>
      </c>
      <c r="D27" s="755">
        <v>3767250</v>
      </c>
      <c r="E27" s="755">
        <v>82430834</v>
      </c>
      <c r="F27" s="773">
        <f t="shared" si="0"/>
        <v>86.96913384804769</v>
      </c>
      <c r="G27" s="755">
        <v>8933385640</v>
      </c>
      <c r="H27" s="755">
        <v>2365278</v>
      </c>
      <c r="I27" s="755">
        <v>78636406</v>
      </c>
      <c r="J27" s="773">
        <f t="shared" si="1"/>
        <v>82.965800379302479</v>
      </c>
      <c r="K27" s="763">
        <v>9030045419</v>
      </c>
      <c r="L27" s="755">
        <v>2320895</v>
      </c>
      <c r="M27" s="755">
        <v>85675224</v>
      </c>
      <c r="N27" s="773">
        <f t="shared" si="2"/>
        <v>90.392146505729471</v>
      </c>
      <c r="O27" s="756">
        <v>0.01</v>
      </c>
      <c r="P27" s="756">
        <v>-0.02</v>
      </c>
      <c r="Q27" s="756">
        <v>0.09</v>
      </c>
      <c r="R27" s="756">
        <v>0.03</v>
      </c>
      <c r="S27" s="756">
        <v>-0.38</v>
      </c>
      <c r="T27" s="756">
        <v>0.04</v>
      </c>
      <c r="U27" s="35"/>
      <c r="V27" s="35"/>
      <c r="W27" s="35"/>
      <c r="X27" s="35"/>
      <c r="Y27" s="35"/>
      <c r="Z27" s="35"/>
      <c r="AA27" s="35"/>
      <c r="AB27" s="35"/>
      <c r="AC27" s="35"/>
      <c r="AD27" s="35"/>
      <c r="AE27" s="35"/>
      <c r="AF27" s="35"/>
      <c r="AG27" s="35"/>
      <c r="AH27" s="35"/>
      <c r="AI27" s="35"/>
      <c r="AJ27" s="35"/>
      <c r="AK27" s="35"/>
      <c r="AL27" s="35"/>
      <c r="AM27" s="35"/>
    </row>
    <row r="28" spans="1:39" x14ac:dyDescent="0.2">
      <c r="A28" s="754" t="s">
        <v>1408</v>
      </c>
      <c r="B28" s="754" t="s">
        <v>1409</v>
      </c>
      <c r="C28" s="763">
        <v>18090325</v>
      </c>
      <c r="D28" s="755">
        <v>910089</v>
      </c>
      <c r="E28" s="755">
        <v>18003634</v>
      </c>
      <c r="F28" s="773">
        <f t="shared" si="0"/>
        <v>18.994839420128418</v>
      </c>
      <c r="G28" s="755">
        <v>26874908</v>
      </c>
      <c r="H28" s="755">
        <v>1352024</v>
      </c>
      <c r="I28" s="755">
        <v>26746119</v>
      </c>
      <c r="J28" s="773">
        <f t="shared" si="1"/>
        <v>28.218649385820981</v>
      </c>
      <c r="K28" s="763">
        <v>26789018</v>
      </c>
      <c r="L28" s="755">
        <v>1347703</v>
      </c>
      <c r="M28" s="755">
        <v>26660640</v>
      </c>
      <c r="N28" s="773">
        <f t="shared" si="2"/>
        <v>28.128464266594875</v>
      </c>
      <c r="O28" s="756">
        <v>0</v>
      </c>
      <c r="P28" s="756">
        <v>0</v>
      </c>
      <c r="Q28" s="756">
        <v>0</v>
      </c>
      <c r="R28" s="756">
        <v>0.48</v>
      </c>
      <c r="S28" s="756">
        <v>0.48</v>
      </c>
      <c r="T28" s="756">
        <v>0.48</v>
      </c>
      <c r="U28" s="35"/>
      <c r="V28" s="35"/>
      <c r="W28" s="35"/>
      <c r="X28" s="35"/>
      <c r="Y28" s="35"/>
      <c r="Z28" s="35"/>
      <c r="AA28" s="35"/>
      <c r="AB28" s="35"/>
      <c r="AC28" s="35"/>
      <c r="AD28" s="35"/>
      <c r="AE28" s="35"/>
      <c r="AF28" s="35"/>
      <c r="AG28" s="35"/>
      <c r="AH28" s="35"/>
      <c r="AI28" s="35"/>
      <c r="AJ28" s="35"/>
      <c r="AK28" s="35"/>
      <c r="AL28" s="35"/>
      <c r="AM28" s="35"/>
    </row>
    <row r="29" spans="1:39" x14ac:dyDescent="0.2">
      <c r="A29" s="754" t="s">
        <v>1410</v>
      </c>
      <c r="B29" s="754" t="s">
        <v>1411</v>
      </c>
      <c r="C29" s="763">
        <v>2237335898</v>
      </c>
      <c r="D29" s="755">
        <v>371812</v>
      </c>
      <c r="E29" s="755">
        <v>6434787</v>
      </c>
      <c r="F29" s="773">
        <f t="shared" si="0"/>
        <v>6.7890596847130915</v>
      </c>
      <c r="G29" s="755">
        <v>1639199412</v>
      </c>
      <c r="H29" s="755">
        <v>181554</v>
      </c>
      <c r="I29" s="755">
        <v>3773743</v>
      </c>
      <c r="J29" s="773">
        <f t="shared" si="1"/>
        <v>3.9815096384337565</v>
      </c>
      <c r="K29" s="763">
        <v>1595541286</v>
      </c>
      <c r="L29" s="755">
        <v>170961</v>
      </c>
      <c r="M29" s="755">
        <v>3642499</v>
      </c>
      <c r="N29" s="773">
        <f t="shared" si="2"/>
        <v>3.8430398881124974</v>
      </c>
      <c r="O29" s="756">
        <v>-0.03</v>
      </c>
      <c r="P29" s="756">
        <v>-0.06</v>
      </c>
      <c r="Q29" s="756">
        <v>-0.03</v>
      </c>
      <c r="R29" s="756">
        <v>-0.28999999999999998</v>
      </c>
      <c r="S29" s="756">
        <v>-0.54</v>
      </c>
      <c r="T29" s="756">
        <v>-0.43</v>
      </c>
      <c r="U29" s="35"/>
      <c r="V29" s="35"/>
      <c r="W29" s="35"/>
      <c r="X29" s="35"/>
      <c r="Y29" s="35"/>
      <c r="Z29" s="35"/>
      <c r="AA29" s="35"/>
      <c r="AB29" s="35"/>
      <c r="AC29" s="35"/>
      <c r="AD29" s="35"/>
      <c r="AE29" s="35"/>
      <c r="AF29" s="35"/>
      <c r="AG29" s="35"/>
      <c r="AH29" s="35"/>
      <c r="AI29" s="35"/>
      <c r="AJ29" s="35"/>
      <c r="AK29" s="35"/>
      <c r="AL29" s="35"/>
      <c r="AM29" s="35"/>
    </row>
    <row r="30" spans="1:39" x14ac:dyDescent="0.2">
      <c r="A30" s="753" t="s">
        <v>1414</v>
      </c>
      <c r="B30" s="35"/>
      <c r="C30" s="428"/>
      <c r="D30" s="35"/>
      <c r="E30" s="35"/>
      <c r="F30" s="773">
        <f t="shared" si="0"/>
        <v>0</v>
      </c>
      <c r="G30" s="35"/>
      <c r="H30" s="35"/>
      <c r="I30" s="35"/>
      <c r="J30" s="773">
        <f t="shared" si="1"/>
        <v>0</v>
      </c>
      <c r="K30" s="428"/>
      <c r="L30" s="35"/>
      <c r="M30" s="35"/>
      <c r="N30" s="773"/>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row>
    <row r="31" spans="1:39" x14ac:dyDescent="0.2">
      <c r="A31" s="754" t="s">
        <v>1415</v>
      </c>
      <c r="B31" s="754" t="s">
        <v>1409</v>
      </c>
      <c r="C31" s="763">
        <v>442833</v>
      </c>
      <c r="D31" s="755">
        <v>207588</v>
      </c>
      <c r="E31" s="754" t="s">
        <v>1416</v>
      </c>
      <c r="F31" s="773"/>
      <c r="G31" s="755">
        <v>560457</v>
      </c>
      <c r="H31" s="755">
        <v>262728</v>
      </c>
      <c r="I31" s="754" t="s">
        <v>1416</v>
      </c>
      <c r="J31" s="773"/>
      <c r="K31" s="763">
        <v>551495</v>
      </c>
      <c r="L31" s="755">
        <v>258527</v>
      </c>
      <c r="M31" s="754" t="s">
        <v>1416</v>
      </c>
      <c r="N31" s="773"/>
      <c r="O31" s="756">
        <v>-0.02</v>
      </c>
      <c r="P31" s="756">
        <v>-0.02</v>
      </c>
      <c r="Q31" s="756">
        <v>0</v>
      </c>
      <c r="R31" s="756">
        <v>0.25</v>
      </c>
      <c r="S31" s="756">
        <v>0.25</v>
      </c>
      <c r="T31" s="756">
        <v>0</v>
      </c>
      <c r="U31" s="35"/>
      <c r="V31" s="35"/>
      <c r="W31" s="35"/>
      <c r="X31" s="35"/>
      <c r="Y31" s="35"/>
      <c r="Z31" s="35"/>
      <c r="AA31" s="35"/>
      <c r="AB31" s="35"/>
      <c r="AC31" s="35"/>
      <c r="AD31" s="35"/>
      <c r="AE31" s="35"/>
      <c r="AF31" s="35"/>
      <c r="AG31" s="35"/>
      <c r="AH31" s="35"/>
      <c r="AI31" s="35"/>
      <c r="AJ31" s="35"/>
      <c r="AK31" s="35"/>
      <c r="AL31" s="35"/>
      <c r="AM31" s="35"/>
    </row>
    <row r="32" spans="1:39" x14ac:dyDescent="0.2">
      <c r="A32" s="753" t="s">
        <v>741</v>
      </c>
      <c r="B32" s="35"/>
      <c r="C32" s="428"/>
      <c r="D32" s="35"/>
      <c r="E32" s="35"/>
      <c r="F32" s="773"/>
      <c r="G32" s="35"/>
      <c r="H32" s="35"/>
      <c r="I32" s="35"/>
      <c r="J32" s="773"/>
      <c r="K32" s="428"/>
      <c r="L32" s="35"/>
      <c r="M32" s="35"/>
      <c r="N32" s="773"/>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row>
    <row r="33" spans="1:39" x14ac:dyDescent="0.2">
      <c r="A33" s="753" t="s">
        <v>1417</v>
      </c>
      <c r="B33" s="35"/>
      <c r="C33" s="428"/>
      <c r="D33" s="35"/>
      <c r="E33" s="35"/>
      <c r="F33" s="773"/>
      <c r="G33" s="35"/>
      <c r="H33" s="35"/>
      <c r="I33" s="35"/>
      <c r="J33" s="773"/>
      <c r="K33" s="428"/>
      <c r="L33" s="35"/>
      <c r="M33" s="35"/>
      <c r="N33" s="773"/>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row>
    <row r="34" spans="1:39" x14ac:dyDescent="0.2">
      <c r="A34" s="754" t="s">
        <v>1418</v>
      </c>
      <c r="B34" s="754" t="s">
        <v>1230</v>
      </c>
      <c r="C34" s="763">
        <v>19318051038</v>
      </c>
      <c r="D34" s="755">
        <v>12881945</v>
      </c>
      <c r="E34" s="755">
        <v>192791648</v>
      </c>
      <c r="F34" s="773">
        <f t="shared" si="0"/>
        <v>203.40595655865494</v>
      </c>
      <c r="G34" s="755">
        <v>19959361647</v>
      </c>
      <c r="H34" s="755">
        <v>12431643</v>
      </c>
      <c r="I34" s="755">
        <v>188141550</v>
      </c>
      <c r="J34" s="773">
        <f t="shared" si="1"/>
        <v>198.49984344849835</v>
      </c>
      <c r="K34" s="763">
        <v>20031919734</v>
      </c>
      <c r="L34" s="755">
        <v>12379304</v>
      </c>
      <c r="M34" s="755">
        <v>187598017</v>
      </c>
      <c r="N34" s="773">
        <f t="shared" si="2"/>
        <v>197.92638577575627</v>
      </c>
      <c r="O34" s="756">
        <v>0</v>
      </c>
      <c r="P34" s="756">
        <v>0</v>
      </c>
      <c r="Q34" s="756">
        <v>0</v>
      </c>
      <c r="R34" s="756">
        <v>0.04</v>
      </c>
      <c r="S34" s="756">
        <v>-0.04</v>
      </c>
      <c r="T34" s="756">
        <v>-0.03</v>
      </c>
      <c r="U34" s="35"/>
      <c r="V34" s="35"/>
      <c r="W34" s="35"/>
      <c r="X34" s="35"/>
      <c r="Y34" s="35"/>
      <c r="Z34" s="35"/>
      <c r="AA34" s="35"/>
      <c r="AB34" s="35"/>
      <c r="AC34" s="35"/>
      <c r="AD34" s="35"/>
      <c r="AE34" s="35"/>
      <c r="AF34" s="35"/>
      <c r="AG34" s="35"/>
      <c r="AH34" s="35"/>
      <c r="AI34" s="35"/>
      <c r="AJ34" s="35"/>
      <c r="AK34" s="35"/>
      <c r="AL34" s="35"/>
      <c r="AM34" s="35"/>
    </row>
    <row r="35" spans="1:39" x14ac:dyDescent="0.2">
      <c r="A35" s="754" t="s">
        <v>1419</v>
      </c>
      <c r="B35" s="754" t="s">
        <v>1230</v>
      </c>
      <c r="C35" s="763">
        <v>487628577</v>
      </c>
      <c r="D35" s="755">
        <v>387786</v>
      </c>
      <c r="E35" s="755">
        <v>5670969</v>
      </c>
      <c r="F35" s="775">
        <f t="shared" si="0"/>
        <v>5.9831890334765889</v>
      </c>
      <c r="G35" s="755">
        <v>503816344</v>
      </c>
      <c r="H35" s="755">
        <v>399075</v>
      </c>
      <c r="I35" s="755">
        <v>5869409</v>
      </c>
      <c r="J35" s="773">
        <f t="shared" si="1"/>
        <v>6.1925543168705008</v>
      </c>
      <c r="K35" s="763">
        <v>505647835</v>
      </c>
      <c r="L35" s="755">
        <v>401210</v>
      </c>
      <c r="M35" s="755">
        <v>5896144</v>
      </c>
      <c r="N35" s="775">
        <f t="shared" si="2"/>
        <v>6.220761235090297</v>
      </c>
      <c r="O35" s="756">
        <v>0</v>
      </c>
      <c r="P35" s="756">
        <v>0.01</v>
      </c>
      <c r="Q35" s="756">
        <v>0</v>
      </c>
      <c r="R35" s="756">
        <v>0.04</v>
      </c>
      <c r="S35" s="756">
        <v>0.03</v>
      </c>
      <c r="T35" s="756">
        <v>0.04</v>
      </c>
      <c r="U35" s="35"/>
      <c r="V35" s="35"/>
      <c r="W35" s="35"/>
      <c r="X35" s="35"/>
      <c r="Y35" s="35"/>
      <c r="Z35" s="35"/>
      <c r="AA35" s="35"/>
      <c r="AB35" s="35"/>
      <c r="AC35" s="35"/>
      <c r="AD35" s="35"/>
      <c r="AE35" s="35"/>
      <c r="AF35" s="35"/>
      <c r="AG35" s="35"/>
      <c r="AH35" s="35"/>
      <c r="AI35" s="35"/>
      <c r="AJ35" s="35"/>
      <c r="AK35" s="35"/>
      <c r="AL35" s="35"/>
      <c r="AM35" s="35"/>
    </row>
    <row r="36" spans="1:39" x14ac:dyDescent="0.2">
      <c r="A36" s="754" t="s">
        <v>1420</v>
      </c>
      <c r="B36" s="754" t="s">
        <v>1230</v>
      </c>
      <c r="C36" s="763">
        <v>632294047</v>
      </c>
      <c r="D36" s="755">
        <v>1419991</v>
      </c>
      <c r="E36" s="755">
        <v>19772771</v>
      </c>
      <c r="F36" s="773">
        <f t="shared" si="0"/>
        <v>20.861377766065008</v>
      </c>
      <c r="G36" s="755">
        <v>653284152</v>
      </c>
      <c r="H36" s="755">
        <v>1461692</v>
      </c>
      <c r="I36" s="755">
        <v>20334624</v>
      </c>
      <c r="J36" s="773">
        <f t="shared" si="1"/>
        <v>21.454164062027115</v>
      </c>
      <c r="K36" s="763">
        <v>655658982</v>
      </c>
      <c r="L36" s="755">
        <v>1466398</v>
      </c>
      <c r="M36" s="755">
        <v>20398002</v>
      </c>
      <c r="N36" s="773">
        <f t="shared" si="2"/>
        <v>21.521031391854464</v>
      </c>
      <c r="O36" s="756">
        <v>0</v>
      </c>
      <c r="P36" s="756">
        <v>0</v>
      </c>
      <c r="Q36" s="756">
        <v>0</v>
      </c>
      <c r="R36" s="756">
        <v>0.04</v>
      </c>
      <c r="S36" s="756">
        <v>0.03</v>
      </c>
      <c r="T36" s="756">
        <v>0.03</v>
      </c>
      <c r="U36" s="35"/>
      <c r="V36" s="35"/>
      <c r="W36" s="35"/>
      <c r="X36" s="35"/>
      <c r="Y36" s="35"/>
      <c r="Z36" s="35"/>
      <c r="AA36" s="35"/>
      <c r="AB36" s="35"/>
      <c r="AC36" s="35"/>
      <c r="AD36" s="35"/>
      <c r="AE36" s="35"/>
      <c r="AF36" s="35"/>
      <c r="AG36" s="35"/>
      <c r="AH36" s="35"/>
      <c r="AI36" s="35"/>
      <c r="AJ36" s="35"/>
      <c r="AK36" s="35"/>
      <c r="AL36" s="35"/>
      <c r="AM36" s="35"/>
    </row>
    <row r="37" spans="1:39" x14ac:dyDescent="0.2">
      <c r="A37" s="754" t="s">
        <v>1204</v>
      </c>
      <c r="B37" s="754" t="s">
        <v>1230</v>
      </c>
      <c r="C37" s="763">
        <v>346001787</v>
      </c>
      <c r="D37" s="755">
        <v>687896</v>
      </c>
      <c r="E37" s="755">
        <v>9548307</v>
      </c>
      <c r="F37" s="773">
        <f t="shared" si="0"/>
        <v>10.073997182962515</v>
      </c>
      <c r="G37" s="755">
        <v>294114348</v>
      </c>
      <c r="H37" s="755">
        <v>571213</v>
      </c>
      <c r="I37" s="755">
        <v>8215958</v>
      </c>
      <c r="J37" s="773">
        <f t="shared" si="1"/>
        <v>8.6682945727801091</v>
      </c>
      <c r="K37" s="763">
        <v>305464091</v>
      </c>
      <c r="L37" s="755">
        <v>586859</v>
      </c>
      <c r="M37" s="755">
        <v>8633174</v>
      </c>
      <c r="N37" s="773">
        <f t="shared" si="2"/>
        <v>9.1084807553868163</v>
      </c>
      <c r="O37" s="756">
        <v>0.04</v>
      </c>
      <c r="P37" s="756">
        <v>0.03</v>
      </c>
      <c r="Q37" s="756">
        <v>0.05</v>
      </c>
      <c r="R37" s="756">
        <v>-0.12</v>
      </c>
      <c r="S37" s="756">
        <v>-0.15</v>
      </c>
      <c r="T37" s="756">
        <v>-0.1</v>
      </c>
      <c r="U37" s="35"/>
      <c r="V37" s="35"/>
      <c r="W37" s="35"/>
      <c r="X37" s="35"/>
      <c r="Y37" s="35"/>
      <c r="Z37" s="35"/>
      <c r="AA37" s="35"/>
      <c r="AB37" s="35"/>
      <c r="AC37" s="35"/>
      <c r="AD37" s="35"/>
      <c r="AE37" s="35"/>
      <c r="AF37" s="35"/>
      <c r="AG37" s="35"/>
      <c r="AH37" s="35"/>
      <c r="AI37" s="35"/>
      <c r="AJ37" s="35"/>
      <c r="AK37" s="35"/>
      <c r="AL37" s="35"/>
      <c r="AM37" s="35"/>
    </row>
    <row r="38" spans="1:39" x14ac:dyDescent="0.2">
      <c r="A38" s="753" t="s">
        <v>1421</v>
      </c>
      <c r="B38" s="35"/>
      <c r="C38" s="428"/>
      <c r="D38" s="35"/>
      <c r="E38" s="35"/>
      <c r="F38" s="773"/>
      <c r="G38" s="35"/>
      <c r="H38" s="35"/>
      <c r="I38" s="35"/>
      <c r="J38" s="773">
        <f t="shared" si="1"/>
        <v>0</v>
      </c>
      <c r="K38" s="428"/>
      <c r="L38" s="35"/>
      <c r="M38" s="35"/>
      <c r="N38" s="773">
        <f t="shared" si="2"/>
        <v>0</v>
      </c>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row>
    <row r="39" spans="1:39" x14ac:dyDescent="0.2">
      <c r="A39" s="754" t="s">
        <v>1422</v>
      </c>
      <c r="B39" s="754" t="s">
        <v>1407</v>
      </c>
      <c r="C39" s="763">
        <v>2223041708</v>
      </c>
      <c r="D39" s="755">
        <v>953856</v>
      </c>
      <c r="E39" s="755">
        <v>20871239</v>
      </c>
      <c r="F39" s="773">
        <f t="shared" si="0"/>
        <v>22.020322858380798</v>
      </c>
      <c r="G39" s="755">
        <v>2154131108</v>
      </c>
      <c r="H39" s="755">
        <v>570346</v>
      </c>
      <c r="I39" s="755">
        <v>18961806</v>
      </c>
      <c r="J39" s="773">
        <f t="shared" si="1"/>
        <v>20.005764396545029</v>
      </c>
      <c r="K39" s="763">
        <v>2163557443</v>
      </c>
      <c r="L39" s="755">
        <v>556076</v>
      </c>
      <c r="M39" s="755">
        <v>20527391</v>
      </c>
      <c r="N39" s="773">
        <f t="shared" si="2"/>
        <v>21.657544013569112</v>
      </c>
      <c r="O39" s="756">
        <v>0</v>
      </c>
      <c r="P39" s="756">
        <v>-0.03</v>
      </c>
      <c r="Q39" s="756">
        <v>0.08</v>
      </c>
      <c r="R39" s="756">
        <v>-0.03</v>
      </c>
      <c r="S39" s="756">
        <v>-0.42</v>
      </c>
      <c r="T39" s="756">
        <v>-0.02</v>
      </c>
      <c r="U39" s="35"/>
      <c r="V39" s="35"/>
      <c r="W39" s="35"/>
      <c r="X39" s="35"/>
      <c r="Y39" s="35"/>
      <c r="Z39" s="35"/>
      <c r="AA39" s="35"/>
      <c r="AB39" s="35"/>
      <c r="AC39" s="35"/>
      <c r="AD39" s="35"/>
      <c r="AE39" s="35"/>
      <c r="AF39" s="35"/>
      <c r="AG39" s="35"/>
      <c r="AH39" s="35"/>
      <c r="AI39" s="35"/>
      <c r="AJ39" s="35"/>
      <c r="AK39" s="35"/>
      <c r="AL39" s="35"/>
      <c r="AM39" s="35"/>
    </row>
    <row r="40" spans="1:39" x14ac:dyDescent="0.2">
      <c r="A40" s="754" t="s">
        <v>1423</v>
      </c>
      <c r="B40" s="754" t="s">
        <v>1403</v>
      </c>
      <c r="C40" s="763">
        <v>5207218</v>
      </c>
      <c r="D40" s="755">
        <v>14098</v>
      </c>
      <c r="E40" s="755">
        <v>192691</v>
      </c>
      <c r="F40" s="773">
        <f t="shared" si="0"/>
        <v>0.20329976729720042</v>
      </c>
      <c r="G40" s="755">
        <v>5470547</v>
      </c>
      <c r="H40" s="755">
        <v>14811</v>
      </c>
      <c r="I40" s="755">
        <v>202435</v>
      </c>
      <c r="J40" s="773">
        <f t="shared" si="1"/>
        <v>0.2135802315251297</v>
      </c>
      <c r="K40" s="763">
        <v>5452200</v>
      </c>
      <c r="L40" s="755">
        <v>14761</v>
      </c>
      <c r="M40" s="755">
        <v>201756</v>
      </c>
      <c r="N40" s="773">
        <f t="shared" si="2"/>
        <v>0.21286384860120072</v>
      </c>
      <c r="O40" s="756">
        <v>0</v>
      </c>
      <c r="P40" s="756">
        <v>0</v>
      </c>
      <c r="Q40" s="756">
        <v>0</v>
      </c>
      <c r="R40" s="756">
        <v>0.05</v>
      </c>
      <c r="S40" s="756">
        <v>0.05</v>
      </c>
      <c r="T40" s="756">
        <v>0.05</v>
      </c>
      <c r="U40" s="35"/>
      <c r="V40" s="35"/>
      <c r="W40" s="35"/>
      <c r="X40" s="35"/>
      <c r="Y40" s="35"/>
      <c r="Z40" s="35"/>
      <c r="AA40" s="35"/>
      <c r="AB40" s="35"/>
      <c r="AC40" s="35"/>
      <c r="AD40" s="35"/>
      <c r="AE40" s="35"/>
      <c r="AF40" s="35"/>
      <c r="AG40" s="35"/>
      <c r="AH40" s="35"/>
      <c r="AI40" s="35"/>
      <c r="AJ40" s="35"/>
      <c r="AK40" s="35"/>
      <c r="AL40" s="35"/>
      <c r="AM40" s="35"/>
    </row>
    <row r="41" spans="1:39" x14ac:dyDescent="0.2">
      <c r="A41" s="753" t="s">
        <v>1424</v>
      </c>
      <c r="B41" s="35"/>
      <c r="C41" s="428"/>
      <c r="D41" s="35"/>
      <c r="E41" s="35"/>
      <c r="F41" s="773"/>
      <c r="G41" s="35"/>
      <c r="H41" s="35"/>
      <c r="I41" s="35"/>
      <c r="J41" s="773">
        <f t="shared" si="1"/>
        <v>0</v>
      </c>
      <c r="K41" s="428"/>
      <c r="L41" s="35"/>
      <c r="M41" s="35"/>
      <c r="N41" s="773">
        <f t="shared" si="2"/>
        <v>0</v>
      </c>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row>
    <row r="42" spans="1:39" x14ac:dyDescent="0.2">
      <c r="A42" s="754" t="s">
        <v>1425</v>
      </c>
      <c r="B42" s="754" t="s">
        <v>1403</v>
      </c>
      <c r="C42" s="763">
        <v>18247504</v>
      </c>
      <c r="D42" s="755">
        <v>49962</v>
      </c>
      <c r="E42" s="755">
        <v>673386</v>
      </c>
      <c r="F42" s="773">
        <f t="shared" si="0"/>
        <v>0.71045984037237131</v>
      </c>
      <c r="G42" s="755">
        <v>14092419</v>
      </c>
      <c r="H42" s="755">
        <v>38585</v>
      </c>
      <c r="I42" s="755">
        <v>520051</v>
      </c>
      <c r="J42" s="773">
        <f t="shared" si="1"/>
        <v>0.54868285121088356</v>
      </c>
      <c r="K42" s="763">
        <f>5377481/0.264</f>
        <v>20369246.212121211</v>
      </c>
      <c r="L42" s="755">
        <v>69110</v>
      </c>
      <c r="M42" s="755">
        <v>931467</v>
      </c>
      <c r="N42" s="773">
        <f t="shared" si="2"/>
        <v>0.98274970987239352</v>
      </c>
      <c r="O42" s="756">
        <v>0.79</v>
      </c>
      <c r="P42" s="756">
        <v>0.79</v>
      </c>
      <c r="Q42" s="756">
        <v>0.79</v>
      </c>
      <c r="R42" s="756">
        <v>0.38</v>
      </c>
      <c r="S42" s="756">
        <v>0.38</v>
      </c>
      <c r="T42" s="756">
        <v>0.38</v>
      </c>
      <c r="U42" s="35"/>
      <c r="V42" s="35"/>
      <c r="W42" s="35"/>
      <c r="X42" s="35"/>
      <c r="Y42" s="35"/>
      <c r="Z42" s="35"/>
      <c r="AA42" s="35"/>
      <c r="AB42" s="35"/>
      <c r="AC42" s="35"/>
      <c r="AD42" s="35"/>
      <c r="AE42" s="35"/>
      <c r="AF42" s="35"/>
      <c r="AG42" s="35"/>
      <c r="AH42" s="35"/>
      <c r="AI42" s="35"/>
      <c r="AJ42" s="35"/>
      <c r="AK42" s="35"/>
      <c r="AL42" s="35"/>
      <c r="AM42" s="35"/>
    </row>
    <row r="43" spans="1:39" x14ac:dyDescent="0.2">
      <c r="A43" s="754"/>
      <c r="B43" s="754" t="s">
        <v>11</v>
      </c>
      <c r="C43" s="769">
        <f>C42*48/10^9</f>
        <v>0.875880192</v>
      </c>
      <c r="D43" s="770"/>
      <c r="E43" s="770"/>
      <c r="F43" s="773"/>
      <c r="G43" s="770"/>
      <c r="H43" s="770"/>
      <c r="I43" s="770"/>
      <c r="J43" s="773"/>
      <c r="K43" s="769">
        <f>K42*48/10^9</f>
        <v>0.97772381818181808</v>
      </c>
      <c r="L43" s="768"/>
      <c r="M43" s="768"/>
      <c r="N43" s="773"/>
      <c r="O43" s="768"/>
      <c r="P43" s="768"/>
      <c r="Q43" s="768"/>
      <c r="R43" s="768"/>
      <c r="S43" s="768"/>
      <c r="T43" s="768"/>
      <c r="U43" s="666"/>
      <c r="V43" s="35"/>
      <c r="W43" s="35"/>
      <c r="X43" s="35"/>
      <c r="Y43" s="35"/>
      <c r="Z43" s="35"/>
      <c r="AA43" s="35"/>
      <c r="AB43" s="35"/>
      <c r="AC43" s="35"/>
      <c r="AD43" s="35"/>
      <c r="AE43" s="35"/>
      <c r="AF43" s="35"/>
      <c r="AG43" s="35"/>
      <c r="AH43" s="35"/>
      <c r="AI43" s="35"/>
      <c r="AJ43" s="35"/>
      <c r="AK43" s="35"/>
      <c r="AL43" s="35"/>
      <c r="AM43" s="35"/>
    </row>
    <row r="44" spans="1:39" x14ac:dyDescent="0.2">
      <c r="A44" s="754"/>
      <c r="B44" s="754" t="s">
        <v>1426</v>
      </c>
      <c r="C44" s="769">
        <f>C43*TechData!K33</f>
        <v>1.6792503530572207</v>
      </c>
      <c r="D44" s="770"/>
      <c r="E44" s="770"/>
      <c r="F44" s="774"/>
      <c r="G44" s="770"/>
      <c r="H44" s="770"/>
      <c r="I44" s="770"/>
      <c r="J44" s="773"/>
      <c r="K44" s="769">
        <f>K43*TechData!K33</f>
        <v>1.87450644719486</v>
      </c>
      <c r="L44" s="768"/>
      <c r="M44" s="768"/>
      <c r="N44" s="773"/>
      <c r="O44" s="768"/>
      <c r="P44" s="768"/>
      <c r="Q44" s="768"/>
      <c r="R44" s="768"/>
      <c r="S44" s="768"/>
      <c r="T44" s="768"/>
      <c r="U44" s="666"/>
      <c r="V44" s="35"/>
      <c r="W44" s="35"/>
      <c r="X44" s="35"/>
      <c r="Y44" s="35"/>
      <c r="Z44" s="35"/>
      <c r="AA44" s="35"/>
      <c r="AB44" s="35"/>
      <c r="AC44" s="35"/>
      <c r="AD44" s="35"/>
      <c r="AE44" s="35"/>
      <c r="AF44" s="35"/>
      <c r="AG44" s="35"/>
      <c r="AH44" s="35"/>
      <c r="AI44" s="35"/>
      <c r="AJ44" s="35"/>
      <c r="AK44" s="35"/>
      <c r="AL44" s="35"/>
      <c r="AM44" s="35"/>
    </row>
    <row r="45" spans="1:39" x14ac:dyDescent="0.2">
      <c r="A45" s="754" t="s">
        <v>752</v>
      </c>
      <c r="B45" s="754" t="s">
        <v>1403</v>
      </c>
      <c r="C45" s="764" t="s">
        <v>1416</v>
      </c>
      <c r="D45" s="754" t="s">
        <v>1416</v>
      </c>
      <c r="E45" s="754" t="s">
        <v>1416</v>
      </c>
      <c r="F45" s="774"/>
      <c r="G45" s="754" t="s">
        <v>1416</v>
      </c>
      <c r="H45" s="754" t="s">
        <v>1416</v>
      </c>
      <c r="I45" s="754" t="s">
        <v>1416</v>
      </c>
      <c r="J45" s="773"/>
      <c r="K45" s="763">
        <v>45333</v>
      </c>
      <c r="L45" s="758">
        <v>0.1</v>
      </c>
      <c r="M45" s="755">
        <v>1548</v>
      </c>
      <c r="N45" s="773"/>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row>
    <row r="46" spans="1:39" x14ac:dyDescent="0.2">
      <c r="A46" s="754" t="s">
        <v>1427</v>
      </c>
      <c r="B46" s="754" t="s">
        <v>1403</v>
      </c>
      <c r="C46" s="764" t="s">
        <v>1416</v>
      </c>
      <c r="D46" s="754" t="s">
        <v>1416</v>
      </c>
      <c r="E46" s="754" t="s">
        <v>1416</v>
      </c>
      <c r="F46" s="774"/>
      <c r="G46" s="754" t="s">
        <v>1416</v>
      </c>
      <c r="H46" s="754" t="s">
        <v>1416</v>
      </c>
      <c r="I46" s="754" t="s">
        <v>1416</v>
      </c>
      <c r="J46" s="773"/>
      <c r="K46" s="763">
        <v>8718</v>
      </c>
      <c r="L46" s="757">
        <v>21</v>
      </c>
      <c r="M46" s="757">
        <v>291</v>
      </c>
      <c r="N46" s="773"/>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row>
    <row r="47" spans="1:39" x14ac:dyDescent="0.2">
      <c r="A47" s="753" t="s">
        <v>1428</v>
      </c>
      <c r="B47" s="35"/>
      <c r="C47" s="428"/>
      <c r="D47" s="35"/>
      <c r="E47" s="35"/>
      <c r="F47" s="774"/>
      <c r="G47" s="35"/>
      <c r="H47" s="35"/>
      <c r="I47" s="35"/>
      <c r="J47" s="773"/>
      <c r="K47" s="428"/>
      <c r="L47" s="35"/>
      <c r="M47" s="35"/>
      <c r="N47" s="773"/>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row>
    <row r="48" spans="1:39" x14ac:dyDescent="0.2">
      <c r="A48" s="754" t="s">
        <v>1429</v>
      </c>
      <c r="B48" s="754" t="s">
        <v>1403</v>
      </c>
      <c r="C48" s="763">
        <v>933093</v>
      </c>
      <c r="D48" s="755">
        <v>2426</v>
      </c>
      <c r="E48" s="755">
        <v>33610</v>
      </c>
      <c r="F48" s="774">
        <f t="shared" si="0"/>
        <v>3.5460427206558197E-2</v>
      </c>
      <c r="G48" s="755">
        <v>898529</v>
      </c>
      <c r="H48" s="755">
        <v>2336</v>
      </c>
      <c r="I48" s="755">
        <v>32365</v>
      </c>
      <c r="J48" s="773">
        <f t="shared" si="1"/>
        <v>3.41468826700463E-2</v>
      </c>
      <c r="K48" s="763">
        <v>1016754</v>
      </c>
      <c r="L48" s="755">
        <v>2643</v>
      </c>
      <c r="M48" s="755">
        <v>36623</v>
      </c>
      <c r="N48" s="773">
        <f t="shared" si="2"/>
        <v>3.863931049050226E-2</v>
      </c>
      <c r="O48" s="756">
        <v>0.13</v>
      </c>
      <c r="P48" s="756">
        <v>0.13</v>
      </c>
      <c r="Q48" s="756">
        <v>0.13</v>
      </c>
      <c r="R48" s="756">
        <v>0.09</v>
      </c>
      <c r="S48" s="756">
        <v>0.09</v>
      </c>
      <c r="T48" s="756">
        <v>0.09</v>
      </c>
      <c r="U48" s="35"/>
      <c r="V48" s="35"/>
      <c r="W48" s="35"/>
      <c r="X48" s="35"/>
      <c r="Y48" s="35"/>
      <c r="Z48" s="35"/>
      <c r="AA48" s="35"/>
      <c r="AB48" s="35"/>
      <c r="AC48" s="35"/>
      <c r="AD48" s="35"/>
      <c r="AE48" s="35"/>
      <c r="AF48" s="35"/>
      <c r="AG48" s="35"/>
      <c r="AH48" s="35"/>
      <c r="AI48" s="35"/>
      <c r="AJ48" s="35"/>
      <c r="AK48" s="35"/>
      <c r="AL48" s="35"/>
      <c r="AM48" s="35"/>
    </row>
    <row r="49" spans="1:39" x14ac:dyDescent="0.2">
      <c r="A49" s="754"/>
      <c r="B49" s="754" t="s">
        <v>11</v>
      </c>
      <c r="C49" s="767">
        <f>C48*42.8/10^9</f>
        <v>3.9936380399999999E-2</v>
      </c>
      <c r="D49" s="755"/>
      <c r="E49" s="755"/>
      <c r="F49" s="774"/>
      <c r="G49" s="755"/>
      <c r="H49" s="755"/>
      <c r="I49" s="755"/>
      <c r="J49" s="773"/>
      <c r="K49" s="767">
        <f>K48*42.8/10^9</f>
        <v>4.3517071199999993E-2</v>
      </c>
      <c r="L49" s="755"/>
      <c r="M49" s="755"/>
      <c r="N49" s="773"/>
      <c r="O49" s="756"/>
      <c r="P49" s="756"/>
      <c r="Q49" s="756"/>
      <c r="R49" s="756"/>
      <c r="S49" s="756"/>
      <c r="T49" s="756"/>
      <c r="U49" s="35"/>
      <c r="V49" s="35"/>
      <c r="W49" s="35"/>
      <c r="X49" s="35"/>
      <c r="Y49" s="35"/>
      <c r="Z49" s="35"/>
      <c r="AA49" s="35"/>
      <c r="AB49" s="35"/>
      <c r="AC49" s="35"/>
      <c r="AD49" s="35"/>
      <c r="AE49" s="35"/>
      <c r="AF49" s="35"/>
      <c r="AG49" s="35"/>
      <c r="AH49" s="35"/>
      <c r="AI49" s="35"/>
      <c r="AJ49" s="35"/>
      <c r="AK49" s="35"/>
      <c r="AL49" s="35"/>
      <c r="AM49" s="35"/>
    </row>
    <row r="50" spans="1:39" x14ac:dyDescent="0.2">
      <c r="A50" s="754"/>
      <c r="B50" s="754" t="s">
        <v>1426</v>
      </c>
      <c r="C50" s="767">
        <f>C49*TechData!$K$8</f>
        <v>1.7477079974788159E-2</v>
      </c>
      <c r="D50" s="755"/>
      <c r="E50" s="755"/>
      <c r="F50" s="774"/>
      <c r="G50" s="755"/>
      <c r="H50" s="755"/>
      <c r="I50" s="755"/>
      <c r="J50" s="773"/>
      <c r="K50" s="767">
        <f>K49*TechData!$K$8</f>
        <v>1.9044072748038786E-2</v>
      </c>
      <c r="L50" s="755"/>
      <c r="M50" s="755"/>
      <c r="N50" s="773"/>
      <c r="O50" s="756"/>
      <c r="P50" s="756"/>
      <c r="Q50" s="756"/>
      <c r="R50" s="756"/>
      <c r="S50" s="756"/>
      <c r="T50" s="756"/>
      <c r="U50" s="35"/>
      <c r="V50" s="35"/>
      <c r="W50" s="35"/>
      <c r="X50" s="35"/>
      <c r="Y50" s="35"/>
      <c r="Z50" s="35"/>
      <c r="AA50" s="35"/>
      <c r="AB50" s="35"/>
      <c r="AC50" s="35"/>
      <c r="AD50" s="35"/>
      <c r="AE50" s="35"/>
      <c r="AF50" s="35"/>
      <c r="AG50" s="35"/>
      <c r="AH50" s="35"/>
      <c r="AI50" s="35"/>
      <c r="AJ50" s="35"/>
      <c r="AK50" s="35"/>
      <c r="AL50" s="35"/>
      <c r="AM50" s="35"/>
    </row>
    <row r="51" spans="1:39" x14ac:dyDescent="0.2">
      <c r="A51" s="753" t="s">
        <v>1430</v>
      </c>
      <c r="B51" s="35"/>
      <c r="C51" s="428"/>
      <c r="D51" s="35"/>
      <c r="E51" s="35"/>
      <c r="F51" s="774"/>
      <c r="G51" s="35"/>
      <c r="H51" s="35"/>
      <c r="I51" s="35"/>
      <c r="J51" s="773"/>
      <c r="K51" s="428"/>
      <c r="L51" s="35"/>
      <c r="M51" s="35"/>
      <c r="N51" s="773"/>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row>
    <row r="52" spans="1:39" x14ac:dyDescent="0.2">
      <c r="A52" s="753" t="s">
        <v>1431</v>
      </c>
      <c r="B52" s="35"/>
      <c r="C52" s="428"/>
      <c r="D52" s="35"/>
      <c r="E52" s="35"/>
      <c r="F52" s="774"/>
      <c r="G52" s="35"/>
      <c r="H52" s="35"/>
      <c r="I52" s="35"/>
      <c r="J52" s="773"/>
      <c r="K52" s="428"/>
      <c r="L52" s="35"/>
      <c r="M52" s="35"/>
      <c r="N52" s="773"/>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row>
    <row r="53" spans="1:39" x14ac:dyDescent="0.2">
      <c r="A53" s="754" t="s">
        <v>1432</v>
      </c>
      <c r="B53" s="754" t="s">
        <v>1028</v>
      </c>
      <c r="C53" s="763">
        <v>7420036</v>
      </c>
      <c r="D53" s="755">
        <v>2021979</v>
      </c>
      <c r="E53" s="754" t="s">
        <v>1416</v>
      </c>
      <c r="F53" s="774"/>
      <c r="G53" s="755">
        <v>5999846</v>
      </c>
      <c r="H53" s="755">
        <v>1634973</v>
      </c>
      <c r="I53" s="754" t="s">
        <v>1416</v>
      </c>
      <c r="J53" s="773"/>
      <c r="K53" s="763">
        <v>5538963</v>
      </c>
      <c r="L53" s="755">
        <v>1509381</v>
      </c>
      <c r="M53" s="754" t="s">
        <v>1416</v>
      </c>
      <c r="N53" s="773"/>
      <c r="O53" s="756">
        <v>-0.08</v>
      </c>
      <c r="P53" s="756">
        <v>-0.08</v>
      </c>
      <c r="Q53" s="756">
        <v>0</v>
      </c>
      <c r="R53" s="756">
        <v>-0.25</v>
      </c>
      <c r="S53" s="756">
        <v>-0.25</v>
      </c>
      <c r="T53" s="756">
        <v>0</v>
      </c>
      <c r="U53" s="35"/>
      <c r="V53" s="35"/>
      <c r="W53" s="35"/>
      <c r="X53" s="35"/>
      <c r="Y53" s="35"/>
      <c r="Z53" s="35"/>
      <c r="AA53" s="35"/>
      <c r="AB53" s="35"/>
      <c r="AC53" s="35"/>
      <c r="AD53" s="35"/>
      <c r="AE53" s="35"/>
      <c r="AF53" s="35"/>
      <c r="AG53" s="35"/>
      <c r="AH53" s="35"/>
      <c r="AI53" s="35"/>
      <c r="AJ53" s="35"/>
      <c r="AK53" s="35"/>
      <c r="AL53" s="35"/>
      <c r="AM53" s="35"/>
    </row>
    <row r="54" spans="1:39" x14ac:dyDescent="0.2">
      <c r="A54" s="753" t="s">
        <v>1433</v>
      </c>
      <c r="B54" s="35"/>
      <c r="C54" s="428"/>
      <c r="D54" s="35"/>
      <c r="E54" s="35"/>
      <c r="F54" s="774"/>
      <c r="G54" s="35"/>
      <c r="H54" s="35"/>
      <c r="I54" s="35"/>
      <c r="J54" s="773"/>
      <c r="K54" s="428"/>
      <c r="L54" s="35"/>
      <c r="M54" s="35"/>
      <c r="N54" s="773"/>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row>
    <row r="55" spans="1:39" x14ac:dyDescent="0.2">
      <c r="A55" s="754" t="s">
        <v>1434</v>
      </c>
      <c r="B55" s="754" t="s">
        <v>1028</v>
      </c>
      <c r="C55" s="763">
        <v>26351</v>
      </c>
      <c r="D55" s="755">
        <v>4991</v>
      </c>
      <c r="E55" s="754" t="s">
        <v>1416</v>
      </c>
      <c r="F55" s="774"/>
      <c r="G55" s="755">
        <v>36980</v>
      </c>
      <c r="H55" s="755">
        <v>7004</v>
      </c>
      <c r="I55" s="754" t="s">
        <v>1416</v>
      </c>
      <c r="J55" s="773"/>
      <c r="K55" s="763">
        <v>564146</v>
      </c>
      <c r="L55" s="755">
        <v>106849</v>
      </c>
      <c r="M55" s="754" t="s">
        <v>1416</v>
      </c>
      <c r="N55" s="773"/>
      <c r="O55" s="756">
        <v>0</v>
      </c>
      <c r="P55" s="756">
        <v>0</v>
      </c>
      <c r="Q55" s="756">
        <v>0</v>
      </c>
      <c r="R55" s="756">
        <v>0</v>
      </c>
      <c r="S55" s="756">
        <v>0</v>
      </c>
      <c r="T55" s="756">
        <v>0</v>
      </c>
      <c r="U55" s="35"/>
      <c r="V55" s="35"/>
      <c r="W55" s="35"/>
      <c r="X55" s="35"/>
      <c r="Y55" s="35"/>
      <c r="Z55" s="35"/>
      <c r="AA55" s="35"/>
      <c r="AB55" s="35"/>
      <c r="AC55" s="35"/>
      <c r="AD55" s="35"/>
      <c r="AE55" s="35"/>
      <c r="AF55" s="35"/>
      <c r="AG55" s="35"/>
      <c r="AH55" s="35"/>
      <c r="AI55" s="35"/>
      <c r="AJ55" s="35"/>
      <c r="AK55" s="35"/>
      <c r="AL55" s="35"/>
      <c r="AM55" s="35"/>
    </row>
    <row r="56" spans="1:39" x14ac:dyDescent="0.2">
      <c r="A56" s="754" t="s">
        <v>1435</v>
      </c>
      <c r="B56" s="35"/>
      <c r="C56" s="428"/>
      <c r="D56" s="35"/>
      <c r="E56" s="35"/>
      <c r="F56" s="774"/>
      <c r="G56" s="35"/>
      <c r="H56" s="35"/>
      <c r="I56" s="35"/>
      <c r="J56" s="773"/>
      <c r="K56" s="428"/>
      <c r="L56" s="35"/>
      <c r="M56" s="35"/>
      <c r="N56" s="773"/>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row>
    <row r="57" spans="1:39" x14ac:dyDescent="0.2">
      <c r="A57" s="754" t="s">
        <v>1436</v>
      </c>
      <c r="B57" s="754" t="s">
        <v>1028</v>
      </c>
      <c r="C57" s="763">
        <v>6536</v>
      </c>
      <c r="D57" s="755">
        <v>163402</v>
      </c>
      <c r="E57" s="754" t="s">
        <v>1416</v>
      </c>
      <c r="F57" s="774"/>
      <c r="G57" s="755">
        <v>5699</v>
      </c>
      <c r="H57" s="755">
        <v>142468</v>
      </c>
      <c r="I57" s="754" t="s">
        <v>1416</v>
      </c>
      <c r="J57" s="773"/>
      <c r="K57" s="763">
        <v>5842</v>
      </c>
      <c r="L57" s="755">
        <v>146058</v>
      </c>
      <c r="M57" s="754" t="s">
        <v>1416</v>
      </c>
      <c r="N57" s="773"/>
      <c r="O57" s="756">
        <v>0.03</v>
      </c>
      <c r="P57" s="756">
        <v>0.03</v>
      </c>
      <c r="Q57" s="756">
        <v>0</v>
      </c>
      <c r="R57" s="756">
        <v>-0.11</v>
      </c>
      <c r="S57" s="756">
        <v>-0.11</v>
      </c>
      <c r="T57" s="756">
        <v>0</v>
      </c>
      <c r="U57" s="35"/>
      <c r="V57" s="35"/>
      <c r="W57" s="35"/>
      <c r="X57" s="35"/>
      <c r="Y57" s="35"/>
      <c r="Z57" s="35"/>
      <c r="AA57" s="35"/>
      <c r="AB57" s="35"/>
      <c r="AC57" s="35"/>
      <c r="AD57" s="35"/>
      <c r="AE57" s="35"/>
      <c r="AF57" s="35"/>
      <c r="AG57" s="35"/>
      <c r="AH57" s="35"/>
      <c r="AI57" s="35"/>
      <c r="AJ57" s="35"/>
      <c r="AK57" s="35"/>
      <c r="AL57" s="35"/>
      <c r="AM57" s="35"/>
    </row>
    <row r="58" spans="1:39" x14ac:dyDescent="0.2">
      <c r="A58" s="754" t="s">
        <v>1437</v>
      </c>
      <c r="B58" s="754" t="s">
        <v>1028</v>
      </c>
      <c r="C58" s="765">
        <v>286</v>
      </c>
      <c r="D58" s="755">
        <v>85120</v>
      </c>
      <c r="E58" s="754" t="s">
        <v>1416</v>
      </c>
      <c r="F58" s="774"/>
      <c r="G58" s="757">
        <v>255</v>
      </c>
      <c r="H58" s="755">
        <v>75866</v>
      </c>
      <c r="I58" s="754" t="s">
        <v>1416</v>
      </c>
      <c r="J58" s="773"/>
      <c r="K58" s="765">
        <v>251</v>
      </c>
      <c r="L58" s="755">
        <v>74871</v>
      </c>
      <c r="M58" s="754" t="s">
        <v>1416</v>
      </c>
      <c r="N58" s="773"/>
      <c r="O58" s="756">
        <v>-0.01</v>
      </c>
      <c r="P58" s="756">
        <v>-0.01</v>
      </c>
      <c r="Q58" s="756">
        <v>0</v>
      </c>
      <c r="R58" s="756">
        <v>-0.12</v>
      </c>
      <c r="S58" s="756">
        <v>-0.12</v>
      </c>
      <c r="T58" s="756">
        <v>0</v>
      </c>
      <c r="U58" s="35"/>
      <c r="V58" s="35"/>
      <c r="W58" s="35"/>
      <c r="X58" s="35"/>
      <c r="Y58" s="35"/>
      <c r="Z58" s="35"/>
      <c r="AA58" s="35"/>
      <c r="AB58" s="35"/>
      <c r="AC58" s="35"/>
      <c r="AD58" s="35"/>
      <c r="AE58" s="35"/>
      <c r="AF58" s="35"/>
      <c r="AG58" s="35"/>
      <c r="AH58" s="35"/>
      <c r="AI58" s="35"/>
      <c r="AJ58" s="35"/>
      <c r="AK58" s="35"/>
      <c r="AL58" s="35"/>
      <c r="AM58" s="35"/>
    </row>
    <row r="59" spans="1:39" x14ac:dyDescent="0.2">
      <c r="A59" s="753" t="s">
        <v>1438</v>
      </c>
      <c r="B59" s="35"/>
      <c r="C59" s="428"/>
      <c r="D59" s="759">
        <v>61062452</v>
      </c>
      <c r="E59" s="759">
        <v>1084533543</v>
      </c>
      <c r="F59" s="774">
        <f t="shared" si="0"/>
        <v>1144.2434619048545</v>
      </c>
      <c r="G59" s="35"/>
      <c r="H59" s="759">
        <v>52740933</v>
      </c>
      <c r="I59" s="759">
        <v>1084168127</v>
      </c>
      <c r="J59" s="773">
        <f t="shared" si="1"/>
        <v>1143.8579276154135</v>
      </c>
      <c r="K59" s="428"/>
      <c r="L59" s="759">
        <v>52042186</v>
      </c>
      <c r="M59" s="759">
        <v>1119368701</v>
      </c>
      <c r="N59" s="773"/>
      <c r="O59" s="35"/>
      <c r="P59" s="760">
        <v>-1.2999999999999999E-2</v>
      </c>
      <c r="Q59" s="760">
        <v>3.2000000000000001E-2</v>
      </c>
      <c r="R59" s="35"/>
      <c r="S59" s="760">
        <v>-0.14799999999999999</v>
      </c>
      <c r="T59" s="760">
        <v>3.2000000000000001E-2</v>
      </c>
      <c r="U59" s="35"/>
      <c r="V59" s="35"/>
      <c r="W59" s="35"/>
      <c r="X59" s="35"/>
      <c r="Y59" s="35"/>
      <c r="Z59" s="35"/>
      <c r="AA59" s="35"/>
      <c r="AB59" s="35"/>
      <c r="AC59" s="35"/>
      <c r="AD59" s="35"/>
      <c r="AE59" s="35"/>
      <c r="AF59" s="35"/>
      <c r="AG59" s="35"/>
      <c r="AH59" s="35"/>
      <c r="AI59" s="35"/>
      <c r="AJ59" s="35"/>
      <c r="AK59" s="35"/>
      <c r="AL59" s="35"/>
      <c r="AM59" s="35"/>
    </row>
    <row r="60" spans="1:39" x14ac:dyDescent="0.2">
      <c r="A60" s="761">
        <v>51</v>
      </c>
      <c r="B60" s="35"/>
      <c r="C60" s="766" t="s">
        <v>1439</v>
      </c>
      <c r="D60" s="35"/>
      <c r="E60" s="35"/>
      <c r="F60" s="774"/>
      <c r="G60" s="35"/>
      <c r="H60" s="35"/>
      <c r="I60" s="35"/>
      <c r="J60" s="773"/>
      <c r="K60" s="428"/>
      <c r="L60" s="35"/>
      <c r="M60" s="35"/>
      <c r="N60" s="773"/>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row>
  </sheetData>
  <autoFilter ref="A4:AM4" xr:uid="{B4FE2282-9853-4A40-BC5A-C6F10A5413B7}"/>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33"/>
  <sheetViews>
    <sheetView workbookViewId="0">
      <selection activeCell="I15" sqref="I15"/>
    </sheetView>
  </sheetViews>
  <sheetFormatPr defaultColWidth="9.140625" defaultRowHeight="12.75" x14ac:dyDescent="0.2"/>
  <cols>
    <col min="1" max="2" width="27.5703125" style="448" customWidth="1"/>
    <col min="3" max="3" width="9.5703125" style="448" customWidth="1"/>
    <col min="4" max="4" width="29.85546875" style="448" customWidth="1"/>
    <col min="5" max="5" width="17.42578125" style="448" customWidth="1"/>
    <col min="6" max="6" width="5.5703125" style="448" customWidth="1"/>
    <col min="7" max="7" width="14.42578125" style="448" customWidth="1"/>
    <col min="8" max="8" width="11.42578125" style="448" customWidth="1"/>
    <col min="9" max="9" width="12.42578125" style="448" customWidth="1"/>
    <col min="10" max="10" width="6.85546875" style="448" customWidth="1"/>
    <col min="11" max="11" width="12" style="448" customWidth="1"/>
    <col min="12" max="12" width="16.42578125" style="448" customWidth="1"/>
    <col min="13" max="13" width="17.42578125" style="448" customWidth="1"/>
    <col min="14" max="14" width="9.140625" style="448"/>
    <col min="15" max="15" width="15.140625" style="448" customWidth="1"/>
    <col min="16" max="16" width="12.140625" style="448" customWidth="1"/>
    <col min="17" max="16384" width="9.140625" style="448"/>
  </cols>
  <sheetData>
    <row r="1" spans="1:16" x14ac:dyDescent="0.2">
      <c r="A1" s="447" t="s">
        <v>1440</v>
      </c>
      <c r="B1" s="447" t="s">
        <v>1493</v>
      </c>
      <c r="C1" s="447" t="s">
        <v>1494</v>
      </c>
      <c r="D1" s="447" t="s">
        <v>1393</v>
      </c>
      <c r="E1" s="447" t="s">
        <v>1441</v>
      </c>
      <c r="F1" s="447" t="s">
        <v>165</v>
      </c>
      <c r="G1" s="447" t="s">
        <v>1394</v>
      </c>
      <c r="H1" s="447" t="s">
        <v>1442</v>
      </c>
      <c r="I1" s="447" t="s">
        <v>1443</v>
      </c>
      <c r="K1" s="449" t="s">
        <v>1444</v>
      </c>
      <c r="L1" s="449" t="s">
        <v>1445</v>
      </c>
      <c r="M1" s="449" t="s">
        <v>1446</v>
      </c>
      <c r="O1" s="454" t="s">
        <v>1444</v>
      </c>
      <c r="P1" s="450" t="s">
        <v>1447</v>
      </c>
    </row>
    <row r="2" spans="1:16" x14ac:dyDescent="0.2">
      <c r="A2" s="448" t="s">
        <v>1448</v>
      </c>
      <c r="B2" s="451" t="s">
        <v>1448</v>
      </c>
      <c r="C2" s="451" t="s">
        <v>93</v>
      </c>
      <c r="D2" s="451" t="s">
        <v>1449</v>
      </c>
      <c r="E2" s="451" t="s">
        <v>501</v>
      </c>
      <c r="F2" s="451" t="s">
        <v>1409</v>
      </c>
      <c r="G2" s="452">
        <v>1420989</v>
      </c>
      <c r="H2" s="452">
        <v>78637</v>
      </c>
      <c r="I2" s="452">
        <v>1420989</v>
      </c>
      <c r="K2" s="450" t="s">
        <v>501</v>
      </c>
      <c r="L2" s="450">
        <v>1420989</v>
      </c>
      <c r="M2" s="450">
        <v>1420989</v>
      </c>
      <c r="O2" s="450" t="s">
        <v>501</v>
      </c>
      <c r="P2" s="450">
        <v>12305.655399518766</v>
      </c>
    </row>
    <row r="3" spans="1:16" x14ac:dyDescent="0.2">
      <c r="A3" s="448" t="s">
        <v>1450</v>
      </c>
      <c r="B3" s="451" t="s">
        <v>1450</v>
      </c>
      <c r="C3" s="451" t="s">
        <v>110</v>
      </c>
      <c r="D3" s="448" t="s">
        <v>1449</v>
      </c>
      <c r="E3" s="448" t="s">
        <v>922</v>
      </c>
      <c r="F3" s="448" t="s">
        <v>1403</v>
      </c>
      <c r="G3" s="453">
        <v>5064028</v>
      </c>
      <c r="H3" s="453">
        <v>13789</v>
      </c>
      <c r="I3" s="453">
        <v>195751</v>
      </c>
      <c r="K3" s="450" t="s">
        <v>922</v>
      </c>
      <c r="L3" s="450">
        <v>23502694</v>
      </c>
      <c r="M3" s="450">
        <v>610577983</v>
      </c>
      <c r="O3" s="450" t="s">
        <v>922</v>
      </c>
      <c r="P3" s="450">
        <v>25146932.739426509</v>
      </c>
    </row>
    <row r="4" spans="1:16" x14ac:dyDescent="0.2">
      <c r="A4" s="448" t="s">
        <v>1452</v>
      </c>
      <c r="B4" s="451" t="s">
        <v>1452</v>
      </c>
      <c r="C4" s="451" t="s">
        <v>98</v>
      </c>
      <c r="D4" s="448" t="s">
        <v>1449</v>
      </c>
      <c r="E4" s="448" t="s">
        <v>922</v>
      </c>
      <c r="F4" s="448" t="s">
        <v>1403</v>
      </c>
      <c r="G4" s="453">
        <v>326200350</v>
      </c>
      <c r="H4" s="453">
        <v>881007</v>
      </c>
      <c r="I4" s="453">
        <v>12555252</v>
      </c>
      <c r="K4" s="450" t="s">
        <v>1406</v>
      </c>
      <c r="L4" s="450">
        <v>27584016</v>
      </c>
      <c r="M4" s="450">
        <v>10974150</v>
      </c>
      <c r="O4" s="450" t="s">
        <v>1453</v>
      </c>
      <c r="P4" s="450">
        <v>12.046237098259951</v>
      </c>
    </row>
    <row r="5" spans="1:16" x14ac:dyDescent="0.2">
      <c r="A5" s="448" t="s">
        <v>1454</v>
      </c>
      <c r="B5" s="451" t="s">
        <v>1454</v>
      </c>
      <c r="C5" s="451" t="s">
        <v>1455</v>
      </c>
      <c r="D5" s="448" t="s">
        <v>1449</v>
      </c>
      <c r="E5" s="448" t="s">
        <v>922</v>
      </c>
      <c r="F5" s="448" t="s">
        <v>1495</v>
      </c>
      <c r="G5" s="453">
        <v>35234181</v>
      </c>
      <c r="H5" s="453">
        <v>95080</v>
      </c>
      <c r="I5" s="453">
        <v>1356142</v>
      </c>
      <c r="K5" s="450" t="s">
        <v>1321</v>
      </c>
      <c r="L5" s="450">
        <v>137197690</v>
      </c>
      <c r="M5" s="450">
        <v>4069584178</v>
      </c>
      <c r="O5" s="450" t="s">
        <v>1406</v>
      </c>
      <c r="P5" s="450">
        <v>23208.417526903249</v>
      </c>
    </row>
    <row r="6" spans="1:16" x14ac:dyDescent="0.2">
      <c r="A6" s="448" t="s">
        <v>1456</v>
      </c>
      <c r="B6" s="451" t="s">
        <v>1456</v>
      </c>
      <c r="C6" s="451" t="s">
        <v>93</v>
      </c>
      <c r="D6" s="448" t="s">
        <v>1449</v>
      </c>
      <c r="E6" s="448" t="s">
        <v>922</v>
      </c>
      <c r="F6" s="448" t="s">
        <v>1403</v>
      </c>
      <c r="G6" s="453">
        <v>7545275</v>
      </c>
      <c r="H6" s="453">
        <v>20391</v>
      </c>
      <c r="I6" s="453">
        <v>290413</v>
      </c>
      <c r="K6" s="449" t="s">
        <v>1457</v>
      </c>
      <c r="L6" s="449">
        <v>189705389</v>
      </c>
      <c r="M6" s="449">
        <v>4692557300</v>
      </c>
      <c r="O6" s="450" t="s">
        <v>1458</v>
      </c>
      <c r="P6" s="450">
        <v>0</v>
      </c>
    </row>
    <row r="7" spans="1:16" x14ac:dyDescent="0.2">
      <c r="A7" s="448" t="s">
        <v>1459</v>
      </c>
      <c r="B7" s="451" t="s">
        <v>1459</v>
      </c>
      <c r="C7" s="451" t="s">
        <v>1455</v>
      </c>
      <c r="D7" s="448" t="s">
        <v>1449</v>
      </c>
      <c r="E7" s="448" t="s">
        <v>922</v>
      </c>
      <c r="F7" s="448" t="s">
        <v>1403</v>
      </c>
      <c r="G7" s="453">
        <v>14166357</v>
      </c>
      <c r="H7" s="453">
        <v>38228</v>
      </c>
      <c r="I7" s="453">
        <v>545254</v>
      </c>
      <c r="O7" s="450" t="s">
        <v>1321</v>
      </c>
      <c r="P7" s="450">
        <v>202541532.25848618</v>
      </c>
    </row>
    <row r="8" spans="1:16" x14ac:dyDescent="0.2">
      <c r="A8" s="448" t="s">
        <v>1460</v>
      </c>
      <c r="B8" s="451" t="s">
        <v>1460</v>
      </c>
      <c r="C8" s="451" t="s">
        <v>1451</v>
      </c>
      <c r="D8" s="448" t="s">
        <v>1449</v>
      </c>
      <c r="E8" s="448" t="s">
        <v>922</v>
      </c>
      <c r="F8" s="448" t="s">
        <v>1403</v>
      </c>
      <c r="G8" s="453">
        <v>5671501</v>
      </c>
      <c r="H8" s="453">
        <v>15443</v>
      </c>
      <c r="I8" s="453">
        <v>219257</v>
      </c>
      <c r="O8" s="448" t="s">
        <v>1461</v>
      </c>
      <c r="P8" s="448">
        <v>332792.54185858712</v>
      </c>
    </row>
    <row r="9" spans="1:16" x14ac:dyDescent="0.2">
      <c r="A9" s="448" t="s">
        <v>1462</v>
      </c>
      <c r="B9" s="451" t="s">
        <v>1462</v>
      </c>
      <c r="C9" s="451" t="s">
        <v>98</v>
      </c>
      <c r="D9" s="448" t="s">
        <v>1449</v>
      </c>
      <c r="E9" s="448" t="s">
        <v>922</v>
      </c>
      <c r="F9" s="448" t="s">
        <v>1403</v>
      </c>
      <c r="G9" s="453">
        <v>28064413</v>
      </c>
      <c r="H9" s="453">
        <v>75797</v>
      </c>
      <c r="I9" s="453">
        <v>1080300</v>
      </c>
      <c r="O9" s="448" t="s">
        <v>1457</v>
      </c>
      <c r="P9" s="448">
        <v>228056783.6589348</v>
      </c>
    </row>
    <row r="10" spans="1:16" x14ac:dyDescent="0.2">
      <c r="A10" s="448" t="s">
        <v>1448</v>
      </c>
      <c r="B10" s="451" t="s">
        <v>1448</v>
      </c>
      <c r="C10" s="451" t="s">
        <v>93</v>
      </c>
      <c r="D10" s="448" t="s">
        <v>1449</v>
      </c>
      <c r="E10" s="448" t="s">
        <v>922</v>
      </c>
      <c r="F10" s="448" t="s">
        <v>1403</v>
      </c>
      <c r="G10" s="453">
        <v>188631878</v>
      </c>
      <c r="H10" s="453">
        <v>509784</v>
      </c>
      <c r="I10" s="453">
        <v>7260325</v>
      </c>
    </row>
    <row r="11" spans="1:16" x14ac:dyDescent="0.2">
      <c r="A11" s="448" t="s">
        <v>1463</v>
      </c>
      <c r="B11" s="451" t="s">
        <v>1463</v>
      </c>
      <c r="C11" s="451" t="s">
        <v>110</v>
      </c>
      <c r="D11" s="448" t="s">
        <v>1449</v>
      </c>
      <c r="E11" s="448" t="s">
        <v>1406</v>
      </c>
      <c r="F11" s="448" t="s">
        <v>1409</v>
      </c>
      <c r="G11" s="453">
        <v>10118346</v>
      </c>
      <c r="H11" s="453">
        <v>889291</v>
      </c>
      <c r="I11" s="453">
        <v>25432916</v>
      </c>
    </row>
    <row r="12" spans="1:16" x14ac:dyDescent="0.2">
      <c r="A12" s="448" t="s">
        <v>1454</v>
      </c>
      <c r="B12" s="451" t="s">
        <v>1454</v>
      </c>
      <c r="C12" s="451" t="s">
        <v>1455</v>
      </c>
      <c r="D12" s="448" t="s">
        <v>1449</v>
      </c>
      <c r="E12" s="448" t="s">
        <v>1321</v>
      </c>
      <c r="F12" s="448" t="s">
        <v>1403</v>
      </c>
      <c r="G12" s="453">
        <v>440373688</v>
      </c>
      <c r="H12" s="453">
        <v>946065</v>
      </c>
      <c r="I12" s="453">
        <v>14846296</v>
      </c>
    </row>
    <row r="13" spans="1:16" x14ac:dyDescent="0.2">
      <c r="A13" s="448" t="s">
        <v>1459</v>
      </c>
      <c r="B13" s="451" t="s">
        <v>1459</v>
      </c>
      <c r="C13" s="451" t="s">
        <v>1455</v>
      </c>
      <c r="D13" s="448" t="s">
        <v>1449</v>
      </c>
      <c r="E13" s="448" t="s">
        <v>1321</v>
      </c>
      <c r="F13" s="448" t="s">
        <v>1403</v>
      </c>
      <c r="G13" s="453">
        <v>3629210490</v>
      </c>
      <c r="H13" s="453">
        <v>7790907</v>
      </c>
      <c r="I13" s="453">
        <v>122351394</v>
      </c>
    </row>
    <row r="14" spans="1:16" x14ac:dyDescent="0.2">
      <c r="B14" s="451"/>
      <c r="C14" s="451"/>
      <c r="D14" s="448" t="s">
        <v>1464</v>
      </c>
      <c r="E14" s="448" t="s">
        <v>1406</v>
      </c>
      <c r="F14" s="448" t="s">
        <v>1409</v>
      </c>
      <c r="G14" s="453">
        <v>855804</v>
      </c>
      <c r="H14" s="453">
        <v>75216</v>
      </c>
      <c r="I14" s="453">
        <v>2151100</v>
      </c>
    </row>
    <row r="15" spans="1:16" x14ac:dyDescent="0.2">
      <c r="G15" s="453">
        <f>SUM(G2:G14)</f>
        <v>4692557300</v>
      </c>
      <c r="H15" s="453">
        <f>SUM(H2:H14)</f>
        <v>11429635</v>
      </c>
      <c r="I15" s="453">
        <f>SUM(I2:I14)</f>
        <v>189705389</v>
      </c>
    </row>
    <row r="16" spans="1:16" x14ac:dyDescent="0.2">
      <c r="A16" s="448" t="s">
        <v>1465</v>
      </c>
    </row>
    <row r="17" spans="1:22" ht="15.75" customHeight="1" x14ac:dyDescent="0.2"/>
    <row r="18" spans="1:22" x14ac:dyDescent="0.2">
      <c r="A18" s="448" t="s">
        <v>1467</v>
      </c>
    </row>
    <row r="19" spans="1:22" x14ac:dyDescent="0.2">
      <c r="A19" s="448" t="s">
        <v>1468</v>
      </c>
    </row>
    <row r="29" spans="1:22" x14ac:dyDescent="0.2">
      <c r="H29" s="448" t="s">
        <v>1496</v>
      </c>
      <c r="I29" s="448" t="s">
        <v>1497</v>
      </c>
      <c r="J29" s="448">
        <v>2</v>
      </c>
      <c r="K29" s="448" t="s">
        <v>182</v>
      </c>
      <c r="L29" s="448" t="s">
        <v>1498</v>
      </c>
      <c r="M29" s="448">
        <v>3.89</v>
      </c>
      <c r="N29" s="448">
        <v>4.0199999999999996</v>
      </c>
      <c r="O29" s="448">
        <v>4.03</v>
      </c>
      <c r="P29" s="448">
        <v>4.1100000000000003</v>
      </c>
      <c r="Q29" s="448">
        <v>4.1900000000000004</v>
      </c>
      <c r="R29" s="448">
        <v>3.83</v>
      </c>
      <c r="S29" s="448">
        <v>3.89</v>
      </c>
      <c r="T29" s="448">
        <v>3.98</v>
      </c>
      <c r="U29" s="448">
        <v>4.05</v>
      </c>
      <c r="V29" s="448">
        <v>4.12</v>
      </c>
    </row>
    <row r="30" spans="1:22" x14ac:dyDescent="0.2">
      <c r="H30" s="448" t="s">
        <v>1496</v>
      </c>
      <c r="I30" s="448" t="s">
        <v>1497</v>
      </c>
      <c r="J30" s="448">
        <v>2</v>
      </c>
      <c r="K30" s="448" t="s">
        <v>184</v>
      </c>
      <c r="L30" s="448" t="s">
        <v>1498</v>
      </c>
      <c r="M30" s="448">
        <v>2.11</v>
      </c>
      <c r="N30" s="448">
        <v>2.2200000000000002</v>
      </c>
      <c r="O30" s="448">
        <v>2.2000000000000002</v>
      </c>
      <c r="P30" s="448">
        <v>2.2599999999999998</v>
      </c>
      <c r="Q30" s="448">
        <v>2.31</v>
      </c>
      <c r="R30" s="448">
        <v>2.12</v>
      </c>
      <c r="S30" s="448">
        <v>2.16</v>
      </c>
      <c r="T30" s="448">
        <v>2.23</v>
      </c>
      <c r="U30" s="448">
        <v>2.27</v>
      </c>
      <c r="V30" s="448">
        <v>2.3199999999999998</v>
      </c>
    </row>
    <row r="31" spans="1:22" x14ac:dyDescent="0.2">
      <c r="H31" s="448" t="s">
        <v>1496</v>
      </c>
      <c r="I31" s="448" t="s">
        <v>1497</v>
      </c>
      <c r="J31" s="448">
        <v>2</v>
      </c>
      <c r="K31" s="448" t="s">
        <v>186</v>
      </c>
      <c r="L31" s="448" t="s">
        <v>1498</v>
      </c>
      <c r="M31" s="448">
        <v>2.42</v>
      </c>
      <c r="N31" s="448">
        <v>2.5</v>
      </c>
      <c r="O31" s="448">
        <v>2.5</v>
      </c>
      <c r="P31" s="448">
        <v>2.52</v>
      </c>
      <c r="Q31" s="448">
        <v>2.5499999999999998</v>
      </c>
      <c r="R31" s="448">
        <v>2.31</v>
      </c>
      <c r="S31" s="448">
        <v>2.3199999999999998</v>
      </c>
      <c r="T31" s="448">
        <v>2.37</v>
      </c>
      <c r="U31" s="448">
        <v>2.4</v>
      </c>
      <c r="V31" s="448">
        <v>2.4300000000000002</v>
      </c>
    </row>
    <row r="32" spans="1:22" x14ac:dyDescent="0.2">
      <c r="H32" s="448" t="s">
        <v>1496</v>
      </c>
      <c r="I32" s="448" t="s">
        <v>1497</v>
      </c>
      <c r="J32" s="448">
        <v>2</v>
      </c>
      <c r="K32" s="448" t="s">
        <v>188</v>
      </c>
      <c r="L32" s="448" t="s">
        <v>1498</v>
      </c>
      <c r="M32" s="448">
        <v>0.71</v>
      </c>
      <c r="N32" s="448">
        <v>0.72</v>
      </c>
      <c r="O32" s="448">
        <v>0.74</v>
      </c>
      <c r="P32" s="448">
        <v>0.75</v>
      </c>
      <c r="Q32" s="448">
        <v>0.76</v>
      </c>
      <c r="R32" s="448">
        <v>0.68</v>
      </c>
      <c r="S32" s="448">
        <v>0.69</v>
      </c>
      <c r="T32" s="448">
        <v>0.72</v>
      </c>
      <c r="U32" s="448">
        <v>0.74</v>
      </c>
      <c r="V32" s="448">
        <v>0.75</v>
      </c>
    </row>
    <row r="33" spans="8:22" x14ac:dyDescent="0.2">
      <c r="H33" s="448" t="s">
        <v>1496</v>
      </c>
      <c r="I33" s="448" t="s">
        <v>1497</v>
      </c>
      <c r="J33" s="448">
        <v>2</v>
      </c>
      <c r="K33" s="448" t="s">
        <v>190</v>
      </c>
      <c r="L33" s="448" t="s">
        <v>1498</v>
      </c>
      <c r="M33" s="448">
        <v>3.43</v>
      </c>
      <c r="N33" s="448">
        <v>3.56</v>
      </c>
      <c r="O33" s="448">
        <v>3.55</v>
      </c>
      <c r="P33" s="448">
        <v>3.58</v>
      </c>
      <c r="Q33" s="448">
        <v>3.62</v>
      </c>
      <c r="R33" s="448">
        <v>3.28</v>
      </c>
      <c r="S33" s="448">
        <v>3.3</v>
      </c>
      <c r="T33" s="448">
        <v>3.42</v>
      </c>
      <c r="U33" s="448">
        <v>3.47</v>
      </c>
      <c r="V33" s="448">
        <v>3.52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2"/>
  <sheetViews>
    <sheetView showFormulas="1" tabSelected="1" workbookViewId="0">
      <selection activeCell="J8" sqref="J8"/>
    </sheetView>
  </sheetViews>
  <sheetFormatPr defaultColWidth="9.140625" defaultRowHeight="12" x14ac:dyDescent="0.2"/>
  <cols>
    <col min="1" max="1" width="24.5703125" style="481" customWidth="1"/>
    <col min="2" max="2" width="36.85546875" style="468" customWidth="1"/>
    <col min="3" max="3" width="18.42578125" style="468" customWidth="1"/>
    <col min="4" max="4" width="13.85546875" style="468" customWidth="1"/>
    <col min="5" max="5" width="9.5703125" style="468" customWidth="1"/>
    <col min="6" max="6" width="9.42578125" style="468" bestFit="1" customWidth="1"/>
    <col min="7" max="7" width="12" style="468" customWidth="1"/>
    <col min="8" max="8" width="9.42578125" style="468" bestFit="1" customWidth="1"/>
    <col min="9" max="9" width="10.140625" style="468" bestFit="1" customWidth="1"/>
    <col min="10" max="12" width="9.42578125" style="468" bestFit="1" customWidth="1"/>
    <col min="13" max="16384" width="9.140625" style="481"/>
  </cols>
  <sheetData>
    <row r="1" spans="1:12" s="480" customFormat="1" x14ac:dyDescent="0.2">
      <c r="A1" s="479" t="str">
        <f>'2010 GHG'!A1</f>
        <v>GHG Emissions 2010</v>
      </c>
      <c r="B1" s="466" t="str">
        <f>'2010 GHG'!B1</f>
        <v>Exp.</v>
      </c>
      <c r="C1" s="466" t="str">
        <f>'2010 GHG'!C1</f>
        <v>Nom.</v>
      </c>
      <c r="D1" s="466" t="str">
        <f>'2010 GHG'!D1</f>
        <v>Sector</v>
      </c>
      <c r="E1" s="466" t="str">
        <f>'2010 GHG'!E1</f>
        <v>Fuel Type</v>
      </c>
      <c r="F1" s="466" t="str">
        <f>'2010 GHG'!F1</f>
        <v>Units</v>
      </c>
      <c r="G1" s="466" t="str">
        <f>'2010 GHG'!G1</f>
        <v>Consumed</v>
      </c>
      <c r="H1" s="466" t="str">
        <f>'2010 GHG'!H1</f>
        <v>MgCO2e</v>
      </c>
      <c r="I1" s="466" t="str">
        <f>'2010 GHG'!I1</f>
        <v>Source GJ</v>
      </c>
      <c r="J1" s="466" t="s">
        <v>1397</v>
      </c>
      <c r="K1" s="467"/>
      <c r="L1" s="467"/>
    </row>
    <row r="2" spans="1:12" x14ac:dyDescent="0.2">
      <c r="A2" s="481" t="str">
        <f>'2010 GHG'!A3</f>
        <v>commuter rail</v>
      </c>
      <c r="B2" s="468" t="str">
        <f>'2010 GHG'!B3</f>
        <v>commuter rail</v>
      </c>
      <c r="C2" s="468" t="str">
        <f>'2010 GHG'!C3</f>
        <v>TRP</v>
      </c>
      <c r="D2" s="468" t="str">
        <f>'2010 GHG'!D3</f>
        <v>transportation</v>
      </c>
      <c r="E2" s="468" t="str">
        <f>'2010 GHG'!E3</f>
        <v>Diesel</v>
      </c>
      <c r="F2" s="468" t="str">
        <f>'2010 GHG'!F3</f>
        <v>liters</v>
      </c>
      <c r="G2" s="469">
        <f>'2010 GHG'!G3</f>
        <v>5064028</v>
      </c>
      <c r="H2" s="469">
        <f>'2010 GHG'!H3</f>
        <v>13789</v>
      </c>
      <c r="I2" s="469">
        <f>'2010 GHG'!I3</f>
        <v>195751</v>
      </c>
      <c r="J2" s="470">
        <f>I2*0.000001</f>
        <v>0.19575099999999998</v>
      </c>
    </row>
    <row r="3" spans="1:12" x14ac:dyDescent="0.2">
      <c r="A3" s="481" t="str">
        <f>'2010 GHG'!A11</f>
        <v>subway and commuter rail</v>
      </c>
      <c r="B3" s="468" t="str">
        <f>'2010 GHG'!B11</f>
        <v>subway and commuter rail</v>
      </c>
      <c r="C3" s="468" t="str">
        <f>'2010 GHG'!C11</f>
        <v>TRP</v>
      </c>
      <c r="D3" s="468" t="str">
        <f>'2010 GHG'!D11</f>
        <v>transportation</v>
      </c>
      <c r="E3" s="468" t="str">
        <f>'2010 GHG'!E11</f>
        <v>Electricity</v>
      </c>
      <c r="F3" s="468" t="str">
        <f>'2010 GHG'!F11</f>
        <v>GJ</v>
      </c>
      <c r="G3" s="469">
        <v>7988035.3978319997</v>
      </c>
      <c r="H3" s="469">
        <f>'2010 GHG'!H11</f>
        <v>889291</v>
      </c>
      <c r="I3" s="469">
        <f>'2010 GHG'!I11</f>
        <v>25432916</v>
      </c>
      <c r="J3" s="470">
        <f>I3*0.000001</f>
        <v>25.432915999999999</v>
      </c>
    </row>
    <row r="4" spans="1:12" x14ac:dyDescent="0.2">
      <c r="J4" s="470"/>
    </row>
    <row r="5" spans="1:12" x14ac:dyDescent="0.2">
      <c r="F5" s="468" t="s">
        <v>1499</v>
      </c>
      <c r="G5" s="468" t="s">
        <v>1500</v>
      </c>
    </row>
    <row r="6" spans="1:12" x14ac:dyDescent="0.2">
      <c r="A6" s="481" t="str">
        <f>TechData!B28</f>
        <v>TPDSLCR</v>
      </c>
      <c r="B6" s="468" t="str">
        <f>TechData!C28</f>
        <v>Commuter Rail, Diesel</v>
      </c>
      <c r="C6" s="468" t="s">
        <v>478</v>
      </c>
      <c r="D6" s="468" t="str">
        <f>TechData!E28</f>
        <v>TRNDSL</v>
      </c>
      <c r="E6" s="468" t="str">
        <f>NewTech!F137</f>
        <v>THL</v>
      </c>
      <c r="F6" s="468">
        <f>TechData!L28</f>
        <v>0.63495881767725038</v>
      </c>
      <c r="G6" s="468">
        <f>F6*J2</f>
        <v>0.12429382351913942</v>
      </c>
      <c r="H6" s="471">
        <f>G6/(G6+G7)</f>
        <v>1.3381530799202755E-2</v>
      </c>
    </row>
    <row r="7" spans="1:12" x14ac:dyDescent="0.2">
      <c r="A7" s="481" t="str">
        <f>TechData!B29</f>
        <v>TPELCSUB</v>
      </c>
      <c r="B7" s="468" t="str">
        <f>TechData!C29</f>
        <v>Subways and Streetcars, Electricity</v>
      </c>
      <c r="C7" s="468" t="s">
        <v>478</v>
      </c>
      <c r="D7" s="468" t="str">
        <f>TechData!E29</f>
        <v>TRNELC</v>
      </c>
      <c r="E7" s="468" t="str">
        <f>NewTech!F139</f>
        <v>THL</v>
      </c>
      <c r="F7" s="468">
        <f>TechData!L29</f>
        <v>1.147236643778262</v>
      </c>
      <c r="G7" s="468">
        <f>F7*G3/10^6</f>
        <v>9.1641669201907359</v>
      </c>
      <c r="H7" s="471">
        <f>1-H6</f>
        <v>0.98661846920079721</v>
      </c>
    </row>
    <row r="9" spans="1:12" x14ac:dyDescent="0.2">
      <c r="G9" s="468">
        <f>G6+G7</f>
        <v>9.2884607437098747</v>
      </c>
    </row>
    <row r="11" spans="1:12" s="483" customFormat="1" x14ac:dyDescent="0.2">
      <c r="A11" s="482" t="s">
        <v>1299</v>
      </c>
      <c r="B11" s="472">
        <v>2010</v>
      </c>
      <c r="C11" s="472">
        <v>2015</v>
      </c>
      <c r="D11" s="472">
        <v>2020</v>
      </c>
      <c r="E11" s="472">
        <v>2025</v>
      </c>
      <c r="F11" s="472">
        <v>2030</v>
      </c>
      <c r="G11" s="472">
        <v>2035</v>
      </c>
      <c r="H11" s="472">
        <v>2040</v>
      </c>
      <c r="I11" s="472">
        <v>2045</v>
      </c>
      <c r="J11" s="472">
        <v>2050</v>
      </c>
      <c r="K11" s="472">
        <v>2055</v>
      </c>
      <c r="L11" s="473"/>
    </row>
    <row r="12" spans="1:12" x14ac:dyDescent="0.2">
      <c r="A12" s="481" t="s">
        <v>799</v>
      </c>
      <c r="B12" s="468">
        <v>1385108</v>
      </c>
      <c r="C12" s="468">
        <v>1455444</v>
      </c>
      <c r="D12" s="468">
        <v>1446788</v>
      </c>
      <c r="E12" s="468">
        <v>1482893</v>
      </c>
      <c r="F12" s="468">
        <v>1518998</v>
      </c>
      <c r="G12" s="468">
        <v>1549121.5</v>
      </c>
      <c r="H12" s="468">
        <v>1579245</v>
      </c>
      <c r="I12" s="468">
        <v>1625954.9772727266</v>
      </c>
      <c r="J12" s="468">
        <v>1660587.6071428563</v>
      </c>
      <c r="K12" s="468">
        <v>1695220.2370129861</v>
      </c>
    </row>
    <row r="13" spans="1:12" x14ac:dyDescent="0.2">
      <c r="A13" s="481" t="s">
        <v>855</v>
      </c>
      <c r="B13" s="468">
        <v>2552911</v>
      </c>
      <c r="C13" s="468">
        <v>2636735</v>
      </c>
      <c r="D13" s="468">
        <v>2648452</v>
      </c>
      <c r="E13" s="468">
        <v>2701230.5</v>
      </c>
      <c r="F13" s="468">
        <v>2754009</v>
      </c>
      <c r="G13" s="468">
        <v>2797267</v>
      </c>
      <c r="H13" s="468">
        <v>2840525</v>
      </c>
      <c r="I13" s="468">
        <v>2908244.5075757541</v>
      </c>
      <c r="J13" s="468">
        <v>2959463.6785714254</v>
      </c>
      <c r="K13" s="468">
        <v>3010682.8495670967</v>
      </c>
    </row>
    <row r="14" spans="1:12" x14ac:dyDescent="0.2">
      <c r="A14" s="481" t="s">
        <v>803</v>
      </c>
      <c r="B14" s="468">
        <v>1585873</v>
      </c>
      <c r="C14" s="468">
        <v>1644518</v>
      </c>
      <c r="D14" s="468">
        <v>1638281</v>
      </c>
      <c r="E14" s="468">
        <v>1657500.5</v>
      </c>
      <c r="F14" s="468">
        <v>1676720</v>
      </c>
      <c r="G14" s="468">
        <v>1684168.5</v>
      </c>
      <c r="H14" s="468">
        <v>1691617</v>
      </c>
      <c r="I14" s="468">
        <v>1733166.166666667</v>
      </c>
      <c r="J14" s="468">
        <v>1753311.5714285718</v>
      </c>
      <c r="K14" s="468">
        <v>1773456.9761904767</v>
      </c>
    </row>
    <row r="15" spans="1:12" x14ac:dyDescent="0.2">
      <c r="A15" s="481" t="s">
        <v>811</v>
      </c>
      <c r="B15" s="468">
        <v>2250002</v>
      </c>
      <c r="C15" s="468">
        <v>2339150</v>
      </c>
      <c r="D15" s="468">
        <v>2330295</v>
      </c>
      <c r="E15" s="468">
        <v>2351923</v>
      </c>
      <c r="F15" s="468">
        <v>2373551</v>
      </c>
      <c r="G15" s="468">
        <v>2393100</v>
      </c>
      <c r="H15" s="468">
        <v>2412649</v>
      </c>
      <c r="I15" s="468">
        <v>2496538.7575757559</v>
      </c>
      <c r="J15" s="468">
        <v>2533665.5714285709</v>
      </c>
      <c r="K15" s="468">
        <v>2570792.385281384</v>
      </c>
    </row>
    <row r="16" spans="1:12" x14ac:dyDescent="0.2">
      <c r="A16" s="481" t="s">
        <v>807</v>
      </c>
      <c r="B16" s="468">
        <v>468730</v>
      </c>
      <c r="C16" s="468">
        <v>474558</v>
      </c>
      <c r="D16" s="468">
        <v>487155</v>
      </c>
      <c r="E16" s="468">
        <v>492452</v>
      </c>
      <c r="F16" s="468">
        <v>497749</v>
      </c>
      <c r="G16" s="468">
        <v>499429</v>
      </c>
      <c r="H16" s="468">
        <v>501109</v>
      </c>
      <c r="I16" s="468">
        <v>528935.80303030275</v>
      </c>
      <c r="J16" s="468">
        <v>539243.35714285728</v>
      </c>
      <c r="K16" s="468">
        <v>549550.9112554118</v>
      </c>
    </row>
    <row r="17" spans="1:12" x14ac:dyDescent="0.2">
      <c r="A17" s="481" t="s">
        <v>775</v>
      </c>
      <c r="B17" s="468">
        <f>SUM(B12:B16)</f>
        <v>8242624</v>
      </c>
      <c r="C17" s="468">
        <f t="shared" ref="C17:K17" si="0">SUM(C12:C16)</f>
        <v>8550405</v>
      </c>
      <c r="D17" s="468">
        <f t="shared" si="0"/>
        <v>8550971</v>
      </c>
      <c r="E17" s="468">
        <f t="shared" si="0"/>
        <v>8685999</v>
      </c>
      <c r="F17" s="468">
        <f t="shared" si="0"/>
        <v>8821027</v>
      </c>
      <c r="G17" s="468">
        <f t="shared" si="0"/>
        <v>8923086</v>
      </c>
      <c r="H17" s="468">
        <f t="shared" si="0"/>
        <v>9025145</v>
      </c>
      <c r="I17" s="468">
        <f t="shared" si="0"/>
        <v>9292840.2121212054</v>
      </c>
      <c r="J17" s="468">
        <f t="shared" si="0"/>
        <v>9446271.7857142836</v>
      </c>
      <c r="K17" s="468">
        <f t="shared" si="0"/>
        <v>9599703.3593073562</v>
      </c>
    </row>
    <row r="18" spans="1:12" x14ac:dyDescent="0.2">
      <c r="A18" s="481" t="s">
        <v>1501</v>
      </c>
      <c r="B18" s="474">
        <f>G9</f>
        <v>9.2884607437098747</v>
      </c>
      <c r="C18" s="474">
        <f>B18*C17/B17</f>
        <v>9.6352934678714721</v>
      </c>
      <c r="D18" s="474">
        <f t="shared" ref="D18:K18" si="1">C18*D17/C17</f>
        <v>9.6359312828174097</v>
      </c>
      <c r="E18" s="474">
        <f t="shared" si="1"/>
        <v>9.7880918420400143</v>
      </c>
      <c r="F18" s="474">
        <f t="shared" si="1"/>
        <v>9.9402524012626188</v>
      </c>
      <c r="G18" s="474">
        <f t="shared" si="1"/>
        <v>10.055260803325153</v>
      </c>
      <c r="H18" s="474">
        <f t="shared" si="1"/>
        <v>10.170269205387685</v>
      </c>
      <c r="I18" s="474">
        <f t="shared" si="1"/>
        <v>10.471929995576211</v>
      </c>
      <c r="J18" s="474">
        <f t="shared" si="1"/>
        <v>10.644829201965456</v>
      </c>
      <c r="K18" s="474">
        <f t="shared" si="1"/>
        <v>10.817728408354693</v>
      </c>
      <c r="L18" s="474"/>
    </row>
    <row r="20" spans="1:12" s="483" customFormat="1" x14ac:dyDescent="0.2">
      <c r="A20" s="483" t="s">
        <v>1502</v>
      </c>
      <c r="B20" s="472">
        <v>2010</v>
      </c>
      <c r="C20" s="472">
        <v>2015</v>
      </c>
      <c r="D20" s="472">
        <v>2020</v>
      </c>
      <c r="E20" s="472">
        <v>2025</v>
      </c>
      <c r="F20" s="472">
        <v>2030</v>
      </c>
      <c r="G20" s="472">
        <v>2035</v>
      </c>
      <c r="H20" s="472">
        <v>2040</v>
      </c>
      <c r="I20" s="472">
        <v>2045</v>
      </c>
      <c r="J20" s="472">
        <v>2050</v>
      </c>
      <c r="K20" s="472">
        <v>2055</v>
      </c>
      <c r="L20" s="473"/>
    </row>
    <row r="21" spans="1:12" x14ac:dyDescent="0.2">
      <c r="A21" s="481" t="s">
        <v>799</v>
      </c>
      <c r="B21" s="474">
        <f>$B$18*B12/$B$17</f>
        <v>1.5608526221502397</v>
      </c>
      <c r="C21" s="474">
        <f>$C$18*C12/$C$17</f>
        <v>1.6401129614389878</v>
      </c>
      <c r="D21" s="474">
        <f>$D$18*D12/$D$17</f>
        <v>1.6303586749159638</v>
      </c>
      <c r="E21" s="474">
        <f>$E$18*E12/$E$17</f>
        <v>1.6710447325538771</v>
      </c>
      <c r="F21" s="474">
        <f>$F$18*F12/$F$17</f>
        <v>1.7117307901917902</v>
      </c>
      <c r="G21" s="474">
        <f>$G$18*G12/$G$17</f>
        <v>1.7456764059584617</v>
      </c>
      <c r="H21" s="474">
        <f>$H$18*H12/$H$17</f>
        <v>1.7796220217251328</v>
      </c>
      <c r="I21" s="474">
        <f>$I$18*I12/$I$17</f>
        <v>1.8322586323769472</v>
      </c>
      <c r="J21" s="474">
        <f>$J$18*J12/$J$17</f>
        <v>1.8712855033102975</v>
      </c>
      <c r="K21" s="474">
        <f>$K$18*K12/$K$17</f>
        <v>1.9103123742436474</v>
      </c>
    </row>
    <row r="22" spans="1:12" x14ac:dyDescent="0.2">
      <c r="A22" s="481" t="s">
        <v>855</v>
      </c>
      <c r="B22" s="474">
        <f>$B$18*B13/$B$17</f>
        <v>2.8768282534403022</v>
      </c>
      <c r="C22" s="474">
        <f>$C$18*C13/$C$17</f>
        <v>2.971287970804668</v>
      </c>
      <c r="D22" s="474">
        <f>$D$18*D13/$D$17</f>
        <v>2.9844916416907896</v>
      </c>
      <c r="E22" s="474">
        <f>$E$18*E13/$E$17</f>
        <v>3.043966758517894</v>
      </c>
      <c r="F22" s="474">
        <f>$F$18*F13/$F$17</f>
        <v>3.1034418753449984</v>
      </c>
      <c r="G22" s="474">
        <f>$G$18*G13/$G$17</f>
        <v>3.1521885165664592</v>
      </c>
      <c r="H22" s="474">
        <f>$H$18*H13/$H$17</f>
        <v>3.2009351577879199</v>
      </c>
      <c r="I22" s="474">
        <f>$I$18*I13/$I$17</f>
        <v>3.2772470200905985</v>
      </c>
      <c r="J22" s="474">
        <f>$J$18*J13/$J$17</f>
        <v>3.3349649578636495</v>
      </c>
      <c r="K22" s="474">
        <f>$K$18*K13/$K$17</f>
        <v>3.3926828956367001</v>
      </c>
    </row>
    <row r="23" spans="1:12" x14ac:dyDescent="0.2">
      <c r="A23" s="481" t="s">
        <v>803</v>
      </c>
      <c r="B23" s="474">
        <f>$B$18*B14/$B$17</f>
        <v>1.7870909925054703</v>
      </c>
      <c r="C23" s="474">
        <f>$C$18*C14/$C$17</f>
        <v>1.8531769598278747</v>
      </c>
      <c r="D23" s="474">
        <f>$D$18*D14/$D$17</f>
        <v>1.8461485997257374</v>
      </c>
      <c r="E23" s="474">
        <f>$E$18*E14/$E$17</f>
        <v>1.8678066992901154</v>
      </c>
      <c r="F23" s="474">
        <f>$F$18*F14/$F$17</f>
        <v>1.8894647988544937</v>
      </c>
      <c r="G23" s="474">
        <f>$G$18*G14/$G$17</f>
        <v>1.897858375930134</v>
      </c>
      <c r="H23" s="474">
        <f>$H$18*H14/$H$17</f>
        <v>1.9062519530057742</v>
      </c>
      <c r="I23" s="474">
        <f>$I$18*I14/$I$17</f>
        <v>1.9530729415061836</v>
      </c>
      <c r="J23" s="474">
        <f>$J$18*J14/$J$17</f>
        <v>1.9757744260452208</v>
      </c>
      <c r="K23" s="474">
        <f>$K$18*K14/$K$17</f>
        <v>1.9984759105842582</v>
      </c>
    </row>
    <row r="24" spans="1:12" x14ac:dyDescent="0.2">
      <c r="A24" s="481" t="s">
        <v>811</v>
      </c>
      <c r="B24" s="474">
        <f>$B$18*B15/$B$17</f>
        <v>2.5354856960924947</v>
      </c>
      <c r="C24" s="474">
        <f>$C$18*C15/$C$17</f>
        <v>2.6359449307221765</v>
      </c>
      <c r="D24" s="474">
        <f>$D$18*D15/$D$17</f>
        <v>2.6259663947746983</v>
      </c>
      <c r="E24" s="474">
        <f>$E$18*E15/$E$17</f>
        <v>2.6503385885038986</v>
      </c>
      <c r="F24" s="474">
        <f>$F$18*F15/$F$17</f>
        <v>2.6747107822330993</v>
      </c>
      <c r="G24" s="474">
        <f>$G$18*G15/$G$17</f>
        <v>2.6967401892615874</v>
      </c>
      <c r="H24" s="474">
        <f>$H$18*H15/$H$17</f>
        <v>2.7187695962900751</v>
      </c>
      <c r="I24" s="474">
        <f>$I$18*I15/$I$17</f>
        <v>2.8133034146520131</v>
      </c>
      <c r="J24" s="474">
        <f>$J$18*J15/$J$17</f>
        <v>2.8551409354476842</v>
      </c>
      <c r="K24" s="474">
        <f>$K$18*K15/$K$17</f>
        <v>2.8969784562433527</v>
      </c>
    </row>
    <row r="25" spans="1:12" x14ac:dyDescent="0.2">
      <c r="A25" s="481" t="s">
        <v>807</v>
      </c>
      <c r="B25" s="474">
        <f>$B$18*B16/$B$17</f>
        <v>0.52820317952136719</v>
      </c>
      <c r="C25" s="474">
        <f>$C$18*C16/$C$17</f>
        <v>0.53477064507776528</v>
      </c>
      <c r="D25" s="474">
        <f>$D$18*D16/$D$17</f>
        <v>0.54896597171022044</v>
      </c>
      <c r="E25" s="474">
        <f>$E$18*E16/$E$17</f>
        <v>0.55493506317422892</v>
      </c>
      <c r="F25" s="474">
        <f>$F$18*F16/$F$17</f>
        <v>0.5609041546382374</v>
      </c>
      <c r="G25" s="474">
        <f>$G$18*G16/$G$17</f>
        <v>0.5627973156085101</v>
      </c>
      <c r="H25" s="474">
        <f>$H$18*H16/$H$17</f>
        <v>0.56469047657878269</v>
      </c>
      <c r="I25" s="474">
        <f>$I$18*I16/$I$17</f>
        <v>0.59604798695046946</v>
      </c>
      <c r="J25" s="474">
        <f>$J$18*J16/$J$17</f>
        <v>0.60766337929860126</v>
      </c>
      <c r="K25" s="474">
        <f>$K$18*K16/$K$17</f>
        <v>0.61927877164673317</v>
      </c>
    </row>
    <row r="26" spans="1:12" x14ac:dyDescent="0.2">
      <c r="B26" s="475">
        <f t="shared" ref="B26:K26" si="2">SUM(B21:B25)-B18</f>
        <v>0</v>
      </c>
      <c r="C26" s="475">
        <f t="shared" si="2"/>
        <v>0</v>
      </c>
      <c r="D26" s="475">
        <f t="shared" si="2"/>
        <v>0</v>
      </c>
      <c r="E26" s="475">
        <f t="shared" si="2"/>
        <v>0</v>
      </c>
      <c r="F26" s="475">
        <f t="shared" si="2"/>
        <v>0</v>
      </c>
      <c r="G26" s="475">
        <f t="shared" si="2"/>
        <v>0</v>
      </c>
      <c r="H26" s="475">
        <f t="shared" si="2"/>
        <v>0</v>
      </c>
      <c r="I26" s="475">
        <f t="shared" si="2"/>
        <v>0</v>
      </c>
      <c r="J26" s="475">
        <f t="shared" si="2"/>
        <v>0</v>
      </c>
      <c r="K26" s="475">
        <f t="shared" si="2"/>
        <v>0</v>
      </c>
    </row>
    <row r="28" spans="1:12" s="480" customFormat="1" x14ac:dyDescent="0.2">
      <c r="A28" s="479" t="str">
        <f>A6</f>
        <v>TPDSLCR</v>
      </c>
      <c r="B28" s="466"/>
      <c r="C28" s="485">
        <v>2010</v>
      </c>
      <c r="D28" s="485">
        <v>2015</v>
      </c>
      <c r="E28" s="485">
        <v>2020</v>
      </c>
      <c r="F28" s="485">
        <v>2025</v>
      </c>
      <c r="G28" s="485">
        <v>2030</v>
      </c>
      <c r="H28" s="485">
        <v>2035</v>
      </c>
      <c r="I28" s="485">
        <v>2040</v>
      </c>
      <c r="J28" s="485">
        <v>2045</v>
      </c>
      <c r="K28" s="485">
        <v>2050</v>
      </c>
      <c r="L28" s="485">
        <v>2055</v>
      </c>
    </row>
    <row r="29" spans="1:12" x14ac:dyDescent="0.2">
      <c r="A29" s="484"/>
      <c r="B29" s="476"/>
      <c r="C29" s="477">
        <f>SUM(C30:C34)</f>
        <v>0.12429382351913941</v>
      </c>
      <c r="D29" s="477">
        <f t="shared" ref="D29:L29" si="3">SUM(D30:D34)</f>
        <v>0.1289349762996792</v>
      </c>
      <c r="E29" s="477">
        <f t="shared" si="3"/>
        <v>0.12894351124002248</v>
      </c>
      <c r="F29" s="477">
        <f t="shared" si="3"/>
        <v>0.13097965244968368</v>
      </c>
      <c r="G29" s="477">
        <f t="shared" si="3"/>
        <v>0.13301579365934488</v>
      </c>
      <c r="H29" s="477">
        <f t="shared" si="3"/>
        <v>0.13455478213371175</v>
      </c>
      <c r="I29" s="477">
        <f t="shared" si="3"/>
        <v>0.13609377060807865</v>
      </c>
      <c r="J29" s="477">
        <f t="shared" si="3"/>
        <v>0.14013045376289823</v>
      </c>
      <c r="K29" s="477">
        <f t="shared" si="3"/>
        <v>0.14244410981835359</v>
      </c>
      <c r="L29" s="477">
        <f t="shared" si="3"/>
        <v>0.1447577658738089</v>
      </c>
    </row>
    <row r="30" spans="1:12" x14ac:dyDescent="0.2">
      <c r="A30" s="484" t="s">
        <v>799</v>
      </c>
      <c r="B30" s="476"/>
      <c r="C30" s="478">
        <f>B21*$H$6</f>
        <v>2.0886597436319813E-2</v>
      </c>
      <c r="D30" s="478">
        <f t="shared" ref="D30:L30" si="4">C21*$H$6</f>
        <v>2.1947222107667457E-2</v>
      </c>
      <c r="E30" s="478">
        <f t="shared" si="4"/>
        <v>2.1816694822135361E-2</v>
      </c>
      <c r="F30" s="478">
        <f t="shared" si="4"/>
        <v>2.2361136555515238E-2</v>
      </c>
      <c r="G30" s="478">
        <f t="shared" si="4"/>
        <v>2.2905578288895109E-2</v>
      </c>
      <c r="H30" s="478">
        <f t="shared" si="4"/>
        <v>2.3359822591774729E-2</v>
      </c>
      <c r="I30" s="478">
        <f t="shared" si="4"/>
        <v>2.3814066894654339E-2</v>
      </c>
      <c r="J30" s="478">
        <f t="shared" si="4"/>
        <v>2.4518425321257236E-2</v>
      </c>
      <c r="K30" s="478">
        <f t="shared" si="4"/>
        <v>2.5040664596648377E-2</v>
      </c>
      <c r="L30" s="478">
        <f t="shared" si="4"/>
        <v>2.5562903872039508E-2</v>
      </c>
    </row>
    <row r="31" spans="1:12" x14ac:dyDescent="0.2">
      <c r="A31" s="484" t="s">
        <v>855</v>
      </c>
      <c r="B31" s="476"/>
      <c r="C31" s="478">
        <f t="shared" ref="C31:L34" si="5">B22*$H$6</f>
        <v>3.8496365877428072E-2</v>
      </c>
      <c r="D31" s="478">
        <f t="shared" si="5"/>
        <v>3.9760381494623319E-2</v>
      </c>
      <c r="E31" s="478">
        <f t="shared" si="5"/>
        <v>3.9937066823248497E-2</v>
      </c>
      <c r="F31" s="478">
        <f t="shared" si="5"/>
        <v>4.0732934930856571E-2</v>
      </c>
      <c r="G31" s="478">
        <f t="shared" si="5"/>
        <v>4.1528803038464651E-2</v>
      </c>
      <c r="H31" s="478">
        <f t="shared" si="5"/>
        <v>4.2181107719327315E-2</v>
      </c>
      <c r="I31" s="478">
        <f t="shared" si="5"/>
        <v>4.283341240018998E-2</v>
      </c>
      <c r="J31" s="478">
        <f t="shared" si="5"/>
        <v>4.3854581935937796E-2</v>
      </c>
      <c r="K31" s="478">
        <f t="shared" si="5"/>
        <v>4.4626936297914345E-2</v>
      </c>
      <c r="L31" s="478">
        <f t="shared" si="5"/>
        <v>4.5399290659890887E-2</v>
      </c>
    </row>
    <row r="32" spans="1:12" x14ac:dyDescent="0.2">
      <c r="A32" s="484" t="s">
        <v>803</v>
      </c>
      <c r="B32" s="476"/>
      <c r="C32" s="478">
        <f t="shared" si="5"/>
        <v>2.3914013157189773E-2</v>
      </c>
      <c r="D32" s="478">
        <f t="shared" si="5"/>
        <v>2.479834456430963E-2</v>
      </c>
      <c r="E32" s="478">
        <f t="shared" si="5"/>
        <v>2.4704294347134996E-2</v>
      </c>
      <c r="F32" s="478">
        <f t="shared" si="5"/>
        <v>2.4994112873507918E-2</v>
      </c>
      <c r="G32" s="478">
        <f t="shared" si="5"/>
        <v>2.5283931399880846E-2</v>
      </c>
      <c r="H32" s="478">
        <f t="shared" si="5"/>
        <v>2.5396250310034008E-2</v>
      </c>
      <c r="I32" s="478">
        <f t="shared" si="5"/>
        <v>2.5508569220187172E-2</v>
      </c>
      <c r="J32" s="478">
        <f t="shared" si="5"/>
        <v>2.6135105719854518E-2</v>
      </c>
      <c r="K32" s="478">
        <f t="shared" si="5"/>
        <v>2.6438886334401269E-2</v>
      </c>
      <c r="L32" s="478">
        <f t="shared" si="5"/>
        <v>2.6742666948948023E-2</v>
      </c>
    </row>
    <row r="33" spans="1:12" x14ac:dyDescent="0.2">
      <c r="A33" s="484" t="s">
        <v>811</v>
      </c>
      <c r="B33" s="476"/>
      <c r="C33" s="478">
        <f t="shared" si="5"/>
        <v>3.3928679933199757E-2</v>
      </c>
      <c r="D33" s="478">
        <f t="shared" si="5"/>
        <v>3.5272978275461178E-2</v>
      </c>
      <c r="E33" s="478">
        <f t="shared" si="5"/>
        <v>3.5139450189349046E-2</v>
      </c>
      <c r="F33" s="478">
        <f t="shared" si="5"/>
        <v>3.5465587450380476E-2</v>
      </c>
      <c r="G33" s="478">
        <f t="shared" si="5"/>
        <v>3.5791724711411912E-2</v>
      </c>
      <c r="H33" s="478">
        <f t="shared" si="5"/>
        <v>3.6086511900051799E-2</v>
      </c>
      <c r="I33" s="478">
        <f t="shared" si="5"/>
        <v>3.6381299088691678E-2</v>
      </c>
      <c r="J33" s="478">
        <f t="shared" si="5"/>
        <v>3.7646306290668195E-2</v>
      </c>
      <c r="K33" s="478">
        <f t="shared" si="5"/>
        <v>3.8206156363757751E-2</v>
      </c>
      <c r="L33" s="478">
        <f t="shared" si="5"/>
        <v>3.8766006436847272E-2</v>
      </c>
    </row>
    <row r="34" spans="1:12" x14ac:dyDescent="0.2">
      <c r="A34" s="484" t="s">
        <v>807</v>
      </c>
      <c r="B34" s="476"/>
      <c r="C34" s="478">
        <f t="shared" si="5"/>
        <v>7.0681671150019968E-3</v>
      </c>
      <c r="D34" s="478">
        <f t="shared" si="5"/>
        <v>7.1560498576176412E-3</v>
      </c>
      <c r="E34" s="478">
        <f t="shared" si="5"/>
        <v>7.3460050581545828E-3</v>
      </c>
      <c r="F34" s="478">
        <f t="shared" si="5"/>
        <v>7.4258806394234709E-3</v>
      </c>
      <c r="G34" s="478">
        <f t="shared" si="5"/>
        <v>7.5057562206923591E-3</v>
      </c>
      <c r="H34" s="478">
        <f t="shared" si="5"/>
        <v>7.5310896125239113E-3</v>
      </c>
      <c r="I34" s="478">
        <f t="shared" si="5"/>
        <v>7.5564230043554627E-3</v>
      </c>
      <c r="J34" s="478">
        <f t="shared" si="5"/>
        <v>7.9760344951805093E-3</v>
      </c>
      <c r="K34" s="478">
        <f t="shared" si="5"/>
        <v>8.1314662256318591E-3</v>
      </c>
      <c r="L34" s="478">
        <f t="shared" si="5"/>
        <v>8.2868979560832105E-3</v>
      </c>
    </row>
    <row r="36" spans="1:12" s="480" customFormat="1" x14ac:dyDescent="0.2">
      <c r="A36" s="479" t="str">
        <f>A7</f>
        <v>TPELCSUB</v>
      </c>
      <c r="B36" s="466"/>
      <c r="C36" s="485">
        <v>2010</v>
      </c>
      <c r="D36" s="485">
        <v>2015</v>
      </c>
      <c r="E36" s="485">
        <v>2020</v>
      </c>
      <c r="F36" s="485">
        <v>2025</v>
      </c>
      <c r="G36" s="485">
        <v>2030</v>
      </c>
      <c r="H36" s="485">
        <v>2035</v>
      </c>
      <c r="I36" s="485">
        <v>2040</v>
      </c>
      <c r="J36" s="485">
        <v>2045</v>
      </c>
      <c r="K36" s="485">
        <v>2050</v>
      </c>
      <c r="L36" s="485">
        <v>2055</v>
      </c>
    </row>
    <row r="37" spans="1:12" x14ac:dyDescent="0.2">
      <c r="A37" s="484"/>
      <c r="B37" s="476"/>
      <c r="C37" s="477">
        <f>SUM(C38:C41)</f>
        <v>8.6430319077843691</v>
      </c>
      <c r="D37" s="477">
        <f t="shared" ref="D37:L37" si="6">SUM(D38:D41)</f>
        <v>8.978743896351645</v>
      </c>
      <c r="E37" s="477">
        <f t="shared" si="6"/>
        <v>8.9653678049253216</v>
      </c>
      <c r="F37" s="477">
        <f t="shared" si="6"/>
        <v>9.1096030070555241</v>
      </c>
      <c r="G37" s="477">
        <f t="shared" si="6"/>
        <v>9.2538382091857301</v>
      </c>
      <c r="H37" s="477">
        <f t="shared" si="6"/>
        <v>9.3654397951954529</v>
      </c>
      <c r="I37" s="477">
        <f t="shared" si="6"/>
        <v>9.4770413812051792</v>
      </c>
      <c r="J37" s="477">
        <f t="shared" si="6"/>
        <v>9.7437275893580235</v>
      </c>
      <c r="K37" s="477">
        <f t="shared" si="6"/>
        <v>9.9028531790741301</v>
      </c>
      <c r="L37" s="477">
        <f t="shared" si="6"/>
        <v>10.061978768790231</v>
      </c>
    </row>
    <row r="38" spans="1:12" x14ac:dyDescent="0.2">
      <c r="A38" s="484" t="s">
        <v>799</v>
      </c>
      <c r="B38" s="476"/>
      <c r="C38" s="478">
        <f>B21*$H$7</f>
        <v>1.5399660247139197</v>
      </c>
      <c r="D38" s="478">
        <f t="shared" ref="D38:L38" si="7">C21*$H$7</f>
        <v>1.6181657393313202</v>
      </c>
      <c r="E38" s="478">
        <f t="shared" si="7"/>
        <v>1.6085419800938283</v>
      </c>
      <c r="F38" s="478">
        <f t="shared" si="7"/>
        <v>1.6486835959983619</v>
      </c>
      <c r="G38" s="478">
        <f t="shared" si="7"/>
        <v>1.688825211902895</v>
      </c>
      <c r="H38" s="478">
        <f t="shared" si="7"/>
        <v>1.7223165833666869</v>
      </c>
      <c r="I38" s="478">
        <f t="shared" si="7"/>
        <v>1.7558079548304784</v>
      </c>
      <c r="J38" s="478">
        <f t="shared" si="7"/>
        <v>1.8077402070556898</v>
      </c>
      <c r="K38" s="478">
        <f t="shared" si="7"/>
        <v>1.8462448387136492</v>
      </c>
      <c r="L38" s="478">
        <f t="shared" si="7"/>
        <v>1.8847494703716079</v>
      </c>
    </row>
    <row r="39" spans="1:12" x14ac:dyDescent="0.2">
      <c r="A39" s="484" t="s">
        <v>855</v>
      </c>
      <c r="B39" s="476"/>
      <c r="C39" s="478">
        <f t="shared" ref="C39:L42" si="8">B22*$H$7</f>
        <v>2.838331887562874</v>
      </c>
      <c r="D39" s="478">
        <f t="shared" si="8"/>
        <v>2.9315275893100448</v>
      </c>
      <c r="E39" s="478">
        <f t="shared" si="8"/>
        <v>2.9445545748675412</v>
      </c>
      <c r="F39" s="478">
        <f t="shared" si="8"/>
        <v>3.0032338235870375</v>
      </c>
      <c r="G39" s="478">
        <f t="shared" si="8"/>
        <v>3.0619130723065338</v>
      </c>
      <c r="H39" s="478">
        <f t="shared" si="8"/>
        <v>3.1100074088471317</v>
      </c>
      <c r="I39" s="478">
        <f t="shared" si="8"/>
        <v>3.15810174538773</v>
      </c>
      <c r="J39" s="478">
        <f t="shared" si="8"/>
        <v>3.2333924381546608</v>
      </c>
      <c r="K39" s="478">
        <f t="shared" si="8"/>
        <v>3.2903380215657352</v>
      </c>
      <c r="L39" s="478">
        <f t="shared" si="8"/>
        <v>3.3472836049768091</v>
      </c>
    </row>
    <row r="40" spans="1:12" x14ac:dyDescent="0.2">
      <c r="A40" s="484" t="s">
        <v>803</v>
      </c>
      <c r="B40" s="476"/>
      <c r="C40" s="478">
        <f t="shared" si="8"/>
        <v>1.7631769793482805</v>
      </c>
      <c r="D40" s="478">
        <f t="shared" si="8"/>
        <v>1.828378615263565</v>
      </c>
      <c r="E40" s="478">
        <f t="shared" si="8"/>
        <v>1.8214443053786025</v>
      </c>
      <c r="F40" s="478">
        <f t="shared" si="8"/>
        <v>1.8428125864166074</v>
      </c>
      <c r="G40" s="478">
        <f t="shared" si="8"/>
        <v>1.8641808674546128</v>
      </c>
      <c r="H40" s="478">
        <f t="shared" si="8"/>
        <v>1.8724621256200999</v>
      </c>
      <c r="I40" s="478">
        <f t="shared" si="8"/>
        <v>1.8807433837855869</v>
      </c>
      <c r="J40" s="478">
        <f t="shared" si="8"/>
        <v>1.9269378357863289</v>
      </c>
      <c r="K40" s="478">
        <f t="shared" si="8"/>
        <v>1.9493355397108194</v>
      </c>
      <c r="L40" s="478">
        <f t="shared" si="8"/>
        <v>1.9717332436353101</v>
      </c>
    </row>
    <row r="41" spans="1:12" x14ac:dyDescent="0.2">
      <c r="A41" s="484" t="s">
        <v>811</v>
      </c>
      <c r="B41" s="476"/>
      <c r="C41" s="478">
        <f t="shared" si="8"/>
        <v>2.5015570161592948</v>
      </c>
      <c r="D41" s="478">
        <f t="shared" si="8"/>
        <v>2.6006719524467155</v>
      </c>
      <c r="E41" s="478">
        <f t="shared" si="8"/>
        <v>2.5908269445853493</v>
      </c>
      <c r="F41" s="478">
        <f t="shared" si="8"/>
        <v>2.6148730010535179</v>
      </c>
      <c r="G41" s="478">
        <f t="shared" si="8"/>
        <v>2.6389190575216874</v>
      </c>
      <c r="H41" s="478">
        <f t="shared" si="8"/>
        <v>2.6606536773615357</v>
      </c>
      <c r="I41" s="478">
        <f t="shared" si="8"/>
        <v>2.6823882972013835</v>
      </c>
      <c r="J41" s="478">
        <f t="shared" si="8"/>
        <v>2.7756571083613446</v>
      </c>
      <c r="K41" s="478">
        <f t="shared" si="8"/>
        <v>2.8169347790839265</v>
      </c>
      <c r="L41" s="478">
        <f t="shared" si="8"/>
        <v>2.8582124498065054</v>
      </c>
    </row>
    <row r="42" spans="1:12" x14ac:dyDescent="0.2">
      <c r="A42" s="484" t="s">
        <v>807</v>
      </c>
      <c r="B42" s="476"/>
      <c r="C42" s="478">
        <f t="shared" si="8"/>
        <v>0.52113501240636517</v>
      </c>
      <c r="D42" s="478">
        <f t="shared" si="8"/>
        <v>0.52761459522014764</v>
      </c>
      <c r="E42" s="478">
        <f t="shared" si="8"/>
        <v>0.5416199666520658</v>
      </c>
      <c r="F42" s="478">
        <f t="shared" si="8"/>
        <v>0.54750918253480541</v>
      </c>
      <c r="G42" s="478">
        <f t="shared" si="8"/>
        <v>0.55339839841754501</v>
      </c>
      <c r="H42" s="478">
        <f t="shared" si="8"/>
        <v>0.55526622599598618</v>
      </c>
      <c r="I42" s="478">
        <f t="shared" si="8"/>
        <v>0.55713405357442725</v>
      </c>
      <c r="J42" s="478">
        <f t="shared" si="8"/>
        <v>0.58807195245528887</v>
      </c>
      <c r="K42" s="478">
        <f t="shared" si="8"/>
        <v>0.59953191307296938</v>
      </c>
      <c r="L42" s="478">
        <f t="shared" si="8"/>
        <v>0.61099187369064989</v>
      </c>
    </row>
  </sheetData>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K27"/>
  <sheetViews>
    <sheetView workbookViewId="0">
      <selection activeCell="M52" sqref="M52"/>
    </sheetView>
  </sheetViews>
  <sheetFormatPr defaultColWidth="9.140625" defaultRowHeight="12" x14ac:dyDescent="0.2"/>
  <cols>
    <col min="1" max="1" width="24.5703125" style="476" customWidth="1"/>
    <col min="2" max="2" width="11.42578125" style="476" customWidth="1"/>
    <col min="3" max="3" width="14.140625" style="476" customWidth="1"/>
    <col min="4" max="12" width="11.42578125" style="476" customWidth="1"/>
    <col min="13" max="16384" width="9.140625" style="476"/>
  </cols>
  <sheetData>
    <row r="1" spans="1:11" s="490" customFormat="1" x14ac:dyDescent="0.2">
      <c r="A1" s="479" t="s">
        <v>1503</v>
      </c>
      <c r="B1" s="466" t="str">
        <f>'2010 GHG'!B1</f>
        <v>Exp.</v>
      </c>
      <c r="C1" s="466" t="str">
        <f>'2010 GHG'!C1</f>
        <v>Nom.</v>
      </c>
      <c r="D1" s="466" t="str">
        <f>'2010 GHG'!D1</f>
        <v>Sector</v>
      </c>
      <c r="E1" s="466" t="str">
        <f>'2010 GHG'!E1</f>
        <v>Fuel Type</v>
      </c>
      <c r="F1" s="466" t="s">
        <v>1397</v>
      </c>
      <c r="G1" s="466"/>
      <c r="H1" s="466"/>
      <c r="I1" s="466"/>
    </row>
    <row r="2" spans="1:11" x14ac:dyDescent="0.2">
      <c r="A2" s="476" t="str">
        <f>'2010 GHG'!A4</f>
        <v>heavy truck</v>
      </c>
      <c r="B2" s="476" t="str">
        <f>'2010 GHG'!B4</f>
        <v>heavy truck</v>
      </c>
      <c r="C2" s="476" t="str">
        <f>'2010 GHG'!C4</f>
        <v>THS</v>
      </c>
      <c r="D2" s="476" t="str">
        <f>'2010 GHG'!D4</f>
        <v>transportation</v>
      </c>
      <c r="E2" s="476" t="str">
        <f>'2010 GHG'!E4</f>
        <v>Diesel</v>
      </c>
      <c r="F2" s="487">
        <f>'GHG Reports'!C92+'GHG Reports'!C117</f>
        <v>21.192198686888894</v>
      </c>
      <c r="G2" s="486"/>
      <c r="H2" s="486"/>
      <c r="I2" s="486"/>
    </row>
    <row r="3" spans="1:11" x14ac:dyDescent="0.2">
      <c r="J3" s="487"/>
    </row>
    <row r="4" spans="1:11" x14ac:dyDescent="0.2">
      <c r="J4" s="487"/>
    </row>
    <row r="5" spans="1:11" x14ac:dyDescent="0.2">
      <c r="G5" s="476">
        <f>H7/F2</f>
        <v>3.038743284803256E-2</v>
      </c>
      <c r="H5" s="476">
        <f>F2*G7</f>
        <v>0.64397651450000004</v>
      </c>
    </row>
    <row r="6" spans="1:11" x14ac:dyDescent="0.2">
      <c r="A6" s="476" t="s">
        <v>484</v>
      </c>
      <c r="G6" s="476" t="s">
        <v>475</v>
      </c>
      <c r="H6" s="476" t="s">
        <v>1501</v>
      </c>
    </row>
    <row r="7" spans="1:11" x14ac:dyDescent="0.2">
      <c r="A7" s="476" t="str">
        <f>TechData!A24</f>
        <v>R2,R3,R4,R5,R6</v>
      </c>
      <c r="B7" s="476" t="str">
        <f>TechData!B24</f>
        <v>THSDSLE</v>
      </c>
      <c r="C7" s="476" t="str">
        <f>TechData!C24</f>
        <v>Heavy Truck, Short Haul, Diesel exisiting</v>
      </c>
      <c r="D7" s="476" t="s">
        <v>480</v>
      </c>
      <c r="E7" s="476" t="str">
        <f>TechData!E24</f>
        <v>THDSL</v>
      </c>
      <c r="F7" s="476" t="str">
        <f>TechData!F24</f>
        <v>THS</v>
      </c>
      <c r="G7" s="476">
        <f>TechData!K24</f>
        <v>3.038743284803256E-2</v>
      </c>
      <c r="H7" s="476">
        <f>(('2015 GHG'!K36+'2015 GHG'!C36)/2)/1000000000</f>
        <v>0.64397651450000004</v>
      </c>
    </row>
    <row r="9" spans="1:11" s="490" customFormat="1" x14ac:dyDescent="0.2">
      <c r="A9" s="491" t="s">
        <v>1299</v>
      </c>
      <c r="B9" s="485">
        <v>2010</v>
      </c>
      <c r="C9" s="485">
        <v>2015</v>
      </c>
      <c r="D9" s="485">
        <v>2020</v>
      </c>
      <c r="E9" s="485">
        <v>2025</v>
      </c>
      <c r="F9" s="485">
        <v>2030</v>
      </c>
      <c r="G9" s="485">
        <v>2035</v>
      </c>
      <c r="H9" s="485">
        <v>2040</v>
      </c>
      <c r="I9" s="485">
        <v>2045</v>
      </c>
      <c r="J9" s="485">
        <v>2050</v>
      </c>
      <c r="K9" s="485">
        <v>2055</v>
      </c>
    </row>
    <row r="10" spans="1:11" x14ac:dyDescent="0.2">
      <c r="A10" s="476" t="s">
        <v>799</v>
      </c>
      <c r="B10" s="476">
        <v>1385108</v>
      </c>
      <c r="C10" s="476">
        <v>1455444</v>
      </c>
      <c r="D10" s="476">
        <v>1446788</v>
      </c>
      <c r="E10" s="476">
        <v>1482893</v>
      </c>
      <c r="F10" s="476">
        <v>1518998</v>
      </c>
      <c r="G10" s="476">
        <v>1549121.5</v>
      </c>
      <c r="H10" s="476">
        <v>1579245</v>
      </c>
      <c r="I10" s="476">
        <v>1625954.9772727266</v>
      </c>
      <c r="J10" s="476">
        <v>1660587.6071428563</v>
      </c>
      <c r="K10" s="476">
        <v>1695220.2370129861</v>
      </c>
    </row>
    <row r="11" spans="1:11" x14ac:dyDescent="0.2">
      <c r="A11" s="476" t="s">
        <v>855</v>
      </c>
      <c r="B11" s="476">
        <v>2552911</v>
      </c>
      <c r="C11" s="476">
        <v>2636735</v>
      </c>
      <c r="D11" s="476">
        <v>2648452</v>
      </c>
      <c r="E11" s="476">
        <v>2701230.5</v>
      </c>
      <c r="F11" s="476">
        <v>2754009</v>
      </c>
      <c r="G11" s="476">
        <v>2797267</v>
      </c>
      <c r="H11" s="476">
        <v>2840525</v>
      </c>
      <c r="I11" s="476">
        <v>2908244.5075757541</v>
      </c>
      <c r="J11" s="476">
        <v>2959463.6785714254</v>
      </c>
      <c r="K11" s="476">
        <v>3010682.8495670967</v>
      </c>
    </row>
    <row r="12" spans="1:11" x14ac:dyDescent="0.2">
      <c r="A12" s="476" t="s">
        <v>803</v>
      </c>
      <c r="B12" s="476">
        <v>1585873</v>
      </c>
      <c r="C12" s="476">
        <v>1644518</v>
      </c>
      <c r="D12" s="476">
        <v>1638281</v>
      </c>
      <c r="E12" s="476">
        <v>1657500.5</v>
      </c>
      <c r="F12" s="476">
        <v>1676720</v>
      </c>
      <c r="G12" s="476">
        <v>1684168.5</v>
      </c>
      <c r="H12" s="476">
        <v>1691617</v>
      </c>
      <c r="I12" s="476">
        <v>1733166.166666667</v>
      </c>
      <c r="J12" s="476">
        <v>1753311.5714285718</v>
      </c>
      <c r="K12" s="476">
        <v>1773456.9761904767</v>
      </c>
    </row>
    <row r="13" spans="1:11" x14ac:dyDescent="0.2">
      <c r="A13" s="476" t="s">
        <v>811</v>
      </c>
      <c r="B13" s="476">
        <v>2250002</v>
      </c>
      <c r="C13" s="476">
        <v>2339150</v>
      </c>
      <c r="D13" s="476">
        <v>2330295</v>
      </c>
      <c r="E13" s="476">
        <v>2351923</v>
      </c>
      <c r="F13" s="476">
        <v>2373551</v>
      </c>
      <c r="G13" s="476">
        <v>2393100</v>
      </c>
      <c r="H13" s="476">
        <v>2412649</v>
      </c>
      <c r="I13" s="476">
        <v>2496538.7575757559</v>
      </c>
      <c r="J13" s="476">
        <v>2533665.5714285709</v>
      </c>
      <c r="K13" s="476">
        <v>2570792.385281384</v>
      </c>
    </row>
    <row r="14" spans="1:11" x14ac:dyDescent="0.2">
      <c r="A14" s="476" t="s">
        <v>807</v>
      </c>
      <c r="B14" s="476">
        <v>468730</v>
      </c>
      <c r="C14" s="476">
        <v>474558</v>
      </c>
      <c r="D14" s="476">
        <v>487155</v>
      </c>
      <c r="E14" s="476">
        <v>492452</v>
      </c>
      <c r="F14" s="476">
        <v>497749</v>
      </c>
      <c r="G14" s="476">
        <v>499429</v>
      </c>
      <c r="H14" s="476">
        <v>501109</v>
      </c>
      <c r="I14" s="476">
        <v>528935.80303030275</v>
      </c>
      <c r="J14" s="476">
        <v>539243.35714285728</v>
      </c>
      <c r="K14" s="476">
        <v>549550.9112554118</v>
      </c>
    </row>
    <row r="15" spans="1:11" x14ac:dyDescent="0.2">
      <c r="A15" s="476" t="s">
        <v>775</v>
      </c>
      <c r="B15" s="476">
        <f>SUM(B10:B14)</f>
        <v>8242624</v>
      </c>
      <c r="C15" s="476">
        <f t="shared" ref="C15:K15" si="0">SUM(C10:C14)</f>
        <v>8550405</v>
      </c>
      <c r="D15" s="476">
        <f t="shared" si="0"/>
        <v>8550971</v>
      </c>
      <c r="E15" s="476">
        <f t="shared" si="0"/>
        <v>8685999</v>
      </c>
      <c r="F15" s="476">
        <f t="shared" si="0"/>
        <v>8821027</v>
      </c>
      <c r="G15" s="476">
        <f t="shared" si="0"/>
        <v>8923086</v>
      </c>
      <c r="H15" s="476">
        <f t="shared" si="0"/>
        <v>9025145</v>
      </c>
      <c r="I15" s="476">
        <f t="shared" si="0"/>
        <v>9292840.2121212054</v>
      </c>
      <c r="J15" s="476">
        <f t="shared" si="0"/>
        <v>9446271.7857142836</v>
      </c>
      <c r="K15" s="476">
        <f t="shared" si="0"/>
        <v>9599703.3593073562</v>
      </c>
    </row>
    <row r="16" spans="1:11" x14ac:dyDescent="0.2">
      <c r="A16" s="476" t="s">
        <v>1501</v>
      </c>
      <c r="B16" s="487">
        <f>H7</f>
        <v>0.64397651450000004</v>
      </c>
      <c r="C16" s="487">
        <f>B16*C15/B15</f>
        <v>0.66802270848013601</v>
      </c>
      <c r="D16" s="487">
        <f t="shared" ref="D16:K16" si="1">C16*D15/C15</f>
        <v>0.66806692870748197</v>
      </c>
      <c r="E16" s="487">
        <f t="shared" si="1"/>
        <v>0.67861634365106138</v>
      </c>
      <c r="F16" s="487">
        <f t="shared" si="1"/>
        <v>0.6891657585946408</v>
      </c>
      <c r="G16" s="487">
        <f t="shared" si="1"/>
        <v>0.69713938435912493</v>
      </c>
      <c r="H16" s="487">
        <f t="shared" si="1"/>
        <v>0.70511301012360916</v>
      </c>
      <c r="I16" s="487">
        <f t="shared" si="1"/>
        <v>0.7260273972957223</v>
      </c>
      <c r="J16" s="487">
        <f t="shared" si="1"/>
        <v>0.73801463946238199</v>
      </c>
      <c r="K16" s="487">
        <f t="shared" si="1"/>
        <v>0.75000188162904124</v>
      </c>
    </row>
    <row r="18" spans="1:11" x14ac:dyDescent="0.2">
      <c r="C18" s="478"/>
      <c r="D18" s="478"/>
      <c r="E18" s="478"/>
      <c r="F18" s="478"/>
      <c r="G18" s="478"/>
      <c r="H18" s="478"/>
      <c r="I18" s="478"/>
      <c r="J18" s="478"/>
      <c r="K18" s="478"/>
    </row>
    <row r="19" spans="1:11" x14ac:dyDescent="0.2">
      <c r="C19" s="478"/>
      <c r="D19" s="478"/>
      <c r="E19" s="478"/>
      <c r="F19" s="478"/>
      <c r="G19" s="478"/>
      <c r="H19" s="478"/>
      <c r="I19" s="478"/>
      <c r="J19" s="478"/>
      <c r="K19" s="478"/>
    </row>
    <row r="20" spans="1:11" x14ac:dyDescent="0.2">
      <c r="C20" s="478"/>
      <c r="D20" s="478"/>
      <c r="E20" s="478"/>
      <c r="F20" s="478"/>
      <c r="G20" s="478"/>
      <c r="H20" s="478"/>
      <c r="I20" s="478"/>
      <c r="J20" s="478"/>
      <c r="K20" s="478"/>
    </row>
    <row r="21" spans="1:11" x14ac:dyDescent="0.2">
      <c r="A21" s="466" t="s">
        <v>1504</v>
      </c>
      <c r="B21" s="485">
        <v>2010</v>
      </c>
      <c r="C21" s="489"/>
      <c r="D21" s="478"/>
      <c r="E21" s="478"/>
      <c r="F21" s="478"/>
      <c r="G21" s="478"/>
      <c r="H21" s="478"/>
      <c r="I21" s="478"/>
      <c r="J21" s="478"/>
      <c r="K21" s="478"/>
    </row>
    <row r="22" spans="1:11" x14ac:dyDescent="0.2">
      <c r="A22" s="476" t="s">
        <v>799</v>
      </c>
      <c r="B22" s="487">
        <f>(B10/B$15)*B$16</f>
        <v>0.1082151778421612</v>
      </c>
    </row>
    <row r="23" spans="1:11" x14ac:dyDescent="0.2">
      <c r="A23" s="476" t="s">
        <v>855</v>
      </c>
      <c r="B23" s="487">
        <f>(B11/B$15)*B$16</f>
        <v>0.19945283536028208</v>
      </c>
    </row>
    <row r="24" spans="1:11" x14ac:dyDescent="0.2">
      <c r="A24" s="476" t="s">
        <v>803</v>
      </c>
      <c r="B24" s="487">
        <f>(B12/B$15)*B$16</f>
        <v>0.12390046749429048</v>
      </c>
    </row>
    <row r="25" spans="1:11" x14ac:dyDescent="0.2">
      <c r="A25" s="476" t="s">
        <v>811</v>
      </c>
      <c r="B25" s="487">
        <f>(B13/B$15)*B$16</f>
        <v>0.17578727909680572</v>
      </c>
    </row>
    <row r="26" spans="1:11" x14ac:dyDescent="0.2">
      <c r="A26" s="476" t="s">
        <v>807</v>
      </c>
      <c r="B26" s="487">
        <f>(B14/B$15)*B$16</f>
        <v>3.662075470646059E-2</v>
      </c>
    </row>
    <row r="27" spans="1:11" x14ac:dyDescent="0.2">
      <c r="B27" s="475">
        <f>SUM(B22:B26)-B16</f>
        <v>0</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EA60E-F923-4ECD-B787-2A0B32ABB055}">
  <sheetPr>
    <tabColor rgb="FF7030A0"/>
  </sheetPr>
  <dimension ref="A1:Q53"/>
  <sheetViews>
    <sheetView workbookViewId="0">
      <selection activeCell="K30" sqref="K30"/>
    </sheetView>
  </sheetViews>
  <sheetFormatPr defaultColWidth="9.140625" defaultRowHeight="12" x14ac:dyDescent="0.2"/>
  <cols>
    <col min="1" max="1" width="24.5703125" style="481" customWidth="1"/>
    <col min="2" max="2" width="12.42578125" style="468" customWidth="1"/>
    <col min="3" max="3" width="15.42578125" style="468" customWidth="1"/>
    <col min="4" max="4" width="13.85546875" style="468" customWidth="1"/>
    <col min="5" max="5" width="28.85546875" style="468" customWidth="1"/>
    <col min="6" max="6" width="12.5703125" style="468" customWidth="1"/>
    <col min="7" max="7" width="12" style="468" customWidth="1"/>
    <col min="8" max="8" width="9.42578125" style="468" bestFit="1" customWidth="1"/>
    <col min="9" max="9" width="10.140625" style="468" bestFit="1" customWidth="1"/>
    <col min="10" max="11" width="9.42578125" style="468" bestFit="1" customWidth="1"/>
    <col min="12" max="12" width="10" style="468" customWidth="1"/>
    <col min="13" max="16384" width="9.140625" style="481"/>
  </cols>
  <sheetData>
    <row r="1" spans="1:13" ht="12.75" x14ac:dyDescent="0.2">
      <c r="A1" s="815"/>
      <c r="B1" s="815">
        <v>2010</v>
      </c>
      <c r="C1" s="815">
        <v>2015</v>
      </c>
      <c r="D1" s="817" t="s">
        <v>158</v>
      </c>
      <c r="E1" s="817" t="s">
        <v>159</v>
      </c>
      <c r="F1" s="817" t="s">
        <v>1505</v>
      </c>
      <c r="G1" s="817" t="s">
        <v>1506</v>
      </c>
      <c r="H1" s="817" t="s">
        <v>1507</v>
      </c>
    </row>
    <row r="2" spans="1:13" x14ac:dyDescent="0.2">
      <c r="A2" s="481" t="str">
        <f>'GHG Reports'!B107</f>
        <v>MediumDuty-</v>
      </c>
      <c r="B2" s="816">
        <f>'GHG Reports'!C107</f>
        <v>6.0913161715540118</v>
      </c>
      <c r="C2" s="816">
        <f>'GHG Reports'!D107</f>
        <v>6.220761631438279</v>
      </c>
      <c r="D2" s="481"/>
      <c r="E2" s="816"/>
      <c r="F2" s="481"/>
      <c r="G2" s="481"/>
      <c r="H2" s="818"/>
    </row>
    <row r="3" spans="1:13" ht="12.75" x14ac:dyDescent="0.2">
      <c r="A3" s="481" t="str">
        <f>'GHG Reports'!B108</f>
        <v>CNG</v>
      </c>
      <c r="B3" s="816">
        <f>'GHG Reports'!C108</f>
        <v>1.2292592241518645E-2</v>
      </c>
      <c r="C3" s="816">
        <f>'GHG Reports'!D108</f>
        <v>2.0938755001713057E-2</v>
      </c>
      <c r="D3" s="481" t="str">
        <f>TechData!B20</f>
        <v>TMCNGE</v>
      </c>
      <c r="E3" s="481" t="str">
        <f>TechData!C20</f>
        <v>Medium Duty Truck, Existing CNG</v>
      </c>
      <c r="F3" s="819">
        <f>TechData!K20</f>
        <v>6.647053255679522E-2</v>
      </c>
      <c r="G3" s="819">
        <f>B3*F3</f>
        <v>8.1709515279727342E-4</v>
      </c>
      <c r="H3" s="819">
        <f>C3*F3</f>
        <v>1.3918101960401265E-3</v>
      </c>
      <c r="L3" s="296">
        <f>5.7*10^6</f>
        <v>5700000</v>
      </c>
      <c r="M3" s="296" t="s">
        <v>2324</v>
      </c>
    </row>
    <row r="4" spans="1:13" ht="12.75" x14ac:dyDescent="0.2">
      <c r="A4" s="481" t="str">
        <f>'GHG Reports'!B109</f>
        <v>Diesel</v>
      </c>
      <c r="B4" s="816">
        <f>'GHG Reports'!C109</f>
        <v>1.912795644080665</v>
      </c>
      <c r="C4" s="816">
        <f>'GHG Reports'!D109</f>
        <v>2.2188366743728469</v>
      </c>
      <c r="D4" s="481" t="str">
        <f>TechData!B19</f>
        <v>TMDSLE</v>
      </c>
      <c r="E4" s="481" t="str">
        <f>TechData!C19</f>
        <v>Medium Duty Truck, Existing Diesel</v>
      </c>
      <c r="F4" s="819">
        <f>TechData!K19</f>
        <v>8.3040935672514624E-2</v>
      </c>
      <c r="G4" s="819">
        <f>B4*F4</f>
        <v>0.15884034003476868</v>
      </c>
      <c r="H4" s="819">
        <f>C4*F4</f>
        <v>0.18425427354441185</v>
      </c>
      <c r="L4" s="296">
        <f>L3*1.05*10^-6</f>
        <v>5.9849999999999994</v>
      </c>
      <c r="M4" s="296" t="s">
        <v>11</v>
      </c>
    </row>
    <row r="5" spans="1:13" ht="12.75" x14ac:dyDescent="0.2">
      <c r="A5" s="481" t="str">
        <f>'GHG Reports'!B113</f>
        <v>Gasoline</v>
      </c>
      <c r="B5" s="816">
        <f>'GHG Reports'!C113</f>
        <v>4.1662279352318281</v>
      </c>
      <c r="C5" s="816">
        <f>'GHG Reports'!D113</f>
        <v>3.9809862020637192</v>
      </c>
      <c r="D5" s="481" t="str">
        <f>TechData!B18</f>
        <v>TMGSLE</v>
      </c>
      <c r="E5" s="481" t="str">
        <f>TechData!C18</f>
        <v>Medium Duty Truck, Existing Gasoline</v>
      </c>
      <c r="F5" s="819">
        <f>TechData!K18</f>
        <v>8.1247595996775002E-2</v>
      </c>
      <c r="G5" s="819">
        <f>B5*F5</f>
        <v>0.33849600411219366</v>
      </c>
      <c r="H5" s="819">
        <f>C5*F5</f>
        <v>0.32344555861400875</v>
      </c>
      <c r="L5" s="296">
        <v>497</v>
      </c>
      <c r="M5" s="296" t="s">
        <v>2325</v>
      </c>
    </row>
    <row r="6" spans="1:13" ht="12.75" x14ac:dyDescent="0.2">
      <c r="B6" s="481"/>
      <c r="C6" s="481"/>
      <c r="D6" s="481"/>
      <c r="E6" s="481"/>
      <c r="F6" s="481"/>
      <c r="G6" s="819"/>
      <c r="H6" s="819"/>
      <c r="L6" s="296">
        <f>L5/L4/1000</f>
        <v>8.3040935672514624E-2</v>
      </c>
      <c r="M6" s="296" t="s">
        <v>2327</v>
      </c>
    </row>
    <row r="7" spans="1:13" ht="12.75" x14ac:dyDescent="0.2">
      <c r="B7" s="481"/>
      <c r="C7" s="481"/>
      <c r="D7" s="481"/>
      <c r="E7" s="481"/>
      <c r="F7" s="481"/>
      <c r="G7" s="481"/>
      <c r="H7" s="818"/>
      <c r="L7" s="468">
        <v>1.3637836307038613</v>
      </c>
      <c r="M7" s="296" t="s">
        <v>2328</v>
      </c>
    </row>
    <row r="8" spans="1:13" x14ac:dyDescent="0.2">
      <c r="B8" s="816"/>
      <c r="C8" s="816"/>
      <c r="D8" s="481"/>
      <c r="H8" s="471"/>
    </row>
    <row r="9" spans="1:13" x14ac:dyDescent="0.2">
      <c r="B9" s="816"/>
      <c r="C9" s="816"/>
      <c r="D9" s="481"/>
      <c r="H9" s="471"/>
    </row>
    <row r="10" spans="1:13" x14ac:dyDescent="0.2">
      <c r="B10" s="816"/>
      <c r="C10" s="816"/>
      <c r="D10" s="481"/>
      <c r="H10" s="471"/>
    </row>
    <row r="11" spans="1:13" x14ac:dyDescent="0.2">
      <c r="B11" s="816"/>
      <c r="C11" s="816"/>
      <c r="D11" s="481"/>
      <c r="H11" s="471"/>
    </row>
    <row r="15" spans="1:13" s="483" customFormat="1" x14ac:dyDescent="0.2">
      <c r="A15" s="482" t="s">
        <v>1299</v>
      </c>
      <c r="B15" s="472">
        <v>2010</v>
      </c>
      <c r="C15" s="472">
        <v>2015</v>
      </c>
      <c r="D15" s="472">
        <v>2020</v>
      </c>
      <c r="E15" s="472">
        <v>2025</v>
      </c>
      <c r="F15" s="472">
        <v>2030</v>
      </c>
      <c r="G15" s="472">
        <v>2035</v>
      </c>
      <c r="H15" s="472">
        <v>2040</v>
      </c>
      <c r="I15" s="472">
        <v>2045</v>
      </c>
      <c r="J15" s="472">
        <v>2050</v>
      </c>
      <c r="K15" s="472">
        <v>2055</v>
      </c>
      <c r="L15" s="473"/>
    </row>
    <row r="16" spans="1:13" x14ac:dyDescent="0.2">
      <c r="A16" s="481" t="s">
        <v>799</v>
      </c>
      <c r="B16" s="468">
        <v>1385108</v>
      </c>
      <c r="C16" s="468">
        <v>1455444</v>
      </c>
      <c r="D16" s="468">
        <v>1446788</v>
      </c>
      <c r="E16" s="468">
        <v>1482893</v>
      </c>
      <c r="F16" s="468">
        <v>1518998</v>
      </c>
      <c r="G16" s="468">
        <v>1549121.5</v>
      </c>
      <c r="H16" s="468">
        <v>1579245</v>
      </c>
      <c r="I16" s="468">
        <v>1625954.9772727266</v>
      </c>
      <c r="J16" s="468">
        <v>1660587.6071428563</v>
      </c>
      <c r="K16" s="468">
        <v>1695220.2370129861</v>
      </c>
    </row>
    <row r="17" spans="1:17" x14ac:dyDescent="0.2">
      <c r="A17" s="481" t="s">
        <v>855</v>
      </c>
      <c r="B17" s="468">
        <v>2552911</v>
      </c>
      <c r="C17" s="468">
        <v>2636735</v>
      </c>
      <c r="D17" s="468">
        <v>2648452</v>
      </c>
      <c r="E17" s="468">
        <v>2701230.5</v>
      </c>
      <c r="F17" s="468">
        <v>2754009</v>
      </c>
      <c r="G17" s="468">
        <v>2797267</v>
      </c>
      <c r="H17" s="468">
        <v>2840525</v>
      </c>
      <c r="I17" s="468">
        <v>2908244.5075757541</v>
      </c>
      <c r="J17" s="468">
        <v>2959463.6785714254</v>
      </c>
      <c r="K17" s="468">
        <v>3010682.8495670967</v>
      </c>
    </row>
    <row r="18" spans="1:17" x14ac:dyDescent="0.2">
      <c r="A18" s="481" t="s">
        <v>803</v>
      </c>
      <c r="B18" s="468">
        <v>1585873</v>
      </c>
      <c r="C18" s="468">
        <v>1644518</v>
      </c>
      <c r="D18" s="468">
        <v>1638281</v>
      </c>
      <c r="E18" s="468">
        <v>1657500.5</v>
      </c>
      <c r="F18" s="468">
        <v>1676720</v>
      </c>
      <c r="G18" s="468">
        <v>1684168.5</v>
      </c>
      <c r="H18" s="468">
        <v>1691617</v>
      </c>
      <c r="I18" s="468">
        <v>1733166.166666667</v>
      </c>
      <c r="J18" s="468">
        <v>1753311.5714285718</v>
      </c>
      <c r="K18" s="468">
        <v>1773456.9761904767</v>
      </c>
    </row>
    <row r="19" spans="1:17" x14ac:dyDescent="0.2">
      <c r="A19" s="481" t="s">
        <v>811</v>
      </c>
      <c r="B19" s="468">
        <v>2250002</v>
      </c>
      <c r="C19" s="468">
        <v>2339150</v>
      </c>
      <c r="D19" s="468">
        <v>2330295</v>
      </c>
      <c r="E19" s="468">
        <v>2351923</v>
      </c>
      <c r="F19" s="468">
        <v>2373551</v>
      </c>
      <c r="G19" s="468">
        <v>2393100</v>
      </c>
      <c r="H19" s="468">
        <v>2412649</v>
      </c>
      <c r="I19" s="468">
        <v>2496538.7575757559</v>
      </c>
      <c r="J19" s="468">
        <v>2533665.5714285709</v>
      </c>
      <c r="K19" s="468">
        <v>2570792.385281384</v>
      </c>
    </row>
    <row r="20" spans="1:17" x14ac:dyDescent="0.2">
      <c r="A20" s="481" t="s">
        <v>807</v>
      </c>
      <c r="B20" s="468">
        <v>468730</v>
      </c>
      <c r="C20" s="468">
        <v>474558</v>
      </c>
      <c r="D20" s="468">
        <v>487155</v>
      </c>
      <c r="E20" s="468">
        <v>492452</v>
      </c>
      <c r="F20" s="468">
        <v>497749</v>
      </c>
      <c r="G20" s="468">
        <v>499429</v>
      </c>
      <c r="H20" s="468">
        <v>501109</v>
      </c>
      <c r="I20" s="468">
        <v>528935.80303030275</v>
      </c>
      <c r="J20" s="468">
        <v>539243.35714285728</v>
      </c>
      <c r="K20" s="468">
        <v>549550.9112554118</v>
      </c>
    </row>
    <row r="21" spans="1:17" x14ac:dyDescent="0.2">
      <c r="A21" s="481" t="s">
        <v>775</v>
      </c>
      <c r="B21" s="468">
        <f>SUM(B16:B20)</f>
        <v>8242624</v>
      </c>
      <c r="C21" s="468">
        <f t="shared" ref="C21:K21" si="0">SUM(C16:C20)</f>
        <v>8550405</v>
      </c>
      <c r="D21" s="468">
        <f t="shared" si="0"/>
        <v>8550971</v>
      </c>
      <c r="E21" s="468">
        <f t="shared" si="0"/>
        <v>8685999</v>
      </c>
      <c r="F21" s="468">
        <f t="shared" si="0"/>
        <v>8821027</v>
      </c>
      <c r="G21" s="468">
        <f t="shared" si="0"/>
        <v>8923086</v>
      </c>
      <c r="H21" s="468">
        <f t="shared" si="0"/>
        <v>9025145</v>
      </c>
      <c r="I21" s="468">
        <f t="shared" si="0"/>
        <v>9292840.2121212054</v>
      </c>
      <c r="J21" s="468">
        <f t="shared" si="0"/>
        <v>9446271.7857142836</v>
      </c>
      <c r="K21" s="468">
        <f t="shared" si="0"/>
        <v>9599703.3593073562</v>
      </c>
    </row>
    <row r="22" spans="1:17" x14ac:dyDescent="0.2">
      <c r="A22" s="481" t="s">
        <v>1501</v>
      </c>
      <c r="B22" s="470">
        <f>SUM(G3:G5)</f>
        <v>0.49815343929975964</v>
      </c>
      <c r="C22" s="470">
        <f>SUM(H3:H5)</f>
        <v>0.50909164235446069</v>
      </c>
      <c r="D22" s="470">
        <f>C22*D21/C21</f>
        <v>0.50912534202945536</v>
      </c>
      <c r="E22" s="470">
        <f t="shared" ref="E22:K22" si="1">D22*E21/D21</f>
        <v>0.51716491749796689</v>
      </c>
      <c r="F22" s="470">
        <f t="shared" si="1"/>
        <v>0.52520449296647842</v>
      </c>
      <c r="G22" s="470">
        <f t="shared" si="1"/>
        <v>0.53128109213658259</v>
      </c>
      <c r="H22" s="470">
        <f t="shared" si="1"/>
        <v>0.53735769130668665</v>
      </c>
      <c r="I22" s="470">
        <f t="shared" si="1"/>
        <v>0.55329628078744342</v>
      </c>
      <c r="J22" s="470">
        <f t="shared" si="1"/>
        <v>0.562431606165543</v>
      </c>
      <c r="K22" s="470">
        <f t="shared" si="1"/>
        <v>0.57156693154364224</v>
      </c>
      <c r="L22" s="470"/>
      <c r="M22" s="819"/>
      <c r="N22" s="819"/>
      <c r="O22" s="819"/>
      <c r="P22" s="819"/>
      <c r="Q22" s="819"/>
    </row>
    <row r="24" spans="1:17" s="306" customFormat="1" x14ac:dyDescent="0.2">
      <c r="A24" s="483" t="s">
        <v>1508</v>
      </c>
      <c r="B24" s="472">
        <v>2010</v>
      </c>
      <c r="C24" s="472">
        <v>2015</v>
      </c>
      <c r="D24" s="472">
        <v>2020</v>
      </c>
      <c r="E24" s="472">
        <v>2025</v>
      </c>
      <c r="F24" s="472">
        <v>2030</v>
      </c>
      <c r="G24" s="472">
        <v>2035</v>
      </c>
      <c r="H24" s="472">
        <v>2040</v>
      </c>
      <c r="I24" s="472">
        <v>2045</v>
      </c>
      <c r="J24" s="472">
        <v>2050</v>
      </c>
      <c r="K24" s="472">
        <v>2055</v>
      </c>
      <c r="L24" s="822"/>
    </row>
    <row r="25" spans="1:17" x14ac:dyDescent="0.2">
      <c r="A25" s="481" t="s">
        <v>799</v>
      </c>
      <c r="B25" s="474">
        <f>$B$22*B16/$B$21</f>
        <v>8.3710759340910296E-2</v>
      </c>
      <c r="C25" s="474">
        <f>C$22*C16/C$21</f>
        <v>8.6657225747195088E-2</v>
      </c>
      <c r="D25" s="474">
        <f t="shared" ref="D25:K25" si="2">D$22*D16/D$21</f>
        <v>8.614184697201191E-2</v>
      </c>
      <c r="E25" s="474">
        <f t="shared" si="2"/>
        <v>8.8291540904311946E-2</v>
      </c>
      <c r="F25" s="474">
        <f t="shared" si="2"/>
        <v>9.0441234836611969E-2</v>
      </c>
      <c r="G25" s="474">
        <f t="shared" si="2"/>
        <v>9.2234789889087815E-2</v>
      </c>
      <c r="H25" s="474">
        <f t="shared" si="2"/>
        <v>9.4028344941563646E-2</v>
      </c>
      <c r="I25" s="474">
        <f t="shared" si="2"/>
        <v>9.6809459876366369E-2</v>
      </c>
      <c r="J25" s="474">
        <f t="shared" si="2"/>
        <v>9.8871488800100202E-2</v>
      </c>
      <c r="K25" s="474">
        <f t="shared" si="2"/>
        <v>0.10093351772383406</v>
      </c>
    </row>
    <row r="26" spans="1:17" x14ac:dyDescent="0.2">
      <c r="A26" s="481" t="s">
        <v>855</v>
      </c>
      <c r="B26" s="474">
        <f>$B$22*B17/$B$21</f>
        <v>0.15428841530029619</v>
      </c>
      <c r="C26" s="474">
        <f>C$22*C17/C$21</f>
        <v>0.15699136492405785</v>
      </c>
      <c r="D26" s="474">
        <f t="shared" ref="C26:K29" si="3">D$22*D17/D$21</f>
        <v>0.15768899582849658</v>
      </c>
      <c r="E26" s="474">
        <f t="shared" si="3"/>
        <v>0.16083143098168579</v>
      </c>
      <c r="F26" s="474">
        <f t="shared" si="3"/>
        <v>0.16397386613487502</v>
      </c>
      <c r="G26" s="474">
        <f t="shared" si="3"/>
        <v>0.16654945012943079</v>
      </c>
      <c r="H26" s="474">
        <f t="shared" si="3"/>
        <v>0.1691250341239865</v>
      </c>
      <c r="I26" s="474">
        <f t="shared" si="3"/>
        <v>0.17315705779200877</v>
      </c>
      <c r="J26" s="474">
        <f t="shared" si="3"/>
        <v>0.17620665039987007</v>
      </c>
      <c r="K26" s="474">
        <f t="shared" si="3"/>
        <v>0.17925624300773135</v>
      </c>
    </row>
    <row r="27" spans="1:17" x14ac:dyDescent="0.2">
      <c r="A27" s="481" t="s">
        <v>803</v>
      </c>
      <c r="B27" s="474">
        <f>$B$22*B18/$B$21</f>
        <v>9.584424683724839E-2</v>
      </c>
      <c r="C27" s="474">
        <f t="shared" si="3"/>
        <v>9.7914703397262826E-2</v>
      </c>
      <c r="D27" s="474">
        <f t="shared" si="3"/>
        <v>9.7543352031641578E-2</v>
      </c>
      <c r="E27" s="474">
        <f t="shared" si="3"/>
        <v>9.8687682249944869E-2</v>
      </c>
      <c r="F27" s="474">
        <f t="shared" si="3"/>
        <v>9.983201246824816E-2</v>
      </c>
      <c r="G27" s="474">
        <f t="shared" si="3"/>
        <v>0.10027549661877405</v>
      </c>
      <c r="H27" s="474">
        <f t="shared" si="3"/>
        <v>0.10071898076929993</v>
      </c>
      <c r="I27" s="474">
        <f t="shared" si="3"/>
        <v>0.10319282072153524</v>
      </c>
      <c r="J27" s="474">
        <f t="shared" si="3"/>
        <v>0.10439227936660919</v>
      </c>
      <c r="K27" s="474">
        <f t="shared" si="3"/>
        <v>0.10559173801168314</v>
      </c>
    </row>
    <row r="28" spans="1:17" x14ac:dyDescent="0.2">
      <c r="A28" s="481" t="s">
        <v>811</v>
      </c>
      <c r="B28" s="474">
        <f>$B$22*B19/$B$21</f>
        <v>0.1359817255683794</v>
      </c>
      <c r="C28" s="474">
        <f t="shared" si="3"/>
        <v>0.13927313562497176</v>
      </c>
      <c r="D28" s="474">
        <f t="shared" si="3"/>
        <v>0.13874590837748482</v>
      </c>
      <c r="E28" s="474">
        <f t="shared" si="3"/>
        <v>0.14003364083470085</v>
      </c>
      <c r="F28" s="474">
        <f t="shared" si="3"/>
        <v>0.14132137329191688</v>
      </c>
      <c r="G28" s="474">
        <f t="shared" si="3"/>
        <v>0.14248532196059252</v>
      </c>
      <c r="H28" s="474">
        <f t="shared" si="3"/>
        <v>0.14364927062926813</v>
      </c>
      <c r="I28" s="474">
        <f t="shared" si="3"/>
        <v>0.14864407198206478</v>
      </c>
      <c r="J28" s="474">
        <f t="shared" si="3"/>
        <v>0.1508546047743381</v>
      </c>
      <c r="K28" s="474">
        <f t="shared" si="3"/>
        <v>0.15306513756661136</v>
      </c>
    </row>
    <row r="29" spans="1:17" x14ac:dyDescent="0.2">
      <c r="A29" s="481" t="s">
        <v>807</v>
      </c>
      <c r="B29" s="474">
        <f>$B$22*B20/$B$21</f>
        <v>2.8328292252925324E-2</v>
      </c>
      <c r="C29" s="474">
        <f t="shared" si="3"/>
        <v>2.8255212660973156E-2</v>
      </c>
      <c r="D29" s="474">
        <f t="shared" si="3"/>
        <v>2.9005238819820499E-2</v>
      </c>
      <c r="E29" s="474">
        <f t="shared" si="3"/>
        <v>2.9320622527323429E-2</v>
      </c>
      <c r="F29" s="474">
        <f t="shared" si="3"/>
        <v>2.9636006234826359E-2</v>
      </c>
      <c r="G29" s="474">
        <f t="shared" si="3"/>
        <v>2.9736033538697412E-2</v>
      </c>
      <c r="H29" s="474">
        <f t="shared" si="3"/>
        <v>2.983606084256845E-2</v>
      </c>
      <c r="I29" s="474">
        <f t="shared" si="3"/>
        <v>3.1492870415468319E-2</v>
      </c>
      <c r="J29" s="474">
        <f t="shared" si="3"/>
        <v>3.21065828246253E-2</v>
      </c>
      <c r="K29" s="474">
        <f t="shared" si="3"/>
        <v>3.2720295233782275E-2</v>
      </c>
    </row>
    <row r="30" spans="1:17" x14ac:dyDescent="0.2">
      <c r="B30" s="475">
        <f t="shared" ref="B30:K30" si="4">SUM(B25:B29)-B22</f>
        <v>0</v>
      </c>
      <c r="C30" s="475">
        <f t="shared" si="4"/>
        <v>0</v>
      </c>
      <c r="D30" s="475">
        <f t="shared" si="4"/>
        <v>0</v>
      </c>
      <c r="E30" s="475">
        <f t="shared" si="4"/>
        <v>0</v>
      </c>
      <c r="F30" s="475">
        <f t="shared" si="4"/>
        <v>0</v>
      </c>
      <c r="G30" s="475">
        <f t="shared" si="4"/>
        <v>0</v>
      </c>
      <c r="H30" s="475">
        <f t="shared" si="4"/>
        <v>0</v>
      </c>
      <c r="I30" s="475">
        <f t="shared" si="4"/>
        <v>0</v>
      </c>
      <c r="J30" s="475">
        <f t="shared" si="4"/>
        <v>0</v>
      </c>
      <c r="K30" s="475">
        <f t="shared" si="4"/>
        <v>0</v>
      </c>
    </row>
    <row r="32" spans="1:17" x14ac:dyDescent="0.2">
      <c r="A32" s="479" t="str">
        <f>D3</f>
        <v>TMCNGE</v>
      </c>
      <c r="B32" s="485">
        <v>2010</v>
      </c>
      <c r="C32" s="485">
        <v>2015</v>
      </c>
      <c r="D32" s="823"/>
      <c r="E32" s="823"/>
      <c r="F32" s="823"/>
      <c r="G32" s="823"/>
      <c r="H32" s="823"/>
      <c r="I32" s="823"/>
      <c r="J32" s="823"/>
      <c r="K32" s="823"/>
      <c r="L32" s="481"/>
    </row>
    <row r="33" spans="1:12" x14ac:dyDescent="0.2">
      <c r="A33" s="484" t="s">
        <v>799</v>
      </c>
      <c r="B33" s="478">
        <f>B25*$G$3*1.1/SUM($G$3:$G$5)</f>
        <v>1.510370406548689E-4</v>
      </c>
      <c r="C33" s="478">
        <f>C25*$H$3/SUM($H$3:$H$5)</f>
        <v>2.3691296482042962E-4</v>
      </c>
      <c r="D33" s="478"/>
      <c r="E33" s="478"/>
      <c r="F33" s="478"/>
      <c r="G33" s="478"/>
      <c r="H33" s="478"/>
      <c r="I33" s="478"/>
      <c r="J33" s="478"/>
      <c r="K33" s="478"/>
      <c r="L33" s="478"/>
    </row>
    <row r="34" spans="1:12" x14ac:dyDescent="0.2">
      <c r="A34" s="484" t="s">
        <v>855</v>
      </c>
      <c r="B34" s="478">
        <f>B26*$G$3*1.1/SUM($G$3:$G$5)</f>
        <v>2.7837838096037427E-4</v>
      </c>
      <c r="C34" s="478">
        <f>C26*$H$3/SUM($H$3:$H$5)</f>
        <v>4.2920009721830288E-4</v>
      </c>
      <c r="D34" s="478"/>
      <c r="E34" s="478"/>
      <c r="F34" s="478"/>
      <c r="G34" s="478"/>
      <c r="H34" s="478"/>
      <c r="I34" s="478"/>
      <c r="J34" s="478"/>
      <c r="K34" s="478"/>
      <c r="L34" s="478"/>
    </row>
    <row r="35" spans="1:12" x14ac:dyDescent="0.2">
      <c r="A35" s="484" t="s">
        <v>803</v>
      </c>
      <c r="B35" s="478">
        <f>B27*$G$3*1.1/SUM($G$3:$G$5)</f>
        <v>1.7292916131771599E-4</v>
      </c>
      <c r="C35" s="478">
        <f>C27*$H$3/SUM($H$3:$H$5)</f>
        <v>2.676898836922364E-4</v>
      </c>
      <c r="D35" s="478"/>
      <c r="E35" s="478"/>
      <c r="F35" s="478"/>
      <c r="G35" s="478"/>
      <c r="H35" s="478"/>
      <c r="I35" s="478"/>
      <c r="J35" s="478"/>
      <c r="K35" s="478"/>
      <c r="L35" s="478"/>
    </row>
    <row r="36" spans="1:12" x14ac:dyDescent="0.2">
      <c r="A36" s="484" t="s">
        <v>811</v>
      </c>
      <c r="B36" s="478">
        <f>B28*$G$3*1.1/SUM($G$3:$G$5)</f>
        <v>2.4534811981992481E-4</v>
      </c>
      <c r="C36" s="478">
        <f>C28*$H$3/SUM($H$3:$H$5)</f>
        <v>3.8076007160681413E-4</v>
      </c>
      <c r="D36" s="478"/>
      <c r="E36" s="478"/>
      <c r="F36" s="478"/>
      <c r="G36" s="478"/>
      <c r="H36" s="478"/>
      <c r="I36" s="478"/>
      <c r="J36" s="478"/>
      <c r="K36" s="478"/>
      <c r="L36" s="478"/>
    </row>
    <row r="37" spans="1:12" x14ac:dyDescent="0.2">
      <c r="A37" s="484" t="s">
        <v>807</v>
      </c>
      <c r="B37" s="478">
        <f>B29*$G$3*1.1/SUM($G$3:$G$5)</f>
        <v>5.1111965324116763E-5</v>
      </c>
      <c r="C37" s="478">
        <f>C29*$H$3/SUM($H$3:$H$5)</f>
        <v>7.7247178702343397E-5</v>
      </c>
      <c r="D37" s="478"/>
      <c r="E37" s="478"/>
      <c r="F37" s="478"/>
      <c r="G37" s="478"/>
      <c r="H37" s="478"/>
      <c r="I37" s="478"/>
      <c r="J37" s="478"/>
      <c r="K37" s="478"/>
      <c r="L37" s="478"/>
    </row>
    <row r="38" spans="1:12" x14ac:dyDescent="0.2">
      <c r="L38" s="481"/>
    </row>
    <row r="39" spans="1:12" x14ac:dyDescent="0.2">
      <c r="A39" s="479" t="str">
        <f>D4</f>
        <v>TMDSLE</v>
      </c>
      <c r="B39" s="485">
        <v>2010</v>
      </c>
      <c r="C39" s="485">
        <v>2015</v>
      </c>
      <c r="D39" s="823"/>
      <c r="E39" s="823"/>
      <c r="F39" s="823"/>
      <c r="G39" s="823"/>
      <c r="H39" s="823"/>
      <c r="I39" s="823"/>
      <c r="J39" s="823"/>
      <c r="K39" s="823"/>
      <c r="L39" s="481"/>
    </row>
    <row r="40" spans="1:12" x14ac:dyDescent="0.2">
      <c r="A40" s="484" t="s">
        <v>799</v>
      </c>
      <c r="B40" s="478">
        <f>B25*$G$4*1.1/SUM($G$3:$G$5)</f>
        <v>2.9361053989041135E-2</v>
      </c>
      <c r="C40" s="478">
        <f>C25*$H$4/SUM($H$3:$H$5)</f>
        <v>3.1363634459955166E-2</v>
      </c>
      <c r="D40" s="478"/>
      <c r="E40" s="478"/>
      <c r="F40" s="478"/>
      <c r="G40" s="478"/>
      <c r="H40" s="478"/>
      <c r="I40" s="478"/>
      <c r="J40" s="478"/>
      <c r="K40" s="478"/>
      <c r="L40" s="481"/>
    </row>
    <row r="41" spans="1:12" x14ac:dyDescent="0.2">
      <c r="A41" s="484" t="s">
        <v>855</v>
      </c>
      <c r="B41" s="478">
        <f>B26*$G$4*1.1/SUM($G$3:$G$5)</f>
        <v>5.4115749602353748E-2</v>
      </c>
      <c r="C41" s="478">
        <f>C26*$H$4/SUM($H$3:$H$5)</f>
        <v>5.6819494743713866E-2</v>
      </c>
      <c r="D41" s="478"/>
      <c r="E41" s="478"/>
      <c r="F41" s="478"/>
      <c r="G41" s="478"/>
      <c r="H41" s="478"/>
      <c r="I41" s="478"/>
      <c r="J41" s="478"/>
      <c r="K41" s="478"/>
      <c r="L41" s="481"/>
    </row>
    <row r="42" spans="1:12" x14ac:dyDescent="0.2">
      <c r="A42" s="484" t="s">
        <v>803</v>
      </c>
      <c r="B42" s="478">
        <f>B27*$G$4*1.1/SUM($G$3:$G$5)</f>
        <v>3.3616803002193787E-2</v>
      </c>
      <c r="C42" s="478">
        <f>C27*$H$4/SUM($H$3:$H$5)</f>
        <v>3.5438025382506337E-2</v>
      </c>
      <c r="D42" s="478"/>
      <c r="E42" s="478"/>
      <c r="F42" s="478"/>
      <c r="G42" s="478"/>
      <c r="H42" s="478"/>
      <c r="I42" s="478"/>
      <c r="J42" s="478"/>
      <c r="K42" s="478"/>
      <c r="L42" s="481"/>
    </row>
    <row r="43" spans="1:12" x14ac:dyDescent="0.2">
      <c r="A43" s="484" t="s">
        <v>811</v>
      </c>
      <c r="B43" s="478">
        <f>B28*$G$4*1.1/SUM($G$3:$G$5)</f>
        <v>4.7694786397487088E-2</v>
      </c>
      <c r="C43" s="478">
        <f>C28*$H$4/SUM($H$3:$H$5)</f>
        <v>5.040678002520476E-2</v>
      </c>
      <c r="D43" s="478"/>
      <c r="E43" s="478"/>
      <c r="F43" s="478"/>
      <c r="G43" s="478"/>
      <c r="H43" s="478"/>
      <c r="I43" s="478"/>
      <c r="J43" s="478"/>
      <c r="K43" s="478"/>
      <c r="L43" s="481"/>
    </row>
    <row r="44" spans="1:12" x14ac:dyDescent="0.2">
      <c r="A44" s="484" t="s">
        <v>807</v>
      </c>
      <c r="B44" s="478">
        <f>B29*$G$4*1.1/SUM($G$3:$G$5)</f>
        <v>9.9359810471697906E-3</v>
      </c>
      <c r="C44" s="478">
        <f>C29*$H$4/SUM($H$3:$H$5)</f>
        <v>1.0226338933031711E-2</v>
      </c>
      <c r="D44" s="478"/>
      <c r="E44" s="478"/>
      <c r="F44" s="478"/>
      <c r="G44" s="478"/>
      <c r="H44" s="478"/>
      <c r="I44" s="478"/>
      <c r="J44" s="478"/>
      <c r="K44" s="478"/>
      <c r="L44" s="481"/>
    </row>
    <row r="45" spans="1:12" x14ac:dyDescent="0.2">
      <c r="L45" s="481"/>
    </row>
    <row r="46" spans="1:12" x14ac:dyDescent="0.2">
      <c r="A46" s="820" t="str">
        <f>D5</f>
        <v>TMGSLE</v>
      </c>
      <c r="B46" s="485">
        <v>2010</v>
      </c>
      <c r="C46" s="485">
        <v>2015</v>
      </c>
      <c r="D46" s="823"/>
      <c r="E46" s="823"/>
      <c r="F46" s="823"/>
      <c r="G46" s="823"/>
      <c r="H46" s="823"/>
      <c r="I46" s="823"/>
      <c r="J46" s="823"/>
      <c r="K46" s="823"/>
      <c r="L46" s="481"/>
    </row>
    <row r="47" spans="1:12" x14ac:dyDescent="0.2">
      <c r="A47" s="484" t="s">
        <v>799</v>
      </c>
      <c r="B47" s="821">
        <f>B25*$G$5*1.1/SUM($G$3:$G$5)</f>
        <v>6.2569744245305328E-2</v>
      </c>
      <c r="C47" s="821">
        <f>C25*$H$5/SUM($H$3:$H$5)</f>
        <v>5.5056678322419499E-2</v>
      </c>
      <c r="L47" s="481"/>
    </row>
    <row r="48" spans="1:12" x14ac:dyDescent="0.2">
      <c r="A48" s="484" t="s">
        <v>855</v>
      </c>
      <c r="B48" s="821">
        <f>B26*$G$5*1.1/SUM($G$3:$G$5)</f>
        <v>0.11532312884701169</v>
      </c>
      <c r="C48" s="821">
        <f>C26*$H$5/SUM($H$3:$H$5)</f>
        <v>9.9742670083125706E-2</v>
      </c>
      <c r="L48" s="481"/>
    </row>
    <row r="49" spans="1:3" x14ac:dyDescent="0.2">
      <c r="A49" s="484" t="s">
        <v>803</v>
      </c>
      <c r="B49" s="821">
        <f>B27*1.1*$G$5/SUM($G$3:$G$5)</f>
        <v>7.1638939357461726E-2</v>
      </c>
      <c r="C49" s="821">
        <f>C27*$H$5/SUM($H$3:$H$5)</f>
        <v>6.2208988131064263E-2</v>
      </c>
    </row>
    <row r="50" spans="1:3" x14ac:dyDescent="0.2">
      <c r="A50" s="484" t="s">
        <v>811</v>
      </c>
      <c r="B50" s="821">
        <f>B28*$G$5*1.1/SUM($G$3:$G$5)</f>
        <v>0.10163976360791034</v>
      </c>
      <c r="C50" s="821">
        <f>C28*$H$5/SUM($H$3:$H$5)</f>
        <v>8.8485595528160182E-2</v>
      </c>
    </row>
    <row r="51" spans="1:3" x14ac:dyDescent="0.2">
      <c r="A51" s="484" t="s">
        <v>807</v>
      </c>
      <c r="B51" s="821">
        <f>B29*$G$5*1.1/SUM($G$3:$G$5)</f>
        <v>2.117402846572395E-2</v>
      </c>
      <c r="C51" s="821">
        <f>C29*$H$5/SUM($H$3:$H$5)</f>
        <v>1.7951626549239104E-2</v>
      </c>
    </row>
    <row r="53" spans="1:3" x14ac:dyDescent="0.2">
      <c r="B53" s="470">
        <f>SUM(B33:B37)+SUM(B40:B44)+SUM(B47:B51)</f>
        <v>0.54796878322973552</v>
      </c>
      <c r="C53" s="470">
        <f>SUM(C33:C37)+SUM(C40:C44)+SUM(C47:C51)</f>
        <v>0.50909164235446069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42"/>
  <sheetViews>
    <sheetView topLeftCell="A6" workbookViewId="0">
      <selection activeCell="A24" sqref="A24:XFD24"/>
    </sheetView>
  </sheetViews>
  <sheetFormatPr defaultColWidth="9.140625" defaultRowHeight="12" x14ac:dyDescent="0.2"/>
  <cols>
    <col min="1" max="1" width="27" style="476" customWidth="1"/>
    <col min="2" max="2" width="14.5703125" style="476" customWidth="1"/>
    <col min="3" max="3" width="16" style="476" customWidth="1"/>
    <col min="4" max="4" width="10.5703125" style="476" customWidth="1"/>
    <col min="5" max="6" width="9.140625" style="476"/>
    <col min="7" max="7" width="12.85546875" style="476" customWidth="1"/>
    <col min="8" max="8" width="8.85546875" style="476" customWidth="1"/>
    <col min="9" max="10" width="13.42578125" style="476" customWidth="1"/>
    <col min="11" max="11" width="11.42578125" style="476" bestFit="1" customWidth="1"/>
    <col min="12" max="12" width="10.140625" style="476" bestFit="1" customWidth="1"/>
    <col min="13" max="16384" width="9.140625" style="476"/>
  </cols>
  <sheetData>
    <row r="1" spans="1:15" s="490" customFormat="1" x14ac:dyDescent="0.2">
      <c r="A1" s="466" t="s">
        <v>1440</v>
      </c>
      <c r="B1" s="466" t="s">
        <v>1493</v>
      </c>
      <c r="C1" s="466" t="s">
        <v>1494</v>
      </c>
      <c r="D1" s="466" t="s">
        <v>1393</v>
      </c>
      <c r="E1" s="466" t="s">
        <v>1441</v>
      </c>
      <c r="F1" s="466" t="s">
        <v>165</v>
      </c>
      <c r="G1" s="466" t="s">
        <v>1394</v>
      </c>
      <c r="H1" s="466" t="s">
        <v>1442</v>
      </c>
      <c r="I1" s="466" t="s">
        <v>1443</v>
      </c>
      <c r="J1" s="466" t="s">
        <v>1397</v>
      </c>
    </row>
    <row r="2" spans="1:15" x14ac:dyDescent="0.2">
      <c r="A2" s="476" t="s">
        <v>1448</v>
      </c>
      <c r="B2" s="476" t="s">
        <v>1448</v>
      </c>
      <c r="C2" s="476" t="s">
        <v>93</v>
      </c>
      <c r="D2" s="476" t="s">
        <v>1509</v>
      </c>
      <c r="E2" s="476" t="s">
        <v>501</v>
      </c>
      <c r="F2" s="476" t="s">
        <v>1409</v>
      </c>
      <c r="G2" s="486">
        <v>1420989</v>
      </c>
      <c r="H2" s="486">
        <v>78637</v>
      </c>
      <c r="I2" s="486">
        <v>1420989</v>
      </c>
      <c r="J2" s="487">
        <f>I2*0.000001</f>
        <v>1.4209889999999998</v>
      </c>
      <c r="M2" s="501"/>
      <c r="N2" s="501"/>
      <c r="O2" s="501"/>
    </row>
    <row r="3" spans="1:15" x14ac:dyDescent="0.2">
      <c r="A3" s="476" t="s">
        <v>1456</v>
      </c>
      <c r="B3" s="476" t="s">
        <v>1456</v>
      </c>
      <c r="C3" s="476" t="s">
        <v>93</v>
      </c>
      <c r="D3" s="476" t="s">
        <v>1509</v>
      </c>
      <c r="E3" s="476" t="s">
        <v>922</v>
      </c>
      <c r="F3" s="476" t="s">
        <v>1403</v>
      </c>
      <c r="G3" s="486">
        <v>7545275</v>
      </c>
      <c r="H3" s="486">
        <v>20391</v>
      </c>
      <c r="I3" s="486">
        <v>833424.15249999997</v>
      </c>
      <c r="J3" s="487">
        <f>I3*0.000001</f>
        <v>0.8334241524999999</v>
      </c>
      <c r="M3" s="501">
        <v>0.44</v>
      </c>
      <c r="N3" s="501">
        <v>2.34</v>
      </c>
      <c r="O3" s="501"/>
    </row>
    <row r="4" spans="1:15" x14ac:dyDescent="0.2">
      <c r="A4" s="476" t="s">
        <v>1448</v>
      </c>
      <c r="B4" s="476" t="s">
        <v>1448</v>
      </c>
      <c r="C4" s="476" t="s">
        <v>93</v>
      </c>
      <c r="D4" s="476" t="s">
        <v>1509</v>
      </c>
      <c r="E4" s="476" t="s">
        <v>922</v>
      </c>
      <c r="F4" s="476" t="s">
        <v>1403</v>
      </c>
      <c r="G4" s="486">
        <v>188631878</v>
      </c>
      <c r="H4" s="486">
        <v>509784</v>
      </c>
      <c r="I4" s="486">
        <v>8229324.8181999996</v>
      </c>
      <c r="J4" s="487">
        <f>I4*0.000001</f>
        <v>8.2293248181999985</v>
      </c>
      <c r="M4" s="501">
        <v>1.22</v>
      </c>
      <c r="N4" s="501">
        <v>0.44</v>
      </c>
      <c r="O4" s="501"/>
    </row>
    <row r="5" spans="1:15" x14ac:dyDescent="0.2">
      <c r="M5" s="501">
        <v>1.99</v>
      </c>
      <c r="N5" s="501">
        <v>0</v>
      </c>
      <c r="O5" s="501"/>
    </row>
    <row r="6" spans="1:15" x14ac:dyDescent="0.2">
      <c r="M6" s="501">
        <v>0.08</v>
      </c>
      <c r="N6" s="501">
        <v>0.43</v>
      </c>
      <c r="O6" s="501"/>
    </row>
    <row r="7" spans="1:15" s="493" customFormat="1" x14ac:dyDescent="0.2">
      <c r="A7" s="492" t="s">
        <v>479</v>
      </c>
      <c r="M7" s="502">
        <v>1.07</v>
      </c>
      <c r="N7" s="502">
        <v>1.48</v>
      </c>
      <c r="O7" s="502"/>
    </row>
    <row r="8" spans="1:15" s="496" customFormat="1" x14ac:dyDescent="0.2">
      <c r="A8" s="494" t="s">
        <v>158</v>
      </c>
      <c r="B8" s="494" t="s">
        <v>159</v>
      </c>
      <c r="C8" s="494" t="s">
        <v>165</v>
      </c>
      <c r="D8" s="494" t="s">
        <v>168</v>
      </c>
      <c r="E8" s="494" t="s">
        <v>475</v>
      </c>
      <c r="F8" s="495" t="s">
        <v>1501</v>
      </c>
    </row>
    <row r="9" spans="1:15" s="493" customFormat="1" x14ac:dyDescent="0.2">
      <c r="A9" s="497" t="s">
        <v>208</v>
      </c>
      <c r="B9" s="497" t="s">
        <v>1510</v>
      </c>
      <c r="C9" s="497" t="s">
        <v>480</v>
      </c>
      <c r="D9" s="497" t="s">
        <v>39</v>
      </c>
      <c r="E9" s="498">
        <v>3.497096288537007E-2</v>
      </c>
      <c r="F9" s="499">
        <f>E9*(J3+J4)</f>
        <v>0.31693305789377541</v>
      </c>
      <c r="G9" s="493">
        <f>F9/F11</f>
        <v>0.88236863183286363</v>
      </c>
    </row>
    <row r="10" spans="1:15" s="493" customFormat="1" x14ac:dyDescent="0.2">
      <c r="A10" s="497" t="s">
        <v>211</v>
      </c>
      <c r="B10" s="497" t="s">
        <v>481</v>
      </c>
      <c r="C10" s="497" t="s">
        <v>480</v>
      </c>
      <c r="D10" s="497" t="s">
        <v>66</v>
      </c>
      <c r="E10" s="498">
        <v>2.9733765545048953E-2</v>
      </c>
      <c r="F10" s="499">
        <f>E10*J2</f>
        <v>4.2251353768093559E-2</v>
      </c>
      <c r="G10" s="493">
        <f>1-G9</f>
        <v>0.11763136816713637</v>
      </c>
    </row>
    <row r="11" spans="1:15" x14ac:dyDescent="0.2">
      <c r="F11" s="487">
        <f>F9+F10</f>
        <v>0.35918441166186899</v>
      </c>
      <c r="I11" s="493"/>
      <c r="J11" s="493"/>
      <c r="K11" s="493"/>
      <c r="L11" s="493"/>
      <c r="M11" s="493"/>
    </row>
    <row r="13" spans="1:15" s="490" customFormat="1" x14ac:dyDescent="0.2">
      <c r="A13" s="485" t="s">
        <v>1299</v>
      </c>
      <c r="B13" s="485">
        <v>2010</v>
      </c>
      <c r="C13" s="485">
        <v>2015</v>
      </c>
      <c r="D13" s="485">
        <v>2020</v>
      </c>
      <c r="E13" s="485">
        <v>2025</v>
      </c>
      <c r="F13" s="485">
        <v>2030</v>
      </c>
      <c r="G13" s="485">
        <v>2035</v>
      </c>
      <c r="H13" s="485">
        <v>2040</v>
      </c>
      <c r="I13" s="485">
        <v>2045</v>
      </c>
      <c r="J13" s="485">
        <v>2050</v>
      </c>
      <c r="K13" s="485">
        <v>2055</v>
      </c>
    </row>
    <row r="14" spans="1:15" x14ac:dyDescent="0.2">
      <c r="A14" s="476" t="s">
        <v>799</v>
      </c>
      <c r="B14" s="476">
        <v>1385108</v>
      </c>
      <c r="C14" s="476">
        <v>1455444</v>
      </c>
      <c r="D14" s="476">
        <v>1446788</v>
      </c>
      <c r="E14" s="476">
        <v>1482893</v>
      </c>
      <c r="F14" s="476">
        <v>1518998</v>
      </c>
      <c r="G14" s="476">
        <v>1549121.5</v>
      </c>
      <c r="H14" s="476">
        <v>1579245</v>
      </c>
      <c r="I14" s="476">
        <v>1625954.9772727266</v>
      </c>
      <c r="J14" s="476">
        <v>1660587.6071428563</v>
      </c>
      <c r="K14" s="476">
        <v>1695220.2370129861</v>
      </c>
    </row>
    <row r="15" spans="1:15" x14ac:dyDescent="0.2">
      <c r="A15" s="476" t="s">
        <v>855</v>
      </c>
      <c r="B15" s="476">
        <v>2552911</v>
      </c>
      <c r="C15" s="476">
        <v>2636735</v>
      </c>
      <c r="D15" s="476">
        <v>2648452</v>
      </c>
      <c r="E15" s="476">
        <v>2701230.5</v>
      </c>
      <c r="F15" s="476">
        <v>2754009</v>
      </c>
      <c r="G15" s="476">
        <v>2797267</v>
      </c>
      <c r="H15" s="476">
        <v>2840525</v>
      </c>
      <c r="I15" s="476">
        <v>2908244.5075757541</v>
      </c>
      <c r="J15" s="476">
        <v>2959463.6785714254</v>
      </c>
      <c r="K15" s="476">
        <v>3010682.8495670967</v>
      </c>
    </row>
    <row r="16" spans="1:15" x14ac:dyDescent="0.2">
      <c r="A16" s="476" t="s">
        <v>803</v>
      </c>
      <c r="B16" s="476">
        <v>1585873</v>
      </c>
      <c r="C16" s="476">
        <v>1644518</v>
      </c>
      <c r="D16" s="476">
        <v>1638281</v>
      </c>
      <c r="E16" s="476">
        <v>1657500.5</v>
      </c>
      <c r="F16" s="476">
        <v>1676720</v>
      </c>
      <c r="G16" s="476">
        <v>1684168.5</v>
      </c>
      <c r="H16" s="476">
        <v>1691617</v>
      </c>
      <c r="I16" s="476">
        <v>1733166.166666667</v>
      </c>
      <c r="J16" s="476">
        <v>1753311.5714285718</v>
      </c>
      <c r="K16" s="476">
        <v>1773456.9761904767</v>
      </c>
    </row>
    <row r="17" spans="1:11" x14ac:dyDescent="0.2">
      <c r="A17" s="476" t="s">
        <v>811</v>
      </c>
      <c r="B17" s="476">
        <v>2250002</v>
      </c>
      <c r="C17" s="476">
        <v>2339150</v>
      </c>
      <c r="D17" s="476">
        <v>2330295</v>
      </c>
      <c r="E17" s="476">
        <v>2351923</v>
      </c>
      <c r="F17" s="476">
        <v>2373551</v>
      </c>
      <c r="G17" s="476">
        <v>2393100</v>
      </c>
      <c r="H17" s="476">
        <v>2412649</v>
      </c>
      <c r="I17" s="476">
        <v>2496538.7575757559</v>
      </c>
      <c r="J17" s="476">
        <v>2533665.5714285709</v>
      </c>
      <c r="K17" s="476">
        <v>2570792.385281384</v>
      </c>
    </row>
    <row r="18" spans="1:11" x14ac:dyDescent="0.2">
      <c r="A18" s="476" t="s">
        <v>807</v>
      </c>
      <c r="B18" s="476">
        <v>468730</v>
      </c>
      <c r="C18" s="476">
        <v>474558</v>
      </c>
      <c r="D18" s="476">
        <v>487155</v>
      </c>
      <c r="E18" s="476">
        <v>492452</v>
      </c>
      <c r="F18" s="476">
        <v>497749</v>
      </c>
      <c r="G18" s="476">
        <v>499429</v>
      </c>
      <c r="H18" s="476">
        <v>501109</v>
      </c>
      <c r="I18" s="476">
        <v>528935.80303030275</v>
      </c>
      <c r="J18" s="476">
        <v>539243.35714285728</v>
      </c>
      <c r="K18" s="476">
        <v>549550.9112554118</v>
      </c>
    </row>
    <row r="19" spans="1:11" x14ac:dyDescent="0.2">
      <c r="A19" s="476" t="s">
        <v>775</v>
      </c>
      <c r="B19" s="476">
        <f>SUM(B14:B18)</f>
        <v>8242624</v>
      </c>
      <c r="C19" s="476">
        <f t="shared" ref="C19:K19" si="0">SUM(C14:C18)</f>
        <v>8550405</v>
      </c>
      <c r="D19" s="476">
        <f t="shared" si="0"/>
        <v>8550971</v>
      </c>
      <c r="E19" s="476">
        <f t="shared" si="0"/>
        <v>8685999</v>
      </c>
      <c r="F19" s="476">
        <f t="shared" si="0"/>
        <v>8821027</v>
      </c>
      <c r="G19" s="476">
        <f t="shared" si="0"/>
        <v>8923086</v>
      </c>
      <c r="H19" s="476">
        <f t="shared" si="0"/>
        <v>9025145</v>
      </c>
      <c r="I19" s="476">
        <f t="shared" si="0"/>
        <v>9292840.2121212054</v>
      </c>
      <c r="J19" s="476">
        <f t="shared" si="0"/>
        <v>9446271.7857142836</v>
      </c>
      <c r="K19" s="476">
        <f t="shared" si="0"/>
        <v>9599703.3593073562</v>
      </c>
    </row>
    <row r="20" spans="1:11" x14ac:dyDescent="0.2">
      <c r="A20" s="476" t="s">
        <v>1501</v>
      </c>
      <c r="B20" s="500">
        <f>F11</f>
        <v>0.35918441166186899</v>
      </c>
      <c r="C20" s="500">
        <f>B20*C19/B19</f>
        <v>0.37259641946493044</v>
      </c>
      <c r="D20" s="500">
        <f t="shared" ref="D20:K20" si="1">C20*D19/C19</f>
        <v>0.37262108374380576</v>
      </c>
      <c r="E20" s="500">
        <f t="shared" si="1"/>
        <v>0.37850512658476015</v>
      </c>
      <c r="F20" s="500">
        <f t="shared" si="1"/>
        <v>0.38438916942571455</v>
      </c>
      <c r="G20" s="500">
        <f t="shared" si="1"/>
        <v>0.38883653981041227</v>
      </c>
      <c r="H20" s="500">
        <f t="shared" si="1"/>
        <v>0.39328391019511</v>
      </c>
      <c r="I20" s="500">
        <f t="shared" si="1"/>
        <v>0.4049491210879585</v>
      </c>
      <c r="J20" s="500">
        <f t="shared" si="1"/>
        <v>0.41163512659923551</v>
      </c>
      <c r="K20" s="500">
        <f t="shared" si="1"/>
        <v>0.41832113211051236</v>
      </c>
    </row>
    <row r="22" spans="1:11" s="466" customFormat="1" x14ac:dyDescent="0.2">
      <c r="A22" s="466" t="s">
        <v>1511</v>
      </c>
      <c r="B22" s="485">
        <v>2010</v>
      </c>
      <c r="C22" s="485">
        <v>2015</v>
      </c>
      <c r="D22" s="485">
        <v>2020</v>
      </c>
      <c r="E22" s="485">
        <v>2025</v>
      </c>
      <c r="F22" s="485">
        <v>2030</v>
      </c>
      <c r="G22" s="485">
        <v>2035</v>
      </c>
      <c r="H22" s="485">
        <v>2040</v>
      </c>
      <c r="I22" s="485">
        <v>2045</v>
      </c>
      <c r="J22" s="485">
        <v>2050</v>
      </c>
      <c r="K22" s="485">
        <v>2055</v>
      </c>
    </row>
    <row r="23" spans="1:11" x14ac:dyDescent="0.2">
      <c r="A23" s="476" t="s">
        <v>799</v>
      </c>
      <c r="B23" s="487">
        <f>(B14/B$19)*B$20</f>
        <v>6.0358109513202113E-2</v>
      </c>
      <c r="C23" s="487">
        <f t="shared" ref="C23:K23" si="2">(C14/C$19)*C$20</f>
        <v>6.3423103716340481E-2</v>
      </c>
      <c r="D23" s="487">
        <f t="shared" si="2"/>
        <v>6.3045905840112562E-2</v>
      </c>
      <c r="E23" s="487">
        <f t="shared" si="2"/>
        <v>6.4619234088865857E-2</v>
      </c>
      <c r="F23" s="487">
        <f t="shared" si="2"/>
        <v>6.6192562337619137E-2</v>
      </c>
      <c r="G23" s="487">
        <f t="shared" si="2"/>
        <v>6.7505237964300191E-2</v>
      </c>
      <c r="H23" s="487">
        <f t="shared" si="2"/>
        <v>6.8817913590981244E-2</v>
      </c>
      <c r="I23" s="487">
        <f t="shared" si="2"/>
        <v>7.0853369254789716E-2</v>
      </c>
      <c r="J23" s="487">
        <f t="shared" si="2"/>
        <v>7.2362536818930193E-2</v>
      </c>
      <c r="K23" s="487">
        <f t="shared" si="2"/>
        <v>7.3871704383070669E-2</v>
      </c>
    </row>
    <row r="24" spans="1:11" x14ac:dyDescent="0.2">
      <c r="A24" s="476" t="s">
        <v>855</v>
      </c>
      <c r="B24" s="487">
        <f t="shared" ref="B24:K27" si="3">(B15/B$19)*B$20</f>
        <v>0.11124683542038477</v>
      </c>
      <c r="C24" s="487">
        <f t="shared" si="3"/>
        <v>0.11489958897594481</v>
      </c>
      <c r="D24" s="487">
        <f t="shared" si="3"/>
        <v>0.115410174409836</v>
      </c>
      <c r="E24" s="487">
        <f t="shared" si="3"/>
        <v>0.11771007483849755</v>
      </c>
      <c r="F24" s="487">
        <f t="shared" si="3"/>
        <v>0.12000997526715909</v>
      </c>
      <c r="G24" s="487">
        <f t="shared" si="3"/>
        <v>0.12189500596608085</v>
      </c>
      <c r="H24" s="487">
        <f t="shared" si="3"/>
        <v>0.12378003666500259</v>
      </c>
      <c r="I24" s="487">
        <f t="shared" si="3"/>
        <v>0.12673101337904763</v>
      </c>
      <c r="J24" s="487">
        <f t="shared" si="3"/>
        <v>0.12896296376279542</v>
      </c>
      <c r="K24" s="487">
        <f t="shared" si="3"/>
        <v>0.13119491414654325</v>
      </c>
    </row>
    <row r="25" spans="1:11" x14ac:dyDescent="0.2">
      <c r="A25" s="476" t="s">
        <v>803</v>
      </c>
      <c r="B25" s="487">
        <f t="shared" si="3"/>
        <v>6.9106738397316583E-2</v>
      </c>
      <c r="C25" s="487">
        <f t="shared" si="3"/>
        <v>7.1662280154639282E-2</v>
      </c>
      <c r="D25" s="487">
        <f t="shared" si="3"/>
        <v>7.1390493745901576E-2</v>
      </c>
      <c r="E25" s="487">
        <f t="shared" si="3"/>
        <v>7.2228011604284464E-2</v>
      </c>
      <c r="F25" s="487">
        <f t="shared" si="3"/>
        <v>7.3065529462667339E-2</v>
      </c>
      <c r="G25" s="487">
        <f t="shared" si="3"/>
        <v>7.3390108758079026E-2</v>
      </c>
      <c r="H25" s="487">
        <f t="shared" si="3"/>
        <v>7.3714688053490698E-2</v>
      </c>
      <c r="I25" s="487">
        <f t="shared" si="3"/>
        <v>7.5525253837421619E-2</v>
      </c>
      <c r="J25" s="487">
        <f t="shared" si="3"/>
        <v>7.6403119351740226E-2</v>
      </c>
      <c r="K25" s="487">
        <f t="shared" si="3"/>
        <v>7.7280984866058861E-2</v>
      </c>
    </row>
    <row r="26" spans="1:11" x14ac:dyDescent="0.2">
      <c r="A26" s="476" t="s">
        <v>811</v>
      </c>
      <c r="B26" s="487">
        <f t="shared" si="3"/>
        <v>9.8047132152094846E-2</v>
      </c>
      <c r="C26" s="487">
        <f t="shared" si="3"/>
        <v>0.10193188680435512</v>
      </c>
      <c r="D26" s="487">
        <f t="shared" si="3"/>
        <v>0.10154601721170284</v>
      </c>
      <c r="E26" s="487">
        <f t="shared" si="3"/>
        <v>0.10248848898469926</v>
      </c>
      <c r="F26" s="487">
        <f t="shared" si="3"/>
        <v>0.10343096075769569</v>
      </c>
      <c r="G26" s="487">
        <f t="shared" si="3"/>
        <v>0.1042828370611129</v>
      </c>
      <c r="H26" s="487">
        <f t="shared" si="3"/>
        <v>0.10513471336453009</v>
      </c>
      <c r="I26" s="487">
        <f t="shared" si="3"/>
        <v>0.10879033240275199</v>
      </c>
      <c r="J26" s="487">
        <f t="shared" si="3"/>
        <v>0.11040818768653092</v>
      </c>
      <c r="K26" s="487">
        <f t="shared" si="3"/>
        <v>0.11202604297030978</v>
      </c>
    </row>
    <row r="27" spans="1:11" x14ac:dyDescent="0.2">
      <c r="A27" s="476" t="s">
        <v>807</v>
      </c>
      <c r="B27" s="487">
        <f t="shared" si="3"/>
        <v>2.0425596178870693E-2</v>
      </c>
      <c r="C27" s="487">
        <f t="shared" si="3"/>
        <v>2.0679559813650751E-2</v>
      </c>
      <c r="D27" s="487">
        <f t="shared" si="3"/>
        <v>2.1228492536252745E-2</v>
      </c>
      <c r="E27" s="487">
        <f t="shared" si="3"/>
        <v>2.1459317068413006E-2</v>
      </c>
      <c r="F27" s="487">
        <f t="shared" si="3"/>
        <v>2.1690141600573264E-2</v>
      </c>
      <c r="G27" s="487">
        <f t="shared" si="3"/>
        <v>2.176335006083931E-2</v>
      </c>
      <c r="H27" s="487">
        <f t="shared" si="3"/>
        <v>2.1836558521105352E-2</v>
      </c>
      <c r="I27" s="487">
        <f t="shared" si="3"/>
        <v>2.3049152213947585E-2</v>
      </c>
      <c r="J27" s="487">
        <f t="shared" si="3"/>
        <v>2.349831897923868E-2</v>
      </c>
      <c r="K27" s="487">
        <f t="shared" si="3"/>
        <v>2.3947485744529783E-2</v>
      </c>
    </row>
    <row r="28" spans="1:11" x14ac:dyDescent="0.2">
      <c r="B28" s="475">
        <f t="shared" ref="B28:K28" si="4">SUM(B23:B27)-B20</f>
        <v>0</v>
      </c>
      <c r="C28" s="475">
        <f t="shared" si="4"/>
        <v>0</v>
      </c>
      <c r="D28" s="475">
        <f t="shared" si="4"/>
        <v>0</v>
      </c>
      <c r="E28" s="475">
        <f t="shared" si="4"/>
        <v>0</v>
      </c>
      <c r="F28" s="475">
        <f t="shared" si="4"/>
        <v>0</v>
      </c>
      <c r="G28" s="475">
        <f t="shared" si="4"/>
        <v>0</v>
      </c>
      <c r="H28" s="475">
        <f t="shared" si="4"/>
        <v>0</v>
      </c>
      <c r="I28" s="475">
        <f t="shared" si="4"/>
        <v>0</v>
      </c>
      <c r="J28" s="475">
        <f t="shared" si="4"/>
        <v>0</v>
      </c>
      <c r="K28" s="475">
        <f t="shared" si="4"/>
        <v>0</v>
      </c>
    </row>
    <row r="29" spans="1:11" x14ac:dyDescent="0.2">
      <c r="B29" s="487"/>
      <c r="C29" s="487"/>
      <c r="D29" s="487"/>
      <c r="E29" s="487"/>
      <c r="F29" s="487"/>
      <c r="G29" s="487"/>
      <c r="H29" s="487"/>
      <c r="I29" s="487"/>
      <c r="J29" s="487"/>
      <c r="K29" s="487"/>
    </row>
    <row r="30" spans="1:11" x14ac:dyDescent="0.2">
      <c r="A30" s="490" t="s">
        <v>1512</v>
      </c>
      <c r="B30" s="491">
        <v>2010</v>
      </c>
      <c r="C30" s="490" t="s">
        <v>1513</v>
      </c>
      <c r="D30" s="491">
        <v>2010</v>
      </c>
      <c r="E30" s="488"/>
      <c r="F30" s="488"/>
      <c r="G30" s="488"/>
      <c r="H30" s="488"/>
      <c r="I30" s="488"/>
      <c r="J30" s="488"/>
      <c r="K30" s="488"/>
    </row>
    <row r="31" spans="1:11" x14ac:dyDescent="0.2">
      <c r="A31" s="476" t="s">
        <v>799</v>
      </c>
      <c r="B31" s="487">
        <f>B23*$G$9</f>
        <v>5.3258102511182299E-2</v>
      </c>
      <c r="C31" s="476" t="s">
        <v>799</v>
      </c>
      <c r="D31" s="487">
        <f>B23-B31</f>
        <v>7.1000070020198133E-3</v>
      </c>
      <c r="E31" s="487"/>
      <c r="F31" s="487"/>
      <c r="G31" s="487"/>
      <c r="H31" s="487"/>
      <c r="I31" s="487"/>
      <c r="J31" s="487"/>
      <c r="K31" s="487"/>
    </row>
    <row r="32" spans="1:11" x14ac:dyDescent="0.2">
      <c r="A32" s="476" t="s">
        <v>855</v>
      </c>
      <c r="B32" s="487">
        <f>B24*$G$9</f>
        <v>9.8160717965620661E-2</v>
      </c>
      <c r="C32" s="476" t="s">
        <v>855</v>
      </c>
      <c r="D32" s="487">
        <f>B24-B32</f>
        <v>1.308611745476411E-2</v>
      </c>
      <c r="E32" s="487"/>
      <c r="F32" s="487"/>
      <c r="G32" s="487"/>
      <c r="H32" s="487"/>
      <c r="I32" s="487"/>
      <c r="J32" s="487"/>
      <c r="K32" s="487"/>
    </row>
    <row r="33" spans="1:11" x14ac:dyDescent="0.2">
      <c r="A33" s="476" t="s">
        <v>803</v>
      </c>
      <c r="B33" s="487">
        <f>B25*$G$9</f>
        <v>6.0977618210071853E-2</v>
      </c>
      <c r="C33" s="476" t="s">
        <v>803</v>
      </c>
      <c r="D33" s="487">
        <f>B25-B33</f>
        <v>8.1291201872447302E-3</v>
      </c>
      <c r="E33" s="487"/>
      <c r="F33" s="487"/>
      <c r="G33" s="487"/>
      <c r="H33" s="487"/>
      <c r="I33" s="487"/>
      <c r="J33" s="487"/>
      <c r="K33" s="487"/>
    </row>
    <row r="34" spans="1:11" x14ac:dyDescent="0.2">
      <c r="A34" s="476" t="s">
        <v>811</v>
      </c>
      <c r="B34" s="487">
        <f>B26*$G$9</f>
        <v>8.6513713852179902E-2</v>
      </c>
      <c r="C34" s="476" t="s">
        <v>811</v>
      </c>
      <c r="D34" s="487">
        <f>B26-B34</f>
        <v>1.1533418299914944E-2</v>
      </c>
      <c r="E34" s="487"/>
      <c r="F34" s="487"/>
      <c r="G34" s="487"/>
      <c r="H34" s="487"/>
      <c r="I34" s="487"/>
      <c r="J34" s="487"/>
      <c r="K34" s="487"/>
    </row>
    <row r="35" spans="1:11" x14ac:dyDescent="0.2">
      <c r="A35" s="476" t="s">
        <v>807</v>
      </c>
      <c r="B35" s="487">
        <f>B27*$G$9</f>
        <v>1.80229053547207E-2</v>
      </c>
      <c r="C35" s="476" t="s">
        <v>807</v>
      </c>
      <c r="D35" s="487">
        <f>B27-B35</f>
        <v>2.4026908241499938E-3</v>
      </c>
      <c r="E35" s="487"/>
      <c r="F35" s="487"/>
      <c r="G35" s="487"/>
      <c r="H35" s="487"/>
      <c r="I35" s="487"/>
      <c r="J35" s="487"/>
      <c r="K35" s="487"/>
    </row>
    <row r="37" spans="1:11" x14ac:dyDescent="0.2">
      <c r="D37" s="488"/>
      <c r="E37" s="488"/>
      <c r="F37" s="488"/>
      <c r="G37" s="488"/>
      <c r="H37" s="488"/>
      <c r="I37" s="488"/>
      <c r="J37" s="488"/>
      <c r="K37" s="488"/>
    </row>
    <row r="38" spans="1:11" x14ac:dyDescent="0.2">
      <c r="D38" s="487"/>
      <c r="E38" s="487"/>
      <c r="F38" s="487"/>
      <c r="G38" s="487"/>
      <c r="H38" s="487"/>
      <c r="I38" s="487"/>
      <c r="J38" s="487"/>
      <c r="K38" s="487"/>
    </row>
    <row r="39" spans="1:11" x14ac:dyDescent="0.2">
      <c r="D39" s="487"/>
      <c r="E39" s="487"/>
      <c r="F39" s="487"/>
      <c r="G39" s="487"/>
      <c r="H39" s="487"/>
      <c r="I39" s="487"/>
      <c r="J39" s="487"/>
      <c r="K39" s="487"/>
    </row>
    <row r="40" spans="1:11" x14ac:dyDescent="0.2">
      <c r="D40" s="487"/>
      <c r="E40" s="487"/>
      <c r="F40" s="487"/>
      <c r="G40" s="487"/>
      <c r="H40" s="487"/>
      <c r="I40" s="487"/>
      <c r="J40" s="487"/>
      <c r="K40" s="487"/>
    </row>
    <row r="41" spans="1:11" x14ac:dyDescent="0.2">
      <c r="D41" s="487"/>
      <c r="E41" s="487"/>
      <c r="F41" s="487"/>
      <c r="G41" s="487"/>
      <c r="H41" s="487"/>
      <c r="I41" s="487"/>
      <c r="J41" s="487"/>
      <c r="K41" s="487"/>
    </row>
    <row r="42" spans="1:11" x14ac:dyDescent="0.2">
      <c r="D42" s="487"/>
      <c r="E42" s="487"/>
      <c r="F42" s="487"/>
      <c r="G42" s="487"/>
      <c r="H42" s="487"/>
      <c r="I42" s="487"/>
      <c r="J42" s="487"/>
      <c r="K42" s="487"/>
    </row>
  </sheetData>
  <conditionalFormatting sqref="A7">
    <cfRule type="expression" dxfId="11" priority="1">
      <formula>LEFT($A7,1)=""</formula>
    </cfRule>
    <cfRule type="expression" dxfId="10" priority="2">
      <formula>LEFT($A7,1)="*"</formula>
    </cfRule>
  </conditionalFormatting>
  <conditionalFormatting sqref="A9:D10">
    <cfRule type="expression" dxfId="9" priority="3">
      <formula>LEFT(#REF!,1)=""</formula>
    </cfRule>
    <cfRule type="expression" dxfId="8" priority="4">
      <formula>LEFT(#REF!,1)="*"</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68"/>
  <sheetViews>
    <sheetView showFormulas="1" workbookViewId="0">
      <selection activeCell="C27" sqref="C27"/>
    </sheetView>
  </sheetViews>
  <sheetFormatPr defaultColWidth="9.140625" defaultRowHeight="12.75" x14ac:dyDescent="0.2"/>
  <cols>
    <col min="1" max="1" width="17.5703125" style="431" customWidth="1"/>
    <col min="2" max="2" width="43.42578125" style="431" customWidth="1"/>
    <col min="3" max="3" width="10.85546875" style="431" customWidth="1"/>
    <col min="4" max="4" width="20.42578125" style="431" customWidth="1"/>
    <col min="5" max="5" width="12.42578125" style="431" customWidth="1"/>
    <col min="6" max="6" width="13.5703125" style="431" customWidth="1"/>
    <col min="7" max="9" width="10.85546875" style="431" customWidth="1"/>
    <col min="10" max="12" width="11.5703125" style="431" customWidth="1"/>
    <col min="13" max="14" width="9.42578125" style="431" customWidth="1"/>
    <col min="15" max="17" width="11.5703125" style="431" customWidth="1"/>
    <col min="18" max="18" width="9.140625" style="431"/>
    <col min="19" max="19" width="12.5703125" style="431" customWidth="1"/>
    <col min="20" max="20" width="9.140625" style="431"/>
    <col min="21" max="21" width="9.5703125" style="431" customWidth="1"/>
    <col min="22" max="16384" width="9.140625" style="431"/>
  </cols>
  <sheetData>
    <row r="1" spans="1:23" s="430" customFormat="1" ht="15.75" customHeight="1" x14ac:dyDescent="0.2">
      <c r="A1" s="430" t="s">
        <v>1514</v>
      </c>
      <c r="B1" s="1187" t="s">
        <v>1515</v>
      </c>
      <c r="C1" s="1187"/>
      <c r="D1" s="430" t="s">
        <v>1299</v>
      </c>
      <c r="E1" s="430">
        <v>1990</v>
      </c>
      <c r="F1" s="430">
        <v>2000</v>
      </c>
      <c r="G1" s="430">
        <v>2005</v>
      </c>
      <c r="H1" s="430">
        <v>2010</v>
      </c>
      <c r="I1" s="430">
        <v>2015</v>
      </c>
      <c r="J1" s="430">
        <v>2020</v>
      </c>
      <c r="K1" s="430">
        <v>2025</v>
      </c>
      <c r="L1" s="430">
        <v>2030</v>
      </c>
      <c r="M1" s="430">
        <v>2035</v>
      </c>
      <c r="N1" s="430">
        <v>2040</v>
      </c>
      <c r="O1" s="430">
        <v>2045</v>
      </c>
      <c r="P1" s="430">
        <v>2050</v>
      </c>
      <c r="Q1" s="430">
        <v>2055</v>
      </c>
    </row>
    <row r="2" spans="1:23" x14ac:dyDescent="0.2">
      <c r="A2" s="431">
        <v>2000</v>
      </c>
      <c r="B2" s="432">
        <v>10.238074536110201</v>
      </c>
      <c r="D2" s="431" t="s">
        <v>799</v>
      </c>
      <c r="E2" s="431">
        <v>1203789</v>
      </c>
      <c r="F2" s="431">
        <v>1332650</v>
      </c>
      <c r="G2" s="431">
        <v>1366086</v>
      </c>
      <c r="H2" s="431">
        <v>1385108</v>
      </c>
      <c r="I2" s="431">
        <v>1455444</v>
      </c>
      <c r="J2" s="431">
        <v>1446788</v>
      </c>
      <c r="K2" s="431">
        <v>1482893</v>
      </c>
      <c r="L2" s="431">
        <v>1518998</v>
      </c>
      <c r="M2" s="431">
        <v>1549121.5</v>
      </c>
      <c r="N2" s="431">
        <v>1579245</v>
      </c>
      <c r="O2" s="431">
        <v>1625954.9772727266</v>
      </c>
      <c r="P2" s="431">
        <v>1660587.6071428563</v>
      </c>
      <c r="Q2" s="431">
        <v>1695220.2370129861</v>
      </c>
      <c r="R2" s="433" t="s">
        <v>1516</v>
      </c>
      <c r="S2" s="433">
        <v>-12538790.639610391</v>
      </c>
      <c r="T2" s="433" t="s">
        <v>1517</v>
      </c>
      <c r="U2" s="433">
        <v>6926.5259740259744</v>
      </c>
      <c r="V2" s="433"/>
      <c r="W2" s="433"/>
    </row>
    <row r="3" spans="1:23" x14ac:dyDescent="0.2">
      <c r="A3" s="431">
        <v>2001</v>
      </c>
      <c r="B3" s="432">
        <v>10.7453939482451</v>
      </c>
      <c r="D3" s="431" t="s">
        <v>855</v>
      </c>
      <c r="E3" s="431">
        <v>2300664</v>
      </c>
      <c r="F3" s="431">
        <v>2465326</v>
      </c>
      <c r="G3" s="431">
        <v>2517052</v>
      </c>
      <c r="H3" s="431">
        <v>2552911</v>
      </c>
      <c r="I3" s="431">
        <v>2636735</v>
      </c>
      <c r="J3" s="431">
        <v>2648452</v>
      </c>
      <c r="K3" s="431">
        <v>2701230.5</v>
      </c>
      <c r="L3" s="431">
        <v>2754009</v>
      </c>
      <c r="M3" s="431">
        <v>2797267</v>
      </c>
      <c r="N3" s="431">
        <v>2840525</v>
      </c>
      <c r="O3" s="431">
        <v>2908244.5075757541</v>
      </c>
      <c r="P3" s="431">
        <v>2959463.6785714254</v>
      </c>
      <c r="Q3" s="431">
        <v>3010682.8495670967</v>
      </c>
      <c r="R3" s="433" t="s">
        <v>1516</v>
      </c>
      <c r="S3" s="433">
        <v>-18040396.429653682</v>
      </c>
      <c r="T3" s="433" t="s">
        <v>1517</v>
      </c>
      <c r="U3" s="433">
        <v>10243.834199134199</v>
      </c>
      <c r="V3" s="433"/>
      <c r="W3" s="433"/>
    </row>
    <row r="4" spans="1:23" x14ac:dyDescent="0.2">
      <c r="A4" s="431">
        <v>2002</v>
      </c>
      <c r="B4" s="432">
        <v>11.1939977430828</v>
      </c>
      <c r="D4" s="431" t="s">
        <v>803</v>
      </c>
      <c r="E4" s="431">
        <v>1487536</v>
      </c>
      <c r="F4" s="431">
        <v>1537195</v>
      </c>
      <c r="G4" s="431">
        <v>1600110</v>
      </c>
      <c r="H4" s="431">
        <v>1585873</v>
      </c>
      <c r="I4" s="431">
        <v>1644518</v>
      </c>
      <c r="J4" s="431">
        <v>1638281</v>
      </c>
      <c r="K4" s="431">
        <v>1657500.5</v>
      </c>
      <c r="L4" s="431">
        <v>1676720</v>
      </c>
      <c r="M4" s="431">
        <v>1684168.5</v>
      </c>
      <c r="N4" s="431">
        <v>1691617</v>
      </c>
      <c r="O4" s="431">
        <v>1733166.166666667</v>
      </c>
      <c r="P4" s="431">
        <v>1753311.5714285718</v>
      </c>
      <c r="Q4" s="431">
        <v>1773456.9761904767</v>
      </c>
      <c r="R4" s="433" t="s">
        <v>1516</v>
      </c>
      <c r="S4" s="433">
        <v>-6506304.3809523787</v>
      </c>
      <c r="T4" s="433" t="s">
        <v>1517</v>
      </c>
      <c r="U4" s="433">
        <v>4029.0809523809517</v>
      </c>
      <c r="V4" s="433"/>
      <c r="W4" s="433"/>
    </row>
    <row r="5" spans="1:23" x14ac:dyDescent="0.2">
      <c r="A5" s="431">
        <v>2003</v>
      </c>
      <c r="B5" s="432">
        <v>11.414712548455499</v>
      </c>
      <c r="D5" s="431" t="s">
        <v>811</v>
      </c>
      <c r="E5" s="431">
        <v>1951598</v>
      </c>
      <c r="F5" s="431">
        <v>2229379</v>
      </c>
      <c r="G5" s="431">
        <v>2254639</v>
      </c>
      <c r="H5" s="431">
        <v>2250002</v>
      </c>
      <c r="I5" s="431">
        <v>2339150</v>
      </c>
      <c r="J5" s="431">
        <v>2330295</v>
      </c>
      <c r="K5" s="431">
        <v>2351923</v>
      </c>
      <c r="L5" s="431">
        <v>2373551</v>
      </c>
      <c r="M5" s="431">
        <v>2393100</v>
      </c>
      <c r="N5" s="431">
        <v>2412649</v>
      </c>
      <c r="O5" s="431">
        <v>2496538.7575757559</v>
      </c>
      <c r="P5" s="431">
        <v>2533665.5714285709</v>
      </c>
      <c r="Q5" s="431">
        <v>2570792.385281384</v>
      </c>
      <c r="R5" s="433" t="s">
        <v>1516</v>
      </c>
      <c r="S5" s="433">
        <v>-12688328.108225113</v>
      </c>
      <c r="T5" s="433" t="s">
        <v>1517</v>
      </c>
      <c r="U5" s="433">
        <v>7425.3627705627723</v>
      </c>
      <c r="V5" s="433"/>
      <c r="W5" s="433"/>
    </row>
    <row r="6" spans="1:23" x14ac:dyDescent="0.2">
      <c r="A6" s="431">
        <v>2004</v>
      </c>
      <c r="B6" s="432">
        <v>13.6080039196054</v>
      </c>
      <c r="D6" s="431" t="s">
        <v>807</v>
      </c>
      <c r="E6" s="431">
        <v>378977</v>
      </c>
      <c r="F6" s="431">
        <v>443728</v>
      </c>
      <c r="G6" s="431">
        <v>468248</v>
      </c>
      <c r="H6" s="431">
        <v>468730</v>
      </c>
      <c r="I6" s="431">
        <v>474558</v>
      </c>
      <c r="J6" s="431">
        <v>487155</v>
      </c>
      <c r="K6" s="431">
        <v>492452</v>
      </c>
      <c r="L6" s="431">
        <v>497749</v>
      </c>
      <c r="M6" s="431">
        <v>499429</v>
      </c>
      <c r="N6" s="431">
        <v>501109</v>
      </c>
      <c r="O6" s="431">
        <v>528935.80303030275</v>
      </c>
      <c r="P6" s="431">
        <v>539243.35714285728</v>
      </c>
      <c r="Q6" s="431">
        <v>549550.9112554118</v>
      </c>
      <c r="R6" s="433" t="s">
        <v>1516</v>
      </c>
      <c r="S6" s="433">
        <v>-3686853.8290043287</v>
      </c>
      <c r="T6" s="433" t="s">
        <v>1517</v>
      </c>
      <c r="U6" s="433">
        <v>2061.5108225108224</v>
      </c>
      <c r="V6" s="433"/>
      <c r="W6" s="433"/>
    </row>
    <row r="7" spans="1:23" x14ac:dyDescent="0.2">
      <c r="A7" s="431">
        <v>2005</v>
      </c>
      <c r="B7" s="432">
        <v>15.3217968663125</v>
      </c>
      <c r="E7" s="431">
        <f>SUM(E2:E6)</f>
        <v>7322564</v>
      </c>
      <c r="F7" s="431">
        <f t="shared" ref="F7:Q7" si="0">SUM(F2:F6)</f>
        <v>8008278</v>
      </c>
      <c r="G7" s="431">
        <f t="shared" si="0"/>
        <v>8206135</v>
      </c>
      <c r="H7" s="431">
        <f t="shared" si="0"/>
        <v>8242624</v>
      </c>
      <c r="I7" s="431">
        <f t="shared" si="0"/>
        <v>8550405</v>
      </c>
      <c r="J7" s="431">
        <f t="shared" si="0"/>
        <v>8550971</v>
      </c>
      <c r="K7" s="431">
        <f t="shared" si="0"/>
        <v>8685999</v>
      </c>
      <c r="L7" s="431">
        <f t="shared" si="0"/>
        <v>8821027</v>
      </c>
      <c r="M7" s="431">
        <f t="shared" si="0"/>
        <v>8923086</v>
      </c>
      <c r="N7" s="431">
        <f t="shared" si="0"/>
        <v>9025145</v>
      </c>
      <c r="O7" s="431">
        <f t="shared" si="0"/>
        <v>9292840.2121212054</v>
      </c>
      <c r="P7" s="431">
        <f t="shared" si="0"/>
        <v>9446271.7857142836</v>
      </c>
      <c r="Q7" s="431">
        <f t="shared" si="0"/>
        <v>9599703.3593073562</v>
      </c>
      <c r="R7" s="433"/>
      <c r="S7" s="433"/>
      <c r="T7" s="433"/>
      <c r="U7" s="433"/>
      <c r="V7" s="433"/>
      <c r="W7" s="433"/>
    </row>
    <row r="8" spans="1:23" x14ac:dyDescent="0.2">
      <c r="A8" s="431">
        <v>2006</v>
      </c>
      <c r="B8" s="432">
        <v>14.724581863129</v>
      </c>
      <c r="R8" s="433"/>
      <c r="S8" s="433"/>
      <c r="T8" s="433"/>
      <c r="U8" s="433"/>
      <c r="V8" s="433"/>
      <c r="W8" s="433"/>
    </row>
    <row r="9" spans="1:23" x14ac:dyDescent="0.2">
      <c r="A9" s="431">
        <v>2007</v>
      </c>
      <c r="B9" s="432">
        <v>14.511776225874801</v>
      </c>
      <c r="R9" s="430"/>
      <c r="S9" s="433"/>
      <c r="T9" s="433"/>
      <c r="U9" s="433"/>
      <c r="V9" s="433"/>
      <c r="W9" s="433"/>
    </row>
    <row r="10" spans="1:23" x14ac:dyDescent="0.2">
      <c r="A10" s="431">
        <v>2008</v>
      </c>
      <c r="B10" s="432">
        <v>13.2617560607711</v>
      </c>
      <c r="R10" s="433"/>
      <c r="S10" s="433"/>
      <c r="T10" s="433"/>
      <c r="U10" s="433"/>
      <c r="V10" s="433"/>
      <c r="W10" s="433"/>
    </row>
    <row r="11" spans="1:23" x14ac:dyDescent="0.2">
      <c r="A11" s="431">
        <v>2009</v>
      </c>
      <c r="B11" s="432">
        <v>12.420408374567</v>
      </c>
      <c r="R11" s="433"/>
      <c r="S11" s="433"/>
      <c r="T11" s="433"/>
      <c r="U11" s="433"/>
      <c r="V11" s="433"/>
      <c r="W11" s="433"/>
    </row>
    <row r="12" spans="1:23" x14ac:dyDescent="0.2">
      <c r="A12" s="431">
        <v>2010</v>
      </c>
      <c r="B12" s="432">
        <v>13.4378839007615</v>
      </c>
      <c r="V12" s="433"/>
      <c r="W12" s="433"/>
    </row>
    <row r="13" spans="1:23" x14ac:dyDescent="0.2">
      <c r="A13" s="431">
        <v>2011</v>
      </c>
      <c r="B13" s="432">
        <v>12.906598720349299</v>
      </c>
    </row>
    <row r="14" spans="1:23" x14ac:dyDescent="0.2">
      <c r="A14" s="431">
        <v>2012</v>
      </c>
      <c r="B14" s="432">
        <v>12.7658383972054</v>
      </c>
    </row>
    <row r="15" spans="1:23" x14ac:dyDescent="0.2">
      <c r="A15" s="431">
        <v>2013</v>
      </c>
      <c r="B15" s="432">
        <v>13.4719470987342</v>
      </c>
    </row>
    <row r="16" spans="1:23" x14ac:dyDescent="0.2">
      <c r="A16" s="431">
        <v>2014</v>
      </c>
      <c r="B16" s="432">
        <v>13.6852566762433</v>
      </c>
    </row>
    <row r="17" spans="1:13" x14ac:dyDescent="0.2">
      <c r="A17" s="431" t="s">
        <v>1518</v>
      </c>
      <c r="B17" s="431">
        <f>0.0005</f>
        <v>5.0000000000000001E-4</v>
      </c>
    </row>
    <row r="18" spans="1:13" x14ac:dyDescent="0.2">
      <c r="A18" s="431" t="s">
        <v>1519</v>
      </c>
    </row>
    <row r="19" spans="1:13" x14ac:dyDescent="0.2">
      <c r="A19" s="431" t="s">
        <v>1520</v>
      </c>
      <c r="B19" s="430">
        <v>2010</v>
      </c>
      <c r="C19" s="430">
        <v>2015</v>
      </c>
      <c r="D19" s="430">
        <v>2020</v>
      </c>
      <c r="E19" s="430">
        <v>2025</v>
      </c>
      <c r="F19" s="430">
        <v>2030</v>
      </c>
      <c r="G19" s="430">
        <v>2035</v>
      </c>
      <c r="H19" s="430">
        <v>2040</v>
      </c>
      <c r="I19" s="430">
        <v>2045</v>
      </c>
      <c r="J19" s="430">
        <v>2050</v>
      </c>
      <c r="K19" s="430">
        <v>2055</v>
      </c>
    </row>
    <row r="20" spans="1:13" x14ac:dyDescent="0.2">
      <c r="A20" s="431" t="s">
        <v>799</v>
      </c>
      <c r="B20" s="434">
        <f>H2*365*$B$12*0.0005</f>
        <v>3396857.990157913</v>
      </c>
      <c r="C20" s="434">
        <f t="shared" ref="C20:K24" si="1">I2*365*$B$12*0.0005</f>
        <v>3569350.9680309356</v>
      </c>
      <c r="D20" s="434">
        <f t="shared" si="1"/>
        <v>3548122.8740752246</v>
      </c>
      <c r="E20" s="434">
        <f t="shared" si="1"/>
        <v>3636667.274753476</v>
      </c>
      <c r="F20" s="434">
        <f t="shared" si="1"/>
        <v>3725211.6754317274</v>
      </c>
      <c r="G20" s="434">
        <f t="shared" si="1"/>
        <v>3799086.962894165</v>
      </c>
      <c r="H20" s="434">
        <f t="shared" si="1"/>
        <v>3872962.2503566029</v>
      </c>
      <c r="I20" s="434">
        <f t="shared" si="1"/>
        <v>3987514.443773258</v>
      </c>
      <c r="J20" s="434">
        <f t="shared" si="1"/>
        <v>4072447.9836088018</v>
      </c>
      <c r="K20" s="434">
        <f t="shared" si="1"/>
        <v>4157381.5234443466</v>
      </c>
    </row>
    <row r="21" spans="1:13" x14ac:dyDescent="0.2">
      <c r="A21" s="431" t="s">
        <v>855</v>
      </c>
      <c r="B21" s="434">
        <f>H3*365*$B$12*0.0005</f>
        <v>6260794.1969232922</v>
      </c>
      <c r="C21" s="434">
        <f>I3*365*$B$12*0.0005</f>
        <v>6466365.3322910741</v>
      </c>
      <c r="D21" s="434">
        <f t="shared" si="1"/>
        <v>6495100.264924976</v>
      </c>
      <c r="E21" s="434">
        <f t="shared" si="1"/>
        <v>6624534.987295758</v>
      </c>
      <c r="F21" s="434">
        <f t="shared" si="1"/>
        <v>6753969.7096665408</v>
      </c>
      <c r="G21" s="434">
        <f t="shared" si="1"/>
        <v>6860056.2263412345</v>
      </c>
      <c r="H21" s="434">
        <f t="shared" si="1"/>
        <v>6966142.7430159273</v>
      </c>
      <c r="I21" s="434">
        <f t="shared" si="1"/>
        <v>7132218.9987290259</v>
      </c>
      <c r="J21" s="434">
        <f t="shared" si="1"/>
        <v>7257829.6011123145</v>
      </c>
      <c r="K21" s="434">
        <f t="shared" si="1"/>
        <v>7383440.2034956012</v>
      </c>
    </row>
    <row r="22" spans="1:13" x14ac:dyDescent="0.2">
      <c r="A22" s="431" t="s">
        <v>803</v>
      </c>
      <c r="B22" s="434">
        <f>H4*365*$B$12*0.0005</f>
        <v>3889216.8491018023</v>
      </c>
      <c r="C22" s="434">
        <f t="shared" si="1"/>
        <v>4033038.6571000316</v>
      </c>
      <c r="D22" s="434">
        <f t="shared" si="1"/>
        <v>4017742.9521552804</v>
      </c>
      <c r="E22" s="434">
        <f t="shared" si="1"/>
        <v>4064877.1194128799</v>
      </c>
      <c r="F22" s="434">
        <f t="shared" si="1"/>
        <v>4112011.2866704804</v>
      </c>
      <c r="G22" s="434">
        <f t="shared" si="1"/>
        <v>4130278.0909483354</v>
      </c>
      <c r="H22" s="434">
        <f t="shared" si="1"/>
        <v>4148544.8952261903</v>
      </c>
      <c r="I22" s="434">
        <f t="shared" si="1"/>
        <v>4250440.6454320019</v>
      </c>
      <c r="J22" s="434">
        <f t="shared" si="1"/>
        <v>4299845.514316191</v>
      </c>
      <c r="K22" s="434">
        <f t="shared" si="1"/>
        <v>4349250.3832003791</v>
      </c>
    </row>
    <row r="23" spans="1:13" x14ac:dyDescent="0.2">
      <c r="A23" s="431" t="s">
        <v>811</v>
      </c>
      <c r="B23" s="434">
        <f>H5*365*$B$12*0.0005</f>
        <v>5517935.9815778155</v>
      </c>
      <c r="C23" s="434">
        <f t="shared" si="1"/>
        <v>5736563.7680800939</v>
      </c>
      <c r="D23" s="434">
        <f t="shared" si="1"/>
        <v>5714847.6437758161</v>
      </c>
      <c r="E23" s="434">
        <f t="shared" si="1"/>
        <v>5767888.4496993516</v>
      </c>
      <c r="F23" s="434">
        <f t="shared" si="1"/>
        <v>5820929.2556228861</v>
      </c>
      <c r="G23" s="434">
        <f t="shared" si="1"/>
        <v>5868871.4932315033</v>
      </c>
      <c r="H23" s="434">
        <f t="shared" si="1"/>
        <v>5916813.7308401205</v>
      </c>
      <c r="I23" s="434">
        <f t="shared" si="1"/>
        <v>6122546.1309949225</v>
      </c>
      <c r="J23" s="434">
        <f t="shared" si="1"/>
        <v>6213596.4420789964</v>
      </c>
      <c r="K23" s="434">
        <f t="shared" si="1"/>
        <v>6304646.7531630658</v>
      </c>
    </row>
    <row r="24" spans="1:13" x14ac:dyDescent="0.2">
      <c r="A24" s="431" t="s">
        <v>807</v>
      </c>
      <c r="B24" s="434">
        <f>H6*365*$B$12*0.0005</f>
        <v>1149519.9260467186</v>
      </c>
      <c r="C24" s="434">
        <f t="shared" si="1"/>
        <v>1163812.5937424076</v>
      </c>
      <c r="D24" s="434">
        <f t="shared" si="1"/>
        <v>1194705.650530773</v>
      </c>
      <c r="E24" s="434">
        <f t="shared" si="1"/>
        <v>1207696.0864923489</v>
      </c>
      <c r="F24" s="434">
        <f t="shared" si="1"/>
        <v>1220686.5224539249</v>
      </c>
      <c r="G24" s="434">
        <f t="shared" si="1"/>
        <v>1224806.5776578982</v>
      </c>
      <c r="H24" s="434">
        <f t="shared" si="1"/>
        <v>1228926.6328618717</v>
      </c>
      <c r="I24" s="434">
        <f t="shared" si="1"/>
        <v>1297169.4689541003</v>
      </c>
      <c r="J24" s="434">
        <f t="shared" si="1"/>
        <v>1322447.857026522</v>
      </c>
      <c r="K24" s="434">
        <f t="shared" si="1"/>
        <v>1347726.2450989438</v>
      </c>
    </row>
    <row r="25" spans="1:13" x14ac:dyDescent="0.2">
      <c r="A25" s="431" t="s">
        <v>775</v>
      </c>
      <c r="B25" s="434">
        <f>SUM(B20:B24)</f>
        <v>20214324.943807539</v>
      </c>
      <c r="C25" s="434">
        <f t="shared" ref="C25:K25" si="2">SUM(C20:C24)</f>
        <v>20969131.319244541</v>
      </c>
      <c r="D25" s="434">
        <f t="shared" si="2"/>
        <v>20970519.385462072</v>
      </c>
      <c r="E25" s="434">
        <f t="shared" si="2"/>
        <v>21301663.917653814</v>
      </c>
      <c r="F25" s="434">
        <f t="shared" si="2"/>
        <v>21632808.44984556</v>
      </c>
      <c r="G25" s="434">
        <f t="shared" si="2"/>
        <v>21883099.351073135</v>
      </c>
      <c r="H25" s="434">
        <f t="shared" si="2"/>
        <v>22133390.252300713</v>
      </c>
      <c r="I25" s="434">
        <f t="shared" si="2"/>
        <v>22789889.68788331</v>
      </c>
      <c r="J25" s="434">
        <f t="shared" si="2"/>
        <v>23166167.398142826</v>
      </c>
      <c r="K25" s="434">
        <f t="shared" si="2"/>
        <v>23542445.108402338</v>
      </c>
    </row>
    <row r="27" spans="1:13" x14ac:dyDescent="0.2">
      <c r="A27" s="435" t="s">
        <v>1440</v>
      </c>
      <c r="B27" s="435" t="s">
        <v>1493</v>
      </c>
      <c r="C27" s="435" t="s">
        <v>1494</v>
      </c>
      <c r="D27" s="435" t="s">
        <v>1393</v>
      </c>
      <c r="E27" s="435" t="s">
        <v>1441</v>
      </c>
      <c r="F27" s="435" t="s">
        <v>165</v>
      </c>
      <c r="G27" s="435" t="s">
        <v>1394</v>
      </c>
      <c r="H27" s="435" t="s">
        <v>1442</v>
      </c>
      <c r="I27" s="435" t="s">
        <v>1443</v>
      </c>
      <c r="J27" s="435" t="s">
        <v>1397</v>
      </c>
    </row>
    <row r="28" spans="1:13" x14ac:dyDescent="0.2">
      <c r="A28" s="431" t="str">
        <f>'2010 GHG'!A8</f>
        <v>solid waste trn rail</v>
      </c>
      <c r="B28" s="431" t="str">
        <f>'2010 GHG'!B8</f>
        <v>solid waste trn rail</v>
      </c>
      <c r="C28" s="431" t="str">
        <f>'2010 GHG'!C8</f>
        <v>TR</v>
      </c>
      <c r="D28" s="431" t="str">
        <f>'2010 GHG'!D8</f>
        <v>transportation</v>
      </c>
      <c r="E28" s="431" t="str">
        <f>'2010 GHG'!E8</f>
        <v>Diesel</v>
      </c>
      <c r="F28" s="431" t="str">
        <f>'2010 GHG'!F8</f>
        <v>liters</v>
      </c>
      <c r="G28" s="455">
        <f>'2010 GHG'!G8</f>
        <v>5671501</v>
      </c>
      <c r="H28" s="455">
        <f>'2010 GHG'!H8</f>
        <v>15443</v>
      </c>
      <c r="I28" s="455">
        <f>'2010 GHG'!I8</f>
        <v>219257</v>
      </c>
      <c r="J28" s="432">
        <f>I28*0.000001</f>
        <v>0.21925699999999998</v>
      </c>
    </row>
    <row r="29" spans="1:13" x14ac:dyDescent="0.2">
      <c r="A29" s="431" t="str">
        <f>'2010 GHG'!A9</f>
        <v>solid waste trn truck</v>
      </c>
      <c r="B29" s="431" t="str">
        <f>'2010 GHG'!B9</f>
        <v>solid waste trn truck</v>
      </c>
      <c r="C29" s="431" t="str">
        <f>'2010 GHG'!C9</f>
        <v>THS</v>
      </c>
      <c r="D29" s="431" t="str">
        <f>'2010 GHG'!D9</f>
        <v>transportation</v>
      </c>
      <c r="E29" s="431" t="str">
        <f>'2010 GHG'!E9</f>
        <v>Diesel</v>
      </c>
      <c r="F29" s="431" t="str">
        <f>'2010 GHG'!F9</f>
        <v>liters</v>
      </c>
      <c r="G29" s="455">
        <f>'2010 GHG'!G9</f>
        <v>28064413</v>
      </c>
      <c r="H29" s="455">
        <f>'2010 GHG'!H9</f>
        <v>75797</v>
      </c>
      <c r="I29" s="455">
        <f>'2010 GHG'!I9</f>
        <v>1080300</v>
      </c>
      <c r="J29" s="432">
        <f>I29*0.000001</f>
        <v>1.0803</v>
      </c>
    </row>
    <row r="31" spans="1:13" x14ac:dyDescent="0.2">
      <c r="A31" s="431" t="s">
        <v>1521</v>
      </c>
      <c r="C31" s="430">
        <v>2010</v>
      </c>
      <c r="D31" s="430">
        <v>2015</v>
      </c>
      <c r="E31" s="430">
        <v>2020</v>
      </c>
      <c r="F31" s="430">
        <v>2025</v>
      </c>
      <c r="G31" s="430">
        <v>2030</v>
      </c>
      <c r="H31" s="430">
        <v>2035</v>
      </c>
      <c r="I31" s="430">
        <v>2040</v>
      </c>
      <c r="J31" s="430">
        <v>2045</v>
      </c>
      <c r="K31" s="430">
        <v>2050</v>
      </c>
      <c r="L31" s="430">
        <v>2055</v>
      </c>
    </row>
    <row r="32" spans="1:13" x14ac:dyDescent="0.2">
      <c r="A32" s="431" t="s">
        <v>1522</v>
      </c>
      <c r="B32" s="436">
        <v>0.32</v>
      </c>
      <c r="C32" s="434">
        <f>B25*$B$32</f>
        <v>6468583.9820184121</v>
      </c>
      <c r="D32" s="434">
        <f t="shared" ref="D32:L32" si="3">C25*$B$32</f>
        <v>6710122.022158253</v>
      </c>
      <c r="E32" s="434">
        <f t="shared" si="3"/>
        <v>6710566.2033478627</v>
      </c>
      <c r="F32" s="434">
        <f t="shared" si="3"/>
        <v>6816532.453649221</v>
      </c>
      <c r="G32" s="434">
        <f t="shared" si="3"/>
        <v>6922498.7039505793</v>
      </c>
      <c r="H32" s="434">
        <f t="shared" si="3"/>
        <v>7002591.7923434032</v>
      </c>
      <c r="I32" s="434">
        <f t="shared" si="3"/>
        <v>7082684.8807362281</v>
      </c>
      <c r="J32" s="434">
        <f t="shared" si="3"/>
        <v>7292764.7001226591</v>
      </c>
      <c r="K32" s="434">
        <f t="shared" si="3"/>
        <v>7413173.5674057044</v>
      </c>
      <c r="L32" s="434">
        <f t="shared" si="3"/>
        <v>7533582.4346887479</v>
      </c>
      <c r="M32" s="434"/>
    </row>
    <row r="33" spans="1:13" x14ac:dyDescent="0.2">
      <c r="A33" s="431" t="s">
        <v>1523</v>
      </c>
      <c r="B33" s="436">
        <f>1-B32</f>
        <v>0.67999999999999994</v>
      </c>
      <c r="C33" s="434">
        <f>B25*$B$33</f>
        <v>13745740.961789126</v>
      </c>
      <c r="D33" s="434">
        <f t="shared" ref="D33:L33" si="4">C25*$B$33</f>
        <v>14259009.297086287</v>
      </c>
      <c r="E33" s="434">
        <f t="shared" si="4"/>
        <v>14259953.182114208</v>
      </c>
      <c r="F33" s="434">
        <f t="shared" si="4"/>
        <v>14485131.464004593</v>
      </c>
      <c r="G33" s="434">
        <f t="shared" si="4"/>
        <v>14710309.74589498</v>
      </c>
      <c r="H33" s="434">
        <f t="shared" si="4"/>
        <v>14880507.558729731</v>
      </c>
      <c r="I33" s="434">
        <f t="shared" si="4"/>
        <v>15050705.371564483</v>
      </c>
      <c r="J33" s="434">
        <f t="shared" si="4"/>
        <v>15497124.98776065</v>
      </c>
      <c r="K33" s="434">
        <f t="shared" si="4"/>
        <v>15752993.83073712</v>
      </c>
      <c r="L33" s="434">
        <f t="shared" si="4"/>
        <v>16008862.673713589</v>
      </c>
      <c r="M33" s="434"/>
    </row>
    <row r="35" spans="1:13" x14ac:dyDescent="0.2">
      <c r="A35" s="431" t="s">
        <v>1524</v>
      </c>
      <c r="C35" s="430">
        <v>2010</v>
      </c>
      <c r="D35" s="430">
        <v>2015</v>
      </c>
      <c r="E35" s="430">
        <v>2020</v>
      </c>
      <c r="F35" s="430">
        <v>2025</v>
      </c>
      <c r="G35" s="430">
        <v>2030</v>
      </c>
      <c r="H35" s="430">
        <v>2035</v>
      </c>
      <c r="I35" s="430">
        <v>2040</v>
      </c>
      <c r="J35" s="430">
        <v>2045</v>
      </c>
      <c r="K35" s="430">
        <v>2050</v>
      </c>
      <c r="L35" s="430">
        <v>2055</v>
      </c>
    </row>
    <row r="36" spans="1:13" x14ac:dyDescent="0.2">
      <c r="A36" s="431" t="str">
        <f>A32</f>
        <v xml:space="preserve">Rail </v>
      </c>
      <c r="B36" s="436">
        <f>B32</f>
        <v>0.32</v>
      </c>
      <c r="C36" s="434"/>
      <c r="D36" s="437">
        <f t="shared" ref="D36:L37" si="5">D32/C32</f>
        <v>1.0373401722558255</v>
      </c>
      <c r="E36" s="437">
        <f t="shared" si="5"/>
        <v>1.0000661956948238</v>
      </c>
      <c r="F36" s="437">
        <f t="shared" si="5"/>
        <v>1.0157909552026314</v>
      </c>
      <c r="G36" s="437">
        <f t="shared" si="5"/>
        <v>1.0155454772674968</v>
      </c>
      <c r="H36" s="437">
        <f t="shared" si="5"/>
        <v>1.0115699679867207</v>
      </c>
      <c r="I36" s="437">
        <f t="shared" si="5"/>
        <v>1.0114376349168888</v>
      </c>
      <c r="J36" s="437">
        <f t="shared" si="5"/>
        <v>1.0296610428000001</v>
      </c>
      <c r="K36" s="437">
        <f t="shared" si="5"/>
        <v>1.0165107297759135</v>
      </c>
      <c r="L36" s="437">
        <f t="shared" si="5"/>
        <v>1.0162425533664095</v>
      </c>
      <c r="M36" s="434"/>
    </row>
    <row r="37" spans="1:13" x14ac:dyDescent="0.2">
      <c r="A37" s="431" t="str">
        <f>A33</f>
        <v xml:space="preserve">Truck </v>
      </c>
      <c r="B37" s="436">
        <f>B33</f>
        <v>0.67999999999999994</v>
      </c>
      <c r="C37" s="434"/>
      <c r="D37" s="437">
        <f t="shared" si="5"/>
        <v>1.0373401722558255</v>
      </c>
      <c r="E37" s="437">
        <f t="shared" si="5"/>
        <v>1.0000661956948238</v>
      </c>
      <c r="F37" s="437">
        <f t="shared" si="5"/>
        <v>1.0157909552026312</v>
      </c>
      <c r="G37" s="437">
        <f t="shared" si="5"/>
        <v>1.0155454772674968</v>
      </c>
      <c r="H37" s="437">
        <f t="shared" si="5"/>
        <v>1.0115699679867207</v>
      </c>
      <c r="I37" s="437">
        <f t="shared" si="5"/>
        <v>1.0114376349168888</v>
      </c>
      <c r="J37" s="437">
        <f t="shared" si="5"/>
        <v>1.0296610428000001</v>
      </c>
      <c r="K37" s="437">
        <f t="shared" si="5"/>
        <v>1.0165107297759133</v>
      </c>
      <c r="L37" s="437">
        <f t="shared" si="5"/>
        <v>1.0162425533664097</v>
      </c>
      <c r="M37" s="434"/>
    </row>
    <row r="39" spans="1:13" x14ac:dyDescent="0.2">
      <c r="A39" s="299" t="s">
        <v>106</v>
      </c>
      <c r="B39" s="299" t="s">
        <v>107</v>
      </c>
      <c r="C39" s="299" t="s">
        <v>104</v>
      </c>
      <c r="D39" s="438"/>
    </row>
    <row r="40" spans="1:13" x14ac:dyDescent="0.2">
      <c r="C40" s="438"/>
      <c r="D40" s="438"/>
    </row>
    <row r="41" spans="1:13" x14ac:dyDescent="0.2">
      <c r="A41" s="431" t="s">
        <v>158</v>
      </c>
      <c r="B41" s="431" t="s">
        <v>159</v>
      </c>
      <c r="C41" s="438" t="s">
        <v>1499</v>
      </c>
      <c r="D41" s="438" t="s">
        <v>1525</v>
      </c>
      <c r="E41" s="431" t="s">
        <v>1526</v>
      </c>
      <c r="F41" s="431" t="s">
        <v>1527</v>
      </c>
    </row>
    <row r="42" spans="1:13" x14ac:dyDescent="0.2">
      <c r="A42" s="431" t="str">
        <f>TechData!B32</f>
        <v>TRFDSLE2</v>
      </c>
      <c r="B42" s="431" t="str">
        <f>TechData!C32</f>
        <v>Rail Freight, Diesel Existing-MSW</v>
      </c>
      <c r="C42" s="438">
        <f>TechData!K32</f>
        <v>2.7635668727577114</v>
      </c>
      <c r="D42" s="439">
        <f>J28</f>
        <v>0.21925699999999998</v>
      </c>
      <c r="E42" s="431">
        <f>C42*D42</f>
        <v>0.60593138182023742</v>
      </c>
      <c r="F42" s="431">
        <f>E42/C32</f>
        <v>9.3672955859369827E-8</v>
      </c>
    </row>
    <row r="43" spans="1:13" x14ac:dyDescent="0.2">
      <c r="C43" s="438"/>
      <c r="D43" s="438"/>
    </row>
    <row r="44" spans="1:13" x14ac:dyDescent="0.2">
      <c r="A44" s="440" t="s">
        <v>1528</v>
      </c>
      <c r="B44" s="440"/>
      <c r="C44" s="441">
        <v>2010</v>
      </c>
      <c r="D44" s="441">
        <v>2015</v>
      </c>
      <c r="E44" s="441">
        <v>2020</v>
      </c>
      <c r="F44" s="441">
        <v>2025</v>
      </c>
      <c r="G44" s="441">
        <v>2030</v>
      </c>
      <c r="H44" s="441">
        <v>2035</v>
      </c>
      <c r="I44" s="441">
        <v>2040</v>
      </c>
      <c r="J44" s="441">
        <v>2045</v>
      </c>
      <c r="K44" s="441">
        <v>2050</v>
      </c>
      <c r="L44" s="441">
        <v>2055</v>
      </c>
    </row>
    <row r="45" spans="1:13" x14ac:dyDescent="0.2">
      <c r="A45" s="431" t="str">
        <f>A36</f>
        <v xml:space="preserve">Rail </v>
      </c>
      <c r="C45" s="442">
        <f>E42</f>
        <v>0.60593138182023742</v>
      </c>
      <c r="D45" s="442">
        <f>D32*$F$42</f>
        <v>0.6285569639926154</v>
      </c>
      <c r="E45" s="442">
        <f t="shared" ref="E45:K45" si="6">E32*$F$42</f>
        <v>0.62859857175758327</v>
      </c>
      <c r="F45" s="442">
        <f t="shared" si="6"/>
        <v>0.6385247436446454</v>
      </c>
      <c r="G45" s="442">
        <f t="shared" si="6"/>
        <v>0.64845091553170742</v>
      </c>
      <c r="H45" s="442">
        <f t="shared" si="6"/>
        <v>0.65595347186536901</v>
      </c>
      <c r="I45" s="442">
        <f t="shared" si="6"/>
        <v>0.66345602819903071</v>
      </c>
      <c r="J45" s="442">
        <f t="shared" si="6"/>
        <v>0.68313482584736029</v>
      </c>
      <c r="K45" s="442">
        <f t="shared" si="6"/>
        <v>0.69441388035744167</v>
      </c>
      <c r="L45" s="442">
        <f>L32*$F$42</f>
        <v>0.70569293486752294</v>
      </c>
    </row>
    <row r="46" spans="1:13" x14ac:dyDescent="0.2">
      <c r="A46" s="431" t="s">
        <v>799</v>
      </c>
      <c r="C46" s="437">
        <f>(E$2/E$7)*C45</f>
        <v>9.9611766068552196E-2</v>
      </c>
      <c r="D46" s="437">
        <f t="shared" ref="D46:L46" si="7">(F$2/F$7)*D45</f>
        <v>0.10459757242003323</v>
      </c>
      <c r="E46" s="437">
        <f t="shared" si="7"/>
        <v>0.10464362437347545</v>
      </c>
      <c r="F46" s="437">
        <f t="shared" si="7"/>
        <v>0.10729905071736227</v>
      </c>
      <c r="G46" s="437">
        <f t="shared" si="7"/>
        <v>0.11037886442865927</v>
      </c>
      <c r="H46" s="437">
        <f t="shared" si="7"/>
        <v>0.11098454335222906</v>
      </c>
      <c r="I46" s="437">
        <f t="shared" si="7"/>
        <v>0.11326668354718269</v>
      </c>
      <c r="J46" s="437">
        <f t="shared" si="7"/>
        <v>0.11763714522044752</v>
      </c>
      <c r="K46" s="437">
        <f t="shared" si="7"/>
        <v>0.12055599060237014</v>
      </c>
      <c r="L46" s="437">
        <f t="shared" si="7"/>
        <v>0.12348411454052663</v>
      </c>
    </row>
    <row r="47" spans="1:13" x14ac:dyDescent="0.2">
      <c r="A47" s="431" t="s">
        <v>855</v>
      </c>
      <c r="C47" s="437">
        <f>(E$3/E$7)*C45</f>
        <v>0.19037655616585591</v>
      </c>
      <c r="D47" s="437">
        <f t="shared" ref="D47:L47" si="8">(F$3/F$7)*D45</f>
        <v>0.19349950461410786</v>
      </c>
      <c r="E47" s="437">
        <f t="shared" si="8"/>
        <v>0.19280883049566799</v>
      </c>
      <c r="F47" s="437">
        <f t="shared" si="8"/>
        <v>0.19776430925668759</v>
      </c>
      <c r="G47" s="437">
        <f t="shared" si="8"/>
        <v>0.19996634367196603</v>
      </c>
      <c r="H47" s="437">
        <f t="shared" si="8"/>
        <v>0.20316538138987725</v>
      </c>
      <c r="I47" s="437">
        <f t="shared" si="8"/>
        <v>0.20632602637648031</v>
      </c>
      <c r="J47" s="437">
        <f t="shared" si="8"/>
        <v>0.21328122661874435</v>
      </c>
      <c r="K47" s="437">
        <f t="shared" si="8"/>
        <v>0.21768937695611359</v>
      </c>
      <c r="L47" s="437">
        <f t="shared" si="8"/>
        <v>0.22210595218299212</v>
      </c>
    </row>
    <row r="48" spans="1:13" x14ac:dyDescent="0.2">
      <c r="A48" s="431" t="s">
        <v>803</v>
      </c>
      <c r="C48" s="437">
        <f>(E$4/E$7)*C45</f>
        <v>0.12309141224130628</v>
      </c>
      <c r="D48" s="437">
        <f t="shared" ref="D48:L48" si="9">(F$4/F$7)*D45</f>
        <v>0.1206519831435208</v>
      </c>
      <c r="E48" s="437">
        <f t="shared" si="9"/>
        <v>0.12257010890693688</v>
      </c>
      <c r="F48" s="437">
        <f t="shared" si="9"/>
        <v>0.12285155197883159</v>
      </c>
      <c r="G48" s="437">
        <f t="shared" si="9"/>
        <v>0.12471797566412028</v>
      </c>
      <c r="H48" s="437">
        <f t="shared" si="9"/>
        <v>0.12567416143044674</v>
      </c>
      <c r="I48" s="437">
        <f t="shared" si="9"/>
        <v>0.1266035948735324</v>
      </c>
      <c r="J48" s="437">
        <f t="shared" si="9"/>
        <v>0.12985175367843063</v>
      </c>
      <c r="K48" s="437">
        <f t="shared" si="9"/>
        <v>0.1310656406607279</v>
      </c>
      <c r="L48" s="437">
        <f t="shared" si="9"/>
        <v>0.13227069098632702</v>
      </c>
    </row>
    <row r="49" spans="1:12" x14ac:dyDescent="0.2">
      <c r="A49" s="431" t="s">
        <v>811</v>
      </c>
      <c r="C49" s="437">
        <f>(E$5/E$7)*C45</f>
        <v>0.16149185898513302</v>
      </c>
      <c r="D49" s="437">
        <f t="shared" ref="D49:L49" si="10">(F$5/F$7)*D45</f>
        <v>0.17498040100866791</v>
      </c>
      <c r="E49" s="437">
        <f t="shared" si="10"/>
        <v>0.17270771870423113</v>
      </c>
      <c r="F49" s="437">
        <f t="shared" si="10"/>
        <v>0.17429910065653115</v>
      </c>
      <c r="G49" s="437">
        <f t="shared" si="10"/>
        <v>0.17739790794307325</v>
      </c>
      <c r="H49" s="437">
        <f t="shared" si="10"/>
        <v>0.17875924216331807</v>
      </c>
      <c r="I49" s="437">
        <f t="shared" si="10"/>
        <v>0.17964513836692231</v>
      </c>
      <c r="J49" s="437">
        <f t="shared" si="10"/>
        <v>0.18381707130301583</v>
      </c>
      <c r="K49" s="437">
        <f t="shared" si="10"/>
        <v>0.18623622557077155</v>
      </c>
      <c r="L49" s="437">
        <f t="shared" si="10"/>
        <v>0.18864952902310092</v>
      </c>
    </row>
    <row r="50" spans="1:12" x14ac:dyDescent="0.2">
      <c r="A50" s="431" t="s">
        <v>807</v>
      </c>
      <c r="C50" s="437">
        <f>(E$6/E$7)*C45</f>
        <v>3.1359788359389976E-2</v>
      </c>
      <c r="D50" s="437">
        <f t="shared" ref="D50:L50" si="11">(F$6/F$7)*D45</f>
        <v>3.4827502806285604E-2</v>
      </c>
      <c r="E50" s="437">
        <f t="shared" si="11"/>
        <v>3.58682892772718E-2</v>
      </c>
      <c r="F50" s="437">
        <f t="shared" si="11"/>
        <v>3.6310731035232788E-2</v>
      </c>
      <c r="G50" s="437">
        <f t="shared" si="11"/>
        <v>3.598982382388858E-2</v>
      </c>
      <c r="H50" s="437">
        <f t="shared" si="11"/>
        <v>3.7370143529497857E-2</v>
      </c>
      <c r="I50" s="437">
        <f t="shared" si="11"/>
        <v>3.7614585034912974E-2</v>
      </c>
      <c r="J50" s="437">
        <f t="shared" si="11"/>
        <v>3.8547629026721916E-2</v>
      </c>
      <c r="K50" s="437">
        <f t="shared" si="11"/>
        <v>3.8866646567458474E-2</v>
      </c>
      <c r="L50" s="437">
        <f t="shared" si="11"/>
        <v>3.9182648134576177E-2</v>
      </c>
    </row>
    <row r="51" spans="1:12" x14ac:dyDescent="0.2">
      <c r="C51" s="437">
        <f>SUM(C46:C50)-C45</f>
        <v>0</v>
      </c>
      <c r="D51" s="437">
        <f t="shared" ref="D51:L51" si="12">SUM(D46:D50)-D45</f>
        <v>0</v>
      </c>
      <c r="E51" s="437">
        <f t="shared" si="12"/>
        <v>0</v>
      </c>
      <c r="F51" s="437">
        <f t="shared" si="12"/>
        <v>0</v>
      </c>
      <c r="G51" s="437">
        <f t="shared" si="12"/>
        <v>0</v>
      </c>
      <c r="H51" s="437">
        <f t="shared" si="12"/>
        <v>0</v>
      </c>
      <c r="I51" s="437">
        <f t="shared" si="12"/>
        <v>0</v>
      </c>
      <c r="J51" s="437">
        <f t="shared" si="12"/>
        <v>0</v>
      </c>
      <c r="K51" s="437">
        <f t="shared" si="12"/>
        <v>0</v>
      </c>
      <c r="L51" s="437">
        <f t="shared" si="12"/>
        <v>0</v>
      </c>
    </row>
    <row r="54" spans="1:12" x14ac:dyDescent="0.2">
      <c r="A54" s="299" t="s">
        <v>98</v>
      </c>
      <c r="B54" s="299" t="s">
        <v>1529</v>
      </c>
      <c r="C54" s="299" t="s">
        <v>95</v>
      </c>
      <c r="D54" s="438"/>
    </row>
    <row r="55" spans="1:12" x14ac:dyDescent="0.2">
      <c r="C55" s="438"/>
      <c r="D55" s="438"/>
    </row>
    <row r="56" spans="1:12" x14ac:dyDescent="0.2">
      <c r="A56" s="431" t="s">
        <v>158</v>
      </c>
      <c r="B56" s="431" t="s">
        <v>159</v>
      </c>
      <c r="C56" s="438" t="s">
        <v>1499</v>
      </c>
      <c r="D56" s="438" t="s">
        <v>1525</v>
      </c>
      <c r="E56" s="431" t="s">
        <v>1530</v>
      </c>
    </row>
    <row r="57" spans="1:12" x14ac:dyDescent="0.2">
      <c r="A57" s="431" t="str">
        <f>TechData!B25</f>
        <v>THSDSLE2</v>
      </c>
      <c r="B57" s="431" t="str">
        <f>TechData!C25</f>
        <v>Heavy Truck, Short Haul, Diesel exisiting MSW</v>
      </c>
      <c r="C57" s="438">
        <f>TechData!K25</f>
        <v>3.9439301070208731E-2</v>
      </c>
      <c r="D57" s="439">
        <f>J29</f>
        <v>1.0803</v>
      </c>
      <c r="E57" s="431">
        <f>C57*D57</f>
        <v>4.2606276946146493E-2</v>
      </c>
    </row>
    <row r="58" spans="1:12" x14ac:dyDescent="0.2">
      <c r="C58" s="438"/>
      <c r="D58" s="438"/>
    </row>
    <row r="59" spans="1:12" x14ac:dyDescent="0.2">
      <c r="A59" s="440" t="s">
        <v>1531</v>
      </c>
      <c r="B59" s="440"/>
      <c r="C59" s="441">
        <v>2010</v>
      </c>
      <c r="D59" s="441">
        <v>2015</v>
      </c>
      <c r="E59" s="441">
        <v>2020</v>
      </c>
      <c r="F59" s="441">
        <v>2025</v>
      </c>
      <c r="G59" s="441">
        <v>2030</v>
      </c>
      <c r="H59" s="441">
        <v>2035</v>
      </c>
      <c r="I59" s="441">
        <v>2040</v>
      </c>
      <c r="J59" s="441">
        <v>2045</v>
      </c>
      <c r="K59" s="441">
        <v>2050</v>
      </c>
      <c r="L59" s="441">
        <v>2055</v>
      </c>
    </row>
    <row r="60" spans="1:12" x14ac:dyDescent="0.2">
      <c r="C60" s="442">
        <f>E57</f>
        <v>4.2606276946146493E-2</v>
      </c>
      <c r="D60" s="442">
        <f>C60*$D$37</f>
        <v>4.419720266649501E-2</v>
      </c>
      <c r="E60" s="442">
        <f t="shared" ref="E60:L60" si="13">D60*$D$37</f>
        <v>4.5847533827287568E-2</v>
      </c>
      <c r="F60" s="442">
        <f t="shared" si="13"/>
        <v>4.7559488637903276E-2</v>
      </c>
      <c r="G60" s="442">
        <f t="shared" si="13"/>
        <v>4.9335368136041564E-2</v>
      </c>
      <c r="H60" s="442">
        <f t="shared" si="13"/>
        <v>5.1177559280545924E-2</v>
      </c>
      <c r="I60" s="442">
        <f t="shared" si="13"/>
        <v>5.3088538159714233E-2</v>
      </c>
      <c r="J60" s="442">
        <f t="shared" si="13"/>
        <v>5.507087331940793E-2</v>
      </c>
      <c r="K60" s="442">
        <f t="shared" si="13"/>
        <v>5.7127229215433367E-2</v>
      </c>
      <c r="L60" s="442">
        <f t="shared" si="13"/>
        <v>5.9260369794835677E-2</v>
      </c>
    </row>
    <row r="61" spans="1:12" x14ac:dyDescent="0.2">
      <c r="A61" s="431" t="s">
        <v>799</v>
      </c>
      <c r="C61" s="437">
        <f>(E$2/E$7)*C60</f>
        <v>7.0042361553582519E-3</v>
      </c>
      <c r="D61" s="437">
        <f t="shared" ref="D61:L61" si="14">(F$2/F$7)*D60</f>
        <v>7.3548148719992709E-3</v>
      </c>
      <c r="E61" s="437">
        <f t="shared" si="14"/>
        <v>7.6322987735375995E-3</v>
      </c>
      <c r="F61" s="437">
        <f t="shared" si="14"/>
        <v>7.9919972314967825E-3</v>
      </c>
      <c r="G61" s="437">
        <f t="shared" si="14"/>
        <v>8.3978320958355626E-3</v>
      </c>
      <c r="H61" s="437">
        <f t="shared" si="14"/>
        <v>8.6590258154755143E-3</v>
      </c>
      <c r="I61" s="437">
        <f t="shared" si="14"/>
        <v>9.0633928943893646E-3</v>
      </c>
      <c r="J61" s="437">
        <f t="shared" si="14"/>
        <v>9.4833114591344071E-3</v>
      </c>
      <c r="K61" s="437">
        <f t="shared" si="14"/>
        <v>9.9177592833976907E-3</v>
      </c>
      <c r="L61" s="437">
        <f t="shared" si="14"/>
        <v>1.0369544500021359E-2</v>
      </c>
    </row>
    <row r="62" spans="1:12" x14ac:dyDescent="0.2">
      <c r="A62" s="431" t="s">
        <v>855</v>
      </c>
      <c r="C62" s="437">
        <f>(E$3/E$7)*C60</f>
        <v>1.3386394102397626E-2</v>
      </c>
      <c r="D62" s="437">
        <f t="shared" ref="D62:L62" si="15">(F$3/F$7)*D60</f>
        <v>1.3605985314318442E-2</v>
      </c>
      <c r="E62" s="437">
        <f t="shared" si="15"/>
        <v>1.4062725840489078E-2</v>
      </c>
      <c r="F62" s="437">
        <f t="shared" si="15"/>
        <v>1.4730156525164594E-2</v>
      </c>
      <c r="G62" s="437">
        <f t="shared" si="15"/>
        <v>1.5213816410121574E-2</v>
      </c>
      <c r="H62" s="437">
        <f t="shared" si="15"/>
        <v>1.5850984552711077E-2</v>
      </c>
      <c r="I62" s="437">
        <f t="shared" si="15"/>
        <v>1.6509831336318823E-2</v>
      </c>
      <c r="J62" s="437">
        <f t="shared" si="15"/>
        <v>1.7193653387469431E-2</v>
      </c>
      <c r="K62" s="437">
        <f t="shared" si="15"/>
        <v>1.7908615145675797E-2</v>
      </c>
      <c r="L62" s="437">
        <f t="shared" si="15"/>
        <v>1.8651286146812666E-2</v>
      </c>
    </row>
    <row r="63" spans="1:12" x14ac:dyDescent="0.2">
      <c r="A63" s="431" t="s">
        <v>803</v>
      </c>
      <c r="C63" s="437">
        <f>(E$4/E$7)*C60</f>
        <v>8.6552156844737667E-3</v>
      </c>
      <c r="D63" s="437">
        <f t="shared" ref="D63:L63" si="16">(F$4/F$7)*D60</f>
        <v>8.4836863746391919E-3</v>
      </c>
      <c r="E63" s="437">
        <f t="shared" si="16"/>
        <v>8.9397868000442478E-3</v>
      </c>
      <c r="F63" s="437">
        <f t="shared" si="16"/>
        <v>9.1504002760113261E-3</v>
      </c>
      <c r="G63" s="437">
        <f t="shared" si="16"/>
        <v>9.488778711224416E-3</v>
      </c>
      <c r="H63" s="437">
        <f t="shared" si="16"/>
        <v>9.8051113722280262E-3</v>
      </c>
      <c r="I63" s="437">
        <f t="shared" si="16"/>
        <v>1.0130588150424081E-2</v>
      </c>
      <c r="J63" s="437">
        <f t="shared" si="16"/>
        <v>1.046799139285229E-2</v>
      </c>
      <c r="K63" s="437">
        <f t="shared" si="16"/>
        <v>1.0782354886741268E-2</v>
      </c>
      <c r="L63" s="437">
        <f t="shared" si="16"/>
        <v>1.1107394836451994E-2</v>
      </c>
    </row>
    <row r="64" spans="1:12" x14ac:dyDescent="0.2">
      <c r="A64" s="431" t="s">
        <v>811</v>
      </c>
      <c r="C64" s="437">
        <f>(E$5/E$7)*C60</f>
        <v>1.1355356522052331E-2</v>
      </c>
      <c r="D64" s="437">
        <f t="shared" ref="D64:L64" si="17">(F$5/F$7)*D60</f>
        <v>1.2303808070028037E-2</v>
      </c>
      <c r="E64" s="437">
        <f t="shared" si="17"/>
        <v>1.2596628963674351E-2</v>
      </c>
      <c r="F64" s="437">
        <f t="shared" si="17"/>
        <v>1.2982388199954243E-2</v>
      </c>
      <c r="G64" s="437">
        <f t="shared" si="17"/>
        <v>1.3496767273061525E-2</v>
      </c>
      <c r="H64" s="437">
        <f t="shared" si="17"/>
        <v>1.3946814987872109E-2</v>
      </c>
      <c r="I64" s="437">
        <f t="shared" si="17"/>
        <v>1.4374875467313497E-2</v>
      </c>
      <c r="J64" s="437">
        <f t="shared" si="17"/>
        <v>1.481840226066126E-2</v>
      </c>
      <c r="K64" s="437">
        <f t="shared" si="17"/>
        <v>1.5321064061856357E-2</v>
      </c>
      <c r="L64" s="437">
        <f t="shared" si="17"/>
        <v>1.5841792228838483E-2</v>
      </c>
    </row>
    <row r="65" spans="1:16" x14ac:dyDescent="0.2">
      <c r="A65" s="431" t="s">
        <v>807</v>
      </c>
      <c r="C65" s="437">
        <f>(E$6/E$7)*C60</f>
        <v>2.2050744818645162E-3</v>
      </c>
      <c r="D65" s="437">
        <f t="shared" ref="D65:L65" si="18">(F$6/F$7)*D60</f>
        <v>2.4489080355100681E-3</v>
      </c>
      <c r="E65" s="437">
        <f t="shared" si="18"/>
        <v>2.6160934495422935E-3</v>
      </c>
      <c r="F65" s="437">
        <f t="shared" si="18"/>
        <v>2.7045464052763298E-3</v>
      </c>
      <c r="G65" s="437">
        <f t="shared" si="18"/>
        <v>2.7381736457984872E-3</v>
      </c>
      <c r="H65" s="437">
        <f t="shared" si="18"/>
        <v>2.9156225522591938E-3</v>
      </c>
      <c r="I65" s="437">
        <f t="shared" si="18"/>
        <v>3.0098503112684668E-3</v>
      </c>
      <c r="J65" s="437">
        <f t="shared" si="18"/>
        <v>3.1075148192905404E-3</v>
      </c>
      <c r="K65" s="437">
        <f t="shared" si="18"/>
        <v>3.1974358377622578E-3</v>
      </c>
      <c r="L65" s="437">
        <f t="shared" si="18"/>
        <v>3.2903520827111707E-3</v>
      </c>
    </row>
    <row r="66" spans="1:16" x14ac:dyDescent="0.2">
      <c r="B66" s="443"/>
      <c r="C66" s="444">
        <f>SUM(C61:C65)-C60</f>
        <v>0</v>
      </c>
      <c r="D66" s="444">
        <f>SUM(D61:D65)-D60</f>
        <v>0</v>
      </c>
      <c r="E66" s="444">
        <f>SUM(E61:E65)-E60</f>
        <v>0</v>
      </c>
      <c r="F66" s="444">
        <f t="shared" ref="F66:L66" si="19">SUM(F61:F65)-F60</f>
        <v>0</v>
      </c>
      <c r="G66" s="444">
        <f t="shared" si="19"/>
        <v>0</v>
      </c>
      <c r="H66" s="444">
        <f t="shared" si="19"/>
        <v>0</v>
      </c>
      <c r="I66" s="444">
        <f t="shared" si="19"/>
        <v>0</v>
      </c>
      <c r="J66" s="444">
        <f t="shared" si="19"/>
        <v>0</v>
      </c>
      <c r="K66" s="444">
        <f t="shared" si="19"/>
        <v>0</v>
      </c>
      <c r="L66" s="444">
        <f t="shared" si="19"/>
        <v>0</v>
      </c>
      <c r="M66" s="443"/>
      <c r="N66" s="445"/>
      <c r="O66" s="445"/>
      <c r="P66" s="445"/>
    </row>
    <row r="68" spans="1:16" x14ac:dyDescent="0.2">
      <c r="C68" s="446"/>
      <c r="D68" s="446"/>
    </row>
  </sheetData>
  <mergeCells count="1">
    <mergeCell ref="B1:C1"/>
  </mergeCells>
  <conditionalFormatting sqref="A39:C39">
    <cfRule type="expression" dxfId="7" priority="3">
      <formula>LEFT($A39,1)=""</formula>
    </cfRule>
    <cfRule type="expression" dxfId="6" priority="4">
      <formula>LEFT($A39,1)="*"</formula>
    </cfRule>
  </conditionalFormatting>
  <conditionalFormatting sqref="A54:C54">
    <cfRule type="expression" dxfId="5" priority="1">
      <formula>LEFT($A54,1)=""</formula>
    </cfRule>
    <cfRule type="expression" dxfId="4" priority="2">
      <formula>LEFT($A54,1)="*"</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6">
    <pageSetUpPr fitToPage="1"/>
  </sheetPr>
  <dimension ref="A1:CM138"/>
  <sheetViews>
    <sheetView workbookViewId="0">
      <pane xSplit="2" ySplit="7" topLeftCell="C8" activePane="bottomRight" state="frozen"/>
      <selection pane="topRight" activeCell="C1" sqref="C1"/>
      <selection pane="bottomLeft" activeCell="A6" sqref="A6"/>
      <selection pane="bottomRight" activeCell="D87" sqref="D87"/>
    </sheetView>
  </sheetViews>
  <sheetFormatPr defaultColWidth="8" defaultRowHeight="11.25" x14ac:dyDescent="0.2"/>
  <cols>
    <col min="1" max="1" width="9.5703125" style="686" customWidth="1"/>
    <col min="2" max="2" width="37.42578125" style="686" customWidth="1"/>
    <col min="3" max="3" width="10.42578125" style="686" customWidth="1"/>
    <col min="4" max="4" width="12.42578125" style="696" customWidth="1"/>
    <col min="5" max="12" width="8.5703125" style="696" customWidth="1"/>
    <col min="13" max="13" width="10.42578125" style="686" customWidth="1"/>
    <col min="14" max="14" width="12.42578125" style="696" customWidth="1"/>
    <col min="15" max="22" width="8.5703125" style="696" customWidth="1"/>
    <col min="23" max="23" width="10.42578125" style="686" customWidth="1"/>
    <col min="24" max="24" width="12.42578125" style="696" customWidth="1"/>
    <col min="25" max="32" width="8.5703125" style="696" customWidth="1"/>
    <col min="33" max="33" width="10.42578125" style="686" customWidth="1"/>
    <col min="34" max="34" width="12.42578125" style="696" customWidth="1"/>
    <col min="35" max="42" width="8.5703125" style="696" customWidth="1"/>
    <col min="43" max="43" width="10.42578125" style="686" customWidth="1"/>
    <col min="44" max="44" width="12.42578125" style="696" customWidth="1"/>
    <col min="45" max="52" width="8.5703125" style="696" customWidth="1"/>
    <col min="53" max="53" width="10.42578125" style="686" customWidth="1"/>
    <col min="54" max="54" width="12.42578125" style="696" customWidth="1"/>
    <col min="55" max="62" width="8.5703125" style="696" customWidth="1"/>
    <col min="63" max="63" width="10.42578125" style="686" customWidth="1"/>
    <col min="64" max="64" width="12.42578125" style="696" customWidth="1"/>
    <col min="65" max="79" width="8.5703125" style="696" customWidth="1"/>
    <col min="80" max="16384" width="8" style="686"/>
  </cols>
  <sheetData>
    <row r="1" spans="1:91" x14ac:dyDescent="0.2">
      <c r="B1" s="687" t="s">
        <v>1376</v>
      </c>
      <c r="D1" s="863"/>
      <c r="E1" s="863"/>
      <c r="F1" s="863"/>
      <c r="G1" s="863"/>
      <c r="H1" s="863"/>
      <c r="I1" s="863"/>
      <c r="J1" s="863"/>
      <c r="K1" s="863"/>
      <c r="L1" s="863"/>
      <c r="N1" s="863"/>
      <c r="O1" s="863"/>
      <c r="P1" s="863"/>
      <c r="Q1" s="863"/>
      <c r="R1" s="863"/>
      <c r="S1" s="863"/>
      <c r="T1" s="863"/>
      <c r="U1" s="863"/>
      <c r="V1" s="863"/>
      <c r="X1" s="863"/>
      <c r="Y1" s="863"/>
      <c r="Z1" s="863"/>
      <c r="AA1" s="863"/>
      <c r="AB1" s="863"/>
      <c r="AC1" s="863"/>
      <c r="AD1" s="863"/>
      <c r="AE1" s="863"/>
      <c r="AF1" s="863"/>
      <c r="AH1" s="863"/>
      <c r="AI1" s="863"/>
      <c r="AJ1" s="863"/>
      <c r="AK1" s="863"/>
      <c r="AL1" s="863"/>
      <c r="AM1" s="863"/>
      <c r="AN1" s="863"/>
      <c r="AO1" s="863"/>
      <c r="AP1" s="863"/>
      <c r="AR1" s="863"/>
      <c r="AS1" s="863"/>
      <c r="AT1" s="863"/>
      <c r="AU1" s="863"/>
      <c r="AV1" s="863"/>
      <c r="AW1" s="863"/>
      <c r="AX1" s="863"/>
      <c r="AY1" s="863"/>
      <c r="AZ1" s="863"/>
      <c r="BB1" s="863"/>
      <c r="BC1" s="863"/>
      <c r="BD1" s="863"/>
      <c r="BE1" s="863"/>
      <c r="BF1" s="863"/>
      <c r="BG1" s="863"/>
      <c r="BH1" s="863"/>
      <c r="BI1" s="863"/>
      <c r="BJ1" s="863"/>
      <c r="BL1" s="863"/>
      <c r="BM1" s="863"/>
      <c r="BN1" s="863"/>
      <c r="BO1" s="863"/>
      <c r="BP1" s="863"/>
      <c r="BQ1" s="863"/>
      <c r="BR1" s="863"/>
      <c r="BS1" s="863"/>
      <c r="BT1" s="863"/>
      <c r="BU1" s="863"/>
      <c r="BV1" s="863"/>
      <c r="BW1" s="863"/>
      <c r="BX1" s="863"/>
      <c r="BY1" s="863"/>
      <c r="BZ1" s="863"/>
      <c r="CA1" s="863"/>
    </row>
    <row r="2" spans="1:91" ht="12.75" x14ac:dyDescent="0.2">
      <c r="A2" s="688" t="s">
        <v>1301</v>
      </c>
      <c r="B2" s="858"/>
      <c r="C2" s="1188"/>
      <c r="D2" s="1188"/>
      <c r="E2" s="1188"/>
      <c r="F2" s="1188"/>
      <c r="G2" s="1188"/>
      <c r="H2" s="1188"/>
      <c r="I2" s="1188"/>
      <c r="J2" s="1188"/>
      <c r="K2" s="1188"/>
      <c r="L2" s="1188"/>
      <c r="M2" s="1188"/>
      <c r="N2" s="1188"/>
      <c r="O2" s="1188"/>
      <c r="P2" s="1188"/>
      <c r="Q2" s="1188"/>
      <c r="R2" s="1188"/>
      <c r="S2" s="1188"/>
      <c r="T2" s="1188"/>
      <c r="U2" s="1188"/>
      <c r="V2" s="1188"/>
      <c r="W2" s="1188"/>
      <c r="X2" s="1188"/>
      <c r="Y2" s="1188"/>
      <c r="Z2" s="1188"/>
      <c r="AA2" s="1188"/>
      <c r="AB2" s="1188"/>
      <c r="AC2" s="1188"/>
      <c r="AD2" s="1188"/>
      <c r="AE2" s="1188"/>
      <c r="AF2" s="1188"/>
      <c r="AG2" s="1188"/>
      <c r="AH2" s="1188"/>
      <c r="AI2" s="1188"/>
      <c r="AJ2" s="1188"/>
      <c r="AK2" s="858"/>
      <c r="AL2" s="858"/>
      <c r="AM2" s="686"/>
      <c r="AN2" s="686"/>
      <c r="AO2" s="686"/>
      <c r="AP2" s="686"/>
      <c r="AR2" s="686"/>
      <c r="AS2" s="686"/>
      <c r="AT2" s="686"/>
      <c r="AU2" s="858"/>
      <c r="AV2" s="858"/>
      <c r="AW2" s="686"/>
      <c r="AX2" s="686"/>
      <c r="AY2" s="686"/>
      <c r="AZ2" s="686"/>
      <c r="BB2" s="686"/>
      <c r="BC2" s="686"/>
      <c r="BD2" s="686"/>
      <c r="BE2" s="858"/>
      <c r="BF2" s="858"/>
      <c r="BG2" s="686"/>
      <c r="BH2" s="686"/>
      <c r="BI2" s="686"/>
      <c r="BJ2" s="686"/>
      <c r="BL2" s="686"/>
      <c r="BM2" s="686"/>
      <c r="BN2" s="686"/>
      <c r="BO2" s="858"/>
      <c r="BP2" s="858"/>
      <c r="BQ2" s="686"/>
      <c r="BR2" s="686"/>
      <c r="BS2" s="686"/>
      <c r="BT2" s="686"/>
      <c r="BU2" s="686"/>
      <c r="BV2" s="686"/>
      <c r="BW2" s="686"/>
      <c r="BX2" s="686"/>
      <c r="BY2" s="686"/>
      <c r="BZ2" s="686"/>
      <c r="CA2" s="686"/>
    </row>
    <row r="3" spans="1:91" ht="12.75" x14ac:dyDescent="0.2">
      <c r="A3" s="689" t="s">
        <v>1377</v>
      </c>
      <c r="B3" s="858"/>
      <c r="C3" s="855"/>
      <c r="D3" s="697"/>
      <c r="E3" s="697"/>
      <c r="F3" s="697"/>
      <c r="G3" s="697"/>
      <c r="H3" s="697"/>
      <c r="I3" s="697"/>
      <c r="J3" s="697"/>
      <c r="K3" s="697"/>
      <c r="L3" s="697"/>
      <c r="M3" s="855"/>
      <c r="N3" s="697"/>
      <c r="O3" s="697"/>
      <c r="P3" s="697"/>
      <c r="Q3" s="697"/>
      <c r="R3" s="697"/>
      <c r="S3" s="697"/>
      <c r="T3" s="697"/>
      <c r="U3" s="697"/>
      <c r="V3" s="697"/>
      <c r="W3" s="855"/>
      <c r="X3" s="697"/>
      <c r="Y3" s="697"/>
      <c r="Z3" s="697"/>
      <c r="AA3" s="697"/>
      <c r="AB3" s="697"/>
      <c r="AC3" s="697"/>
      <c r="AD3" s="697"/>
      <c r="AE3" s="697"/>
      <c r="AF3" s="697"/>
      <c r="AG3" s="855"/>
      <c r="AH3" s="697"/>
      <c r="AI3" s="697"/>
      <c r="AJ3" s="697"/>
      <c r="AK3" s="697"/>
      <c r="AL3" s="697"/>
      <c r="AM3" s="697"/>
      <c r="AN3" s="697"/>
      <c r="AO3" s="697"/>
      <c r="AP3" s="697"/>
      <c r="AQ3" s="855"/>
      <c r="AR3" s="697"/>
      <c r="AS3" s="697"/>
      <c r="AT3" s="697"/>
      <c r="AU3" s="697"/>
      <c r="AV3" s="697"/>
      <c r="AW3" s="697"/>
      <c r="AX3" s="697"/>
      <c r="AY3" s="697"/>
      <c r="AZ3" s="697"/>
      <c r="BA3" s="855"/>
      <c r="BB3" s="697"/>
      <c r="BC3" s="697"/>
      <c r="BD3" s="697"/>
      <c r="BE3" s="697"/>
      <c r="BF3" s="697"/>
      <c r="BG3" s="697"/>
      <c r="BH3" s="697"/>
      <c r="BI3" s="697"/>
      <c r="BJ3" s="697"/>
      <c r="BK3" s="855"/>
      <c r="BL3" s="697"/>
      <c r="BM3" s="697"/>
      <c r="BN3" s="697"/>
      <c r="BO3" s="697"/>
      <c r="BP3" s="697"/>
      <c r="BQ3" s="697"/>
      <c r="BR3" s="697"/>
      <c r="BS3" s="697"/>
      <c r="BT3" s="697"/>
      <c r="BU3" s="697"/>
      <c r="BV3" s="697"/>
      <c r="BW3" s="697"/>
      <c r="BX3" s="697"/>
      <c r="BY3" s="697"/>
      <c r="BZ3" s="697"/>
      <c r="CA3" s="697"/>
      <c r="CB3" s="684" t="s">
        <v>1378</v>
      </c>
    </row>
    <row r="4" spans="1:91" x14ac:dyDescent="0.2">
      <c r="A4" s="690"/>
      <c r="B4" s="690"/>
      <c r="C4" s="680"/>
      <c r="D4" s="698" t="s">
        <v>1532</v>
      </c>
      <c r="E4" s="698"/>
      <c r="F4" s="699"/>
      <c r="G4" s="699"/>
      <c r="H4" s="699"/>
      <c r="I4" s="699"/>
      <c r="J4" s="699"/>
      <c r="K4" s="863"/>
      <c r="L4" s="699"/>
      <c r="M4" s="680"/>
      <c r="N4" s="698" t="s">
        <v>1532</v>
      </c>
      <c r="O4" s="698"/>
      <c r="P4" s="699"/>
      <c r="Q4" s="699"/>
      <c r="R4" s="699"/>
      <c r="S4" s="699"/>
      <c r="T4" s="699"/>
      <c r="U4" s="863"/>
      <c r="V4" s="699"/>
      <c r="W4" s="680"/>
      <c r="X4" s="698" t="s">
        <v>1532</v>
      </c>
      <c r="Y4" s="698"/>
      <c r="Z4" s="699"/>
      <c r="AA4" s="699"/>
      <c r="AB4" s="699"/>
      <c r="AC4" s="699"/>
      <c r="AD4" s="699"/>
      <c r="AE4" s="863"/>
      <c r="AF4" s="699"/>
      <c r="AG4" s="680"/>
      <c r="AH4" s="698" t="s">
        <v>1532</v>
      </c>
      <c r="AI4" s="698"/>
      <c r="AJ4" s="699"/>
      <c r="AK4" s="699"/>
      <c r="AL4" s="699"/>
      <c r="AM4" s="699"/>
      <c r="AN4" s="699"/>
      <c r="AO4" s="863"/>
      <c r="AP4" s="699"/>
      <c r="AQ4" s="680"/>
      <c r="AR4" s="698" t="s">
        <v>1532</v>
      </c>
      <c r="AS4" s="698"/>
      <c r="AT4" s="699"/>
      <c r="AU4" s="699"/>
      <c r="AV4" s="699"/>
      <c r="AW4" s="699"/>
      <c r="AX4" s="699"/>
      <c r="AY4" s="863"/>
      <c r="AZ4" s="699"/>
      <c r="BA4" s="680"/>
      <c r="BB4" s="698" t="s">
        <v>1532</v>
      </c>
      <c r="BC4" s="698"/>
      <c r="BD4" s="699"/>
      <c r="BE4" s="699"/>
      <c r="BF4" s="699"/>
      <c r="BG4" s="699"/>
      <c r="BH4" s="699"/>
      <c r="BI4" s="863"/>
      <c r="BJ4" s="699"/>
      <c r="BK4" s="680"/>
      <c r="BL4" s="698" t="s">
        <v>1532</v>
      </c>
      <c r="BM4" s="698"/>
      <c r="BN4" s="699"/>
      <c r="BO4" s="699"/>
      <c r="BP4" s="699"/>
      <c r="BQ4" s="699"/>
      <c r="BR4" s="699"/>
      <c r="BS4" s="863"/>
      <c r="BT4" s="699"/>
      <c r="BU4" s="699"/>
      <c r="BV4" s="699"/>
      <c r="BW4" s="699"/>
      <c r="BX4" s="699"/>
      <c r="BY4" s="699"/>
      <c r="BZ4" s="699"/>
      <c r="CA4" s="699"/>
    </row>
    <row r="5" spans="1:91" x14ac:dyDescent="0.2">
      <c r="A5" s="690"/>
      <c r="B5" s="690"/>
      <c r="C5" s="680"/>
      <c r="D5" s="700" t="s">
        <v>1533</v>
      </c>
      <c r="E5" s="863"/>
      <c r="F5" s="701" t="s">
        <v>1534</v>
      </c>
      <c r="G5" s="699"/>
      <c r="H5" s="699"/>
      <c r="I5" s="699"/>
      <c r="J5" s="699"/>
      <c r="K5" s="863"/>
      <c r="L5" s="699"/>
      <c r="M5" s="680"/>
      <c r="N5" s="700" t="s">
        <v>1533</v>
      </c>
      <c r="O5" s="701" t="s">
        <v>1534</v>
      </c>
      <c r="P5" s="699"/>
      <c r="Q5" s="699"/>
      <c r="R5" s="699"/>
      <c r="S5" s="699"/>
      <c r="T5" s="699"/>
      <c r="U5" s="863"/>
      <c r="V5" s="699"/>
      <c r="W5" s="680"/>
      <c r="X5" s="700" t="s">
        <v>1533</v>
      </c>
      <c r="Y5" s="701" t="s">
        <v>1534</v>
      </c>
      <c r="Z5" s="699"/>
      <c r="AA5" s="699"/>
      <c r="AB5" s="699"/>
      <c r="AC5" s="699"/>
      <c r="AD5" s="699"/>
      <c r="AE5" s="863"/>
      <c r="AF5" s="699"/>
      <c r="AG5" s="680"/>
      <c r="AH5" s="700" t="s">
        <v>1533</v>
      </c>
      <c r="AI5" s="701" t="s">
        <v>1534</v>
      </c>
      <c r="AJ5" s="699"/>
      <c r="AK5" s="699"/>
      <c r="AL5" s="699"/>
      <c r="AM5" s="699"/>
      <c r="AN5" s="699"/>
      <c r="AO5" s="863"/>
      <c r="AP5" s="699"/>
      <c r="AQ5" s="680"/>
      <c r="AR5" s="700" t="s">
        <v>1533</v>
      </c>
      <c r="AS5" s="701" t="s">
        <v>1534</v>
      </c>
      <c r="AT5" s="699"/>
      <c r="AU5" s="699"/>
      <c r="AV5" s="699"/>
      <c r="AW5" s="699"/>
      <c r="AX5" s="699"/>
      <c r="AY5" s="863"/>
      <c r="AZ5" s="699"/>
      <c r="BA5" s="680"/>
      <c r="BB5" s="700" t="s">
        <v>1533</v>
      </c>
      <c r="BC5" s="701" t="s">
        <v>1534</v>
      </c>
      <c r="BD5" s="699"/>
      <c r="BE5" s="699"/>
      <c r="BF5" s="699"/>
      <c r="BG5" s="699"/>
      <c r="BH5" s="699"/>
      <c r="BI5" s="863"/>
      <c r="BJ5" s="699"/>
      <c r="BK5" s="680"/>
      <c r="BL5" s="700" t="s">
        <v>1533</v>
      </c>
      <c r="BM5" s="701" t="s">
        <v>1534</v>
      </c>
      <c r="BN5" s="699"/>
      <c r="BO5" s="699"/>
      <c r="BP5" s="699"/>
      <c r="BQ5" s="699"/>
      <c r="BR5" s="699"/>
      <c r="BS5" s="863"/>
      <c r="BT5" s="699"/>
      <c r="BU5" s="699"/>
      <c r="BV5" s="699"/>
      <c r="BW5" s="699"/>
      <c r="BX5" s="699"/>
      <c r="BY5" s="699"/>
      <c r="BZ5" s="699"/>
      <c r="CA5" s="699"/>
    </row>
    <row r="6" spans="1:91" x14ac:dyDescent="0.2">
      <c r="A6" s="690"/>
      <c r="B6" s="690"/>
      <c r="C6" s="680" t="s">
        <v>129</v>
      </c>
      <c r="D6" s="699" t="s">
        <v>129</v>
      </c>
      <c r="E6" s="699" t="s">
        <v>129</v>
      </c>
      <c r="F6" s="699" t="s">
        <v>129</v>
      </c>
      <c r="G6" s="699" t="s">
        <v>129</v>
      </c>
      <c r="H6" s="699" t="s">
        <v>129</v>
      </c>
      <c r="I6" s="699" t="s">
        <v>129</v>
      </c>
      <c r="J6" s="699" t="s">
        <v>129</v>
      </c>
      <c r="K6" s="699" t="s">
        <v>129</v>
      </c>
      <c r="L6" s="699" t="s">
        <v>129</v>
      </c>
      <c r="M6" s="680" t="s">
        <v>133</v>
      </c>
      <c r="N6" s="699" t="s">
        <v>133</v>
      </c>
      <c r="O6" s="699" t="s">
        <v>133</v>
      </c>
      <c r="P6" s="699" t="s">
        <v>133</v>
      </c>
      <c r="Q6" s="699" t="s">
        <v>133</v>
      </c>
      <c r="R6" s="699" t="s">
        <v>133</v>
      </c>
      <c r="S6" s="699" t="s">
        <v>133</v>
      </c>
      <c r="T6" s="699" t="s">
        <v>133</v>
      </c>
      <c r="U6" s="699" t="s">
        <v>133</v>
      </c>
      <c r="V6" s="699" t="s">
        <v>133</v>
      </c>
      <c r="W6" s="680" t="s">
        <v>141</v>
      </c>
      <c r="X6" s="699" t="s">
        <v>141</v>
      </c>
      <c r="Y6" s="699" t="s">
        <v>141</v>
      </c>
      <c r="Z6" s="699" t="s">
        <v>141</v>
      </c>
      <c r="AA6" s="699" t="s">
        <v>141</v>
      </c>
      <c r="AB6" s="699" t="s">
        <v>141</v>
      </c>
      <c r="AC6" s="699" t="s">
        <v>141</v>
      </c>
      <c r="AD6" s="699" t="s">
        <v>141</v>
      </c>
      <c r="AE6" s="699" t="s">
        <v>141</v>
      </c>
      <c r="AF6" s="699" t="s">
        <v>141</v>
      </c>
      <c r="AG6" s="680" t="s">
        <v>145</v>
      </c>
      <c r="AH6" s="699" t="s">
        <v>145</v>
      </c>
      <c r="AI6" s="699" t="s">
        <v>145</v>
      </c>
      <c r="AJ6" s="699" t="s">
        <v>145</v>
      </c>
      <c r="AK6" s="699" t="s">
        <v>145</v>
      </c>
      <c r="AL6" s="699" t="s">
        <v>145</v>
      </c>
      <c r="AM6" s="699" t="s">
        <v>145</v>
      </c>
      <c r="AN6" s="699" t="s">
        <v>145</v>
      </c>
      <c r="AO6" s="699" t="s">
        <v>145</v>
      </c>
      <c r="AP6" s="699" t="s">
        <v>145</v>
      </c>
      <c r="AQ6" s="680" t="s">
        <v>137</v>
      </c>
      <c r="AR6" s="699" t="s">
        <v>137</v>
      </c>
      <c r="AS6" s="699" t="s">
        <v>137</v>
      </c>
      <c r="AT6" s="699" t="s">
        <v>137</v>
      </c>
      <c r="AU6" s="699" t="s">
        <v>137</v>
      </c>
      <c r="AV6" s="699" t="s">
        <v>137</v>
      </c>
      <c r="AW6" s="699" t="s">
        <v>137</v>
      </c>
      <c r="AX6" s="699" t="s">
        <v>137</v>
      </c>
      <c r="AY6" s="699" t="s">
        <v>137</v>
      </c>
      <c r="AZ6" s="699" t="s">
        <v>137</v>
      </c>
      <c r="BA6" s="680" t="s">
        <v>151</v>
      </c>
      <c r="BB6" s="699" t="s">
        <v>151</v>
      </c>
      <c r="BC6" s="699" t="s">
        <v>151</v>
      </c>
      <c r="BD6" s="699" t="s">
        <v>151</v>
      </c>
      <c r="BE6" s="699" t="s">
        <v>151</v>
      </c>
      <c r="BF6" s="699" t="s">
        <v>151</v>
      </c>
      <c r="BG6" s="699" t="s">
        <v>151</v>
      </c>
      <c r="BH6" s="699" t="s">
        <v>151</v>
      </c>
      <c r="BI6" s="699" t="s">
        <v>151</v>
      </c>
      <c r="BJ6" s="699" t="s">
        <v>151</v>
      </c>
      <c r="BK6" s="680" t="s">
        <v>153</v>
      </c>
      <c r="BL6" s="699" t="s">
        <v>153</v>
      </c>
      <c r="BM6" s="699" t="s">
        <v>153</v>
      </c>
      <c r="BN6" s="699" t="s">
        <v>153</v>
      </c>
      <c r="BO6" s="699" t="s">
        <v>153</v>
      </c>
      <c r="BP6" s="699" t="s">
        <v>153</v>
      </c>
      <c r="BQ6" s="699" t="s">
        <v>153</v>
      </c>
      <c r="BR6" s="699" t="s">
        <v>153</v>
      </c>
      <c r="BS6" s="699" t="s">
        <v>153</v>
      </c>
      <c r="BT6" s="699" t="s">
        <v>153</v>
      </c>
      <c r="BU6" s="699" t="s">
        <v>125</v>
      </c>
      <c r="BV6" s="699" t="s">
        <v>125</v>
      </c>
      <c r="BW6" s="699" t="s">
        <v>125</v>
      </c>
      <c r="BX6" s="699" t="s">
        <v>149</v>
      </c>
      <c r="BY6" s="699" t="s">
        <v>149</v>
      </c>
      <c r="BZ6" s="699" t="s">
        <v>147</v>
      </c>
      <c r="CA6" s="699" t="s">
        <v>147</v>
      </c>
      <c r="CB6" s="457" t="s">
        <v>129</v>
      </c>
      <c r="CC6" s="457"/>
      <c r="CD6" s="683" t="s">
        <v>133</v>
      </c>
      <c r="CE6" s="683"/>
      <c r="CF6" s="457" t="s">
        <v>1309</v>
      </c>
      <c r="CG6" s="457"/>
      <c r="CH6" s="683" t="s">
        <v>137</v>
      </c>
      <c r="CI6" s="683"/>
      <c r="CJ6" s="457" t="s">
        <v>1383</v>
      </c>
      <c r="CK6" s="457"/>
      <c r="CL6" s="457" t="s">
        <v>1384</v>
      </c>
    </row>
    <row r="7" spans="1:91" x14ac:dyDescent="0.2">
      <c r="A7" s="690"/>
      <c r="B7" s="690"/>
      <c r="C7" s="680">
        <v>2010</v>
      </c>
      <c r="D7" s="699">
        <v>2015</v>
      </c>
      <c r="E7" s="699">
        <v>2015</v>
      </c>
      <c r="F7" s="699">
        <v>2020</v>
      </c>
      <c r="G7" s="699">
        <v>2025</v>
      </c>
      <c r="H7" s="699">
        <v>2030</v>
      </c>
      <c r="I7" s="699">
        <v>2035</v>
      </c>
      <c r="J7" s="699">
        <v>2040</v>
      </c>
      <c r="K7" s="699">
        <v>2045</v>
      </c>
      <c r="L7" s="699" t="s">
        <v>1535</v>
      </c>
      <c r="M7" s="680">
        <v>2010</v>
      </c>
      <c r="N7" s="699">
        <v>2015</v>
      </c>
      <c r="O7" s="699">
        <v>2015</v>
      </c>
      <c r="P7" s="699">
        <v>2020</v>
      </c>
      <c r="Q7" s="699">
        <v>2025</v>
      </c>
      <c r="R7" s="699">
        <v>2030</v>
      </c>
      <c r="S7" s="699">
        <v>2035</v>
      </c>
      <c r="T7" s="699">
        <v>2040</v>
      </c>
      <c r="U7" s="699">
        <v>2045</v>
      </c>
      <c r="V7" s="699" t="s">
        <v>1535</v>
      </c>
      <c r="W7" s="680">
        <v>2010</v>
      </c>
      <c r="X7" s="699">
        <v>2015</v>
      </c>
      <c r="Y7" s="699">
        <v>2015</v>
      </c>
      <c r="Z7" s="699">
        <v>2020</v>
      </c>
      <c r="AA7" s="699">
        <v>2025</v>
      </c>
      <c r="AB7" s="699">
        <v>2030</v>
      </c>
      <c r="AC7" s="699">
        <v>2035</v>
      </c>
      <c r="AD7" s="699">
        <v>2040</v>
      </c>
      <c r="AE7" s="699">
        <v>2045</v>
      </c>
      <c r="AF7" s="699" t="s">
        <v>1535</v>
      </c>
      <c r="AG7" s="680">
        <v>2010</v>
      </c>
      <c r="AH7" s="699">
        <v>2015</v>
      </c>
      <c r="AI7" s="699">
        <v>2015</v>
      </c>
      <c r="AJ7" s="699">
        <v>2020</v>
      </c>
      <c r="AK7" s="699">
        <v>2025</v>
      </c>
      <c r="AL7" s="699">
        <v>2030</v>
      </c>
      <c r="AM7" s="699">
        <v>2035</v>
      </c>
      <c r="AN7" s="699">
        <v>2040</v>
      </c>
      <c r="AO7" s="699">
        <v>2045</v>
      </c>
      <c r="AP7" s="699" t="s">
        <v>1535</v>
      </c>
      <c r="AQ7" s="680">
        <v>2010</v>
      </c>
      <c r="AR7" s="699">
        <v>2015</v>
      </c>
      <c r="AS7" s="699">
        <v>2015</v>
      </c>
      <c r="AT7" s="699">
        <v>2020</v>
      </c>
      <c r="AU7" s="699">
        <v>2025</v>
      </c>
      <c r="AV7" s="699">
        <v>2030</v>
      </c>
      <c r="AW7" s="699">
        <v>2035</v>
      </c>
      <c r="AX7" s="699">
        <v>2040</v>
      </c>
      <c r="AY7" s="699">
        <v>2045</v>
      </c>
      <c r="AZ7" s="699" t="s">
        <v>1535</v>
      </c>
      <c r="BA7" s="680">
        <v>2010</v>
      </c>
      <c r="BB7" s="699">
        <v>2015</v>
      </c>
      <c r="BC7" s="699">
        <v>2015</v>
      </c>
      <c r="BD7" s="699">
        <v>2020</v>
      </c>
      <c r="BE7" s="699">
        <v>2025</v>
      </c>
      <c r="BF7" s="699">
        <v>2030</v>
      </c>
      <c r="BG7" s="699">
        <v>2035</v>
      </c>
      <c r="BH7" s="699">
        <v>2040</v>
      </c>
      <c r="BI7" s="699">
        <v>2045</v>
      </c>
      <c r="BJ7" s="699" t="s">
        <v>1535</v>
      </c>
      <c r="BK7" s="680">
        <v>2010</v>
      </c>
      <c r="BL7" s="699">
        <v>2015</v>
      </c>
      <c r="BM7" s="699">
        <v>2015</v>
      </c>
      <c r="BN7" s="699">
        <v>2020</v>
      </c>
      <c r="BO7" s="699">
        <v>2025</v>
      </c>
      <c r="BP7" s="699">
        <v>2030</v>
      </c>
      <c r="BQ7" s="699">
        <v>2035</v>
      </c>
      <c r="BR7" s="699">
        <v>2040</v>
      </c>
      <c r="BS7" s="699">
        <v>2045</v>
      </c>
      <c r="BT7" s="699" t="s">
        <v>1535</v>
      </c>
      <c r="BU7" s="699">
        <v>2010</v>
      </c>
      <c r="BV7" s="699" t="s">
        <v>1315</v>
      </c>
      <c r="BW7" s="699" t="s">
        <v>493</v>
      </c>
      <c r="BX7" s="699">
        <v>2010</v>
      </c>
      <c r="BY7" s="699" t="s">
        <v>1315</v>
      </c>
      <c r="BZ7" s="699">
        <v>2010</v>
      </c>
      <c r="CA7" s="699" t="s">
        <v>1315</v>
      </c>
      <c r="CB7" s="457">
        <v>2010</v>
      </c>
      <c r="CC7" s="457">
        <v>2015</v>
      </c>
      <c r="CD7" s="683">
        <v>2010</v>
      </c>
      <c r="CE7" s="683">
        <v>2015</v>
      </c>
      <c r="CF7" s="457">
        <v>2010</v>
      </c>
      <c r="CG7" s="457">
        <v>2015</v>
      </c>
      <c r="CH7" s="683">
        <v>2010</v>
      </c>
      <c r="CI7" s="683">
        <v>2015</v>
      </c>
      <c r="CJ7" s="457">
        <v>2010</v>
      </c>
      <c r="CK7" s="457">
        <v>2015</v>
      </c>
      <c r="CL7" s="457">
        <v>2010</v>
      </c>
      <c r="CM7" s="457">
        <v>2015</v>
      </c>
    </row>
    <row r="8" spans="1:91" x14ac:dyDescent="0.2">
      <c r="A8" s="690" t="str">
        <f>NewTech!B17</f>
        <v>TBDSLC10</v>
      </c>
      <c r="B8" s="690" t="str">
        <f>NewTech!C17</f>
        <v>Bus, Conventional Diesel, 2010</v>
      </c>
      <c r="C8" s="685">
        <f>'Raw emissions'!D11</f>
        <v>4.0797908760221002</v>
      </c>
      <c r="D8" s="702">
        <f>'Raw emissions'!E11</f>
        <v>1.0477607375692264</v>
      </c>
      <c r="E8" s="702">
        <f>$C8</f>
        <v>4.0797908760221002</v>
      </c>
      <c r="F8" s="702">
        <f t="shared" ref="F8:L8" si="0">$C8</f>
        <v>4.0797908760221002</v>
      </c>
      <c r="G8" s="702">
        <f t="shared" si="0"/>
        <v>4.0797908760221002</v>
      </c>
      <c r="H8" s="702">
        <f t="shared" si="0"/>
        <v>4.0797908760221002</v>
      </c>
      <c r="I8" s="702">
        <f t="shared" si="0"/>
        <v>4.0797908760221002</v>
      </c>
      <c r="J8" s="702">
        <f t="shared" si="0"/>
        <v>4.0797908760221002</v>
      </c>
      <c r="K8" s="702">
        <f t="shared" si="0"/>
        <v>4.0797908760221002</v>
      </c>
      <c r="L8" s="702">
        <f t="shared" si="0"/>
        <v>4.0797908760221002</v>
      </c>
      <c r="M8" s="685">
        <f>'Raw emissions'!J11</f>
        <v>0.31050444205145378</v>
      </c>
      <c r="N8" s="702">
        <f>'Raw emissions'!K11</f>
        <v>6.8575173207609044E-2</v>
      </c>
      <c r="O8" s="702">
        <f>$M8</f>
        <v>0.31050444205145378</v>
      </c>
      <c r="P8" s="702">
        <f t="shared" ref="P8:V8" si="1">$M8</f>
        <v>0.31050444205145378</v>
      </c>
      <c r="Q8" s="702">
        <f t="shared" si="1"/>
        <v>0.31050444205145378</v>
      </c>
      <c r="R8" s="702">
        <f t="shared" si="1"/>
        <v>0.31050444205145378</v>
      </c>
      <c r="S8" s="702">
        <f t="shared" si="1"/>
        <v>0.31050444205145378</v>
      </c>
      <c r="T8" s="702">
        <f t="shared" si="1"/>
        <v>0.31050444205145378</v>
      </c>
      <c r="U8" s="702">
        <f t="shared" si="1"/>
        <v>0.31050444205145378</v>
      </c>
      <c r="V8" s="702">
        <f t="shared" si="1"/>
        <v>0.31050444205145378</v>
      </c>
      <c r="W8" s="685">
        <f>'Raw emissions'!M11</f>
        <v>0.26598176719973649</v>
      </c>
      <c r="X8" s="702">
        <f>'Raw emissions'!N11</f>
        <v>3.1302189904520279E-2</v>
      </c>
      <c r="Y8" s="702">
        <f>W8</f>
        <v>0.26598176719973649</v>
      </c>
      <c r="Z8" s="702">
        <f t="shared" ref="Z8:AF8" si="2">X8</f>
        <v>3.1302189904520279E-2</v>
      </c>
      <c r="AA8" s="702">
        <f t="shared" si="2"/>
        <v>0.26598176719973649</v>
      </c>
      <c r="AB8" s="702">
        <f t="shared" si="2"/>
        <v>3.1302189904520279E-2</v>
      </c>
      <c r="AC8" s="702">
        <f t="shared" si="2"/>
        <v>0.26598176719973649</v>
      </c>
      <c r="AD8" s="702">
        <f t="shared" si="2"/>
        <v>3.1302189904520279E-2</v>
      </c>
      <c r="AE8" s="702">
        <f t="shared" si="2"/>
        <v>0.26598176719973649</v>
      </c>
      <c r="AF8" s="702">
        <f t="shared" si="2"/>
        <v>3.1302189904520279E-2</v>
      </c>
      <c r="AG8" s="685">
        <f>'Raw emissions'!P11</f>
        <v>1.7425146664241946</v>
      </c>
      <c r="AH8" s="702">
        <f>'Raw emissions'!Q11</f>
        <v>0.74729407741249798</v>
      </c>
      <c r="AI8" s="702">
        <f>$AG8</f>
        <v>1.7425146664241946</v>
      </c>
      <c r="AJ8" s="702">
        <f t="shared" ref="AJ8:AP8" si="3">$AG8</f>
        <v>1.7425146664241946</v>
      </c>
      <c r="AK8" s="702">
        <f t="shared" si="3"/>
        <v>1.7425146664241946</v>
      </c>
      <c r="AL8" s="702">
        <f t="shared" si="3"/>
        <v>1.7425146664241946</v>
      </c>
      <c r="AM8" s="702">
        <f t="shared" si="3"/>
        <v>1.7425146664241946</v>
      </c>
      <c r="AN8" s="702">
        <f t="shared" si="3"/>
        <v>1.7425146664241946</v>
      </c>
      <c r="AO8" s="702">
        <f t="shared" si="3"/>
        <v>1.7425146664241946</v>
      </c>
      <c r="AP8" s="702">
        <f t="shared" si="3"/>
        <v>1.7425146664241946</v>
      </c>
      <c r="AQ8" s="685">
        <f>'Raw emissions'!Y11</f>
        <v>0.36686531750859069</v>
      </c>
      <c r="AR8" s="702">
        <f>'Raw emissions'!Z11</f>
        <v>0.13255481998794993</v>
      </c>
      <c r="AS8" s="702">
        <f>$AQ8</f>
        <v>0.36686531750859069</v>
      </c>
      <c r="AT8" s="702">
        <f t="shared" ref="AT8:AZ8" si="4">$AQ8</f>
        <v>0.36686531750859069</v>
      </c>
      <c r="AU8" s="702">
        <f t="shared" si="4"/>
        <v>0.36686531750859069</v>
      </c>
      <c r="AV8" s="702">
        <f t="shared" si="4"/>
        <v>0.36686531750859069</v>
      </c>
      <c r="AW8" s="702">
        <f t="shared" si="4"/>
        <v>0.36686531750859069</v>
      </c>
      <c r="AX8" s="702">
        <f t="shared" si="4"/>
        <v>0.36686531750859069</v>
      </c>
      <c r="AY8" s="702">
        <f t="shared" si="4"/>
        <v>0.36686531750859069</v>
      </c>
      <c r="AZ8" s="702">
        <f t="shared" si="4"/>
        <v>0.36686531750859069</v>
      </c>
      <c r="BA8" s="685">
        <f>'Raw emissions'!AK11</f>
        <v>0.17974330995186855</v>
      </c>
      <c r="BB8" s="703">
        <f>'Raw emissions'!AL11</f>
        <v>1.5501433779705925E-3</v>
      </c>
      <c r="BC8" s="703">
        <f>$BA8</f>
        <v>0.17974330995186855</v>
      </c>
      <c r="BD8" s="703">
        <f t="shared" ref="BD8:BJ8" si="5">$BA8</f>
        <v>0.17974330995186855</v>
      </c>
      <c r="BE8" s="703">
        <f t="shared" si="5"/>
        <v>0.17974330995186855</v>
      </c>
      <c r="BF8" s="703">
        <f t="shared" si="5"/>
        <v>0.17974330995186855</v>
      </c>
      <c r="BG8" s="703">
        <f t="shared" si="5"/>
        <v>0.17974330995186855</v>
      </c>
      <c r="BH8" s="703">
        <f t="shared" si="5"/>
        <v>0.17974330995186855</v>
      </c>
      <c r="BI8" s="703">
        <f t="shared" si="5"/>
        <v>0.17974330995186855</v>
      </c>
      <c r="BJ8" s="703">
        <f t="shared" si="5"/>
        <v>0.17974330995186855</v>
      </c>
      <c r="BK8" s="685">
        <f>'Raw emissions'!AG11</f>
        <v>0.15515193459230656</v>
      </c>
      <c r="BL8" s="703">
        <f>'Raw emissions'!AI11</f>
        <v>6.5734598799492587E-3</v>
      </c>
      <c r="BM8" s="703">
        <f>$BK8</f>
        <v>0.15515193459230656</v>
      </c>
      <c r="BN8" s="703">
        <f t="shared" ref="BN8:BT8" si="6">$BK8</f>
        <v>0.15515193459230656</v>
      </c>
      <c r="BO8" s="703">
        <f t="shared" si="6"/>
        <v>0.15515193459230656</v>
      </c>
      <c r="BP8" s="703">
        <f t="shared" si="6"/>
        <v>0.15515193459230656</v>
      </c>
      <c r="BQ8" s="703">
        <f t="shared" si="6"/>
        <v>0.15515193459230656</v>
      </c>
      <c r="BR8" s="703">
        <f t="shared" si="6"/>
        <v>0.15515193459230656</v>
      </c>
      <c r="BS8" s="703">
        <f t="shared" si="6"/>
        <v>0.15515193459230656</v>
      </c>
      <c r="BT8" s="703">
        <f t="shared" si="6"/>
        <v>0.15515193459230656</v>
      </c>
      <c r="BU8" s="685">
        <f>'Raw emissions'!G11</f>
        <v>1.3383639917988082E-2</v>
      </c>
      <c r="BV8" s="703">
        <f>'Raw emissions'!H11</f>
        <v>8.7656929539112194E-3</v>
      </c>
      <c r="BW8" s="703">
        <f>(1-'Tier3Phase-in'!$J$20)*BV8</f>
        <v>2.9803356043298142E-3</v>
      </c>
      <c r="BX8" s="685">
        <f>'Raw emissions'!V11</f>
        <v>2.0754364907473385E-3</v>
      </c>
      <c r="BY8" s="703">
        <f>'Raw emissions'!W11</f>
        <v>2.0754317924232611E-3</v>
      </c>
      <c r="BZ8" s="685">
        <f>'Raw emissions'!S11</f>
        <v>2.7490458331344502E-3</v>
      </c>
      <c r="CA8" s="703">
        <f>'Raw emissions'!T11</f>
        <v>2.2569004798639694E-3</v>
      </c>
    </row>
    <row r="9" spans="1:91" x14ac:dyDescent="0.2">
      <c r="A9" s="690" t="str">
        <f>NewTech!B18</f>
        <v>TBDSLC</v>
      </c>
      <c r="B9" s="690" t="str">
        <f>NewTech!C18</f>
        <v>Bus, Conventional Diesel</v>
      </c>
      <c r="C9" s="685">
        <f>'Raw emissions'!D11</f>
        <v>4.0797908760221002</v>
      </c>
      <c r="D9" s="702">
        <f>'Raw emissions'!E11</f>
        <v>1.0477607375692264</v>
      </c>
      <c r="E9" s="702">
        <f>$D9*(1-'Tier3Phase-in'!$J$12)</f>
        <v>1.0477607375692264</v>
      </c>
      <c r="F9" s="702">
        <f>$D9*(1-'Tier3Phase-in'!$K$12)</f>
        <v>0.90743563878763356</v>
      </c>
      <c r="G9" s="702">
        <f>$D9*(1-'Tier3Phase-in'!$L$12)</f>
        <v>0.79772692519475186</v>
      </c>
      <c r="H9" s="702">
        <f>$D9*(1-'Tier3Phase-in'!$M$12)</f>
        <v>0.75307803012788144</v>
      </c>
      <c r="I9" s="702">
        <f>$D9*(1-'Tier3Phase-in'!$N$12)</f>
        <v>0.71378700246903548</v>
      </c>
      <c r="J9" s="702">
        <f>$D9*(1-'Tier3Phase-in'!$O$12)</f>
        <v>0.65765696295639819</v>
      </c>
      <c r="K9" s="702">
        <f>$D9*(1-'Tier3Phase-in'!$P$12)</f>
        <v>0.6562537119685824</v>
      </c>
      <c r="L9" s="702">
        <f>$D9*(1-'Tier3Phase-in'!$Q$12)</f>
        <v>0.65485046098076649</v>
      </c>
      <c r="M9" s="685">
        <f>'Raw emissions'!J11</f>
        <v>0.31050444205145378</v>
      </c>
      <c r="N9" s="702">
        <f>'Raw emissions'!K11</f>
        <v>6.8575173207609044E-2</v>
      </c>
      <c r="O9" s="702">
        <f>$N9*(1-'Tier3Phase-in'!$J$12)</f>
        <v>6.8575173207609044E-2</v>
      </c>
      <c r="P9" s="702">
        <f>$N9*(1-'Tier3Phase-in'!$K$12)</f>
        <v>5.9390998224447121E-2</v>
      </c>
      <c r="Q9" s="702">
        <f>$N9*(1-'Tier3Phase-in'!$L$12)</f>
        <v>5.2210643237611432E-2</v>
      </c>
      <c r="R9" s="702">
        <f>$N9*(1-'Tier3Phase-in'!$M$12)</f>
        <v>4.9288405742968999E-2</v>
      </c>
      <c r="S9" s="702">
        <f>$N9*(1-'Tier3Phase-in'!$N$12)</f>
        <v>4.6716836747683663E-2</v>
      </c>
      <c r="T9" s="702">
        <f>$N9*(1-'Tier3Phase-in'!$O$12)</f>
        <v>4.3043166754418882E-2</v>
      </c>
      <c r="U9" s="702">
        <f>$N9*(1-'Tier3Phase-in'!$P$12)</f>
        <v>4.2951325004587267E-2</v>
      </c>
      <c r="V9" s="702">
        <f>$N9*(1-'Tier3Phase-in'!$Q$12)</f>
        <v>4.2859483254755651E-2</v>
      </c>
      <c r="W9" s="685">
        <f>'Raw emissions'!M11</f>
        <v>0.26598176719973649</v>
      </c>
      <c r="X9" s="702">
        <f>'Raw emissions'!N11</f>
        <v>3.1302189904520279E-2</v>
      </c>
      <c r="Y9" s="702">
        <f>$X9*(1-'Tier3Phase-in'!$J$12)</f>
        <v>3.1302189904520279E-2</v>
      </c>
      <c r="Z9" s="702">
        <f>$X9*(1-'Tier3Phase-in'!$K$12)</f>
        <v>2.7109932328022029E-2</v>
      </c>
      <c r="AA9" s="702">
        <f>$X9*(1-'Tier3Phase-in'!$L$12)</f>
        <v>2.3832349131850668E-2</v>
      </c>
      <c r="AB9" s="702">
        <f>$X9*(1-'Tier3Phase-in'!$M$12)</f>
        <v>2.2498448993873949E-2</v>
      </c>
      <c r="AC9" s="702">
        <f>$X9*(1-'Tier3Phase-in'!$N$12)</f>
        <v>2.132461687245444E-2</v>
      </c>
      <c r="AD9" s="702">
        <f>$X9*(1-'Tier3Phase-in'!$O$12)</f>
        <v>1.9647713841855135E-2</v>
      </c>
      <c r="AE9" s="702">
        <f>$X9*(1-'Tier3Phase-in'!$P$12)</f>
        <v>1.9605791266090154E-2</v>
      </c>
      <c r="AF9" s="702">
        <f>$X9*(1-'Tier3Phase-in'!$Q$12)</f>
        <v>1.9563868690325174E-2</v>
      </c>
      <c r="AG9" s="685">
        <f>'Raw emissions'!P11</f>
        <v>1.7425146664241946</v>
      </c>
      <c r="AH9" s="702">
        <f>'Raw emissions'!Q11</f>
        <v>0.74729407741249798</v>
      </c>
      <c r="AI9" s="702">
        <f>$AH9*(1-'Tier3Phase-in'!$J$12)</f>
        <v>0.74729407741249798</v>
      </c>
      <c r="AJ9" s="702">
        <f>$AH9*(1-'Tier3Phase-in'!$K$12)</f>
        <v>0.64721004918760994</v>
      </c>
      <c r="AK9" s="702">
        <f>$AH9*(1-'Tier3Phase-in'!$L$12)</f>
        <v>0.56896253621178827</v>
      </c>
      <c r="AL9" s="702">
        <f>$AH9*(1-'Tier3Phase-in'!$M$12)</f>
        <v>0.53711761814023296</v>
      </c>
      <c r="AM9" s="702">
        <f>$AH9*(1-'Tier3Phase-in'!$N$12)</f>
        <v>0.50909409023726426</v>
      </c>
      <c r="AN9" s="702">
        <f>$AH9*(1-'Tier3Phase-in'!$O$12)</f>
        <v>0.4690604789473089</v>
      </c>
      <c r="AO9" s="702">
        <f>$AH9*(1-'Tier3Phase-in'!$P$12)</f>
        <v>0.46805963866506006</v>
      </c>
      <c r="AP9" s="702">
        <f>$AH9*(1-'Tier3Phase-in'!$Q$12)</f>
        <v>0.46705879838281122</v>
      </c>
      <c r="AQ9" s="685">
        <f>'Raw emissions'!Y11</f>
        <v>0.36686531750859069</v>
      </c>
      <c r="AR9" s="702">
        <f>'Raw emissions'!Z11</f>
        <v>0.13255481998794993</v>
      </c>
      <c r="AS9" s="702">
        <f>$AR9*(1-'Tier3Phase-in'!$J$12)</f>
        <v>0.13255481998794993</v>
      </c>
      <c r="AT9" s="702">
        <f>$AR9*(1-'Tier3Phase-in'!$K$12)</f>
        <v>0.11480194231099236</v>
      </c>
      <c r="AU9" s="702">
        <f>$AR9*(1-'Tier3Phase-in'!$L$12)</f>
        <v>0.10092241976355279</v>
      </c>
      <c r="AV9" s="702">
        <f>$AR9*(1-'Tier3Phase-in'!$M$12)</f>
        <v>9.5273776866339019E-2</v>
      </c>
      <c r="AW9" s="702">
        <f>$AR9*(1-'Tier3Phase-in'!$N$12)</f>
        <v>9.0302971116790892E-2</v>
      </c>
      <c r="AX9" s="702">
        <f>$AR9*(1-'Tier3Phase-in'!$O$12)</f>
        <v>8.3201820046007846E-2</v>
      </c>
      <c r="AY9" s="702">
        <f>$AR9*(1-'Tier3Phase-in'!$P$12)</f>
        <v>8.3024291269238271E-2</v>
      </c>
      <c r="AZ9" s="702">
        <f>$AR9*(1-'Tier3Phase-in'!$Q$12)</f>
        <v>8.2846762492468709E-2</v>
      </c>
      <c r="BA9" s="685">
        <f>'Raw emissions'!AK11</f>
        <v>0.17974330995186855</v>
      </c>
      <c r="BB9" s="703">
        <f>'Raw emissions'!AL11</f>
        <v>1.5501433779705925E-3</v>
      </c>
      <c r="BC9" s="703">
        <f>$BB9*(1-'Tier3Phase-in'!$J$12)</f>
        <v>1.5501433779705925E-3</v>
      </c>
      <c r="BD9" s="703">
        <f>$BB9*(1-'Tier3Phase-in'!$K$12)</f>
        <v>1.3425348898495311E-3</v>
      </c>
      <c r="BE9" s="703">
        <f>$BB9*(1-'Tier3Phase-in'!$L$12)</f>
        <v>1.1802227991367011E-3</v>
      </c>
      <c r="BF9" s="703">
        <f>$BB9*(1-'Tier3Phase-in'!$M$12)</f>
        <v>1.1141655529163634E-3</v>
      </c>
      <c r="BG9" s="703">
        <f>$BB9*(1-'Tier3Phase-in'!$N$12)</f>
        <v>1.0560351762424662E-3</v>
      </c>
      <c r="BH9" s="703">
        <f>$BB9*(1-'Tier3Phase-in'!$O$12)</f>
        <v>9.7299178099404134E-4</v>
      </c>
      <c r="BI9" s="703">
        <f>$BB9*(1-'Tier3Phase-in'!$P$12)</f>
        <v>9.7091569611283083E-4</v>
      </c>
      <c r="BJ9" s="703">
        <f>$BB9*(1-'Tier3Phase-in'!$Q$12)</f>
        <v>9.6883961123162032E-4</v>
      </c>
      <c r="BK9" s="685">
        <f>'Raw emissions'!AG11</f>
        <v>0.15515193459230656</v>
      </c>
      <c r="BL9" s="703">
        <f>'Raw emissions'!AI11</f>
        <v>6.5734598799492587E-3</v>
      </c>
      <c r="BM9" s="703">
        <f>$BL9*(1-'Tier3Phase-in'!$J$12)</f>
        <v>6.5734598799492587E-3</v>
      </c>
      <c r="BN9" s="703">
        <f>$BL9*(1-'Tier3Phase-in'!$K$12)</f>
        <v>5.6930857888846257E-3</v>
      </c>
      <c r="BO9" s="703">
        <f>$BL9*(1-'Tier3Phase-in'!$L$12)</f>
        <v>5.0047933176886397E-3</v>
      </c>
      <c r="BP9" s="703">
        <f>$BL9*(1-'Tier3Phase-in'!$M$12)</f>
        <v>4.7246742887135295E-3</v>
      </c>
      <c r="BQ9" s="703">
        <f>$BL9*(1-'Tier3Phase-in'!$N$12)</f>
        <v>4.4781695432154324E-3</v>
      </c>
      <c r="BR9" s="703">
        <f>$BL9*(1-'Tier3Phase-in'!$O$12)</f>
        <v>4.1260199067895782E-3</v>
      </c>
      <c r="BS9" s="703">
        <f>$BL9*(1-'Tier3Phase-in'!$P$12)</f>
        <v>4.1172161658789329E-3</v>
      </c>
      <c r="BT9" s="703">
        <f>$BL9*(1-'Tier3Phase-in'!$Q$12)</f>
        <v>4.1084124249682868E-3</v>
      </c>
      <c r="BU9" s="685">
        <f>'Raw emissions'!G11</f>
        <v>1.3383639917988082E-2</v>
      </c>
      <c r="BV9" s="703">
        <f>'Raw emissions'!H11</f>
        <v>8.7656929539112194E-3</v>
      </c>
      <c r="BW9" s="703">
        <f>(1-'Tier3Phase-in'!$J$20)*BV9</f>
        <v>2.9803356043298142E-3</v>
      </c>
      <c r="BX9" s="685">
        <f>'Raw emissions'!V11</f>
        <v>2.0754364907473385E-3</v>
      </c>
      <c r="BY9" s="703">
        <f>'Raw emissions'!W11</f>
        <v>2.0754317924232611E-3</v>
      </c>
      <c r="BZ9" s="685">
        <f>'Raw emissions'!S11</f>
        <v>2.7490458331344502E-3</v>
      </c>
      <c r="CA9" s="703">
        <f>'Raw emissions'!T11</f>
        <v>2.2569004798639694E-3</v>
      </c>
    </row>
    <row r="10" spans="1:91" x14ac:dyDescent="0.2">
      <c r="A10" s="690" t="str">
        <f>NewTech!B19</f>
        <v>TBDSLIM</v>
      </c>
      <c r="B10" s="690" t="str">
        <f>NewTech!C19</f>
        <v>Bus, Improved Diesel</v>
      </c>
      <c r="C10" s="685">
        <f>C9</f>
        <v>4.0797908760221002</v>
      </c>
      <c r="D10" s="702">
        <f>D9</f>
        <v>1.0477607375692264</v>
      </c>
      <c r="E10" s="702">
        <f>$D10*(1-'Tier3Phase-in'!$J$12)</f>
        <v>1.0477607375692264</v>
      </c>
      <c r="F10" s="702">
        <f>$D10*(1-'Tier3Phase-in'!$K$12)</f>
        <v>0.90743563878763356</v>
      </c>
      <c r="G10" s="702">
        <f>$D10*(1-'Tier3Phase-in'!$L$12)</f>
        <v>0.79772692519475186</v>
      </c>
      <c r="H10" s="702">
        <f>$D10*(1-'Tier3Phase-in'!$M$12)</f>
        <v>0.75307803012788144</v>
      </c>
      <c r="I10" s="702">
        <f>$D10*(1-'Tier3Phase-in'!$N$12)</f>
        <v>0.71378700246903548</v>
      </c>
      <c r="J10" s="702">
        <f>$D10*(1-'Tier3Phase-in'!$O$12)</f>
        <v>0.65765696295639819</v>
      </c>
      <c r="K10" s="702">
        <f>$D10*(1-'Tier3Phase-in'!$P$12)</f>
        <v>0.6562537119685824</v>
      </c>
      <c r="L10" s="702">
        <f>$D10*(1-'Tier3Phase-in'!$Q$12)</f>
        <v>0.65485046098076649</v>
      </c>
      <c r="M10" s="685">
        <f>M9</f>
        <v>0.31050444205145378</v>
      </c>
      <c r="N10" s="702">
        <f>N9</f>
        <v>6.8575173207609044E-2</v>
      </c>
      <c r="O10" s="702">
        <f>$N10*(1-'Tier3Phase-in'!$J$12)</f>
        <v>6.8575173207609044E-2</v>
      </c>
      <c r="P10" s="702">
        <f>$N10*(1-'Tier3Phase-in'!$K$12)</f>
        <v>5.9390998224447121E-2</v>
      </c>
      <c r="Q10" s="702">
        <f>$N10*(1-'Tier3Phase-in'!$L$12)</f>
        <v>5.2210643237611432E-2</v>
      </c>
      <c r="R10" s="702">
        <f>$N10*(1-'Tier3Phase-in'!$M$12)</f>
        <v>4.9288405742968999E-2</v>
      </c>
      <c r="S10" s="702">
        <f>$N10*(1-'Tier3Phase-in'!$N$12)</f>
        <v>4.6716836747683663E-2</v>
      </c>
      <c r="T10" s="702">
        <f>$N10*(1-'Tier3Phase-in'!$O$12)</f>
        <v>4.3043166754418882E-2</v>
      </c>
      <c r="U10" s="702">
        <f>$N10*(1-'Tier3Phase-in'!$P$12)</f>
        <v>4.2951325004587267E-2</v>
      </c>
      <c r="V10" s="702">
        <f>$N10*(1-'Tier3Phase-in'!$Q$12)</f>
        <v>4.2859483254755651E-2</v>
      </c>
      <c r="W10" s="685">
        <f>W9</f>
        <v>0.26598176719973649</v>
      </c>
      <c r="X10" s="702">
        <f>X9</f>
        <v>3.1302189904520279E-2</v>
      </c>
      <c r="Y10" s="702">
        <f>$X10*(1-'Tier3Phase-in'!$J$12)</f>
        <v>3.1302189904520279E-2</v>
      </c>
      <c r="Z10" s="702">
        <f>$X10*(1-'Tier3Phase-in'!$K$12)</f>
        <v>2.7109932328022029E-2</v>
      </c>
      <c r="AA10" s="702">
        <f>$X10*(1-'Tier3Phase-in'!$L$12)</f>
        <v>2.3832349131850668E-2</v>
      </c>
      <c r="AB10" s="702">
        <f>$X10*(1-'Tier3Phase-in'!$M$12)</f>
        <v>2.2498448993873949E-2</v>
      </c>
      <c r="AC10" s="702">
        <f>$X10*(1-'Tier3Phase-in'!$N$12)</f>
        <v>2.132461687245444E-2</v>
      </c>
      <c r="AD10" s="702">
        <f>$X10*(1-'Tier3Phase-in'!$O$12)</f>
        <v>1.9647713841855135E-2</v>
      </c>
      <c r="AE10" s="702">
        <f>$X10*(1-'Tier3Phase-in'!$P$12)</f>
        <v>1.9605791266090154E-2</v>
      </c>
      <c r="AF10" s="702">
        <f>$X10*(1-'Tier3Phase-in'!$Q$12)</f>
        <v>1.9563868690325174E-2</v>
      </c>
      <c r="AG10" s="685">
        <f>AG9</f>
        <v>1.7425146664241946</v>
      </c>
      <c r="AH10" s="702">
        <f>AH9</f>
        <v>0.74729407741249798</v>
      </c>
      <c r="AI10" s="702">
        <f>$AH10*(1-'Tier3Phase-in'!$J$12)</f>
        <v>0.74729407741249798</v>
      </c>
      <c r="AJ10" s="702">
        <f>$AH10*(1-'Tier3Phase-in'!$K$12)</f>
        <v>0.64721004918760994</v>
      </c>
      <c r="AK10" s="702">
        <f>$AH10*(1-'Tier3Phase-in'!$L$12)</f>
        <v>0.56896253621178827</v>
      </c>
      <c r="AL10" s="702">
        <f>$AH10*(1-'Tier3Phase-in'!$M$12)</f>
        <v>0.53711761814023296</v>
      </c>
      <c r="AM10" s="702">
        <f>$AH10*(1-'Tier3Phase-in'!$N$12)</f>
        <v>0.50909409023726426</v>
      </c>
      <c r="AN10" s="702">
        <f>$AH10*(1-'Tier3Phase-in'!$O$12)</f>
        <v>0.4690604789473089</v>
      </c>
      <c r="AO10" s="702">
        <f>$AH10*(1-'Tier3Phase-in'!$P$12)</f>
        <v>0.46805963866506006</v>
      </c>
      <c r="AP10" s="702">
        <f>$AH10*(1-'Tier3Phase-in'!$Q$12)</f>
        <v>0.46705879838281122</v>
      </c>
      <c r="AQ10" s="685">
        <f>AQ9</f>
        <v>0.36686531750859069</v>
      </c>
      <c r="AR10" s="702">
        <f>AR9</f>
        <v>0.13255481998794993</v>
      </c>
      <c r="AS10" s="702">
        <f>$AR10*(1-'Tier3Phase-in'!$J$12)</f>
        <v>0.13255481998794993</v>
      </c>
      <c r="AT10" s="702">
        <f>$AR10*(1-'Tier3Phase-in'!$K$12)</f>
        <v>0.11480194231099236</v>
      </c>
      <c r="AU10" s="702">
        <f>$AR10*(1-'Tier3Phase-in'!$L$12)</f>
        <v>0.10092241976355279</v>
      </c>
      <c r="AV10" s="702">
        <f>$AR10*(1-'Tier3Phase-in'!$M$12)</f>
        <v>9.5273776866339019E-2</v>
      </c>
      <c r="AW10" s="702">
        <f>$AR10*(1-'Tier3Phase-in'!$N$12)</f>
        <v>9.0302971116790892E-2</v>
      </c>
      <c r="AX10" s="702">
        <f>$AR10*(1-'Tier3Phase-in'!$O$12)</f>
        <v>8.3201820046007846E-2</v>
      </c>
      <c r="AY10" s="702">
        <f>$AR10*(1-'Tier3Phase-in'!$P$12)</f>
        <v>8.3024291269238271E-2</v>
      </c>
      <c r="AZ10" s="702">
        <f>$AR10*(1-'Tier3Phase-in'!$Q$12)</f>
        <v>8.2846762492468709E-2</v>
      </c>
      <c r="BA10" s="685">
        <f>BA9</f>
        <v>0.17974330995186855</v>
      </c>
      <c r="BB10" s="703">
        <f>BB9</f>
        <v>1.5501433779705925E-3</v>
      </c>
      <c r="BC10" s="703">
        <f>$BB10*(1-'Tier3Phase-in'!$J$12)</f>
        <v>1.5501433779705925E-3</v>
      </c>
      <c r="BD10" s="703">
        <f>$BB10*(1-'Tier3Phase-in'!$K$12)</f>
        <v>1.3425348898495311E-3</v>
      </c>
      <c r="BE10" s="703">
        <f>$BB10*(1-'Tier3Phase-in'!$L$12)</f>
        <v>1.1802227991367011E-3</v>
      </c>
      <c r="BF10" s="703">
        <f>$BB10*(1-'Tier3Phase-in'!$M$12)</f>
        <v>1.1141655529163634E-3</v>
      </c>
      <c r="BG10" s="703">
        <f>$BB10*(1-'Tier3Phase-in'!$N$12)</f>
        <v>1.0560351762424662E-3</v>
      </c>
      <c r="BH10" s="703">
        <f>$BB10*(1-'Tier3Phase-in'!$O$12)</f>
        <v>9.7299178099404134E-4</v>
      </c>
      <c r="BI10" s="703">
        <f>$BB10*(1-'Tier3Phase-in'!$P$12)</f>
        <v>9.7091569611283083E-4</v>
      </c>
      <c r="BJ10" s="703">
        <f>$BB10*(1-'Tier3Phase-in'!$Q$12)</f>
        <v>9.6883961123162032E-4</v>
      </c>
      <c r="BK10" s="685">
        <f>BK9</f>
        <v>0.15515193459230656</v>
      </c>
      <c r="BL10" s="703">
        <f>BL9</f>
        <v>6.5734598799492587E-3</v>
      </c>
      <c r="BM10" s="703">
        <f>$BL10*(1-'Tier3Phase-in'!$J$12)</f>
        <v>6.5734598799492587E-3</v>
      </c>
      <c r="BN10" s="703">
        <f>$BL10*(1-'Tier3Phase-in'!$K$12)</f>
        <v>5.6930857888846257E-3</v>
      </c>
      <c r="BO10" s="703">
        <f>$BL10*(1-'Tier3Phase-in'!$L$12)</f>
        <v>5.0047933176886397E-3</v>
      </c>
      <c r="BP10" s="703">
        <f>$BL10*(1-'Tier3Phase-in'!$M$12)</f>
        <v>4.7246742887135295E-3</v>
      </c>
      <c r="BQ10" s="703">
        <f>$BL10*(1-'Tier3Phase-in'!$N$12)</f>
        <v>4.4781695432154324E-3</v>
      </c>
      <c r="BR10" s="703">
        <f>$BL10*(1-'Tier3Phase-in'!$O$12)</f>
        <v>4.1260199067895782E-3</v>
      </c>
      <c r="BS10" s="703">
        <f>$BL10*(1-'Tier3Phase-in'!$P$12)</f>
        <v>4.1172161658789329E-3</v>
      </c>
      <c r="BT10" s="703">
        <f>$BL10*(1-'Tier3Phase-in'!$Q$12)</f>
        <v>4.1084124249682868E-3</v>
      </c>
      <c r="BU10" s="685">
        <f>BU9</f>
        <v>1.3383639917988082E-2</v>
      </c>
      <c r="BV10" s="703">
        <f>BV9</f>
        <v>8.7656929539112194E-3</v>
      </c>
      <c r="BW10" s="703">
        <f>(1-'Tier3Phase-in'!$J$20)*BV10</f>
        <v>2.9803356043298142E-3</v>
      </c>
      <c r="BX10" s="685">
        <f>BX9</f>
        <v>2.0754364907473385E-3</v>
      </c>
      <c r="BY10" s="703">
        <f>BY9</f>
        <v>2.0754317924232611E-3</v>
      </c>
      <c r="BZ10" s="685">
        <f>BZ9</f>
        <v>2.7490458331344502E-3</v>
      </c>
      <c r="CA10" s="703">
        <f>CA9</f>
        <v>2.2569004798639694E-3</v>
      </c>
    </row>
    <row r="11" spans="1:91" x14ac:dyDescent="0.2">
      <c r="A11" s="690" t="str">
        <f>NewTech!B20</f>
        <v>TBDSLADV</v>
      </c>
      <c r="B11" s="690" t="str">
        <f>NewTech!C20</f>
        <v>Bus, Advanced Tech Diesel</v>
      </c>
      <c r="C11" s="685">
        <f>'Raw emissions'!D11</f>
        <v>4.0797908760221002</v>
      </c>
      <c r="D11" s="702">
        <f>'Raw emissions'!E11</f>
        <v>1.0477607375692264</v>
      </c>
      <c r="E11" s="702">
        <f>$D11*(1-'Tier3Phase-in'!$J$12)</f>
        <v>1.0477607375692264</v>
      </c>
      <c r="F11" s="702">
        <f>$D11*(1-'Tier3Phase-in'!$K$12)</f>
        <v>0.90743563878763356</v>
      </c>
      <c r="G11" s="702">
        <f>$D11*(1-'Tier3Phase-in'!$L$12)</f>
        <v>0.79772692519475186</v>
      </c>
      <c r="H11" s="702">
        <f>$D11*(1-'Tier3Phase-in'!$M$12)</f>
        <v>0.75307803012788144</v>
      </c>
      <c r="I11" s="702">
        <f>$D11*(1-'Tier3Phase-in'!$N$12)</f>
        <v>0.71378700246903548</v>
      </c>
      <c r="J11" s="702">
        <f>$D11*(1-'Tier3Phase-in'!$O$12)</f>
        <v>0.65765696295639819</v>
      </c>
      <c r="K11" s="702">
        <f>$D11*(1-'Tier3Phase-in'!$P$12)</f>
        <v>0.6562537119685824</v>
      </c>
      <c r="L11" s="702">
        <f>$D11*(1-'Tier3Phase-in'!$Q$12)</f>
        <v>0.65485046098076649</v>
      </c>
      <c r="M11" s="685">
        <f>'Raw emissions'!J11</f>
        <v>0.31050444205145378</v>
      </c>
      <c r="N11" s="702">
        <f>'Raw emissions'!K11</f>
        <v>6.8575173207609044E-2</v>
      </c>
      <c r="O11" s="702">
        <f>$N11*(1-'Tier3Phase-in'!$J$12)</f>
        <v>6.8575173207609044E-2</v>
      </c>
      <c r="P11" s="702">
        <f>$N11*(1-'Tier3Phase-in'!$K$12)</f>
        <v>5.9390998224447121E-2</v>
      </c>
      <c r="Q11" s="702">
        <f>$N11*(1-'Tier3Phase-in'!$L$12)</f>
        <v>5.2210643237611432E-2</v>
      </c>
      <c r="R11" s="702">
        <f>$N11*(1-'Tier3Phase-in'!$M$12)</f>
        <v>4.9288405742968999E-2</v>
      </c>
      <c r="S11" s="702">
        <f>$N11*(1-'Tier3Phase-in'!$N$12)</f>
        <v>4.6716836747683663E-2</v>
      </c>
      <c r="T11" s="702">
        <f>$N11*(1-'Tier3Phase-in'!$O$12)</f>
        <v>4.3043166754418882E-2</v>
      </c>
      <c r="U11" s="702">
        <f>$N11*(1-'Tier3Phase-in'!$P$12)</f>
        <v>4.2951325004587267E-2</v>
      </c>
      <c r="V11" s="702">
        <f>$N11*(1-'Tier3Phase-in'!$Q$12)</f>
        <v>4.2859483254755651E-2</v>
      </c>
      <c r="W11" s="685">
        <f>'Raw emissions'!M11</f>
        <v>0.26598176719973649</v>
      </c>
      <c r="X11" s="702">
        <f>'Raw emissions'!N11</f>
        <v>3.1302189904520279E-2</v>
      </c>
      <c r="Y11" s="702">
        <f>$X11*(1-'Tier3Phase-in'!$J$12)</f>
        <v>3.1302189904520279E-2</v>
      </c>
      <c r="Z11" s="702">
        <f>$X11*(1-'Tier3Phase-in'!$K$12)</f>
        <v>2.7109932328022029E-2</v>
      </c>
      <c r="AA11" s="702">
        <f>$X11*(1-'Tier3Phase-in'!$L$12)</f>
        <v>2.3832349131850668E-2</v>
      </c>
      <c r="AB11" s="702">
        <f>$X11*(1-'Tier3Phase-in'!$M$12)</f>
        <v>2.2498448993873949E-2</v>
      </c>
      <c r="AC11" s="702">
        <f>$X11*(1-'Tier3Phase-in'!$N$12)</f>
        <v>2.132461687245444E-2</v>
      </c>
      <c r="AD11" s="702">
        <f>$X11*(1-'Tier3Phase-in'!$O$12)</f>
        <v>1.9647713841855135E-2</v>
      </c>
      <c r="AE11" s="702">
        <f>$X11*(1-'Tier3Phase-in'!$P$12)</f>
        <v>1.9605791266090154E-2</v>
      </c>
      <c r="AF11" s="702">
        <f>$X11*(1-'Tier3Phase-in'!$Q$12)</f>
        <v>1.9563868690325174E-2</v>
      </c>
      <c r="AG11" s="685">
        <f>'Raw emissions'!P11</f>
        <v>1.7425146664241946</v>
      </c>
      <c r="AH11" s="702">
        <f>'Raw emissions'!Q11</f>
        <v>0.74729407741249798</v>
      </c>
      <c r="AI11" s="702">
        <f>$AH11*(1-'Tier3Phase-in'!$J$12)</f>
        <v>0.74729407741249798</v>
      </c>
      <c r="AJ11" s="702">
        <f>$AH11*(1-'Tier3Phase-in'!$K$12)</f>
        <v>0.64721004918760994</v>
      </c>
      <c r="AK11" s="702">
        <f>$AH11*(1-'Tier3Phase-in'!$L$12)</f>
        <v>0.56896253621178827</v>
      </c>
      <c r="AL11" s="702">
        <f>$AH11*(1-'Tier3Phase-in'!$M$12)</f>
        <v>0.53711761814023296</v>
      </c>
      <c r="AM11" s="702">
        <f>$AH11*(1-'Tier3Phase-in'!$N$12)</f>
        <v>0.50909409023726426</v>
      </c>
      <c r="AN11" s="702">
        <f>$AH11*(1-'Tier3Phase-in'!$O$12)</f>
        <v>0.4690604789473089</v>
      </c>
      <c r="AO11" s="702">
        <f>$AH11*(1-'Tier3Phase-in'!$P$12)</f>
        <v>0.46805963866506006</v>
      </c>
      <c r="AP11" s="702">
        <f>$AH11*(1-'Tier3Phase-in'!$Q$12)</f>
        <v>0.46705879838281122</v>
      </c>
      <c r="AQ11" s="685">
        <f>'Raw emissions'!Y11</f>
        <v>0.36686531750859069</v>
      </c>
      <c r="AR11" s="702">
        <f>'Raw emissions'!Z11</f>
        <v>0.13255481998794993</v>
      </c>
      <c r="AS11" s="702">
        <f>$AR11*(1-'Tier3Phase-in'!$J$12)</f>
        <v>0.13255481998794993</v>
      </c>
      <c r="AT11" s="702">
        <f>$AR11*(1-'Tier3Phase-in'!$K$12)</f>
        <v>0.11480194231099236</v>
      </c>
      <c r="AU11" s="702">
        <f>$AR11*(1-'Tier3Phase-in'!$L$12)</f>
        <v>0.10092241976355279</v>
      </c>
      <c r="AV11" s="702">
        <f>$AR11*(1-'Tier3Phase-in'!$M$12)</f>
        <v>9.5273776866339019E-2</v>
      </c>
      <c r="AW11" s="702">
        <f>$AR11*(1-'Tier3Phase-in'!$N$12)</f>
        <v>9.0302971116790892E-2</v>
      </c>
      <c r="AX11" s="702">
        <f>$AR11*(1-'Tier3Phase-in'!$O$12)</f>
        <v>8.3201820046007846E-2</v>
      </c>
      <c r="AY11" s="702">
        <f>$AR11*(1-'Tier3Phase-in'!$P$12)</f>
        <v>8.3024291269238271E-2</v>
      </c>
      <c r="AZ11" s="702">
        <f>$AR11*(1-'Tier3Phase-in'!$Q$12)</f>
        <v>8.2846762492468709E-2</v>
      </c>
      <c r="BA11" s="685">
        <f>'Raw emissions'!AK11</f>
        <v>0.17974330995186855</v>
      </c>
      <c r="BB11" s="703">
        <f>'Raw emissions'!AL11</f>
        <v>1.5501433779705925E-3</v>
      </c>
      <c r="BC11" s="703">
        <f>$BB11*(1-'Tier3Phase-in'!$J$12)</f>
        <v>1.5501433779705925E-3</v>
      </c>
      <c r="BD11" s="703">
        <f>$BB11*(1-'Tier3Phase-in'!$K$12)</f>
        <v>1.3425348898495311E-3</v>
      </c>
      <c r="BE11" s="703">
        <f>$BB11*(1-'Tier3Phase-in'!$L$12)</f>
        <v>1.1802227991367011E-3</v>
      </c>
      <c r="BF11" s="703">
        <f>$BB11*(1-'Tier3Phase-in'!$M$12)</f>
        <v>1.1141655529163634E-3</v>
      </c>
      <c r="BG11" s="703">
        <f>$BB11*(1-'Tier3Phase-in'!$N$12)</f>
        <v>1.0560351762424662E-3</v>
      </c>
      <c r="BH11" s="703">
        <f>$BB11*(1-'Tier3Phase-in'!$O$12)</f>
        <v>9.7299178099404134E-4</v>
      </c>
      <c r="BI11" s="703">
        <f>$BB11*(1-'Tier3Phase-in'!$P$12)</f>
        <v>9.7091569611283083E-4</v>
      </c>
      <c r="BJ11" s="703">
        <f>$BB11*(1-'Tier3Phase-in'!$Q$12)</f>
        <v>9.6883961123162032E-4</v>
      </c>
      <c r="BK11" s="685">
        <f>'Raw emissions'!AG11</f>
        <v>0.15515193459230656</v>
      </c>
      <c r="BL11" s="703">
        <f>'Raw emissions'!AI11</f>
        <v>6.5734598799492587E-3</v>
      </c>
      <c r="BM11" s="703">
        <f>$BL11*(1-'Tier3Phase-in'!$J$12)</f>
        <v>6.5734598799492587E-3</v>
      </c>
      <c r="BN11" s="703">
        <f>$BL11*(1-'Tier3Phase-in'!$K$12)</f>
        <v>5.6930857888846257E-3</v>
      </c>
      <c r="BO11" s="703">
        <f>$BL11*(1-'Tier3Phase-in'!$L$12)</f>
        <v>5.0047933176886397E-3</v>
      </c>
      <c r="BP11" s="703">
        <f>$BL11*(1-'Tier3Phase-in'!$M$12)</f>
        <v>4.7246742887135295E-3</v>
      </c>
      <c r="BQ11" s="703">
        <f>$BL11*(1-'Tier3Phase-in'!$N$12)</f>
        <v>4.4781695432154324E-3</v>
      </c>
      <c r="BR11" s="703">
        <f>$BL11*(1-'Tier3Phase-in'!$O$12)</f>
        <v>4.1260199067895782E-3</v>
      </c>
      <c r="BS11" s="703">
        <f>$BL11*(1-'Tier3Phase-in'!$P$12)</f>
        <v>4.1172161658789329E-3</v>
      </c>
      <c r="BT11" s="703">
        <f>$BL11*(1-'Tier3Phase-in'!$Q$12)</f>
        <v>4.1084124249682868E-3</v>
      </c>
      <c r="BU11" s="685">
        <f>'Raw emissions'!G11</f>
        <v>1.3383639917988082E-2</v>
      </c>
      <c r="BV11" s="703">
        <f>'Raw emissions'!H11</f>
        <v>8.7656929539112194E-3</v>
      </c>
      <c r="BW11" s="703">
        <f>(1-'Tier3Phase-in'!$J$20)*BV11</f>
        <v>2.9803356043298142E-3</v>
      </c>
      <c r="BX11" s="685">
        <f>'Raw emissions'!V11</f>
        <v>2.0754364907473385E-3</v>
      </c>
      <c r="BY11" s="703">
        <f>'Raw emissions'!W11</f>
        <v>2.0754317924232611E-3</v>
      </c>
      <c r="BZ11" s="685">
        <f>'Raw emissions'!S11</f>
        <v>2.7490458331344502E-3</v>
      </c>
      <c r="CA11" s="703">
        <f>'Raw emissions'!T11</f>
        <v>2.2569004798639694E-3</v>
      </c>
    </row>
    <row r="12" spans="1:91" x14ac:dyDescent="0.2">
      <c r="A12" s="690" t="str">
        <f>NewTech!B21</f>
        <v>TBDSLAH</v>
      </c>
      <c r="B12" s="690" t="str">
        <f>NewTech!C21</f>
        <v>Bus, Advanced Hybrid Diesel</v>
      </c>
      <c r="C12" s="685">
        <f>'Raw emissions'!D12</f>
        <v>4.0797908760221002</v>
      </c>
      <c r="D12" s="702">
        <f>'Raw emissions'!E12</f>
        <v>1.0477607375692264</v>
      </c>
      <c r="E12" s="702">
        <f>$D12*(1-'Tier3Phase-in'!$J$12)</f>
        <v>1.0477607375692264</v>
      </c>
      <c r="F12" s="702">
        <f>$D12*(1-'Tier3Phase-in'!$K$12)</f>
        <v>0.90743563878763356</v>
      </c>
      <c r="G12" s="702">
        <f>$D12*(1-'Tier3Phase-in'!$L$12)</f>
        <v>0.79772692519475186</v>
      </c>
      <c r="H12" s="702">
        <f>$D12*(1-'Tier3Phase-in'!$M$12)</f>
        <v>0.75307803012788144</v>
      </c>
      <c r="I12" s="702">
        <f>$D12*(1-'Tier3Phase-in'!$N$12)</f>
        <v>0.71378700246903548</v>
      </c>
      <c r="J12" s="702">
        <f>$D12*(1-'Tier3Phase-in'!$O$12)</f>
        <v>0.65765696295639819</v>
      </c>
      <c r="K12" s="702">
        <f>$D12*(1-'Tier3Phase-in'!$P$12)</f>
        <v>0.6562537119685824</v>
      </c>
      <c r="L12" s="702">
        <f>$D12*(1-'Tier3Phase-in'!$Q$12)</f>
        <v>0.65485046098076649</v>
      </c>
      <c r="M12" s="685">
        <f>'Raw emissions'!J12</f>
        <v>0.28539364263941613</v>
      </c>
      <c r="N12" s="702">
        <f>'Raw emissions'!K12</f>
        <v>6.8575173207609044E-2</v>
      </c>
      <c r="O12" s="702">
        <f>$N12*(1-'Tier3Phase-in'!$J$12)</f>
        <v>6.8575173207609044E-2</v>
      </c>
      <c r="P12" s="702">
        <f>$N12*(1-'Tier3Phase-in'!$K$12)</f>
        <v>5.9390998224447121E-2</v>
      </c>
      <c r="Q12" s="702">
        <f>$N12*(1-'Tier3Phase-in'!$L$12)</f>
        <v>5.2210643237611432E-2</v>
      </c>
      <c r="R12" s="702">
        <f>$N12*(1-'Tier3Phase-in'!$M$12)</f>
        <v>4.9288405742968999E-2</v>
      </c>
      <c r="S12" s="702">
        <f>$N12*(1-'Tier3Phase-in'!$N$12)</f>
        <v>4.6716836747683663E-2</v>
      </c>
      <c r="T12" s="702">
        <f>$N12*(1-'Tier3Phase-in'!$O$12)</f>
        <v>4.3043166754418882E-2</v>
      </c>
      <c r="U12" s="702">
        <f>$N12*(1-'Tier3Phase-in'!$P$12)</f>
        <v>4.2951325004587267E-2</v>
      </c>
      <c r="V12" s="702">
        <f>$N12*(1-'Tier3Phase-in'!$Q$12)</f>
        <v>4.2859483254755651E-2</v>
      </c>
      <c r="W12" s="685">
        <f>'Raw emissions'!M12</f>
        <v>0.24162343954730964</v>
      </c>
      <c r="X12" s="702">
        <f>'Raw emissions'!N12</f>
        <v>3.1302189904520279E-2</v>
      </c>
      <c r="Y12" s="702">
        <f>$X12*(1-'Tier3Phase-in'!$J$12)</f>
        <v>3.1302189904520279E-2</v>
      </c>
      <c r="Z12" s="702">
        <f>$X12*(1-'Tier3Phase-in'!$K$12)</f>
        <v>2.7109932328022029E-2</v>
      </c>
      <c r="AA12" s="702">
        <f>$X12*(1-'Tier3Phase-in'!$L$12)</f>
        <v>2.3832349131850668E-2</v>
      </c>
      <c r="AB12" s="702">
        <f>$X12*(1-'Tier3Phase-in'!$M$12)</f>
        <v>2.2498448993873949E-2</v>
      </c>
      <c r="AC12" s="702">
        <f>$X12*(1-'Tier3Phase-in'!$N$12)</f>
        <v>2.132461687245444E-2</v>
      </c>
      <c r="AD12" s="702">
        <f>$X12*(1-'Tier3Phase-in'!$O$12)</f>
        <v>1.9647713841855135E-2</v>
      </c>
      <c r="AE12" s="702">
        <f>$X12*(1-'Tier3Phase-in'!$P$12)</f>
        <v>1.9605791266090154E-2</v>
      </c>
      <c r="AF12" s="702">
        <f>$X12*(1-'Tier3Phase-in'!$Q$12)</f>
        <v>1.9563868690325174E-2</v>
      </c>
      <c r="AG12" s="685">
        <f>'Raw emissions'!P12</f>
        <v>1.6087213192588457</v>
      </c>
      <c r="AH12" s="702">
        <f>'Raw emissions'!Q12</f>
        <v>0.74729407741249798</v>
      </c>
      <c r="AI12" s="702">
        <f>$AH12*(1-'Tier3Phase-in'!$J$12)</f>
        <v>0.74729407741249798</v>
      </c>
      <c r="AJ12" s="702">
        <f>$AH12*(1-'Tier3Phase-in'!$K$12)</f>
        <v>0.64721004918760994</v>
      </c>
      <c r="AK12" s="702">
        <f>$AH12*(1-'Tier3Phase-in'!$L$12)</f>
        <v>0.56896253621178827</v>
      </c>
      <c r="AL12" s="702">
        <f>$AH12*(1-'Tier3Phase-in'!$M$12)</f>
        <v>0.53711761814023296</v>
      </c>
      <c r="AM12" s="702">
        <f>$AH12*(1-'Tier3Phase-in'!$N$12)</f>
        <v>0.50909409023726426</v>
      </c>
      <c r="AN12" s="702">
        <f>$AH12*(1-'Tier3Phase-in'!$O$12)</f>
        <v>0.4690604789473089</v>
      </c>
      <c r="AO12" s="702">
        <f>$AH12*(1-'Tier3Phase-in'!$P$12)</f>
        <v>0.46805963866506006</v>
      </c>
      <c r="AP12" s="702">
        <f>$AH12*(1-'Tier3Phase-in'!$Q$12)</f>
        <v>0.46705879838281122</v>
      </c>
      <c r="AQ12" s="685">
        <f>'Raw emissions'!Y12</f>
        <v>0.36686531750859069</v>
      </c>
      <c r="AR12" s="702">
        <f>'Raw emissions'!Z12</f>
        <v>0.13255481998794993</v>
      </c>
      <c r="AS12" s="702">
        <f>$AR12*(1-'Tier3Phase-in'!$J$12)</f>
        <v>0.13255481998794993</v>
      </c>
      <c r="AT12" s="702">
        <f>$AR12*(1-'Tier3Phase-in'!$K$12)</f>
        <v>0.11480194231099236</v>
      </c>
      <c r="AU12" s="702">
        <f>$AR12*(1-'Tier3Phase-in'!$L$12)</f>
        <v>0.10092241976355279</v>
      </c>
      <c r="AV12" s="702">
        <f>$AR12*(1-'Tier3Phase-in'!$M$12)</f>
        <v>9.5273776866339019E-2</v>
      </c>
      <c r="AW12" s="702">
        <f>$AR12*(1-'Tier3Phase-in'!$N$12)</f>
        <v>9.0302971116790892E-2</v>
      </c>
      <c r="AX12" s="702">
        <f>$AR12*(1-'Tier3Phase-in'!$O$12)</f>
        <v>8.3201820046007846E-2</v>
      </c>
      <c r="AY12" s="702">
        <f>$AR12*(1-'Tier3Phase-in'!$P$12)</f>
        <v>8.3024291269238271E-2</v>
      </c>
      <c r="AZ12" s="702">
        <f>$AR12*(1-'Tier3Phase-in'!$Q$12)</f>
        <v>8.2846762492468709E-2</v>
      </c>
      <c r="BA12" s="685">
        <f>'Raw emissions'!AK12</f>
        <v>0.16169038190822829</v>
      </c>
      <c r="BB12" s="703">
        <f>'Raw emissions'!AL12</f>
        <v>1.5501433779705925E-3</v>
      </c>
      <c r="BC12" s="703">
        <f>$BB12*(1-'Tier3Phase-in'!$J$12)</f>
        <v>1.5501433779705925E-3</v>
      </c>
      <c r="BD12" s="703">
        <f>$BB12*(1-'Tier3Phase-in'!$K$12)</f>
        <v>1.3425348898495311E-3</v>
      </c>
      <c r="BE12" s="703">
        <f>$BB12*(1-'Tier3Phase-in'!$L$12)</f>
        <v>1.1802227991367011E-3</v>
      </c>
      <c r="BF12" s="703">
        <f>$BB12*(1-'Tier3Phase-in'!$M$12)</f>
        <v>1.1141655529163634E-3</v>
      </c>
      <c r="BG12" s="703">
        <f>$BB12*(1-'Tier3Phase-in'!$N$12)</f>
        <v>1.0560351762424662E-3</v>
      </c>
      <c r="BH12" s="703">
        <f>$BB12*(1-'Tier3Phase-in'!$O$12)</f>
        <v>9.7299178099404134E-4</v>
      </c>
      <c r="BI12" s="703">
        <f>$BB12*(1-'Tier3Phase-in'!$P$12)</f>
        <v>9.7091569611283083E-4</v>
      </c>
      <c r="BJ12" s="703">
        <f>$BB12*(1-'Tier3Phase-in'!$Q$12)</f>
        <v>9.6883961123162032E-4</v>
      </c>
      <c r="BK12" s="685">
        <f>'Raw emissions'!AG12</f>
        <v>0.13975063922222422</v>
      </c>
      <c r="BL12" s="703">
        <f>'Raw emissions'!AI12</f>
        <v>6.5734598799492587E-3</v>
      </c>
      <c r="BM12" s="703">
        <f>$BL12*(1-'Tier3Phase-in'!$J$12)</f>
        <v>6.5734598799492587E-3</v>
      </c>
      <c r="BN12" s="703">
        <f>$BL12*(1-'Tier3Phase-in'!$K$12)</f>
        <v>5.6930857888846257E-3</v>
      </c>
      <c r="BO12" s="703">
        <f>$BL12*(1-'Tier3Phase-in'!$L$12)</f>
        <v>5.0047933176886397E-3</v>
      </c>
      <c r="BP12" s="703">
        <f>$BL12*(1-'Tier3Phase-in'!$M$12)</f>
        <v>4.7246742887135295E-3</v>
      </c>
      <c r="BQ12" s="703">
        <f>$BL12*(1-'Tier3Phase-in'!$N$12)</f>
        <v>4.4781695432154324E-3</v>
      </c>
      <c r="BR12" s="703">
        <f>$BL12*(1-'Tier3Phase-in'!$O$12)</f>
        <v>4.1260199067895782E-3</v>
      </c>
      <c r="BS12" s="703">
        <f>$BL12*(1-'Tier3Phase-in'!$P$12)</f>
        <v>4.1172161658789329E-3</v>
      </c>
      <c r="BT12" s="703">
        <f>$BL12*(1-'Tier3Phase-in'!$Q$12)</f>
        <v>4.1084124249682868E-3</v>
      </c>
      <c r="BU12" s="685">
        <f>'Raw emissions'!G12</f>
        <v>1.1974756312486066E-2</v>
      </c>
      <c r="BV12" s="703">
        <f>'Raw emissions'!H12</f>
        <v>8.5192503581835288E-3</v>
      </c>
      <c r="BW12" s="703">
        <f>(1-'Tier3Phase-in'!$J$20)*BV12</f>
        <v>2.8965451217823996E-3</v>
      </c>
      <c r="BX12" s="685">
        <f>'Raw emissions'!V12</f>
        <v>2.0754330567612825E-3</v>
      </c>
      <c r="BY12" s="703">
        <f>'Raw emissions'!W12</f>
        <v>2.0754283937039733E-3</v>
      </c>
      <c r="BZ12" s="685">
        <f>'Raw emissions'!S12</f>
        <v>2.7490458331344502E-3</v>
      </c>
      <c r="CA12" s="703">
        <f>'Raw emissions'!T12</f>
        <v>2.2569004798639694E-3</v>
      </c>
    </row>
    <row r="13" spans="1:91" x14ac:dyDescent="0.2">
      <c r="A13" s="690" t="str">
        <f>NewTech!B22</f>
        <v>TBB20C10</v>
      </c>
      <c r="B13" s="690" t="str">
        <f>NewTech!C22</f>
        <v>Bus, Conventional Biodiesel, 2010</v>
      </c>
      <c r="C13" s="685">
        <f>'Raw emissions'!D12</f>
        <v>4.0797908760221002</v>
      </c>
      <c r="D13" s="702">
        <f>'Raw emissions'!E12</f>
        <v>1.0477607375692264</v>
      </c>
      <c r="E13" s="702">
        <f>$C13</f>
        <v>4.0797908760221002</v>
      </c>
      <c r="F13" s="702">
        <f t="shared" ref="F13:L13" si="7">$C13</f>
        <v>4.0797908760221002</v>
      </c>
      <c r="G13" s="702">
        <f t="shared" si="7"/>
        <v>4.0797908760221002</v>
      </c>
      <c r="H13" s="702">
        <f t="shared" si="7"/>
        <v>4.0797908760221002</v>
      </c>
      <c r="I13" s="702">
        <f t="shared" si="7"/>
        <v>4.0797908760221002</v>
      </c>
      <c r="J13" s="702">
        <f t="shared" si="7"/>
        <v>4.0797908760221002</v>
      </c>
      <c r="K13" s="702">
        <f t="shared" si="7"/>
        <v>4.0797908760221002</v>
      </c>
      <c r="L13" s="702">
        <f t="shared" si="7"/>
        <v>4.0797908760221002</v>
      </c>
      <c r="M13" s="685">
        <f>'Raw emissions'!J12</f>
        <v>0.28539364263941613</v>
      </c>
      <c r="N13" s="702">
        <f>'Raw emissions'!K12</f>
        <v>6.8575173207609044E-2</v>
      </c>
      <c r="O13" s="702">
        <f>$M13</f>
        <v>0.28539364263941613</v>
      </c>
      <c r="P13" s="702">
        <f t="shared" ref="P13:V13" si="8">$M13</f>
        <v>0.28539364263941613</v>
      </c>
      <c r="Q13" s="702">
        <f t="shared" si="8"/>
        <v>0.28539364263941613</v>
      </c>
      <c r="R13" s="702">
        <f t="shared" si="8"/>
        <v>0.28539364263941613</v>
      </c>
      <c r="S13" s="702">
        <f t="shared" si="8"/>
        <v>0.28539364263941613</v>
      </c>
      <c r="T13" s="702">
        <f t="shared" si="8"/>
        <v>0.28539364263941613</v>
      </c>
      <c r="U13" s="702">
        <f t="shared" si="8"/>
        <v>0.28539364263941613</v>
      </c>
      <c r="V13" s="702">
        <f t="shared" si="8"/>
        <v>0.28539364263941613</v>
      </c>
      <c r="W13" s="685">
        <f>'Raw emissions'!M12</f>
        <v>0.24162343954730964</v>
      </c>
      <c r="X13" s="702">
        <f>'Raw emissions'!N12</f>
        <v>3.1302189904520279E-2</v>
      </c>
      <c r="Y13" s="702">
        <f t="shared" ref="Y13:AF13" si="9">W13</f>
        <v>0.24162343954730964</v>
      </c>
      <c r="Z13" s="702">
        <f t="shared" si="9"/>
        <v>3.1302189904520279E-2</v>
      </c>
      <c r="AA13" s="702">
        <f t="shared" si="9"/>
        <v>0.24162343954730964</v>
      </c>
      <c r="AB13" s="702">
        <f t="shared" si="9"/>
        <v>3.1302189904520279E-2</v>
      </c>
      <c r="AC13" s="702">
        <f t="shared" si="9"/>
        <v>0.24162343954730964</v>
      </c>
      <c r="AD13" s="702">
        <f t="shared" si="9"/>
        <v>3.1302189904520279E-2</v>
      </c>
      <c r="AE13" s="702">
        <f t="shared" si="9"/>
        <v>0.24162343954730964</v>
      </c>
      <c r="AF13" s="702">
        <f t="shared" si="9"/>
        <v>3.1302189904520279E-2</v>
      </c>
      <c r="AG13" s="685">
        <f>'Raw emissions'!P12</f>
        <v>1.6087213192588457</v>
      </c>
      <c r="AH13" s="702">
        <f>'Raw emissions'!Q12</f>
        <v>0.74729407741249798</v>
      </c>
      <c r="AI13" s="702">
        <f>$AG13</f>
        <v>1.6087213192588457</v>
      </c>
      <c r="AJ13" s="702">
        <f t="shared" ref="AJ13:AP13" si="10">$AG13</f>
        <v>1.6087213192588457</v>
      </c>
      <c r="AK13" s="702">
        <f t="shared" si="10"/>
        <v>1.6087213192588457</v>
      </c>
      <c r="AL13" s="702">
        <f t="shared" si="10"/>
        <v>1.6087213192588457</v>
      </c>
      <c r="AM13" s="702">
        <f t="shared" si="10"/>
        <v>1.6087213192588457</v>
      </c>
      <c r="AN13" s="702">
        <f t="shared" si="10"/>
        <v>1.6087213192588457</v>
      </c>
      <c r="AO13" s="702">
        <f t="shared" si="10"/>
        <v>1.6087213192588457</v>
      </c>
      <c r="AP13" s="702">
        <f t="shared" si="10"/>
        <v>1.6087213192588457</v>
      </c>
      <c r="AQ13" s="685">
        <f>'Raw emissions'!Y12</f>
        <v>0.36686531750859069</v>
      </c>
      <c r="AR13" s="702">
        <f>'Raw emissions'!Z12</f>
        <v>0.13255481998794993</v>
      </c>
      <c r="AS13" s="702">
        <f>$AQ13</f>
        <v>0.36686531750859069</v>
      </c>
      <c r="AT13" s="702">
        <f t="shared" ref="AT13:AZ13" si="11">$AQ13</f>
        <v>0.36686531750859069</v>
      </c>
      <c r="AU13" s="702">
        <f t="shared" si="11"/>
        <v>0.36686531750859069</v>
      </c>
      <c r="AV13" s="702">
        <f t="shared" si="11"/>
        <v>0.36686531750859069</v>
      </c>
      <c r="AW13" s="702">
        <f t="shared" si="11"/>
        <v>0.36686531750859069</v>
      </c>
      <c r="AX13" s="702">
        <f t="shared" si="11"/>
        <v>0.36686531750859069</v>
      </c>
      <c r="AY13" s="702">
        <f t="shared" si="11"/>
        <v>0.36686531750859069</v>
      </c>
      <c r="AZ13" s="702">
        <f t="shared" si="11"/>
        <v>0.36686531750859069</v>
      </c>
      <c r="BA13" s="685">
        <f>'Raw emissions'!AK12</f>
        <v>0.16169038190822829</v>
      </c>
      <c r="BB13" s="703">
        <f>'Raw emissions'!AL12</f>
        <v>1.5501433779705925E-3</v>
      </c>
      <c r="BC13" s="703">
        <f>$BA13</f>
        <v>0.16169038190822829</v>
      </c>
      <c r="BD13" s="703">
        <f t="shared" ref="BD13:BJ13" si="12">$BA13</f>
        <v>0.16169038190822829</v>
      </c>
      <c r="BE13" s="703">
        <f t="shared" si="12"/>
        <v>0.16169038190822829</v>
      </c>
      <c r="BF13" s="703">
        <f t="shared" si="12"/>
        <v>0.16169038190822829</v>
      </c>
      <c r="BG13" s="703">
        <f t="shared" si="12"/>
        <v>0.16169038190822829</v>
      </c>
      <c r="BH13" s="703">
        <f t="shared" si="12"/>
        <v>0.16169038190822829</v>
      </c>
      <c r="BI13" s="703">
        <f t="shared" si="12"/>
        <v>0.16169038190822829</v>
      </c>
      <c r="BJ13" s="703">
        <f t="shared" si="12"/>
        <v>0.16169038190822829</v>
      </c>
      <c r="BK13" s="685">
        <f>'Raw emissions'!AG12</f>
        <v>0.13975063922222422</v>
      </c>
      <c r="BL13" s="703">
        <f>'Raw emissions'!AI12</f>
        <v>6.5734598799492587E-3</v>
      </c>
      <c r="BM13" s="703">
        <f>$BK13</f>
        <v>0.13975063922222422</v>
      </c>
      <c r="BN13" s="703">
        <f t="shared" ref="BN13:BT13" si="13">$BK13</f>
        <v>0.13975063922222422</v>
      </c>
      <c r="BO13" s="703">
        <f t="shared" si="13"/>
        <v>0.13975063922222422</v>
      </c>
      <c r="BP13" s="703">
        <f t="shared" si="13"/>
        <v>0.13975063922222422</v>
      </c>
      <c r="BQ13" s="703">
        <f t="shared" si="13"/>
        <v>0.13975063922222422</v>
      </c>
      <c r="BR13" s="703">
        <f t="shared" si="13"/>
        <v>0.13975063922222422</v>
      </c>
      <c r="BS13" s="703">
        <f t="shared" si="13"/>
        <v>0.13975063922222422</v>
      </c>
      <c r="BT13" s="703">
        <f t="shared" si="13"/>
        <v>0.13975063922222422</v>
      </c>
      <c r="BU13" s="685">
        <f>'Raw emissions'!G12</f>
        <v>1.1974756312486066E-2</v>
      </c>
      <c r="BV13" s="703">
        <f>'Raw emissions'!H12</f>
        <v>8.5192503581835288E-3</v>
      </c>
      <c r="BW13" s="703">
        <f>(1-'Tier3Phase-in'!$J$20)*BV13</f>
        <v>2.8965451217823996E-3</v>
      </c>
      <c r="BX13" s="685">
        <f>'Raw emissions'!V12</f>
        <v>2.0754330567612825E-3</v>
      </c>
      <c r="BY13" s="703">
        <f>'Raw emissions'!W12</f>
        <v>2.0754283937039733E-3</v>
      </c>
      <c r="BZ13" s="685">
        <f>'Raw emissions'!S12</f>
        <v>2.7490458331344502E-3</v>
      </c>
      <c r="CA13" s="703">
        <f>'Raw emissions'!T12</f>
        <v>2.2569004798639694E-3</v>
      </c>
    </row>
    <row r="14" spans="1:91" x14ac:dyDescent="0.2">
      <c r="A14" s="690" t="str">
        <f>NewTech!B23</f>
        <v>TBB20C</v>
      </c>
      <c r="B14" s="690" t="str">
        <f>NewTech!C23</f>
        <v>Bus, Conventional B20</v>
      </c>
      <c r="C14" s="685">
        <f>'Raw emissions'!D12</f>
        <v>4.0797908760221002</v>
      </c>
      <c r="D14" s="702">
        <f>'Raw emissions'!E12</f>
        <v>1.0477607375692264</v>
      </c>
      <c r="E14" s="702">
        <f>$D14*(1-'Tier3Phase-in'!$J$12)</f>
        <v>1.0477607375692264</v>
      </c>
      <c r="F14" s="702">
        <f>$D14*(1-'Tier3Phase-in'!$K$12)</f>
        <v>0.90743563878763356</v>
      </c>
      <c r="G14" s="702">
        <f>$D14*(1-'Tier3Phase-in'!$L$12)</f>
        <v>0.79772692519475186</v>
      </c>
      <c r="H14" s="702">
        <f>$D14*(1-'Tier3Phase-in'!$M$12)</f>
        <v>0.75307803012788144</v>
      </c>
      <c r="I14" s="702">
        <f>$D14*(1-'Tier3Phase-in'!$N$12)</f>
        <v>0.71378700246903548</v>
      </c>
      <c r="J14" s="702">
        <f>$D14*(1-'Tier3Phase-in'!$O$12)</f>
        <v>0.65765696295639819</v>
      </c>
      <c r="K14" s="702">
        <f>$D14*(1-'Tier3Phase-in'!$P$12)</f>
        <v>0.6562537119685824</v>
      </c>
      <c r="L14" s="702">
        <f>$D14*(1-'Tier3Phase-in'!$Q$12)</f>
        <v>0.65485046098076649</v>
      </c>
      <c r="M14" s="685">
        <f>'Raw emissions'!J12</f>
        <v>0.28539364263941613</v>
      </c>
      <c r="N14" s="702">
        <f>'Raw emissions'!K12</f>
        <v>6.8575173207609044E-2</v>
      </c>
      <c r="O14" s="702">
        <f>$N14*(1-'Tier3Phase-in'!$J$12)</f>
        <v>6.8575173207609044E-2</v>
      </c>
      <c r="P14" s="702">
        <f>$N14*(1-'Tier3Phase-in'!$K$12)</f>
        <v>5.9390998224447121E-2</v>
      </c>
      <c r="Q14" s="702">
        <f>$N14*(1-'Tier3Phase-in'!$L$12)</f>
        <v>5.2210643237611432E-2</v>
      </c>
      <c r="R14" s="702">
        <f>$N14*(1-'Tier3Phase-in'!$M$12)</f>
        <v>4.9288405742968999E-2</v>
      </c>
      <c r="S14" s="702">
        <f>$N14*(1-'Tier3Phase-in'!$N$12)</f>
        <v>4.6716836747683663E-2</v>
      </c>
      <c r="T14" s="702">
        <f>$N14*(1-'Tier3Phase-in'!$O$12)</f>
        <v>4.3043166754418882E-2</v>
      </c>
      <c r="U14" s="702">
        <f>$N14*(1-'Tier3Phase-in'!$P$12)</f>
        <v>4.2951325004587267E-2</v>
      </c>
      <c r="V14" s="702">
        <f>$N14*(1-'Tier3Phase-in'!$Q$12)</f>
        <v>4.2859483254755651E-2</v>
      </c>
      <c r="W14" s="685">
        <f>'Raw emissions'!M12</f>
        <v>0.24162343954730964</v>
      </c>
      <c r="X14" s="702">
        <f>'Raw emissions'!N12</f>
        <v>3.1302189904520279E-2</v>
      </c>
      <c r="Y14" s="702">
        <f>$X14*(1-'Tier3Phase-in'!$J$12)</f>
        <v>3.1302189904520279E-2</v>
      </c>
      <c r="Z14" s="702">
        <f>$X14*(1-'Tier3Phase-in'!$K$12)</f>
        <v>2.7109932328022029E-2</v>
      </c>
      <c r="AA14" s="702">
        <f>$X14*(1-'Tier3Phase-in'!$L$12)</f>
        <v>2.3832349131850668E-2</v>
      </c>
      <c r="AB14" s="702">
        <f>$X14*(1-'Tier3Phase-in'!$M$12)</f>
        <v>2.2498448993873949E-2</v>
      </c>
      <c r="AC14" s="702">
        <f>$X14*(1-'Tier3Phase-in'!$N$12)</f>
        <v>2.132461687245444E-2</v>
      </c>
      <c r="AD14" s="702">
        <f>$X14*(1-'Tier3Phase-in'!$O$12)</f>
        <v>1.9647713841855135E-2</v>
      </c>
      <c r="AE14" s="702">
        <f>$X14*(1-'Tier3Phase-in'!$P$12)</f>
        <v>1.9605791266090154E-2</v>
      </c>
      <c r="AF14" s="702">
        <f>$X14*(1-'Tier3Phase-in'!$Q$12)</f>
        <v>1.9563868690325174E-2</v>
      </c>
      <c r="AG14" s="685">
        <f>'Raw emissions'!P12</f>
        <v>1.6087213192588457</v>
      </c>
      <c r="AH14" s="702">
        <f>'Raw emissions'!Q12</f>
        <v>0.74729407741249798</v>
      </c>
      <c r="AI14" s="702">
        <f>$AH14*(1-'Tier3Phase-in'!$J$12)</f>
        <v>0.74729407741249798</v>
      </c>
      <c r="AJ14" s="702">
        <f>$AH14*(1-'Tier3Phase-in'!$K$12)</f>
        <v>0.64721004918760994</v>
      </c>
      <c r="AK14" s="702">
        <f>$AH14*(1-'Tier3Phase-in'!$L$12)</f>
        <v>0.56896253621178827</v>
      </c>
      <c r="AL14" s="702">
        <f>$AH14*(1-'Tier3Phase-in'!$M$12)</f>
        <v>0.53711761814023296</v>
      </c>
      <c r="AM14" s="702">
        <f>$AH14*(1-'Tier3Phase-in'!$N$12)</f>
        <v>0.50909409023726426</v>
      </c>
      <c r="AN14" s="702">
        <f>$AH14*(1-'Tier3Phase-in'!$O$12)</f>
        <v>0.4690604789473089</v>
      </c>
      <c r="AO14" s="702">
        <f>$AH14*(1-'Tier3Phase-in'!$P$12)</f>
        <v>0.46805963866506006</v>
      </c>
      <c r="AP14" s="702">
        <f>$AH14*(1-'Tier3Phase-in'!$Q$12)</f>
        <v>0.46705879838281122</v>
      </c>
      <c r="AQ14" s="685">
        <f>'Raw emissions'!Y12</f>
        <v>0.36686531750859069</v>
      </c>
      <c r="AR14" s="702">
        <f>'Raw emissions'!Z12</f>
        <v>0.13255481998794993</v>
      </c>
      <c r="AS14" s="702">
        <f>$AR14*(1-'Tier3Phase-in'!$J$12)</f>
        <v>0.13255481998794993</v>
      </c>
      <c r="AT14" s="702">
        <f>$AR14*(1-'Tier3Phase-in'!$K$12)</f>
        <v>0.11480194231099236</v>
      </c>
      <c r="AU14" s="702">
        <f>$AR14*(1-'Tier3Phase-in'!$L$12)</f>
        <v>0.10092241976355279</v>
      </c>
      <c r="AV14" s="702">
        <f>$AR14*(1-'Tier3Phase-in'!$M$12)</f>
        <v>9.5273776866339019E-2</v>
      </c>
      <c r="AW14" s="702">
        <f>$AR14*(1-'Tier3Phase-in'!$N$12)</f>
        <v>9.0302971116790892E-2</v>
      </c>
      <c r="AX14" s="702">
        <f>$AR14*(1-'Tier3Phase-in'!$O$12)</f>
        <v>8.3201820046007846E-2</v>
      </c>
      <c r="AY14" s="702">
        <f>$AR14*(1-'Tier3Phase-in'!$P$12)</f>
        <v>8.3024291269238271E-2</v>
      </c>
      <c r="AZ14" s="702">
        <f>$AR14*(1-'Tier3Phase-in'!$Q$12)</f>
        <v>8.2846762492468709E-2</v>
      </c>
      <c r="BA14" s="685">
        <f>'Raw emissions'!AK12</f>
        <v>0.16169038190822829</v>
      </c>
      <c r="BB14" s="703">
        <f>'Raw emissions'!AL12</f>
        <v>1.5501433779705925E-3</v>
      </c>
      <c r="BC14" s="703">
        <f>$BB14*(1-'Tier3Phase-in'!$J$12)</f>
        <v>1.5501433779705925E-3</v>
      </c>
      <c r="BD14" s="703">
        <f>$BB14*(1-'Tier3Phase-in'!$K$12)</f>
        <v>1.3425348898495311E-3</v>
      </c>
      <c r="BE14" s="703">
        <f>$BB14*(1-'Tier3Phase-in'!$L$12)</f>
        <v>1.1802227991367011E-3</v>
      </c>
      <c r="BF14" s="703">
        <f>$BB14*(1-'Tier3Phase-in'!$M$12)</f>
        <v>1.1141655529163634E-3</v>
      </c>
      <c r="BG14" s="703">
        <f>$BB14*(1-'Tier3Phase-in'!$N$12)</f>
        <v>1.0560351762424662E-3</v>
      </c>
      <c r="BH14" s="703">
        <f>$BB14*(1-'Tier3Phase-in'!$O$12)</f>
        <v>9.7299178099404134E-4</v>
      </c>
      <c r="BI14" s="703">
        <f>$BB14*(1-'Tier3Phase-in'!$P$12)</f>
        <v>9.7091569611283083E-4</v>
      </c>
      <c r="BJ14" s="703">
        <f>$BB14*(1-'Tier3Phase-in'!$Q$12)</f>
        <v>9.6883961123162032E-4</v>
      </c>
      <c r="BK14" s="685">
        <f>'Raw emissions'!AG12</f>
        <v>0.13975063922222422</v>
      </c>
      <c r="BL14" s="703">
        <f>'Raw emissions'!AI12</f>
        <v>6.5734598799492587E-3</v>
      </c>
      <c r="BM14" s="703">
        <f>$BL14*(1-'Tier3Phase-in'!$J$12)</f>
        <v>6.5734598799492587E-3</v>
      </c>
      <c r="BN14" s="703">
        <f>$BL14*(1-'Tier3Phase-in'!$K$12)</f>
        <v>5.6930857888846257E-3</v>
      </c>
      <c r="BO14" s="703">
        <f>$BL14*(1-'Tier3Phase-in'!$L$12)</f>
        <v>5.0047933176886397E-3</v>
      </c>
      <c r="BP14" s="703">
        <f>$BL14*(1-'Tier3Phase-in'!$M$12)</f>
        <v>4.7246742887135295E-3</v>
      </c>
      <c r="BQ14" s="703">
        <f>$BL14*(1-'Tier3Phase-in'!$N$12)</f>
        <v>4.4781695432154324E-3</v>
      </c>
      <c r="BR14" s="703">
        <f>$BL14*(1-'Tier3Phase-in'!$O$12)</f>
        <v>4.1260199067895782E-3</v>
      </c>
      <c r="BS14" s="703">
        <f>$BL14*(1-'Tier3Phase-in'!$P$12)</f>
        <v>4.1172161658789329E-3</v>
      </c>
      <c r="BT14" s="703">
        <f>$BL14*(1-'Tier3Phase-in'!$Q$12)</f>
        <v>4.1084124249682868E-3</v>
      </c>
      <c r="BU14" s="685">
        <f>'Raw emissions'!G12</f>
        <v>1.1974756312486066E-2</v>
      </c>
      <c r="BV14" s="703">
        <f>'Raw emissions'!H12</f>
        <v>8.5192503581835288E-3</v>
      </c>
      <c r="BW14" s="703">
        <f>(1-'Tier3Phase-in'!$J$20)*BV14</f>
        <v>2.8965451217823996E-3</v>
      </c>
      <c r="BX14" s="685">
        <f>'Raw emissions'!V12</f>
        <v>2.0754330567612825E-3</v>
      </c>
      <c r="BY14" s="703">
        <f>'Raw emissions'!W12</f>
        <v>2.0754283937039733E-3</v>
      </c>
      <c r="BZ14" s="685">
        <f>'Raw emissions'!S12</f>
        <v>2.7490458331344502E-3</v>
      </c>
      <c r="CA14" s="703">
        <f>'Raw emissions'!T12</f>
        <v>2.2569004798639694E-3</v>
      </c>
    </row>
    <row r="15" spans="1:91" x14ac:dyDescent="0.2">
      <c r="A15" s="690" t="str">
        <f>NewTech!B24</f>
        <v>TBB20IM</v>
      </c>
      <c r="B15" s="690" t="str">
        <f>NewTech!C24</f>
        <v>Bus, B20, Improved Biodiesel</v>
      </c>
      <c r="C15" s="685">
        <f t="shared" ref="C15:R16" si="14">C14</f>
        <v>4.0797908760221002</v>
      </c>
      <c r="D15" s="702">
        <f t="shared" si="14"/>
        <v>1.0477607375692264</v>
      </c>
      <c r="E15" s="702">
        <f>$D15*(1-'Tier3Phase-in'!$J$12)</f>
        <v>1.0477607375692264</v>
      </c>
      <c r="F15" s="702">
        <f>$D15*(1-'Tier3Phase-in'!$K$12)</f>
        <v>0.90743563878763356</v>
      </c>
      <c r="G15" s="702">
        <f>$D15*(1-'Tier3Phase-in'!$L$12)</f>
        <v>0.79772692519475186</v>
      </c>
      <c r="H15" s="702">
        <f>$D15*(1-'Tier3Phase-in'!$M$12)</f>
        <v>0.75307803012788144</v>
      </c>
      <c r="I15" s="702">
        <f>$D15*(1-'Tier3Phase-in'!$N$12)</f>
        <v>0.71378700246903548</v>
      </c>
      <c r="J15" s="702">
        <f>$D15*(1-'Tier3Phase-in'!$O$12)</f>
        <v>0.65765696295639819</v>
      </c>
      <c r="K15" s="702">
        <f>$D15*(1-'Tier3Phase-in'!$P$12)</f>
        <v>0.6562537119685824</v>
      </c>
      <c r="L15" s="702">
        <f>$D15*(1-'Tier3Phase-in'!$Q$12)</f>
        <v>0.65485046098076649</v>
      </c>
      <c r="M15" s="685">
        <f>M14</f>
        <v>0.28539364263941613</v>
      </c>
      <c r="N15" s="702">
        <f>N14</f>
        <v>6.8575173207609044E-2</v>
      </c>
      <c r="O15" s="702">
        <f>$N15*(1-'Tier3Phase-in'!$J$12)</f>
        <v>6.8575173207609044E-2</v>
      </c>
      <c r="P15" s="702">
        <f>$N15*(1-'Tier3Phase-in'!$K$12)</f>
        <v>5.9390998224447121E-2</v>
      </c>
      <c r="Q15" s="702">
        <f>$N15*(1-'Tier3Phase-in'!$L$12)</f>
        <v>5.2210643237611432E-2</v>
      </c>
      <c r="R15" s="702">
        <f>$N15*(1-'Tier3Phase-in'!$M$12)</f>
        <v>4.9288405742968999E-2</v>
      </c>
      <c r="S15" s="702">
        <f>$N15*(1-'Tier3Phase-in'!$N$12)</f>
        <v>4.6716836747683663E-2</v>
      </c>
      <c r="T15" s="702">
        <f>$N15*(1-'Tier3Phase-in'!$O$12)</f>
        <v>4.3043166754418882E-2</v>
      </c>
      <c r="U15" s="702">
        <f>$N15*(1-'Tier3Phase-in'!$P$12)</f>
        <v>4.2951325004587267E-2</v>
      </c>
      <c r="V15" s="702">
        <f>$N15*(1-'Tier3Phase-in'!$Q$12)</f>
        <v>4.2859483254755651E-2</v>
      </c>
      <c r="W15" s="685">
        <f>W14</f>
        <v>0.24162343954730964</v>
      </c>
      <c r="X15" s="702">
        <f>X14</f>
        <v>3.1302189904520279E-2</v>
      </c>
      <c r="Y15" s="702">
        <f>$X15*(1-'Tier3Phase-in'!$J$12)</f>
        <v>3.1302189904520279E-2</v>
      </c>
      <c r="Z15" s="702">
        <f>$X15*(1-'Tier3Phase-in'!$K$12)</f>
        <v>2.7109932328022029E-2</v>
      </c>
      <c r="AA15" s="702">
        <f>$X15*(1-'Tier3Phase-in'!$L$12)</f>
        <v>2.3832349131850668E-2</v>
      </c>
      <c r="AB15" s="702">
        <f>$X15*(1-'Tier3Phase-in'!$M$12)</f>
        <v>2.2498448993873949E-2</v>
      </c>
      <c r="AC15" s="702">
        <f>$X15*(1-'Tier3Phase-in'!$N$12)</f>
        <v>2.132461687245444E-2</v>
      </c>
      <c r="AD15" s="702">
        <f>$X15*(1-'Tier3Phase-in'!$O$12)</f>
        <v>1.9647713841855135E-2</v>
      </c>
      <c r="AE15" s="702">
        <f>$X15*(1-'Tier3Phase-in'!$P$12)</f>
        <v>1.9605791266090154E-2</v>
      </c>
      <c r="AF15" s="702">
        <f>$X15*(1-'Tier3Phase-in'!$Q$12)</f>
        <v>1.9563868690325174E-2</v>
      </c>
      <c r="AG15" s="685">
        <f>AG14</f>
        <v>1.6087213192588457</v>
      </c>
      <c r="AH15" s="702">
        <f>AH14</f>
        <v>0.74729407741249798</v>
      </c>
      <c r="AI15" s="702">
        <f>$AH15*(1-'Tier3Phase-in'!$J$12)</f>
        <v>0.74729407741249798</v>
      </c>
      <c r="AJ15" s="702">
        <f>$AH15*(1-'Tier3Phase-in'!$K$12)</f>
        <v>0.64721004918760994</v>
      </c>
      <c r="AK15" s="702">
        <f>$AH15*(1-'Tier3Phase-in'!$L$12)</f>
        <v>0.56896253621178827</v>
      </c>
      <c r="AL15" s="702">
        <f>$AH15*(1-'Tier3Phase-in'!$M$12)</f>
        <v>0.53711761814023296</v>
      </c>
      <c r="AM15" s="702">
        <f>$AH15*(1-'Tier3Phase-in'!$N$12)</f>
        <v>0.50909409023726426</v>
      </c>
      <c r="AN15" s="702">
        <f>$AH15*(1-'Tier3Phase-in'!$O$12)</f>
        <v>0.4690604789473089</v>
      </c>
      <c r="AO15" s="702">
        <f>$AH15*(1-'Tier3Phase-in'!$P$12)</f>
        <v>0.46805963866506006</v>
      </c>
      <c r="AP15" s="702">
        <f>$AH15*(1-'Tier3Phase-in'!$Q$12)</f>
        <v>0.46705879838281122</v>
      </c>
      <c r="AQ15" s="685">
        <f>AQ14</f>
        <v>0.36686531750859069</v>
      </c>
      <c r="AR15" s="702">
        <f>AR14</f>
        <v>0.13255481998794993</v>
      </c>
      <c r="AS15" s="702">
        <f>$AR15*(1-'Tier3Phase-in'!$J$12)</f>
        <v>0.13255481998794993</v>
      </c>
      <c r="AT15" s="702">
        <f>$AR15*(1-'Tier3Phase-in'!$K$12)</f>
        <v>0.11480194231099236</v>
      </c>
      <c r="AU15" s="702">
        <f>$AR15*(1-'Tier3Phase-in'!$L$12)</f>
        <v>0.10092241976355279</v>
      </c>
      <c r="AV15" s="702">
        <f>$AR15*(1-'Tier3Phase-in'!$M$12)</f>
        <v>9.5273776866339019E-2</v>
      </c>
      <c r="AW15" s="702">
        <f>$AR15*(1-'Tier3Phase-in'!$N$12)</f>
        <v>9.0302971116790892E-2</v>
      </c>
      <c r="AX15" s="702">
        <f>$AR15*(1-'Tier3Phase-in'!$O$12)</f>
        <v>8.3201820046007846E-2</v>
      </c>
      <c r="AY15" s="702">
        <f>$AR15*(1-'Tier3Phase-in'!$P$12)</f>
        <v>8.3024291269238271E-2</v>
      </c>
      <c r="AZ15" s="702">
        <f>$AR15*(1-'Tier3Phase-in'!$Q$12)</f>
        <v>8.2846762492468709E-2</v>
      </c>
      <c r="BA15" s="685">
        <f>BA14</f>
        <v>0.16169038190822829</v>
      </c>
      <c r="BB15" s="703">
        <f>BB14</f>
        <v>1.5501433779705925E-3</v>
      </c>
      <c r="BC15" s="703">
        <f>$BB15*(1-'Tier3Phase-in'!$J$12)</f>
        <v>1.5501433779705925E-3</v>
      </c>
      <c r="BD15" s="703">
        <f>$BB15*(1-'Tier3Phase-in'!$K$12)</f>
        <v>1.3425348898495311E-3</v>
      </c>
      <c r="BE15" s="703">
        <f>$BB15*(1-'Tier3Phase-in'!$L$12)</f>
        <v>1.1802227991367011E-3</v>
      </c>
      <c r="BF15" s="703">
        <f>$BB15*(1-'Tier3Phase-in'!$M$12)</f>
        <v>1.1141655529163634E-3</v>
      </c>
      <c r="BG15" s="703">
        <f>$BB15*(1-'Tier3Phase-in'!$N$12)</f>
        <v>1.0560351762424662E-3</v>
      </c>
      <c r="BH15" s="703">
        <f>$BB15*(1-'Tier3Phase-in'!$O$12)</f>
        <v>9.7299178099404134E-4</v>
      </c>
      <c r="BI15" s="703">
        <f>$BB15*(1-'Tier3Phase-in'!$P$12)</f>
        <v>9.7091569611283083E-4</v>
      </c>
      <c r="BJ15" s="703">
        <f>$BB15*(1-'Tier3Phase-in'!$Q$12)</f>
        <v>9.6883961123162032E-4</v>
      </c>
      <c r="BK15" s="685">
        <f>BK14</f>
        <v>0.13975063922222422</v>
      </c>
      <c r="BL15" s="703">
        <f>BL14</f>
        <v>6.5734598799492587E-3</v>
      </c>
      <c r="BM15" s="703">
        <f>$BL15*(1-'Tier3Phase-in'!$J$12)</f>
        <v>6.5734598799492587E-3</v>
      </c>
      <c r="BN15" s="703">
        <f>$BL15*(1-'Tier3Phase-in'!$K$12)</f>
        <v>5.6930857888846257E-3</v>
      </c>
      <c r="BO15" s="703">
        <f>$BL15*(1-'Tier3Phase-in'!$L$12)</f>
        <v>5.0047933176886397E-3</v>
      </c>
      <c r="BP15" s="703">
        <f>$BL15*(1-'Tier3Phase-in'!$M$12)</f>
        <v>4.7246742887135295E-3</v>
      </c>
      <c r="BQ15" s="703">
        <f>$BL15*(1-'Tier3Phase-in'!$N$12)</f>
        <v>4.4781695432154324E-3</v>
      </c>
      <c r="BR15" s="703">
        <f>$BL15*(1-'Tier3Phase-in'!$O$12)</f>
        <v>4.1260199067895782E-3</v>
      </c>
      <c r="BS15" s="703">
        <f>$BL15*(1-'Tier3Phase-in'!$P$12)</f>
        <v>4.1172161658789329E-3</v>
      </c>
      <c r="BT15" s="703">
        <f>$BL15*(1-'Tier3Phase-in'!$Q$12)</f>
        <v>4.1084124249682868E-3</v>
      </c>
      <c r="BU15" s="685">
        <f>BU14</f>
        <v>1.1974756312486066E-2</v>
      </c>
      <c r="BV15" s="703">
        <f>BV14</f>
        <v>8.5192503581835288E-3</v>
      </c>
      <c r="BW15" s="703">
        <f>(1-'Tier3Phase-in'!$J$20)*BV15</f>
        <v>2.8965451217823996E-3</v>
      </c>
      <c r="BX15" s="685">
        <f>BX14</f>
        <v>2.0754330567612825E-3</v>
      </c>
      <c r="BY15" s="703">
        <f>BY14</f>
        <v>2.0754283937039733E-3</v>
      </c>
      <c r="BZ15" s="685">
        <f>BZ14</f>
        <v>2.7490458331344502E-3</v>
      </c>
      <c r="CA15" s="703">
        <f>CA14</f>
        <v>2.2569004798639694E-3</v>
      </c>
    </row>
    <row r="16" spans="1:91" x14ac:dyDescent="0.2">
      <c r="A16" s="690" t="str">
        <f>NewTech!B25</f>
        <v>TBB20ADV</v>
      </c>
      <c r="B16" s="690" t="str">
        <f>NewTech!C25</f>
        <v>Bus, Advanced Tech B20</v>
      </c>
      <c r="C16" s="685">
        <f t="shared" si="14"/>
        <v>4.0797908760221002</v>
      </c>
      <c r="D16" s="702">
        <f t="shared" si="14"/>
        <v>1.0477607375692264</v>
      </c>
      <c r="E16" s="702">
        <f t="shared" si="14"/>
        <v>1.0477607375692264</v>
      </c>
      <c r="F16" s="702">
        <f t="shared" si="14"/>
        <v>0.90743563878763356</v>
      </c>
      <c r="G16" s="702">
        <f t="shared" si="14"/>
        <v>0.79772692519475186</v>
      </c>
      <c r="H16" s="702">
        <f t="shared" si="14"/>
        <v>0.75307803012788144</v>
      </c>
      <c r="I16" s="702">
        <f t="shared" si="14"/>
        <v>0.71378700246903548</v>
      </c>
      <c r="J16" s="702">
        <f t="shared" si="14"/>
        <v>0.65765696295639819</v>
      </c>
      <c r="K16" s="702">
        <f t="shared" si="14"/>
        <v>0.6562537119685824</v>
      </c>
      <c r="L16" s="702">
        <f t="shared" si="14"/>
        <v>0.65485046098076649</v>
      </c>
      <c r="M16" s="685">
        <f t="shared" si="14"/>
        <v>0.28539364263941613</v>
      </c>
      <c r="N16" s="702">
        <f t="shared" si="14"/>
        <v>6.8575173207609044E-2</v>
      </c>
      <c r="O16" s="702">
        <f t="shared" si="14"/>
        <v>6.8575173207609044E-2</v>
      </c>
      <c r="P16" s="702">
        <f t="shared" si="14"/>
        <v>5.9390998224447121E-2</v>
      </c>
      <c r="Q16" s="702">
        <f t="shared" si="14"/>
        <v>5.2210643237611432E-2</v>
      </c>
      <c r="R16" s="702">
        <f t="shared" si="14"/>
        <v>4.9288405742968999E-2</v>
      </c>
      <c r="S16" s="702">
        <f t="shared" ref="S16:CA16" si="15">S15</f>
        <v>4.6716836747683663E-2</v>
      </c>
      <c r="T16" s="702">
        <f t="shared" si="15"/>
        <v>4.3043166754418882E-2</v>
      </c>
      <c r="U16" s="702">
        <f t="shared" si="15"/>
        <v>4.2951325004587267E-2</v>
      </c>
      <c r="V16" s="702">
        <f t="shared" si="15"/>
        <v>4.2859483254755651E-2</v>
      </c>
      <c r="W16" s="685">
        <f t="shared" si="15"/>
        <v>0.24162343954730964</v>
      </c>
      <c r="X16" s="702">
        <f t="shared" si="15"/>
        <v>3.1302189904520279E-2</v>
      </c>
      <c r="Y16" s="702">
        <f t="shared" si="15"/>
        <v>3.1302189904520279E-2</v>
      </c>
      <c r="Z16" s="702">
        <f t="shared" si="15"/>
        <v>2.7109932328022029E-2</v>
      </c>
      <c r="AA16" s="702">
        <f t="shared" si="15"/>
        <v>2.3832349131850668E-2</v>
      </c>
      <c r="AB16" s="702">
        <f t="shared" si="15"/>
        <v>2.2498448993873949E-2</v>
      </c>
      <c r="AC16" s="702">
        <f t="shared" si="15"/>
        <v>2.132461687245444E-2</v>
      </c>
      <c r="AD16" s="702">
        <f t="shared" si="15"/>
        <v>1.9647713841855135E-2</v>
      </c>
      <c r="AE16" s="702">
        <f t="shared" si="15"/>
        <v>1.9605791266090154E-2</v>
      </c>
      <c r="AF16" s="702">
        <f t="shared" si="15"/>
        <v>1.9563868690325174E-2</v>
      </c>
      <c r="AG16" s="685">
        <f t="shared" si="15"/>
        <v>1.6087213192588457</v>
      </c>
      <c r="AH16" s="702">
        <f t="shared" si="15"/>
        <v>0.74729407741249798</v>
      </c>
      <c r="AI16" s="702">
        <f t="shared" si="15"/>
        <v>0.74729407741249798</v>
      </c>
      <c r="AJ16" s="702">
        <f t="shared" si="15"/>
        <v>0.64721004918760994</v>
      </c>
      <c r="AK16" s="702">
        <f t="shared" si="15"/>
        <v>0.56896253621178827</v>
      </c>
      <c r="AL16" s="702">
        <f t="shared" si="15"/>
        <v>0.53711761814023296</v>
      </c>
      <c r="AM16" s="702">
        <f t="shared" si="15"/>
        <v>0.50909409023726426</v>
      </c>
      <c r="AN16" s="702">
        <f t="shared" si="15"/>
        <v>0.4690604789473089</v>
      </c>
      <c r="AO16" s="702">
        <f t="shared" si="15"/>
        <v>0.46805963866506006</v>
      </c>
      <c r="AP16" s="702">
        <f t="shared" si="15"/>
        <v>0.46705879838281122</v>
      </c>
      <c r="AQ16" s="685">
        <f t="shared" si="15"/>
        <v>0.36686531750859069</v>
      </c>
      <c r="AR16" s="702">
        <f t="shared" si="15"/>
        <v>0.13255481998794993</v>
      </c>
      <c r="AS16" s="702">
        <f t="shared" si="15"/>
        <v>0.13255481998794993</v>
      </c>
      <c r="AT16" s="702">
        <f t="shared" si="15"/>
        <v>0.11480194231099236</v>
      </c>
      <c r="AU16" s="702">
        <f t="shared" si="15"/>
        <v>0.10092241976355279</v>
      </c>
      <c r="AV16" s="702">
        <f t="shared" si="15"/>
        <v>9.5273776866339019E-2</v>
      </c>
      <c r="AW16" s="702">
        <f t="shared" si="15"/>
        <v>9.0302971116790892E-2</v>
      </c>
      <c r="AX16" s="702">
        <f t="shared" si="15"/>
        <v>8.3201820046007846E-2</v>
      </c>
      <c r="AY16" s="702">
        <f t="shared" si="15"/>
        <v>8.3024291269238271E-2</v>
      </c>
      <c r="AZ16" s="702">
        <f t="shared" si="15"/>
        <v>8.2846762492468709E-2</v>
      </c>
      <c r="BA16" s="685">
        <f t="shared" si="15"/>
        <v>0.16169038190822829</v>
      </c>
      <c r="BB16" s="703">
        <f t="shared" si="15"/>
        <v>1.5501433779705925E-3</v>
      </c>
      <c r="BC16" s="703">
        <f t="shared" si="15"/>
        <v>1.5501433779705925E-3</v>
      </c>
      <c r="BD16" s="703">
        <f t="shared" si="15"/>
        <v>1.3425348898495311E-3</v>
      </c>
      <c r="BE16" s="703">
        <f t="shared" si="15"/>
        <v>1.1802227991367011E-3</v>
      </c>
      <c r="BF16" s="703">
        <f t="shared" si="15"/>
        <v>1.1141655529163634E-3</v>
      </c>
      <c r="BG16" s="703">
        <f t="shared" si="15"/>
        <v>1.0560351762424662E-3</v>
      </c>
      <c r="BH16" s="703">
        <f t="shared" si="15"/>
        <v>9.7299178099404134E-4</v>
      </c>
      <c r="BI16" s="703">
        <f t="shared" si="15"/>
        <v>9.7091569611283083E-4</v>
      </c>
      <c r="BJ16" s="703">
        <f t="shared" si="15"/>
        <v>9.6883961123162032E-4</v>
      </c>
      <c r="BK16" s="685">
        <f t="shared" si="15"/>
        <v>0.13975063922222422</v>
      </c>
      <c r="BL16" s="703">
        <f t="shared" si="15"/>
        <v>6.5734598799492587E-3</v>
      </c>
      <c r="BM16" s="703">
        <f t="shared" si="15"/>
        <v>6.5734598799492587E-3</v>
      </c>
      <c r="BN16" s="703">
        <f t="shared" si="15"/>
        <v>5.6930857888846257E-3</v>
      </c>
      <c r="BO16" s="703">
        <f t="shared" si="15"/>
        <v>5.0047933176886397E-3</v>
      </c>
      <c r="BP16" s="703">
        <f t="shared" si="15"/>
        <v>4.7246742887135295E-3</v>
      </c>
      <c r="BQ16" s="703">
        <f t="shared" si="15"/>
        <v>4.4781695432154324E-3</v>
      </c>
      <c r="BR16" s="703">
        <f t="shared" si="15"/>
        <v>4.1260199067895782E-3</v>
      </c>
      <c r="BS16" s="703">
        <f t="shared" si="15"/>
        <v>4.1172161658789329E-3</v>
      </c>
      <c r="BT16" s="703">
        <f t="shared" si="15"/>
        <v>4.1084124249682868E-3</v>
      </c>
      <c r="BU16" s="685">
        <f t="shared" si="15"/>
        <v>1.1974756312486066E-2</v>
      </c>
      <c r="BV16" s="703">
        <f t="shared" si="15"/>
        <v>8.5192503581835288E-3</v>
      </c>
      <c r="BW16" s="703">
        <f t="shared" si="15"/>
        <v>2.8965451217823996E-3</v>
      </c>
      <c r="BX16" s="685">
        <f t="shared" si="15"/>
        <v>2.0754330567612825E-3</v>
      </c>
      <c r="BY16" s="703">
        <f t="shared" si="15"/>
        <v>2.0754283937039733E-3</v>
      </c>
      <c r="BZ16" s="685">
        <f t="shared" si="15"/>
        <v>2.7490458331344502E-3</v>
      </c>
      <c r="CA16" s="703">
        <f t="shared" si="15"/>
        <v>2.2569004798639694E-3</v>
      </c>
    </row>
    <row r="17" spans="1:79" x14ac:dyDescent="0.2">
      <c r="A17" s="690" t="str">
        <f>NewTech!B27</f>
        <v>TBCNGC10</v>
      </c>
      <c r="B17" s="690" t="str">
        <f>NewTech!C27</f>
        <v>Bus, Conventional CNG, 2010</v>
      </c>
      <c r="C17" s="685">
        <f>'Raw emissions'!D13</f>
        <v>3.2238255647354079</v>
      </c>
      <c r="D17" s="702">
        <f>'Raw emissions'!E13</f>
        <v>3.0949325344600145</v>
      </c>
      <c r="E17" s="702">
        <f>$C17</f>
        <v>3.2238255647354079</v>
      </c>
      <c r="F17" s="702">
        <f t="shared" ref="F17:L17" si="16">$C17</f>
        <v>3.2238255647354079</v>
      </c>
      <c r="G17" s="702">
        <f t="shared" si="16"/>
        <v>3.2238255647354079</v>
      </c>
      <c r="H17" s="702">
        <f t="shared" si="16"/>
        <v>3.2238255647354079</v>
      </c>
      <c r="I17" s="702">
        <f t="shared" si="16"/>
        <v>3.2238255647354079</v>
      </c>
      <c r="J17" s="702">
        <f t="shared" si="16"/>
        <v>3.2238255647354079</v>
      </c>
      <c r="K17" s="702">
        <f t="shared" si="16"/>
        <v>3.2238255647354079</v>
      </c>
      <c r="L17" s="702">
        <f t="shared" si="16"/>
        <v>3.2238255647354079</v>
      </c>
      <c r="M17" s="685">
        <f>'Raw emissions'!J13</f>
        <v>5.4982010757245549E-2</v>
      </c>
      <c r="N17" s="702">
        <f>'Raw emissions'!K13</f>
        <v>5.4394367168499935E-2</v>
      </c>
      <c r="O17" s="702">
        <f>$M17</f>
        <v>5.4982010757245549E-2</v>
      </c>
      <c r="P17" s="702">
        <f t="shared" ref="P17:V17" si="17">$M17</f>
        <v>5.4982010757245549E-2</v>
      </c>
      <c r="Q17" s="702">
        <f t="shared" si="17"/>
        <v>5.4982010757245549E-2</v>
      </c>
      <c r="R17" s="702">
        <f t="shared" si="17"/>
        <v>5.4982010757245549E-2</v>
      </c>
      <c r="S17" s="702">
        <f t="shared" si="17"/>
        <v>5.4982010757245549E-2</v>
      </c>
      <c r="T17" s="702">
        <f t="shared" si="17"/>
        <v>5.4982010757245549E-2</v>
      </c>
      <c r="U17" s="702">
        <f t="shared" si="17"/>
        <v>5.4982010757245549E-2</v>
      </c>
      <c r="V17" s="702">
        <f t="shared" si="17"/>
        <v>5.4982010757245549E-2</v>
      </c>
      <c r="W17" s="685">
        <f>'Raw emissions'!M13</f>
        <v>1.8091525564614998E-2</v>
      </c>
      <c r="X17" s="702">
        <f>'Raw emissions'!N13</f>
        <v>1.750393564285627E-2</v>
      </c>
      <c r="Y17" s="702">
        <f t="shared" ref="Y17:AF17" si="18">W17</f>
        <v>1.8091525564614998E-2</v>
      </c>
      <c r="Z17" s="702">
        <f t="shared" si="18"/>
        <v>1.750393564285627E-2</v>
      </c>
      <c r="AA17" s="702">
        <f t="shared" si="18"/>
        <v>1.8091525564614998E-2</v>
      </c>
      <c r="AB17" s="702">
        <f t="shared" si="18"/>
        <v>1.750393564285627E-2</v>
      </c>
      <c r="AC17" s="702">
        <f t="shared" si="18"/>
        <v>1.8091525564614998E-2</v>
      </c>
      <c r="AD17" s="702">
        <f t="shared" si="18"/>
        <v>1.750393564285627E-2</v>
      </c>
      <c r="AE17" s="702">
        <f t="shared" si="18"/>
        <v>1.8091525564614998E-2</v>
      </c>
      <c r="AF17" s="702">
        <f t="shared" si="18"/>
        <v>1.750393564285627E-2</v>
      </c>
      <c r="AG17" s="685">
        <f>'Raw emissions'!P13</f>
        <v>14.76634539150545</v>
      </c>
      <c r="AH17" s="702">
        <f>'Raw emissions'!Q13</f>
        <v>13.981182077926817</v>
      </c>
      <c r="AI17" s="702">
        <f>$AG17</f>
        <v>14.76634539150545</v>
      </c>
      <c r="AJ17" s="702">
        <f t="shared" ref="AJ17:AP17" si="19">$AG17</f>
        <v>14.76634539150545</v>
      </c>
      <c r="AK17" s="702">
        <f t="shared" si="19"/>
        <v>14.76634539150545</v>
      </c>
      <c r="AL17" s="702">
        <f t="shared" si="19"/>
        <v>14.76634539150545</v>
      </c>
      <c r="AM17" s="702">
        <f t="shared" si="19"/>
        <v>14.76634539150545</v>
      </c>
      <c r="AN17" s="702">
        <f t="shared" si="19"/>
        <v>14.76634539150545</v>
      </c>
      <c r="AO17" s="702">
        <f t="shared" si="19"/>
        <v>14.76634539150545</v>
      </c>
      <c r="AP17" s="702">
        <f t="shared" si="19"/>
        <v>14.76634539150545</v>
      </c>
      <c r="AQ17" s="685">
        <f>'Raw emissions'!Y13</f>
        <v>0</v>
      </c>
      <c r="AR17" s="702">
        <f>'Raw emissions'!Z13</f>
        <v>0</v>
      </c>
      <c r="AS17" s="702">
        <f>$AQ17</f>
        <v>0</v>
      </c>
      <c r="AT17" s="702">
        <f t="shared" ref="AT17:AZ17" si="20">$AQ17</f>
        <v>0</v>
      </c>
      <c r="AU17" s="702">
        <f t="shared" si="20"/>
        <v>0</v>
      </c>
      <c r="AV17" s="702">
        <f t="shared" si="20"/>
        <v>0</v>
      </c>
      <c r="AW17" s="702">
        <f t="shared" si="20"/>
        <v>0</v>
      </c>
      <c r="AX17" s="702">
        <f t="shared" si="20"/>
        <v>0</v>
      </c>
      <c r="AY17" s="702">
        <f t="shared" si="20"/>
        <v>0</v>
      </c>
      <c r="AZ17" s="702">
        <f t="shared" si="20"/>
        <v>0</v>
      </c>
      <c r="BA17" s="685">
        <f>'Raw emissions'!AK13</f>
        <v>6.0163859796712009E-4</v>
      </c>
      <c r="BB17" s="703">
        <f>'Raw emissions'!AL13</f>
        <v>4.923342001031235E-4</v>
      </c>
      <c r="BC17" s="703">
        <f>$BA17</f>
        <v>6.0163859796712009E-4</v>
      </c>
      <c r="BD17" s="703">
        <f t="shared" ref="BD17:BJ17" si="21">$BA17</f>
        <v>6.0163859796712009E-4</v>
      </c>
      <c r="BE17" s="703">
        <f t="shared" si="21"/>
        <v>6.0163859796712009E-4</v>
      </c>
      <c r="BF17" s="703">
        <f t="shared" si="21"/>
        <v>6.0163859796712009E-4</v>
      </c>
      <c r="BG17" s="703">
        <f t="shared" si="21"/>
        <v>6.0163859796712009E-4</v>
      </c>
      <c r="BH17" s="703">
        <f t="shared" si="21"/>
        <v>6.0163859796712009E-4</v>
      </c>
      <c r="BI17" s="703">
        <f t="shared" si="21"/>
        <v>6.0163859796712009E-4</v>
      </c>
      <c r="BJ17" s="703">
        <f t="shared" si="21"/>
        <v>6.0163859796712009E-4</v>
      </c>
      <c r="BK17" s="685">
        <f>'Raw emissions'!AG13</f>
        <v>1.9307303696831789E-3</v>
      </c>
      <c r="BL17" s="703">
        <f>'Raw emissions'!AI13</f>
        <v>1.7503935642856272E-3</v>
      </c>
      <c r="BM17" s="703">
        <f>$BK17</f>
        <v>1.9307303696831789E-3</v>
      </c>
      <c r="BN17" s="703">
        <f t="shared" ref="BN17:BT17" si="22">$BK17</f>
        <v>1.9307303696831789E-3</v>
      </c>
      <c r="BO17" s="703">
        <f t="shared" si="22"/>
        <v>1.9307303696831789E-3</v>
      </c>
      <c r="BP17" s="703">
        <f t="shared" si="22"/>
        <v>1.9307303696831789E-3</v>
      </c>
      <c r="BQ17" s="703">
        <f t="shared" si="22"/>
        <v>1.9307303696831789E-3</v>
      </c>
      <c r="BR17" s="703">
        <f t="shared" si="22"/>
        <v>1.9307303696831789E-3</v>
      </c>
      <c r="BS17" s="703">
        <f t="shared" si="22"/>
        <v>1.9307303696831789E-3</v>
      </c>
      <c r="BT17" s="703">
        <f t="shared" si="22"/>
        <v>1.9307303696831789E-3</v>
      </c>
      <c r="BU17" s="685">
        <f>'Raw emissions'!G13</f>
        <v>0</v>
      </c>
      <c r="BV17" s="703">
        <f>'Raw emissions'!H13</f>
        <v>0</v>
      </c>
      <c r="BW17" s="703">
        <f>(1-'Tier3Phase-in'!$J$20)*BV17</f>
        <v>0</v>
      </c>
      <c r="BX17" s="685">
        <f>'Raw emissions'!V13</f>
        <v>1.205097625675124</v>
      </c>
      <c r="BY17" s="703">
        <f>'Raw emissions'!W13</f>
        <v>1.0777138660055503</v>
      </c>
      <c r="BZ17" s="685">
        <f>'Raw emissions'!S13</f>
        <v>0.11210148600229124</v>
      </c>
      <c r="CA17" s="703">
        <f>'Raw emissions'!T13</f>
        <v>8.2964975059888355E-2</v>
      </c>
    </row>
    <row r="18" spans="1:79" x14ac:dyDescent="0.2">
      <c r="A18" s="690" t="str">
        <f>NewTech!B28</f>
        <v>TBCNGC</v>
      </c>
      <c r="B18" s="690" t="str">
        <f>NewTech!C28</f>
        <v>Bus, Conventional CNG</v>
      </c>
      <c r="C18" s="685">
        <f>'Raw emissions'!D13</f>
        <v>3.2238255647354079</v>
      </c>
      <c r="D18" s="702">
        <f>'Raw emissions'!E13</f>
        <v>3.0949325344600145</v>
      </c>
      <c r="E18" s="702">
        <f>$D18*(1-'Tier3Phase-in'!$J$12)</f>
        <v>3.0949325344600145</v>
      </c>
      <c r="F18" s="702">
        <f>$D18*(1-'Tier3Phase-in'!$K$12)</f>
        <v>2.680432641451977</v>
      </c>
      <c r="G18" s="702">
        <f>$D18*(1-'Tier3Phase-in'!$L$12)</f>
        <v>2.356369088736602</v>
      </c>
      <c r="H18" s="702">
        <f>$D18*(1-'Tier3Phase-in'!$M$12)</f>
        <v>2.2244827591431355</v>
      </c>
      <c r="I18" s="702">
        <f>$D18*(1-'Tier3Phase-in'!$N$12)</f>
        <v>2.1084227891008851</v>
      </c>
      <c r="J18" s="702">
        <f>$D18*(1-'Tier3Phase-in'!$O$12)</f>
        <v>1.9426228318976695</v>
      </c>
      <c r="K18" s="702">
        <f>$D18*(1-'Tier3Phase-in'!$P$12)</f>
        <v>1.9384778329675891</v>
      </c>
      <c r="L18" s="702">
        <f>$D18*(1-'Tier3Phase-in'!$Q$12)</f>
        <v>1.934332834037509</v>
      </c>
      <c r="M18" s="685">
        <f>'Raw emissions'!J13</f>
        <v>5.4982010757245549E-2</v>
      </c>
      <c r="N18" s="702">
        <f>'Raw emissions'!K13</f>
        <v>5.4394367168499935E-2</v>
      </c>
      <c r="O18" s="702">
        <f>$N18*(1-'Tier3Phase-in'!$J$12)</f>
        <v>5.4394367168499935E-2</v>
      </c>
      <c r="P18" s="702">
        <f>$N18*(1-'Tier3Phase-in'!$K$12)</f>
        <v>4.710940727986155E-2</v>
      </c>
      <c r="Q18" s="702">
        <f>$N18*(1-'Tier3Phase-in'!$L$12)</f>
        <v>4.1413893185107901E-2</v>
      </c>
      <c r="R18" s="702">
        <f>$N18*(1-'Tier3Phase-in'!$M$12)</f>
        <v>3.909595140235933E-2</v>
      </c>
      <c r="S18" s="702">
        <f>$N18*(1-'Tier3Phase-in'!$N$12)</f>
        <v>3.7056162633540585E-2</v>
      </c>
      <c r="T18" s="702">
        <f>$N18*(1-'Tier3Phase-in'!$O$12)</f>
        <v>3.4142178678085222E-2</v>
      </c>
      <c r="U18" s="702">
        <f>$N18*(1-'Tier3Phase-in'!$P$12)</f>
        <v>3.4069329079198837E-2</v>
      </c>
      <c r="V18" s="702">
        <f>$N18*(1-'Tier3Phase-in'!$Q$12)</f>
        <v>3.399647948031246E-2</v>
      </c>
      <c r="W18" s="685">
        <f>'Raw emissions'!M13</f>
        <v>1.8091525564614998E-2</v>
      </c>
      <c r="X18" s="702">
        <f>'Raw emissions'!N13</f>
        <v>1.750393564285627E-2</v>
      </c>
      <c r="Y18" s="702">
        <f>$X18*(1-'Tier3Phase-in'!$J$12)</f>
        <v>1.750393564285627E-2</v>
      </c>
      <c r="Z18" s="702">
        <f>$X18*(1-'Tier3Phase-in'!$K$12)</f>
        <v>1.5159658547830877E-2</v>
      </c>
      <c r="AA18" s="702">
        <f>$X18*(1-'Tier3Phase-in'!$L$12)</f>
        <v>1.3326860091720115E-2</v>
      </c>
      <c r="AB18" s="702">
        <f>$X18*(1-'Tier3Phase-in'!$M$12)</f>
        <v>1.2580953743302944E-2</v>
      </c>
      <c r="AC18" s="702">
        <f>$X18*(1-'Tier3Phase-in'!$N$12)</f>
        <v>1.1924556156695834E-2</v>
      </c>
      <c r="AD18" s="702">
        <f>$X18*(1-'Tier3Phase-in'!$O$12)</f>
        <v>1.0986845318685674E-2</v>
      </c>
      <c r="AE18" s="702">
        <f>$X18*(1-'Tier3Phase-in'!$P$12)</f>
        <v>1.0963402547735422E-2</v>
      </c>
      <c r="AF18" s="702">
        <f>$X18*(1-'Tier3Phase-in'!$Q$12)</f>
        <v>1.0939959776785168E-2</v>
      </c>
      <c r="AG18" s="685">
        <f>'Raw emissions'!P13</f>
        <v>14.76634539150545</v>
      </c>
      <c r="AH18" s="702">
        <f>'Raw emissions'!Q13</f>
        <v>13.981182077926817</v>
      </c>
      <c r="AI18" s="702">
        <f>$AH18*(1-'Tier3Phase-in'!$J$12)</f>
        <v>13.981182077926817</v>
      </c>
      <c r="AJ18" s="702">
        <f>$AH18*(1-'Tier3Phase-in'!$K$12)</f>
        <v>12.108702335347333</v>
      </c>
      <c r="AK18" s="702">
        <f>$AH18*(1-'Tier3Phase-in'!$L$12)</f>
        <v>10.644763627512463</v>
      </c>
      <c r="AL18" s="702">
        <f>$AH18*(1-'Tier3Phase-in'!$M$12)</f>
        <v>10.0489746185099</v>
      </c>
      <c r="AM18" s="702">
        <f>$AH18*(1-'Tier3Phase-in'!$N$12)</f>
        <v>9.5246802905876446</v>
      </c>
      <c r="AN18" s="702">
        <f>$AH18*(1-'Tier3Phase-in'!$O$12)</f>
        <v>8.7756883935558481</v>
      </c>
      <c r="AO18" s="702">
        <f>$AH18*(1-'Tier3Phase-in'!$P$12)</f>
        <v>8.7569635961300545</v>
      </c>
      <c r="AP18" s="702">
        <f>$AH18*(1-'Tier3Phase-in'!$Q$12)</f>
        <v>8.7382387987042609</v>
      </c>
      <c r="AQ18" s="685">
        <f>'Raw emissions'!Y13</f>
        <v>0</v>
      </c>
      <c r="AR18" s="702">
        <f>'Raw emissions'!Z13</f>
        <v>0</v>
      </c>
      <c r="AS18" s="702">
        <f>$AR18*(1-'Tier3Phase-in'!$J$12)</f>
        <v>0</v>
      </c>
      <c r="AT18" s="702">
        <f>$AR18*(1-'Tier3Phase-in'!$K$12)</f>
        <v>0</v>
      </c>
      <c r="AU18" s="702">
        <f>$AR18*(1-'Tier3Phase-in'!$L$12)</f>
        <v>0</v>
      </c>
      <c r="AV18" s="702">
        <f>$AR18*(1-'Tier3Phase-in'!$M$12)</f>
        <v>0</v>
      </c>
      <c r="AW18" s="702">
        <f>$AR18*(1-'Tier3Phase-in'!$N$12)</f>
        <v>0</v>
      </c>
      <c r="AX18" s="702">
        <f>$AR18*(1-'Tier3Phase-in'!$O$12)</f>
        <v>0</v>
      </c>
      <c r="AY18" s="702">
        <f>$AR18*(1-'Tier3Phase-in'!$P$12)</f>
        <v>0</v>
      </c>
      <c r="AZ18" s="702">
        <f>$AR18*(1-'Tier3Phase-in'!$Q$12)</f>
        <v>0</v>
      </c>
      <c r="BA18" s="685">
        <f>'Raw emissions'!AK13</f>
        <v>6.0163859796712009E-4</v>
      </c>
      <c r="BB18" s="703">
        <f>'Raw emissions'!AL13</f>
        <v>4.923342001031235E-4</v>
      </c>
      <c r="BC18" s="703">
        <f>$BB18*(1-'Tier3Phase-in'!$J$12)</f>
        <v>4.923342001031235E-4</v>
      </c>
      <c r="BD18" s="703">
        <f>$BB18*(1-'Tier3Phase-in'!$K$12)</f>
        <v>4.2639658401788375E-4</v>
      </c>
      <c r="BE18" s="703">
        <f>$BB18*(1-'Tier3Phase-in'!$L$12)</f>
        <v>3.7484535689669629E-4</v>
      </c>
      <c r="BF18" s="703">
        <f>$BB18*(1-'Tier3Phase-in'!$M$12)</f>
        <v>3.5386520632412003E-4</v>
      </c>
      <c r="BG18" s="703">
        <f>$BB18*(1-'Tier3Phase-in'!$N$12)</f>
        <v>3.354026738202529E-4</v>
      </c>
      <c r="BH18" s="703">
        <f>$BB18*(1-'Tier3Phase-in'!$O$12)</f>
        <v>3.0902762738615694E-4</v>
      </c>
      <c r="BI18" s="703">
        <f>$BB18*(1-'Tier3Phase-in'!$P$12)</f>
        <v>3.0836825122530456E-4</v>
      </c>
      <c r="BJ18" s="703">
        <f>$BB18*(1-'Tier3Phase-in'!$Q$12)</f>
        <v>3.0770887506445218E-4</v>
      </c>
      <c r="BK18" s="685">
        <f>'Raw emissions'!AG13</f>
        <v>1.9307303696831789E-3</v>
      </c>
      <c r="BL18" s="703">
        <f>'Raw emissions'!AI13</f>
        <v>1.7503935642856272E-3</v>
      </c>
      <c r="BM18" s="703">
        <f>$BL18*(1-'Tier3Phase-in'!$J$12)</f>
        <v>1.7503935642856272E-3</v>
      </c>
      <c r="BN18" s="703">
        <f>$BL18*(1-'Tier3Phase-in'!$K$12)</f>
        <v>1.5159658547830878E-3</v>
      </c>
      <c r="BO18" s="703">
        <f>$BL18*(1-'Tier3Phase-in'!$L$12)</f>
        <v>1.3326860091720115E-3</v>
      </c>
      <c r="BP18" s="703">
        <f>$BL18*(1-'Tier3Phase-in'!$M$12)</f>
        <v>1.2580953743302945E-3</v>
      </c>
      <c r="BQ18" s="703">
        <f>$BL18*(1-'Tier3Phase-in'!$N$12)</f>
        <v>1.1924556156695835E-3</v>
      </c>
      <c r="BR18" s="703">
        <f>$BL18*(1-'Tier3Phase-in'!$O$12)</f>
        <v>1.0986845318685676E-3</v>
      </c>
      <c r="BS18" s="703">
        <f>$BL18*(1-'Tier3Phase-in'!$P$12)</f>
        <v>1.0963402547735422E-3</v>
      </c>
      <c r="BT18" s="703">
        <f>$BL18*(1-'Tier3Phase-in'!$Q$12)</f>
        <v>1.0939959776785171E-3</v>
      </c>
      <c r="BU18" s="685">
        <f>'Raw emissions'!G13</f>
        <v>0</v>
      </c>
      <c r="BV18" s="703">
        <f>'Raw emissions'!H13</f>
        <v>0</v>
      </c>
      <c r="BW18" s="703">
        <f>(1-'Tier3Phase-in'!$J$20)*BV18</f>
        <v>0</v>
      </c>
      <c r="BX18" s="685">
        <f>'Raw emissions'!V13</f>
        <v>1.205097625675124</v>
      </c>
      <c r="BY18" s="703">
        <f>'Raw emissions'!W13</f>
        <v>1.0777138660055503</v>
      </c>
      <c r="BZ18" s="685">
        <f>'Raw emissions'!S13</f>
        <v>0.11210148600229124</v>
      </c>
      <c r="CA18" s="703">
        <f>'Raw emissions'!T13</f>
        <v>8.2964975059888355E-2</v>
      </c>
    </row>
    <row r="19" spans="1:79" x14ac:dyDescent="0.2">
      <c r="A19" s="690" t="str">
        <f>NewTech!B29</f>
        <v>TBCNGIM</v>
      </c>
      <c r="B19" s="690" t="str">
        <f>NewTech!C29</f>
        <v>Bus, Improved CNG</v>
      </c>
      <c r="C19" s="685">
        <f>C18</f>
        <v>3.2238255647354079</v>
      </c>
      <c r="D19" s="702">
        <f>D18</f>
        <v>3.0949325344600145</v>
      </c>
      <c r="E19" s="702">
        <f>$D19*(1-'Tier3Phase-in'!$J$12)</f>
        <v>3.0949325344600145</v>
      </c>
      <c r="F19" s="702">
        <f>$D19*(1-'Tier3Phase-in'!$K$12)</f>
        <v>2.680432641451977</v>
      </c>
      <c r="G19" s="702">
        <f>$D19*(1-'Tier3Phase-in'!$L$12)</f>
        <v>2.356369088736602</v>
      </c>
      <c r="H19" s="702">
        <f>$D19*(1-'Tier3Phase-in'!$M$12)</f>
        <v>2.2244827591431355</v>
      </c>
      <c r="I19" s="702">
        <f>$D19*(1-'Tier3Phase-in'!$N$12)</f>
        <v>2.1084227891008851</v>
      </c>
      <c r="J19" s="702">
        <f>$D19*(1-'Tier3Phase-in'!$O$12)</f>
        <v>1.9426228318976695</v>
      </c>
      <c r="K19" s="702">
        <f>$D19*(1-'Tier3Phase-in'!$P$12)</f>
        <v>1.9384778329675891</v>
      </c>
      <c r="L19" s="702">
        <f>$D19*(1-'Tier3Phase-in'!$Q$12)</f>
        <v>1.934332834037509</v>
      </c>
      <c r="M19" s="685">
        <f>M18</f>
        <v>5.4982010757245549E-2</v>
      </c>
      <c r="N19" s="702">
        <f>N18</f>
        <v>5.4394367168499935E-2</v>
      </c>
      <c r="O19" s="702">
        <f>$N19*(1-'Tier3Phase-in'!$J$12)</f>
        <v>5.4394367168499935E-2</v>
      </c>
      <c r="P19" s="702">
        <f>$N19*(1-'Tier3Phase-in'!$K$12)</f>
        <v>4.710940727986155E-2</v>
      </c>
      <c r="Q19" s="702">
        <f>$N19*(1-'Tier3Phase-in'!$L$12)</f>
        <v>4.1413893185107901E-2</v>
      </c>
      <c r="R19" s="702">
        <f>$N19*(1-'Tier3Phase-in'!$M$12)</f>
        <v>3.909595140235933E-2</v>
      </c>
      <c r="S19" s="702">
        <f>$N19*(1-'Tier3Phase-in'!$N$12)</f>
        <v>3.7056162633540585E-2</v>
      </c>
      <c r="T19" s="702">
        <f>$N19*(1-'Tier3Phase-in'!$O$12)</f>
        <v>3.4142178678085222E-2</v>
      </c>
      <c r="U19" s="702">
        <f>$N19*(1-'Tier3Phase-in'!$P$12)</f>
        <v>3.4069329079198837E-2</v>
      </c>
      <c r="V19" s="702">
        <f>$N19*(1-'Tier3Phase-in'!$Q$12)</f>
        <v>3.399647948031246E-2</v>
      </c>
      <c r="W19" s="685">
        <f>W18</f>
        <v>1.8091525564614998E-2</v>
      </c>
      <c r="X19" s="702">
        <f>X18</f>
        <v>1.750393564285627E-2</v>
      </c>
      <c r="Y19" s="702">
        <f>$X19*(1-'Tier3Phase-in'!$J$12)</f>
        <v>1.750393564285627E-2</v>
      </c>
      <c r="Z19" s="702">
        <f>$X19*(1-'Tier3Phase-in'!$K$12)</f>
        <v>1.5159658547830877E-2</v>
      </c>
      <c r="AA19" s="702">
        <f>$X19*(1-'Tier3Phase-in'!$L$12)</f>
        <v>1.3326860091720115E-2</v>
      </c>
      <c r="AB19" s="702">
        <f>$X19*(1-'Tier3Phase-in'!$M$12)</f>
        <v>1.2580953743302944E-2</v>
      </c>
      <c r="AC19" s="702">
        <f>$X19*(1-'Tier3Phase-in'!$N$12)</f>
        <v>1.1924556156695834E-2</v>
      </c>
      <c r="AD19" s="702">
        <f>$X19*(1-'Tier3Phase-in'!$O$12)</f>
        <v>1.0986845318685674E-2</v>
      </c>
      <c r="AE19" s="702">
        <f>$X19*(1-'Tier3Phase-in'!$P$12)</f>
        <v>1.0963402547735422E-2</v>
      </c>
      <c r="AF19" s="702">
        <f>$X19*(1-'Tier3Phase-in'!$Q$12)</f>
        <v>1.0939959776785168E-2</v>
      </c>
      <c r="AG19" s="685">
        <f>AG18</f>
        <v>14.76634539150545</v>
      </c>
      <c r="AH19" s="702">
        <f>AH18</f>
        <v>13.981182077926817</v>
      </c>
      <c r="AI19" s="702">
        <f>$AH19*(1-'Tier3Phase-in'!$J$12)</f>
        <v>13.981182077926817</v>
      </c>
      <c r="AJ19" s="702">
        <f>$AH19*(1-'Tier3Phase-in'!$K$12)</f>
        <v>12.108702335347333</v>
      </c>
      <c r="AK19" s="702">
        <f>$AH19*(1-'Tier3Phase-in'!$L$12)</f>
        <v>10.644763627512463</v>
      </c>
      <c r="AL19" s="702">
        <f>$AH19*(1-'Tier3Phase-in'!$M$12)</f>
        <v>10.0489746185099</v>
      </c>
      <c r="AM19" s="702">
        <f>$AH19*(1-'Tier3Phase-in'!$N$12)</f>
        <v>9.5246802905876446</v>
      </c>
      <c r="AN19" s="702">
        <f>$AH19*(1-'Tier3Phase-in'!$O$12)</f>
        <v>8.7756883935558481</v>
      </c>
      <c r="AO19" s="702">
        <f>$AH19*(1-'Tier3Phase-in'!$P$12)</f>
        <v>8.7569635961300545</v>
      </c>
      <c r="AP19" s="702">
        <f>$AH19*(1-'Tier3Phase-in'!$Q$12)</f>
        <v>8.7382387987042609</v>
      </c>
      <c r="AQ19" s="685">
        <f>AQ18</f>
        <v>0</v>
      </c>
      <c r="AR19" s="702">
        <f>AR18</f>
        <v>0</v>
      </c>
      <c r="AS19" s="702">
        <f>$AR19*(1-'Tier3Phase-in'!$J$12)</f>
        <v>0</v>
      </c>
      <c r="AT19" s="702">
        <f>$AR19*(1-'Tier3Phase-in'!$K$12)</f>
        <v>0</v>
      </c>
      <c r="AU19" s="702">
        <f>$AR19*(1-'Tier3Phase-in'!$L$12)</f>
        <v>0</v>
      </c>
      <c r="AV19" s="702">
        <f>$AR19*(1-'Tier3Phase-in'!$M$12)</f>
        <v>0</v>
      </c>
      <c r="AW19" s="702">
        <f>$AR19*(1-'Tier3Phase-in'!$N$12)</f>
        <v>0</v>
      </c>
      <c r="AX19" s="702">
        <f>$AR19*(1-'Tier3Phase-in'!$O$12)</f>
        <v>0</v>
      </c>
      <c r="AY19" s="702">
        <f>$AR19*(1-'Tier3Phase-in'!$P$12)</f>
        <v>0</v>
      </c>
      <c r="AZ19" s="702">
        <f>$AR19*(1-'Tier3Phase-in'!$Q$12)</f>
        <v>0</v>
      </c>
      <c r="BA19" s="685">
        <f>BA18</f>
        <v>6.0163859796712009E-4</v>
      </c>
      <c r="BB19" s="703">
        <f>BB18</f>
        <v>4.923342001031235E-4</v>
      </c>
      <c r="BC19" s="703">
        <f>$BB19*(1-'Tier3Phase-in'!$J$12)</f>
        <v>4.923342001031235E-4</v>
      </c>
      <c r="BD19" s="703">
        <f>$BB19*(1-'Tier3Phase-in'!$K$12)</f>
        <v>4.2639658401788375E-4</v>
      </c>
      <c r="BE19" s="703">
        <f>$BB19*(1-'Tier3Phase-in'!$L$12)</f>
        <v>3.7484535689669629E-4</v>
      </c>
      <c r="BF19" s="703">
        <f>$BB19*(1-'Tier3Phase-in'!$M$12)</f>
        <v>3.5386520632412003E-4</v>
      </c>
      <c r="BG19" s="703">
        <f>$BB19*(1-'Tier3Phase-in'!$N$12)</f>
        <v>3.354026738202529E-4</v>
      </c>
      <c r="BH19" s="703">
        <f>$BB19*(1-'Tier3Phase-in'!$O$12)</f>
        <v>3.0902762738615694E-4</v>
      </c>
      <c r="BI19" s="703">
        <f>$BB19*(1-'Tier3Phase-in'!$P$12)</f>
        <v>3.0836825122530456E-4</v>
      </c>
      <c r="BJ19" s="703">
        <f>$BB19*(1-'Tier3Phase-in'!$Q$12)</f>
        <v>3.0770887506445218E-4</v>
      </c>
      <c r="BK19" s="685">
        <f>BK18</f>
        <v>1.9307303696831789E-3</v>
      </c>
      <c r="BL19" s="703">
        <f>BL18</f>
        <v>1.7503935642856272E-3</v>
      </c>
      <c r="BM19" s="703">
        <f>$BL19*(1-'Tier3Phase-in'!$J$12)</f>
        <v>1.7503935642856272E-3</v>
      </c>
      <c r="BN19" s="703">
        <f>$BL19*(1-'Tier3Phase-in'!$K$12)</f>
        <v>1.5159658547830878E-3</v>
      </c>
      <c r="BO19" s="703">
        <f>$BL19*(1-'Tier3Phase-in'!$L$12)</f>
        <v>1.3326860091720115E-3</v>
      </c>
      <c r="BP19" s="703">
        <f>$BL19*(1-'Tier3Phase-in'!$M$12)</f>
        <v>1.2580953743302945E-3</v>
      </c>
      <c r="BQ19" s="703">
        <f>$BL19*(1-'Tier3Phase-in'!$N$12)</f>
        <v>1.1924556156695835E-3</v>
      </c>
      <c r="BR19" s="703">
        <f>$BL19*(1-'Tier3Phase-in'!$O$12)</f>
        <v>1.0986845318685676E-3</v>
      </c>
      <c r="BS19" s="703">
        <f>$BL19*(1-'Tier3Phase-in'!$P$12)</f>
        <v>1.0963402547735422E-3</v>
      </c>
      <c r="BT19" s="703">
        <f>$BL19*(1-'Tier3Phase-in'!$Q$12)</f>
        <v>1.0939959776785171E-3</v>
      </c>
      <c r="BU19" s="685">
        <f>BU18</f>
        <v>0</v>
      </c>
      <c r="BV19" s="703">
        <f>BV18</f>
        <v>0</v>
      </c>
      <c r="BW19" s="703">
        <f>(1-'Tier3Phase-in'!$J$20)*BV19</f>
        <v>0</v>
      </c>
      <c r="BX19" s="685">
        <f>BX18</f>
        <v>1.205097625675124</v>
      </c>
      <c r="BY19" s="703">
        <f>BY18</f>
        <v>1.0777138660055503</v>
      </c>
      <c r="BZ19" s="685">
        <f>BZ18</f>
        <v>0.11210148600229124</v>
      </c>
      <c r="CA19" s="703">
        <f>CA18</f>
        <v>8.2964975059888355E-2</v>
      </c>
    </row>
    <row r="20" spans="1:79" x14ac:dyDescent="0.2">
      <c r="A20" s="690" t="str">
        <f>NewTech!B30</f>
        <v>TBCNGADV</v>
      </c>
      <c r="B20" s="690" t="str">
        <f>NewTech!C30</f>
        <v>Bus, Advanced Tech CNG</v>
      </c>
      <c r="C20" s="685">
        <f>'Raw emissions'!D13</f>
        <v>3.2238255647354079</v>
      </c>
      <c r="D20" s="702">
        <f>'Raw emissions'!E13</f>
        <v>3.0949325344600145</v>
      </c>
      <c r="E20" s="702">
        <f>$D20*(1-'Tier3Phase-in'!$J$12)</f>
        <v>3.0949325344600145</v>
      </c>
      <c r="F20" s="702">
        <f>$D20*(1-'Tier3Phase-in'!$K$12)</f>
        <v>2.680432641451977</v>
      </c>
      <c r="G20" s="702">
        <f>$D20*(1-'Tier3Phase-in'!$L$12)</f>
        <v>2.356369088736602</v>
      </c>
      <c r="H20" s="702">
        <f>$D20*(1-'Tier3Phase-in'!$M$12)</f>
        <v>2.2244827591431355</v>
      </c>
      <c r="I20" s="702">
        <f>$D20*(1-'Tier3Phase-in'!$N$12)</f>
        <v>2.1084227891008851</v>
      </c>
      <c r="J20" s="702">
        <f>$D20*(1-'Tier3Phase-in'!$O$12)</f>
        <v>1.9426228318976695</v>
      </c>
      <c r="K20" s="702">
        <f>$D20*(1-'Tier3Phase-in'!$P$12)</f>
        <v>1.9384778329675891</v>
      </c>
      <c r="L20" s="702">
        <f>$D20*(1-'Tier3Phase-in'!$Q$12)</f>
        <v>1.934332834037509</v>
      </c>
      <c r="M20" s="685">
        <f>'Raw emissions'!J13</f>
        <v>5.4982010757245549E-2</v>
      </c>
      <c r="N20" s="702">
        <f>'Raw emissions'!K13</f>
        <v>5.4394367168499935E-2</v>
      </c>
      <c r="O20" s="702">
        <f>$N20*(1-'Tier3Phase-in'!$J$12)</f>
        <v>5.4394367168499935E-2</v>
      </c>
      <c r="P20" s="702">
        <f>$N20*(1-'Tier3Phase-in'!$K$12)</f>
        <v>4.710940727986155E-2</v>
      </c>
      <c r="Q20" s="702">
        <f>$N20*(1-'Tier3Phase-in'!$L$12)</f>
        <v>4.1413893185107901E-2</v>
      </c>
      <c r="R20" s="702">
        <f>$N20*(1-'Tier3Phase-in'!$M$12)</f>
        <v>3.909595140235933E-2</v>
      </c>
      <c r="S20" s="702">
        <f>$N20*(1-'Tier3Phase-in'!$N$12)</f>
        <v>3.7056162633540585E-2</v>
      </c>
      <c r="T20" s="702">
        <f>$N20*(1-'Tier3Phase-in'!$O$12)</f>
        <v>3.4142178678085222E-2</v>
      </c>
      <c r="U20" s="702">
        <f>$N20*(1-'Tier3Phase-in'!$P$12)</f>
        <v>3.4069329079198837E-2</v>
      </c>
      <c r="V20" s="702">
        <f>$N20*(1-'Tier3Phase-in'!$Q$12)</f>
        <v>3.399647948031246E-2</v>
      </c>
      <c r="W20" s="685">
        <f>'Raw emissions'!M13</f>
        <v>1.8091525564614998E-2</v>
      </c>
      <c r="X20" s="702">
        <f>'Raw emissions'!N13</f>
        <v>1.750393564285627E-2</v>
      </c>
      <c r="Y20" s="702">
        <f>$X20*(1-'Tier3Phase-in'!$J$12)</f>
        <v>1.750393564285627E-2</v>
      </c>
      <c r="Z20" s="702">
        <f>$X20*(1-'Tier3Phase-in'!$K$12)</f>
        <v>1.5159658547830877E-2</v>
      </c>
      <c r="AA20" s="702">
        <f>$X20*(1-'Tier3Phase-in'!$L$12)</f>
        <v>1.3326860091720115E-2</v>
      </c>
      <c r="AB20" s="702">
        <f>$X20*(1-'Tier3Phase-in'!$M$12)</f>
        <v>1.2580953743302944E-2</v>
      </c>
      <c r="AC20" s="702">
        <f>$X20*(1-'Tier3Phase-in'!$N$12)</f>
        <v>1.1924556156695834E-2</v>
      </c>
      <c r="AD20" s="702">
        <f>$X20*(1-'Tier3Phase-in'!$O$12)</f>
        <v>1.0986845318685674E-2</v>
      </c>
      <c r="AE20" s="702">
        <f>$X20*(1-'Tier3Phase-in'!$P$12)</f>
        <v>1.0963402547735422E-2</v>
      </c>
      <c r="AF20" s="702">
        <f>$X20*(1-'Tier3Phase-in'!$Q$12)</f>
        <v>1.0939959776785168E-2</v>
      </c>
      <c r="AG20" s="685">
        <f>'Raw emissions'!P13</f>
        <v>14.76634539150545</v>
      </c>
      <c r="AH20" s="702">
        <f>'Raw emissions'!Q13</f>
        <v>13.981182077926817</v>
      </c>
      <c r="AI20" s="702">
        <f>$AH20*(1-'Tier3Phase-in'!$J$12)</f>
        <v>13.981182077926817</v>
      </c>
      <c r="AJ20" s="702">
        <f>$AH20*(1-'Tier3Phase-in'!$K$12)</f>
        <v>12.108702335347333</v>
      </c>
      <c r="AK20" s="702">
        <f>$AH20*(1-'Tier3Phase-in'!$L$12)</f>
        <v>10.644763627512463</v>
      </c>
      <c r="AL20" s="702">
        <f>$AH20*(1-'Tier3Phase-in'!$M$12)</f>
        <v>10.0489746185099</v>
      </c>
      <c r="AM20" s="702">
        <f>$AH20*(1-'Tier3Phase-in'!$N$12)</f>
        <v>9.5246802905876446</v>
      </c>
      <c r="AN20" s="702">
        <f>$AH20*(1-'Tier3Phase-in'!$O$12)</f>
        <v>8.7756883935558481</v>
      </c>
      <c r="AO20" s="702">
        <f>$AH20*(1-'Tier3Phase-in'!$P$12)</f>
        <v>8.7569635961300545</v>
      </c>
      <c r="AP20" s="702">
        <f>$AH20*(1-'Tier3Phase-in'!$Q$12)</f>
        <v>8.7382387987042609</v>
      </c>
      <c r="AQ20" s="685">
        <f>'Raw emissions'!Y13</f>
        <v>0</v>
      </c>
      <c r="AR20" s="702">
        <f>'Raw emissions'!Z13</f>
        <v>0</v>
      </c>
      <c r="AS20" s="702">
        <f>$AR20*(1-'Tier3Phase-in'!$J$12)</f>
        <v>0</v>
      </c>
      <c r="AT20" s="702">
        <f>$AR20*(1-'Tier3Phase-in'!$K$12)</f>
        <v>0</v>
      </c>
      <c r="AU20" s="702">
        <f>$AR20*(1-'Tier3Phase-in'!$L$12)</f>
        <v>0</v>
      </c>
      <c r="AV20" s="702">
        <f>$AR20*(1-'Tier3Phase-in'!$M$12)</f>
        <v>0</v>
      </c>
      <c r="AW20" s="702">
        <f>$AR20*(1-'Tier3Phase-in'!$N$12)</f>
        <v>0</v>
      </c>
      <c r="AX20" s="702">
        <f>$AR20*(1-'Tier3Phase-in'!$O$12)</f>
        <v>0</v>
      </c>
      <c r="AY20" s="702">
        <f>$AR20*(1-'Tier3Phase-in'!$P$12)</f>
        <v>0</v>
      </c>
      <c r="AZ20" s="702">
        <f>$AR20*(1-'Tier3Phase-in'!$Q$12)</f>
        <v>0</v>
      </c>
      <c r="BA20" s="685">
        <f>'Raw emissions'!AK13</f>
        <v>6.0163859796712009E-4</v>
      </c>
      <c r="BB20" s="703">
        <f>'Raw emissions'!AL13</f>
        <v>4.923342001031235E-4</v>
      </c>
      <c r="BC20" s="703">
        <f>$BB20*(1-'Tier3Phase-in'!$J$12)</f>
        <v>4.923342001031235E-4</v>
      </c>
      <c r="BD20" s="703">
        <f>$BB20*(1-'Tier3Phase-in'!$K$12)</f>
        <v>4.2639658401788375E-4</v>
      </c>
      <c r="BE20" s="703">
        <f>$BB20*(1-'Tier3Phase-in'!$L$12)</f>
        <v>3.7484535689669629E-4</v>
      </c>
      <c r="BF20" s="703">
        <f>$BB20*(1-'Tier3Phase-in'!$M$12)</f>
        <v>3.5386520632412003E-4</v>
      </c>
      <c r="BG20" s="703">
        <f>$BB20*(1-'Tier3Phase-in'!$N$12)</f>
        <v>3.354026738202529E-4</v>
      </c>
      <c r="BH20" s="703">
        <f>$BB20*(1-'Tier3Phase-in'!$O$12)</f>
        <v>3.0902762738615694E-4</v>
      </c>
      <c r="BI20" s="703">
        <f>$BB20*(1-'Tier3Phase-in'!$P$12)</f>
        <v>3.0836825122530456E-4</v>
      </c>
      <c r="BJ20" s="703">
        <f>$BB20*(1-'Tier3Phase-in'!$Q$12)</f>
        <v>3.0770887506445218E-4</v>
      </c>
      <c r="BK20" s="685">
        <f>'Raw emissions'!AG13</f>
        <v>1.9307303696831789E-3</v>
      </c>
      <c r="BL20" s="703">
        <f>'Raw emissions'!AI13</f>
        <v>1.7503935642856272E-3</v>
      </c>
      <c r="BM20" s="703">
        <f>$BL20*(1-'Tier3Phase-in'!$J$12)</f>
        <v>1.7503935642856272E-3</v>
      </c>
      <c r="BN20" s="703">
        <f>$BL20*(1-'Tier3Phase-in'!$K$12)</f>
        <v>1.5159658547830878E-3</v>
      </c>
      <c r="BO20" s="703">
        <f>$BL20*(1-'Tier3Phase-in'!$L$12)</f>
        <v>1.3326860091720115E-3</v>
      </c>
      <c r="BP20" s="703">
        <f>$BL20*(1-'Tier3Phase-in'!$M$12)</f>
        <v>1.2580953743302945E-3</v>
      </c>
      <c r="BQ20" s="703">
        <f>$BL20*(1-'Tier3Phase-in'!$N$12)</f>
        <v>1.1924556156695835E-3</v>
      </c>
      <c r="BR20" s="703">
        <f>$BL20*(1-'Tier3Phase-in'!$O$12)</f>
        <v>1.0986845318685676E-3</v>
      </c>
      <c r="BS20" s="703">
        <f>$BL20*(1-'Tier3Phase-in'!$P$12)</f>
        <v>1.0963402547735422E-3</v>
      </c>
      <c r="BT20" s="703">
        <f>$BL20*(1-'Tier3Phase-in'!$Q$12)</f>
        <v>1.0939959776785171E-3</v>
      </c>
      <c r="BU20" s="685">
        <f>'Raw emissions'!G13</f>
        <v>0</v>
      </c>
      <c r="BV20" s="703">
        <f>'Raw emissions'!H13</f>
        <v>0</v>
      </c>
      <c r="BW20" s="703">
        <f>(1-'Tier3Phase-in'!$J$20)*BV20</f>
        <v>0</v>
      </c>
      <c r="BX20" s="685">
        <f>'Raw emissions'!V13</f>
        <v>1.205097625675124</v>
      </c>
      <c r="BY20" s="703">
        <f>'Raw emissions'!W13</f>
        <v>1.0777138660055503</v>
      </c>
      <c r="BZ20" s="685">
        <f>'Raw emissions'!S13</f>
        <v>0.11210148600229124</v>
      </c>
      <c r="CA20" s="703">
        <f>'Raw emissions'!T13</f>
        <v>8.2964975059888355E-2</v>
      </c>
    </row>
    <row r="21" spans="1:79" x14ac:dyDescent="0.2">
      <c r="A21" s="690" t="str">
        <f>NewTech!B31</f>
        <v>TBCNGAH</v>
      </c>
      <c r="B21" s="690" t="str">
        <f>NewTech!C31</f>
        <v>Bus, Advanced Hybird CNG</v>
      </c>
      <c r="C21" s="685">
        <f>C20</f>
        <v>3.2238255647354079</v>
      </c>
      <c r="D21" s="702">
        <f t="shared" ref="D21:BO21" si="23">D20</f>
        <v>3.0949325344600145</v>
      </c>
      <c r="E21" s="702">
        <f t="shared" si="23"/>
        <v>3.0949325344600145</v>
      </c>
      <c r="F21" s="702">
        <f t="shared" si="23"/>
        <v>2.680432641451977</v>
      </c>
      <c r="G21" s="702">
        <f t="shared" si="23"/>
        <v>2.356369088736602</v>
      </c>
      <c r="H21" s="702">
        <f t="shared" si="23"/>
        <v>2.2244827591431355</v>
      </c>
      <c r="I21" s="702">
        <f t="shared" si="23"/>
        <v>2.1084227891008851</v>
      </c>
      <c r="J21" s="702">
        <f t="shared" si="23"/>
        <v>1.9426228318976695</v>
      </c>
      <c r="K21" s="702">
        <f t="shared" si="23"/>
        <v>1.9384778329675891</v>
      </c>
      <c r="L21" s="702">
        <f t="shared" si="23"/>
        <v>1.934332834037509</v>
      </c>
      <c r="M21" s="685">
        <f t="shared" si="23"/>
        <v>5.4982010757245549E-2</v>
      </c>
      <c r="N21" s="702">
        <f t="shared" si="23"/>
        <v>5.4394367168499935E-2</v>
      </c>
      <c r="O21" s="702">
        <f t="shared" si="23"/>
        <v>5.4394367168499935E-2</v>
      </c>
      <c r="P21" s="702">
        <f t="shared" si="23"/>
        <v>4.710940727986155E-2</v>
      </c>
      <c r="Q21" s="702">
        <f t="shared" si="23"/>
        <v>4.1413893185107901E-2</v>
      </c>
      <c r="R21" s="702">
        <f t="shared" si="23"/>
        <v>3.909595140235933E-2</v>
      </c>
      <c r="S21" s="702">
        <f t="shared" si="23"/>
        <v>3.7056162633540585E-2</v>
      </c>
      <c r="T21" s="702">
        <f t="shared" si="23"/>
        <v>3.4142178678085222E-2</v>
      </c>
      <c r="U21" s="702">
        <f t="shared" si="23"/>
        <v>3.4069329079198837E-2</v>
      </c>
      <c r="V21" s="702">
        <f t="shared" si="23"/>
        <v>3.399647948031246E-2</v>
      </c>
      <c r="W21" s="685">
        <f t="shared" si="23"/>
        <v>1.8091525564614998E-2</v>
      </c>
      <c r="X21" s="702">
        <f t="shared" si="23"/>
        <v>1.750393564285627E-2</v>
      </c>
      <c r="Y21" s="702">
        <f t="shared" si="23"/>
        <v>1.750393564285627E-2</v>
      </c>
      <c r="Z21" s="702">
        <f t="shared" si="23"/>
        <v>1.5159658547830877E-2</v>
      </c>
      <c r="AA21" s="702">
        <f t="shared" si="23"/>
        <v>1.3326860091720115E-2</v>
      </c>
      <c r="AB21" s="702">
        <f t="shared" si="23"/>
        <v>1.2580953743302944E-2</v>
      </c>
      <c r="AC21" s="702">
        <f t="shared" si="23"/>
        <v>1.1924556156695834E-2</v>
      </c>
      <c r="AD21" s="702">
        <f t="shared" si="23"/>
        <v>1.0986845318685674E-2</v>
      </c>
      <c r="AE21" s="702">
        <f t="shared" si="23"/>
        <v>1.0963402547735422E-2</v>
      </c>
      <c r="AF21" s="702">
        <f t="shared" si="23"/>
        <v>1.0939959776785168E-2</v>
      </c>
      <c r="AG21" s="685">
        <f t="shared" si="23"/>
        <v>14.76634539150545</v>
      </c>
      <c r="AH21" s="702">
        <f t="shared" si="23"/>
        <v>13.981182077926817</v>
      </c>
      <c r="AI21" s="702">
        <f t="shared" si="23"/>
        <v>13.981182077926817</v>
      </c>
      <c r="AJ21" s="702">
        <f t="shared" si="23"/>
        <v>12.108702335347333</v>
      </c>
      <c r="AK21" s="702">
        <f t="shared" si="23"/>
        <v>10.644763627512463</v>
      </c>
      <c r="AL21" s="702">
        <f t="shared" si="23"/>
        <v>10.0489746185099</v>
      </c>
      <c r="AM21" s="702">
        <f t="shared" si="23"/>
        <v>9.5246802905876446</v>
      </c>
      <c r="AN21" s="702">
        <f t="shared" si="23"/>
        <v>8.7756883935558481</v>
      </c>
      <c r="AO21" s="702">
        <f t="shared" si="23"/>
        <v>8.7569635961300545</v>
      </c>
      <c r="AP21" s="702">
        <f t="shared" si="23"/>
        <v>8.7382387987042609</v>
      </c>
      <c r="AQ21" s="685">
        <f t="shared" si="23"/>
        <v>0</v>
      </c>
      <c r="AR21" s="702">
        <f t="shared" si="23"/>
        <v>0</v>
      </c>
      <c r="AS21" s="702">
        <f t="shared" si="23"/>
        <v>0</v>
      </c>
      <c r="AT21" s="702">
        <f t="shared" si="23"/>
        <v>0</v>
      </c>
      <c r="AU21" s="702">
        <f t="shared" si="23"/>
        <v>0</v>
      </c>
      <c r="AV21" s="702">
        <f t="shared" si="23"/>
        <v>0</v>
      </c>
      <c r="AW21" s="702">
        <f t="shared" si="23"/>
        <v>0</v>
      </c>
      <c r="AX21" s="702">
        <f t="shared" si="23"/>
        <v>0</v>
      </c>
      <c r="AY21" s="702">
        <f t="shared" si="23"/>
        <v>0</v>
      </c>
      <c r="AZ21" s="702">
        <f t="shared" si="23"/>
        <v>0</v>
      </c>
      <c r="BA21" s="685">
        <f t="shared" si="23"/>
        <v>6.0163859796712009E-4</v>
      </c>
      <c r="BB21" s="703">
        <f t="shared" si="23"/>
        <v>4.923342001031235E-4</v>
      </c>
      <c r="BC21" s="703">
        <f t="shared" si="23"/>
        <v>4.923342001031235E-4</v>
      </c>
      <c r="BD21" s="703">
        <f t="shared" si="23"/>
        <v>4.2639658401788375E-4</v>
      </c>
      <c r="BE21" s="703">
        <f t="shared" si="23"/>
        <v>3.7484535689669629E-4</v>
      </c>
      <c r="BF21" s="703">
        <f t="shared" si="23"/>
        <v>3.5386520632412003E-4</v>
      </c>
      <c r="BG21" s="703">
        <f t="shared" si="23"/>
        <v>3.354026738202529E-4</v>
      </c>
      <c r="BH21" s="703">
        <f t="shared" si="23"/>
        <v>3.0902762738615694E-4</v>
      </c>
      <c r="BI21" s="703">
        <f t="shared" si="23"/>
        <v>3.0836825122530456E-4</v>
      </c>
      <c r="BJ21" s="703">
        <f t="shared" si="23"/>
        <v>3.0770887506445218E-4</v>
      </c>
      <c r="BK21" s="685">
        <f t="shared" si="23"/>
        <v>1.9307303696831789E-3</v>
      </c>
      <c r="BL21" s="703">
        <f t="shared" si="23"/>
        <v>1.7503935642856272E-3</v>
      </c>
      <c r="BM21" s="703">
        <f t="shared" si="23"/>
        <v>1.7503935642856272E-3</v>
      </c>
      <c r="BN21" s="703">
        <f t="shared" si="23"/>
        <v>1.5159658547830878E-3</v>
      </c>
      <c r="BO21" s="703">
        <f t="shared" si="23"/>
        <v>1.3326860091720115E-3</v>
      </c>
      <c r="BP21" s="703">
        <f t="shared" ref="BP21:CA21" si="24">BP20</f>
        <v>1.2580953743302945E-3</v>
      </c>
      <c r="BQ21" s="703">
        <f t="shared" si="24"/>
        <v>1.1924556156695835E-3</v>
      </c>
      <c r="BR21" s="703">
        <f t="shared" si="24"/>
        <v>1.0986845318685676E-3</v>
      </c>
      <c r="BS21" s="703">
        <f t="shared" si="24"/>
        <v>1.0963402547735422E-3</v>
      </c>
      <c r="BT21" s="703">
        <f t="shared" si="24"/>
        <v>1.0939959776785171E-3</v>
      </c>
      <c r="BU21" s="685">
        <f t="shared" si="24"/>
        <v>0</v>
      </c>
      <c r="BV21" s="703">
        <f t="shared" si="24"/>
        <v>0</v>
      </c>
      <c r="BW21" s="703">
        <f t="shared" si="24"/>
        <v>0</v>
      </c>
      <c r="BX21" s="685">
        <f t="shared" si="24"/>
        <v>1.205097625675124</v>
      </c>
      <c r="BY21" s="703">
        <f t="shared" si="24"/>
        <v>1.0777138660055503</v>
      </c>
      <c r="BZ21" s="685">
        <f t="shared" si="24"/>
        <v>0.11210148600229124</v>
      </c>
      <c r="CA21" s="703">
        <f t="shared" si="24"/>
        <v>8.2964975059888355E-2</v>
      </c>
    </row>
    <row r="22" spans="1:79" x14ac:dyDescent="0.2">
      <c r="A22" s="690" t="str">
        <f>NewTech!B32</f>
        <v>TBH2FC</v>
      </c>
      <c r="B22" s="690" t="str">
        <f>NewTech!C32</f>
        <v>Bus, Hydrogen Fuel Cell</v>
      </c>
      <c r="C22" s="685"/>
      <c r="D22" s="702"/>
      <c r="E22" s="702"/>
      <c r="F22" s="702"/>
      <c r="G22" s="702"/>
      <c r="H22" s="702"/>
      <c r="I22" s="702"/>
      <c r="J22" s="702"/>
      <c r="K22" s="702"/>
      <c r="L22" s="702"/>
      <c r="M22" s="685"/>
      <c r="N22" s="702"/>
      <c r="O22" s="702"/>
      <c r="P22" s="702"/>
      <c r="Q22" s="702"/>
      <c r="R22" s="702"/>
      <c r="S22" s="702"/>
      <c r="T22" s="702"/>
      <c r="U22" s="702"/>
      <c r="V22" s="702"/>
      <c r="W22" s="685"/>
      <c r="X22" s="702"/>
      <c r="Y22" s="702"/>
      <c r="Z22" s="702"/>
      <c r="AA22" s="702"/>
      <c r="AB22" s="702"/>
      <c r="AC22" s="702"/>
      <c r="AD22" s="702"/>
      <c r="AE22" s="702"/>
      <c r="AF22" s="702"/>
      <c r="AG22" s="685"/>
      <c r="AH22" s="702"/>
      <c r="AI22" s="702"/>
      <c r="AJ22" s="702"/>
      <c r="AK22" s="702"/>
      <c r="AL22" s="702"/>
      <c r="AM22" s="702"/>
      <c r="AN22" s="702"/>
      <c r="AO22" s="702"/>
      <c r="AP22" s="702"/>
      <c r="AQ22" s="685"/>
      <c r="AR22" s="702"/>
      <c r="AS22" s="702"/>
      <c r="AT22" s="702"/>
      <c r="AU22" s="702"/>
      <c r="AV22" s="702"/>
      <c r="AW22" s="702"/>
      <c r="AX22" s="702"/>
      <c r="AY22" s="702"/>
      <c r="AZ22" s="702"/>
      <c r="BA22" s="685"/>
      <c r="BB22" s="703"/>
      <c r="BC22" s="703"/>
      <c r="BD22" s="703"/>
      <c r="BE22" s="703"/>
      <c r="BF22" s="703"/>
      <c r="BG22" s="703"/>
      <c r="BH22" s="703"/>
      <c r="BI22" s="703"/>
      <c r="BJ22" s="703"/>
      <c r="BK22" s="685"/>
      <c r="BL22" s="703"/>
      <c r="BM22" s="703"/>
      <c r="BN22" s="703"/>
      <c r="BO22" s="703"/>
      <c r="BP22" s="703"/>
      <c r="BQ22" s="703"/>
      <c r="BR22" s="703"/>
      <c r="BS22" s="703"/>
      <c r="BT22" s="703"/>
      <c r="BU22" s="685"/>
      <c r="BV22" s="703"/>
      <c r="BW22" s="703"/>
      <c r="BX22" s="685"/>
      <c r="BY22" s="703"/>
      <c r="BZ22" s="685"/>
      <c r="CA22" s="703"/>
    </row>
    <row r="23" spans="1:79" x14ac:dyDescent="0.2">
      <c r="A23" s="690" t="str">
        <f>NewTech!B33</f>
        <v>TBH2HYB</v>
      </c>
      <c r="B23" s="690" t="str">
        <f>NewTech!C33</f>
        <v>Bus, Hydrogen Fuel Cell Hybrid</v>
      </c>
      <c r="C23" s="685"/>
      <c r="D23" s="702"/>
      <c r="E23" s="702"/>
      <c r="F23" s="702"/>
      <c r="G23" s="702"/>
      <c r="H23" s="702"/>
      <c r="I23" s="702"/>
      <c r="J23" s="702"/>
      <c r="K23" s="702"/>
      <c r="L23" s="702"/>
      <c r="M23" s="685"/>
      <c r="N23" s="702"/>
      <c r="O23" s="702"/>
      <c r="P23" s="702"/>
      <c r="Q23" s="702"/>
      <c r="R23" s="702"/>
      <c r="S23" s="702"/>
      <c r="T23" s="702"/>
      <c r="U23" s="702"/>
      <c r="V23" s="702"/>
      <c r="W23" s="685"/>
      <c r="X23" s="702"/>
      <c r="Y23" s="702"/>
      <c r="Z23" s="702"/>
      <c r="AA23" s="702"/>
      <c r="AB23" s="702"/>
      <c r="AC23" s="702"/>
      <c r="AD23" s="702"/>
      <c r="AE23" s="702"/>
      <c r="AF23" s="702"/>
      <c r="AG23" s="685"/>
      <c r="AH23" s="702"/>
      <c r="AI23" s="702"/>
      <c r="AJ23" s="702"/>
      <c r="AK23" s="702"/>
      <c r="AL23" s="702"/>
      <c r="AM23" s="702"/>
      <c r="AN23" s="702"/>
      <c r="AO23" s="702"/>
      <c r="AP23" s="702"/>
      <c r="AQ23" s="685"/>
      <c r="AR23" s="702"/>
      <c r="AS23" s="702"/>
      <c r="AT23" s="702"/>
      <c r="AU23" s="702"/>
      <c r="AV23" s="702"/>
      <c r="AW23" s="702"/>
      <c r="AX23" s="702"/>
      <c r="AY23" s="702"/>
      <c r="AZ23" s="702"/>
      <c r="BA23" s="685"/>
      <c r="BB23" s="703"/>
      <c r="BC23" s="703"/>
      <c r="BD23" s="703"/>
      <c r="BE23" s="703"/>
      <c r="BF23" s="703"/>
      <c r="BG23" s="703"/>
      <c r="BH23" s="703"/>
      <c r="BI23" s="703"/>
      <c r="BJ23" s="703"/>
      <c r="BK23" s="685"/>
      <c r="BL23" s="703"/>
      <c r="BM23" s="703"/>
      <c r="BN23" s="703"/>
      <c r="BO23" s="703"/>
      <c r="BP23" s="703"/>
      <c r="BQ23" s="703"/>
      <c r="BR23" s="703"/>
      <c r="BS23" s="703"/>
      <c r="BT23" s="703"/>
      <c r="BU23" s="685"/>
      <c r="BV23" s="703"/>
      <c r="BW23" s="703"/>
      <c r="BX23" s="685"/>
      <c r="BY23" s="703"/>
      <c r="BZ23" s="685"/>
      <c r="CA23" s="703"/>
    </row>
    <row r="24" spans="1:79" x14ac:dyDescent="0.2">
      <c r="A24" s="690" t="str">
        <f>Technologies!C81</f>
        <v>TCGSLC10</v>
      </c>
      <c r="B24" s="690" t="str">
        <f>Technologies!D81</f>
        <v>Commercial Truck, Gasoline 2010</v>
      </c>
      <c r="C24" s="685">
        <f>'Raw emissions'!D18</f>
        <v>0.50520914230380454</v>
      </c>
      <c r="D24" s="702">
        <f>'Raw emissions'!E18</f>
        <v>0.34644203347723984</v>
      </c>
      <c r="E24" s="702">
        <f>$C24</f>
        <v>0.50520914230380454</v>
      </c>
      <c r="F24" s="702">
        <f t="shared" ref="F24:L24" si="25">$C24</f>
        <v>0.50520914230380454</v>
      </c>
      <c r="G24" s="702">
        <f t="shared" si="25"/>
        <v>0.50520914230380454</v>
      </c>
      <c r="H24" s="702">
        <f t="shared" si="25"/>
        <v>0.50520914230380454</v>
      </c>
      <c r="I24" s="702">
        <f t="shared" si="25"/>
        <v>0.50520914230380454</v>
      </c>
      <c r="J24" s="702">
        <f t="shared" si="25"/>
        <v>0.50520914230380454</v>
      </c>
      <c r="K24" s="702">
        <f t="shared" si="25"/>
        <v>0.50520914230380454</v>
      </c>
      <c r="L24" s="702">
        <f t="shared" si="25"/>
        <v>0.50520914230380454</v>
      </c>
      <c r="M24" s="685">
        <f>'Raw emissions'!J18</f>
        <v>3.8288846966886877E-2</v>
      </c>
      <c r="N24" s="702">
        <f>'Raw emissions'!K18</f>
        <v>3.701430154965854E-2</v>
      </c>
      <c r="O24" s="702">
        <f>$M24</f>
        <v>3.8288846966886877E-2</v>
      </c>
      <c r="P24" s="702">
        <f t="shared" ref="P24:V24" si="26">$M24</f>
        <v>3.8288846966886877E-2</v>
      </c>
      <c r="Q24" s="702">
        <f t="shared" si="26"/>
        <v>3.8288846966886877E-2</v>
      </c>
      <c r="R24" s="702">
        <f t="shared" si="26"/>
        <v>3.8288846966886877E-2</v>
      </c>
      <c r="S24" s="702">
        <f t="shared" si="26"/>
        <v>3.8288846966886877E-2</v>
      </c>
      <c r="T24" s="702">
        <f t="shared" si="26"/>
        <v>3.8288846966886877E-2</v>
      </c>
      <c r="U24" s="702">
        <f t="shared" si="26"/>
        <v>3.8288846966886877E-2</v>
      </c>
      <c r="V24" s="702">
        <f t="shared" si="26"/>
        <v>3.8288846966886877E-2</v>
      </c>
      <c r="W24" s="685">
        <f>'Raw emissions'!M18</f>
        <v>1.7664381562035137E-2</v>
      </c>
      <c r="X24" s="702">
        <f>'Raw emissions'!N18</f>
        <v>1.6449821562436358E-2</v>
      </c>
      <c r="Y24" s="702">
        <f t="shared" ref="Y24:AF24" si="27">W24</f>
        <v>1.7664381562035137E-2</v>
      </c>
      <c r="Z24" s="702">
        <f t="shared" si="27"/>
        <v>1.6449821562436358E-2</v>
      </c>
      <c r="AA24" s="702">
        <f t="shared" si="27"/>
        <v>1.7664381562035137E-2</v>
      </c>
      <c r="AB24" s="702">
        <f t="shared" si="27"/>
        <v>1.6449821562436358E-2</v>
      </c>
      <c r="AC24" s="702">
        <f t="shared" si="27"/>
        <v>1.7664381562035137E-2</v>
      </c>
      <c r="AD24" s="702">
        <f t="shared" si="27"/>
        <v>1.6449821562436358E-2</v>
      </c>
      <c r="AE24" s="702">
        <f t="shared" si="27"/>
        <v>1.7664381562035137E-2</v>
      </c>
      <c r="AF24" s="702">
        <f t="shared" si="27"/>
        <v>1.6449821562436358E-2</v>
      </c>
      <c r="AG24" s="685">
        <f>'Raw emissions'!P18</f>
        <v>6.7065892779184422</v>
      </c>
      <c r="AH24" s="702">
        <f>'Raw emissions'!Q18</f>
        <v>5.1178910523048877</v>
      </c>
      <c r="AI24" s="702">
        <f>$AG24</f>
        <v>6.7065892779184422</v>
      </c>
      <c r="AJ24" s="702">
        <f t="shared" ref="AJ24:AP24" si="28">$AG24</f>
        <v>6.7065892779184422</v>
      </c>
      <c r="AK24" s="702">
        <f t="shared" si="28"/>
        <v>6.7065892779184422</v>
      </c>
      <c r="AL24" s="702">
        <f t="shared" si="28"/>
        <v>6.7065892779184422</v>
      </c>
      <c r="AM24" s="702">
        <f t="shared" si="28"/>
        <v>6.7065892779184422</v>
      </c>
      <c r="AN24" s="702">
        <f t="shared" si="28"/>
        <v>6.7065892779184422</v>
      </c>
      <c r="AO24" s="702">
        <f t="shared" si="28"/>
        <v>6.7065892779184422</v>
      </c>
      <c r="AP24" s="702">
        <f t="shared" si="28"/>
        <v>6.7065892779184422</v>
      </c>
      <c r="AQ24" s="685">
        <f>'Raw emissions'!Y18</f>
        <v>0.27752727818491491</v>
      </c>
      <c r="AR24" s="702">
        <f>'Raw emissions'!Z18</f>
        <v>0.19781159329499731</v>
      </c>
      <c r="AS24" s="702">
        <f>$AQ24</f>
        <v>0.27752727818491491</v>
      </c>
      <c r="AT24" s="702">
        <f t="shared" ref="AT24:AZ24" si="29">$AQ24</f>
        <v>0.27752727818491491</v>
      </c>
      <c r="AU24" s="702">
        <f t="shared" si="29"/>
        <v>0.27752727818491491</v>
      </c>
      <c r="AV24" s="702">
        <f t="shared" si="29"/>
        <v>0.27752727818491491</v>
      </c>
      <c r="AW24" s="702">
        <f t="shared" si="29"/>
        <v>0.27752727818491491</v>
      </c>
      <c r="AX24" s="702">
        <f t="shared" si="29"/>
        <v>0.27752727818491491</v>
      </c>
      <c r="AY24" s="702">
        <f t="shared" si="29"/>
        <v>0.27752727818491491</v>
      </c>
      <c r="AZ24" s="702">
        <f t="shared" si="29"/>
        <v>0.27752727818491491</v>
      </c>
      <c r="BA24" s="685">
        <f>'Raw emissions'!AK18</f>
        <v>1.3928499714155774E-3</v>
      </c>
      <c r="BB24" s="703">
        <f>'Raw emissions'!AL18</f>
        <v>1.1462004810943872E-3</v>
      </c>
      <c r="BC24" s="703">
        <f>$BA24</f>
        <v>1.3928499714155774E-3</v>
      </c>
      <c r="BD24" s="703">
        <f t="shared" ref="BD24:BJ24" si="30">$BA24</f>
        <v>1.3928499714155774E-3</v>
      </c>
      <c r="BE24" s="703">
        <f t="shared" si="30"/>
        <v>1.3928499714155774E-3</v>
      </c>
      <c r="BF24" s="703">
        <f t="shared" si="30"/>
        <v>1.3928499714155774E-3</v>
      </c>
      <c r="BG24" s="703">
        <f t="shared" si="30"/>
        <v>1.3928499714155774E-3</v>
      </c>
      <c r="BH24" s="703">
        <f t="shared" si="30"/>
        <v>1.3928499714155774E-3</v>
      </c>
      <c r="BI24" s="703">
        <f t="shared" si="30"/>
        <v>1.3928499714155774E-3</v>
      </c>
      <c r="BJ24" s="703">
        <f t="shared" si="30"/>
        <v>1.3928499714155774E-3</v>
      </c>
      <c r="BK24" s="685">
        <f>'Raw emissions'!AG18</f>
        <v>7.9270681742564623E-3</v>
      </c>
      <c r="BL24" s="703">
        <f>'Raw emissions'!AI18</f>
        <v>5.921935762477089E-3</v>
      </c>
      <c r="BM24" s="703">
        <f>$BK24</f>
        <v>7.9270681742564623E-3</v>
      </c>
      <c r="BN24" s="703">
        <f t="shared" ref="BN24:BT24" si="31">$BK24</f>
        <v>7.9270681742564623E-3</v>
      </c>
      <c r="BO24" s="703">
        <f t="shared" si="31"/>
        <v>7.9270681742564623E-3</v>
      </c>
      <c r="BP24" s="703">
        <f t="shared" si="31"/>
        <v>7.9270681742564623E-3</v>
      </c>
      <c r="BQ24" s="703">
        <f t="shared" si="31"/>
        <v>7.9270681742564623E-3</v>
      </c>
      <c r="BR24" s="703">
        <f t="shared" si="31"/>
        <v>7.9270681742564623E-3</v>
      </c>
      <c r="BS24" s="703">
        <f t="shared" si="31"/>
        <v>7.9270681742564623E-3</v>
      </c>
      <c r="BT24" s="703">
        <f t="shared" si="31"/>
        <v>7.9270681742564623E-3</v>
      </c>
      <c r="BU24" s="685">
        <f>'Raw emissions'!G18</f>
        <v>8.9132985328794646E-3</v>
      </c>
      <c r="BV24" s="703">
        <f>'Raw emissions'!H18</f>
        <v>7.8431550310794056E-3</v>
      </c>
      <c r="BW24" s="703">
        <f>(1-'Tier3Phase-in'!$J$20)*BV24</f>
        <v>2.6666727105669977E-3</v>
      </c>
      <c r="BX24" s="685">
        <f>'Raw emissions'!V18</f>
        <v>1.8438128163137245E-2</v>
      </c>
      <c r="BY24" s="703">
        <f>'Raw emissions'!W18</f>
        <v>1.7230172593621172E-2</v>
      </c>
      <c r="BZ24" s="685">
        <f>'Raw emissions'!S18</f>
        <v>1.5261726391086378E-2</v>
      </c>
      <c r="CA24" s="703">
        <f>'Raw emissions'!T18</f>
        <v>6.1596250977922953E-3</v>
      </c>
    </row>
    <row r="25" spans="1:79" x14ac:dyDescent="0.2">
      <c r="A25" s="690" t="str">
        <f>Technologies!C82</f>
        <v>TCGSLC</v>
      </c>
      <c r="B25" s="690" t="str">
        <f>Technologies!D82</f>
        <v>Commercial Truck, Conventional Gasoline</v>
      </c>
      <c r="C25" s="685">
        <f>'Raw emissions'!D18</f>
        <v>0.50520914230380454</v>
      </c>
      <c r="D25" s="702">
        <f>'Raw emissions'!E18</f>
        <v>0.34644203347723984</v>
      </c>
      <c r="E25" s="702">
        <f>$D25*(1-'Tier3Phase-in'!$J$12)</f>
        <v>0.34644203347723984</v>
      </c>
      <c r="F25" s="702">
        <f>$D25*(1-'Tier3Phase-in'!$K$12)</f>
        <v>0.30004354685082379</v>
      </c>
      <c r="G25" s="702">
        <f>$D25*(1-'Tier3Phase-in'!$L$12)</f>
        <v>0.26376836639744394</v>
      </c>
      <c r="H25" s="702">
        <f>$D25*(1-'Tier3Phase-in'!$M$12)</f>
        <v>0.24900521156176614</v>
      </c>
      <c r="I25" s="702">
        <f>$D25*(1-'Tier3Phase-in'!$N$12)</f>
        <v>0.23601363530636965</v>
      </c>
      <c r="J25" s="702">
        <f>$D25*(1-'Tier3Phase-in'!$O$12)</f>
        <v>0.21745424065580318</v>
      </c>
      <c r="K25" s="702">
        <f>$D25*(1-'Tier3Phase-in'!$P$12)</f>
        <v>0.21699025578953904</v>
      </c>
      <c r="L25" s="702">
        <f>$D25*(1-'Tier3Phase-in'!$Q$12)</f>
        <v>0.21652627092327489</v>
      </c>
      <c r="M25" s="685">
        <f>'Raw emissions'!J18</f>
        <v>3.8288846966886877E-2</v>
      </c>
      <c r="N25" s="702">
        <f>'Raw emissions'!K18</f>
        <v>3.701430154965854E-2</v>
      </c>
      <c r="O25" s="702">
        <f>$N25*(1-'Tier3Phase-in'!$J$12)</f>
        <v>3.701430154965854E-2</v>
      </c>
      <c r="P25" s="702">
        <f>$N25*(1-'Tier3Phase-in'!$K$12)</f>
        <v>3.2057029020686419E-2</v>
      </c>
      <c r="Q25" s="702">
        <f>$N25*(1-'Tier3Phase-in'!$L$12)</f>
        <v>2.8181343225308207E-2</v>
      </c>
      <c r="R25" s="702">
        <f>$N25*(1-'Tier3Phase-in'!$M$12)</f>
        <v>2.6604029238817075E-2</v>
      </c>
      <c r="S25" s="702">
        <f>$N25*(1-'Tier3Phase-in'!$N$12)</f>
        <v>2.5215992930704881E-2</v>
      </c>
      <c r="T25" s="702">
        <f>$N25*(1-'Tier3Phase-in'!$O$12)</f>
        <v>2.3233083919116024E-2</v>
      </c>
      <c r="U25" s="702">
        <f>$N25*(1-'Tier3Phase-in'!$P$12)</f>
        <v>2.3183511193826306E-2</v>
      </c>
      <c r="V25" s="702">
        <f>$N25*(1-'Tier3Phase-in'!$Q$12)</f>
        <v>2.3133938468536588E-2</v>
      </c>
      <c r="W25" s="685">
        <f>'Raw emissions'!M18</f>
        <v>1.7664381562035137E-2</v>
      </c>
      <c r="X25" s="702">
        <f>'Raw emissions'!N18</f>
        <v>1.6449821562436358E-2</v>
      </c>
      <c r="Y25" s="702">
        <f>$X25*(1-'Tier3Phase-in'!$J$12)</f>
        <v>1.6449821562436358E-2</v>
      </c>
      <c r="Z25" s="702">
        <f>$X25*(1-'Tier3Phase-in'!$K$12)</f>
        <v>1.4246720460324346E-2</v>
      </c>
      <c r="AA25" s="702">
        <f>$X25*(1-'Tier3Phase-in'!$L$12)</f>
        <v>1.2524295962309499E-2</v>
      </c>
      <c r="AB25" s="702">
        <f>$X25*(1-'Tier3Phase-in'!$M$12)</f>
        <v>1.1823309248001132E-2</v>
      </c>
      <c r="AC25" s="702">
        <f>$X25*(1-'Tier3Phase-in'!$N$12)</f>
        <v>1.1206440939409769E-2</v>
      </c>
      <c r="AD25" s="702">
        <f>$X25*(1-'Tier3Phase-in'!$O$12)</f>
        <v>1.0325200498564962E-2</v>
      </c>
      <c r="AE25" s="702">
        <f>$X25*(1-'Tier3Phase-in'!$P$12)</f>
        <v>1.0303169487543843E-2</v>
      </c>
      <c r="AF25" s="702">
        <f>$X25*(1-'Tier3Phase-in'!$Q$12)</f>
        <v>1.0281138476522723E-2</v>
      </c>
      <c r="AG25" s="685">
        <f>'Raw emissions'!P18</f>
        <v>6.7065892779184422</v>
      </c>
      <c r="AH25" s="702">
        <f>'Raw emissions'!Q18</f>
        <v>5.1178910523048877</v>
      </c>
      <c r="AI25" s="702">
        <f>$AH25*(1-'Tier3Phase-in'!$J$12)</f>
        <v>5.1178910523048877</v>
      </c>
      <c r="AJ25" s="702">
        <f>$AH25*(1-'Tier3Phase-in'!$K$12)</f>
        <v>4.4324592149426261</v>
      </c>
      <c r="AK25" s="702">
        <f>$AH25*(1-'Tier3Phase-in'!$L$12)</f>
        <v>3.8965761420957667</v>
      </c>
      <c r="AL25" s="702">
        <f>$AH25*(1-'Tier3Phase-in'!$M$12)</f>
        <v>3.6784841938441382</v>
      </c>
      <c r="AM25" s="702">
        <f>$AH25*(1-'Tier3Phase-in'!$N$12)</f>
        <v>3.4865632793827048</v>
      </c>
      <c r="AN25" s="702">
        <f>$AH25*(1-'Tier3Phase-in'!$O$12)</f>
        <v>3.2123905444377994</v>
      </c>
      <c r="AO25" s="702">
        <f>$AH25*(1-'Tier3Phase-in'!$P$12)</f>
        <v>3.2055362260641771</v>
      </c>
      <c r="AP25" s="702">
        <f>$AH25*(1-'Tier3Phase-in'!$Q$12)</f>
        <v>3.1986819076905548</v>
      </c>
      <c r="AQ25" s="685">
        <f>'Raw emissions'!Y18</f>
        <v>0.27752727818491491</v>
      </c>
      <c r="AR25" s="702">
        <f>'Raw emissions'!Z18</f>
        <v>0.19781159329499731</v>
      </c>
      <c r="AS25" s="702">
        <f>$AR25*(1-'Tier3Phase-in'!$J$12)</f>
        <v>0.19781159329499731</v>
      </c>
      <c r="AT25" s="702">
        <f>$AR25*(1-'Tier3Phase-in'!$K$12)</f>
        <v>0.17131896919298875</v>
      </c>
      <c r="AU25" s="702">
        <f>$AR25*(1-'Tier3Phase-in'!$L$12)</f>
        <v>0.15060655398596387</v>
      </c>
      <c r="AV25" s="702">
        <f>$AR25*(1-'Tier3Phase-in'!$M$12)</f>
        <v>0.14217708268077933</v>
      </c>
      <c r="AW25" s="702">
        <f>$AR25*(1-'Tier3Phase-in'!$N$12)</f>
        <v>0.13475914793221691</v>
      </c>
      <c r="AX25" s="702">
        <f>$AR25*(1-'Tier3Phase-in'!$O$12)</f>
        <v>0.12416209829141346</v>
      </c>
      <c r="AY25" s="702">
        <f>$AR25*(1-'Tier3Phase-in'!$P$12)</f>
        <v>0.1238971720503934</v>
      </c>
      <c r="AZ25" s="702">
        <f>$AR25*(1-'Tier3Phase-in'!$Q$12)</f>
        <v>0.12363224580937332</v>
      </c>
      <c r="BA25" s="685">
        <f>'Raw emissions'!AK18</f>
        <v>1.3928499714155774E-3</v>
      </c>
      <c r="BB25" s="703">
        <f>'Raw emissions'!AL18</f>
        <v>1.1462004810943872E-3</v>
      </c>
      <c r="BC25" s="703">
        <f>$BB25*(1-'Tier3Phase-in'!$J$12)</f>
        <v>1.1462004810943872E-3</v>
      </c>
      <c r="BD25" s="703">
        <f>$BB25*(1-'Tier3Phase-in'!$K$12)</f>
        <v>9.9269148809067462E-4</v>
      </c>
      <c r="BE25" s="703">
        <f>$BB25*(1-'Tier3Phase-in'!$L$12)</f>
        <v>8.7267536628777209E-4</v>
      </c>
      <c r="BF25" s="703">
        <f>$BB25*(1-'Tier3Phase-in'!$M$12)</f>
        <v>8.2383159578659076E-4</v>
      </c>
      <c r="BG25" s="703">
        <f>$BB25*(1-'Tier3Phase-in'!$N$12)</f>
        <v>7.8084907774555133E-4</v>
      </c>
      <c r="BH25" s="703">
        <f>$BB25*(1-'Tier3Phase-in'!$O$12)</f>
        <v>7.1944548054406611E-4</v>
      </c>
      <c r="BI25" s="703">
        <f>$BB25*(1-'Tier3Phase-in'!$P$12)</f>
        <v>7.1791039061402907E-4</v>
      </c>
      <c r="BJ25" s="703">
        <f>$BB25*(1-'Tier3Phase-in'!$Q$12)</f>
        <v>7.1637530068399203E-4</v>
      </c>
      <c r="BK25" s="685">
        <f>'Raw emissions'!AG18</f>
        <v>7.9270681742564623E-3</v>
      </c>
      <c r="BL25" s="703">
        <f>'Raw emissions'!AI18</f>
        <v>5.921935762477089E-3</v>
      </c>
      <c r="BM25" s="703">
        <f>$BL25*(1-'Tier3Phase-in'!$J$12)</f>
        <v>5.921935762477089E-3</v>
      </c>
      <c r="BN25" s="703">
        <f>$BL25*(1-'Tier3Phase-in'!$K$12)</f>
        <v>5.1288193657167648E-3</v>
      </c>
      <c r="BO25" s="703">
        <f>$BL25*(1-'Tier3Phase-in'!$L$12)</f>
        <v>4.5087465464314202E-3</v>
      </c>
      <c r="BP25" s="703">
        <f>$BL25*(1-'Tier3Phase-in'!$M$12)</f>
        <v>4.2563913292804076E-3</v>
      </c>
      <c r="BQ25" s="703">
        <f>$BL25*(1-'Tier3Phase-in'!$N$12)</f>
        <v>4.0343187381875166E-3</v>
      </c>
      <c r="BR25" s="703">
        <f>$BL25*(1-'Tier3Phase-in'!$O$12)</f>
        <v>3.7170721794833866E-3</v>
      </c>
      <c r="BS25" s="703">
        <f>$BL25*(1-'Tier3Phase-in'!$P$12)</f>
        <v>3.7091410155157835E-3</v>
      </c>
      <c r="BT25" s="703">
        <f>$BL25*(1-'Tier3Phase-in'!$Q$12)</f>
        <v>3.7012098515481805E-3</v>
      </c>
      <c r="BU25" s="685">
        <f>'Raw emissions'!G18</f>
        <v>8.9132985328794646E-3</v>
      </c>
      <c r="BV25" s="703">
        <f>'Raw emissions'!H18</f>
        <v>7.8431550310794056E-3</v>
      </c>
      <c r="BW25" s="703">
        <f>(1-'Tier3Phase-in'!$J$20)*BV25</f>
        <v>2.6666727105669977E-3</v>
      </c>
      <c r="BX25" s="685">
        <f>'Raw emissions'!V18</f>
        <v>1.8438128163137245E-2</v>
      </c>
      <c r="BY25" s="703">
        <f>'Raw emissions'!W18</f>
        <v>1.7230172593621172E-2</v>
      </c>
      <c r="BZ25" s="685">
        <f>'Raw emissions'!S18</f>
        <v>1.5261726391086378E-2</v>
      </c>
      <c r="CA25" s="703">
        <f>'Raw emissions'!T18</f>
        <v>6.1596250977922953E-3</v>
      </c>
    </row>
    <row r="26" spans="1:79" x14ac:dyDescent="0.2">
      <c r="A26" s="690" t="str">
        <f>Technologies!C83</f>
        <v>TCGSLIM</v>
      </c>
      <c r="B26" s="690" t="str">
        <f>Technologies!D83</f>
        <v>Commercial Truck, Improved Gasoline</v>
      </c>
      <c r="C26" s="685">
        <f>C25</f>
        <v>0.50520914230380454</v>
      </c>
      <c r="D26" s="702">
        <f>D25</f>
        <v>0.34644203347723984</v>
      </c>
      <c r="E26" s="702">
        <f>$D26*(1-'Tier3Phase-in'!$J$12)</f>
        <v>0.34644203347723984</v>
      </c>
      <c r="F26" s="702">
        <f>$D26*(1-'Tier3Phase-in'!$K$12)</f>
        <v>0.30004354685082379</v>
      </c>
      <c r="G26" s="702">
        <f>$D26*(1-'Tier3Phase-in'!$L$12)</f>
        <v>0.26376836639744394</v>
      </c>
      <c r="H26" s="702">
        <f>$D26*(1-'Tier3Phase-in'!$M$12)</f>
        <v>0.24900521156176614</v>
      </c>
      <c r="I26" s="702">
        <f>$D26*(1-'Tier3Phase-in'!$N$12)</f>
        <v>0.23601363530636965</v>
      </c>
      <c r="J26" s="702">
        <f>$D26*(1-'Tier3Phase-in'!$O$12)</f>
        <v>0.21745424065580318</v>
      </c>
      <c r="K26" s="702">
        <f>$D26*(1-'Tier3Phase-in'!$P$12)</f>
        <v>0.21699025578953904</v>
      </c>
      <c r="L26" s="702">
        <f>$D26*(1-'Tier3Phase-in'!$Q$12)</f>
        <v>0.21652627092327489</v>
      </c>
      <c r="M26" s="685">
        <f>M25</f>
        <v>3.8288846966886877E-2</v>
      </c>
      <c r="N26" s="702">
        <f>N25</f>
        <v>3.701430154965854E-2</v>
      </c>
      <c r="O26" s="702">
        <f>$N26*(1-'Tier3Phase-in'!$J$12)</f>
        <v>3.701430154965854E-2</v>
      </c>
      <c r="P26" s="702">
        <f>$N26*(1-'Tier3Phase-in'!$K$12)</f>
        <v>3.2057029020686419E-2</v>
      </c>
      <c r="Q26" s="702">
        <f>$N26*(1-'Tier3Phase-in'!$L$12)</f>
        <v>2.8181343225308207E-2</v>
      </c>
      <c r="R26" s="702">
        <f>$N26*(1-'Tier3Phase-in'!$M$12)</f>
        <v>2.6604029238817075E-2</v>
      </c>
      <c r="S26" s="702">
        <f>$N26*(1-'Tier3Phase-in'!$N$12)</f>
        <v>2.5215992930704881E-2</v>
      </c>
      <c r="T26" s="702">
        <f>$N26*(1-'Tier3Phase-in'!$O$12)</f>
        <v>2.3233083919116024E-2</v>
      </c>
      <c r="U26" s="702">
        <f>$N26*(1-'Tier3Phase-in'!$P$12)</f>
        <v>2.3183511193826306E-2</v>
      </c>
      <c r="V26" s="702">
        <f>$N26*(1-'Tier3Phase-in'!$Q$12)</f>
        <v>2.3133938468536588E-2</v>
      </c>
      <c r="W26" s="685">
        <f>W25</f>
        <v>1.7664381562035137E-2</v>
      </c>
      <c r="X26" s="702">
        <f>X25</f>
        <v>1.6449821562436358E-2</v>
      </c>
      <c r="Y26" s="702">
        <f>$X26*(1-'Tier3Phase-in'!$J$12)</f>
        <v>1.6449821562436358E-2</v>
      </c>
      <c r="Z26" s="702">
        <f>$X26*(1-'Tier3Phase-in'!$K$12)</f>
        <v>1.4246720460324346E-2</v>
      </c>
      <c r="AA26" s="702">
        <f>$X26*(1-'Tier3Phase-in'!$L$12)</f>
        <v>1.2524295962309499E-2</v>
      </c>
      <c r="AB26" s="702">
        <f>$X26*(1-'Tier3Phase-in'!$M$12)</f>
        <v>1.1823309248001132E-2</v>
      </c>
      <c r="AC26" s="702">
        <f>$X26*(1-'Tier3Phase-in'!$N$12)</f>
        <v>1.1206440939409769E-2</v>
      </c>
      <c r="AD26" s="702">
        <f>$X26*(1-'Tier3Phase-in'!$O$12)</f>
        <v>1.0325200498564962E-2</v>
      </c>
      <c r="AE26" s="702">
        <f>$X26*(1-'Tier3Phase-in'!$P$12)</f>
        <v>1.0303169487543843E-2</v>
      </c>
      <c r="AF26" s="702">
        <f>$X26*(1-'Tier3Phase-in'!$Q$12)</f>
        <v>1.0281138476522723E-2</v>
      </c>
      <c r="AG26" s="685">
        <f>AG25</f>
        <v>6.7065892779184422</v>
      </c>
      <c r="AH26" s="702">
        <f>AH25</f>
        <v>5.1178910523048877</v>
      </c>
      <c r="AI26" s="702">
        <f>$AH26*(1-'Tier3Phase-in'!$J$12)</f>
        <v>5.1178910523048877</v>
      </c>
      <c r="AJ26" s="702">
        <f>$AH26*(1-'Tier3Phase-in'!$K$12)</f>
        <v>4.4324592149426261</v>
      </c>
      <c r="AK26" s="702">
        <f>$AH26*(1-'Tier3Phase-in'!$L$12)</f>
        <v>3.8965761420957667</v>
      </c>
      <c r="AL26" s="702">
        <f>$AH26*(1-'Tier3Phase-in'!$M$12)</f>
        <v>3.6784841938441382</v>
      </c>
      <c r="AM26" s="702">
        <f>$AH26*(1-'Tier3Phase-in'!$N$12)</f>
        <v>3.4865632793827048</v>
      </c>
      <c r="AN26" s="702">
        <f>$AH26*(1-'Tier3Phase-in'!$O$12)</f>
        <v>3.2123905444377994</v>
      </c>
      <c r="AO26" s="702">
        <f>$AH26*(1-'Tier3Phase-in'!$P$12)</f>
        <v>3.2055362260641771</v>
      </c>
      <c r="AP26" s="702">
        <f>$AH26*(1-'Tier3Phase-in'!$Q$12)</f>
        <v>3.1986819076905548</v>
      </c>
      <c r="AQ26" s="685">
        <f>AQ25</f>
        <v>0.27752727818491491</v>
      </c>
      <c r="AR26" s="702">
        <f>AR25</f>
        <v>0.19781159329499731</v>
      </c>
      <c r="AS26" s="702">
        <f>$AR26*(1-'Tier3Phase-in'!$J$12)</f>
        <v>0.19781159329499731</v>
      </c>
      <c r="AT26" s="702">
        <f>$AR26*(1-'Tier3Phase-in'!$K$12)</f>
        <v>0.17131896919298875</v>
      </c>
      <c r="AU26" s="702">
        <f>$AR26*(1-'Tier3Phase-in'!$L$12)</f>
        <v>0.15060655398596387</v>
      </c>
      <c r="AV26" s="702">
        <f>$AR26*(1-'Tier3Phase-in'!$M$12)</f>
        <v>0.14217708268077933</v>
      </c>
      <c r="AW26" s="702">
        <f>$AR26*(1-'Tier3Phase-in'!$N$12)</f>
        <v>0.13475914793221691</v>
      </c>
      <c r="AX26" s="702">
        <f>$AR26*(1-'Tier3Phase-in'!$O$12)</f>
        <v>0.12416209829141346</v>
      </c>
      <c r="AY26" s="702">
        <f>$AR26*(1-'Tier3Phase-in'!$P$12)</f>
        <v>0.1238971720503934</v>
      </c>
      <c r="AZ26" s="702">
        <f>$AR26*(1-'Tier3Phase-in'!$Q$12)</f>
        <v>0.12363224580937332</v>
      </c>
      <c r="BA26" s="685">
        <f>BA25</f>
        <v>1.3928499714155774E-3</v>
      </c>
      <c r="BB26" s="703">
        <f>BB25</f>
        <v>1.1462004810943872E-3</v>
      </c>
      <c r="BC26" s="703">
        <f>$BB26*(1-'Tier3Phase-in'!$J$12)</f>
        <v>1.1462004810943872E-3</v>
      </c>
      <c r="BD26" s="703">
        <f>$BB26*(1-'Tier3Phase-in'!$K$12)</f>
        <v>9.9269148809067462E-4</v>
      </c>
      <c r="BE26" s="703">
        <f>$BB26*(1-'Tier3Phase-in'!$L$12)</f>
        <v>8.7267536628777209E-4</v>
      </c>
      <c r="BF26" s="703">
        <f>$BB26*(1-'Tier3Phase-in'!$M$12)</f>
        <v>8.2383159578659076E-4</v>
      </c>
      <c r="BG26" s="703">
        <f>$BB26*(1-'Tier3Phase-in'!$N$12)</f>
        <v>7.8084907774555133E-4</v>
      </c>
      <c r="BH26" s="703">
        <f>$BB26*(1-'Tier3Phase-in'!$O$12)</f>
        <v>7.1944548054406611E-4</v>
      </c>
      <c r="BI26" s="703">
        <f>$BB26*(1-'Tier3Phase-in'!$P$12)</f>
        <v>7.1791039061402907E-4</v>
      </c>
      <c r="BJ26" s="703">
        <f>$BB26*(1-'Tier3Phase-in'!$Q$12)</f>
        <v>7.1637530068399203E-4</v>
      </c>
      <c r="BK26" s="685">
        <f>BK25</f>
        <v>7.9270681742564623E-3</v>
      </c>
      <c r="BL26" s="703">
        <f>BL25</f>
        <v>5.921935762477089E-3</v>
      </c>
      <c r="BM26" s="703">
        <f>$BL26*(1-'Tier3Phase-in'!$J$12)</f>
        <v>5.921935762477089E-3</v>
      </c>
      <c r="BN26" s="703">
        <f>$BL26*(1-'Tier3Phase-in'!$K$12)</f>
        <v>5.1288193657167648E-3</v>
      </c>
      <c r="BO26" s="703">
        <f>$BL26*(1-'Tier3Phase-in'!$L$12)</f>
        <v>4.5087465464314202E-3</v>
      </c>
      <c r="BP26" s="703">
        <f>$BL26*(1-'Tier3Phase-in'!$M$12)</f>
        <v>4.2563913292804076E-3</v>
      </c>
      <c r="BQ26" s="703">
        <f>$BL26*(1-'Tier3Phase-in'!$N$12)</f>
        <v>4.0343187381875166E-3</v>
      </c>
      <c r="BR26" s="703">
        <f>$BL26*(1-'Tier3Phase-in'!$O$12)</f>
        <v>3.7170721794833866E-3</v>
      </c>
      <c r="BS26" s="703">
        <f>$BL26*(1-'Tier3Phase-in'!$P$12)</f>
        <v>3.7091410155157835E-3</v>
      </c>
      <c r="BT26" s="703">
        <f>$BL26*(1-'Tier3Phase-in'!$Q$12)</f>
        <v>3.7012098515481805E-3</v>
      </c>
      <c r="BU26" s="685">
        <f>BU25</f>
        <v>8.9132985328794646E-3</v>
      </c>
      <c r="BV26" s="703">
        <f>BV25</f>
        <v>7.8431550310794056E-3</v>
      </c>
      <c r="BW26" s="703">
        <f>(1-'Tier3Phase-in'!$J$20)*BV26</f>
        <v>2.6666727105669977E-3</v>
      </c>
      <c r="BX26" s="685">
        <f>BX25</f>
        <v>1.8438128163137245E-2</v>
      </c>
      <c r="BY26" s="703">
        <f>BY25</f>
        <v>1.7230172593621172E-2</v>
      </c>
      <c r="BZ26" s="685">
        <f>BZ25</f>
        <v>1.5261726391086378E-2</v>
      </c>
      <c r="CA26" s="703">
        <f>CA25</f>
        <v>6.1596250977922953E-3</v>
      </c>
    </row>
    <row r="27" spans="1:79" x14ac:dyDescent="0.2">
      <c r="A27" s="690" t="str">
        <f>Technologies!C84</f>
        <v>TCGSLADV</v>
      </c>
      <c r="B27" s="690" t="str">
        <f>Technologies!D84</f>
        <v>Commercial Truck, Advanced Tech Gasoline</v>
      </c>
      <c r="C27" s="685">
        <f>C25</f>
        <v>0.50520914230380454</v>
      </c>
      <c r="D27" s="702">
        <f>D25</f>
        <v>0.34644203347723984</v>
      </c>
      <c r="E27" s="702">
        <f>$D27*(1-'Tier3Phase-in'!$J$12)</f>
        <v>0.34644203347723984</v>
      </c>
      <c r="F27" s="702">
        <f>$D27*(1-'Tier3Phase-in'!$K$12)</f>
        <v>0.30004354685082379</v>
      </c>
      <c r="G27" s="702">
        <f>$D27*(1-'Tier3Phase-in'!$L$12)</f>
        <v>0.26376836639744394</v>
      </c>
      <c r="H27" s="702">
        <f>$D27*(1-'Tier3Phase-in'!$M$12)</f>
        <v>0.24900521156176614</v>
      </c>
      <c r="I27" s="702">
        <f>$D27*(1-'Tier3Phase-in'!$N$12)</f>
        <v>0.23601363530636965</v>
      </c>
      <c r="J27" s="702">
        <f>$D27*(1-'Tier3Phase-in'!$O$12)</f>
        <v>0.21745424065580318</v>
      </c>
      <c r="K27" s="702">
        <f>$D27*(1-'Tier3Phase-in'!$P$12)</f>
        <v>0.21699025578953904</v>
      </c>
      <c r="L27" s="702">
        <f>$D27*(1-'Tier3Phase-in'!$Q$12)</f>
        <v>0.21652627092327489</v>
      </c>
      <c r="M27" s="685">
        <f>M25</f>
        <v>3.8288846966886877E-2</v>
      </c>
      <c r="N27" s="702">
        <f>N25</f>
        <v>3.701430154965854E-2</v>
      </c>
      <c r="O27" s="702">
        <f>$N27*(1-'Tier3Phase-in'!$J$12)</f>
        <v>3.701430154965854E-2</v>
      </c>
      <c r="P27" s="702">
        <f>$N27*(1-'Tier3Phase-in'!$K$12)</f>
        <v>3.2057029020686419E-2</v>
      </c>
      <c r="Q27" s="702">
        <f>$N27*(1-'Tier3Phase-in'!$L$12)</f>
        <v>2.8181343225308207E-2</v>
      </c>
      <c r="R27" s="702">
        <f>$N27*(1-'Tier3Phase-in'!$M$12)</f>
        <v>2.6604029238817075E-2</v>
      </c>
      <c r="S27" s="702">
        <f>$N27*(1-'Tier3Phase-in'!$N$12)</f>
        <v>2.5215992930704881E-2</v>
      </c>
      <c r="T27" s="702">
        <f>$N27*(1-'Tier3Phase-in'!$O$12)</f>
        <v>2.3233083919116024E-2</v>
      </c>
      <c r="U27" s="702">
        <f>$N27*(1-'Tier3Phase-in'!$P$12)</f>
        <v>2.3183511193826306E-2</v>
      </c>
      <c r="V27" s="702">
        <f>$N27*(1-'Tier3Phase-in'!$Q$12)</f>
        <v>2.3133938468536588E-2</v>
      </c>
      <c r="W27" s="685">
        <f>W25</f>
        <v>1.7664381562035137E-2</v>
      </c>
      <c r="X27" s="702">
        <f>X25</f>
        <v>1.6449821562436358E-2</v>
      </c>
      <c r="Y27" s="702">
        <f>$X27*(1-'Tier3Phase-in'!$J$12)</f>
        <v>1.6449821562436358E-2</v>
      </c>
      <c r="Z27" s="702">
        <f>$X27*(1-'Tier3Phase-in'!$K$12)</f>
        <v>1.4246720460324346E-2</v>
      </c>
      <c r="AA27" s="702">
        <f>$X27*(1-'Tier3Phase-in'!$L$12)</f>
        <v>1.2524295962309499E-2</v>
      </c>
      <c r="AB27" s="702">
        <f>$X27*(1-'Tier3Phase-in'!$M$12)</f>
        <v>1.1823309248001132E-2</v>
      </c>
      <c r="AC27" s="702">
        <f>$X27*(1-'Tier3Phase-in'!$N$12)</f>
        <v>1.1206440939409769E-2</v>
      </c>
      <c r="AD27" s="702">
        <f>$X27*(1-'Tier3Phase-in'!$O$12)</f>
        <v>1.0325200498564962E-2</v>
      </c>
      <c r="AE27" s="702">
        <f>$X27*(1-'Tier3Phase-in'!$P$12)</f>
        <v>1.0303169487543843E-2</v>
      </c>
      <c r="AF27" s="702">
        <f>$X27*(1-'Tier3Phase-in'!$Q$12)</f>
        <v>1.0281138476522723E-2</v>
      </c>
      <c r="AG27" s="685">
        <f>AG25</f>
        <v>6.7065892779184422</v>
      </c>
      <c r="AH27" s="702">
        <f>AH25</f>
        <v>5.1178910523048877</v>
      </c>
      <c r="AI27" s="702">
        <f>$AH27*(1-'Tier3Phase-in'!$J$12)</f>
        <v>5.1178910523048877</v>
      </c>
      <c r="AJ27" s="702">
        <f>$AH27*(1-'Tier3Phase-in'!$K$12)</f>
        <v>4.4324592149426261</v>
      </c>
      <c r="AK27" s="702">
        <f>$AH27*(1-'Tier3Phase-in'!$L$12)</f>
        <v>3.8965761420957667</v>
      </c>
      <c r="AL27" s="702">
        <f>$AH27*(1-'Tier3Phase-in'!$M$12)</f>
        <v>3.6784841938441382</v>
      </c>
      <c r="AM27" s="702">
        <f>$AH27*(1-'Tier3Phase-in'!$N$12)</f>
        <v>3.4865632793827048</v>
      </c>
      <c r="AN27" s="702">
        <f>$AH27*(1-'Tier3Phase-in'!$O$12)</f>
        <v>3.2123905444377994</v>
      </c>
      <c r="AO27" s="702">
        <f>$AH27*(1-'Tier3Phase-in'!$P$12)</f>
        <v>3.2055362260641771</v>
      </c>
      <c r="AP27" s="702">
        <f>$AH27*(1-'Tier3Phase-in'!$Q$12)</f>
        <v>3.1986819076905548</v>
      </c>
      <c r="AQ27" s="685">
        <f>AQ25</f>
        <v>0.27752727818491491</v>
      </c>
      <c r="AR27" s="702">
        <f>AR25</f>
        <v>0.19781159329499731</v>
      </c>
      <c r="AS27" s="702">
        <f>$AR27*(1-'Tier3Phase-in'!$J$12)</f>
        <v>0.19781159329499731</v>
      </c>
      <c r="AT27" s="702">
        <f>$AR27*(1-'Tier3Phase-in'!$K$12)</f>
        <v>0.17131896919298875</v>
      </c>
      <c r="AU27" s="702">
        <f>$AR27*(1-'Tier3Phase-in'!$L$12)</f>
        <v>0.15060655398596387</v>
      </c>
      <c r="AV27" s="702">
        <f>$AR27*(1-'Tier3Phase-in'!$M$12)</f>
        <v>0.14217708268077933</v>
      </c>
      <c r="AW27" s="702">
        <f>$AR27*(1-'Tier3Phase-in'!$N$12)</f>
        <v>0.13475914793221691</v>
      </c>
      <c r="AX27" s="702">
        <f>$AR27*(1-'Tier3Phase-in'!$O$12)</f>
        <v>0.12416209829141346</v>
      </c>
      <c r="AY27" s="702">
        <f>$AR27*(1-'Tier3Phase-in'!$P$12)</f>
        <v>0.1238971720503934</v>
      </c>
      <c r="AZ27" s="702">
        <f>$AR27*(1-'Tier3Phase-in'!$Q$12)</f>
        <v>0.12363224580937332</v>
      </c>
      <c r="BA27" s="685">
        <f>BA25</f>
        <v>1.3928499714155774E-3</v>
      </c>
      <c r="BB27" s="703">
        <f>BB25</f>
        <v>1.1462004810943872E-3</v>
      </c>
      <c r="BC27" s="703">
        <f>$BB27*(1-'Tier3Phase-in'!$J$12)</f>
        <v>1.1462004810943872E-3</v>
      </c>
      <c r="BD27" s="703">
        <f>$BB27*(1-'Tier3Phase-in'!$K$12)</f>
        <v>9.9269148809067462E-4</v>
      </c>
      <c r="BE27" s="703">
        <f>$BB27*(1-'Tier3Phase-in'!$L$12)</f>
        <v>8.7267536628777209E-4</v>
      </c>
      <c r="BF27" s="703">
        <f>$BB27*(1-'Tier3Phase-in'!$M$12)</f>
        <v>8.2383159578659076E-4</v>
      </c>
      <c r="BG27" s="703">
        <f>$BB27*(1-'Tier3Phase-in'!$N$12)</f>
        <v>7.8084907774555133E-4</v>
      </c>
      <c r="BH27" s="703">
        <f>$BB27*(1-'Tier3Phase-in'!$O$12)</f>
        <v>7.1944548054406611E-4</v>
      </c>
      <c r="BI27" s="703">
        <f>$BB27*(1-'Tier3Phase-in'!$P$12)</f>
        <v>7.1791039061402907E-4</v>
      </c>
      <c r="BJ27" s="703">
        <f>$BB27*(1-'Tier3Phase-in'!$Q$12)</f>
        <v>7.1637530068399203E-4</v>
      </c>
      <c r="BK27" s="685">
        <f>BK25</f>
        <v>7.9270681742564623E-3</v>
      </c>
      <c r="BL27" s="703">
        <f>BL25</f>
        <v>5.921935762477089E-3</v>
      </c>
      <c r="BM27" s="703">
        <f>$BL27*(1-'Tier3Phase-in'!$J$12)</f>
        <v>5.921935762477089E-3</v>
      </c>
      <c r="BN27" s="703">
        <f>$BL27*(1-'Tier3Phase-in'!$K$12)</f>
        <v>5.1288193657167648E-3</v>
      </c>
      <c r="BO27" s="703">
        <f>$BL27*(1-'Tier3Phase-in'!$L$12)</f>
        <v>4.5087465464314202E-3</v>
      </c>
      <c r="BP27" s="703">
        <f>$BL27*(1-'Tier3Phase-in'!$M$12)</f>
        <v>4.2563913292804076E-3</v>
      </c>
      <c r="BQ27" s="703">
        <f>$BL27*(1-'Tier3Phase-in'!$N$12)</f>
        <v>4.0343187381875166E-3</v>
      </c>
      <c r="BR27" s="703">
        <f>$BL27*(1-'Tier3Phase-in'!$O$12)</f>
        <v>3.7170721794833866E-3</v>
      </c>
      <c r="BS27" s="703">
        <f>$BL27*(1-'Tier3Phase-in'!$P$12)</f>
        <v>3.7091410155157835E-3</v>
      </c>
      <c r="BT27" s="703">
        <f>$BL27*(1-'Tier3Phase-in'!$Q$12)</f>
        <v>3.7012098515481805E-3</v>
      </c>
      <c r="BU27" s="685">
        <f>BU25</f>
        <v>8.9132985328794646E-3</v>
      </c>
      <c r="BV27" s="703">
        <f>BV25</f>
        <v>7.8431550310794056E-3</v>
      </c>
      <c r="BW27" s="703">
        <f>(1-'Tier3Phase-in'!$J$20)*BV27</f>
        <v>2.6666727105669977E-3</v>
      </c>
      <c r="BX27" s="685">
        <f>BX25</f>
        <v>1.8438128163137245E-2</v>
      </c>
      <c r="BY27" s="703">
        <f>BY25</f>
        <v>1.7230172593621172E-2</v>
      </c>
      <c r="BZ27" s="685">
        <f>BZ25</f>
        <v>1.5261726391086378E-2</v>
      </c>
      <c r="CA27" s="703">
        <f>CA25</f>
        <v>6.1596250977922953E-3</v>
      </c>
    </row>
    <row r="28" spans="1:79" x14ac:dyDescent="0.2">
      <c r="A28" s="690" t="str">
        <f>Technologies!C85</f>
        <v>TCGSLAH</v>
      </c>
      <c r="B28" s="690" t="str">
        <f>Technologies!D85</f>
        <v>Commercial Truck, Advanced Hybrid Tech Gasoline</v>
      </c>
      <c r="C28" s="685">
        <f>C27</f>
        <v>0.50520914230380454</v>
      </c>
      <c r="D28" s="702">
        <f>D27</f>
        <v>0.34644203347723984</v>
      </c>
      <c r="E28" s="702">
        <f>$D28*(1-'Tier3Phase-in'!$J$12)</f>
        <v>0.34644203347723984</v>
      </c>
      <c r="F28" s="702">
        <f>$D28*(1-'Tier3Phase-in'!$K$12)</f>
        <v>0.30004354685082379</v>
      </c>
      <c r="G28" s="702">
        <f>$D28*(1-'Tier3Phase-in'!$L$12)</f>
        <v>0.26376836639744394</v>
      </c>
      <c r="H28" s="702">
        <f>$D28*(1-'Tier3Phase-in'!$M$12)</f>
        <v>0.24900521156176614</v>
      </c>
      <c r="I28" s="702">
        <f>$D28*(1-'Tier3Phase-in'!$N$12)</f>
        <v>0.23601363530636965</v>
      </c>
      <c r="J28" s="702">
        <f>$D28*(1-'Tier3Phase-in'!$O$12)</f>
        <v>0.21745424065580318</v>
      </c>
      <c r="K28" s="702">
        <f>$D28*(1-'Tier3Phase-in'!$P$12)</f>
        <v>0.21699025578953904</v>
      </c>
      <c r="L28" s="702">
        <f>$D28*(1-'Tier3Phase-in'!$Q$12)</f>
        <v>0.21652627092327489</v>
      </c>
      <c r="M28" s="685">
        <f>M27</f>
        <v>3.8288846966886877E-2</v>
      </c>
      <c r="N28" s="702">
        <f>N27</f>
        <v>3.701430154965854E-2</v>
      </c>
      <c r="O28" s="702">
        <f>$N28*(1-'Tier3Phase-in'!$J$12)</f>
        <v>3.701430154965854E-2</v>
      </c>
      <c r="P28" s="702">
        <f>$N28*(1-'Tier3Phase-in'!$K$12)</f>
        <v>3.2057029020686419E-2</v>
      </c>
      <c r="Q28" s="702">
        <f>$N28*(1-'Tier3Phase-in'!$L$12)</f>
        <v>2.8181343225308207E-2</v>
      </c>
      <c r="R28" s="702">
        <f>$N28*(1-'Tier3Phase-in'!$M$12)</f>
        <v>2.6604029238817075E-2</v>
      </c>
      <c r="S28" s="702">
        <f>$N28*(1-'Tier3Phase-in'!$N$12)</f>
        <v>2.5215992930704881E-2</v>
      </c>
      <c r="T28" s="702">
        <f>$N28*(1-'Tier3Phase-in'!$O$12)</f>
        <v>2.3233083919116024E-2</v>
      </c>
      <c r="U28" s="702">
        <f>$N28*(1-'Tier3Phase-in'!$P$12)</f>
        <v>2.3183511193826306E-2</v>
      </c>
      <c r="V28" s="702">
        <f>$N28*(1-'Tier3Phase-in'!$Q$12)</f>
        <v>2.3133938468536588E-2</v>
      </c>
      <c r="W28" s="685">
        <f>W27</f>
        <v>1.7664381562035137E-2</v>
      </c>
      <c r="X28" s="702">
        <f>X27</f>
        <v>1.6449821562436358E-2</v>
      </c>
      <c r="Y28" s="702">
        <f>$X28*(1-'Tier3Phase-in'!$J$12)</f>
        <v>1.6449821562436358E-2</v>
      </c>
      <c r="Z28" s="702">
        <f>$X28*(1-'Tier3Phase-in'!$K$12)</f>
        <v>1.4246720460324346E-2</v>
      </c>
      <c r="AA28" s="702">
        <f>$X28*(1-'Tier3Phase-in'!$L$12)</f>
        <v>1.2524295962309499E-2</v>
      </c>
      <c r="AB28" s="702">
        <f>$X28*(1-'Tier3Phase-in'!$M$12)</f>
        <v>1.1823309248001132E-2</v>
      </c>
      <c r="AC28" s="702">
        <f>$X28*(1-'Tier3Phase-in'!$N$12)</f>
        <v>1.1206440939409769E-2</v>
      </c>
      <c r="AD28" s="702">
        <f>$X28*(1-'Tier3Phase-in'!$O$12)</f>
        <v>1.0325200498564962E-2</v>
      </c>
      <c r="AE28" s="702">
        <f>$X28*(1-'Tier3Phase-in'!$P$12)</f>
        <v>1.0303169487543843E-2</v>
      </c>
      <c r="AF28" s="702">
        <f>$X28*(1-'Tier3Phase-in'!$Q$12)</f>
        <v>1.0281138476522723E-2</v>
      </c>
      <c r="AG28" s="685">
        <f>AG27</f>
        <v>6.7065892779184422</v>
      </c>
      <c r="AH28" s="702">
        <f>AH27</f>
        <v>5.1178910523048877</v>
      </c>
      <c r="AI28" s="702">
        <f>$AH28*(1-'Tier3Phase-in'!$J$12)</f>
        <v>5.1178910523048877</v>
      </c>
      <c r="AJ28" s="702">
        <f>$AH28*(1-'Tier3Phase-in'!$K$12)</f>
        <v>4.4324592149426261</v>
      </c>
      <c r="AK28" s="702">
        <f>$AH28*(1-'Tier3Phase-in'!$L$12)</f>
        <v>3.8965761420957667</v>
      </c>
      <c r="AL28" s="702">
        <f>$AH28*(1-'Tier3Phase-in'!$M$12)</f>
        <v>3.6784841938441382</v>
      </c>
      <c r="AM28" s="702">
        <f>$AH28*(1-'Tier3Phase-in'!$N$12)</f>
        <v>3.4865632793827048</v>
      </c>
      <c r="AN28" s="702">
        <f>$AH28*(1-'Tier3Phase-in'!$O$12)</f>
        <v>3.2123905444377994</v>
      </c>
      <c r="AO28" s="702">
        <f>$AH28*(1-'Tier3Phase-in'!$P$12)</f>
        <v>3.2055362260641771</v>
      </c>
      <c r="AP28" s="702">
        <f>$AH28*(1-'Tier3Phase-in'!$Q$12)</f>
        <v>3.1986819076905548</v>
      </c>
      <c r="AQ28" s="685">
        <f>AQ27</f>
        <v>0.27752727818491491</v>
      </c>
      <c r="AR28" s="702">
        <f>AR27</f>
        <v>0.19781159329499731</v>
      </c>
      <c r="AS28" s="702">
        <f>$AR28*(1-'Tier3Phase-in'!$J$12)</f>
        <v>0.19781159329499731</v>
      </c>
      <c r="AT28" s="702">
        <f>$AR28*(1-'Tier3Phase-in'!$K$12)</f>
        <v>0.17131896919298875</v>
      </c>
      <c r="AU28" s="702">
        <f>$AR28*(1-'Tier3Phase-in'!$L$12)</f>
        <v>0.15060655398596387</v>
      </c>
      <c r="AV28" s="702">
        <f>$AR28*(1-'Tier3Phase-in'!$M$12)</f>
        <v>0.14217708268077933</v>
      </c>
      <c r="AW28" s="702">
        <f>$AR28*(1-'Tier3Phase-in'!$N$12)</f>
        <v>0.13475914793221691</v>
      </c>
      <c r="AX28" s="702">
        <f>$AR28*(1-'Tier3Phase-in'!$O$12)</f>
        <v>0.12416209829141346</v>
      </c>
      <c r="AY28" s="702">
        <f>$AR28*(1-'Tier3Phase-in'!$P$12)</f>
        <v>0.1238971720503934</v>
      </c>
      <c r="AZ28" s="702">
        <f>$AR28*(1-'Tier3Phase-in'!$Q$12)</f>
        <v>0.12363224580937332</v>
      </c>
      <c r="BA28" s="685">
        <f>BA27</f>
        <v>1.3928499714155774E-3</v>
      </c>
      <c r="BB28" s="703">
        <f>BB27</f>
        <v>1.1462004810943872E-3</v>
      </c>
      <c r="BC28" s="703">
        <f>$BB28*(1-'Tier3Phase-in'!$J$12)</f>
        <v>1.1462004810943872E-3</v>
      </c>
      <c r="BD28" s="703">
        <f>$BB28*(1-'Tier3Phase-in'!$K$12)</f>
        <v>9.9269148809067462E-4</v>
      </c>
      <c r="BE28" s="703">
        <f>$BB28*(1-'Tier3Phase-in'!$L$12)</f>
        <v>8.7267536628777209E-4</v>
      </c>
      <c r="BF28" s="703">
        <f>$BB28*(1-'Tier3Phase-in'!$M$12)</f>
        <v>8.2383159578659076E-4</v>
      </c>
      <c r="BG28" s="703">
        <f>$BB28*(1-'Tier3Phase-in'!$N$12)</f>
        <v>7.8084907774555133E-4</v>
      </c>
      <c r="BH28" s="703">
        <f>$BB28*(1-'Tier3Phase-in'!$O$12)</f>
        <v>7.1944548054406611E-4</v>
      </c>
      <c r="BI28" s="703">
        <f>$BB28*(1-'Tier3Phase-in'!$P$12)</f>
        <v>7.1791039061402907E-4</v>
      </c>
      <c r="BJ28" s="703">
        <f>$BB28*(1-'Tier3Phase-in'!$Q$12)</f>
        <v>7.1637530068399203E-4</v>
      </c>
      <c r="BK28" s="685">
        <f>BK27</f>
        <v>7.9270681742564623E-3</v>
      </c>
      <c r="BL28" s="703">
        <f>BL27</f>
        <v>5.921935762477089E-3</v>
      </c>
      <c r="BM28" s="703">
        <f>$BL28*(1-'Tier3Phase-in'!$J$12)</f>
        <v>5.921935762477089E-3</v>
      </c>
      <c r="BN28" s="703">
        <f>$BL28*(1-'Tier3Phase-in'!$K$12)</f>
        <v>5.1288193657167648E-3</v>
      </c>
      <c r="BO28" s="703">
        <f>$BL28*(1-'Tier3Phase-in'!$L$12)</f>
        <v>4.5087465464314202E-3</v>
      </c>
      <c r="BP28" s="703">
        <f>$BL28*(1-'Tier3Phase-in'!$M$12)</f>
        <v>4.2563913292804076E-3</v>
      </c>
      <c r="BQ28" s="703">
        <f>$BL28*(1-'Tier3Phase-in'!$N$12)</f>
        <v>4.0343187381875166E-3</v>
      </c>
      <c r="BR28" s="703">
        <f>$BL28*(1-'Tier3Phase-in'!$O$12)</f>
        <v>3.7170721794833866E-3</v>
      </c>
      <c r="BS28" s="703">
        <f>$BL28*(1-'Tier3Phase-in'!$P$12)</f>
        <v>3.7091410155157835E-3</v>
      </c>
      <c r="BT28" s="703">
        <f>$BL28*(1-'Tier3Phase-in'!$Q$12)</f>
        <v>3.7012098515481805E-3</v>
      </c>
      <c r="BU28" s="685">
        <f>BU27</f>
        <v>8.9132985328794646E-3</v>
      </c>
      <c r="BV28" s="703">
        <f>BV27</f>
        <v>7.8431550310794056E-3</v>
      </c>
      <c r="BW28" s="703">
        <f>(1-'Tier3Phase-in'!$J$20)*BV28</f>
        <v>2.6666727105669977E-3</v>
      </c>
      <c r="BX28" s="685">
        <f>BX27</f>
        <v>1.8438128163137245E-2</v>
      </c>
      <c r="BY28" s="703">
        <f>BY27</f>
        <v>1.7230172593621172E-2</v>
      </c>
      <c r="BZ28" s="685">
        <f>BZ27</f>
        <v>1.5261726391086378E-2</v>
      </c>
      <c r="CA28" s="703">
        <f>CA27</f>
        <v>6.1596250977922953E-3</v>
      </c>
    </row>
    <row r="29" spans="1:79" x14ac:dyDescent="0.2">
      <c r="A29" s="690" t="str">
        <f>Technologies!C86</f>
        <v>TCDSLC10</v>
      </c>
      <c r="B29" s="690" t="str">
        <f>Technologies!D86</f>
        <v>Commercial Truck, Diesel 2010</v>
      </c>
      <c r="C29" s="685">
        <f>'Raw emissions'!D17</f>
        <v>2.5750314307620501</v>
      </c>
      <c r="D29" s="702">
        <f>'Raw emissions'!E17</f>
        <v>0.88111864008919272</v>
      </c>
      <c r="E29" s="702">
        <f>$C29</f>
        <v>2.5750314307620501</v>
      </c>
      <c r="F29" s="702">
        <f t="shared" ref="F29:L29" si="32">$C29</f>
        <v>2.5750314307620501</v>
      </c>
      <c r="G29" s="702">
        <f t="shared" si="32"/>
        <v>2.5750314307620501</v>
      </c>
      <c r="H29" s="702">
        <f t="shared" si="32"/>
        <v>2.5750314307620501</v>
      </c>
      <c r="I29" s="702">
        <f t="shared" si="32"/>
        <v>2.5750314307620501</v>
      </c>
      <c r="J29" s="702">
        <f t="shared" si="32"/>
        <v>2.5750314307620501</v>
      </c>
      <c r="K29" s="702">
        <f t="shared" si="32"/>
        <v>2.5750314307620501</v>
      </c>
      <c r="L29" s="702">
        <f t="shared" si="32"/>
        <v>2.5750314307620501</v>
      </c>
      <c r="M29" s="685">
        <f>'Raw emissions'!J17</f>
        <v>0.13077145285921135</v>
      </c>
      <c r="N29" s="702">
        <f>'Raw emissions'!K17</f>
        <v>3.8328044839425368E-2</v>
      </c>
      <c r="O29" s="702">
        <f>$M29</f>
        <v>0.13077145285921135</v>
      </c>
      <c r="P29" s="702">
        <f t="shared" ref="P29:V29" si="33">$M29</f>
        <v>0.13077145285921135</v>
      </c>
      <c r="Q29" s="702">
        <f t="shared" si="33"/>
        <v>0.13077145285921135</v>
      </c>
      <c r="R29" s="702">
        <f t="shared" si="33"/>
        <v>0.13077145285921135</v>
      </c>
      <c r="S29" s="702">
        <f t="shared" si="33"/>
        <v>0.13077145285921135</v>
      </c>
      <c r="T29" s="702">
        <f t="shared" si="33"/>
        <v>0.13077145285921135</v>
      </c>
      <c r="U29" s="702">
        <f t="shared" si="33"/>
        <v>0.13077145285921135</v>
      </c>
      <c r="V29" s="702">
        <f t="shared" si="33"/>
        <v>0.13077145285921135</v>
      </c>
      <c r="W29" s="685">
        <f>'Raw emissions'!M17</f>
        <v>0.10660639457820084</v>
      </c>
      <c r="X29" s="702">
        <f>'Raw emissions'!N17</f>
        <v>1.6932815658923944E-2</v>
      </c>
      <c r="Y29" s="702">
        <f t="shared" ref="Y29:AF29" si="34">W29</f>
        <v>0.10660639457820084</v>
      </c>
      <c r="Z29" s="702">
        <f t="shared" si="34"/>
        <v>1.6932815658923944E-2</v>
      </c>
      <c r="AA29" s="702">
        <f t="shared" si="34"/>
        <v>0.10660639457820084</v>
      </c>
      <c r="AB29" s="702">
        <f t="shared" si="34"/>
        <v>1.6932815658923944E-2</v>
      </c>
      <c r="AC29" s="702">
        <f t="shared" si="34"/>
        <v>0.10660639457820084</v>
      </c>
      <c r="AD29" s="702">
        <f t="shared" si="34"/>
        <v>1.6932815658923944E-2</v>
      </c>
      <c r="AE29" s="702">
        <f t="shared" si="34"/>
        <v>0.10660639457820084</v>
      </c>
      <c r="AF29" s="702">
        <f t="shared" si="34"/>
        <v>1.6932815658923944E-2</v>
      </c>
      <c r="AG29" s="685">
        <f>'Raw emissions'!P17</f>
        <v>1.7323647833124949</v>
      </c>
      <c r="AH29" s="702">
        <f>'Raw emissions'!Q17</f>
        <v>1.0396836634047706</v>
      </c>
      <c r="AI29" s="702">
        <f>$AG29</f>
        <v>1.7323647833124949</v>
      </c>
      <c r="AJ29" s="702">
        <f t="shared" ref="AJ29:AP29" si="35">$AG29</f>
        <v>1.7323647833124949</v>
      </c>
      <c r="AK29" s="702">
        <f t="shared" si="35"/>
        <v>1.7323647833124949</v>
      </c>
      <c r="AL29" s="702">
        <f t="shared" si="35"/>
        <v>1.7323647833124949</v>
      </c>
      <c r="AM29" s="702">
        <f t="shared" si="35"/>
        <v>1.7323647833124949</v>
      </c>
      <c r="AN29" s="702">
        <f t="shared" si="35"/>
        <v>1.7323647833124949</v>
      </c>
      <c r="AO29" s="702">
        <f t="shared" si="35"/>
        <v>1.7323647833124949</v>
      </c>
      <c r="AP29" s="702">
        <f t="shared" si="35"/>
        <v>1.7323647833124949</v>
      </c>
      <c r="AQ29" s="685">
        <f>'Raw emissions'!Y17</f>
        <v>0.3557530850386087</v>
      </c>
      <c r="AR29" s="702">
        <f>'Raw emissions'!Z17</f>
        <v>0.14970844514113274</v>
      </c>
      <c r="AS29" s="702">
        <f>$AQ29</f>
        <v>0.3557530850386087</v>
      </c>
      <c r="AT29" s="702">
        <f t="shared" ref="AT29:AZ29" si="36">$AQ29</f>
        <v>0.3557530850386087</v>
      </c>
      <c r="AU29" s="702">
        <f t="shared" si="36"/>
        <v>0.3557530850386087</v>
      </c>
      <c r="AV29" s="702">
        <f t="shared" si="36"/>
        <v>0.3557530850386087</v>
      </c>
      <c r="AW29" s="702">
        <f t="shared" si="36"/>
        <v>0.3557530850386087</v>
      </c>
      <c r="AX29" s="702">
        <f t="shared" si="36"/>
        <v>0.3557530850386087</v>
      </c>
      <c r="AY29" s="702">
        <f t="shared" si="36"/>
        <v>0.3557530850386087</v>
      </c>
      <c r="AZ29" s="702">
        <f t="shared" si="36"/>
        <v>0.3557530850386087</v>
      </c>
      <c r="BA29" s="685">
        <f>'Raw emissions'!AK17</f>
        <v>6.6706374561248089E-2</v>
      </c>
      <c r="BB29" s="703">
        <f>'Raw emissions'!AL17</f>
        <v>9.474130672766076E-4</v>
      </c>
      <c r="BC29" s="703">
        <f>$BA29</f>
        <v>6.6706374561248089E-2</v>
      </c>
      <c r="BD29" s="703">
        <f t="shared" ref="BD29:BJ29" si="37">$BA29</f>
        <v>6.6706374561248089E-2</v>
      </c>
      <c r="BE29" s="703">
        <f t="shared" si="37"/>
        <v>6.6706374561248089E-2</v>
      </c>
      <c r="BF29" s="703">
        <f t="shared" si="37"/>
        <v>6.6706374561248089E-2</v>
      </c>
      <c r="BG29" s="703">
        <f t="shared" si="37"/>
        <v>6.6706374561248089E-2</v>
      </c>
      <c r="BH29" s="703">
        <f t="shared" si="37"/>
        <v>6.6706374561248089E-2</v>
      </c>
      <c r="BI29" s="703">
        <f t="shared" si="37"/>
        <v>6.6706374561248089E-2</v>
      </c>
      <c r="BJ29" s="703">
        <f t="shared" si="37"/>
        <v>6.6706374561248089E-2</v>
      </c>
      <c r="BK29" s="685">
        <f>'Raw emissions'!AG17</f>
        <v>8.4837801543994854E-2</v>
      </c>
      <c r="BL29" s="703">
        <f>'Raw emissions'!AI17</f>
        <v>3.555891288374028E-3</v>
      </c>
      <c r="BM29" s="703">
        <f>$BK29</f>
        <v>8.4837801543994854E-2</v>
      </c>
      <c r="BN29" s="703">
        <f t="shared" ref="BN29:BT29" si="38">$BK29</f>
        <v>8.4837801543994854E-2</v>
      </c>
      <c r="BO29" s="703">
        <f t="shared" si="38"/>
        <v>8.4837801543994854E-2</v>
      </c>
      <c r="BP29" s="703">
        <f t="shared" si="38"/>
        <v>8.4837801543994854E-2</v>
      </c>
      <c r="BQ29" s="703">
        <f t="shared" si="38"/>
        <v>8.4837801543994854E-2</v>
      </c>
      <c r="BR29" s="703">
        <f t="shared" si="38"/>
        <v>8.4837801543994854E-2</v>
      </c>
      <c r="BS29" s="703">
        <f t="shared" si="38"/>
        <v>8.4837801543994854E-2</v>
      </c>
      <c r="BT29" s="703">
        <f t="shared" si="38"/>
        <v>8.4837801543994854E-2</v>
      </c>
      <c r="BU29" s="685">
        <f>'Raw emissions'!G17</f>
        <v>7.4882380159281507E-3</v>
      </c>
      <c r="BV29" s="703">
        <f>'Raw emissions'!H17</f>
        <v>4.7982271401190201E-3</v>
      </c>
      <c r="BW29" s="703">
        <f>(1-'Tier3Phase-in'!$J$20)*BV29</f>
        <v>1.6313972276404667E-3</v>
      </c>
      <c r="BX29" s="685">
        <f>'Raw emissions'!V17</f>
        <v>1.8222089420301853E-3</v>
      </c>
      <c r="BY29" s="703">
        <f>'Raw emissions'!W17</f>
        <v>1.8042323512116895E-3</v>
      </c>
      <c r="BZ29" s="685">
        <f>'Raw emissions'!S17</f>
        <v>2.7813110250467688E-3</v>
      </c>
      <c r="CA29" s="703">
        <f>'Raw emissions'!T17</f>
        <v>2.2734811799662029E-3</v>
      </c>
    </row>
    <row r="30" spans="1:79" x14ac:dyDescent="0.2">
      <c r="A30" s="690" t="str">
        <f>Technologies!C87</f>
        <v>TCDSLC</v>
      </c>
      <c r="B30" s="690" t="str">
        <f>Technologies!D87</f>
        <v>Commercial Truck, Conventional Diesel</v>
      </c>
      <c r="C30" s="685">
        <f>'Raw emissions'!D17</f>
        <v>2.5750314307620501</v>
      </c>
      <c r="D30" s="702">
        <f>'Raw emissions'!E17</f>
        <v>0.88111864008919272</v>
      </c>
      <c r="E30" s="702">
        <f>$D30*(1-'Tier3Phase-in'!$J$12)</f>
        <v>0.88111864008919272</v>
      </c>
      <c r="F30" s="702">
        <f>$D30*(1-'Tier3Phase-in'!$K$12)</f>
        <v>0.76311167936296154</v>
      </c>
      <c r="G30" s="702">
        <f>$D30*(1-'Tier3Phase-in'!$L$12)</f>
        <v>0.67085169188608995</v>
      </c>
      <c r="H30" s="702">
        <f>$D30*(1-'Tier3Phase-in'!$M$12)</f>
        <v>0.63330402256410723</v>
      </c>
      <c r="I30" s="702">
        <f>$D30*(1-'Tier3Phase-in'!$N$12)</f>
        <v>0.60026207356076255</v>
      </c>
      <c r="J30" s="702">
        <f>$D30*(1-'Tier3Phase-in'!$O$12)</f>
        <v>0.55305928927026993</v>
      </c>
      <c r="K30" s="702">
        <f>$D30*(1-'Tier3Phase-in'!$P$12)</f>
        <v>0.55187921966300768</v>
      </c>
      <c r="L30" s="702">
        <f>$D30*(1-'Tier3Phase-in'!$Q$12)</f>
        <v>0.55069915005574543</v>
      </c>
      <c r="M30" s="685">
        <f>'Raw emissions'!J17</f>
        <v>0.13077145285921135</v>
      </c>
      <c r="N30" s="702">
        <f>'Raw emissions'!K17</f>
        <v>3.8328044839425368E-2</v>
      </c>
      <c r="O30" s="702">
        <f>$N30*(1-'Tier3Phase-in'!$J$12)</f>
        <v>3.8328044839425368E-2</v>
      </c>
      <c r="P30" s="702">
        <f>$N30*(1-'Tier3Phase-in'!$K$12)</f>
        <v>3.3194824548430903E-2</v>
      </c>
      <c r="Q30" s="702">
        <f>$N30*(1-'Tier3Phase-in'!$L$12)</f>
        <v>2.9181579593653403E-2</v>
      </c>
      <c r="R30" s="702">
        <f>$N30*(1-'Tier3Phase-in'!$M$12)</f>
        <v>2.7548282228336982E-2</v>
      </c>
      <c r="S30" s="702">
        <f>$N30*(1-'Tier3Phase-in'!$N$12)</f>
        <v>2.6110980546858533E-2</v>
      </c>
      <c r="T30" s="702">
        <f>$N30*(1-'Tier3Phase-in'!$O$12)</f>
        <v>2.4057692430460739E-2</v>
      </c>
      <c r="U30" s="702">
        <f>$N30*(1-'Tier3Phase-in'!$P$12)</f>
        <v>2.4006360227550799E-2</v>
      </c>
      <c r="V30" s="702">
        <f>$N30*(1-'Tier3Phase-in'!$Q$12)</f>
        <v>2.3955028024640855E-2</v>
      </c>
      <c r="W30" s="685">
        <f>'Raw emissions'!M17</f>
        <v>0.10660639457820084</v>
      </c>
      <c r="X30" s="702">
        <f>'Raw emissions'!N17</f>
        <v>1.6932815658923944E-2</v>
      </c>
      <c r="Y30" s="702">
        <f>$X30*(1-'Tier3Phase-in'!$J$12)</f>
        <v>1.6932815658923944E-2</v>
      </c>
      <c r="Z30" s="702">
        <f>$X30*(1-'Tier3Phase-in'!$K$12)</f>
        <v>1.4665027847460916E-2</v>
      </c>
      <c r="AA30" s="702">
        <f>$X30*(1-'Tier3Phase-in'!$L$12)</f>
        <v>1.2892030103953457E-2</v>
      </c>
      <c r="AB30" s="702">
        <f>$X30*(1-'Tier3Phase-in'!$M$12)</f>
        <v>1.2170461254851585E-2</v>
      </c>
      <c r="AC30" s="702">
        <f>$X30*(1-'Tier3Phase-in'!$N$12)</f>
        <v>1.1535480667641937E-2</v>
      </c>
      <c r="AD30" s="702">
        <f>$X30*(1-'Tier3Phase-in'!$O$12)</f>
        <v>1.0628365543056724E-2</v>
      </c>
      <c r="AE30" s="702">
        <f>$X30*(1-'Tier3Phase-in'!$P$12)</f>
        <v>1.0605687664942094E-2</v>
      </c>
      <c r="AF30" s="702">
        <f>$X30*(1-'Tier3Phase-in'!$Q$12)</f>
        <v>1.0583009786827465E-2</v>
      </c>
      <c r="AG30" s="685">
        <f>'Raw emissions'!P17</f>
        <v>1.7323647833124949</v>
      </c>
      <c r="AH30" s="702">
        <f>'Raw emissions'!Q17</f>
        <v>1.0396836634047706</v>
      </c>
      <c r="AI30" s="702">
        <f>$AH30*(1-'Tier3Phase-in'!$J$12)</f>
        <v>1.0396836634047706</v>
      </c>
      <c r="AJ30" s="702">
        <f>$AH30*(1-'Tier3Phase-in'!$K$12)</f>
        <v>0.90044031562734594</v>
      </c>
      <c r="AK30" s="702">
        <f>$AH30*(1-'Tier3Phase-in'!$L$12)</f>
        <v>0.79157733463772306</v>
      </c>
      <c r="AL30" s="702">
        <f>$AH30*(1-'Tier3Phase-in'!$M$12)</f>
        <v>0.74727263307217884</v>
      </c>
      <c r="AM30" s="702">
        <f>$AH30*(1-'Tier3Phase-in'!$N$12)</f>
        <v>0.70828449569450003</v>
      </c>
      <c r="AN30" s="702">
        <f>$AH30*(1-'Tier3Phase-in'!$O$12)</f>
        <v>0.65258715658352995</v>
      </c>
      <c r="AO30" s="702">
        <f>$AH30*(1-'Tier3Phase-in'!$P$12)</f>
        <v>0.65119472310575577</v>
      </c>
      <c r="AP30" s="702">
        <f>$AH30*(1-'Tier3Phase-in'!$Q$12)</f>
        <v>0.64980228962798159</v>
      </c>
      <c r="AQ30" s="685">
        <f>'Raw emissions'!Y17</f>
        <v>0.3557530850386087</v>
      </c>
      <c r="AR30" s="702">
        <f>'Raw emissions'!Z17</f>
        <v>0.14970844514113274</v>
      </c>
      <c r="AS30" s="702">
        <f>$AR30*(1-'Tier3Phase-in'!$J$12)</f>
        <v>0.14970844514113274</v>
      </c>
      <c r="AT30" s="702">
        <f>$AR30*(1-'Tier3Phase-in'!$K$12)</f>
        <v>0.12965820695258817</v>
      </c>
      <c r="AU30" s="702">
        <f>$AR30*(1-'Tier3Phase-in'!$L$12)</f>
        <v>0.11398256618699878</v>
      </c>
      <c r="AV30" s="702">
        <f>$AR30*(1-'Tier3Phase-in'!$M$12)</f>
        <v>0.10760294494518916</v>
      </c>
      <c r="AW30" s="702">
        <f>$AR30*(1-'Tier3Phase-in'!$N$12)</f>
        <v>0.10198887825239668</v>
      </c>
      <c r="AX30" s="702">
        <f>$AR30*(1-'Tier3Phase-in'!$O$12)</f>
        <v>9.3968782976978832E-2</v>
      </c>
      <c r="AY30" s="702">
        <f>$AR30*(1-'Tier3Phase-in'!$P$12)</f>
        <v>9.3768280595093401E-2</v>
      </c>
      <c r="AZ30" s="702">
        <f>$AR30*(1-'Tier3Phase-in'!$Q$12)</f>
        <v>9.3567778213207969E-2</v>
      </c>
      <c r="BA30" s="685">
        <f>'Raw emissions'!AK17</f>
        <v>6.6706374561248089E-2</v>
      </c>
      <c r="BB30" s="703">
        <f>'Raw emissions'!AL17</f>
        <v>9.474130672766076E-4</v>
      </c>
      <c r="BC30" s="703">
        <f>$BB30*(1-'Tier3Phase-in'!$J$12)</f>
        <v>9.474130672766076E-4</v>
      </c>
      <c r="BD30" s="703">
        <f>$BB30*(1-'Tier3Phase-in'!$K$12)</f>
        <v>8.2052738862349052E-4</v>
      </c>
      <c r="BE30" s="703">
        <f>$BB30*(1-'Tier3Phase-in'!$L$12)</f>
        <v>7.2132585804014445E-4</v>
      </c>
      <c r="BF30" s="703">
        <f>$BB30*(1-'Tier3Phase-in'!$M$12)</f>
        <v>6.8095314210506175E-4</v>
      </c>
      <c r="BG30" s="703">
        <f>$BB30*(1-'Tier3Phase-in'!$N$12)</f>
        <v>6.45425152082189E-4</v>
      </c>
      <c r="BH30" s="703">
        <f>$BB30*(1-'Tier3Phase-in'!$O$12)</f>
        <v>5.94670880620942E-4</v>
      </c>
      <c r="BI30" s="703">
        <f>$BB30*(1-'Tier3Phase-in'!$P$12)</f>
        <v>5.9340202383441083E-4</v>
      </c>
      <c r="BJ30" s="703">
        <f>$BB30*(1-'Tier3Phase-in'!$Q$12)</f>
        <v>5.9213316704787976E-4</v>
      </c>
      <c r="BK30" s="685">
        <f>'Raw emissions'!AG17</f>
        <v>8.4837801543994854E-2</v>
      </c>
      <c r="BL30" s="703">
        <f>'Raw emissions'!AI17</f>
        <v>3.555891288374028E-3</v>
      </c>
      <c r="BM30" s="703">
        <f>$BL30*(1-'Tier3Phase-in'!$J$12)</f>
        <v>3.555891288374028E-3</v>
      </c>
      <c r="BN30" s="703">
        <f>$BL30*(1-'Tier3Phase-in'!$K$12)</f>
        <v>3.0796558479667924E-3</v>
      </c>
      <c r="BO30" s="703">
        <f>$BL30*(1-'Tier3Phase-in'!$L$12)</f>
        <v>2.707326321830226E-3</v>
      </c>
      <c r="BP30" s="703">
        <f>$BL30*(1-'Tier3Phase-in'!$M$12)</f>
        <v>2.5557968635188328E-3</v>
      </c>
      <c r="BQ30" s="703">
        <f>$BL30*(1-'Tier3Phase-in'!$N$12)</f>
        <v>2.4224509402048068E-3</v>
      </c>
      <c r="BR30" s="703">
        <f>$BL30*(1-'Tier3Phase-in'!$O$12)</f>
        <v>2.231956764041912E-3</v>
      </c>
      <c r="BS30" s="703">
        <f>$BL30*(1-'Tier3Phase-in'!$P$12)</f>
        <v>2.2271944096378398E-3</v>
      </c>
      <c r="BT30" s="703">
        <f>$BL30*(1-'Tier3Phase-in'!$Q$12)</f>
        <v>2.2224320552337675E-3</v>
      </c>
      <c r="BU30" s="685">
        <f>'Raw emissions'!G17</f>
        <v>7.4882380159281507E-3</v>
      </c>
      <c r="BV30" s="703">
        <f>'Raw emissions'!H17</f>
        <v>4.7982271401190201E-3</v>
      </c>
      <c r="BW30" s="703">
        <f>(1-'Tier3Phase-in'!$J$20)*BV30</f>
        <v>1.6313972276404667E-3</v>
      </c>
      <c r="BX30" s="685">
        <f>'Raw emissions'!V17</f>
        <v>1.8222089420301853E-3</v>
      </c>
      <c r="BY30" s="703">
        <f>'Raw emissions'!W17</f>
        <v>1.8042323512116895E-3</v>
      </c>
      <c r="BZ30" s="685">
        <f>'Raw emissions'!S17</f>
        <v>2.7813110250467688E-3</v>
      </c>
      <c r="CA30" s="703">
        <f>'Raw emissions'!T17</f>
        <v>2.2734811799662029E-3</v>
      </c>
    </row>
    <row r="31" spans="1:79" x14ac:dyDescent="0.2">
      <c r="A31" s="690" t="str">
        <f>Technologies!C88</f>
        <v>TCDSLIM</v>
      </c>
      <c r="B31" s="690" t="str">
        <f>Technologies!D88</f>
        <v>Commercial Truck, Improved Diesel</v>
      </c>
      <c r="C31" s="685">
        <f>C30</f>
        <v>2.5750314307620501</v>
      </c>
      <c r="D31" s="702">
        <f>D30</f>
        <v>0.88111864008919272</v>
      </c>
      <c r="E31" s="702">
        <f>$D31*(1-'Tier3Phase-in'!$J$12)</f>
        <v>0.88111864008919272</v>
      </c>
      <c r="F31" s="702">
        <f>$D31*(1-'Tier3Phase-in'!$K$12)</f>
        <v>0.76311167936296154</v>
      </c>
      <c r="G31" s="702">
        <f>$D31*(1-'Tier3Phase-in'!$L$12)</f>
        <v>0.67085169188608995</v>
      </c>
      <c r="H31" s="702">
        <f>$D31*(1-'Tier3Phase-in'!$M$12)</f>
        <v>0.63330402256410723</v>
      </c>
      <c r="I31" s="702">
        <f>$D31*(1-'Tier3Phase-in'!$N$12)</f>
        <v>0.60026207356076255</v>
      </c>
      <c r="J31" s="702">
        <f>$D31*(1-'Tier3Phase-in'!$O$12)</f>
        <v>0.55305928927026993</v>
      </c>
      <c r="K31" s="702">
        <f>$D31*(1-'Tier3Phase-in'!$P$12)</f>
        <v>0.55187921966300768</v>
      </c>
      <c r="L31" s="702">
        <f>$D31*(1-'Tier3Phase-in'!$Q$12)</f>
        <v>0.55069915005574543</v>
      </c>
      <c r="M31" s="685">
        <f>M30</f>
        <v>0.13077145285921135</v>
      </c>
      <c r="N31" s="702">
        <f>N30</f>
        <v>3.8328044839425368E-2</v>
      </c>
      <c r="O31" s="702">
        <f>$N31*(1-'Tier3Phase-in'!$J$12)</f>
        <v>3.8328044839425368E-2</v>
      </c>
      <c r="P31" s="702">
        <f>$N31*(1-'Tier3Phase-in'!$K$12)</f>
        <v>3.3194824548430903E-2</v>
      </c>
      <c r="Q31" s="702">
        <f>$N31*(1-'Tier3Phase-in'!$L$12)</f>
        <v>2.9181579593653403E-2</v>
      </c>
      <c r="R31" s="702">
        <f>$N31*(1-'Tier3Phase-in'!$M$12)</f>
        <v>2.7548282228336982E-2</v>
      </c>
      <c r="S31" s="702">
        <f>$N31*(1-'Tier3Phase-in'!$N$12)</f>
        <v>2.6110980546858533E-2</v>
      </c>
      <c r="T31" s="702">
        <f>$N31*(1-'Tier3Phase-in'!$O$12)</f>
        <v>2.4057692430460739E-2</v>
      </c>
      <c r="U31" s="702">
        <f>$N31*(1-'Tier3Phase-in'!$P$12)</f>
        <v>2.4006360227550799E-2</v>
      </c>
      <c r="V31" s="702">
        <f>$N31*(1-'Tier3Phase-in'!$Q$12)</f>
        <v>2.3955028024640855E-2</v>
      </c>
      <c r="W31" s="685">
        <f>W30</f>
        <v>0.10660639457820084</v>
      </c>
      <c r="X31" s="702">
        <f>X30</f>
        <v>1.6932815658923944E-2</v>
      </c>
      <c r="Y31" s="702">
        <f>$X31*(1-'Tier3Phase-in'!$J$12)</f>
        <v>1.6932815658923944E-2</v>
      </c>
      <c r="Z31" s="702">
        <f>$X31*(1-'Tier3Phase-in'!$K$12)</f>
        <v>1.4665027847460916E-2</v>
      </c>
      <c r="AA31" s="702">
        <f>$X31*(1-'Tier3Phase-in'!$L$12)</f>
        <v>1.2892030103953457E-2</v>
      </c>
      <c r="AB31" s="702">
        <f>$X31*(1-'Tier3Phase-in'!$M$12)</f>
        <v>1.2170461254851585E-2</v>
      </c>
      <c r="AC31" s="702">
        <f>$X31*(1-'Tier3Phase-in'!$N$12)</f>
        <v>1.1535480667641937E-2</v>
      </c>
      <c r="AD31" s="702">
        <f>$X31*(1-'Tier3Phase-in'!$O$12)</f>
        <v>1.0628365543056724E-2</v>
      </c>
      <c r="AE31" s="702">
        <f>$X31*(1-'Tier3Phase-in'!$P$12)</f>
        <v>1.0605687664942094E-2</v>
      </c>
      <c r="AF31" s="702">
        <f>$X31*(1-'Tier3Phase-in'!$Q$12)</f>
        <v>1.0583009786827465E-2</v>
      </c>
      <c r="AG31" s="685">
        <f>AG30</f>
        <v>1.7323647833124949</v>
      </c>
      <c r="AH31" s="702">
        <f>AH30</f>
        <v>1.0396836634047706</v>
      </c>
      <c r="AI31" s="702">
        <f>$AH31*(1-'Tier3Phase-in'!$J$12)</f>
        <v>1.0396836634047706</v>
      </c>
      <c r="AJ31" s="702">
        <f>$AH31*(1-'Tier3Phase-in'!$K$12)</f>
        <v>0.90044031562734594</v>
      </c>
      <c r="AK31" s="702">
        <f>$AH31*(1-'Tier3Phase-in'!$L$12)</f>
        <v>0.79157733463772306</v>
      </c>
      <c r="AL31" s="702">
        <f>$AH31*(1-'Tier3Phase-in'!$M$12)</f>
        <v>0.74727263307217884</v>
      </c>
      <c r="AM31" s="702">
        <f>$AH31*(1-'Tier3Phase-in'!$N$12)</f>
        <v>0.70828449569450003</v>
      </c>
      <c r="AN31" s="702">
        <f>$AH31*(1-'Tier3Phase-in'!$O$12)</f>
        <v>0.65258715658352995</v>
      </c>
      <c r="AO31" s="702">
        <f>$AH31*(1-'Tier3Phase-in'!$P$12)</f>
        <v>0.65119472310575577</v>
      </c>
      <c r="AP31" s="702">
        <f>$AH31*(1-'Tier3Phase-in'!$Q$12)</f>
        <v>0.64980228962798159</v>
      </c>
      <c r="AQ31" s="685">
        <f>AQ30</f>
        <v>0.3557530850386087</v>
      </c>
      <c r="AR31" s="702">
        <f>AR30</f>
        <v>0.14970844514113274</v>
      </c>
      <c r="AS31" s="702">
        <f>$AR31*(1-'Tier3Phase-in'!$J$12)</f>
        <v>0.14970844514113274</v>
      </c>
      <c r="AT31" s="702">
        <f>$AR31*(1-'Tier3Phase-in'!$K$12)</f>
        <v>0.12965820695258817</v>
      </c>
      <c r="AU31" s="702">
        <f>$AR31*(1-'Tier3Phase-in'!$L$12)</f>
        <v>0.11398256618699878</v>
      </c>
      <c r="AV31" s="702">
        <f>$AR31*(1-'Tier3Phase-in'!$M$12)</f>
        <v>0.10760294494518916</v>
      </c>
      <c r="AW31" s="702">
        <f>$AR31*(1-'Tier3Phase-in'!$N$12)</f>
        <v>0.10198887825239668</v>
      </c>
      <c r="AX31" s="702">
        <f>$AR31*(1-'Tier3Phase-in'!$O$12)</f>
        <v>9.3968782976978832E-2</v>
      </c>
      <c r="AY31" s="702">
        <f>$AR31*(1-'Tier3Phase-in'!$P$12)</f>
        <v>9.3768280595093401E-2</v>
      </c>
      <c r="AZ31" s="702">
        <f>$AR31*(1-'Tier3Phase-in'!$Q$12)</f>
        <v>9.3567778213207969E-2</v>
      </c>
      <c r="BA31" s="685">
        <f>BA30</f>
        <v>6.6706374561248089E-2</v>
      </c>
      <c r="BB31" s="703">
        <f>BB30</f>
        <v>9.474130672766076E-4</v>
      </c>
      <c r="BC31" s="703">
        <f>$BB31*(1-'Tier3Phase-in'!$J$12)</f>
        <v>9.474130672766076E-4</v>
      </c>
      <c r="BD31" s="703">
        <f>$BB31*(1-'Tier3Phase-in'!$K$12)</f>
        <v>8.2052738862349052E-4</v>
      </c>
      <c r="BE31" s="703">
        <f>$BB31*(1-'Tier3Phase-in'!$L$12)</f>
        <v>7.2132585804014445E-4</v>
      </c>
      <c r="BF31" s="703">
        <f>$BB31*(1-'Tier3Phase-in'!$M$12)</f>
        <v>6.8095314210506175E-4</v>
      </c>
      <c r="BG31" s="703">
        <f>$BB31*(1-'Tier3Phase-in'!$N$12)</f>
        <v>6.45425152082189E-4</v>
      </c>
      <c r="BH31" s="703">
        <f>$BB31*(1-'Tier3Phase-in'!$O$12)</f>
        <v>5.94670880620942E-4</v>
      </c>
      <c r="BI31" s="703">
        <f>$BB31*(1-'Tier3Phase-in'!$P$12)</f>
        <v>5.9340202383441083E-4</v>
      </c>
      <c r="BJ31" s="703">
        <f>$BB31*(1-'Tier3Phase-in'!$Q$12)</f>
        <v>5.9213316704787976E-4</v>
      </c>
      <c r="BK31" s="685">
        <f>BK30</f>
        <v>8.4837801543994854E-2</v>
      </c>
      <c r="BL31" s="703">
        <f>BL30</f>
        <v>3.555891288374028E-3</v>
      </c>
      <c r="BM31" s="703">
        <f>$BL31*(1-'Tier3Phase-in'!$J$12)</f>
        <v>3.555891288374028E-3</v>
      </c>
      <c r="BN31" s="703">
        <f>$BL31*(1-'Tier3Phase-in'!$K$12)</f>
        <v>3.0796558479667924E-3</v>
      </c>
      <c r="BO31" s="703">
        <f>$BL31*(1-'Tier3Phase-in'!$L$12)</f>
        <v>2.707326321830226E-3</v>
      </c>
      <c r="BP31" s="703">
        <f>$BL31*(1-'Tier3Phase-in'!$M$12)</f>
        <v>2.5557968635188328E-3</v>
      </c>
      <c r="BQ31" s="703">
        <f>$BL31*(1-'Tier3Phase-in'!$N$12)</f>
        <v>2.4224509402048068E-3</v>
      </c>
      <c r="BR31" s="703">
        <f>$BL31*(1-'Tier3Phase-in'!$O$12)</f>
        <v>2.231956764041912E-3</v>
      </c>
      <c r="BS31" s="703">
        <f>$BL31*(1-'Tier3Phase-in'!$P$12)</f>
        <v>2.2271944096378398E-3</v>
      </c>
      <c r="BT31" s="703">
        <f>$BL31*(1-'Tier3Phase-in'!$Q$12)</f>
        <v>2.2224320552337675E-3</v>
      </c>
      <c r="BU31" s="685">
        <f>BU30</f>
        <v>7.4882380159281507E-3</v>
      </c>
      <c r="BV31" s="703">
        <f>BV30</f>
        <v>4.7982271401190201E-3</v>
      </c>
      <c r="BW31" s="703">
        <f>(1-'Tier3Phase-in'!$J$20)*BV31</f>
        <v>1.6313972276404667E-3</v>
      </c>
      <c r="BX31" s="685">
        <f>BX30</f>
        <v>1.8222089420301853E-3</v>
      </c>
      <c r="BY31" s="703">
        <f>BY30</f>
        <v>1.8042323512116895E-3</v>
      </c>
      <c r="BZ31" s="685">
        <f>BZ30</f>
        <v>2.7813110250467688E-3</v>
      </c>
      <c r="CA31" s="703">
        <f>CA30</f>
        <v>2.2734811799662029E-3</v>
      </c>
    </row>
    <row r="32" spans="1:79" x14ac:dyDescent="0.2">
      <c r="A32" s="690" t="str">
        <f>Technologies!C89</f>
        <v>TCDSLAH</v>
      </c>
      <c r="B32" s="690" t="str">
        <f>Technologies!D89</f>
        <v>Commercial Truck, Advanced Hybrid Diesel</v>
      </c>
      <c r="C32" s="685">
        <f>C30</f>
        <v>2.5750314307620501</v>
      </c>
      <c r="D32" s="702">
        <f>D30</f>
        <v>0.88111864008919272</v>
      </c>
      <c r="E32" s="702">
        <f>$D32*(1-'Tier3Phase-in'!$J$12)</f>
        <v>0.88111864008919272</v>
      </c>
      <c r="F32" s="702">
        <f>$D32*(1-'Tier3Phase-in'!$K$12)</f>
        <v>0.76311167936296154</v>
      </c>
      <c r="G32" s="702">
        <f>$D32*(1-'Tier3Phase-in'!$L$12)</f>
        <v>0.67085169188608995</v>
      </c>
      <c r="H32" s="702">
        <f>$D32*(1-'Tier3Phase-in'!$M$12)</f>
        <v>0.63330402256410723</v>
      </c>
      <c r="I32" s="702">
        <f>$D32*(1-'Tier3Phase-in'!$N$12)</f>
        <v>0.60026207356076255</v>
      </c>
      <c r="J32" s="702">
        <f>$D32*(1-'Tier3Phase-in'!$O$12)</f>
        <v>0.55305928927026993</v>
      </c>
      <c r="K32" s="702">
        <f>$D32*(1-'Tier3Phase-in'!$P$12)</f>
        <v>0.55187921966300768</v>
      </c>
      <c r="L32" s="702">
        <f>$D32*(1-'Tier3Phase-in'!$Q$12)</f>
        <v>0.55069915005574543</v>
      </c>
      <c r="M32" s="685">
        <f>M30</f>
        <v>0.13077145285921135</v>
      </c>
      <c r="N32" s="702">
        <f>N30</f>
        <v>3.8328044839425368E-2</v>
      </c>
      <c r="O32" s="702">
        <f>$N32*(1-'Tier3Phase-in'!$J$12)</f>
        <v>3.8328044839425368E-2</v>
      </c>
      <c r="P32" s="702">
        <f>$N32*(1-'Tier3Phase-in'!$K$12)</f>
        <v>3.3194824548430903E-2</v>
      </c>
      <c r="Q32" s="702">
        <f>$N32*(1-'Tier3Phase-in'!$L$12)</f>
        <v>2.9181579593653403E-2</v>
      </c>
      <c r="R32" s="702">
        <f>$N32*(1-'Tier3Phase-in'!$M$12)</f>
        <v>2.7548282228336982E-2</v>
      </c>
      <c r="S32" s="702">
        <f>$N32*(1-'Tier3Phase-in'!$N$12)</f>
        <v>2.6110980546858533E-2</v>
      </c>
      <c r="T32" s="702">
        <f>$N32*(1-'Tier3Phase-in'!$O$12)</f>
        <v>2.4057692430460739E-2</v>
      </c>
      <c r="U32" s="702">
        <f>$N32*(1-'Tier3Phase-in'!$P$12)</f>
        <v>2.4006360227550799E-2</v>
      </c>
      <c r="V32" s="702">
        <f>$N32*(1-'Tier3Phase-in'!$Q$12)</f>
        <v>2.3955028024640855E-2</v>
      </c>
      <c r="W32" s="685">
        <f>W30</f>
        <v>0.10660639457820084</v>
      </c>
      <c r="X32" s="702">
        <f>X30</f>
        <v>1.6932815658923944E-2</v>
      </c>
      <c r="Y32" s="702">
        <f>$X32*(1-'Tier3Phase-in'!$J$12)</f>
        <v>1.6932815658923944E-2</v>
      </c>
      <c r="Z32" s="702">
        <f>$X32*(1-'Tier3Phase-in'!$K$12)</f>
        <v>1.4665027847460916E-2</v>
      </c>
      <c r="AA32" s="702">
        <f>$X32*(1-'Tier3Phase-in'!$L$12)</f>
        <v>1.2892030103953457E-2</v>
      </c>
      <c r="AB32" s="702">
        <f>$X32*(1-'Tier3Phase-in'!$M$12)</f>
        <v>1.2170461254851585E-2</v>
      </c>
      <c r="AC32" s="702">
        <f>$X32*(1-'Tier3Phase-in'!$N$12)</f>
        <v>1.1535480667641937E-2</v>
      </c>
      <c r="AD32" s="702">
        <f>$X32*(1-'Tier3Phase-in'!$O$12)</f>
        <v>1.0628365543056724E-2</v>
      </c>
      <c r="AE32" s="702">
        <f>$X32*(1-'Tier3Phase-in'!$P$12)</f>
        <v>1.0605687664942094E-2</v>
      </c>
      <c r="AF32" s="702">
        <f>$X32*(1-'Tier3Phase-in'!$Q$12)</f>
        <v>1.0583009786827465E-2</v>
      </c>
      <c r="AG32" s="685">
        <f>AG30</f>
        <v>1.7323647833124949</v>
      </c>
      <c r="AH32" s="702">
        <f>AH30</f>
        <v>1.0396836634047706</v>
      </c>
      <c r="AI32" s="702">
        <f>$AH32*(1-'Tier3Phase-in'!$J$12)</f>
        <v>1.0396836634047706</v>
      </c>
      <c r="AJ32" s="702">
        <f>$AH32*(1-'Tier3Phase-in'!$K$12)</f>
        <v>0.90044031562734594</v>
      </c>
      <c r="AK32" s="702">
        <f>$AH32*(1-'Tier3Phase-in'!$L$12)</f>
        <v>0.79157733463772306</v>
      </c>
      <c r="AL32" s="702">
        <f>$AH32*(1-'Tier3Phase-in'!$M$12)</f>
        <v>0.74727263307217884</v>
      </c>
      <c r="AM32" s="702">
        <f>$AH32*(1-'Tier3Phase-in'!$N$12)</f>
        <v>0.70828449569450003</v>
      </c>
      <c r="AN32" s="702">
        <f>$AH32*(1-'Tier3Phase-in'!$O$12)</f>
        <v>0.65258715658352995</v>
      </c>
      <c r="AO32" s="702">
        <f>$AH32*(1-'Tier3Phase-in'!$P$12)</f>
        <v>0.65119472310575577</v>
      </c>
      <c r="AP32" s="702">
        <f>$AH32*(1-'Tier3Phase-in'!$Q$12)</f>
        <v>0.64980228962798159</v>
      </c>
      <c r="AQ32" s="685">
        <f>AQ30</f>
        <v>0.3557530850386087</v>
      </c>
      <c r="AR32" s="702">
        <f>AR30</f>
        <v>0.14970844514113274</v>
      </c>
      <c r="AS32" s="702">
        <f>$AR32*(1-'Tier3Phase-in'!$J$12)</f>
        <v>0.14970844514113274</v>
      </c>
      <c r="AT32" s="702">
        <f>$AR32*(1-'Tier3Phase-in'!$K$12)</f>
        <v>0.12965820695258817</v>
      </c>
      <c r="AU32" s="702">
        <f>$AR32*(1-'Tier3Phase-in'!$L$12)</f>
        <v>0.11398256618699878</v>
      </c>
      <c r="AV32" s="702">
        <f>$AR32*(1-'Tier3Phase-in'!$M$12)</f>
        <v>0.10760294494518916</v>
      </c>
      <c r="AW32" s="702">
        <f>$AR32*(1-'Tier3Phase-in'!$N$12)</f>
        <v>0.10198887825239668</v>
      </c>
      <c r="AX32" s="702">
        <f>$AR32*(1-'Tier3Phase-in'!$O$12)</f>
        <v>9.3968782976978832E-2</v>
      </c>
      <c r="AY32" s="702">
        <f>$AR32*(1-'Tier3Phase-in'!$P$12)</f>
        <v>9.3768280595093401E-2</v>
      </c>
      <c r="AZ32" s="702">
        <f>$AR32*(1-'Tier3Phase-in'!$Q$12)</f>
        <v>9.3567778213207969E-2</v>
      </c>
      <c r="BA32" s="685">
        <f>BA30</f>
        <v>6.6706374561248089E-2</v>
      </c>
      <c r="BB32" s="703">
        <f>BB30</f>
        <v>9.474130672766076E-4</v>
      </c>
      <c r="BC32" s="703">
        <f>$BB32*(1-'Tier3Phase-in'!$J$12)</f>
        <v>9.474130672766076E-4</v>
      </c>
      <c r="BD32" s="703">
        <f>$BB32*(1-'Tier3Phase-in'!$K$12)</f>
        <v>8.2052738862349052E-4</v>
      </c>
      <c r="BE32" s="703">
        <f>$BB32*(1-'Tier3Phase-in'!$L$12)</f>
        <v>7.2132585804014445E-4</v>
      </c>
      <c r="BF32" s="703">
        <f>$BB32*(1-'Tier3Phase-in'!$M$12)</f>
        <v>6.8095314210506175E-4</v>
      </c>
      <c r="BG32" s="703">
        <f>$BB32*(1-'Tier3Phase-in'!$N$12)</f>
        <v>6.45425152082189E-4</v>
      </c>
      <c r="BH32" s="703">
        <f>$BB32*(1-'Tier3Phase-in'!$O$12)</f>
        <v>5.94670880620942E-4</v>
      </c>
      <c r="BI32" s="703">
        <f>$BB32*(1-'Tier3Phase-in'!$P$12)</f>
        <v>5.9340202383441083E-4</v>
      </c>
      <c r="BJ32" s="703">
        <f>$BB32*(1-'Tier3Phase-in'!$Q$12)</f>
        <v>5.9213316704787976E-4</v>
      </c>
      <c r="BK32" s="685">
        <f>BK30</f>
        <v>8.4837801543994854E-2</v>
      </c>
      <c r="BL32" s="703">
        <f>BL30</f>
        <v>3.555891288374028E-3</v>
      </c>
      <c r="BM32" s="703">
        <f>$BL32*(1-'Tier3Phase-in'!$J$12)</f>
        <v>3.555891288374028E-3</v>
      </c>
      <c r="BN32" s="703">
        <f>$BL32*(1-'Tier3Phase-in'!$K$12)</f>
        <v>3.0796558479667924E-3</v>
      </c>
      <c r="BO32" s="703">
        <f>$BL32*(1-'Tier3Phase-in'!$L$12)</f>
        <v>2.707326321830226E-3</v>
      </c>
      <c r="BP32" s="703">
        <f>$BL32*(1-'Tier3Phase-in'!$M$12)</f>
        <v>2.5557968635188328E-3</v>
      </c>
      <c r="BQ32" s="703">
        <f>$BL32*(1-'Tier3Phase-in'!$N$12)</f>
        <v>2.4224509402048068E-3</v>
      </c>
      <c r="BR32" s="703">
        <f>$BL32*(1-'Tier3Phase-in'!$O$12)</f>
        <v>2.231956764041912E-3</v>
      </c>
      <c r="BS32" s="703">
        <f>$BL32*(1-'Tier3Phase-in'!$P$12)</f>
        <v>2.2271944096378398E-3</v>
      </c>
      <c r="BT32" s="703">
        <f>$BL32*(1-'Tier3Phase-in'!$Q$12)</f>
        <v>2.2224320552337675E-3</v>
      </c>
      <c r="BU32" s="685">
        <f>BU30</f>
        <v>7.4882380159281507E-3</v>
      </c>
      <c r="BV32" s="703">
        <f>BV30</f>
        <v>4.7982271401190201E-3</v>
      </c>
      <c r="BW32" s="703">
        <f>(1-'Tier3Phase-in'!$J$20)*BV32</f>
        <v>1.6313972276404667E-3</v>
      </c>
      <c r="BX32" s="685">
        <f>BX30</f>
        <v>1.8222089420301853E-3</v>
      </c>
      <c r="BY32" s="703">
        <f>BY30</f>
        <v>1.8042323512116895E-3</v>
      </c>
      <c r="BZ32" s="685">
        <f>BZ30</f>
        <v>2.7813110250467688E-3</v>
      </c>
      <c r="CA32" s="703">
        <f>CA30</f>
        <v>2.2734811799662029E-3</v>
      </c>
    </row>
    <row r="33" spans="1:79" x14ac:dyDescent="0.2">
      <c r="A33" s="690" t="str">
        <f>Technologies!C90</f>
        <v>TCB20C10</v>
      </c>
      <c r="B33" s="690" t="str">
        <f>Technologies!D90</f>
        <v>Commercial Truck, B20 2010</v>
      </c>
      <c r="C33" s="685">
        <f>'Raw emissions'!D19</f>
        <v>2.5103904128390653</v>
      </c>
      <c r="D33" s="702">
        <f>'Raw emissions'!E19</f>
        <v>0.88111864008919272</v>
      </c>
      <c r="E33" s="702">
        <f>$C33</f>
        <v>2.5103904128390653</v>
      </c>
      <c r="F33" s="702">
        <f t="shared" ref="F33:L33" si="39">$C33</f>
        <v>2.5103904128390653</v>
      </c>
      <c r="G33" s="702">
        <f t="shared" si="39"/>
        <v>2.5103904128390653</v>
      </c>
      <c r="H33" s="702">
        <f t="shared" si="39"/>
        <v>2.5103904128390653</v>
      </c>
      <c r="I33" s="702">
        <f t="shared" si="39"/>
        <v>2.5103904128390653</v>
      </c>
      <c r="J33" s="702">
        <f t="shared" si="39"/>
        <v>2.5103904128390653</v>
      </c>
      <c r="K33" s="702">
        <f t="shared" si="39"/>
        <v>2.5103904128390653</v>
      </c>
      <c r="L33" s="702">
        <f t="shared" si="39"/>
        <v>2.5103904128390653</v>
      </c>
      <c r="M33" s="685">
        <f>'Raw emissions'!J19</f>
        <v>0.13077145285921135</v>
      </c>
      <c r="N33" s="702">
        <f>'Raw emissions'!K19</f>
        <v>3.8328044839425368E-2</v>
      </c>
      <c r="O33" s="702">
        <f>$M33</f>
        <v>0.13077145285921135</v>
      </c>
      <c r="P33" s="702">
        <f t="shared" ref="P33:V33" si="40">$M33</f>
        <v>0.13077145285921135</v>
      </c>
      <c r="Q33" s="702">
        <f t="shared" si="40"/>
        <v>0.13077145285921135</v>
      </c>
      <c r="R33" s="702">
        <f t="shared" si="40"/>
        <v>0.13077145285921135</v>
      </c>
      <c r="S33" s="702">
        <f t="shared" si="40"/>
        <v>0.13077145285921135</v>
      </c>
      <c r="T33" s="702">
        <f t="shared" si="40"/>
        <v>0.13077145285921135</v>
      </c>
      <c r="U33" s="702">
        <f t="shared" si="40"/>
        <v>0.13077145285921135</v>
      </c>
      <c r="V33" s="702">
        <f t="shared" si="40"/>
        <v>0.13077145285921135</v>
      </c>
      <c r="W33" s="685">
        <f>'Raw emissions'!M19</f>
        <v>0.10660639457820084</v>
      </c>
      <c r="X33" s="702">
        <f>'Raw emissions'!N19</f>
        <v>1.6932815658923944E-2</v>
      </c>
      <c r="Y33" s="702">
        <f t="shared" ref="Y33:AF33" si="41">W33</f>
        <v>0.10660639457820084</v>
      </c>
      <c r="Z33" s="702">
        <f t="shared" si="41"/>
        <v>1.6932815658923944E-2</v>
      </c>
      <c r="AA33" s="702">
        <f t="shared" si="41"/>
        <v>0.10660639457820084</v>
      </c>
      <c r="AB33" s="702">
        <f t="shared" si="41"/>
        <v>1.6932815658923944E-2</v>
      </c>
      <c r="AC33" s="702">
        <f t="shared" si="41"/>
        <v>0.10660639457820084</v>
      </c>
      <c r="AD33" s="702">
        <f t="shared" si="41"/>
        <v>1.6932815658923944E-2</v>
      </c>
      <c r="AE33" s="702">
        <f t="shared" si="41"/>
        <v>0.10660639457820084</v>
      </c>
      <c r="AF33" s="702">
        <f t="shared" si="41"/>
        <v>1.6932815658923944E-2</v>
      </c>
      <c r="AG33" s="685">
        <f>'Raw emissions'!P19</f>
        <v>1.7323647833124949</v>
      </c>
      <c r="AH33" s="702">
        <f>'Raw emissions'!Q19</f>
        <v>1.0396836634047706</v>
      </c>
      <c r="AI33" s="702">
        <f>$AG33</f>
        <v>1.7323647833124949</v>
      </c>
      <c r="AJ33" s="702">
        <f t="shared" ref="AJ33:AP33" si="42">$AG33</f>
        <v>1.7323647833124949</v>
      </c>
      <c r="AK33" s="702">
        <f t="shared" si="42"/>
        <v>1.7323647833124949</v>
      </c>
      <c r="AL33" s="702">
        <f t="shared" si="42"/>
        <v>1.7323647833124949</v>
      </c>
      <c r="AM33" s="702">
        <f t="shared" si="42"/>
        <v>1.7323647833124949</v>
      </c>
      <c r="AN33" s="702">
        <f t="shared" si="42"/>
        <v>1.7323647833124949</v>
      </c>
      <c r="AO33" s="702">
        <f t="shared" si="42"/>
        <v>1.7323647833124949</v>
      </c>
      <c r="AP33" s="702">
        <f t="shared" si="42"/>
        <v>1.7323647833124949</v>
      </c>
      <c r="AQ33" s="685">
        <f>'Raw emissions'!Y19</f>
        <v>0.3557530850386087</v>
      </c>
      <c r="AR33" s="702">
        <f>'Raw emissions'!Z19</f>
        <v>0.14970844514113274</v>
      </c>
      <c r="AS33" s="702">
        <f>$AQ33</f>
        <v>0.3557530850386087</v>
      </c>
      <c r="AT33" s="702">
        <f t="shared" ref="AT33:AZ33" si="43">$AQ33</f>
        <v>0.3557530850386087</v>
      </c>
      <c r="AU33" s="702">
        <f t="shared" si="43"/>
        <v>0.3557530850386087</v>
      </c>
      <c r="AV33" s="702">
        <f t="shared" si="43"/>
        <v>0.3557530850386087</v>
      </c>
      <c r="AW33" s="702">
        <f t="shared" si="43"/>
        <v>0.3557530850386087</v>
      </c>
      <c r="AX33" s="702">
        <f t="shared" si="43"/>
        <v>0.3557530850386087</v>
      </c>
      <c r="AY33" s="702">
        <f t="shared" si="43"/>
        <v>0.3557530850386087</v>
      </c>
      <c r="AZ33" s="702">
        <f t="shared" si="43"/>
        <v>0.3557530850386087</v>
      </c>
      <c r="BA33" s="685">
        <f>'Raw emissions'!AK19</f>
        <v>6.6706374561248089E-2</v>
      </c>
      <c r="BB33" s="703">
        <f>'Raw emissions'!AL19</f>
        <v>9.474130672766076E-4</v>
      </c>
      <c r="BC33" s="703">
        <f>$BA33</f>
        <v>6.6706374561248089E-2</v>
      </c>
      <c r="BD33" s="703">
        <f t="shared" ref="BD33:BJ33" si="44">$BA33</f>
        <v>6.6706374561248089E-2</v>
      </c>
      <c r="BE33" s="703">
        <f t="shared" si="44"/>
        <v>6.6706374561248089E-2</v>
      </c>
      <c r="BF33" s="703">
        <f t="shared" si="44"/>
        <v>6.6706374561248089E-2</v>
      </c>
      <c r="BG33" s="703">
        <f t="shared" si="44"/>
        <v>6.6706374561248089E-2</v>
      </c>
      <c r="BH33" s="703">
        <f t="shared" si="44"/>
        <v>6.6706374561248089E-2</v>
      </c>
      <c r="BI33" s="703">
        <f t="shared" si="44"/>
        <v>6.6706374561248089E-2</v>
      </c>
      <c r="BJ33" s="703">
        <f t="shared" si="44"/>
        <v>6.6706374561248089E-2</v>
      </c>
      <c r="BK33" s="685">
        <f>'Raw emissions'!AG19</f>
        <v>7.7629669906478377E-2</v>
      </c>
      <c r="BL33" s="703">
        <f>'Raw emissions'!AI19</f>
        <v>3.555891288374028E-3</v>
      </c>
      <c r="BM33" s="703">
        <f>$BK33</f>
        <v>7.7629669906478377E-2</v>
      </c>
      <c r="BN33" s="703">
        <f t="shared" ref="BN33:BT33" si="45">$BK33</f>
        <v>7.7629669906478377E-2</v>
      </c>
      <c r="BO33" s="703">
        <f t="shared" si="45"/>
        <v>7.7629669906478377E-2</v>
      </c>
      <c r="BP33" s="703">
        <f t="shared" si="45"/>
        <v>7.7629669906478377E-2</v>
      </c>
      <c r="BQ33" s="703">
        <f t="shared" si="45"/>
        <v>7.7629669906478377E-2</v>
      </c>
      <c r="BR33" s="703">
        <f t="shared" si="45"/>
        <v>7.7629669906478377E-2</v>
      </c>
      <c r="BS33" s="703">
        <f t="shared" si="45"/>
        <v>7.7629669906478377E-2</v>
      </c>
      <c r="BT33" s="703">
        <f t="shared" si="45"/>
        <v>7.7629669906478377E-2</v>
      </c>
      <c r="BU33" s="685">
        <f>'Raw emissions'!G19</f>
        <v>5.3590008417782262E-3</v>
      </c>
      <c r="BV33" s="703">
        <f>'Raw emissions'!H19</f>
        <v>3.8963296083457783E-3</v>
      </c>
      <c r="BW33" s="703">
        <f>(1-'Tier3Phase-in'!$J$20)*BV33</f>
        <v>1.3247520668375646E-3</v>
      </c>
      <c r="BX33" s="685">
        <f>'Raw emissions'!V19</f>
        <v>1.8222089420301853E-3</v>
      </c>
      <c r="BY33" s="703">
        <f>'Raw emissions'!W19</f>
        <v>1.8042252765781937E-3</v>
      </c>
      <c r="BZ33" s="685">
        <f>'Raw emissions'!S19</f>
        <v>2.7813110250467688E-3</v>
      </c>
      <c r="CA33" s="703">
        <f>'Raw emissions'!T19</f>
        <v>2.2734811799662029E-3</v>
      </c>
    </row>
    <row r="34" spans="1:79" x14ac:dyDescent="0.2">
      <c r="A34" s="690" t="str">
        <f>Technologies!C91</f>
        <v>TCB20C</v>
      </c>
      <c r="B34" s="690" t="str">
        <f>Technologies!D91</f>
        <v>Commercial Truck, Conventional B20</v>
      </c>
      <c r="C34" s="685">
        <f>'Raw emissions'!D19</f>
        <v>2.5103904128390653</v>
      </c>
      <c r="D34" s="702">
        <f>'Raw emissions'!E19</f>
        <v>0.88111864008919272</v>
      </c>
      <c r="E34" s="702">
        <f>$D34*(1-'Tier3Phase-in'!$J$12)</f>
        <v>0.88111864008919272</v>
      </c>
      <c r="F34" s="702">
        <f>$D34*(1-'Tier3Phase-in'!$K$12)</f>
        <v>0.76311167936296154</v>
      </c>
      <c r="G34" s="702">
        <f>$D34*(1-'Tier3Phase-in'!$L$12)</f>
        <v>0.67085169188608995</v>
      </c>
      <c r="H34" s="702">
        <f>$D34*(1-'Tier3Phase-in'!$M$12)</f>
        <v>0.63330402256410723</v>
      </c>
      <c r="I34" s="702">
        <f>$D34*(1-'Tier3Phase-in'!$N$12)</f>
        <v>0.60026207356076255</v>
      </c>
      <c r="J34" s="702">
        <f>$D34*(1-'Tier3Phase-in'!$O$12)</f>
        <v>0.55305928927026993</v>
      </c>
      <c r="K34" s="702">
        <f>$D34*(1-'Tier3Phase-in'!$P$12)</f>
        <v>0.55187921966300768</v>
      </c>
      <c r="L34" s="702">
        <f>$D34*(1-'Tier3Phase-in'!$Q$12)</f>
        <v>0.55069915005574543</v>
      </c>
      <c r="M34" s="685">
        <f>'Raw emissions'!J19</f>
        <v>0.13077145285921135</v>
      </c>
      <c r="N34" s="702">
        <f>'Raw emissions'!K19</f>
        <v>3.8328044839425368E-2</v>
      </c>
      <c r="O34" s="702">
        <f>$N34*(1-'Tier3Phase-in'!$J$12)</f>
        <v>3.8328044839425368E-2</v>
      </c>
      <c r="P34" s="702">
        <f>$N34*(1-'Tier3Phase-in'!$K$12)</f>
        <v>3.3194824548430903E-2</v>
      </c>
      <c r="Q34" s="702">
        <f>$N34*(1-'Tier3Phase-in'!$L$12)</f>
        <v>2.9181579593653403E-2</v>
      </c>
      <c r="R34" s="702">
        <f>$N34*(1-'Tier3Phase-in'!$M$12)</f>
        <v>2.7548282228336982E-2</v>
      </c>
      <c r="S34" s="702">
        <f>$N34*(1-'Tier3Phase-in'!$N$12)</f>
        <v>2.6110980546858533E-2</v>
      </c>
      <c r="T34" s="702">
        <f>$N34*(1-'Tier3Phase-in'!$O$12)</f>
        <v>2.4057692430460739E-2</v>
      </c>
      <c r="U34" s="702">
        <f>$N34*(1-'Tier3Phase-in'!$P$12)</f>
        <v>2.4006360227550799E-2</v>
      </c>
      <c r="V34" s="702">
        <f>$N34*(1-'Tier3Phase-in'!$Q$12)</f>
        <v>2.3955028024640855E-2</v>
      </c>
      <c r="W34" s="685">
        <f>'Raw emissions'!M19</f>
        <v>0.10660639457820084</v>
      </c>
      <c r="X34" s="702">
        <f>'Raw emissions'!N19</f>
        <v>1.6932815658923944E-2</v>
      </c>
      <c r="Y34" s="702">
        <f>$X34*(1-'Tier3Phase-in'!$J$12)</f>
        <v>1.6932815658923944E-2</v>
      </c>
      <c r="Z34" s="702">
        <f>$X34*(1-'Tier3Phase-in'!$K$12)</f>
        <v>1.4665027847460916E-2</v>
      </c>
      <c r="AA34" s="702">
        <f>$X34*(1-'Tier3Phase-in'!$L$12)</f>
        <v>1.2892030103953457E-2</v>
      </c>
      <c r="AB34" s="702">
        <f>$X34*(1-'Tier3Phase-in'!$M$12)</f>
        <v>1.2170461254851585E-2</v>
      </c>
      <c r="AC34" s="702">
        <f>$X34*(1-'Tier3Phase-in'!$N$12)</f>
        <v>1.1535480667641937E-2</v>
      </c>
      <c r="AD34" s="702">
        <f>$X34*(1-'Tier3Phase-in'!$O$12)</f>
        <v>1.0628365543056724E-2</v>
      </c>
      <c r="AE34" s="702">
        <f>$X34*(1-'Tier3Phase-in'!$P$12)</f>
        <v>1.0605687664942094E-2</v>
      </c>
      <c r="AF34" s="702">
        <f>$X34*(1-'Tier3Phase-in'!$Q$12)</f>
        <v>1.0583009786827465E-2</v>
      </c>
      <c r="AG34" s="685">
        <f>'Raw emissions'!P19</f>
        <v>1.7323647833124949</v>
      </c>
      <c r="AH34" s="702">
        <f>'Raw emissions'!Q19</f>
        <v>1.0396836634047706</v>
      </c>
      <c r="AI34" s="702">
        <f>$AH34*(1-'Tier3Phase-in'!$J$12)</f>
        <v>1.0396836634047706</v>
      </c>
      <c r="AJ34" s="702">
        <f>$AH34*(1-'Tier3Phase-in'!$K$12)</f>
        <v>0.90044031562734594</v>
      </c>
      <c r="AK34" s="702">
        <f>$AH34*(1-'Tier3Phase-in'!$L$12)</f>
        <v>0.79157733463772306</v>
      </c>
      <c r="AL34" s="702">
        <f>$AH34*(1-'Tier3Phase-in'!$M$12)</f>
        <v>0.74727263307217884</v>
      </c>
      <c r="AM34" s="702">
        <f>$AH34*(1-'Tier3Phase-in'!$N$12)</f>
        <v>0.70828449569450003</v>
      </c>
      <c r="AN34" s="702">
        <f>$AH34*(1-'Tier3Phase-in'!$O$12)</f>
        <v>0.65258715658352995</v>
      </c>
      <c r="AO34" s="702">
        <f>$AH34*(1-'Tier3Phase-in'!$P$12)</f>
        <v>0.65119472310575577</v>
      </c>
      <c r="AP34" s="702">
        <f>$AH34*(1-'Tier3Phase-in'!$Q$12)</f>
        <v>0.64980228962798159</v>
      </c>
      <c r="AQ34" s="685">
        <f>'Raw emissions'!Y19</f>
        <v>0.3557530850386087</v>
      </c>
      <c r="AR34" s="702">
        <f>'Raw emissions'!Z19</f>
        <v>0.14970844514113274</v>
      </c>
      <c r="AS34" s="702">
        <f>$AR34*(1-'Tier3Phase-in'!$J$12)</f>
        <v>0.14970844514113274</v>
      </c>
      <c r="AT34" s="702">
        <f>$AR34*(1-'Tier3Phase-in'!$K$12)</f>
        <v>0.12965820695258817</v>
      </c>
      <c r="AU34" s="702">
        <f>$AR34*(1-'Tier3Phase-in'!$L$12)</f>
        <v>0.11398256618699878</v>
      </c>
      <c r="AV34" s="702">
        <f>$AR34*(1-'Tier3Phase-in'!$M$12)</f>
        <v>0.10760294494518916</v>
      </c>
      <c r="AW34" s="702">
        <f>$AR34*(1-'Tier3Phase-in'!$N$12)</f>
        <v>0.10198887825239668</v>
      </c>
      <c r="AX34" s="702">
        <f>$AR34*(1-'Tier3Phase-in'!$O$12)</f>
        <v>9.3968782976978832E-2</v>
      </c>
      <c r="AY34" s="702">
        <f>$AR34*(1-'Tier3Phase-in'!$P$12)</f>
        <v>9.3768280595093401E-2</v>
      </c>
      <c r="AZ34" s="702">
        <f>$AR34*(1-'Tier3Phase-in'!$Q$12)</f>
        <v>9.3567778213207969E-2</v>
      </c>
      <c r="BA34" s="685">
        <f>'Raw emissions'!AK19</f>
        <v>6.6706374561248089E-2</v>
      </c>
      <c r="BB34" s="703">
        <f>'Raw emissions'!AL19</f>
        <v>9.474130672766076E-4</v>
      </c>
      <c r="BC34" s="703">
        <f>$BB34*(1-'Tier3Phase-in'!$J$12)</f>
        <v>9.474130672766076E-4</v>
      </c>
      <c r="BD34" s="703">
        <f>$BB34*(1-'Tier3Phase-in'!$K$12)</f>
        <v>8.2052738862349052E-4</v>
      </c>
      <c r="BE34" s="703">
        <f>$BB34*(1-'Tier3Phase-in'!$L$12)</f>
        <v>7.2132585804014445E-4</v>
      </c>
      <c r="BF34" s="703">
        <f>$BB34*(1-'Tier3Phase-in'!$M$12)</f>
        <v>6.8095314210506175E-4</v>
      </c>
      <c r="BG34" s="703">
        <f>$BB34*(1-'Tier3Phase-in'!$N$12)</f>
        <v>6.45425152082189E-4</v>
      </c>
      <c r="BH34" s="703">
        <f>$BB34*(1-'Tier3Phase-in'!$O$12)</f>
        <v>5.94670880620942E-4</v>
      </c>
      <c r="BI34" s="703">
        <f>$BB34*(1-'Tier3Phase-in'!$P$12)</f>
        <v>5.9340202383441083E-4</v>
      </c>
      <c r="BJ34" s="703">
        <f>$BB34*(1-'Tier3Phase-in'!$Q$12)</f>
        <v>5.9213316704787976E-4</v>
      </c>
      <c r="BK34" s="685">
        <f>'Raw emissions'!AG19</f>
        <v>7.7629669906478377E-2</v>
      </c>
      <c r="BL34" s="703">
        <f>'Raw emissions'!AI19</f>
        <v>3.555891288374028E-3</v>
      </c>
      <c r="BM34" s="703">
        <f>$BL34*(1-'Tier3Phase-in'!$J$12)</f>
        <v>3.555891288374028E-3</v>
      </c>
      <c r="BN34" s="703">
        <f>$BL34*(1-'Tier3Phase-in'!$K$12)</f>
        <v>3.0796558479667924E-3</v>
      </c>
      <c r="BO34" s="703">
        <f>$BL34*(1-'Tier3Phase-in'!$L$12)</f>
        <v>2.707326321830226E-3</v>
      </c>
      <c r="BP34" s="703">
        <f>$BL34*(1-'Tier3Phase-in'!$M$12)</f>
        <v>2.5557968635188328E-3</v>
      </c>
      <c r="BQ34" s="703">
        <f>$BL34*(1-'Tier3Phase-in'!$N$12)</f>
        <v>2.4224509402048068E-3</v>
      </c>
      <c r="BR34" s="703">
        <f>$BL34*(1-'Tier3Phase-in'!$O$12)</f>
        <v>2.231956764041912E-3</v>
      </c>
      <c r="BS34" s="703">
        <f>$BL34*(1-'Tier3Phase-in'!$P$12)</f>
        <v>2.2271944096378398E-3</v>
      </c>
      <c r="BT34" s="703">
        <f>$BL34*(1-'Tier3Phase-in'!$Q$12)</f>
        <v>2.2224320552337675E-3</v>
      </c>
      <c r="BU34" s="685">
        <f>'Raw emissions'!G19</f>
        <v>5.3590008417782262E-3</v>
      </c>
      <c r="BV34" s="703">
        <f>'Raw emissions'!H19</f>
        <v>3.8963296083457783E-3</v>
      </c>
      <c r="BW34" s="703">
        <f>(1-'Tier3Phase-in'!$J$20)*BV34</f>
        <v>1.3247520668375646E-3</v>
      </c>
      <c r="BX34" s="685">
        <f>'Raw emissions'!V19</f>
        <v>1.8222089420301853E-3</v>
      </c>
      <c r="BY34" s="703">
        <f>'Raw emissions'!W19</f>
        <v>1.8042252765781937E-3</v>
      </c>
      <c r="BZ34" s="685">
        <f>'Raw emissions'!S19</f>
        <v>2.7813110250467688E-3</v>
      </c>
      <c r="CA34" s="703">
        <f>'Raw emissions'!T19</f>
        <v>2.2734811799662029E-3</v>
      </c>
    </row>
    <row r="35" spans="1:79" x14ac:dyDescent="0.2">
      <c r="A35" s="690" t="str">
        <f>Technologies!C92</f>
        <v>TCB20IM</v>
      </c>
      <c r="B35" s="690" t="str">
        <f>Technologies!D92</f>
        <v>Commercial Truck, Improved B20</v>
      </c>
      <c r="C35" s="685">
        <f>C34</f>
        <v>2.5103904128390653</v>
      </c>
      <c r="D35" s="702">
        <f>D34</f>
        <v>0.88111864008919272</v>
      </c>
      <c r="E35" s="702">
        <f>$D35*(1-'Tier3Phase-in'!$J$12)</f>
        <v>0.88111864008919272</v>
      </c>
      <c r="F35" s="702">
        <f>$D35*(1-'Tier3Phase-in'!$K$12)</f>
        <v>0.76311167936296154</v>
      </c>
      <c r="G35" s="702">
        <f>$D35*(1-'Tier3Phase-in'!$L$12)</f>
        <v>0.67085169188608995</v>
      </c>
      <c r="H35" s="702">
        <f>$D35*(1-'Tier3Phase-in'!$M$12)</f>
        <v>0.63330402256410723</v>
      </c>
      <c r="I35" s="702">
        <f>$D35*(1-'Tier3Phase-in'!$N$12)</f>
        <v>0.60026207356076255</v>
      </c>
      <c r="J35" s="702">
        <f>$D35*(1-'Tier3Phase-in'!$O$12)</f>
        <v>0.55305928927026993</v>
      </c>
      <c r="K35" s="702">
        <f>$D35*(1-'Tier3Phase-in'!$P$12)</f>
        <v>0.55187921966300768</v>
      </c>
      <c r="L35" s="702">
        <f>$D35*(1-'Tier3Phase-in'!$Q$12)</f>
        <v>0.55069915005574543</v>
      </c>
      <c r="M35" s="685">
        <f>M34</f>
        <v>0.13077145285921135</v>
      </c>
      <c r="N35" s="702">
        <f>N34</f>
        <v>3.8328044839425368E-2</v>
      </c>
      <c r="O35" s="702">
        <f>$N35*(1-'Tier3Phase-in'!$J$12)</f>
        <v>3.8328044839425368E-2</v>
      </c>
      <c r="P35" s="702">
        <f>$N35*(1-'Tier3Phase-in'!$K$12)</f>
        <v>3.3194824548430903E-2</v>
      </c>
      <c r="Q35" s="702">
        <f>$N35*(1-'Tier3Phase-in'!$L$12)</f>
        <v>2.9181579593653403E-2</v>
      </c>
      <c r="R35" s="702">
        <f>$N35*(1-'Tier3Phase-in'!$M$12)</f>
        <v>2.7548282228336982E-2</v>
      </c>
      <c r="S35" s="702">
        <f>$N35*(1-'Tier3Phase-in'!$N$12)</f>
        <v>2.6110980546858533E-2</v>
      </c>
      <c r="T35" s="702">
        <f>$N35*(1-'Tier3Phase-in'!$O$12)</f>
        <v>2.4057692430460739E-2</v>
      </c>
      <c r="U35" s="702">
        <f>$N35*(1-'Tier3Phase-in'!$P$12)</f>
        <v>2.4006360227550799E-2</v>
      </c>
      <c r="V35" s="702">
        <f>$N35*(1-'Tier3Phase-in'!$Q$12)</f>
        <v>2.3955028024640855E-2</v>
      </c>
      <c r="W35" s="685">
        <f>W34</f>
        <v>0.10660639457820084</v>
      </c>
      <c r="X35" s="702">
        <f>X34</f>
        <v>1.6932815658923944E-2</v>
      </c>
      <c r="Y35" s="702">
        <f>$X35*(1-'Tier3Phase-in'!$J$12)</f>
        <v>1.6932815658923944E-2</v>
      </c>
      <c r="Z35" s="702">
        <f>$X35*(1-'Tier3Phase-in'!$K$12)</f>
        <v>1.4665027847460916E-2</v>
      </c>
      <c r="AA35" s="702">
        <f>$X35*(1-'Tier3Phase-in'!$L$12)</f>
        <v>1.2892030103953457E-2</v>
      </c>
      <c r="AB35" s="702">
        <f>$X35*(1-'Tier3Phase-in'!$M$12)</f>
        <v>1.2170461254851585E-2</v>
      </c>
      <c r="AC35" s="702">
        <f>$X35*(1-'Tier3Phase-in'!$N$12)</f>
        <v>1.1535480667641937E-2</v>
      </c>
      <c r="AD35" s="702">
        <f>$X35*(1-'Tier3Phase-in'!$O$12)</f>
        <v>1.0628365543056724E-2</v>
      </c>
      <c r="AE35" s="702">
        <f>$X35*(1-'Tier3Phase-in'!$P$12)</f>
        <v>1.0605687664942094E-2</v>
      </c>
      <c r="AF35" s="702">
        <f>$X35*(1-'Tier3Phase-in'!$Q$12)</f>
        <v>1.0583009786827465E-2</v>
      </c>
      <c r="AG35" s="685">
        <f>AG34</f>
        <v>1.7323647833124949</v>
      </c>
      <c r="AH35" s="702">
        <f>AH34</f>
        <v>1.0396836634047706</v>
      </c>
      <c r="AI35" s="702">
        <f>$AH35*(1-'Tier3Phase-in'!$J$12)</f>
        <v>1.0396836634047706</v>
      </c>
      <c r="AJ35" s="702">
        <f>$AH35*(1-'Tier3Phase-in'!$K$12)</f>
        <v>0.90044031562734594</v>
      </c>
      <c r="AK35" s="702">
        <f>$AH35*(1-'Tier3Phase-in'!$L$12)</f>
        <v>0.79157733463772306</v>
      </c>
      <c r="AL35" s="702">
        <f>$AH35*(1-'Tier3Phase-in'!$M$12)</f>
        <v>0.74727263307217884</v>
      </c>
      <c r="AM35" s="702">
        <f>$AH35*(1-'Tier3Phase-in'!$N$12)</f>
        <v>0.70828449569450003</v>
      </c>
      <c r="AN35" s="702">
        <f>$AH35*(1-'Tier3Phase-in'!$O$12)</f>
        <v>0.65258715658352995</v>
      </c>
      <c r="AO35" s="702">
        <f>$AH35*(1-'Tier3Phase-in'!$P$12)</f>
        <v>0.65119472310575577</v>
      </c>
      <c r="AP35" s="702">
        <f>$AH35*(1-'Tier3Phase-in'!$Q$12)</f>
        <v>0.64980228962798159</v>
      </c>
      <c r="AQ35" s="685">
        <f>AQ34</f>
        <v>0.3557530850386087</v>
      </c>
      <c r="AR35" s="702">
        <f>AR34</f>
        <v>0.14970844514113274</v>
      </c>
      <c r="AS35" s="702">
        <f>$AR35*(1-'Tier3Phase-in'!$J$12)</f>
        <v>0.14970844514113274</v>
      </c>
      <c r="AT35" s="702">
        <f>$AR35*(1-'Tier3Phase-in'!$K$12)</f>
        <v>0.12965820695258817</v>
      </c>
      <c r="AU35" s="702">
        <f>$AR35*(1-'Tier3Phase-in'!$L$12)</f>
        <v>0.11398256618699878</v>
      </c>
      <c r="AV35" s="702">
        <f>$AR35*(1-'Tier3Phase-in'!$M$12)</f>
        <v>0.10760294494518916</v>
      </c>
      <c r="AW35" s="702">
        <f>$AR35*(1-'Tier3Phase-in'!$N$12)</f>
        <v>0.10198887825239668</v>
      </c>
      <c r="AX35" s="702">
        <f>$AR35*(1-'Tier3Phase-in'!$O$12)</f>
        <v>9.3968782976978832E-2</v>
      </c>
      <c r="AY35" s="702">
        <f>$AR35*(1-'Tier3Phase-in'!$P$12)</f>
        <v>9.3768280595093401E-2</v>
      </c>
      <c r="AZ35" s="702">
        <f>$AR35*(1-'Tier3Phase-in'!$Q$12)</f>
        <v>9.3567778213207969E-2</v>
      </c>
      <c r="BA35" s="685">
        <f>BA34</f>
        <v>6.6706374561248089E-2</v>
      </c>
      <c r="BB35" s="703">
        <f>BB34</f>
        <v>9.474130672766076E-4</v>
      </c>
      <c r="BC35" s="703">
        <f>$BB35*(1-'Tier3Phase-in'!$J$12)</f>
        <v>9.474130672766076E-4</v>
      </c>
      <c r="BD35" s="703">
        <f>$BB35*(1-'Tier3Phase-in'!$K$12)</f>
        <v>8.2052738862349052E-4</v>
      </c>
      <c r="BE35" s="703">
        <f>$BB35*(1-'Tier3Phase-in'!$L$12)</f>
        <v>7.2132585804014445E-4</v>
      </c>
      <c r="BF35" s="703">
        <f>$BB35*(1-'Tier3Phase-in'!$M$12)</f>
        <v>6.8095314210506175E-4</v>
      </c>
      <c r="BG35" s="703">
        <f>$BB35*(1-'Tier3Phase-in'!$N$12)</f>
        <v>6.45425152082189E-4</v>
      </c>
      <c r="BH35" s="703">
        <f>$BB35*(1-'Tier3Phase-in'!$O$12)</f>
        <v>5.94670880620942E-4</v>
      </c>
      <c r="BI35" s="703">
        <f>$BB35*(1-'Tier3Phase-in'!$P$12)</f>
        <v>5.9340202383441083E-4</v>
      </c>
      <c r="BJ35" s="703">
        <f>$BB35*(1-'Tier3Phase-in'!$Q$12)</f>
        <v>5.9213316704787976E-4</v>
      </c>
      <c r="BK35" s="685">
        <f>BK34</f>
        <v>7.7629669906478377E-2</v>
      </c>
      <c r="BL35" s="703">
        <f>BL34</f>
        <v>3.555891288374028E-3</v>
      </c>
      <c r="BM35" s="703">
        <f>$BL35*(1-'Tier3Phase-in'!$J$12)</f>
        <v>3.555891288374028E-3</v>
      </c>
      <c r="BN35" s="703">
        <f>$BL35*(1-'Tier3Phase-in'!$K$12)</f>
        <v>3.0796558479667924E-3</v>
      </c>
      <c r="BO35" s="703">
        <f>$BL35*(1-'Tier3Phase-in'!$L$12)</f>
        <v>2.707326321830226E-3</v>
      </c>
      <c r="BP35" s="703">
        <f>$BL35*(1-'Tier3Phase-in'!$M$12)</f>
        <v>2.5557968635188328E-3</v>
      </c>
      <c r="BQ35" s="703">
        <f>$BL35*(1-'Tier3Phase-in'!$N$12)</f>
        <v>2.4224509402048068E-3</v>
      </c>
      <c r="BR35" s="703">
        <f>$BL35*(1-'Tier3Phase-in'!$O$12)</f>
        <v>2.231956764041912E-3</v>
      </c>
      <c r="BS35" s="703">
        <f>$BL35*(1-'Tier3Phase-in'!$P$12)</f>
        <v>2.2271944096378398E-3</v>
      </c>
      <c r="BT35" s="703">
        <f>$BL35*(1-'Tier3Phase-in'!$Q$12)</f>
        <v>2.2224320552337675E-3</v>
      </c>
      <c r="BU35" s="685">
        <f>BU34</f>
        <v>5.3590008417782262E-3</v>
      </c>
      <c r="BV35" s="703">
        <f>BV34</f>
        <v>3.8963296083457783E-3</v>
      </c>
      <c r="BW35" s="703">
        <f>(1-'Tier3Phase-in'!$J$20)*BV35</f>
        <v>1.3247520668375646E-3</v>
      </c>
      <c r="BX35" s="685">
        <f>BX34</f>
        <v>1.8222089420301853E-3</v>
      </c>
      <c r="BY35" s="703">
        <f>BY34</f>
        <v>1.8042252765781937E-3</v>
      </c>
      <c r="BZ35" s="685">
        <f>BZ34</f>
        <v>2.7813110250467688E-3</v>
      </c>
      <c r="CA35" s="703">
        <f>CA34</f>
        <v>2.2734811799662029E-3</v>
      </c>
    </row>
    <row r="36" spans="1:79" x14ac:dyDescent="0.2">
      <c r="A36" s="690" t="str">
        <f>Technologies!C94</f>
        <v>TCCNGC10</v>
      </c>
      <c r="B36" s="690" t="str">
        <f>Technologies!D94</f>
        <v>Commercial Truck, CNG 2010</v>
      </c>
      <c r="C36" s="685">
        <f>'Raw emissions'!D20</f>
        <v>0.50520914230380454</v>
      </c>
      <c r="D36" s="702">
        <f>'Raw emissions'!E20</f>
        <v>0.34644203347723984</v>
      </c>
      <c r="E36" s="702">
        <f>$C36</f>
        <v>0.50520914230380454</v>
      </c>
      <c r="F36" s="702">
        <f t="shared" ref="F36:L36" si="46">$C36</f>
        <v>0.50520914230380454</v>
      </c>
      <c r="G36" s="702">
        <f t="shared" si="46"/>
        <v>0.50520914230380454</v>
      </c>
      <c r="H36" s="702">
        <f t="shared" si="46"/>
        <v>0.50520914230380454</v>
      </c>
      <c r="I36" s="702">
        <f t="shared" si="46"/>
        <v>0.50520914230380454</v>
      </c>
      <c r="J36" s="702">
        <f t="shared" si="46"/>
        <v>0.50520914230380454</v>
      </c>
      <c r="K36" s="702">
        <f t="shared" si="46"/>
        <v>0.50520914230380454</v>
      </c>
      <c r="L36" s="702">
        <f t="shared" si="46"/>
        <v>0.50520914230380454</v>
      </c>
      <c r="M36" s="685">
        <f>'Raw emissions'!J20</f>
        <v>3.2694338216875271E-2</v>
      </c>
      <c r="N36" s="702">
        <f>'Raw emissions'!K20</f>
        <v>3.701430154965854E-2</v>
      </c>
      <c r="O36" s="702">
        <f>$M36</f>
        <v>3.2694338216875271E-2</v>
      </c>
      <c r="P36" s="702">
        <f t="shared" ref="P36:V36" si="47">$M36</f>
        <v>3.2694338216875271E-2</v>
      </c>
      <c r="Q36" s="702">
        <f t="shared" si="47"/>
        <v>3.2694338216875271E-2</v>
      </c>
      <c r="R36" s="702">
        <f t="shared" si="47"/>
        <v>3.2694338216875271E-2</v>
      </c>
      <c r="S36" s="702">
        <f t="shared" si="47"/>
        <v>3.2694338216875271E-2</v>
      </c>
      <c r="T36" s="702">
        <f t="shared" si="47"/>
        <v>3.2694338216875271E-2</v>
      </c>
      <c r="U36" s="702">
        <f t="shared" si="47"/>
        <v>3.2694338216875271E-2</v>
      </c>
      <c r="V36" s="702">
        <f t="shared" si="47"/>
        <v>3.2694338216875271E-2</v>
      </c>
      <c r="W36" s="685">
        <f>'Raw emissions'!M20</f>
        <v>1.2512910398755666E-2</v>
      </c>
      <c r="X36" s="702">
        <f>'Raw emissions'!N20</f>
        <v>1.6449821562436358E-2</v>
      </c>
      <c r="Y36" s="702">
        <f t="shared" ref="Y36:AF36" si="48">W36</f>
        <v>1.2512910398755666E-2</v>
      </c>
      <c r="Z36" s="702">
        <f t="shared" si="48"/>
        <v>1.6449821562436358E-2</v>
      </c>
      <c r="AA36" s="702">
        <f t="shared" si="48"/>
        <v>1.2512910398755666E-2</v>
      </c>
      <c r="AB36" s="702">
        <f t="shared" si="48"/>
        <v>1.6449821562436358E-2</v>
      </c>
      <c r="AC36" s="702">
        <f t="shared" si="48"/>
        <v>1.2512910398755666E-2</v>
      </c>
      <c r="AD36" s="702">
        <f t="shared" si="48"/>
        <v>1.6449821562436358E-2</v>
      </c>
      <c r="AE36" s="702">
        <f t="shared" si="48"/>
        <v>1.2512910398755666E-2</v>
      </c>
      <c r="AF36" s="702">
        <f t="shared" si="48"/>
        <v>1.6449821562436358E-2</v>
      </c>
      <c r="AG36" s="685">
        <f>'Raw emissions'!P20</f>
        <v>6.7065892779184422</v>
      </c>
      <c r="AH36" s="702">
        <f>'Raw emissions'!Q20</f>
        <v>5.1178910523048877</v>
      </c>
      <c r="AI36" s="702">
        <f>$AG36</f>
        <v>6.7065892779184422</v>
      </c>
      <c r="AJ36" s="702">
        <f t="shared" ref="AJ36:AP36" si="49">$AG36</f>
        <v>6.7065892779184422</v>
      </c>
      <c r="AK36" s="702">
        <f t="shared" si="49"/>
        <v>6.7065892779184422</v>
      </c>
      <c r="AL36" s="702">
        <f t="shared" si="49"/>
        <v>6.7065892779184422</v>
      </c>
      <c r="AM36" s="702">
        <f t="shared" si="49"/>
        <v>6.7065892779184422</v>
      </c>
      <c r="AN36" s="702">
        <f t="shared" si="49"/>
        <v>6.7065892779184422</v>
      </c>
      <c r="AO36" s="702">
        <f t="shared" si="49"/>
        <v>6.7065892779184422</v>
      </c>
      <c r="AP36" s="702">
        <f t="shared" si="49"/>
        <v>6.7065892779184422</v>
      </c>
      <c r="AQ36" s="685">
        <f>'Raw emissions'!Y20</f>
        <v>0.27752727818491491</v>
      </c>
      <c r="AR36" s="702">
        <f>'Raw emissions'!Z20</f>
        <v>0.19781159329499731</v>
      </c>
      <c r="AS36" s="702">
        <f>$AQ36</f>
        <v>0.27752727818491491</v>
      </c>
      <c r="AT36" s="702">
        <f t="shared" ref="AT36:AZ36" si="50">$AQ36</f>
        <v>0.27752727818491491</v>
      </c>
      <c r="AU36" s="702">
        <f t="shared" si="50"/>
        <v>0.27752727818491491</v>
      </c>
      <c r="AV36" s="702">
        <f t="shared" si="50"/>
        <v>0.27752727818491491</v>
      </c>
      <c r="AW36" s="702">
        <f t="shared" si="50"/>
        <v>0.27752727818491491</v>
      </c>
      <c r="AX36" s="702">
        <f t="shared" si="50"/>
        <v>0.27752727818491491</v>
      </c>
      <c r="AY36" s="702">
        <f t="shared" si="50"/>
        <v>0.27752727818491491</v>
      </c>
      <c r="AZ36" s="702">
        <f t="shared" si="50"/>
        <v>0.27752727818491491</v>
      </c>
      <c r="BA36" s="685">
        <f>'Raw emissions'!AK20</f>
        <v>7.9444451248780854E-4</v>
      </c>
      <c r="BB36" s="703">
        <f>'Raw emissions'!AL20</f>
        <v>1.1462004810943872E-3</v>
      </c>
      <c r="BC36" s="703">
        <f>$BA36</f>
        <v>7.9444451248780854E-4</v>
      </c>
      <c r="BD36" s="703">
        <f t="shared" ref="BD36:BJ36" si="51">$BA36</f>
        <v>7.9444451248780854E-4</v>
      </c>
      <c r="BE36" s="703">
        <f t="shared" si="51"/>
        <v>7.9444451248780854E-4</v>
      </c>
      <c r="BF36" s="703">
        <f t="shared" si="51"/>
        <v>7.9444451248780854E-4</v>
      </c>
      <c r="BG36" s="703">
        <f t="shared" si="51"/>
        <v>7.9444451248780854E-4</v>
      </c>
      <c r="BH36" s="703">
        <f t="shared" si="51"/>
        <v>7.9444451248780854E-4</v>
      </c>
      <c r="BI36" s="703">
        <f t="shared" si="51"/>
        <v>7.9444451248780854E-4</v>
      </c>
      <c r="BJ36" s="703">
        <f t="shared" si="51"/>
        <v>7.9444451248780854E-4</v>
      </c>
      <c r="BK36" s="685">
        <f>'Raw emissions'!AG20</f>
        <v>1.0236587732090471E-3</v>
      </c>
      <c r="BL36" s="703">
        <f>'Raw emissions'!AI20</f>
        <v>1.6449821562436358E-3</v>
      </c>
      <c r="BM36" s="703">
        <f>$BK36</f>
        <v>1.0236587732090471E-3</v>
      </c>
      <c r="BN36" s="703">
        <f t="shared" ref="BN36:BT36" si="52">$BK36</f>
        <v>1.0236587732090471E-3</v>
      </c>
      <c r="BO36" s="703">
        <f t="shared" si="52"/>
        <v>1.0236587732090471E-3</v>
      </c>
      <c r="BP36" s="703">
        <f t="shared" si="52"/>
        <v>1.0236587732090471E-3</v>
      </c>
      <c r="BQ36" s="703">
        <f t="shared" si="52"/>
        <v>1.0236587732090471E-3</v>
      </c>
      <c r="BR36" s="703">
        <f t="shared" si="52"/>
        <v>1.0236587732090471E-3</v>
      </c>
      <c r="BS36" s="703">
        <f t="shared" si="52"/>
        <v>1.0236587732090471E-3</v>
      </c>
      <c r="BT36" s="703">
        <f t="shared" si="52"/>
        <v>1.0236587732090471E-3</v>
      </c>
      <c r="BU36" s="685">
        <f>'Raw emissions'!G20</f>
        <v>1.9944639193082412E-3</v>
      </c>
      <c r="BV36" s="703">
        <f>'Raw emissions'!H20</f>
        <v>1.831797241691807E-3</v>
      </c>
      <c r="BW36" s="703">
        <f>(1-'Tier3Phase-in'!$J$20)*BV36</f>
        <v>6.2281106217521433E-4</v>
      </c>
      <c r="BX36" s="685">
        <f>'Raw emissions'!V20</f>
        <v>1.8438128163137245E-2</v>
      </c>
      <c r="BY36" s="703">
        <f>'Raw emissions'!W20</f>
        <v>1.7230172593621172E-2</v>
      </c>
      <c r="BZ36" s="685">
        <f>'Raw emissions'!S20</f>
        <v>1.5261726391086378E-2</v>
      </c>
      <c r="CA36" s="703">
        <f>'Raw emissions'!T20</f>
        <v>6.1596250977922953E-3</v>
      </c>
    </row>
    <row r="37" spans="1:79" x14ac:dyDescent="0.2">
      <c r="A37" s="690" t="str">
        <f>Technologies!C95</f>
        <v>TCCNGC</v>
      </c>
      <c r="B37" s="690" t="str">
        <f>Technologies!D95</f>
        <v>Commercial Truck, Conventional CNG</v>
      </c>
      <c r="C37" s="685">
        <f>'Raw emissions'!D20</f>
        <v>0.50520914230380454</v>
      </c>
      <c r="D37" s="702">
        <f>'Raw emissions'!E20</f>
        <v>0.34644203347723984</v>
      </c>
      <c r="E37" s="702">
        <f>$D37*(1-'Tier3Phase-in'!$J$12)</f>
        <v>0.34644203347723984</v>
      </c>
      <c r="F37" s="702">
        <f>$D37*(1-'Tier3Phase-in'!$K$12)</f>
        <v>0.30004354685082379</v>
      </c>
      <c r="G37" s="702">
        <f>$D37*(1-'Tier3Phase-in'!$L$12)</f>
        <v>0.26376836639744394</v>
      </c>
      <c r="H37" s="702">
        <f>$D37*(1-'Tier3Phase-in'!$M$12)</f>
        <v>0.24900521156176614</v>
      </c>
      <c r="I37" s="702">
        <f>$D37*(1-'Tier3Phase-in'!$N$12)</f>
        <v>0.23601363530636965</v>
      </c>
      <c r="J37" s="702">
        <f>$D37*(1-'Tier3Phase-in'!$O$12)</f>
        <v>0.21745424065580318</v>
      </c>
      <c r="K37" s="702">
        <f>$D37*(1-'Tier3Phase-in'!$P$12)</f>
        <v>0.21699025578953904</v>
      </c>
      <c r="L37" s="702">
        <f>$D37*(1-'Tier3Phase-in'!$Q$12)</f>
        <v>0.21652627092327489</v>
      </c>
      <c r="M37" s="685">
        <f>'Raw emissions'!J20</f>
        <v>3.2694338216875271E-2</v>
      </c>
      <c r="N37" s="702">
        <f>'Raw emissions'!K20</f>
        <v>3.701430154965854E-2</v>
      </c>
      <c r="O37" s="702">
        <f>$N37*(1-'Tier3Phase-in'!$J$12)</f>
        <v>3.701430154965854E-2</v>
      </c>
      <c r="P37" s="702">
        <f>$N37*(1-'Tier3Phase-in'!$K$12)</f>
        <v>3.2057029020686419E-2</v>
      </c>
      <c r="Q37" s="702">
        <f>$N37*(1-'Tier3Phase-in'!$L$12)</f>
        <v>2.8181343225308207E-2</v>
      </c>
      <c r="R37" s="702">
        <f>$N37*(1-'Tier3Phase-in'!$M$12)</f>
        <v>2.6604029238817075E-2</v>
      </c>
      <c r="S37" s="702">
        <f>$N37*(1-'Tier3Phase-in'!$N$12)</f>
        <v>2.5215992930704881E-2</v>
      </c>
      <c r="T37" s="702">
        <f>$N37*(1-'Tier3Phase-in'!$O$12)</f>
        <v>2.3233083919116024E-2</v>
      </c>
      <c r="U37" s="702">
        <f>$N37*(1-'Tier3Phase-in'!$P$12)</f>
        <v>2.3183511193826306E-2</v>
      </c>
      <c r="V37" s="702">
        <f>$N37*(1-'Tier3Phase-in'!$Q$12)</f>
        <v>2.3133938468536588E-2</v>
      </c>
      <c r="W37" s="685">
        <f>'Raw emissions'!M20</f>
        <v>1.2512910398755666E-2</v>
      </c>
      <c r="X37" s="702">
        <f>'Raw emissions'!N20</f>
        <v>1.6449821562436358E-2</v>
      </c>
      <c r="Y37" s="702">
        <f>$X37*(1-'Tier3Phase-in'!$J$12)</f>
        <v>1.6449821562436358E-2</v>
      </c>
      <c r="Z37" s="702">
        <f>$X37*(1-'Tier3Phase-in'!$K$12)</f>
        <v>1.4246720460324346E-2</v>
      </c>
      <c r="AA37" s="702">
        <f>$X37*(1-'Tier3Phase-in'!$L$12)</f>
        <v>1.2524295962309499E-2</v>
      </c>
      <c r="AB37" s="702">
        <f>$X37*(1-'Tier3Phase-in'!$M$12)</f>
        <v>1.1823309248001132E-2</v>
      </c>
      <c r="AC37" s="702">
        <f>$X37*(1-'Tier3Phase-in'!$N$12)</f>
        <v>1.1206440939409769E-2</v>
      </c>
      <c r="AD37" s="702">
        <f>$X37*(1-'Tier3Phase-in'!$O$12)</f>
        <v>1.0325200498564962E-2</v>
      </c>
      <c r="AE37" s="702">
        <f>$X37*(1-'Tier3Phase-in'!$P$12)</f>
        <v>1.0303169487543843E-2</v>
      </c>
      <c r="AF37" s="702">
        <f>$X37*(1-'Tier3Phase-in'!$Q$12)</f>
        <v>1.0281138476522723E-2</v>
      </c>
      <c r="AG37" s="685">
        <f>'Raw emissions'!P20</f>
        <v>6.7065892779184422</v>
      </c>
      <c r="AH37" s="702">
        <f>'Raw emissions'!Q20</f>
        <v>5.1178910523048877</v>
      </c>
      <c r="AI37" s="702">
        <f>$AH37*(1-'Tier3Phase-in'!$J$12)</f>
        <v>5.1178910523048877</v>
      </c>
      <c r="AJ37" s="702">
        <f>$AH37*(1-'Tier3Phase-in'!$K$12)</f>
        <v>4.4324592149426261</v>
      </c>
      <c r="AK37" s="702">
        <f>$AH37*(1-'Tier3Phase-in'!$L$12)</f>
        <v>3.8965761420957667</v>
      </c>
      <c r="AL37" s="702">
        <f>$AH37*(1-'Tier3Phase-in'!$M$12)</f>
        <v>3.6784841938441382</v>
      </c>
      <c r="AM37" s="702">
        <f>$AH37*(1-'Tier3Phase-in'!$N$12)</f>
        <v>3.4865632793827048</v>
      </c>
      <c r="AN37" s="702">
        <f>$AH37*(1-'Tier3Phase-in'!$O$12)</f>
        <v>3.2123905444377994</v>
      </c>
      <c r="AO37" s="702">
        <f>$AH37*(1-'Tier3Phase-in'!$P$12)</f>
        <v>3.2055362260641771</v>
      </c>
      <c r="AP37" s="702">
        <f>$AH37*(1-'Tier3Phase-in'!$Q$12)</f>
        <v>3.1986819076905548</v>
      </c>
      <c r="AQ37" s="685">
        <f>'Raw emissions'!Y20</f>
        <v>0.27752727818491491</v>
      </c>
      <c r="AR37" s="702">
        <f>'Raw emissions'!Z20</f>
        <v>0.19781159329499731</v>
      </c>
      <c r="AS37" s="702">
        <f>$AR37*(1-'Tier3Phase-in'!$J$12)</f>
        <v>0.19781159329499731</v>
      </c>
      <c r="AT37" s="702">
        <f>$AR37*(1-'Tier3Phase-in'!$K$12)</f>
        <v>0.17131896919298875</v>
      </c>
      <c r="AU37" s="702">
        <f>$AR37*(1-'Tier3Phase-in'!$L$12)</f>
        <v>0.15060655398596387</v>
      </c>
      <c r="AV37" s="702">
        <f>$AR37*(1-'Tier3Phase-in'!$M$12)</f>
        <v>0.14217708268077933</v>
      </c>
      <c r="AW37" s="702">
        <f>$AR37*(1-'Tier3Phase-in'!$N$12)</f>
        <v>0.13475914793221691</v>
      </c>
      <c r="AX37" s="702">
        <f>$AR37*(1-'Tier3Phase-in'!$O$12)</f>
        <v>0.12416209829141346</v>
      </c>
      <c r="AY37" s="702">
        <f>$AR37*(1-'Tier3Phase-in'!$P$12)</f>
        <v>0.1238971720503934</v>
      </c>
      <c r="AZ37" s="702">
        <f>$AR37*(1-'Tier3Phase-in'!$Q$12)</f>
        <v>0.12363224580937332</v>
      </c>
      <c r="BA37" s="685">
        <f>'Raw emissions'!AK20</f>
        <v>7.9444451248780854E-4</v>
      </c>
      <c r="BB37" s="703">
        <f>'Raw emissions'!AL20</f>
        <v>1.1462004810943872E-3</v>
      </c>
      <c r="BC37" s="703">
        <f>$BB37*(1-'Tier3Phase-in'!$J$12)</f>
        <v>1.1462004810943872E-3</v>
      </c>
      <c r="BD37" s="703">
        <f>$BB37*(1-'Tier3Phase-in'!$K$12)</f>
        <v>9.9269148809067462E-4</v>
      </c>
      <c r="BE37" s="703">
        <f>$BB37*(1-'Tier3Phase-in'!$L$12)</f>
        <v>8.7267536628777209E-4</v>
      </c>
      <c r="BF37" s="703">
        <f>$BB37*(1-'Tier3Phase-in'!$M$12)</f>
        <v>8.2383159578659076E-4</v>
      </c>
      <c r="BG37" s="703">
        <f>$BB37*(1-'Tier3Phase-in'!$N$12)</f>
        <v>7.8084907774555133E-4</v>
      </c>
      <c r="BH37" s="703">
        <f>$BB37*(1-'Tier3Phase-in'!$O$12)</f>
        <v>7.1944548054406611E-4</v>
      </c>
      <c r="BI37" s="703">
        <f>$BB37*(1-'Tier3Phase-in'!$P$12)</f>
        <v>7.1791039061402907E-4</v>
      </c>
      <c r="BJ37" s="703">
        <f>$BB37*(1-'Tier3Phase-in'!$Q$12)</f>
        <v>7.1637530068399203E-4</v>
      </c>
      <c r="BK37" s="685">
        <f>'Raw emissions'!AG20</f>
        <v>1.0236587732090471E-3</v>
      </c>
      <c r="BL37" s="703">
        <f>'Raw emissions'!AI20</f>
        <v>1.6449821562436358E-3</v>
      </c>
      <c r="BM37" s="703">
        <f>$BL37*(1-'Tier3Phase-in'!$J$12)</f>
        <v>1.6449821562436358E-3</v>
      </c>
      <c r="BN37" s="703">
        <f>$BL37*(1-'Tier3Phase-in'!$K$12)</f>
        <v>1.4246720460324347E-3</v>
      </c>
      <c r="BO37" s="703">
        <f>$BL37*(1-'Tier3Phase-in'!$L$12)</f>
        <v>1.25242959623095E-3</v>
      </c>
      <c r="BP37" s="703">
        <f>$BL37*(1-'Tier3Phase-in'!$M$12)</f>
        <v>1.1823309248001133E-3</v>
      </c>
      <c r="BQ37" s="703">
        <f>$BL37*(1-'Tier3Phase-in'!$N$12)</f>
        <v>1.1206440939409768E-3</v>
      </c>
      <c r="BR37" s="703">
        <f>$BL37*(1-'Tier3Phase-in'!$O$12)</f>
        <v>1.0325200498564962E-3</v>
      </c>
      <c r="BS37" s="703">
        <f>$BL37*(1-'Tier3Phase-in'!$P$12)</f>
        <v>1.0303169487543842E-3</v>
      </c>
      <c r="BT37" s="703">
        <f>$BL37*(1-'Tier3Phase-in'!$Q$12)</f>
        <v>1.0281138476522724E-3</v>
      </c>
      <c r="BU37" s="685">
        <f>'Raw emissions'!G20</f>
        <v>1.9944639193082412E-3</v>
      </c>
      <c r="BV37" s="703">
        <f>'Raw emissions'!H20</f>
        <v>1.831797241691807E-3</v>
      </c>
      <c r="BW37" s="703">
        <f>(1-'Tier3Phase-in'!$J$20)*BV37</f>
        <v>6.2281106217521433E-4</v>
      </c>
      <c r="BX37" s="685">
        <f>'Raw emissions'!V20</f>
        <v>1.8438128163137245E-2</v>
      </c>
      <c r="BY37" s="703">
        <f>'Raw emissions'!W20</f>
        <v>1.7230172593621172E-2</v>
      </c>
      <c r="BZ37" s="685">
        <f>'Raw emissions'!S20</f>
        <v>1.5261726391086378E-2</v>
      </c>
      <c r="CA37" s="703">
        <f>'Raw emissions'!T20</f>
        <v>6.1596250977922953E-3</v>
      </c>
    </row>
    <row r="38" spans="1:79" x14ac:dyDescent="0.2">
      <c r="A38" s="690" t="str">
        <f>Technologies!C96</f>
        <v>TCCNGIM</v>
      </c>
      <c r="B38" s="690" t="str">
        <f>Technologies!D96</f>
        <v>Commercial Truck, Improved CNG</v>
      </c>
      <c r="C38" s="685">
        <f>C37</f>
        <v>0.50520914230380454</v>
      </c>
      <c r="D38" s="702">
        <f>D37</f>
        <v>0.34644203347723984</v>
      </c>
      <c r="E38" s="702">
        <f>$D38*(1-'Tier3Phase-in'!$J$12)</f>
        <v>0.34644203347723984</v>
      </c>
      <c r="F38" s="702">
        <f>$D38*(1-'Tier3Phase-in'!$K$12)</f>
        <v>0.30004354685082379</v>
      </c>
      <c r="G38" s="702">
        <f>$D38*(1-'Tier3Phase-in'!$L$12)</f>
        <v>0.26376836639744394</v>
      </c>
      <c r="H38" s="702">
        <f>$D38*(1-'Tier3Phase-in'!$M$12)</f>
        <v>0.24900521156176614</v>
      </c>
      <c r="I38" s="702">
        <f>$D38*(1-'Tier3Phase-in'!$N$12)</f>
        <v>0.23601363530636965</v>
      </c>
      <c r="J38" s="702">
        <f>$D38*(1-'Tier3Phase-in'!$O$12)</f>
        <v>0.21745424065580318</v>
      </c>
      <c r="K38" s="702">
        <f>$D38*(1-'Tier3Phase-in'!$P$12)</f>
        <v>0.21699025578953904</v>
      </c>
      <c r="L38" s="702">
        <f>$D38*(1-'Tier3Phase-in'!$Q$12)</f>
        <v>0.21652627092327489</v>
      </c>
      <c r="M38" s="685">
        <f>M37</f>
        <v>3.2694338216875271E-2</v>
      </c>
      <c r="N38" s="702">
        <f>N37</f>
        <v>3.701430154965854E-2</v>
      </c>
      <c r="O38" s="702">
        <f>$N38*(1-'Tier3Phase-in'!$J$12)</f>
        <v>3.701430154965854E-2</v>
      </c>
      <c r="P38" s="702">
        <f>$N38*(1-'Tier3Phase-in'!$K$12)</f>
        <v>3.2057029020686419E-2</v>
      </c>
      <c r="Q38" s="702">
        <f>$N38*(1-'Tier3Phase-in'!$L$12)</f>
        <v>2.8181343225308207E-2</v>
      </c>
      <c r="R38" s="702">
        <f>$N38*(1-'Tier3Phase-in'!$M$12)</f>
        <v>2.6604029238817075E-2</v>
      </c>
      <c r="S38" s="702">
        <f>$N38*(1-'Tier3Phase-in'!$N$12)</f>
        <v>2.5215992930704881E-2</v>
      </c>
      <c r="T38" s="702">
        <f>$N38*(1-'Tier3Phase-in'!$O$12)</f>
        <v>2.3233083919116024E-2</v>
      </c>
      <c r="U38" s="702">
        <f>$N38*(1-'Tier3Phase-in'!$P$12)</f>
        <v>2.3183511193826306E-2</v>
      </c>
      <c r="V38" s="702">
        <f>$N38*(1-'Tier3Phase-in'!$Q$12)</f>
        <v>2.3133938468536588E-2</v>
      </c>
      <c r="W38" s="685">
        <f>W37</f>
        <v>1.2512910398755666E-2</v>
      </c>
      <c r="X38" s="702">
        <f>X37</f>
        <v>1.6449821562436358E-2</v>
      </c>
      <c r="Y38" s="702">
        <f>$X38*(1-'Tier3Phase-in'!$J$12)</f>
        <v>1.6449821562436358E-2</v>
      </c>
      <c r="Z38" s="702">
        <f>$X38*(1-'Tier3Phase-in'!$K$12)</f>
        <v>1.4246720460324346E-2</v>
      </c>
      <c r="AA38" s="702">
        <f>$X38*(1-'Tier3Phase-in'!$L$12)</f>
        <v>1.2524295962309499E-2</v>
      </c>
      <c r="AB38" s="702">
        <f>$X38*(1-'Tier3Phase-in'!$M$12)</f>
        <v>1.1823309248001132E-2</v>
      </c>
      <c r="AC38" s="702">
        <f>$X38*(1-'Tier3Phase-in'!$N$12)</f>
        <v>1.1206440939409769E-2</v>
      </c>
      <c r="AD38" s="702">
        <f>$X38*(1-'Tier3Phase-in'!$O$12)</f>
        <v>1.0325200498564962E-2</v>
      </c>
      <c r="AE38" s="702">
        <f>$X38*(1-'Tier3Phase-in'!$P$12)</f>
        <v>1.0303169487543843E-2</v>
      </c>
      <c r="AF38" s="702">
        <f>$X38*(1-'Tier3Phase-in'!$Q$12)</f>
        <v>1.0281138476522723E-2</v>
      </c>
      <c r="AG38" s="685">
        <f>AG37</f>
        <v>6.7065892779184422</v>
      </c>
      <c r="AH38" s="702">
        <f>AH37</f>
        <v>5.1178910523048877</v>
      </c>
      <c r="AI38" s="702">
        <f>$AH38*(1-'Tier3Phase-in'!$J$12)</f>
        <v>5.1178910523048877</v>
      </c>
      <c r="AJ38" s="702">
        <f>$AH38*(1-'Tier3Phase-in'!$K$12)</f>
        <v>4.4324592149426261</v>
      </c>
      <c r="AK38" s="702">
        <f>$AH38*(1-'Tier3Phase-in'!$L$12)</f>
        <v>3.8965761420957667</v>
      </c>
      <c r="AL38" s="702">
        <f>$AH38*(1-'Tier3Phase-in'!$M$12)</f>
        <v>3.6784841938441382</v>
      </c>
      <c r="AM38" s="702">
        <f>$AH38*(1-'Tier3Phase-in'!$N$12)</f>
        <v>3.4865632793827048</v>
      </c>
      <c r="AN38" s="702">
        <f>$AH38*(1-'Tier3Phase-in'!$O$12)</f>
        <v>3.2123905444377994</v>
      </c>
      <c r="AO38" s="702">
        <f>$AH38*(1-'Tier3Phase-in'!$P$12)</f>
        <v>3.2055362260641771</v>
      </c>
      <c r="AP38" s="702">
        <f>$AH38*(1-'Tier3Phase-in'!$Q$12)</f>
        <v>3.1986819076905548</v>
      </c>
      <c r="AQ38" s="685">
        <f>AQ37</f>
        <v>0.27752727818491491</v>
      </c>
      <c r="AR38" s="702">
        <f>AR37</f>
        <v>0.19781159329499731</v>
      </c>
      <c r="AS38" s="702">
        <f>$AR38*(1-'Tier3Phase-in'!$J$12)</f>
        <v>0.19781159329499731</v>
      </c>
      <c r="AT38" s="702">
        <f>$AR38*(1-'Tier3Phase-in'!$K$12)</f>
        <v>0.17131896919298875</v>
      </c>
      <c r="AU38" s="702">
        <f>$AR38*(1-'Tier3Phase-in'!$L$12)</f>
        <v>0.15060655398596387</v>
      </c>
      <c r="AV38" s="702">
        <f>$AR38*(1-'Tier3Phase-in'!$M$12)</f>
        <v>0.14217708268077933</v>
      </c>
      <c r="AW38" s="702">
        <f>$AR38*(1-'Tier3Phase-in'!$N$12)</f>
        <v>0.13475914793221691</v>
      </c>
      <c r="AX38" s="702">
        <f>$AR38*(1-'Tier3Phase-in'!$O$12)</f>
        <v>0.12416209829141346</v>
      </c>
      <c r="AY38" s="702">
        <f>$AR38*(1-'Tier3Phase-in'!$P$12)</f>
        <v>0.1238971720503934</v>
      </c>
      <c r="AZ38" s="702">
        <f>$AR38*(1-'Tier3Phase-in'!$Q$12)</f>
        <v>0.12363224580937332</v>
      </c>
      <c r="BA38" s="685">
        <f>BA37</f>
        <v>7.9444451248780854E-4</v>
      </c>
      <c r="BB38" s="703">
        <f>BB37</f>
        <v>1.1462004810943872E-3</v>
      </c>
      <c r="BC38" s="703">
        <f>$BB38*(1-'Tier3Phase-in'!$J$12)</f>
        <v>1.1462004810943872E-3</v>
      </c>
      <c r="BD38" s="703">
        <f>$BB38*(1-'Tier3Phase-in'!$K$12)</f>
        <v>9.9269148809067462E-4</v>
      </c>
      <c r="BE38" s="703">
        <f>$BB38*(1-'Tier3Phase-in'!$L$12)</f>
        <v>8.7267536628777209E-4</v>
      </c>
      <c r="BF38" s="703">
        <f>$BB38*(1-'Tier3Phase-in'!$M$12)</f>
        <v>8.2383159578659076E-4</v>
      </c>
      <c r="BG38" s="703">
        <f>$BB38*(1-'Tier3Phase-in'!$N$12)</f>
        <v>7.8084907774555133E-4</v>
      </c>
      <c r="BH38" s="703">
        <f>$BB38*(1-'Tier3Phase-in'!$O$12)</f>
        <v>7.1944548054406611E-4</v>
      </c>
      <c r="BI38" s="703">
        <f>$BB38*(1-'Tier3Phase-in'!$P$12)</f>
        <v>7.1791039061402907E-4</v>
      </c>
      <c r="BJ38" s="703">
        <f>$BB38*(1-'Tier3Phase-in'!$Q$12)</f>
        <v>7.1637530068399203E-4</v>
      </c>
      <c r="BK38" s="685">
        <f>BK37</f>
        <v>1.0236587732090471E-3</v>
      </c>
      <c r="BL38" s="703">
        <f>BL37</f>
        <v>1.6449821562436358E-3</v>
      </c>
      <c r="BM38" s="703">
        <f>$BL38*(1-'Tier3Phase-in'!$J$12)</f>
        <v>1.6449821562436358E-3</v>
      </c>
      <c r="BN38" s="703">
        <f>$BL38*(1-'Tier3Phase-in'!$K$12)</f>
        <v>1.4246720460324347E-3</v>
      </c>
      <c r="BO38" s="703">
        <f>$BL38*(1-'Tier3Phase-in'!$L$12)</f>
        <v>1.25242959623095E-3</v>
      </c>
      <c r="BP38" s="703">
        <f>$BL38*(1-'Tier3Phase-in'!$M$12)</f>
        <v>1.1823309248001133E-3</v>
      </c>
      <c r="BQ38" s="703">
        <f>$BL38*(1-'Tier3Phase-in'!$N$12)</f>
        <v>1.1206440939409768E-3</v>
      </c>
      <c r="BR38" s="703">
        <f>$BL38*(1-'Tier3Phase-in'!$O$12)</f>
        <v>1.0325200498564962E-3</v>
      </c>
      <c r="BS38" s="703">
        <f>$BL38*(1-'Tier3Phase-in'!$P$12)</f>
        <v>1.0303169487543842E-3</v>
      </c>
      <c r="BT38" s="703">
        <f>$BL38*(1-'Tier3Phase-in'!$Q$12)</f>
        <v>1.0281138476522724E-3</v>
      </c>
      <c r="BU38" s="685">
        <f>BU37</f>
        <v>1.9944639193082412E-3</v>
      </c>
      <c r="BV38" s="703">
        <f>BV37</f>
        <v>1.831797241691807E-3</v>
      </c>
      <c r="BW38" s="703">
        <f>(1-'Tier3Phase-in'!$J$20)*BV38</f>
        <v>6.2281106217521433E-4</v>
      </c>
      <c r="BX38" s="685">
        <f>BX37</f>
        <v>1.8438128163137245E-2</v>
      </c>
      <c r="BY38" s="703">
        <f>BY37</f>
        <v>1.7230172593621172E-2</v>
      </c>
      <c r="BZ38" s="685">
        <f>BZ37</f>
        <v>1.5261726391086378E-2</v>
      </c>
      <c r="CA38" s="703">
        <f>CA37</f>
        <v>6.1596250977922953E-3</v>
      </c>
    </row>
    <row r="39" spans="1:79" x14ac:dyDescent="0.2">
      <c r="A39" s="690" t="str">
        <f>Technologies!C99</f>
        <v>TCE85C10</v>
      </c>
      <c r="B39" s="690" t="str">
        <f>Technologies!D99</f>
        <v>Commercial Truck, E85 2010</v>
      </c>
      <c r="C39" s="685">
        <f>'Raw emissions'!D22</f>
        <v>0.40066292315980989</v>
      </c>
      <c r="D39" s="702">
        <f>'Raw emissions'!E22</f>
        <v>0.31503734990905463</v>
      </c>
      <c r="E39" s="702">
        <f>$C39</f>
        <v>0.40066292315980989</v>
      </c>
      <c r="F39" s="702">
        <f t="shared" ref="F39:L39" si="53">$C39</f>
        <v>0.40066292315980989</v>
      </c>
      <c r="G39" s="702">
        <f t="shared" si="53"/>
        <v>0.40066292315980989</v>
      </c>
      <c r="H39" s="702">
        <f t="shared" si="53"/>
        <v>0.40066292315980989</v>
      </c>
      <c r="I39" s="702">
        <f t="shared" si="53"/>
        <v>0.40066292315980989</v>
      </c>
      <c r="J39" s="702">
        <f t="shared" si="53"/>
        <v>0.40066292315980989</v>
      </c>
      <c r="K39" s="702">
        <f t="shared" si="53"/>
        <v>0.40066292315980989</v>
      </c>
      <c r="L39" s="702">
        <f t="shared" si="53"/>
        <v>0.40066292315980989</v>
      </c>
      <c r="M39" s="685">
        <f>'Raw emissions'!J22</f>
        <v>3.5951969852872502E-2</v>
      </c>
      <c r="N39" s="702">
        <f>'Raw emissions'!K22</f>
        <v>3.5174864651377084E-2</v>
      </c>
      <c r="O39" s="702">
        <f>$M39</f>
        <v>3.5951969852872502E-2</v>
      </c>
      <c r="P39" s="702">
        <f t="shared" ref="P39:V39" si="54">$M39</f>
        <v>3.5951969852872502E-2</v>
      </c>
      <c r="Q39" s="702">
        <f t="shared" si="54"/>
        <v>3.5951969852872502E-2</v>
      </c>
      <c r="R39" s="702">
        <f t="shared" si="54"/>
        <v>3.5951969852872502E-2</v>
      </c>
      <c r="S39" s="702">
        <f t="shared" si="54"/>
        <v>3.5951969852872502E-2</v>
      </c>
      <c r="T39" s="702">
        <f t="shared" si="54"/>
        <v>3.5951969852872502E-2</v>
      </c>
      <c r="U39" s="702">
        <f t="shared" si="54"/>
        <v>3.5951969852872502E-2</v>
      </c>
      <c r="V39" s="702">
        <f t="shared" si="54"/>
        <v>3.5951969852872502E-2</v>
      </c>
      <c r="W39" s="685">
        <f>'Raw emissions'!M22</f>
        <v>1.5512540681378301E-2</v>
      </c>
      <c r="X39" s="702">
        <f>'Raw emissions'!N22</f>
        <v>1.4756037997643407E-2</v>
      </c>
      <c r="Y39" s="702">
        <f t="shared" ref="Y39:AF39" si="55">W39</f>
        <v>1.5512540681378301E-2</v>
      </c>
      <c r="Z39" s="702">
        <f t="shared" si="55"/>
        <v>1.4756037997643407E-2</v>
      </c>
      <c r="AA39" s="702">
        <f t="shared" si="55"/>
        <v>1.5512540681378301E-2</v>
      </c>
      <c r="AB39" s="702">
        <f t="shared" si="55"/>
        <v>1.4756037997643407E-2</v>
      </c>
      <c r="AC39" s="702">
        <f t="shared" si="55"/>
        <v>1.5512540681378301E-2</v>
      </c>
      <c r="AD39" s="702">
        <f t="shared" si="55"/>
        <v>1.4756037997643407E-2</v>
      </c>
      <c r="AE39" s="702">
        <f t="shared" si="55"/>
        <v>1.5512540681378301E-2</v>
      </c>
      <c r="AF39" s="702">
        <f t="shared" si="55"/>
        <v>1.4756037997643407E-2</v>
      </c>
      <c r="AG39" s="685">
        <f>'Raw emissions'!P22</f>
        <v>5.2004022327414479</v>
      </c>
      <c r="AH39" s="702">
        <f>'Raw emissions'!Q22</f>
        <v>4.0006131816803743</v>
      </c>
      <c r="AI39" s="702">
        <f>$AG39</f>
        <v>5.2004022327414479</v>
      </c>
      <c r="AJ39" s="702">
        <f t="shared" ref="AJ39:AP39" si="56">$AG39</f>
        <v>5.2004022327414479</v>
      </c>
      <c r="AK39" s="702">
        <f t="shared" si="56"/>
        <v>5.2004022327414479</v>
      </c>
      <c r="AL39" s="702">
        <f t="shared" si="56"/>
        <v>5.2004022327414479</v>
      </c>
      <c r="AM39" s="702">
        <f t="shared" si="56"/>
        <v>5.2004022327414479</v>
      </c>
      <c r="AN39" s="702">
        <f t="shared" si="56"/>
        <v>5.2004022327414479</v>
      </c>
      <c r="AO39" s="702">
        <f t="shared" si="56"/>
        <v>5.2004022327414479</v>
      </c>
      <c r="AP39" s="702">
        <f t="shared" si="56"/>
        <v>5.2004022327414479</v>
      </c>
      <c r="AQ39" s="685">
        <f>'Raw emissions'!Y22</f>
        <v>0.18904545174361304</v>
      </c>
      <c r="AR39" s="702">
        <f>'Raw emissions'!Z22</f>
        <v>0.13685534409178091</v>
      </c>
      <c r="AS39" s="702">
        <f>$AQ39</f>
        <v>0.18904545174361304</v>
      </c>
      <c r="AT39" s="702">
        <f t="shared" ref="AT39:AZ39" si="57">$AQ39</f>
        <v>0.18904545174361304</v>
      </c>
      <c r="AU39" s="702">
        <f t="shared" si="57"/>
        <v>0.18904545174361304</v>
      </c>
      <c r="AV39" s="702">
        <f t="shared" si="57"/>
        <v>0.18904545174361304</v>
      </c>
      <c r="AW39" s="702">
        <f t="shared" si="57"/>
        <v>0.18904545174361304</v>
      </c>
      <c r="AX39" s="702">
        <f t="shared" si="57"/>
        <v>0.18904545174361304</v>
      </c>
      <c r="AY39" s="702">
        <f t="shared" si="57"/>
        <v>0.18904545174361304</v>
      </c>
      <c r="AZ39" s="702">
        <f t="shared" si="57"/>
        <v>0.18904545174361304</v>
      </c>
      <c r="BA39" s="685">
        <f>'Raw emissions'!AK22</f>
        <v>1.0822808014175562E-3</v>
      </c>
      <c r="BB39" s="703">
        <f>'Raw emissions'!AL22</f>
        <v>9.1858676898909592E-4</v>
      </c>
      <c r="BC39" s="703">
        <f>$BA39</f>
        <v>1.0822808014175562E-3</v>
      </c>
      <c r="BD39" s="703">
        <f t="shared" ref="BD39:BJ39" si="58">$BA39</f>
        <v>1.0822808014175562E-3</v>
      </c>
      <c r="BE39" s="703">
        <f t="shared" si="58"/>
        <v>1.0822808014175562E-3</v>
      </c>
      <c r="BF39" s="703">
        <f t="shared" si="58"/>
        <v>1.0822808014175562E-3</v>
      </c>
      <c r="BG39" s="703">
        <f t="shared" si="58"/>
        <v>1.0822808014175562E-3</v>
      </c>
      <c r="BH39" s="703">
        <f t="shared" si="58"/>
        <v>1.0822808014175562E-3</v>
      </c>
      <c r="BI39" s="703">
        <f t="shared" si="58"/>
        <v>1.0822808014175562E-3</v>
      </c>
      <c r="BJ39" s="703">
        <f t="shared" si="58"/>
        <v>1.0822808014175562E-3</v>
      </c>
      <c r="BK39" s="685">
        <f>'Raw emissions'!AG22</f>
        <v>6.3106977735813644E-3</v>
      </c>
      <c r="BL39" s="703">
        <f>'Raw emissions'!AI22</f>
        <v>5.3121736791516263E-3</v>
      </c>
      <c r="BM39" s="703">
        <f>$BK39</f>
        <v>6.3106977735813644E-3</v>
      </c>
      <c r="BN39" s="703">
        <f t="shared" ref="BN39:BT39" si="59">$BK39</f>
        <v>6.3106977735813644E-3</v>
      </c>
      <c r="BO39" s="703">
        <f t="shared" si="59"/>
        <v>6.3106977735813644E-3</v>
      </c>
      <c r="BP39" s="703">
        <f t="shared" si="59"/>
        <v>6.3106977735813644E-3</v>
      </c>
      <c r="BQ39" s="703">
        <f t="shared" si="59"/>
        <v>6.3106977735813644E-3</v>
      </c>
      <c r="BR39" s="703">
        <f t="shared" si="59"/>
        <v>6.3106977735813644E-3</v>
      </c>
      <c r="BS39" s="703">
        <f t="shared" si="59"/>
        <v>6.3106977735813644E-3</v>
      </c>
      <c r="BT39" s="703">
        <f t="shared" si="59"/>
        <v>6.3106977735813644E-3</v>
      </c>
      <c r="BU39" s="685">
        <f>'Raw emissions'!G22</f>
        <v>2.9894449611191434E-3</v>
      </c>
      <c r="BV39" s="703">
        <f>'Raw emissions'!H22</f>
        <v>2.9894449611191434E-3</v>
      </c>
      <c r="BW39" s="703">
        <f>(1-'Tier3Phase-in'!$J$20)*BV39</f>
        <v>1.0164112867805087E-3</v>
      </c>
      <c r="BX39" s="685">
        <f>'Raw emissions'!V22</f>
        <v>1.7607219485902513E-2</v>
      </c>
      <c r="BY39" s="703">
        <f>'Raw emissions'!W22</f>
        <v>1.6328853541591637E-2</v>
      </c>
      <c r="BZ39" s="685">
        <f>'Raw emissions'!S22</f>
        <v>1.4513914745989509E-2</v>
      </c>
      <c r="CA39" s="703">
        <f>'Raw emissions'!T22</f>
        <v>5.90699189218751E-3</v>
      </c>
    </row>
    <row r="40" spans="1:79" x14ac:dyDescent="0.2">
      <c r="A40" s="690" t="str">
        <f>Technologies!C100</f>
        <v>TCE85C</v>
      </c>
      <c r="B40" s="690" t="str">
        <f>Technologies!D100</f>
        <v>Commercial Truck, Conventional E85</v>
      </c>
      <c r="C40" s="685">
        <f>'Raw emissions'!D22</f>
        <v>0.40066292315980989</v>
      </c>
      <c r="D40" s="702">
        <f>'Raw emissions'!E22</f>
        <v>0.31503734990905463</v>
      </c>
      <c r="E40" s="702">
        <f>$D40*(1-'Tier3Phase-in'!$J$12)</f>
        <v>0.31503734990905463</v>
      </c>
      <c r="F40" s="702">
        <f>$D40*(1-'Tier3Phase-in'!$K$12)</f>
        <v>0.27284484768909195</v>
      </c>
      <c r="G40" s="702">
        <f>$D40*(1-'Tier3Phase-in'!$L$12)</f>
        <v>0.23985798231712113</v>
      </c>
      <c r="H40" s="702">
        <f>$D40*(1-'Tier3Phase-in'!$M$12)</f>
        <v>0.22643309524713301</v>
      </c>
      <c r="I40" s="702">
        <f>$D40*(1-'Tier3Phase-in'!$N$12)</f>
        <v>0.21461919462554346</v>
      </c>
      <c r="J40" s="702">
        <f>$D40*(1-'Tier3Phase-in'!$O$12)</f>
        <v>0.19774219373755836</v>
      </c>
      <c r="K40" s="702">
        <f>$D40*(1-'Tier3Phase-in'!$P$12)</f>
        <v>0.19732026871535877</v>
      </c>
      <c r="L40" s="702">
        <f>$D40*(1-'Tier3Phase-in'!$Q$12)</f>
        <v>0.19689834369315914</v>
      </c>
      <c r="M40" s="685">
        <f>'Raw emissions'!J22</f>
        <v>3.5951969852872502E-2</v>
      </c>
      <c r="N40" s="702">
        <f>'Raw emissions'!K22</f>
        <v>3.5174864651377084E-2</v>
      </c>
      <c r="O40" s="702">
        <f>$N40*(1-'Tier3Phase-in'!$J$12)</f>
        <v>3.5174864651377084E-2</v>
      </c>
      <c r="P40" s="702">
        <f>$N40*(1-'Tier3Phase-in'!$K$12)</f>
        <v>3.0463945278424796E-2</v>
      </c>
      <c r="Q40" s="702">
        <f>$N40*(1-'Tier3Phase-in'!$L$12)</f>
        <v>2.6780862859571188E-2</v>
      </c>
      <c r="R40" s="702">
        <f>$N40*(1-'Tier3Phase-in'!$M$12)</f>
        <v>2.5281933968177281E-2</v>
      </c>
      <c r="S40" s="702">
        <f>$N40*(1-'Tier3Phase-in'!$N$12)</f>
        <v>2.3962876543750639E-2</v>
      </c>
      <c r="T40" s="702">
        <f>$N40*(1-'Tier3Phase-in'!$O$12)</f>
        <v>2.2078508794569719E-2</v>
      </c>
      <c r="U40" s="702">
        <f>$N40*(1-'Tier3Phase-in'!$P$12)</f>
        <v>2.2031399600840197E-2</v>
      </c>
      <c r="V40" s="702">
        <f>$N40*(1-'Tier3Phase-in'!$Q$12)</f>
        <v>2.1984290407110679E-2</v>
      </c>
      <c r="W40" s="685">
        <f>'Raw emissions'!M22</f>
        <v>1.5512540681378301E-2</v>
      </c>
      <c r="X40" s="702">
        <f>'Raw emissions'!N22</f>
        <v>1.4756037997643407E-2</v>
      </c>
      <c r="Y40" s="702">
        <f>$X40*(1-'Tier3Phase-in'!$J$12)</f>
        <v>1.4756037997643407E-2</v>
      </c>
      <c r="Z40" s="702">
        <f>$X40*(1-'Tier3Phase-in'!$K$12)</f>
        <v>1.2779782908673308E-2</v>
      </c>
      <c r="AA40" s="702">
        <f>$X40*(1-'Tier3Phase-in'!$L$12)</f>
        <v>1.1234710748205775E-2</v>
      </c>
      <c r="AB40" s="702">
        <f>$X40*(1-'Tier3Phase-in'!$M$12)</f>
        <v>1.0605902310806199E-2</v>
      </c>
      <c r="AC40" s="702">
        <f>$X40*(1-'Tier3Phase-in'!$N$12)</f>
        <v>1.0052550885894572E-2</v>
      </c>
      <c r="AD40" s="702">
        <f>$X40*(1-'Tier3Phase-in'!$O$12)</f>
        <v>9.2620488503065302E-3</v>
      </c>
      <c r="AE40" s="702">
        <f>$X40*(1-'Tier3Phase-in'!$P$12)</f>
        <v>9.2422862994168287E-3</v>
      </c>
      <c r="AF40" s="702">
        <f>$X40*(1-'Tier3Phase-in'!$Q$12)</f>
        <v>9.222523748527129E-3</v>
      </c>
      <c r="AG40" s="685">
        <f>'Raw emissions'!P22</f>
        <v>5.2004022327414479</v>
      </c>
      <c r="AH40" s="702">
        <f>'Raw emissions'!Q22</f>
        <v>4.0006131816803743</v>
      </c>
      <c r="AI40" s="702">
        <f>$AH40*(1-'Tier3Phase-in'!$J$12)</f>
        <v>4.0006131816803743</v>
      </c>
      <c r="AJ40" s="702">
        <f>$AH40*(1-'Tier3Phase-in'!$K$12)</f>
        <v>3.46481677341961</v>
      </c>
      <c r="AK40" s="702">
        <f>$AH40*(1-'Tier3Phase-in'!$L$12)</f>
        <v>3.0459213996884666</v>
      </c>
      <c r="AL40" s="702">
        <f>$AH40*(1-'Tier3Phase-in'!$M$12)</f>
        <v>2.8754407243327691</v>
      </c>
      <c r="AM40" s="702">
        <f>$AH40*(1-'Tier3Phase-in'!$N$12)</f>
        <v>2.7254177300197551</v>
      </c>
      <c r="AN40" s="702">
        <f>$AH40*(1-'Tier3Phase-in'!$O$12)</f>
        <v>2.5110991667154487</v>
      </c>
      <c r="AO40" s="702">
        <f>$AH40*(1-'Tier3Phase-in'!$P$12)</f>
        <v>2.5057412026328412</v>
      </c>
      <c r="AP40" s="702">
        <f>$AH40*(1-'Tier3Phase-in'!$Q$12)</f>
        <v>2.500383238550234</v>
      </c>
      <c r="AQ40" s="685">
        <f>'Raw emissions'!Y22</f>
        <v>0.18904545174361304</v>
      </c>
      <c r="AR40" s="702">
        <f>'Raw emissions'!Z22</f>
        <v>0.13685534409178091</v>
      </c>
      <c r="AS40" s="702">
        <f>$AR40*(1-'Tier3Phase-in'!$J$12)</f>
        <v>0.13685534409178091</v>
      </c>
      <c r="AT40" s="702">
        <f>$AR40*(1-'Tier3Phase-in'!$K$12)</f>
        <v>0.11852650336520311</v>
      </c>
      <c r="AU40" s="702">
        <f>$AR40*(1-'Tier3Phase-in'!$L$12)</f>
        <v>0.104196682433515</v>
      </c>
      <c r="AV40" s="702">
        <f>$AR40*(1-'Tier3Phase-in'!$M$12)</f>
        <v>9.8364778565967523E-2</v>
      </c>
      <c r="AW40" s="702">
        <f>$AR40*(1-'Tier3Phase-in'!$N$12)</f>
        <v>9.3232703162525743E-2</v>
      </c>
      <c r="AX40" s="702">
        <f>$AR40*(1-'Tier3Phase-in'!$O$12)</f>
        <v>8.5901166871894599E-2</v>
      </c>
      <c r="AY40" s="702">
        <f>$AR40*(1-'Tier3Phase-in'!$P$12)</f>
        <v>8.5717878464628833E-2</v>
      </c>
      <c r="AZ40" s="702">
        <f>$AR40*(1-'Tier3Phase-in'!$Q$12)</f>
        <v>8.5534590057363066E-2</v>
      </c>
      <c r="BA40" s="685">
        <f>'Raw emissions'!AK22</f>
        <v>1.0822808014175562E-3</v>
      </c>
      <c r="BB40" s="703">
        <f>'Raw emissions'!AL22</f>
        <v>9.1858676898909592E-4</v>
      </c>
      <c r="BC40" s="703">
        <f>$BB40*(1-'Tier3Phase-in'!$J$12)</f>
        <v>9.1858676898909592E-4</v>
      </c>
      <c r="BD40" s="703">
        <f>$BB40*(1-'Tier3Phase-in'!$K$12)</f>
        <v>7.9556175528519915E-4</v>
      </c>
      <c r="BE40" s="703">
        <f>$BB40*(1-'Tier3Phase-in'!$L$12)</f>
        <v>6.9937856275306166E-4</v>
      </c>
      <c r="BF40" s="703">
        <f>$BB40*(1-'Tier3Phase-in'!$M$12)</f>
        <v>6.6023424021091268E-4</v>
      </c>
      <c r="BG40" s="703">
        <f>$BB40*(1-'Tier3Phase-in'!$N$12)</f>
        <v>6.257872363738216E-4</v>
      </c>
      <c r="BH40" s="703">
        <f>$BB40*(1-'Tier3Phase-in'!$O$12)</f>
        <v>5.7657723089226277E-4</v>
      </c>
      <c r="BI40" s="703">
        <f>$BB40*(1-'Tier3Phase-in'!$P$12)</f>
        <v>5.753469807552239E-4</v>
      </c>
      <c r="BJ40" s="703">
        <f>$BB40*(1-'Tier3Phase-in'!$Q$12)</f>
        <v>5.7411673061818493E-4</v>
      </c>
      <c r="BK40" s="685">
        <f>'Raw emissions'!AG22</f>
        <v>6.3106977735813644E-3</v>
      </c>
      <c r="BL40" s="703">
        <f>'Raw emissions'!AI22</f>
        <v>5.3121736791516263E-3</v>
      </c>
      <c r="BM40" s="703">
        <f>$BL40*(1-'Tier3Phase-in'!$J$12)</f>
        <v>5.3121736791516263E-3</v>
      </c>
      <c r="BN40" s="703">
        <f>$BL40*(1-'Tier3Phase-in'!$K$12)</f>
        <v>4.6007218471223908E-3</v>
      </c>
      <c r="BO40" s="703">
        <f>$BL40*(1-'Tier3Phase-in'!$L$12)</f>
        <v>4.0444958693540787E-3</v>
      </c>
      <c r="BP40" s="703">
        <f>$BL40*(1-'Tier3Phase-in'!$M$12)</f>
        <v>3.8181248318902316E-3</v>
      </c>
      <c r="BQ40" s="703">
        <f>$BL40*(1-'Tier3Phase-in'!$N$12)</f>
        <v>3.6189183189220455E-3</v>
      </c>
      <c r="BR40" s="703">
        <f>$BL40*(1-'Tier3Phase-in'!$O$12)</f>
        <v>3.3343375861103505E-3</v>
      </c>
      <c r="BS40" s="703">
        <f>$BL40*(1-'Tier3Phase-in'!$P$12)</f>
        <v>3.3272230677900585E-3</v>
      </c>
      <c r="BT40" s="703">
        <f>$BL40*(1-'Tier3Phase-in'!$Q$12)</f>
        <v>3.3201085494697666E-3</v>
      </c>
      <c r="BU40" s="685">
        <f>'Raw emissions'!G22</f>
        <v>2.9894449611191434E-3</v>
      </c>
      <c r="BV40" s="703">
        <f>'Raw emissions'!H22</f>
        <v>2.9894449611191434E-3</v>
      </c>
      <c r="BW40" s="703">
        <f>(1-'Tier3Phase-in'!$J$20)*BV40</f>
        <v>1.0164112867805087E-3</v>
      </c>
      <c r="BX40" s="685">
        <f>'Raw emissions'!V22</f>
        <v>1.7607219485902513E-2</v>
      </c>
      <c r="BY40" s="703">
        <f>'Raw emissions'!W22</f>
        <v>1.6328853541591637E-2</v>
      </c>
      <c r="BZ40" s="685">
        <f>'Raw emissions'!S22</f>
        <v>1.4513914745989509E-2</v>
      </c>
      <c r="CA40" s="703">
        <f>'Raw emissions'!T22</f>
        <v>5.90699189218751E-3</v>
      </c>
    </row>
    <row r="41" spans="1:79" x14ac:dyDescent="0.2">
      <c r="A41" s="690" t="str">
        <f>Technologies!C101</f>
        <v>TCE85IM</v>
      </c>
      <c r="B41" s="690" t="str">
        <f>Technologies!D101</f>
        <v>Commercial Truck, Improved E85</v>
      </c>
      <c r="C41" s="685">
        <f>C40</f>
        <v>0.40066292315980989</v>
      </c>
      <c r="D41" s="702">
        <f>D40</f>
        <v>0.31503734990905463</v>
      </c>
      <c r="E41" s="702">
        <f>$D41*(1-'Tier3Phase-in'!$J$12)</f>
        <v>0.31503734990905463</v>
      </c>
      <c r="F41" s="702">
        <f>$D41*(1-'Tier3Phase-in'!$K$12)</f>
        <v>0.27284484768909195</v>
      </c>
      <c r="G41" s="702">
        <f>$D41*(1-'Tier3Phase-in'!$L$12)</f>
        <v>0.23985798231712113</v>
      </c>
      <c r="H41" s="702">
        <f>$D41*(1-'Tier3Phase-in'!$M$12)</f>
        <v>0.22643309524713301</v>
      </c>
      <c r="I41" s="702">
        <f>$D41*(1-'Tier3Phase-in'!$N$12)</f>
        <v>0.21461919462554346</v>
      </c>
      <c r="J41" s="702">
        <f>$D41*(1-'Tier3Phase-in'!$O$12)</f>
        <v>0.19774219373755836</v>
      </c>
      <c r="K41" s="702">
        <f>$D41*(1-'Tier3Phase-in'!$P$12)</f>
        <v>0.19732026871535877</v>
      </c>
      <c r="L41" s="702">
        <f>$D41*(1-'Tier3Phase-in'!$Q$12)</f>
        <v>0.19689834369315914</v>
      </c>
      <c r="M41" s="685">
        <f>M40</f>
        <v>3.5951969852872502E-2</v>
      </c>
      <c r="N41" s="702">
        <f>N40</f>
        <v>3.5174864651377084E-2</v>
      </c>
      <c r="O41" s="702">
        <f>$N41*(1-'Tier3Phase-in'!$J$12)</f>
        <v>3.5174864651377084E-2</v>
      </c>
      <c r="P41" s="702">
        <f>$N41*(1-'Tier3Phase-in'!$K$12)</f>
        <v>3.0463945278424796E-2</v>
      </c>
      <c r="Q41" s="702">
        <f>$N41*(1-'Tier3Phase-in'!$L$12)</f>
        <v>2.6780862859571188E-2</v>
      </c>
      <c r="R41" s="702">
        <f>$N41*(1-'Tier3Phase-in'!$M$12)</f>
        <v>2.5281933968177281E-2</v>
      </c>
      <c r="S41" s="702">
        <f>$N41*(1-'Tier3Phase-in'!$N$12)</f>
        <v>2.3962876543750639E-2</v>
      </c>
      <c r="T41" s="702">
        <f>$N41*(1-'Tier3Phase-in'!$O$12)</f>
        <v>2.2078508794569719E-2</v>
      </c>
      <c r="U41" s="702">
        <f>$N41*(1-'Tier3Phase-in'!$P$12)</f>
        <v>2.2031399600840197E-2</v>
      </c>
      <c r="V41" s="702">
        <f>$N41*(1-'Tier3Phase-in'!$Q$12)</f>
        <v>2.1984290407110679E-2</v>
      </c>
      <c r="W41" s="685">
        <f>W40</f>
        <v>1.5512540681378301E-2</v>
      </c>
      <c r="X41" s="702">
        <f>X40</f>
        <v>1.4756037997643407E-2</v>
      </c>
      <c r="Y41" s="702">
        <f>$X41*(1-'Tier3Phase-in'!$J$12)</f>
        <v>1.4756037997643407E-2</v>
      </c>
      <c r="Z41" s="702">
        <f>$X41*(1-'Tier3Phase-in'!$K$12)</f>
        <v>1.2779782908673308E-2</v>
      </c>
      <c r="AA41" s="702">
        <f>$X41*(1-'Tier3Phase-in'!$L$12)</f>
        <v>1.1234710748205775E-2</v>
      </c>
      <c r="AB41" s="702">
        <f>$X41*(1-'Tier3Phase-in'!$M$12)</f>
        <v>1.0605902310806199E-2</v>
      </c>
      <c r="AC41" s="702">
        <f>$X41*(1-'Tier3Phase-in'!$N$12)</f>
        <v>1.0052550885894572E-2</v>
      </c>
      <c r="AD41" s="702">
        <f>$X41*(1-'Tier3Phase-in'!$O$12)</f>
        <v>9.2620488503065302E-3</v>
      </c>
      <c r="AE41" s="702">
        <f>$X41*(1-'Tier3Phase-in'!$P$12)</f>
        <v>9.2422862994168287E-3</v>
      </c>
      <c r="AF41" s="702">
        <f>$X41*(1-'Tier3Phase-in'!$Q$12)</f>
        <v>9.222523748527129E-3</v>
      </c>
      <c r="AG41" s="685">
        <f>AG40</f>
        <v>5.2004022327414479</v>
      </c>
      <c r="AH41" s="702">
        <f>AH40</f>
        <v>4.0006131816803743</v>
      </c>
      <c r="AI41" s="702">
        <f>$AH41*(1-'Tier3Phase-in'!$J$12)</f>
        <v>4.0006131816803743</v>
      </c>
      <c r="AJ41" s="702">
        <f>$AH41*(1-'Tier3Phase-in'!$K$12)</f>
        <v>3.46481677341961</v>
      </c>
      <c r="AK41" s="702">
        <f>$AH41*(1-'Tier3Phase-in'!$L$12)</f>
        <v>3.0459213996884666</v>
      </c>
      <c r="AL41" s="702">
        <f>$AH41*(1-'Tier3Phase-in'!$M$12)</f>
        <v>2.8754407243327691</v>
      </c>
      <c r="AM41" s="702">
        <f>$AH41*(1-'Tier3Phase-in'!$N$12)</f>
        <v>2.7254177300197551</v>
      </c>
      <c r="AN41" s="702">
        <f>$AH41*(1-'Tier3Phase-in'!$O$12)</f>
        <v>2.5110991667154487</v>
      </c>
      <c r="AO41" s="702">
        <f>$AH41*(1-'Tier3Phase-in'!$P$12)</f>
        <v>2.5057412026328412</v>
      </c>
      <c r="AP41" s="702">
        <f>$AH41*(1-'Tier3Phase-in'!$Q$12)</f>
        <v>2.500383238550234</v>
      </c>
      <c r="AQ41" s="685">
        <f>AQ40</f>
        <v>0.18904545174361304</v>
      </c>
      <c r="AR41" s="702">
        <f>AR40</f>
        <v>0.13685534409178091</v>
      </c>
      <c r="AS41" s="702">
        <f>$AR41*(1-'Tier3Phase-in'!$J$12)</f>
        <v>0.13685534409178091</v>
      </c>
      <c r="AT41" s="702">
        <f>$AR41*(1-'Tier3Phase-in'!$K$12)</f>
        <v>0.11852650336520311</v>
      </c>
      <c r="AU41" s="702">
        <f>$AR41*(1-'Tier3Phase-in'!$L$12)</f>
        <v>0.104196682433515</v>
      </c>
      <c r="AV41" s="702">
        <f>$AR41*(1-'Tier3Phase-in'!$M$12)</f>
        <v>9.8364778565967523E-2</v>
      </c>
      <c r="AW41" s="702">
        <f>$AR41*(1-'Tier3Phase-in'!$N$12)</f>
        <v>9.3232703162525743E-2</v>
      </c>
      <c r="AX41" s="702">
        <f>$AR41*(1-'Tier3Phase-in'!$O$12)</f>
        <v>8.5901166871894599E-2</v>
      </c>
      <c r="AY41" s="702">
        <f>$AR41*(1-'Tier3Phase-in'!$P$12)</f>
        <v>8.5717878464628833E-2</v>
      </c>
      <c r="AZ41" s="702">
        <f>$AR41*(1-'Tier3Phase-in'!$Q$12)</f>
        <v>8.5534590057363066E-2</v>
      </c>
      <c r="BA41" s="685">
        <f>BA40</f>
        <v>1.0822808014175562E-3</v>
      </c>
      <c r="BB41" s="703">
        <f>BB40</f>
        <v>9.1858676898909592E-4</v>
      </c>
      <c r="BC41" s="703">
        <f>$BB41*(1-'Tier3Phase-in'!$J$12)</f>
        <v>9.1858676898909592E-4</v>
      </c>
      <c r="BD41" s="703">
        <f>$BB41*(1-'Tier3Phase-in'!$K$12)</f>
        <v>7.9556175528519915E-4</v>
      </c>
      <c r="BE41" s="703">
        <f>$BB41*(1-'Tier3Phase-in'!$L$12)</f>
        <v>6.9937856275306166E-4</v>
      </c>
      <c r="BF41" s="703">
        <f>$BB41*(1-'Tier3Phase-in'!$M$12)</f>
        <v>6.6023424021091268E-4</v>
      </c>
      <c r="BG41" s="703">
        <f>$BB41*(1-'Tier3Phase-in'!$N$12)</f>
        <v>6.257872363738216E-4</v>
      </c>
      <c r="BH41" s="703">
        <f>$BB41*(1-'Tier3Phase-in'!$O$12)</f>
        <v>5.7657723089226277E-4</v>
      </c>
      <c r="BI41" s="703">
        <f>$BB41*(1-'Tier3Phase-in'!$P$12)</f>
        <v>5.753469807552239E-4</v>
      </c>
      <c r="BJ41" s="703">
        <f>$BB41*(1-'Tier3Phase-in'!$Q$12)</f>
        <v>5.7411673061818493E-4</v>
      </c>
      <c r="BK41" s="685">
        <f>BK40</f>
        <v>6.3106977735813644E-3</v>
      </c>
      <c r="BL41" s="703">
        <f>BL40</f>
        <v>5.3121736791516263E-3</v>
      </c>
      <c r="BM41" s="703">
        <f>$BL41*(1-'Tier3Phase-in'!$J$12)</f>
        <v>5.3121736791516263E-3</v>
      </c>
      <c r="BN41" s="703">
        <f>$BL41*(1-'Tier3Phase-in'!$K$12)</f>
        <v>4.6007218471223908E-3</v>
      </c>
      <c r="BO41" s="703">
        <f>$BL41*(1-'Tier3Phase-in'!$L$12)</f>
        <v>4.0444958693540787E-3</v>
      </c>
      <c r="BP41" s="703">
        <f>$BL41*(1-'Tier3Phase-in'!$M$12)</f>
        <v>3.8181248318902316E-3</v>
      </c>
      <c r="BQ41" s="703">
        <f>$BL41*(1-'Tier3Phase-in'!$N$12)</f>
        <v>3.6189183189220455E-3</v>
      </c>
      <c r="BR41" s="703">
        <f>$BL41*(1-'Tier3Phase-in'!$O$12)</f>
        <v>3.3343375861103505E-3</v>
      </c>
      <c r="BS41" s="703">
        <f>$BL41*(1-'Tier3Phase-in'!$P$12)</f>
        <v>3.3272230677900585E-3</v>
      </c>
      <c r="BT41" s="703">
        <f>$BL41*(1-'Tier3Phase-in'!$Q$12)</f>
        <v>3.3201085494697666E-3</v>
      </c>
      <c r="BU41" s="685">
        <f>BU40</f>
        <v>2.9894449611191434E-3</v>
      </c>
      <c r="BV41" s="703">
        <f>BV40</f>
        <v>2.9894449611191434E-3</v>
      </c>
      <c r="BW41" s="703">
        <f>(1-'Tier3Phase-in'!$J$20)*BV41</f>
        <v>1.0164112867805087E-3</v>
      </c>
      <c r="BX41" s="685">
        <f>BX40</f>
        <v>1.7607219485902513E-2</v>
      </c>
      <c r="BY41" s="703">
        <f>BY40</f>
        <v>1.6328853541591637E-2</v>
      </c>
      <c r="BZ41" s="685">
        <f>BZ40</f>
        <v>1.4513914745989509E-2</v>
      </c>
      <c r="CA41" s="703">
        <f>CA40</f>
        <v>5.90699189218751E-3</v>
      </c>
    </row>
    <row r="42" spans="1:79" x14ac:dyDescent="0.2">
      <c r="A42" s="690" t="str">
        <f>Technologies!C104</f>
        <v>TCLPGC10</v>
      </c>
      <c r="B42" s="690" t="str">
        <f>Technologies!D104</f>
        <v>Commercial Truck, LPG 2010</v>
      </c>
      <c r="C42" s="685">
        <f>'Raw emissions'!D21</f>
        <v>0.50520914230380454</v>
      </c>
      <c r="D42" s="702">
        <f>'Raw emissions'!E21</f>
        <v>0.34644203347723984</v>
      </c>
      <c r="E42" s="702">
        <f>$C42</f>
        <v>0.50520914230380454</v>
      </c>
      <c r="F42" s="702">
        <f t="shared" ref="F42:L42" si="60">$C42</f>
        <v>0.50520914230380454</v>
      </c>
      <c r="G42" s="702">
        <f t="shared" si="60"/>
        <v>0.50520914230380454</v>
      </c>
      <c r="H42" s="702">
        <f t="shared" si="60"/>
        <v>0.50520914230380454</v>
      </c>
      <c r="I42" s="702">
        <f t="shared" si="60"/>
        <v>0.50520914230380454</v>
      </c>
      <c r="J42" s="702">
        <f t="shared" si="60"/>
        <v>0.50520914230380454</v>
      </c>
      <c r="K42" s="702">
        <f t="shared" si="60"/>
        <v>0.50520914230380454</v>
      </c>
      <c r="L42" s="702">
        <f t="shared" si="60"/>
        <v>0.50520914230380454</v>
      </c>
      <c r="M42" s="685">
        <f>'Raw emissions'!J21</f>
        <v>2.6495567442137408E-2</v>
      </c>
      <c r="N42" s="702">
        <f>'Raw emissions'!K21</f>
        <v>2.6557223416884882E-2</v>
      </c>
      <c r="O42" s="702">
        <f>$M42</f>
        <v>2.6495567442137408E-2</v>
      </c>
      <c r="P42" s="702">
        <f t="shared" ref="P42:V42" si="61">$M42</f>
        <v>2.6495567442137408E-2</v>
      </c>
      <c r="Q42" s="702">
        <f t="shared" si="61"/>
        <v>2.6495567442137408E-2</v>
      </c>
      <c r="R42" s="702">
        <f t="shared" si="61"/>
        <v>2.6495567442137408E-2</v>
      </c>
      <c r="S42" s="702">
        <f t="shared" si="61"/>
        <v>2.6495567442137408E-2</v>
      </c>
      <c r="T42" s="702">
        <f t="shared" si="61"/>
        <v>2.6495567442137408E-2</v>
      </c>
      <c r="U42" s="702">
        <f t="shared" si="61"/>
        <v>2.6495567442137408E-2</v>
      </c>
      <c r="V42" s="702">
        <f t="shared" si="61"/>
        <v>2.6495567442137408E-2</v>
      </c>
      <c r="W42" s="685">
        <f>'Raw emissions'!M21</f>
        <v>6.8049844425761121E-3</v>
      </c>
      <c r="X42" s="702">
        <f>'Raw emissions'!N21</f>
        <v>6.8208027021063738E-3</v>
      </c>
      <c r="Y42" s="702">
        <f t="shared" ref="Y42:AF42" si="62">W42</f>
        <v>6.8049844425761121E-3</v>
      </c>
      <c r="Z42" s="702">
        <f t="shared" si="62"/>
        <v>6.8208027021063738E-3</v>
      </c>
      <c r="AA42" s="702">
        <f t="shared" si="62"/>
        <v>6.8049844425761121E-3</v>
      </c>
      <c r="AB42" s="702">
        <f t="shared" si="62"/>
        <v>6.8208027021063738E-3</v>
      </c>
      <c r="AC42" s="702">
        <f t="shared" si="62"/>
        <v>6.8049844425761121E-3</v>
      </c>
      <c r="AD42" s="702">
        <f t="shared" si="62"/>
        <v>6.8208027021063738E-3</v>
      </c>
      <c r="AE42" s="702">
        <f t="shared" si="62"/>
        <v>6.8049844425761121E-3</v>
      </c>
      <c r="AF42" s="702">
        <f t="shared" si="62"/>
        <v>6.8208027021063738E-3</v>
      </c>
      <c r="AG42" s="685">
        <f>'Raw emissions'!P21</f>
        <v>6.7065892779184422</v>
      </c>
      <c r="AH42" s="702">
        <f>'Raw emissions'!Q21</f>
        <v>5.1178910523048877</v>
      </c>
      <c r="AI42" s="702">
        <f>$AG42</f>
        <v>6.7065892779184422</v>
      </c>
      <c r="AJ42" s="702">
        <f t="shared" ref="AJ42:AP42" si="63">$AG42</f>
        <v>6.7065892779184422</v>
      </c>
      <c r="AK42" s="702">
        <f t="shared" si="63"/>
        <v>6.7065892779184422</v>
      </c>
      <c r="AL42" s="702">
        <f t="shared" si="63"/>
        <v>6.7065892779184422</v>
      </c>
      <c r="AM42" s="702">
        <f t="shared" si="63"/>
        <v>6.7065892779184422</v>
      </c>
      <c r="AN42" s="702">
        <f t="shared" si="63"/>
        <v>6.7065892779184422</v>
      </c>
      <c r="AO42" s="702">
        <f t="shared" si="63"/>
        <v>6.7065892779184422</v>
      </c>
      <c r="AP42" s="702">
        <f t="shared" si="63"/>
        <v>6.7065892779184422</v>
      </c>
      <c r="AQ42" s="685">
        <f>'Raw emissions'!Y21</f>
        <v>0.27752727818491491</v>
      </c>
      <c r="AR42" s="702">
        <f>'Raw emissions'!Z21</f>
        <v>0.19781159329499731</v>
      </c>
      <c r="AS42" s="702">
        <f>$AQ42</f>
        <v>0.27752727818491491</v>
      </c>
      <c r="AT42" s="702">
        <f t="shared" ref="AT42:AZ42" si="64">$AQ42</f>
        <v>0.27752727818491491</v>
      </c>
      <c r="AU42" s="702">
        <f t="shared" si="64"/>
        <v>0.27752727818491491</v>
      </c>
      <c r="AV42" s="702">
        <f t="shared" si="64"/>
        <v>0.27752727818491491</v>
      </c>
      <c r="AW42" s="702">
        <f t="shared" si="64"/>
        <v>0.27752727818491491</v>
      </c>
      <c r="AX42" s="702">
        <f t="shared" si="64"/>
        <v>0.27752727818491491</v>
      </c>
      <c r="AY42" s="702">
        <f t="shared" si="64"/>
        <v>0.27752727818491491</v>
      </c>
      <c r="AZ42" s="702">
        <f t="shared" si="64"/>
        <v>0.27752727818491491</v>
      </c>
      <c r="BA42" s="685">
        <f>'Raw emissions'!AK21</f>
        <v>0</v>
      </c>
      <c r="BB42" s="703">
        <f>'Raw emissions'!AL21</f>
        <v>0</v>
      </c>
      <c r="BC42" s="703">
        <f>$BA42</f>
        <v>0</v>
      </c>
      <c r="BD42" s="703">
        <f t="shared" ref="BD42:BJ42" si="65">$BA42</f>
        <v>0</v>
      </c>
      <c r="BE42" s="703">
        <f t="shared" si="65"/>
        <v>0</v>
      </c>
      <c r="BF42" s="703">
        <f t="shared" si="65"/>
        <v>0</v>
      </c>
      <c r="BG42" s="703">
        <f t="shared" si="65"/>
        <v>0</v>
      </c>
      <c r="BH42" s="703">
        <f t="shared" si="65"/>
        <v>0</v>
      </c>
      <c r="BI42" s="703">
        <f t="shared" si="65"/>
        <v>0</v>
      </c>
      <c r="BJ42" s="703">
        <f t="shared" si="65"/>
        <v>0</v>
      </c>
      <c r="BK42" s="685">
        <f>'Raw emissions'!AG21</f>
        <v>6.7890225306364339E-4</v>
      </c>
      <c r="BL42" s="703">
        <f>'Raw emissions'!AI21</f>
        <v>6.8208027021063745E-4</v>
      </c>
      <c r="BM42" s="703">
        <f>$BK42</f>
        <v>6.7890225306364339E-4</v>
      </c>
      <c r="BN42" s="703">
        <f t="shared" ref="BN42:BT42" si="66">$BK42</f>
        <v>6.7890225306364339E-4</v>
      </c>
      <c r="BO42" s="703">
        <f t="shared" si="66"/>
        <v>6.7890225306364339E-4</v>
      </c>
      <c r="BP42" s="703">
        <f t="shared" si="66"/>
        <v>6.7890225306364339E-4</v>
      </c>
      <c r="BQ42" s="703">
        <f t="shared" si="66"/>
        <v>6.7890225306364339E-4</v>
      </c>
      <c r="BR42" s="703">
        <f t="shared" si="66"/>
        <v>6.7890225306364339E-4</v>
      </c>
      <c r="BS42" s="703">
        <f t="shared" si="66"/>
        <v>6.7890225306364339E-4</v>
      </c>
      <c r="BT42" s="703">
        <f t="shared" si="66"/>
        <v>6.7890225306364339E-4</v>
      </c>
      <c r="BU42" s="685">
        <f>'Raw emissions'!G21</f>
        <v>0</v>
      </c>
      <c r="BV42" s="703">
        <f>'Raw emissions'!H21</f>
        <v>0</v>
      </c>
      <c r="BW42" s="703">
        <f>(1-'Tier3Phase-in'!$J$20)*BV42</f>
        <v>0</v>
      </c>
      <c r="BX42" s="685">
        <f>'Raw emissions'!V21</f>
        <v>1.8438128163137245E-2</v>
      </c>
      <c r="BY42" s="703">
        <f>'Raw emissions'!W21</f>
        <v>1.7230172593621172E-2</v>
      </c>
      <c r="BZ42" s="685">
        <f>'Raw emissions'!S21</f>
        <v>1.5261726391086378E-2</v>
      </c>
      <c r="CA42" s="703">
        <f>'Raw emissions'!T21</f>
        <v>6.1596250977922953E-3</v>
      </c>
    </row>
    <row r="43" spans="1:79" x14ac:dyDescent="0.2">
      <c r="A43" s="690" t="str">
        <f>Technologies!C105</f>
        <v>TCLPGC</v>
      </c>
      <c r="B43" s="690" t="str">
        <f>Technologies!D105</f>
        <v>Commercial Truck, Conventional LPG</v>
      </c>
      <c r="C43" s="685">
        <f>'Raw emissions'!D21</f>
        <v>0.50520914230380454</v>
      </c>
      <c r="D43" s="702">
        <f>'Raw emissions'!E21</f>
        <v>0.34644203347723984</v>
      </c>
      <c r="E43" s="702">
        <f>$D43*(1-'Tier3Phase-in'!$J$12)</f>
        <v>0.34644203347723984</v>
      </c>
      <c r="F43" s="702">
        <f>$D43*(1-'Tier3Phase-in'!$K$12)</f>
        <v>0.30004354685082379</v>
      </c>
      <c r="G43" s="702">
        <f>$D43*(1-'Tier3Phase-in'!$L$12)</f>
        <v>0.26376836639744394</v>
      </c>
      <c r="H43" s="702">
        <f>$D43*(1-'Tier3Phase-in'!$M$12)</f>
        <v>0.24900521156176614</v>
      </c>
      <c r="I43" s="702">
        <f>$D43*(1-'Tier3Phase-in'!$N$12)</f>
        <v>0.23601363530636965</v>
      </c>
      <c r="J43" s="702">
        <f>$D43*(1-'Tier3Phase-in'!$O$12)</f>
        <v>0.21745424065580318</v>
      </c>
      <c r="K43" s="702">
        <f>$D43*(1-'Tier3Phase-in'!$P$12)</f>
        <v>0.21699025578953904</v>
      </c>
      <c r="L43" s="702">
        <f>$D43*(1-'Tier3Phase-in'!$Q$12)</f>
        <v>0.21652627092327489</v>
      </c>
      <c r="M43" s="685">
        <f>'Raw emissions'!J21</f>
        <v>2.6495567442137408E-2</v>
      </c>
      <c r="N43" s="702">
        <f>'Raw emissions'!K21</f>
        <v>2.6557223416884882E-2</v>
      </c>
      <c r="O43" s="702">
        <f>$N43*(1-'Tier3Phase-in'!$J$12)</f>
        <v>2.6557223416884882E-2</v>
      </c>
      <c r="P43" s="702">
        <f>$N43*(1-'Tier3Phase-in'!$K$12)</f>
        <v>2.3000452423552087E-2</v>
      </c>
      <c r="Q43" s="702">
        <f>$N43*(1-'Tier3Phase-in'!$L$12)</f>
        <v>2.0219704192400989E-2</v>
      </c>
      <c r="R43" s="702">
        <f>$N43*(1-'Tier3Phase-in'!$M$12)</f>
        <v>1.9088004330886008E-2</v>
      </c>
      <c r="S43" s="702">
        <f>$N43*(1-'Tier3Phase-in'!$N$12)</f>
        <v>1.8092108452752827E-2</v>
      </c>
      <c r="T43" s="702">
        <f>$N43*(1-'Tier3Phase-in'!$O$12)</f>
        <v>1.6669400055419704E-2</v>
      </c>
      <c r="U43" s="702">
        <f>$N43*(1-'Tier3Phase-in'!$P$12)</f>
        <v>1.6633832345486377E-2</v>
      </c>
      <c r="V43" s="702">
        <f>$N43*(1-'Tier3Phase-in'!$Q$12)</f>
        <v>1.6598264635553053E-2</v>
      </c>
      <c r="W43" s="685">
        <f>'Raw emissions'!M21</f>
        <v>6.8049844425761121E-3</v>
      </c>
      <c r="X43" s="702">
        <f>'Raw emissions'!N21</f>
        <v>6.8208027021063738E-3</v>
      </c>
      <c r="Y43" s="702">
        <f>$X43*(1-'Tier3Phase-in'!$J$12)</f>
        <v>6.8208027021063738E-3</v>
      </c>
      <c r="Z43" s="702">
        <f>$X43*(1-'Tier3Phase-in'!$K$12)</f>
        <v>5.9073023402171276E-3</v>
      </c>
      <c r="AA43" s="702">
        <f>$X43*(1-'Tier3Phase-in'!$L$12)</f>
        <v>5.1931111481946252E-3</v>
      </c>
      <c r="AB43" s="702">
        <f>$X43*(1-'Tier3Phase-in'!$M$12)</f>
        <v>4.9024519421389558E-3</v>
      </c>
      <c r="AC43" s="702">
        <f>$X43*(1-'Tier3Phase-in'!$N$12)</f>
        <v>4.6466718408099674E-3</v>
      </c>
      <c r="AD43" s="702">
        <f>$X43*(1-'Tier3Phase-in'!$O$12)</f>
        <v>4.2812716960542677E-3</v>
      </c>
      <c r="AE43" s="702">
        <f>$X43*(1-'Tier3Phase-in'!$P$12)</f>
        <v>4.2721366924353757E-3</v>
      </c>
      <c r="AF43" s="702">
        <f>$X43*(1-'Tier3Phase-in'!$Q$12)</f>
        <v>4.2630016888164837E-3</v>
      </c>
      <c r="AG43" s="685">
        <f>'Raw emissions'!P21</f>
        <v>6.7065892779184422</v>
      </c>
      <c r="AH43" s="702">
        <f>'Raw emissions'!Q21</f>
        <v>5.1178910523048877</v>
      </c>
      <c r="AI43" s="702">
        <f>$AH43*(1-'Tier3Phase-in'!$J$12)</f>
        <v>5.1178910523048877</v>
      </c>
      <c r="AJ43" s="702">
        <f>$AH43*(1-'Tier3Phase-in'!$K$12)</f>
        <v>4.4324592149426261</v>
      </c>
      <c r="AK43" s="702">
        <f>$AH43*(1-'Tier3Phase-in'!$L$12)</f>
        <v>3.8965761420957667</v>
      </c>
      <c r="AL43" s="702">
        <f>$AH43*(1-'Tier3Phase-in'!$M$12)</f>
        <v>3.6784841938441382</v>
      </c>
      <c r="AM43" s="702">
        <f>$AH43*(1-'Tier3Phase-in'!$N$12)</f>
        <v>3.4865632793827048</v>
      </c>
      <c r="AN43" s="702">
        <f>$AH43*(1-'Tier3Phase-in'!$O$12)</f>
        <v>3.2123905444377994</v>
      </c>
      <c r="AO43" s="702">
        <f>$AH43*(1-'Tier3Phase-in'!$P$12)</f>
        <v>3.2055362260641771</v>
      </c>
      <c r="AP43" s="702">
        <f>$AH43*(1-'Tier3Phase-in'!$Q$12)</f>
        <v>3.1986819076905548</v>
      </c>
      <c r="AQ43" s="685">
        <f>'Raw emissions'!Y21</f>
        <v>0.27752727818491491</v>
      </c>
      <c r="AR43" s="702">
        <f>'Raw emissions'!Z21</f>
        <v>0.19781159329499731</v>
      </c>
      <c r="AS43" s="702">
        <f>$AR43*(1-'Tier3Phase-in'!$J$12)</f>
        <v>0.19781159329499731</v>
      </c>
      <c r="AT43" s="702">
        <f>$AR43*(1-'Tier3Phase-in'!$K$12)</f>
        <v>0.17131896919298875</v>
      </c>
      <c r="AU43" s="702">
        <f>$AR43*(1-'Tier3Phase-in'!$L$12)</f>
        <v>0.15060655398596387</v>
      </c>
      <c r="AV43" s="702">
        <f>$AR43*(1-'Tier3Phase-in'!$M$12)</f>
        <v>0.14217708268077933</v>
      </c>
      <c r="AW43" s="702">
        <f>$AR43*(1-'Tier3Phase-in'!$N$12)</f>
        <v>0.13475914793221691</v>
      </c>
      <c r="AX43" s="702">
        <f>$AR43*(1-'Tier3Phase-in'!$O$12)</f>
        <v>0.12416209829141346</v>
      </c>
      <c r="AY43" s="702">
        <f>$AR43*(1-'Tier3Phase-in'!$P$12)</f>
        <v>0.1238971720503934</v>
      </c>
      <c r="AZ43" s="702">
        <f>$AR43*(1-'Tier3Phase-in'!$Q$12)</f>
        <v>0.12363224580937332</v>
      </c>
      <c r="BA43" s="685">
        <f>'Raw emissions'!AK21</f>
        <v>0</v>
      </c>
      <c r="BB43" s="703">
        <f>'Raw emissions'!AL21</f>
        <v>0</v>
      </c>
      <c r="BC43" s="703">
        <f>$BB43*(1-'Tier3Phase-in'!$J$12)</f>
        <v>0</v>
      </c>
      <c r="BD43" s="703">
        <f>$BB43*(1-'Tier3Phase-in'!$K$12)</f>
        <v>0</v>
      </c>
      <c r="BE43" s="703">
        <f>$BB43*(1-'Tier3Phase-in'!$L$12)</f>
        <v>0</v>
      </c>
      <c r="BF43" s="703">
        <f>$BB43*(1-'Tier3Phase-in'!$M$12)</f>
        <v>0</v>
      </c>
      <c r="BG43" s="703">
        <f>$BB43*(1-'Tier3Phase-in'!$N$12)</f>
        <v>0</v>
      </c>
      <c r="BH43" s="703">
        <f>$BB43*(1-'Tier3Phase-in'!$O$12)</f>
        <v>0</v>
      </c>
      <c r="BI43" s="703">
        <f>$BB43*(1-'Tier3Phase-in'!$P$12)</f>
        <v>0</v>
      </c>
      <c r="BJ43" s="703">
        <f>$BB43*(1-'Tier3Phase-in'!$Q$12)</f>
        <v>0</v>
      </c>
      <c r="BK43" s="685">
        <f>'Raw emissions'!AG21</f>
        <v>6.7890225306364339E-4</v>
      </c>
      <c r="BL43" s="703">
        <f>'Raw emissions'!AI21</f>
        <v>6.8208027021063745E-4</v>
      </c>
      <c r="BM43" s="703">
        <f>$BL43*(1-'Tier3Phase-in'!$J$12)</f>
        <v>6.8208027021063745E-4</v>
      </c>
      <c r="BN43" s="703">
        <f>$BL43*(1-'Tier3Phase-in'!$K$12)</f>
        <v>5.9073023402171285E-4</v>
      </c>
      <c r="BO43" s="703">
        <f>$BL43*(1-'Tier3Phase-in'!$L$12)</f>
        <v>5.1931111481946259E-4</v>
      </c>
      <c r="BP43" s="703">
        <f>$BL43*(1-'Tier3Phase-in'!$M$12)</f>
        <v>4.9024519421389566E-4</v>
      </c>
      <c r="BQ43" s="703">
        <f>$BL43*(1-'Tier3Phase-in'!$N$12)</f>
        <v>4.646671840809968E-4</v>
      </c>
      <c r="BR43" s="703">
        <f>$BL43*(1-'Tier3Phase-in'!$O$12)</f>
        <v>4.2812716960542681E-4</v>
      </c>
      <c r="BS43" s="703">
        <f>$BL43*(1-'Tier3Phase-in'!$P$12)</f>
        <v>4.2721366924353761E-4</v>
      </c>
      <c r="BT43" s="703">
        <f>$BL43*(1-'Tier3Phase-in'!$Q$12)</f>
        <v>4.2630016888164842E-4</v>
      </c>
      <c r="BU43" s="685">
        <f>'Raw emissions'!G21</f>
        <v>0</v>
      </c>
      <c r="BV43" s="703">
        <f>'Raw emissions'!H21</f>
        <v>0</v>
      </c>
      <c r="BW43" s="703">
        <f>(1-'Tier3Phase-in'!$J$20)*BV43</f>
        <v>0</v>
      </c>
      <c r="BX43" s="685">
        <f>'Raw emissions'!V21</f>
        <v>1.8438128163137245E-2</v>
      </c>
      <c r="BY43" s="703">
        <f>'Raw emissions'!W21</f>
        <v>1.7230172593621172E-2</v>
      </c>
      <c r="BZ43" s="685">
        <f>'Raw emissions'!S21</f>
        <v>1.5261726391086378E-2</v>
      </c>
      <c r="CA43" s="703">
        <f>'Raw emissions'!T21</f>
        <v>6.1596250977922953E-3</v>
      </c>
    </row>
    <row r="44" spans="1:79" x14ac:dyDescent="0.2">
      <c r="A44" s="690" t="str">
        <f>Technologies!C106</f>
        <v>TCLPGIM</v>
      </c>
      <c r="B44" s="690" t="str">
        <f>Technologies!D106</f>
        <v>Commercial Truck, Improved LPG</v>
      </c>
      <c r="C44" s="685">
        <f>C43</f>
        <v>0.50520914230380454</v>
      </c>
      <c r="D44" s="702">
        <f>D43</f>
        <v>0.34644203347723984</v>
      </c>
      <c r="E44" s="702">
        <f>$D44*(1-'Tier3Phase-in'!$J$12)</f>
        <v>0.34644203347723984</v>
      </c>
      <c r="F44" s="702">
        <f>$D44*(1-'Tier3Phase-in'!$K$12)</f>
        <v>0.30004354685082379</v>
      </c>
      <c r="G44" s="702">
        <f>$D44*(1-'Tier3Phase-in'!$L$12)</f>
        <v>0.26376836639744394</v>
      </c>
      <c r="H44" s="702">
        <f>$D44*(1-'Tier3Phase-in'!$M$12)</f>
        <v>0.24900521156176614</v>
      </c>
      <c r="I44" s="702">
        <f>$D44*(1-'Tier3Phase-in'!$N$12)</f>
        <v>0.23601363530636965</v>
      </c>
      <c r="J44" s="702">
        <f>$D44*(1-'Tier3Phase-in'!$O$12)</f>
        <v>0.21745424065580318</v>
      </c>
      <c r="K44" s="702">
        <f>$D44*(1-'Tier3Phase-in'!$P$12)</f>
        <v>0.21699025578953904</v>
      </c>
      <c r="L44" s="702">
        <f>$D44*(1-'Tier3Phase-in'!$Q$12)</f>
        <v>0.21652627092327489</v>
      </c>
      <c r="M44" s="685">
        <f>M43</f>
        <v>2.6495567442137408E-2</v>
      </c>
      <c r="N44" s="702">
        <f>N43</f>
        <v>2.6557223416884882E-2</v>
      </c>
      <c r="O44" s="702">
        <f>$N44*(1-'Tier3Phase-in'!$J$12)</f>
        <v>2.6557223416884882E-2</v>
      </c>
      <c r="P44" s="702">
        <f>$N44*(1-'Tier3Phase-in'!$K$12)</f>
        <v>2.3000452423552087E-2</v>
      </c>
      <c r="Q44" s="702">
        <f>$N44*(1-'Tier3Phase-in'!$L$12)</f>
        <v>2.0219704192400989E-2</v>
      </c>
      <c r="R44" s="702">
        <f>$N44*(1-'Tier3Phase-in'!$M$12)</f>
        <v>1.9088004330886008E-2</v>
      </c>
      <c r="S44" s="702">
        <f>$N44*(1-'Tier3Phase-in'!$N$12)</f>
        <v>1.8092108452752827E-2</v>
      </c>
      <c r="T44" s="702">
        <f>$N44*(1-'Tier3Phase-in'!$O$12)</f>
        <v>1.6669400055419704E-2</v>
      </c>
      <c r="U44" s="702">
        <f>$N44*(1-'Tier3Phase-in'!$P$12)</f>
        <v>1.6633832345486377E-2</v>
      </c>
      <c r="V44" s="702">
        <f>$N44*(1-'Tier3Phase-in'!$Q$12)</f>
        <v>1.6598264635553053E-2</v>
      </c>
      <c r="W44" s="685">
        <f>W43</f>
        <v>6.8049844425761121E-3</v>
      </c>
      <c r="X44" s="702">
        <f>X43</f>
        <v>6.8208027021063738E-3</v>
      </c>
      <c r="Y44" s="702">
        <f>$X44*(1-'Tier3Phase-in'!$J$12)</f>
        <v>6.8208027021063738E-3</v>
      </c>
      <c r="Z44" s="702">
        <f>$X44*(1-'Tier3Phase-in'!$K$12)</f>
        <v>5.9073023402171276E-3</v>
      </c>
      <c r="AA44" s="702">
        <f>$X44*(1-'Tier3Phase-in'!$L$12)</f>
        <v>5.1931111481946252E-3</v>
      </c>
      <c r="AB44" s="702">
        <f>$X44*(1-'Tier3Phase-in'!$M$12)</f>
        <v>4.9024519421389558E-3</v>
      </c>
      <c r="AC44" s="702">
        <f>$X44*(1-'Tier3Phase-in'!$N$12)</f>
        <v>4.6466718408099674E-3</v>
      </c>
      <c r="AD44" s="702">
        <f>$X44*(1-'Tier3Phase-in'!$O$12)</f>
        <v>4.2812716960542677E-3</v>
      </c>
      <c r="AE44" s="702">
        <f>$X44*(1-'Tier3Phase-in'!$P$12)</f>
        <v>4.2721366924353757E-3</v>
      </c>
      <c r="AF44" s="702">
        <f>$X44*(1-'Tier3Phase-in'!$Q$12)</f>
        <v>4.2630016888164837E-3</v>
      </c>
      <c r="AG44" s="685">
        <f>AG43</f>
        <v>6.7065892779184422</v>
      </c>
      <c r="AH44" s="702">
        <f>AH43</f>
        <v>5.1178910523048877</v>
      </c>
      <c r="AI44" s="702">
        <f>$AH44*(1-'Tier3Phase-in'!$J$12)</f>
        <v>5.1178910523048877</v>
      </c>
      <c r="AJ44" s="702">
        <f>$AH44*(1-'Tier3Phase-in'!$K$12)</f>
        <v>4.4324592149426261</v>
      </c>
      <c r="AK44" s="702">
        <f>$AH44*(1-'Tier3Phase-in'!$L$12)</f>
        <v>3.8965761420957667</v>
      </c>
      <c r="AL44" s="702">
        <f>$AH44*(1-'Tier3Phase-in'!$M$12)</f>
        <v>3.6784841938441382</v>
      </c>
      <c r="AM44" s="702">
        <f>$AH44*(1-'Tier3Phase-in'!$N$12)</f>
        <v>3.4865632793827048</v>
      </c>
      <c r="AN44" s="702">
        <f>$AH44*(1-'Tier3Phase-in'!$O$12)</f>
        <v>3.2123905444377994</v>
      </c>
      <c r="AO44" s="702">
        <f>$AH44*(1-'Tier3Phase-in'!$P$12)</f>
        <v>3.2055362260641771</v>
      </c>
      <c r="AP44" s="702">
        <f>$AH44*(1-'Tier3Phase-in'!$Q$12)</f>
        <v>3.1986819076905548</v>
      </c>
      <c r="AQ44" s="685">
        <f>AQ43</f>
        <v>0.27752727818491491</v>
      </c>
      <c r="AR44" s="702">
        <f>AR43</f>
        <v>0.19781159329499731</v>
      </c>
      <c r="AS44" s="702">
        <f>$AR44*(1-'Tier3Phase-in'!$J$12)</f>
        <v>0.19781159329499731</v>
      </c>
      <c r="AT44" s="702">
        <f>$AR44*(1-'Tier3Phase-in'!$K$12)</f>
        <v>0.17131896919298875</v>
      </c>
      <c r="AU44" s="702">
        <f>$AR44*(1-'Tier3Phase-in'!$L$12)</f>
        <v>0.15060655398596387</v>
      </c>
      <c r="AV44" s="702">
        <f>$AR44*(1-'Tier3Phase-in'!$M$12)</f>
        <v>0.14217708268077933</v>
      </c>
      <c r="AW44" s="702">
        <f>$AR44*(1-'Tier3Phase-in'!$N$12)</f>
        <v>0.13475914793221691</v>
      </c>
      <c r="AX44" s="702">
        <f>$AR44*(1-'Tier3Phase-in'!$O$12)</f>
        <v>0.12416209829141346</v>
      </c>
      <c r="AY44" s="702">
        <f>$AR44*(1-'Tier3Phase-in'!$P$12)</f>
        <v>0.1238971720503934</v>
      </c>
      <c r="AZ44" s="702">
        <f>$AR44*(1-'Tier3Phase-in'!$Q$12)</f>
        <v>0.12363224580937332</v>
      </c>
      <c r="BA44" s="685">
        <f>BA43</f>
        <v>0</v>
      </c>
      <c r="BB44" s="703">
        <f>BB43</f>
        <v>0</v>
      </c>
      <c r="BC44" s="703">
        <f>$BB44*(1-'Tier3Phase-in'!$J$12)</f>
        <v>0</v>
      </c>
      <c r="BD44" s="703">
        <f>$BB44*(1-'Tier3Phase-in'!$K$12)</f>
        <v>0</v>
      </c>
      <c r="BE44" s="703">
        <f>$BB44*(1-'Tier3Phase-in'!$L$12)</f>
        <v>0</v>
      </c>
      <c r="BF44" s="703">
        <f>$BB44*(1-'Tier3Phase-in'!$M$12)</f>
        <v>0</v>
      </c>
      <c r="BG44" s="703">
        <f>$BB44*(1-'Tier3Phase-in'!$N$12)</f>
        <v>0</v>
      </c>
      <c r="BH44" s="703">
        <f>$BB44*(1-'Tier3Phase-in'!$O$12)</f>
        <v>0</v>
      </c>
      <c r="BI44" s="703">
        <f>$BB44*(1-'Tier3Phase-in'!$P$12)</f>
        <v>0</v>
      </c>
      <c r="BJ44" s="703">
        <f>$BB44*(1-'Tier3Phase-in'!$Q$12)</f>
        <v>0</v>
      </c>
      <c r="BK44" s="685">
        <f>BK43</f>
        <v>6.7890225306364339E-4</v>
      </c>
      <c r="BL44" s="703">
        <f>BL43</f>
        <v>6.8208027021063745E-4</v>
      </c>
      <c r="BM44" s="703">
        <f>$BL44*(1-'Tier3Phase-in'!$J$12)</f>
        <v>6.8208027021063745E-4</v>
      </c>
      <c r="BN44" s="703">
        <f>$BL44*(1-'Tier3Phase-in'!$K$12)</f>
        <v>5.9073023402171285E-4</v>
      </c>
      <c r="BO44" s="703">
        <f>$BL44*(1-'Tier3Phase-in'!$L$12)</f>
        <v>5.1931111481946259E-4</v>
      </c>
      <c r="BP44" s="703">
        <f>$BL44*(1-'Tier3Phase-in'!$M$12)</f>
        <v>4.9024519421389566E-4</v>
      </c>
      <c r="BQ44" s="703">
        <f>$BL44*(1-'Tier3Phase-in'!$N$12)</f>
        <v>4.646671840809968E-4</v>
      </c>
      <c r="BR44" s="703">
        <f>$BL44*(1-'Tier3Phase-in'!$O$12)</f>
        <v>4.2812716960542681E-4</v>
      </c>
      <c r="BS44" s="703">
        <f>$BL44*(1-'Tier3Phase-in'!$P$12)</f>
        <v>4.2721366924353761E-4</v>
      </c>
      <c r="BT44" s="703">
        <f>$BL44*(1-'Tier3Phase-in'!$Q$12)</f>
        <v>4.2630016888164842E-4</v>
      </c>
      <c r="BU44" s="685">
        <f>BU43</f>
        <v>0</v>
      </c>
      <c r="BV44" s="703">
        <f>BV43</f>
        <v>0</v>
      </c>
      <c r="BW44" s="703">
        <f>(1-'Tier3Phase-in'!$J$20)*BV44</f>
        <v>0</v>
      </c>
      <c r="BX44" s="685">
        <f>BX43</f>
        <v>1.8438128163137245E-2</v>
      </c>
      <c r="BY44" s="703">
        <f>BY43</f>
        <v>1.7230172593621172E-2</v>
      </c>
      <c r="BZ44" s="685">
        <f>BZ43</f>
        <v>1.5261726391086378E-2</v>
      </c>
      <c r="CA44" s="703">
        <f>CA43</f>
        <v>6.1596250977922953E-3</v>
      </c>
    </row>
    <row r="45" spans="1:79" x14ac:dyDescent="0.2">
      <c r="A45" s="690" t="str">
        <f>Technologies!C109</f>
        <v>TCH2FC</v>
      </c>
      <c r="B45" s="690" t="str">
        <f>Technologies!D109</f>
        <v>Commercial Truck, Hydrogen Fuel Cell</v>
      </c>
      <c r="C45" s="704"/>
      <c r="D45" s="702"/>
      <c r="E45" s="702"/>
      <c r="F45" s="702"/>
      <c r="G45" s="702"/>
      <c r="H45" s="702"/>
      <c r="I45" s="702"/>
      <c r="J45" s="702"/>
      <c r="K45" s="702"/>
      <c r="L45" s="702"/>
      <c r="M45" s="704"/>
      <c r="N45" s="702"/>
      <c r="O45" s="702"/>
      <c r="P45" s="702"/>
      <c r="Q45" s="702"/>
      <c r="R45" s="702"/>
      <c r="S45" s="702"/>
      <c r="T45" s="702"/>
      <c r="U45" s="702"/>
      <c r="V45" s="702"/>
      <c r="W45" s="704"/>
      <c r="X45" s="702"/>
      <c r="Y45" s="702"/>
      <c r="Z45" s="702"/>
      <c r="AA45" s="702"/>
      <c r="AB45" s="702"/>
      <c r="AC45" s="702"/>
      <c r="AD45" s="702"/>
      <c r="AE45" s="702"/>
      <c r="AF45" s="702"/>
      <c r="AG45" s="704"/>
      <c r="AH45" s="702"/>
      <c r="AI45" s="702"/>
      <c r="AJ45" s="702"/>
      <c r="AK45" s="702"/>
      <c r="AL45" s="702"/>
      <c r="AM45" s="702"/>
      <c r="AN45" s="702"/>
      <c r="AO45" s="702"/>
      <c r="AP45" s="702"/>
      <c r="AQ45" s="704"/>
      <c r="AR45" s="702"/>
      <c r="AS45" s="702"/>
      <c r="AT45" s="702"/>
      <c r="AU45" s="702"/>
      <c r="AV45" s="702"/>
      <c r="AW45" s="702"/>
      <c r="AX45" s="702"/>
      <c r="AY45" s="702"/>
      <c r="AZ45" s="702"/>
      <c r="BA45" s="704"/>
      <c r="BB45" s="703"/>
      <c r="BC45" s="703"/>
      <c r="BD45" s="703"/>
      <c r="BE45" s="703"/>
      <c r="BF45" s="703"/>
      <c r="BG45" s="703"/>
      <c r="BH45" s="703"/>
      <c r="BI45" s="703"/>
      <c r="BJ45" s="703"/>
      <c r="BK45" s="704"/>
      <c r="BL45" s="703"/>
      <c r="BM45" s="703"/>
      <c r="BN45" s="703"/>
      <c r="BO45" s="703"/>
      <c r="BP45" s="703"/>
      <c r="BQ45" s="703"/>
      <c r="BR45" s="703"/>
      <c r="BS45" s="703"/>
      <c r="BT45" s="703"/>
      <c r="BU45" s="704"/>
      <c r="BV45" s="703"/>
      <c r="BW45" s="703"/>
      <c r="BX45" s="704"/>
      <c r="BY45" s="703"/>
      <c r="BZ45" s="704"/>
      <c r="CA45" s="703"/>
    </row>
    <row r="46" spans="1:79" x14ac:dyDescent="0.2">
      <c r="A46" s="690" t="str">
        <f>Technologies!C114</f>
        <v>TMGSLC10</v>
      </c>
      <c r="B46" s="690" t="str">
        <f>Technologies!D114</f>
        <v>Medium Duty Truck, Gasoline, 2010</v>
      </c>
      <c r="C46" s="685">
        <f>'Raw emissions'!D24*0.5+'Raw emissions'!D18*0.5</f>
        <v>1.8596470435827837</v>
      </c>
      <c r="D46" s="702">
        <f>'Raw emissions'!E24*0.5+'Raw emissions'!E18*0.5</f>
        <v>1.6303137063875912</v>
      </c>
      <c r="E46" s="702">
        <f>$C46</f>
        <v>1.8596470435827837</v>
      </c>
      <c r="F46" s="702">
        <f t="shared" ref="F46:L46" si="67">$C46</f>
        <v>1.8596470435827837</v>
      </c>
      <c r="G46" s="702">
        <f t="shared" si="67"/>
        <v>1.8596470435827837</v>
      </c>
      <c r="H46" s="702">
        <f t="shared" si="67"/>
        <v>1.8596470435827837</v>
      </c>
      <c r="I46" s="702">
        <f t="shared" si="67"/>
        <v>1.8596470435827837</v>
      </c>
      <c r="J46" s="702">
        <f t="shared" si="67"/>
        <v>1.8596470435827837</v>
      </c>
      <c r="K46" s="702">
        <f t="shared" si="67"/>
        <v>1.8596470435827837</v>
      </c>
      <c r="L46" s="702">
        <f t="shared" si="67"/>
        <v>1.8596470435827837</v>
      </c>
      <c r="M46" s="685">
        <f>'Raw emissions'!J24*0.5+'Raw emissions'!J18*0.5</f>
        <v>5.4730316734431177E-2</v>
      </c>
      <c r="N46" s="702">
        <f>'Raw emissions'!K24*0.5+'Raw emissions'!K18*0.5</f>
        <v>5.3654121205976138E-2</v>
      </c>
      <c r="O46" s="702">
        <f>$M46</f>
        <v>5.4730316734431177E-2</v>
      </c>
      <c r="P46" s="702">
        <f t="shared" ref="P46:V46" si="68">$M46</f>
        <v>5.4730316734431177E-2</v>
      </c>
      <c r="Q46" s="702">
        <f t="shared" si="68"/>
        <v>5.4730316734431177E-2</v>
      </c>
      <c r="R46" s="702">
        <f t="shared" si="68"/>
        <v>5.4730316734431177E-2</v>
      </c>
      <c r="S46" s="702">
        <f t="shared" si="68"/>
        <v>5.4730316734431177E-2</v>
      </c>
      <c r="T46" s="702">
        <f t="shared" si="68"/>
        <v>5.4730316734431177E-2</v>
      </c>
      <c r="U46" s="702">
        <f t="shared" si="68"/>
        <v>5.4730316734431177E-2</v>
      </c>
      <c r="V46" s="702">
        <f t="shared" si="68"/>
        <v>5.4730316734431177E-2</v>
      </c>
      <c r="W46" s="685">
        <f>'Raw emissions'!M24*0.5+'Raw emissions'!M18*0.5</f>
        <v>2.0660505471107413E-2</v>
      </c>
      <c r="X46" s="702">
        <f>'Raw emissions'!N24*0.5+'Raw emissions'!N18*0.5</f>
        <v>1.9600330330539921E-2</v>
      </c>
      <c r="Y46" s="702">
        <f t="shared" ref="Y46:AF46" si="69">W46</f>
        <v>2.0660505471107413E-2</v>
      </c>
      <c r="Z46" s="702">
        <f t="shared" si="69"/>
        <v>1.9600330330539921E-2</v>
      </c>
      <c r="AA46" s="702">
        <f t="shared" si="69"/>
        <v>2.0660505471107413E-2</v>
      </c>
      <c r="AB46" s="702">
        <f t="shared" si="69"/>
        <v>1.9600330330539921E-2</v>
      </c>
      <c r="AC46" s="702">
        <f t="shared" si="69"/>
        <v>2.0660505471107413E-2</v>
      </c>
      <c r="AD46" s="702">
        <f t="shared" si="69"/>
        <v>1.9600330330539921E-2</v>
      </c>
      <c r="AE46" s="702">
        <f t="shared" si="69"/>
        <v>2.0660505471107413E-2</v>
      </c>
      <c r="AF46" s="702">
        <f t="shared" si="69"/>
        <v>1.9600330330539921E-2</v>
      </c>
      <c r="AG46" s="685">
        <f>'Raw emissions'!P24*0.5+'Raw emissions'!P18*0.5</f>
        <v>17.140484294802544</v>
      </c>
      <c r="AH46" s="702">
        <f>'Raw emissions'!Q24*0.5+'Raw emissions'!Q18*0.5</f>
        <v>13.726096127543082</v>
      </c>
      <c r="AI46" s="702">
        <f>$AG46</f>
        <v>17.140484294802544</v>
      </c>
      <c r="AJ46" s="702">
        <f t="shared" ref="AJ46:AP46" si="70">$AG46</f>
        <v>17.140484294802544</v>
      </c>
      <c r="AK46" s="702">
        <f t="shared" si="70"/>
        <v>17.140484294802544</v>
      </c>
      <c r="AL46" s="702">
        <f t="shared" si="70"/>
        <v>17.140484294802544</v>
      </c>
      <c r="AM46" s="702">
        <f t="shared" si="70"/>
        <v>17.140484294802544</v>
      </c>
      <c r="AN46" s="702">
        <f t="shared" si="70"/>
        <v>17.140484294802544</v>
      </c>
      <c r="AO46" s="702">
        <f t="shared" si="70"/>
        <v>17.140484294802544</v>
      </c>
      <c r="AP46" s="702">
        <f t="shared" si="70"/>
        <v>17.140484294802544</v>
      </c>
      <c r="AQ46" s="685">
        <f>'Raw emissions'!Y24*0.5+'Raw emissions'!Y18*0.5</f>
        <v>0.5974165007007991</v>
      </c>
      <c r="AR46" s="702">
        <f>'Raw emissions'!Z24*0.5+'Raw emissions'!Z18*0.5</f>
        <v>0.48835262404783314</v>
      </c>
      <c r="AS46" s="702">
        <f>$AQ46</f>
        <v>0.5974165007007991</v>
      </c>
      <c r="AT46" s="702">
        <f t="shared" ref="AT46:AZ46" si="71">$AQ46</f>
        <v>0.5974165007007991</v>
      </c>
      <c r="AU46" s="702">
        <f t="shared" si="71"/>
        <v>0.5974165007007991</v>
      </c>
      <c r="AV46" s="702">
        <f t="shared" si="71"/>
        <v>0.5974165007007991</v>
      </c>
      <c r="AW46" s="702">
        <f t="shared" si="71"/>
        <v>0.5974165007007991</v>
      </c>
      <c r="AX46" s="702">
        <f t="shared" si="71"/>
        <v>0.5974165007007991</v>
      </c>
      <c r="AY46" s="702">
        <f t="shared" si="71"/>
        <v>0.5974165007007991</v>
      </c>
      <c r="AZ46" s="702">
        <f t="shared" si="71"/>
        <v>0.5974165007007991</v>
      </c>
      <c r="BA46" s="685">
        <f>'Raw emissions'!AK24*0.5+'Raw emissions'!AK18*0.5</f>
        <v>1.1254044275630737E-3</v>
      </c>
      <c r="BB46" s="703">
        <f>'Raw emissions'!AL24*0.5+'Raw emissions'!AL18*0.5</f>
        <v>9.0358669961245895E-4</v>
      </c>
      <c r="BC46" s="703">
        <f>$BA46</f>
        <v>1.1254044275630737E-3</v>
      </c>
      <c r="BD46" s="703">
        <f t="shared" ref="BD46:BJ46" si="72">$BA46</f>
        <v>1.1254044275630737E-3</v>
      </c>
      <c r="BE46" s="703">
        <f t="shared" si="72"/>
        <v>1.1254044275630737E-3</v>
      </c>
      <c r="BF46" s="703">
        <f t="shared" si="72"/>
        <v>1.1254044275630737E-3</v>
      </c>
      <c r="BG46" s="703">
        <f t="shared" si="72"/>
        <v>1.1254044275630737E-3</v>
      </c>
      <c r="BH46" s="703">
        <f t="shared" si="72"/>
        <v>1.1254044275630737E-3</v>
      </c>
      <c r="BI46" s="703">
        <f t="shared" si="72"/>
        <v>1.1254044275630737E-3</v>
      </c>
      <c r="BJ46" s="703">
        <f t="shared" si="72"/>
        <v>1.1254044275630737E-3</v>
      </c>
      <c r="BK46" s="685">
        <f>'Raw emissions'!AG24*0.5+'Raw emissions'!AG18*0.5</f>
        <v>8.5680375941202935E-3</v>
      </c>
      <c r="BL46" s="703">
        <f>'Raw emissions'!AI24*0.5+'Raw emissions'!AI18*0.5</f>
        <v>7.0561189189943703E-3</v>
      </c>
      <c r="BM46" s="703">
        <f>$BK46</f>
        <v>8.5680375941202935E-3</v>
      </c>
      <c r="BN46" s="703">
        <f t="shared" ref="BN46:BT46" si="73">$BK46</f>
        <v>8.5680375941202935E-3</v>
      </c>
      <c r="BO46" s="703">
        <f t="shared" si="73"/>
        <v>8.5680375941202935E-3</v>
      </c>
      <c r="BP46" s="703">
        <f t="shared" si="73"/>
        <v>8.5680375941202935E-3</v>
      </c>
      <c r="BQ46" s="703">
        <f t="shared" si="73"/>
        <v>8.5680375941202935E-3</v>
      </c>
      <c r="BR46" s="703">
        <f t="shared" si="73"/>
        <v>8.5680375941202935E-3</v>
      </c>
      <c r="BS46" s="703">
        <f t="shared" si="73"/>
        <v>8.5680375941202935E-3</v>
      </c>
      <c r="BT46" s="703">
        <f t="shared" si="73"/>
        <v>8.5680375941202935E-3</v>
      </c>
      <c r="BU46" s="685">
        <f>'Raw emissions'!G24*0.5+'Raw emissions'!G18*0.5</f>
        <v>1.2185698983934946E-2</v>
      </c>
      <c r="BV46" s="703">
        <f>'Raw emissions'!H24*0.5+'Raw emissions'!H18*0.5</f>
        <v>1.0819983678138563E-2</v>
      </c>
      <c r="BW46" s="703">
        <f>(1-'Tier3Phase-in'!$J$20)*BV46</f>
        <v>3.678794450567111E-3</v>
      </c>
      <c r="BX46" s="685">
        <f>'Raw emissions'!V24*0.5+'Raw emissions'!V18*0.5</f>
        <v>2.099679121338521E-2</v>
      </c>
      <c r="BY46" s="703">
        <f>'Raw emissions'!W24*0.5+'Raw emissions'!W18*0.5</f>
        <v>1.7456964002653001E-2</v>
      </c>
      <c r="BZ46" s="685">
        <f>'Raw emissions'!S24*0.5+'Raw emissions'!S18*0.5</f>
        <v>2.3579701095083852E-2</v>
      </c>
      <c r="CA46" s="703">
        <f>'Raw emissions'!T24*0.5+'Raw emissions'!T18*0.5</f>
        <v>6.2218374799567202E-3</v>
      </c>
    </row>
    <row r="47" spans="1:79" x14ac:dyDescent="0.2">
      <c r="A47" s="690" t="str">
        <f>Technologies!C115</f>
        <v>TMGSLC</v>
      </c>
      <c r="B47" s="690" t="str">
        <f>Technologies!D115</f>
        <v>Medium Duty Truck, Conventional Gasoline</v>
      </c>
      <c r="C47" s="685">
        <f>'Raw emissions'!D24*0.5+'Raw emissions'!D18*0.5</f>
        <v>1.8596470435827837</v>
      </c>
      <c r="D47" s="702">
        <f>'Raw emissions'!E24*0.5+'Raw emissions'!E18*0.5</f>
        <v>1.6303137063875912</v>
      </c>
      <c r="E47" s="702">
        <f>$D47*(1-'Tier3Phase-in'!$J$12)</f>
        <v>1.6303137063875912</v>
      </c>
      <c r="F47" s="702">
        <f>$D47*(1-'Tier3Phase-in'!$K$12)</f>
        <v>1.4119681207106818</v>
      </c>
      <c r="G47" s="702">
        <f>$D47*(1-'Tier3Phase-in'!$L$12)</f>
        <v>1.2412615719087341</v>
      </c>
      <c r="H47" s="702">
        <f>$D47*(1-'Tier3Phase-in'!$M$12)</f>
        <v>1.1717879764660812</v>
      </c>
      <c r="I47" s="702">
        <f>$D47*(1-'Tier3Phase-in'!$N$12)</f>
        <v>1.1106512124765466</v>
      </c>
      <c r="J47" s="702">
        <f>$D47*(1-'Tier3Phase-in'!$O$12)</f>
        <v>1.0233129782057826</v>
      </c>
      <c r="K47" s="702">
        <f>$D47*(1-'Tier3Phase-in'!$P$12)</f>
        <v>1.0211295223490136</v>
      </c>
      <c r="L47" s="702">
        <f>$D47*(1-'Tier3Phase-in'!$Q$12)</f>
        <v>1.0189460664922445</v>
      </c>
      <c r="M47" s="685">
        <f>'Raw emissions'!J24*0.5+'Raw emissions'!J18*0.5</f>
        <v>5.4730316734431177E-2</v>
      </c>
      <c r="N47" s="702">
        <f>'Raw emissions'!K24*0.5+'Raw emissions'!K18*0.5</f>
        <v>5.3654121205976138E-2</v>
      </c>
      <c r="O47" s="702">
        <f>$N47*(1-'Tier3Phase-in'!$J$12)</f>
        <v>5.3654121205976138E-2</v>
      </c>
      <c r="P47" s="702">
        <f>$N47*(1-'Tier3Phase-in'!$K$12)</f>
        <v>4.6468301401604337E-2</v>
      </c>
      <c r="Q47" s="702">
        <f>$N47*(1-'Tier3Phase-in'!$L$12)</f>
        <v>4.085029682727729E-2</v>
      </c>
      <c r="R47" s="702">
        <f>$N47*(1-'Tier3Phase-in'!$M$12)</f>
        <v>3.856389961679535E-2</v>
      </c>
      <c r="S47" s="702">
        <f>$N47*(1-'Tier3Phase-in'!$N$12)</f>
        <v>3.6551870071571242E-2</v>
      </c>
      <c r="T47" s="702">
        <f>$N47*(1-'Tier3Phase-in'!$O$12)</f>
        <v>3.3677542149822513E-2</v>
      </c>
      <c r="U47" s="702">
        <f>$N47*(1-'Tier3Phase-in'!$P$12)</f>
        <v>3.3605683951778799E-2</v>
      </c>
      <c r="V47" s="702">
        <f>$N47*(1-'Tier3Phase-in'!$Q$12)</f>
        <v>3.3533825753735085E-2</v>
      </c>
      <c r="W47" s="685">
        <f>'Raw emissions'!M24*0.5+'Raw emissions'!M18*0.5</f>
        <v>2.0660505471107413E-2</v>
      </c>
      <c r="X47" s="702">
        <f>'Raw emissions'!N24*0.5+'Raw emissions'!N18*0.5</f>
        <v>1.9600330330539921E-2</v>
      </c>
      <c r="Y47" s="702">
        <f>$X47*(1-'Tier3Phase-in'!$J$12)</f>
        <v>1.9600330330539921E-2</v>
      </c>
      <c r="Z47" s="702">
        <f>$X47*(1-'Tier3Phase-in'!$K$12)</f>
        <v>1.6975286089842612E-2</v>
      </c>
      <c r="AA47" s="702">
        <f>$X47*(1-'Tier3Phase-in'!$L$12)</f>
        <v>1.4922978774388349E-2</v>
      </c>
      <c r="AB47" s="702">
        <f>$X47*(1-'Tier3Phase-in'!$M$12)</f>
        <v>1.4087737425075568E-2</v>
      </c>
      <c r="AC47" s="702">
        <f>$X47*(1-'Tier3Phase-in'!$N$12)</f>
        <v>1.3352725037680322E-2</v>
      </c>
      <c r="AD47" s="702">
        <f>$X47*(1-'Tier3Phase-in'!$O$12)</f>
        <v>1.2302707341401395E-2</v>
      </c>
      <c r="AE47" s="702">
        <f>$X47*(1-'Tier3Phase-in'!$P$12)</f>
        <v>1.2276456898994422E-2</v>
      </c>
      <c r="AF47" s="702">
        <f>$X47*(1-'Tier3Phase-in'!$Q$12)</f>
        <v>1.2250206456587451E-2</v>
      </c>
      <c r="AG47" s="685">
        <f>'Raw emissions'!P24*0.5+'Raw emissions'!P18*0.5</f>
        <v>17.140484294802544</v>
      </c>
      <c r="AH47" s="702">
        <f>'Raw emissions'!Q24*0.5+'Raw emissions'!Q18*0.5</f>
        <v>13.726096127543082</v>
      </c>
      <c r="AI47" s="702">
        <f>$AH47*(1-'Tier3Phase-in'!$J$12)</f>
        <v>13.726096127543082</v>
      </c>
      <c r="AJ47" s="702">
        <f>$AH47*(1-'Tier3Phase-in'!$K$12)</f>
        <v>11.887779681889992</v>
      </c>
      <c r="AK47" s="702">
        <f>$AH47*(1-'Tier3Phase-in'!$L$12)</f>
        <v>10.450550460743028</v>
      </c>
      <c r="AL47" s="702">
        <f>$AH47*(1-'Tier3Phase-in'!$M$12)</f>
        <v>9.8656315916715904</v>
      </c>
      <c r="AM47" s="702">
        <f>$AH47*(1-'Tier3Phase-in'!$N$12)</f>
        <v>9.350902986888725</v>
      </c>
      <c r="AN47" s="702">
        <f>$AH47*(1-'Tier3Phase-in'!$O$12)</f>
        <v>8.6155764086274864</v>
      </c>
      <c r="AO47" s="702">
        <f>$AH47*(1-'Tier3Phase-in'!$P$12)</f>
        <v>8.5971932441709562</v>
      </c>
      <c r="AP47" s="702">
        <f>$AH47*(1-'Tier3Phase-in'!$Q$12)</f>
        <v>8.578810079714426</v>
      </c>
      <c r="AQ47" s="685">
        <f>'Raw emissions'!Y24*0.5+'Raw emissions'!Y18*0.5</f>
        <v>0.5974165007007991</v>
      </c>
      <c r="AR47" s="702">
        <f>'Raw emissions'!Z24*0.5+'Raw emissions'!Z18*0.5</f>
        <v>0.48835262404783314</v>
      </c>
      <c r="AS47" s="702">
        <f>$AR47*(1-'Tier3Phase-in'!$J$12)</f>
        <v>0.48835262404783314</v>
      </c>
      <c r="AT47" s="702">
        <f>$AR47*(1-'Tier3Phase-in'!$K$12)</f>
        <v>0.42294825475571263</v>
      </c>
      <c r="AU47" s="702">
        <f>$AR47*(1-'Tier3Phase-in'!$L$12)</f>
        <v>0.37181392967278204</v>
      </c>
      <c r="AV47" s="702">
        <f>$AR47*(1-'Tier3Phase-in'!$M$12)</f>
        <v>0.35100344853438009</v>
      </c>
      <c r="AW47" s="702">
        <f>$AR47*(1-'Tier3Phase-in'!$N$12)</f>
        <v>0.33269022513258634</v>
      </c>
      <c r="AX47" s="702">
        <f>$AR47*(1-'Tier3Phase-in'!$O$12)</f>
        <v>0.30652847741573808</v>
      </c>
      <c r="AY47" s="702">
        <f>$AR47*(1-'Tier3Phase-in'!$P$12)</f>
        <v>0.30587443372281686</v>
      </c>
      <c r="AZ47" s="702">
        <f>$AR47*(1-'Tier3Phase-in'!$Q$12)</f>
        <v>0.30522039002989571</v>
      </c>
      <c r="BA47" s="685">
        <f>'Raw emissions'!AK24*0.5+'Raw emissions'!AK18*0.5</f>
        <v>1.1254044275630737E-3</v>
      </c>
      <c r="BB47" s="703">
        <f>'Raw emissions'!AL24*0.5+'Raw emissions'!AL18*0.5</f>
        <v>9.0358669961245895E-4</v>
      </c>
      <c r="BC47" s="703">
        <f>$BB47*(1-'Tier3Phase-in'!$J$12)</f>
        <v>9.0358669961245895E-4</v>
      </c>
      <c r="BD47" s="703">
        <f>$BB47*(1-'Tier3Phase-in'!$K$12)</f>
        <v>7.8257062377150462E-4</v>
      </c>
      <c r="BE47" s="703">
        <f>$BB47*(1-'Tier3Phase-in'!$L$12)</f>
        <v>6.8795805538675856E-4</v>
      </c>
      <c r="BF47" s="703">
        <f>$BB47*(1-'Tier3Phase-in'!$M$12)</f>
        <v>6.4945294034645491E-4</v>
      </c>
      <c r="BG47" s="703">
        <f>$BB47*(1-'Tier3Phase-in'!$N$12)</f>
        <v>6.1556843911098763E-4</v>
      </c>
      <c r="BH47" s="703">
        <f>$BB47*(1-'Tier3Phase-in'!$O$12)</f>
        <v>5.6716200877460579E-4</v>
      </c>
      <c r="BI47" s="703">
        <f>$BB47*(1-'Tier3Phase-in'!$P$12)</f>
        <v>5.659518480161963E-4</v>
      </c>
      <c r="BJ47" s="703">
        <f>$BB47*(1-'Tier3Phase-in'!$Q$12)</f>
        <v>5.6474168725778682E-4</v>
      </c>
      <c r="BK47" s="685">
        <f>'Raw emissions'!AG24*0.5+'Raw emissions'!AG18*0.5</f>
        <v>8.5680375941202935E-3</v>
      </c>
      <c r="BL47" s="703">
        <f>'Raw emissions'!AI24*0.5+'Raw emissions'!AI18*0.5</f>
        <v>7.0561189189943703E-3</v>
      </c>
      <c r="BM47" s="703">
        <f>$BL47*(1-'Tier3Phase-in'!$J$12)</f>
        <v>7.0561189189943703E-3</v>
      </c>
      <c r="BN47" s="703">
        <f>$BL47*(1-'Tier3Phase-in'!$K$12)</f>
        <v>6.1111029923433388E-3</v>
      </c>
      <c r="BO47" s="703">
        <f>$BL47*(1-'Tier3Phase-in'!$L$12)</f>
        <v>5.3722723587798045E-3</v>
      </c>
      <c r="BP47" s="703">
        <f>$BL47*(1-'Tier3Phase-in'!$M$12)</f>
        <v>5.0715854730272033E-3</v>
      </c>
      <c r="BQ47" s="703">
        <f>$BL47*(1-'Tier3Phase-in'!$N$12)</f>
        <v>4.8069810135649149E-3</v>
      </c>
      <c r="BR47" s="703">
        <f>$BL47*(1-'Tier3Phase-in'!$O$12)</f>
        <v>4.4289746429045009E-3</v>
      </c>
      <c r="BS47" s="703">
        <f>$BL47*(1-'Tier3Phase-in'!$P$12)</f>
        <v>4.419524483637991E-3</v>
      </c>
      <c r="BT47" s="703">
        <f>$BL47*(1-'Tier3Phase-in'!$Q$12)</f>
        <v>4.410074324371481E-3</v>
      </c>
      <c r="BU47" s="685">
        <f>'Raw emissions'!G24*0.5+'Raw emissions'!G18*0.5</f>
        <v>1.2185698983934946E-2</v>
      </c>
      <c r="BV47" s="703">
        <f>'Raw emissions'!H24*0.5+'Raw emissions'!H18*0.5</f>
        <v>1.0819983678138563E-2</v>
      </c>
      <c r="BW47" s="703">
        <f>(1-'Tier3Phase-in'!$J$20)*BV47</f>
        <v>3.678794450567111E-3</v>
      </c>
      <c r="BX47" s="685">
        <f>'Raw emissions'!V24*0.5+'Raw emissions'!V18*0.5</f>
        <v>2.099679121338521E-2</v>
      </c>
      <c r="BY47" s="703">
        <f>'Raw emissions'!W24*0.5+'Raw emissions'!W18*0.5</f>
        <v>1.7456964002653001E-2</v>
      </c>
      <c r="BZ47" s="685">
        <f>'Raw emissions'!S24*0.5+'Raw emissions'!S18*0.5</f>
        <v>2.3579701095083852E-2</v>
      </c>
      <c r="CA47" s="703">
        <f>'Raw emissions'!T24*0.5+'Raw emissions'!T18*0.5</f>
        <v>6.2218374799567202E-3</v>
      </c>
    </row>
    <row r="48" spans="1:79" x14ac:dyDescent="0.2">
      <c r="A48" s="690" t="str">
        <f>Technologies!C116</f>
        <v>TMGSLIM</v>
      </c>
      <c r="B48" s="690" t="str">
        <f>Technologies!D116</f>
        <v>Medium Duty Truck, Improved Gasoline</v>
      </c>
      <c r="C48" s="685">
        <f>C47</f>
        <v>1.8596470435827837</v>
      </c>
      <c r="D48" s="702">
        <f>D47</f>
        <v>1.6303137063875912</v>
      </c>
      <c r="E48" s="702">
        <f>$D48*(1-'Tier3Phase-in'!$J$12)</f>
        <v>1.6303137063875912</v>
      </c>
      <c r="F48" s="702">
        <f>$D48*(1-'Tier3Phase-in'!$K$12)</f>
        <v>1.4119681207106818</v>
      </c>
      <c r="G48" s="702">
        <f>$D48*(1-'Tier3Phase-in'!$L$12)</f>
        <v>1.2412615719087341</v>
      </c>
      <c r="H48" s="702">
        <f>$D48*(1-'Tier3Phase-in'!$M$12)</f>
        <v>1.1717879764660812</v>
      </c>
      <c r="I48" s="702">
        <f>$D48*(1-'Tier3Phase-in'!$N$12)</f>
        <v>1.1106512124765466</v>
      </c>
      <c r="J48" s="702">
        <f>$D48*(1-'Tier3Phase-in'!$O$12)</f>
        <v>1.0233129782057826</v>
      </c>
      <c r="K48" s="702">
        <f>$D48*(1-'Tier3Phase-in'!$P$12)</f>
        <v>1.0211295223490136</v>
      </c>
      <c r="L48" s="702">
        <f>$D48*(1-'Tier3Phase-in'!$Q$12)</f>
        <v>1.0189460664922445</v>
      </c>
      <c r="M48" s="685">
        <f>M47</f>
        <v>5.4730316734431177E-2</v>
      </c>
      <c r="N48" s="702">
        <f>N47</f>
        <v>5.3654121205976138E-2</v>
      </c>
      <c r="O48" s="702">
        <f>$N48*(1-'Tier3Phase-in'!$J$12)</f>
        <v>5.3654121205976138E-2</v>
      </c>
      <c r="P48" s="702">
        <f>$N48*(1-'Tier3Phase-in'!$K$12)</f>
        <v>4.6468301401604337E-2</v>
      </c>
      <c r="Q48" s="702">
        <f>$N48*(1-'Tier3Phase-in'!$L$12)</f>
        <v>4.085029682727729E-2</v>
      </c>
      <c r="R48" s="702">
        <f>$N48*(1-'Tier3Phase-in'!$M$12)</f>
        <v>3.856389961679535E-2</v>
      </c>
      <c r="S48" s="702">
        <f>$N48*(1-'Tier3Phase-in'!$N$12)</f>
        <v>3.6551870071571242E-2</v>
      </c>
      <c r="T48" s="702">
        <f>$N48*(1-'Tier3Phase-in'!$O$12)</f>
        <v>3.3677542149822513E-2</v>
      </c>
      <c r="U48" s="702">
        <f>$N48*(1-'Tier3Phase-in'!$P$12)</f>
        <v>3.3605683951778799E-2</v>
      </c>
      <c r="V48" s="702">
        <f>$N48*(1-'Tier3Phase-in'!$Q$12)</f>
        <v>3.3533825753735085E-2</v>
      </c>
      <c r="W48" s="685">
        <f>W47</f>
        <v>2.0660505471107413E-2</v>
      </c>
      <c r="X48" s="702">
        <f>X47</f>
        <v>1.9600330330539921E-2</v>
      </c>
      <c r="Y48" s="702">
        <f>$X48*(1-'Tier3Phase-in'!$J$12)</f>
        <v>1.9600330330539921E-2</v>
      </c>
      <c r="Z48" s="702">
        <f>$X48*(1-'Tier3Phase-in'!$K$12)</f>
        <v>1.6975286089842612E-2</v>
      </c>
      <c r="AA48" s="702">
        <f>$X48*(1-'Tier3Phase-in'!$L$12)</f>
        <v>1.4922978774388349E-2</v>
      </c>
      <c r="AB48" s="702">
        <f>$X48*(1-'Tier3Phase-in'!$M$12)</f>
        <v>1.4087737425075568E-2</v>
      </c>
      <c r="AC48" s="702">
        <f>$X48*(1-'Tier3Phase-in'!$N$12)</f>
        <v>1.3352725037680322E-2</v>
      </c>
      <c r="AD48" s="702">
        <f>$X48*(1-'Tier3Phase-in'!$O$12)</f>
        <v>1.2302707341401395E-2</v>
      </c>
      <c r="AE48" s="702">
        <f>$X48*(1-'Tier3Phase-in'!$P$12)</f>
        <v>1.2276456898994422E-2</v>
      </c>
      <c r="AF48" s="702">
        <f>$X48*(1-'Tier3Phase-in'!$Q$12)</f>
        <v>1.2250206456587451E-2</v>
      </c>
      <c r="AG48" s="685">
        <f>AG47</f>
        <v>17.140484294802544</v>
      </c>
      <c r="AH48" s="702">
        <f>AH47</f>
        <v>13.726096127543082</v>
      </c>
      <c r="AI48" s="702">
        <f>$AH48*(1-'Tier3Phase-in'!$J$12)</f>
        <v>13.726096127543082</v>
      </c>
      <c r="AJ48" s="702">
        <f>$AH48*(1-'Tier3Phase-in'!$K$12)</f>
        <v>11.887779681889992</v>
      </c>
      <c r="AK48" s="702">
        <f>$AH48*(1-'Tier3Phase-in'!$L$12)</f>
        <v>10.450550460743028</v>
      </c>
      <c r="AL48" s="702">
        <f>$AH48*(1-'Tier3Phase-in'!$M$12)</f>
        <v>9.8656315916715904</v>
      </c>
      <c r="AM48" s="702">
        <f>$AH48*(1-'Tier3Phase-in'!$N$12)</f>
        <v>9.350902986888725</v>
      </c>
      <c r="AN48" s="702">
        <f>$AH48*(1-'Tier3Phase-in'!$O$12)</f>
        <v>8.6155764086274864</v>
      </c>
      <c r="AO48" s="702">
        <f>$AH48*(1-'Tier3Phase-in'!$P$12)</f>
        <v>8.5971932441709562</v>
      </c>
      <c r="AP48" s="702">
        <f>$AH48*(1-'Tier3Phase-in'!$Q$12)</f>
        <v>8.578810079714426</v>
      </c>
      <c r="AQ48" s="685">
        <f>AQ47</f>
        <v>0.5974165007007991</v>
      </c>
      <c r="AR48" s="702">
        <f>AR47</f>
        <v>0.48835262404783314</v>
      </c>
      <c r="AS48" s="702">
        <f>$AR48*(1-'Tier3Phase-in'!$J$12)</f>
        <v>0.48835262404783314</v>
      </c>
      <c r="AT48" s="702">
        <f>$AR48*(1-'Tier3Phase-in'!$K$12)</f>
        <v>0.42294825475571263</v>
      </c>
      <c r="AU48" s="702">
        <f>$AR48*(1-'Tier3Phase-in'!$L$12)</f>
        <v>0.37181392967278204</v>
      </c>
      <c r="AV48" s="702">
        <f>$AR48*(1-'Tier3Phase-in'!$M$12)</f>
        <v>0.35100344853438009</v>
      </c>
      <c r="AW48" s="702">
        <f>$AR48*(1-'Tier3Phase-in'!$N$12)</f>
        <v>0.33269022513258634</v>
      </c>
      <c r="AX48" s="702">
        <f>$AR48*(1-'Tier3Phase-in'!$O$12)</f>
        <v>0.30652847741573808</v>
      </c>
      <c r="AY48" s="702">
        <f>$AR48*(1-'Tier3Phase-in'!$P$12)</f>
        <v>0.30587443372281686</v>
      </c>
      <c r="AZ48" s="702">
        <f>$AR48*(1-'Tier3Phase-in'!$Q$12)</f>
        <v>0.30522039002989571</v>
      </c>
      <c r="BA48" s="685">
        <f>BA47</f>
        <v>1.1254044275630737E-3</v>
      </c>
      <c r="BB48" s="703">
        <f>BB47</f>
        <v>9.0358669961245895E-4</v>
      </c>
      <c r="BC48" s="703">
        <f>$BB48*(1-'Tier3Phase-in'!$J$12)</f>
        <v>9.0358669961245895E-4</v>
      </c>
      <c r="BD48" s="703">
        <f>$BB48*(1-'Tier3Phase-in'!$K$12)</f>
        <v>7.8257062377150462E-4</v>
      </c>
      <c r="BE48" s="703">
        <f>$BB48*(1-'Tier3Phase-in'!$L$12)</f>
        <v>6.8795805538675856E-4</v>
      </c>
      <c r="BF48" s="703">
        <f>$BB48*(1-'Tier3Phase-in'!$M$12)</f>
        <v>6.4945294034645491E-4</v>
      </c>
      <c r="BG48" s="703">
        <f>$BB48*(1-'Tier3Phase-in'!$N$12)</f>
        <v>6.1556843911098763E-4</v>
      </c>
      <c r="BH48" s="703">
        <f>$BB48*(1-'Tier3Phase-in'!$O$12)</f>
        <v>5.6716200877460579E-4</v>
      </c>
      <c r="BI48" s="703">
        <f>$BB48*(1-'Tier3Phase-in'!$P$12)</f>
        <v>5.659518480161963E-4</v>
      </c>
      <c r="BJ48" s="703">
        <f>$BB48*(1-'Tier3Phase-in'!$Q$12)</f>
        <v>5.6474168725778682E-4</v>
      </c>
      <c r="BK48" s="685">
        <f>BK47</f>
        <v>8.5680375941202935E-3</v>
      </c>
      <c r="BL48" s="703">
        <f>BL47</f>
        <v>7.0561189189943703E-3</v>
      </c>
      <c r="BM48" s="703">
        <f>$BL48*(1-'Tier3Phase-in'!$J$12)</f>
        <v>7.0561189189943703E-3</v>
      </c>
      <c r="BN48" s="703">
        <f>$BL48*(1-'Tier3Phase-in'!$K$12)</f>
        <v>6.1111029923433388E-3</v>
      </c>
      <c r="BO48" s="703">
        <f>$BL48*(1-'Tier3Phase-in'!$L$12)</f>
        <v>5.3722723587798045E-3</v>
      </c>
      <c r="BP48" s="703">
        <f>$BL48*(1-'Tier3Phase-in'!$M$12)</f>
        <v>5.0715854730272033E-3</v>
      </c>
      <c r="BQ48" s="703">
        <f>$BL48*(1-'Tier3Phase-in'!$N$12)</f>
        <v>4.8069810135649149E-3</v>
      </c>
      <c r="BR48" s="703">
        <f>$BL48*(1-'Tier3Phase-in'!$O$12)</f>
        <v>4.4289746429045009E-3</v>
      </c>
      <c r="BS48" s="703">
        <f>$BL48*(1-'Tier3Phase-in'!$P$12)</f>
        <v>4.419524483637991E-3</v>
      </c>
      <c r="BT48" s="703">
        <f>$BL48*(1-'Tier3Phase-in'!$Q$12)</f>
        <v>4.410074324371481E-3</v>
      </c>
      <c r="BU48" s="685">
        <f>BU47</f>
        <v>1.2185698983934946E-2</v>
      </c>
      <c r="BV48" s="703">
        <f>BV47</f>
        <v>1.0819983678138563E-2</v>
      </c>
      <c r="BW48" s="703">
        <f>(1-'Tier3Phase-in'!$J$20)*BV48</f>
        <v>3.678794450567111E-3</v>
      </c>
      <c r="BX48" s="685">
        <f>BX47</f>
        <v>2.099679121338521E-2</v>
      </c>
      <c r="BY48" s="703">
        <f>BY47</f>
        <v>1.7456964002653001E-2</v>
      </c>
      <c r="BZ48" s="685">
        <f>BZ47</f>
        <v>2.3579701095083852E-2</v>
      </c>
      <c r="CA48" s="703">
        <f>CA47</f>
        <v>6.2218374799567202E-3</v>
      </c>
    </row>
    <row r="49" spans="1:79" x14ac:dyDescent="0.2">
      <c r="A49" s="690" t="str">
        <f>Technologies!C117</f>
        <v>TMGSLAH</v>
      </c>
      <c r="B49" s="690" t="str">
        <f>Technologies!D117</f>
        <v>Medium Duty Truck, Advanced Hybrid Gasoline</v>
      </c>
      <c r="C49" s="685">
        <f>'Raw emissions'!D24*0.5+'Raw emissions'!D18*0.5</f>
        <v>1.8596470435827837</v>
      </c>
      <c r="D49" s="702">
        <f>'Raw emissions'!E24*0.5+'Raw emissions'!E18*0.5</f>
        <v>1.6303137063875912</v>
      </c>
      <c r="E49" s="702">
        <f>$D49*(1-'Tier3Phase-in'!$J$12)</f>
        <v>1.6303137063875912</v>
      </c>
      <c r="F49" s="702">
        <f>$D49*(1-'Tier3Phase-in'!$K$12)</f>
        <v>1.4119681207106818</v>
      </c>
      <c r="G49" s="702">
        <f>$D49*(1-'Tier3Phase-in'!$L$12)</f>
        <v>1.2412615719087341</v>
      </c>
      <c r="H49" s="702">
        <f>$D49*(1-'Tier3Phase-in'!$M$12)</f>
        <v>1.1717879764660812</v>
      </c>
      <c r="I49" s="702">
        <f>$D49*(1-'Tier3Phase-in'!$N$12)</f>
        <v>1.1106512124765466</v>
      </c>
      <c r="J49" s="702">
        <f>$D49*(1-'Tier3Phase-in'!$O$12)</f>
        <v>1.0233129782057826</v>
      </c>
      <c r="K49" s="702">
        <f>$D49*(1-'Tier3Phase-in'!$P$12)</f>
        <v>1.0211295223490136</v>
      </c>
      <c r="L49" s="702">
        <f>$D49*(1-'Tier3Phase-in'!$Q$12)</f>
        <v>1.0189460664922445</v>
      </c>
      <c r="M49" s="685">
        <f>'Raw emissions'!J24*0.5+'Raw emissions'!J18*0.5</f>
        <v>5.4730316734431177E-2</v>
      </c>
      <c r="N49" s="702">
        <f>'Raw emissions'!K24*0.5+'Raw emissions'!K18*0.5</f>
        <v>5.3654121205976138E-2</v>
      </c>
      <c r="O49" s="702">
        <f>$N49*(1-'Tier3Phase-in'!$J$12)</f>
        <v>5.3654121205976138E-2</v>
      </c>
      <c r="P49" s="702">
        <f>$N49*(1-'Tier3Phase-in'!$K$12)</f>
        <v>4.6468301401604337E-2</v>
      </c>
      <c r="Q49" s="702">
        <f>$N49*(1-'Tier3Phase-in'!$L$12)</f>
        <v>4.085029682727729E-2</v>
      </c>
      <c r="R49" s="702">
        <f>$N49*(1-'Tier3Phase-in'!$M$12)</f>
        <v>3.856389961679535E-2</v>
      </c>
      <c r="S49" s="702">
        <f>$N49*(1-'Tier3Phase-in'!$N$12)</f>
        <v>3.6551870071571242E-2</v>
      </c>
      <c r="T49" s="702">
        <f>$N49*(1-'Tier3Phase-in'!$O$12)</f>
        <v>3.3677542149822513E-2</v>
      </c>
      <c r="U49" s="702">
        <f>$N49*(1-'Tier3Phase-in'!$P$12)</f>
        <v>3.3605683951778799E-2</v>
      </c>
      <c r="V49" s="702">
        <f>$N49*(1-'Tier3Phase-in'!$Q$12)</f>
        <v>3.3533825753735085E-2</v>
      </c>
      <c r="W49" s="685">
        <f>'Raw emissions'!M24*0.5+'Raw emissions'!M18*0.5</f>
        <v>2.0660505471107413E-2</v>
      </c>
      <c r="X49" s="702">
        <f>'Raw emissions'!N24*0.5+'Raw emissions'!N18*0.5</f>
        <v>1.9600330330539921E-2</v>
      </c>
      <c r="Y49" s="702">
        <f>$X49*(1-'Tier3Phase-in'!$J$12)</f>
        <v>1.9600330330539921E-2</v>
      </c>
      <c r="Z49" s="702">
        <f>$X49*(1-'Tier3Phase-in'!$K$12)</f>
        <v>1.6975286089842612E-2</v>
      </c>
      <c r="AA49" s="702">
        <f>$X49*(1-'Tier3Phase-in'!$L$12)</f>
        <v>1.4922978774388349E-2</v>
      </c>
      <c r="AB49" s="702">
        <f>$X49*(1-'Tier3Phase-in'!$M$12)</f>
        <v>1.4087737425075568E-2</v>
      </c>
      <c r="AC49" s="702">
        <f>$X49*(1-'Tier3Phase-in'!$N$12)</f>
        <v>1.3352725037680322E-2</v>
      </c>
      <c r="AD49" s="702">
        <f>$X49*(1-'Tier3Phase-in'!$O$12)</f>
        <v>1.2302707341401395E-2</v>
      </c>
      <c r="AE49" s="702">
        <f>$X49*(1-'Tier3Phase-in'!$P$12)</f>
        <v>1.2276456898994422E-2</v>
      </c>
      <c r="AF49" s="702">
        <f>$X49*(1-'Tier3Phase-in'!$Q$12)</f>
        <v>1.2250206456587451E-2</v>
      </c>
      <c r="AG49" s="685">
        <f>'Raw emissions'!P24*0.5+'Raw emissions'!P18*0.5</f>
        <v>17.140484294802544</v>
      </c>
      <c r="AH49" s="702">
        <f>'Raw emissions'!Q24*0.5+'Raw emissions'!Q18*0.5</f>
        <v>13.726096127543082</v>
      </c>
      <c r="AI49" s="702">
        <f>$AH49*(1-'Tier3Phase-in'!$J$12)</f>
        <v>13.726096127543082</v>
      </c>
      <c r="AJ49" s="702">
        <f>$AH49*(1-'Tier3Phase-in'!$K$12)</f>
        <v>11.887779681889992</v>
      </c>
      <c r="AK49" s="702">
        <f>$AH49*(1-'Tier3Phase-in'!$L$12)</f>
        <v>10.450550460743028</v>
      </c>
      <c r="AL49" s="702">
        <f>$AH49*(1-'Tier3Phase-in'!$M$12)</f>
        <v>9.8656315916715904</v>
      </c>
      <c r="AM49" s="702">
        <f>$AH49*(1-'Tier3Phase-in'!$N$12)</f>
        <v>9.350902986888725</v>
      </c>
      <c r="AN49" s="702">
        <f>$AH49*(1-'Tier3Phase-in'!$O$12)</f>
        <v>8.6155764086274864</v>
      </c>
      <c r="AO49" s="702">
        <f>$AH49*(1-'Tier3Phase-in'!$P$12)</f>
        <v>8.5971932441709562</v>
      </c>
      <c r="AP49" s="702">
        <f>$AH49*(1-'Tier3Phase-in'!$Q$12)</f>
        <v>8.578810079714426</v>
      </c>
      <c r="AQ49" s="685">
        <f>'Raw emissions'!Y24*0.5+'Raw emissions'!Y18*0.5</f>
        <v>0.5974165007007991</v>
      </c>
      <c r="AR49" s="702">
        <f>'Raw emissions'!Z24*0.5+'Raw emissions'!Z18*0.5</f>
        <v>0.48835262404783314</v>
      </c>
      <c r="AS49" s="702">
        <f>$AR49*(1-'Tier3Phase-in'!$J$12)</f>
        <v>0.48835262404783314</v>
      </c>
      <c r="AT49" s="702">
        <f>$AR49*(1-'Tier3Phase-in'!$K$12)</f>
        <v>0.42294825475571263</v>
      </c>
      <c r="AU49" s="702">
        <f>$AR49*(1-'Tier3Phase-in'!$L$12)</f>
        <v>0.37181392967278204</v>
      </c>
      <c r="AV49" s="702">
        <f>$AR49*(1-'Tier3Phase-in'!$M$12)</f>
        <v>0.35100344853438009</v>
      </c>
      <c r="AW49" s="702">
        <f>$AR49*(1-'Tier3Phase-in'!$N$12)</f>
        <v>0.33269022513258634</v>
      </c>
      <c r="AX49" s="702">
        <f>$AR49*(1-'Tier3Phase-in'!$O$12)</f>
        <v>0.30652847741573808</v>
      </c>
      <c r="AY49" s="702">
        <f>$AR49*(1-'Tier3Phase-in'!$P$12)</f>
        <v>0.30587443372281686</v>
      </c>
      <c r="AZ49" s="702">
        <f>$AR49*(1-'Tier3Phase-in'!$Q$12)</f>
        <v>0.30522039002989571</v>
      </c>
      <c r="BA49" s="685">
        <f>'Raw emissions'!AK24*0.5+'Raw emissions'!AK18*0.5</f>
        <v>1.1254044275630737E-3</v>
      </c>
      <c r="BB49" s="703">
        <f>'Raw emissions'!AL24*0.5+'Raw emissions'!AL18*0.5</f>
        <v>9.0358669961245895E-4</v>
      </c>
      <c r="BC49" s="703">
        <f>$BB49*(1-'Tier3Phase-in'!$J$12)</f>
        <v>9.0358669961245895E-4</v>
      </c>
      <c r="BD49" s="703">
        <f>$BB49*(1-'Tier3Phase-in'!$K$12)</f>
        <v>7.8257062377150462E-4</v>
      </c>
      <c r="BE49" s="703">
        <f>$BB49*(1-'Tier3Phase-in'!$L$12)</f>
        <v>6.8795805538675856E-4</v>
      </c>
      <c r="BF49" s="703">
        <f>$BB49*(1-'Tier3Phase-in'!$M$12)</f>
        <v>6.4945294034645491E-4</v>
      </c>
      <c r="BG49" s="703">
        <f>$BB49*(1-'Tier3Phase-in'!$N$12)</f>
        <v>6.1556843911098763E-4</v>
      </c>
      <c r="BH49" s="703">
        <f>$BB49*(1-'Tier3Phase-in'!$O$12)</f>
        <v>5.6716200877460579E-4</v>
      </c>
      <c r="BI49" s="703">
        <f>$BB49*(1-'Tier3Phase-in'!$P$12)</f>
        <v>5.659518480161963E-4</v>
      </c>
      <c r="BJ49" s="703">
        <f>$BB49*(1-'Tier3Phase-in'!$Q$12)</f>
        <v>5.6474168725778682E-4</v>
      </c>
      <c r="BK49" s="685">
        <f>'Raw emissions'!AG24*0.5+'Raw emissions'!AG18*0.5</f>
        <v>8.5680375941202935E-3</v>
      </c>
      <c r="BL49" s="703">
        <f>'Raw emissions'!AI24*0.5+'Raw emissions'!AI18*0.5</f>
        <v>7.0561189189943703E-3</v>
      </c>
      <c r="BM49" s="703">
        <f>$BL49*(1-'Tier3Phase-in'!$J$12)</f>
        <v>7.0561189189943703E-3</v>
      </c>
      <c r="BN49" s="703">
        <f>$BL49*(1-'Tier3Phase-in'!$K$12)</f>
        <v>6.1111029923433388E-3</v>
      </c>
      <c r="BO49" s="703">
        <f>$BL49*(1-'Tier3Phase-in'!$L$12)</f>
        <v>5.3722723587798045E-3</v>
      </c>
      <c r="BP49" s="703">
        <f>$BL49*(1-'Tier3Phase-in'!$M$12)</f>
        <v>5.0715854730272033E-3</v>
      </c>
      <c r="BQ49" s="703">
        <f>$BL49*(1-'Tier3Phase-in'!$N$12)</f>
        <v>4.8069810135649149E-3</v>
      </c>
      <c r="BR49" s="703">
        <f>$BL49*(1-'Tier3Phase-in'!$O$12)</f>
        <v>4.4289746429045009E-3</v>
      </c>
      <c r="BS49" s="703">
        <f>$BL49*(1-'Tier3Phase-in'!$P$12)</f>
        <v>4.419524483637991E-3</v>
      </c>
      <c r="BT49" s="703">
        <f>$BL49*(1-'Tier3Phase-in'!$Q$12)</f>
        <v>4.410074324371481E-3</v>
      </c>
      <c r="BU49" s="685">
        <f>'Raw emissions'!G24*0.5+'Raw emissions'!G18*0.5</f>
        <v>1.2185698983934946E-2</v>
      </c>
      <c r="BV49" s="703">
        <f>'Raw emissions'!H24*0.5+'Raw emissions'!H18*0.5</f>
        <v>1.0819983678138563E-2</v>
      </c>
      <c r="BW49" s="703">
        <f>(1-'Tier3Phase-in'!$J$20)*BV49</f>
        <v>3.678794450567111E-3</v>
      </c>
      <c r="BX49" s="685">
        <f>'Raw emissions'!V24*0.5+'Raw emissions'!V18*0.5</f>
        <v>2.099679121338521E-2</v>
      </c>
      <c r="BY49" s="703">
        <f>'Raw emissions'!W24*0.5+'Raw emissions'!W18*0.5</f>
        <v>1.7456964002653001E-2</v>
      </c>
      <c r="BZ49" s="685">
        <f>'Raw emissions'!S24*0.5+'Raw emissions'!S18*0.5</f>
        <v>2.3579701095083852E-2</v>
      </c>
      <c r="CA49" s="703">
        <f>'Raw emissions'!T24*0.5+'Raw emissions'!T18*0.5</f>
        <v>6.2218374799567202E-3</v>
      </c>
    </row>
    <row r="50" spans="1:79" x14ac:dyDescent="0.2">
      <c r="A50" s="690" t="str">
        <f>Technologies!C118</f>
        <v>TMDSLC10</v>
      </c>
      <c r="B50" s="690" t="str">
        <f>Technologies!D118</f>
        <v>Medium Duty Truck, Diesel, 2010</v>
      </c>
      <c r="C50" s="705">
        <f>'Raw emissions'!D23*0.5+'Raw emissions'!D17*0.5</f>
        <v>2.8368308204398591</v>
      </c>
      <c r="D50" s="706">
        <f>'Raw emissions'!E23*0.5+'Raw emissions'!E17*0.5</f>
        <v>0.88771540779407565</v>
      </c>
      <c r="E50" s="702">
        <f>$C50</f>
        <v>2.8368308204398591</v>
      </c>
      <c r="F50" s="702">
        <f t="shared" ref="F50:L50" si="74">$C50</f>
        <v>2.8368308204398591</v>
      </c>
      <c r="G50" s="702">
        <f t="shared" si="74"/>
        <v>2.8368308204398591</v>
      </c>
      <c r="H50" s="702">
        <f t="shared" si="74"/>
        <v>2.8368308204398591</v>
      </c>
      <c r="I50" s="702">
        <f t="shared" si="74"/>
        <v>2.8368308204398591</v>
      </c>
      <c r="J50" s="702">
        <f t="shared" si="74"/>
        <v>2.8368308204398591</v>
      </c>
      <c r="K50" s="702">
        <f t="shared" si="74"/>
        <v>2.8368308204398591</v>
      </c>
      <c r="L50" s="702">
        <f t="shared" si="74"/>
        <v>2.8368308204398591</v>
      </c>
      <c r="M50" s="705">
        <f>'Raw emissions'!J23*0.5+'Raw emissions'!J17*0.5</f>
        <v>0.19606208140753156</v>
      </c>
      <c r="N50" s="706">
        <f>'Raw emissions'!K23*0.5+'Raw emissions'!K17*0.5</f>
        <v>6.4640002303018501E-2</v>
      </c>
      <c r="O50" s="702">
        <f>$M50</f>
        <v>0.19606208140753156</v>
      </c>
      <c r="P50" s="702">
        <f t="shared" ref="P50:V50" si="75">$M50</f>
        <v>0.19606208140753156</v>
      </c>
      <c r="Q50" s="702">
        <f t="shared" si="75"/>
        <v>0.19606208140753156</v>
      </c>
      <c r="R50" s="702">
        <f t="shared" si="75"/>
        <v>0.19606208140753156</v>
      </c>
      <c r="S50" s="702">
        <f t="shared" si="75"/>
        <v>0.19606208140753156</v>
      </c>
      <c r="T50" s="702">
        <f t="shared" si="75"/>
        <v>0.19606208140753156</v>
      </c>
      <c r="U50" s="702">
        <f t="shared" si="75"/>
        <v>0.19606208140753156</v>
      </c>
      <c r="V50" s="702">
        <f t="shared" si="75"/>
        <v>0.19606208140753156</v>
      </c>
      <c r="W50" s="705">
        <f>'Raw emissions'!M23*0.5+'Raw emissions'!M17*0.5</f>
        <v>0.15275013113345309</v>
      </c>
      <c r="X50" s="706">
        <f>'Raw emissions'!N23*0.5+'Raw emissions'!N17*0.5</f>
        <v>2.5265839382814952E-2</v>
      </c>
      <c r="Y50" s="702">
        <f t="shared" ref="Y50:AF50" si="76">W50</f>
        <v>0.15275013113345309</v>
      </c>
      <c r="Z50" s="702">
        <f t="shared" si="76"/>
        <v>2.5265839382814952E-2</v>
      </c>
      <c r="AA50" s="702">
        <f t="shared" si="76"/>
        <v>0.15275013113345309</v>
      </c>
      <c r="AB50" s="702">
        <f t="shared" si="76"/>
        <v>2.5265839382814952E-2</v>
      </c>
      <c r="AC50" s="702">
        <f t="shared" si="76"/>
        <v>0.15275013113345309</v>
      </c>
      <c r="AD50" s="702">
        <f t="shared" si="76"/>
        <v>2.5265839382814952E-2</v>
      </c>
      <c r="AE50" s="702">
        <f t="shared" si="76"/>
        <v>0.15275013113345309</v>
      </c>
      <c r="AF50" s="702">
        <f t="shared" si="76"/>
        <v>2.5265839382814952E-2</v>
      </c>
      <c r="AG50" s="705">
        <f>'Raw emissions'!P23*0.5+'Raw emissions'!P17*0.5</f>
        <v>1.8260545122076008</v>
      </c>
      <c r="AH50" s="706">
        <f>'Raw emissions'!Q23*0.5+'Raw emissions'!Q17*0.5</f>
        <v>0.86288417231881254</v>
      </c>
      <c r="AI50" s="702">
        <f>$AG50</f>
        <v>1.8260545122076008</v>
      </c>
      <c r="AJ50" s="702">
        <f t="shared" ref="AJ50:AP50" si="77">$AG50</f>
        <v>1.8260545122076008</v>
      </c>
      <c r="AK50" s="702">
        <f t="shared" si="77"/>
        <v>1.8260545122076008</v>
      </c>
      <c r="AL50" s="702">
        <f t="shared" si="77"/>
        <v>1.8260545122076008</v>
      </c>
      <c r="AM50" s="702">
        <f t="shared" si="77"/>
        <v>1.8260545122076008</v>
      </c>
      <c r="AN50" s="702">
        <f t="shared" si="77"/>
        <v>1.8260545122076008</v>
      </c>
      <c r="AO50" s="702">
        <f t="shared" si="77"/>
        <v>1.8260545122076008</v>
      </c>
      <c r="AP50" s="702">
        <f t="shared" si="77"/>
        <v>1.8260545122076008</v>
      </c>
      <c r="AQ50" s="705">
        <f>'Raw emissions'!Y23*0.5+'Raw emissions'!Y17*0.5</f>
        <v>0.40528442904025297</v>
      </c>
      <c r="AR50" s="706">
        <f>'Raw emissions'!Z23*0.5+'Raw emissions'!Z17*0.5</f>
        <v>0.14194951964193617</v>
      </c>
      <c r="AS50" s="702">
        <f>$AQ50</f>
        <v>0.40528442904025297</v>
      </c>
      <c r="AT50" s="702">
        <f t="shared" ref="AT50:AZ50" si="78">$AQ50</f>
        <v>0.40528442904025297</v>
      </c>
      <c r="AU50" s="702">
        <f t="shared" si="78"/>
        <v>0.40528442904025297</v>
      </c>
      <c r="AV50" s="702">
        <f t="shared" si="78"/>
        <v>0.40528442904025297</v>
      </c>
      <c r="AW50" s="702">
        <f t="shared" si="78"/>
        <v>0.40528442904025297</v>
      </c>
      <c r="AX50" s="702">
        <f t="shared" si="78"/>
        <v>0.40528442904025297</v>
      </c>
      <c r="AY50" s="702">
        <f t="shared" si="78"/>
        <v>0.40528442904025297</v>
      </c>
      <c r="AZ50" s="702">
        <f t="shared" si="78"/>
        <v>0.40528442904025297</v>
      </c>
      <c r="BA50" s="705">
        <f>'Raw emissions'!AK23*0.5+'Raw emissions'!AK17*0.5</f>
        <v>7.7006964515964921E-2</v>
      </c>
      <c r="BB50" s="708">
        <f>'Raw emissions'!AL23*0.5+'Raw emissions'!AL17*0.5</f>
        <v>1.0465592312035906E-3</v>
      </c>
      <c r="BC50" s="703">
        <f>$BA50</f>
        <v>7.7006964515964921E-2</v>
      </c>
      <c r="BD50" s="703">
        <f t="shared" ref="BD50:BJ50" si="79">$BA50</f>
        <v>7.7006964515964921E-2</v>
      </c>
      <c r="BE50" s="703">
        <f t="shared" si="79"/>
        <v>7.7006964515964921E-2</v>
      </c>
      <c r="BF50" s="703">
        <f t="shared" si="79"/>
        <v>7.7006964515964921E-2</v>
      </c>
      <c r="BG50" s="703">
        <f t="shared" si="79"/>
        <v>7.7006964515964921E-2</v>
      </c>
      <c r="BH50" s="703">
        <f t="shared" si="79"/>
        <v>7.7006964515964921E-2</v>
      </c>
      <c r="BI50" s="703">
        <f t="shared" si="79"/>
        <v>7.7006964515964921E-2</v>
      </c>
      <c r="BJ50" s="703">
        <f t="shared" si="79"/>
        <v>7.7006964515964921E-2</v>
      </c>
      <c r="BK50" s="705">
        <f>'Raw emissions'!AG23*0.5+'Raw emissions'!AG17*0.5</f>
        <v>0.10510254476502623</v>
      </c>
      <c r="BL50" s="708">
        <f>'Raw emissions'!AI23*0.5+'Raw emissions'!AI17*0.5</f>
        <v>5.3058262703911396E-3</v>
      </c>
      <c r="BM50" s="703">
        <f>$BK50</f>
        <v>0.10510254476502623</v>
      </c>
      <c r="BN50" s="703">
        <f t="shared" ref="BN50:BT50" si="80">$BK50</f>
        <v>0.10510254476502623</v>
      </c>
      <c r="BO50" s="703">
        <f t="shared" si="80"/>
        <v>0.10510254476502623</v>
      </c>
      <c r="BP50" s="703">
        <f t="shared" si="80"/>
        <v>0.10510254476502623</v>
      </c>
      <c r="BQ50" s="703">
        <f t="shared" si="80"/>
        <v>0.10510254476502623</v>
      </c>
      <c r="BR50" s="703">
        <f t="shared" si="80"/>
        <v>0.10510254476502623</v>
      </c>
      <c r="BS50" s="703">
        <f t="shared" si="80"/>
        <v>0.10510254476502623</v>
      </c>
      <c r="BT50" s="703">
        <f t="shared" si="80"/>
        <v>0.10510254476502623</v>
      </c>
      <c r="BU50" s="705">
        <f>'Raw emissions'!G23*0.5+'Raw emissions'!G17*0.5</f>
        <v>9.0081744270220209E-3</v>
      </c>
      <c r="BV50" s="708">
        <f>'Raw emissions'!H23*0.5+'Raw emissions'!H17*0.5</f>
        <v>5.8471838478579407E-3</v>
      </c>
      <c r="BW50" s="703">
        <f>(1-'Tier3Phase-in'!$J$20)*BV50</f>
        <v>1.9880425082716997E-3</v>
      </c>
      <c r="BX50" s="705">
        <f>'Raw emissions'!V23*0.5+'Raw emissions'!V17*0.5</f>
        <v>1.9851336065397243E-3</v>
      </c>
      <c r="BY50" s="708">
        <f>'Raw emissions'!W23*0.5+'Raw emissions'!W17*0.5</f>
        <v>1.9761463105834789E-3</v>
      </c>
      <c r="BZ50" s="705">
        <f>'Raw emissions'!S23*0.5+'Raw emissions'!S17*0.5</f>
        <v>2.8117075533197122E-3</v>
      </c>
      <c r="CA50" s="708">
        <f>'Raw emissions'!T23*0.5+'Raw emissions'!T17*0.5</f>
        <v>2.2928426708990206E-3</v>
      </c>
    </row>
    <row r="51" spans="1:79" x14ac:dyDescent="0.2">
      <c r="A51" s="690" t="str">
        <f>Technologies!C119</f>
        <v>TMDSLC</v>
      </c>
      <c r="B51" s="690" t="str">
        <f>Technologies!D119</f>
        <v>Medium Duty Truck, Conventional Diesel</v>
      </c>
      <c r="C51" s="705">
        <f>'Raw emissions'!D23*0.5+'Raw emissions'!D17*0.5</f>
        <v>2.8368308204398591</v>
      </c>
      <c r="D51" s="706">
        <f>'Raw emissions'!E23*0.5+'Raw emissions'!E17*0.5</f>
        <v>0.88771540779407565</v>
      </c>
      <c r="E51" s="702">
        <f>$D51*(1-'Tier3Phase-in'!$J$12)</f>
        <v>0.88771540779407565</v>
      </c>
      <c r="F51" s="702">
        <f>$D51*(1-'Tier3Phase-in'!$K$12)</f>
        <v>0.76882495139308338</v>
      </c>
      <c r="G51" s="702">
        <f>$D51*(1-'Tier3Phase-in'!$L$12)</f>
        <v>0.6758742309341258</v>
      </c>
      <c r="H51" s="702">
        <f>$D51*(1-'Tier3Phase-in'!$M$12)</f>
        <v>0.63804544935199192</v>
      </c>
      <c r="I51" s="702">
        <f>$D51*(1-'Tier3Phase-in'!$N$12)</f>
        <v>0.60475612155971403</v>
      </c>
      <c r="J51" s="702">
        <f>$D51*(1-'Tier3Phase-in'!$O$12)</f>
        <v>0.55719993899931697</v>
      </c>
      <c r="K51" s="702">
        <f>$D51*(1-'Tier3Phase-in'!$P$12)</f>
        <v>0.55601103443530719</v>
      </c>
      <c r="L51" s="702">
        <f>$D51*(1-'Tier3Phase-in'!$Q$12)</f>
        <v>0.55482212987129731</v>
      </c>
      <c r="M51" s="705">
        <f>'Raw emissions'!J23*0.5+'Raw emissions'!J17*0.5</f>
        <v>0.19606208140753156</v>
      </c>
      <c r="N51" s="706">
        <f>'Raw emissions'!K23*0.5+'Raw emissions'!K17*0.5</f>
        <v>6.4640002303018501E-2</v>
      </c>
      <c r="O51" s="702">
        <f>$N51*(1-'Tier3Phase-in'!$J$12)</f>
        <v>6.4640002303018501E-2</v>
      </c>
      <c r="P51" s="702">
        <f>$N51*(1-'Tier3Phase-in'!$K$12)</f>
        <v>5.598285913743567E-2</v>
      </c>
      <c r="Q51" s="702">
        <f>$N51*(1-'Tier3Phase-in'!$L$12)</f>
        <v>4.9214547207979992E-2</v>
      </c>
      <c r="R51" s="702">
        <f>$N51*(1-'Tier3Phase-in'!$M$12)</f>
        <v>4.6460001655294549E-2</v>
      </c>
      <c r="S51" s="702">
        <f>$N51*(1-'Tier3Phase-in'!$N$12)</f>
        <v>4.4036001568931359E-2</v>
      </c>
      <c r="T51" s="702">
        <f>$N51*(1-'Tier3Phase-in'!$O$12)</f>
        <v>4.0573144302698212E-2</v>
      </c>
      <c r="U51" s="702">
        <f>$N51*(1-'Tier3Phase-in'!$P$12)</f>
        <v>4.0486572871042389E-2</v>
      </c>
      <c r="V51" s="702">
        <f>$N51*(1-'Tier3Phase-in'!$Q$12)</f>
        <v>4.040000143938656E-2</v>
      </c>
      <c r="W51" s="705">
        <f>'Raw emissions'!M23*0.5+'Raw emissions'!M17*0.5</f>
        <v>0.15275013113345309</v>
      </c>
      <c r="X51" s="706">
        <f>'Raw emissions'!N23*0.5+'Raw emissions'!N17*0.5</f>
        <v>2.5265839382814952E-2</v>
      </c>
      <c r="Y51" s="702">
        <f>$X51*(1-'Tier3Phase-in'!$J$12)</f>
        <v>2.5265839382814952E-2</v>
      </c>
      <c r="Z51" s="702">
        <f>$X51*(1-'Tier3Phase-in'!$K$12)</f>
        <v>2.1882021608330807E-2</v>
      </c>
      <c r="AA51" s="702">
        <f>$X51*(1-'Tier3Phase-in'!$L$12)</f>
        <v>1.9236491348279566E-2</v>
      </c>
      <c r="AB51" s="702">
        <f>$X51*(1-'Tier3Phase-in'!$M$12)</f>
        <v>1.8159822056398246E-2</v>
      </c>
      <c r="AC51" s="702">
        <f>$X51*(1-'Tier3Phase-in'!$N$12)</f>
        <v>1.7212353079542685E-2</v>
      </c>
      <c r="AD51" s="702">
        <f>$X51*(1-'Tier3Phase-in'!$O$12)</f>
        <v>1.5858825969749024E-2</v>
      </c>
      <c r="AE51" s="702">
        <f>$X51*(1-'Tier3Phase-in'!$P$12)</f>
        <v>1.5824987792004183E-2</v>
      </c>
      <c r="AF51" s="702">
        <f>$X51*(1-'Tier3Phase-in'!$Q$12)</f>
        <v>1.5791149614259346E-2</v>
      </c>
      <c r="AG51" s="705">
        <f>'Raw emissions'!P23*0.5+'Raw emissions'!P17*0.5</f>
        <v>1.8260545122076008</v>
      </c>
      <c r="AH51" s="706">
        <f>'Raw emissions'!Q23*0.5+'Raw emissions'!Q17*0.5</f>
        <v>0.86288417231881254</v>
      </c>
      <c r="AI51" s="702">
        <f>$AH51*(1-'Tier3Phase-in'!$J$12)</f>
        <v>0.86288417231881254</v>
      </c>
      <c r="AJ51" s="702">
        <f>$AH51*(1-'Tier3Phase-in'!$K$12)</f>
        <v>0.74731932781182875</v>
      </c>
      <c r="AK51" s="702">
        <f>$AH51*(1-'Tier3Phase-in'!$L$12)</f>
        <v>0.65696863119727766</v>
      </c>
      <c r="AL51" s="702">
        <f>$AH51*(1-'Tier3Phase-in'!$M$12)</f>
        <v>0.6201979988541465</v>
      </c>
      <c r="AM51" s="702">
        <f>$AH51*(1-'Tier3Phase-in'!$N$12)</f>
        <v>0.58783984239219111</v>
      </c>
      <c r="AN51" s="702">
        <f>$AH51*(1-'Tier3Phase-in'!$O$12)</f>
        <v>0.5416139045893974</v>
      </c>
      <c r="AO51" s="702">
        <f>$AH51*(1-'Tier3Phase-in'!$P$12)</f>
        <v>0.54045825614432763</v>
      </c>
      <c r="AP51" s="702">
        <f>$AH51*(1-'Tier3Phase-in'!$Q$12)</f>
        <v>0.53930260769925786</v>
      </c>
      <c r="AQ51" s="705">
        <f>'Raw emissions'!Y23*0.5+'Raw emissions'!Y17*0.5</f>
        <v>0.40528442904025297</v>
      </c>
      <c r="AR51" s="706">
        <f>'Raw emissions'!Z23*0.5+'Raw emissions'!Z17*0.5</f>
        <v>0.14194951964193617</v>
      </c>
      <c r="AS51" s="702">
        <f>$AR51*(1-'Tier3Phase-in'!$J$12)</f>
        <v>0.14194951964193617</v>
      </c>
      <c r="AT51" s="702">
        <f>$AR51*(1-'Tier3Phase-in'!$K$12)</f>
        <v>0.12293842326131972</v>
      </c>
      <c r="AU51" s="702">
        <f>$AR51*(1-'Tier3Phase-in'!$L$12)</f>
        <v>0.10807520245465595</v>
      </c>
      <c r="AV51" s="702">
        <f>$AR51*(1-'Tier3Phase-in'!$M$12)</f>
        <v>0.10202621724264162</v>
      </c>
      <c r="AW51" s="702">
        <f>$AR51*(1-'Tier3Phase-in'!$N$12)</f>
        <v>9.6703110256069022E-2</v>
      </c>
      <c r="AX51" s="702">
        <f>$AR51*(1-'Tier3Phase-in'!$O$12)</f>
        <v>8.9098671703822421E-2</v>
      </c>
      <c r="AY51" s="702">
        <f>$AR51*(1-'Tier3Phase-in'!$P$12)</f>
        <v>8.8908560740016254E-2</v>
      </c>
      <c r="AZ51" s="702">
        <f>$AR51*(1-'Tier3Phase-in'!$Q$12)</f>
        <v>8.8718449776210101E-2</v>
      </c>
      <c r="BA51" s="705">
        <f>'Raw emissions'!AK23*0.5+'Raw emissions'!AK17*0.5</f>
        <v>7.7006964515964921E-2</v>
      </c>
      <c r="BB51" s="708">
        <f>'Raw emissions'!AL23*0.5+'Raw emissions'!AL17*0.5</f>
        <v>1.0465592312035906E-3</v>
      </c>
      <c r="BC51" s="703">
        <f>$BB51*(1-'Tier3Phase-in'!$J$12)</f>
        <v>1.0465592312035906E-3</v>
      </c>
      <c r="BD51" s="703">
        <f>$BB51*(1-'Tier3Phase-in'!$K$12)</f>
        <v>9.0639504845310974E-4</v>
      </c>
      <c r="BE51" s="703">
        <f>$BB51*(1-'Tier3Phase-in'!$L$12)</f>
        <v>7.9681214193909745E-4</v>
      </c>
      <c r="BF51" s="703">
        <f>$BB51*(1-'Tier3Phase-in'!$M$12)</f>
        <v>7.5221444742758074E-4</v>
      </c>
      <c r="BG51" s="703">
        <f>$BB51*(1-'Tier3Phase-in'!$N$12)</f>
        <v>7.1296847625744615E-4</v>
      </c>
      <c r="BH51" s="703">
        <f>$BB51*(1-'Tier3Phase-in'!$O$12)</f>
        <v>6.569028031572536E-4</v>
      </c>
      <c r="BI51" s="703">
        <f>$BB51*(1-'Tier3Phase-in'!$P$12)</f>
        <v>6.5550116132974889E-4</v>
      </c>
      <c r="BJ51" s="703">
        <f>$BB51*(1-'Tier3Phase-in'!$Q$12)</f>
        <v>6.5409951950224417E-4</v>
      </c>
      <c r="BK51" s="705">
        <f>'Raw emissions'!AG23*0.5+'Raw emissions'!AG17*0.5</f>
        <v>0.10510254476502623</v>
      </c>
      <c r="BL51" s="708">
        <f>'Raw emissions'!AI23*0.5+'Raw emissions'!AI17*0.5</f>
        <v>5.3058262703911396E-3</v>
      </c>
      <c r="BM51" s="703">
        <f>$BL51*(1-'Tier3Phase-in'!$J$12)</f>
        <v>5.3058262703911396E-3</v>
      </c>
      <c r="BN51" s="703">
        <f>$BL51*(1-'Tier3Phase-in'!$K$12)</f>
        <v>4.5952245377494693E-3</v>
      </c>
      <c r="BO51" s="703">
        <f>$BL51*(1-'Tier3Phase-in'!$L$12)</f>
        <v>4.0396631831387088E-3</v>
      </c>
      <c r="BP51" s="703">
        <f>$BL51*(1-'Tier3Phase-in'!$M$12)</f>
        <v>3.8135626318436316E-3</v>
      </c>
      <c r="BQ51" s="703">
        <f>$BL51*(1-'Tier3Phase-in'!$N$12)</f>
        <v>3.6145941467039641E-3</v>
      </c>
      <c r="BR51" s="703">
        <f>$BL51*(1-'Tier3Phase-in'!$O$12)</f>
        <v>3.3303534536472949E-3</v>
      </c>
      <c r="BS51" s="703">
        <f>$BL51*(1-'Tier3Phase-in'!$P$12)</f>
        <v>3.3232474363208788E-3</v>
      </c>
      <c r="BT51" s="703">
        <f>$BL51*(1-'Tier3Phase-in'!$Q$12)</f>
        <v>3.3161414189944623E-3</v>
      </c>
      <c r="BU51" s="705">
        <f>'Raw emissions'!G23*0.5+'Raw emissions'!G17*0.5</f>
        <v>9.0081744270220209E-3</v>
      </c>
      <c r="BV51" s="708">
        <f>'Raw emissions'!H23*0.5+'Raw emissions'!H17*0.5</f>
        <v>5.8471838478579407E-3</v>
      </c>
      <c r="BW51" s="703">
        <f>(1-'Tier3Phase-in'!$J$20)*BV51</f>
        <v>1.9880425082716997E-3</v>
      </c>
      <c r="BX51" s="705">
        <f>'Raw emissions'!V23*0.5+'Raw emissions'!V17*0.5</f>
        <v>1.9851336065397243E-3</v>
      </c>
      <c r="BY51" s="708">
        <f>'Raw emissions'!W23*0.5+'Raw emissions'!W17*0.5</f>
        <v>1.9761463105834789E-3</v>
      </c>
      <c r="BZ51" s="705">
        <f>'Raw emissions'!S23*0.5+'Raw emissions'!S17*0.5</f>
        <v>2.8117075533197122E-3</v>
      </c>
      <c r="CA51" s="708">
        <f>'Raw emissions'!T23*0.5+'Raw emissions'!T17*0.5</f>
        <v>2.2928426708990206E-3</v>
      </c>
    </row>
    <row r="52" spans="1:79" x14ac:dyDescent="0.2">
      <c r="A52" s="690" t="str">
        <f>Technologies!C120</f>
        <v>TMDSLIM</v>
      </c>
      <c r="B52" s="690" t="str">
        <f>Technologies!D120</f>
        <v>Medium Duty Truck, Improved Diesel</v>
      </c>
      <c r="C52" s="705">
        <f>C51</f>
        <v>2.8368308204398591</v>
      </c>
      <c r="D52" s="706">
        <f>D51</f>
        <v>0.88771540779407565</v>
      </c>
      <c r="E52" s="702">
        <f>$D52*(1-'Tier3Phase-in'!$J$12)</f>
        <v>0.88771540779407565</v>
      </c>
      <c r="F52" s="702">
        <f>$D52*(1-'Tier3Phase-in'!$K$12)</f>
        <v>0.76882495139308338</v>
      </c>
      <c r="G52" s="702">
        <f>$D52*(1-'Tier3Phase-in'!$L$12)</f>
        <v>0.6758742309341258</v>
      </c>
      <c r="H52" s="702">
        <f>$D52*(1-'Tier3Phase-in'!$M$12)</f>
        <v>0.63804544935199192</v>
      </c>
      <c r="I52" s="702">
        <f>$D52*(1-'Tier3Phase-in'!$N$12)</f>
        <v>0.60475612155971403</v>
      </c>
      <c r="J52" s="702">
        <f>$D52*(1-'Tier3Phase-in'!$O$12)</f>
        <v>0.55719993899931697</v>
      </c>
      <c r="K52" s="702">
        <f>$D52*(1-'Tier3Phase-in'!$P$12)</f>
        <v>0.55601103443530719</v>
      </c>
      <c r="L52" s="702">
        <f>$D52*(1-'Tier3Phase-in'!$Q$12)</f>
        <v>0.55482212987129731</v>
      </c>
      <c r="M52" s="705">
        <f>M51</f>
        <v>0.19606208140753156</v>
      </c>
      <c r="N52" s="706">
        <f>N51</f>
        <v>6.4640002303018501E-2</v>
      </c>
      <c r="O52" s="702">
        <f>$N52*(1-'Tier3Phase-in'!$J$12)</f>
        <v>6.4640002303018501E-2</v>
      </c>
      <c r="P52" s="702">
        <f>$N52*(1-'Tier3Phase-in'!$K$12)</f>
        <v>5.598285913743567E-2</v>
      </c>
      <c r="Q52" s="702">
        <f>$N52*(1-'Tier3Phase-in'!$L$12)</f>
        <v>4.9214547207979992E-2</v>
      </c>
      <c r="R52" s="702">
        <f>$N52*(1-'Tier3Phase-in'!$M$12)</f>
        <v>4.6460001655294549E-2</v>
      </c>
      <c r="S52" s="702">
        <f>$N52*(1-'Tier3Phase-in'!$N$12)</f>
        <v>4.4036001568931359E-2</v>
      </c>
      <c r="T52" s="702">
        <f>$N52*(1-'Tier3Phase-in'!$O$12)</f>
        <v>4.0573144302698212E-2</v>
      </c>
      <c r="U52" s="702">
        <f>$N52*(1-'Tier3Phase-in'!$P$12)</f>
        <v>4.0486572871042389E-2</v>
      </c>
      <c r="V52" s="702">
        <f>$N52*(1-'Tier3Phase-in'!$Q$12)</f>
        <v>4.040000143938656E-2</v>
      </c>
      <c r="W52" s="705">
        <f>W51</f>
        <v>0.15275013113345309</v>
      </c>
      <c r="X52" s="706">
        <f>X51</f>
        <v>2.5265839382814952E-2</v>
      </c>
      <c r="Y52" s="702">
        <f>$X52*(1-'Tier3Phase-in'!$J$12)</f>
        <v>2.5265839382814952E-2</v>
      </c>
      <c r="Z52" s="702">
        <f>$X52*(1-'Tier3Phase-in'!$K$12)</f>
        <v>2.1882021608330807E-2</v>
      </c>
      <c r="AA52" s="702">
        <f>$X52*(1-'Tier3Phase-in'!$L$12)</f>
        <v>1.9236491348279566E-2</v>
      </c>
      <c r="AB52" s="702">
        <f>$X52*(1-'Tier3Phase-in'!$M$12)</f>
        <v>1.8159822056398246E-2</v>
      </c>
      <c r="AC52" s="702">
        <f>$X52*(1-'Tier3Phase-in'!$N$12)</f>
        <v>1.7212353079542685E-2</v>
      </c>
      <c r="AD52" s="702">
        <f>$X52*(1-'Tier3Phase-in'!$O$12)</f>
        <v>1.5858825969749024E-2</v>
      </c>
      <c r="AE52" s="702">
        <f>$X52*(1-'Tier3Phase-in'!$P$12)</f>
        <v>1.5824987792004183E-2</v>
      </c>
      <c r="AF52" s="702">
        <f>$X52*(1-'Tier3Phase-in'!$Q$12)</f>
        <v>1.5791149614259346E-2</v>
      </c>
      <c r="AG52" s="705">
        <f>AG51</f>
        <v>1.8260545122076008</v>
      </c>
      <c r="AH52" s="706">
        <f>AH51</f>
        <v>0.86288417231881254</v>
      </c>
      <c r="AI52" s="702">
        <f>$AH52*(1-'Tier3Phase-in'!$J$12)</f>
        <v>0.86288417231881254</v>
      </c>
      <c r="AJ52" s="702">
        <f>$AH52*(1-'Tier3Phase-in'!$K$12)</f>
        <v>0.74731932781182875</v>
      </c>
      <c r="AK52" s="702">
        <f>$AH52*(1-'Tier3Phase-in'!$L$12)</f>
        <v>0.65696863119727766</v>
      </c>
      <c r="AL52" s="702">
        <f>$AH52*(1-'Tier3Phase-in'!$M$12)</f>
        <v>0.6201979988541465</v>
      </c>
      <c r="AM52" s="702">
        <f>$AH52*(1-'Tier3Phase-in'!$N$12)</f>
        <v>0.58783984239219111</v>
      </c>
      <c r="AN52" s="702">
        <f>$AH52*(1-'Tier3Phase-in'!$O$12)</f>
        <v>0.5416139045893974</v>
      </c>
      <c r="AO52" s="702">
        <f>$AH52*(1-'Tier3Phase-in'!$P$12)</f>
        <v>0.54045825614432763</v>
      </c>
      <c r="AP52" s="702">
        <f>$AH52*(1-'Tier3Phase-in'!$Q$12)</f>
        <v>0.53930260769925786</v>
      </c>
      <c r="AQ52" s="705">
        <f>AQ51</f>
        <v>0.40528442904025297</v>
      </c>
      <c r="AR52" s="706">
        <f>AR51</f>
        <v>0.14194951964193617</v>
      </c>
      <c r="AS52" s="702">
        <f>$AR52*(1-'Tier3Phase-in'!$J$12)</f>
        <v>0.14194951964193617</v>
      </c>
      <c r="AT52" s="702">
        <f>$AR52*(1-'Tier3Phase-in'!$K$12)</f>
        <v>0.12293842326131972</v>
      </c>
      <c r="AU52" s="702">
        <f>$AR52*(1-'Tier3Phase-in'!$L$12)</f>
        <v>0.10807520245465595</v>
      </c>
      <c r="AV52" s="702">
        <f>$AR52*(1-'Tier3Phase-in'!$M$12)</f>
        <v>0.10202621724264162</v>
      </c>
      <c r="AW52" s="702">
        <f>$AR52*(1-'Tier3Phase-in'!$N$12)</f>
        <v>9.6703110256069022E-2</v>
      </c>
      <c r="AX52" s="702">
        <f>$AR52*(1-'Tier3Phase-in'!$O$12)</f>
        <v>8.9098671703822421E-2</v>
      </c>
      <c r="AY52" s="702">
        <f>$AR52*(1-'Tier3Phase-in'!$P$12)</f>
        <v>8.8908560740016254E-2</v>
      </c>
      <c r="AZ52" s="702">
        <f>$AR52*(1-'Tier3Phase-in'!$Q$12)</f>
        <v>8.8718449776210101E-2</v>
      </c>
      <c r="BA52" s="705">
        <f>BA51</f>
        <v>7.7006964515964921E-2</v>
      </c>
      <c r="BB52" s="708">
        <f>BB51</f>
        <v>1.0465592312035906E-3</v>
      </c>
      <c r="BC52" s="703">
        <f>$BB52*(1-'Tier3Phase-in'!$J$12)</f>
        <v>1.0465592312035906E-3</v>
      </c>
      <c r="BD52" s="703">
        <f>$BB52*(1-'Tier3Phase-in'!$K$12)</f>
        <v>9.0639504845310974E-4</v>
      </c>
      <c r="BE52" s="703">
        <f>$BB52*(1-'Tier3Phase-in'!$L$12)</f>
        <v>7.9681214193909745E-4</v>
      </c>
      <c r="BF52" s="703">
        <f>$BB52*(1-'Tier3Phase-in'!$M$12)</f>
        <v>7.5221444742758074E-4</v>
      </c>
      <c r="BG52" s="703">
        <f>$BB52*(1-'Tier3Phase-in'!$N$12)</f>
        <v>7.1296847625744615E-4</v>
      </c>
      <c r="BH52" s="703">
        <f>$BB52*(1-'Tier3Phase-in'!$O$12)</f>
        <v>6.569028031572536E-4</v>
      </c>
      <c r="BI52" s="703">
        <f>$BB52*(1-'Tier3Phase-in'!$P$12)</f>
        <v>6.5550116132974889E-4</v>
      </c>
      <c r="BJ52" s="703">
        <f>$BB52*(1-'Tier3Phase-in'!$Q$12)</f>
        <v>6.5409951950224417E-4</v>
      </c>
      <c r="BK52" s="705">
        <f>BK51</f>
        <v>0.10510254476502623</v>
      </c>
      <c r="BL52" s="708">
        <f>BL51</f>
        <v>5.3058262703911396E-3</v>
      </c>
      <c r="BM52" s="703">
        <f>$BL52*(1-'Tier3Phase-in'!$J$12)</f>
        <v>5.3058262703911396E-3</v>
      </c>
      <c r="BN52" s="703">
        <f>$BL52*(1-'Tier3Phase-in'!$K$12)</f>
        <v>4.5952245377494693E-3</v>
      </c>
      <c r="BO52" s="703">
        <f>$BL52*(1-'Tier3Phase-in'!$L$12)</f>
        <v>4.0396631831387088E-3</v>
      </c>
      <c r="BP52" s="703">
        <f>$BL52*(1-'Tier3Phase-in'!$M$12)</f>
        <v>3.8135626318436316E-3</v>
      </c>
      <c r="BQ52" s="703">
        <f>$BL52*(1-'Tier3Phase-in'!$N$12)</f>
        <v>3.6145941467039641E-3</v>
      </c>
      <c r="BR52" s="703">
        <f>$BL52*(1-'Tier3Phase-in'!$O$12)</f>
        <v>3.3303534536472949E-3</v>
      </c>
      <c r="BS52" s="703">
        <f>$BL52*(1-'Tier3Phase-in'!$P$12)</f>
        <v>3.3232474363208788E-3</v>
      </c>
      <c r="BT52" s="703">
        <f>$BL52*(1-'Tier3Phase-in'!$Q$12)</f>
        <v>3.3161414189944623E-3</v>
      </c>
      <c r="BU52" s="705">
        <f>BU51</f>
        <v>9.0081744270220209E-3</v>
      </c>
      <c r="BV52" s="708">
        <f>BV51</f>
        <v>5.8471838478579407E-3</v>
      </c>
      <c r="BW52" s="703">
        <f>(1-'Tier3Phase-in'!$J$20)*BV52</f>
        <v>1.9880425082716997E-3</v>
      </c>
      <c r="BX52" s="705">
        <f t="shared" ref="BX52:CA53" si="81">BX51</f>
        <v>1.9851336065397243E-3</v>
      </c>
      <c r="BY52" s="708">
        <f t="shared" si="81"/>
        <v>1.9761463105834789E-3</v>
      </c>
      <c r="BZ52" s="705">
        <f t="shared" si="81"/>
        <v>2.8117075533197122E-3</v>
      </c>
      <c r="CA52" s="708">
        <f t="shared" si="81"/>
        <v>2.2928426708990206E-3</v>
      </c>
    </row>
    <row r="53" spans="1:79" x14ac:dyDescent="0.2">
      <c r="A53" s="690" t="str">
        <f>Technologies!C121</f>
        <v>TMDSLADV</v>
      </c>
      <c r="B53" s="690" t="str">
        <f>Technologies!D121</f>
        <v>Medium Duty Truck, Advanced Diesel</v>
      </c>
      <c r="C53" s="705">
        <f>C52</f>
        <v>2.8368308204398591</v>
      </c>
      <c r="D53" s="706">
        <f>D52</f>
        <v>0.88771540779407565</v>
      </c>
      <c r="E53" s="702">
        <f>$D53*(1-'Tier3Phase-in'!$J$12)</f>
        <v>0.88771540779407565</v>
      </c>
      <c r="F53" s="702">
        <f>$D53*(1-'Tier3Phase-in'!$K$12)</f>
        <v>0.76882495139308338</v>
      </c>
      <c r="G53" s="702">
        <f>$D53*(1-'Tier3Phase-in'!$L$12)</f>
        <v>0.6758742309341258</v>
      </c>
      <c r="H53" s="702">
        <f>$D53*(1-'Tier3Phase-in'!$M$12)</f>
        <v>0.63804544935199192</v>
      </c>
      <c r="I53" s="702">
        <f>$D53*(1-'Tier3Phase-in'!$N$12)</f>
        <v>0.60475612155971403</v>
      </c>
      <c r="J53" s="702">
        <f>$D53*(1-'Tier3Phase-in'!$O$12)</f>
        <v>0.55719993899931697</v>
      </c>
      <c r="K53" s="702">
        <f>$D53*(1-'Tier3Phase-in'!$P$12)</f>
        <v>0.55601103443530719</v>
      </c>
      <c r="L53" s="702">
        <f>$D53*(1-'Tier3Phase-in'!$Q$12)</f>
        <v>0.55482212987129731</v>
      </c>
      <c r="M53" s="705">
        <f>M52</f>
        <v>0.19606208140753156</v>
      </c>
      <c r="N53" s="706">
        <f>N52</f>
        <v>6.4640002303018501E-2</v>
      </c>
      <c r="O53" s="702">
        <f>$N53*(1-'Tier3Phase-in'!$J$12)</f>
        <v>6.4640002303018501E-2</v>
      </c>
      <c r="P53" s="702">
        <f>$N53*(1-'Tier3Phase-in'!$K$12)</f>
        <v>5.598285913743567E-2</v>
      </c>
      <c r="Q53" s="702">
        <f>$N53*(1-'Tier3Phase-in'!$L$12)</f>
        <v>4.9214547207979992E-2</v>
      </c>
      <c r="R53" s="702">
        <f>$N53*(1-'Tier3Phase-in'!$M$12)</f>
        <v>4.6460001655294549E-2</v>
      </c>
      <c r="S53" s="702">
        <f>$N53*(1-'Tier3Phase-in'!$N$12)</f>
        <v>4.4036001568931359E-2</v>
      </c>
      <c r="T53" s="702">
        <f>$N53*(1-'Tier3Phase-in'!$O$12)</f>
        <v>4.0573144302698212E-2</v>
      </c>
      <c r="U53" s="702">
        <f>$N53*(1-'Tier3Phase-in'!$P$12)</f>
        <v>4.0486572871042389E-2</v>
      </c>
      <c r="V53" s="702">
        <f>$N53*(1-'Tier3Phase-in'!$Q$12)</f>
        <v>4.040000143938656E-2</v>
      </c>
      <c r="W53" s="705">
        <f>W52</f>
        <v>0.15275013113345309</v>
      </c>
      <c r="X53" s="706">
        <f>X52</f>
        <v>2.5265839382814952E-2</v>
      </c>
      <c r="Y53" s="702">
        <f>$X53*(1-'Tier3Phase-in'!$J$12)</f>
        <v>2.5265839382814952E-2</v>
      </c>
      <c r="Z53" s="702">
        <f>$X53*(1-'Tier3Phase-in'!$K$12)</f>
        <v>2.1882021608330807E-2</v>
      </c>
      <c r="AA53" s="702">
        <f>$X53*(1-'Tier3Phase-in'!$L$12)</f>
        <v>1.9236491348279566E-2</v>
      </c>
      <c r="AB53" s="702">
        <f>$X53*(1-'Tier3Phase-in'!$M$12)</f>
        <v>1.8159822056398246E-2</v>
      </c>
      <c r="AC53" s="702">
        <f>$X53*(1-'Tier3Phase-in'!$N$12)</f>
        <v>1.7212353079542685E-2</v>
      </c>
      <c r="AD53" s="702">
        <f>$X53*(1-'Tier3Phase-in'!$O$12)</f>
        <v>1.5858825969749024E-2</v>
      </c>
      <c r="AE53" s="702">
        <f>$X53*(1-'Tier3Phase-in'!$P$12)</f>
        <v>1.5824987792004183E-2</v>
      </c>
      <c r="AF53" s="702">
        <f>$X53*(1-'Tier3Phase-in'!$Q$12)</f>
        <v>1.5791149614259346E-2</v>
      </c>
      <c r="AG53" s="705">
        <f>AG52</f>
        <v>1.8260545122076008</v>
      </c>
      <c r="AH53" s="706">
        <f>AH52</f>
        <v>0.86288417231881254</v>
      </c>
      <c r="AI53" s="702">
        <f>$AH53*(1-'Tier3Phase-in'!$J$12)</f>
        <v>0.86288417231881254</v>
      </c>
      <c r="AJ53" s="702">
        <f>$AH53*(1-'Tier3Phase-in'!$K$12)</f>
        <v>0.74731932781182875</v>
      </c>
      <c r="AK53" s="702">
        <f>$AH53*(1-'Tier3Phase-in'!$L$12)</f>
        <v>0.65696863119727766</v>
      </c>
      <c r="AL53" s="702">
        <f>$AH53*(1-'Tier3Phase-in'!$M$12)</f>
        <v>0.6201979988541465</v>
      </c>
      <c r="AM53" s="702">
        <f>$AH53*(1-'Tier3Phase-in'!$N$12)</f>
        <v>0.58783984239219111</v>
      </c>
      <c r="AN53" s="702">
        <f>$AH53*(1-'Tier3Phase-in'!$O$12)</f>
        <v>0.5416139045893974</v>
      </c>
      <c r="AO53" s="702">
        <f>$AH53*(1-'Tier3Phase-in'!$P$12)</f>
        <v>0.54045825614432763</v>
      </c>
      <c r="AP53" s="702">
        <f>$AH53*(1-'Tier3Phase-in'!$Q$12)</f>
        <v>0.53930260769925786</v>
      </c>
      <c r="AQ53" s="705">
        <f>AQ52</f>
        <v>0.40528442904025297</v>
      </c>
      <c r="AR53" s="706">
        <f>AR52</f>
        <v>0.14194951964193617</v>
      </c>
      <c r="AS53" s="702">
        <f>$AR53*(1-'Tier3Phase-in'!$J$12)</f>
        <v>0.14194951964193617</v>
      </c>
      <c r="AT53" s="702">
        <f>$AR53*(1-'Tier3Phase-in'!$K$12)</f>
        <v>0.12293842326131972</v>
      </c>
      <c r="AU53" s="702">
        <f>$AR53*(1-'Tier3Phase-in'!$L$12)</f>
        <v>0.10807520245465595</v>
      </c>
      <c r="AV53" s="702">
        <f>$AR53*(1-'Tier3Phase-in'!$M$12)</f>
        <v>0.10202621724264162</v>
      </c>
      <c r="AW53" s="702">
        <f>$AR53*(1-'Tier3Phase-in'!$N$12)</f>
        <v>9.6703110256069022E-2</v>
      </c>
      <c r="AX53" s="702">
        <f>$AR53*(1-'Tier3Phase-in'!$O$12)</f>
        <v>8.9098671703822421E-2</v>
      </c>
      <c r="AY53" s="702">
        <f>$AR53*(1-'Tier3Phase-in'!$P$12)</f>
        <v>8.8908560740016254E-2</v>
      </c>
      <c r="AZ53" s="702">
        <f>$AR53*(1-'Tier3Phase-in'!$Q$12)</f>
        <v>8.8718449776210101E-2</v>
      </c>
      <c r="BA53" s="705">
        <f>BA52</f>
        <v>7.7006964515964921E-2</v>
      </c>
      <c r="BB53" s="708">
        <f>BB52</f>
        <v>1.0465592312035906E-3</v>
      </c>
      <c r="BC53" s="703">
        <f>$BB53*(1-'Tier3Phase-in'!$J$12)</f>
        <v>1.0465592312035906E-3</v>
      </c>
      <c r="BD53" s="703">
        <f>$BB53*(1-'Tier3Phase-in'!$K$12)</f>
        <v>9.0639504845310974E-4</v>
      </c>
      <c r="BE53" s="703">
        <f>$BB53*(1-'Tier3Phase-in'!$L$12)</f>
        <v>7.9681214193909745E-4</v>
      </c>
      <c r="BF53" s="703">
        <f>$BB53*(1-'Tier3Phase-in'!$M$12)</f>
        <v>7.5221444742758074E-4</v>
      </c>
      <c r="BG53" s="703">
        <f>$BB53*(1-'Tier3Phase-in'!$N$12)</f>
        <v>7.1296847625744615E-4</v>
      </c>
      <c r="BH53" s="703">
        <f>$BB53*(1-'Tier3Phase-in'!$O$12)</f>
        <v>6.569028031572536E-4</v>
      </c>
      <c r="BI53" s="703">
        <f>$BB53*(1-'Tier3Phase-in'!$P$12)</f>
        <v>6.5550116132974889E-4</v>
      </c>
      <c r="BJ53" s="703">
        <f>$BB53*(1-'Tier3Phase-in'!$Q$12)</f>
        <v>6.5409951950224417E-4</v>
      </c>
      <c r="BK53" s="705">
        <f>BK52</f>
        <v>0.10510254476502623</v>
      </c>
      <c r="BL53" s="708">
        <f>BL52</f>
        <v>5.3058262703911396E-3</v>
      </c>
      <c r="BM53" s="703">
        <f>$BL53*(1-'Tier3Phase-in'!$J$12)</f>
        <v>5.3058262703911396E-3</v>
      </c>
      <c r="BN53" s="703">
        <f>$BL53*(1-'Tier3Phase-in'!$K$12)</f>
        <v>4.5952245377494693E-3</v>
      </c>
      <c r="BO53" s="703">
        <f>$BL53*(1-'Tier3Phase-in'!$L$12)</f>
        <v>4.0396631831387088E-3</v>
      </c>
      <c r="BP53" s="703">
        <f>$BL53*(1-'Tier3Phase-in'!$M$12)</f>
        <v>3.8135626318436316E-3</v>
      </c>
      <c r="BQ53" s="703">
        <f>$BL53*(1-'Tier3Phase-in'!$N$12)</f>
        <v>3.6145941467039641E-3</v>
      </c>
      <c r="BR53" s="703">
        <f>$BL53*(1-'Tier3Phase-in'!$O$12)</f>
        <v>3.3303534536472949E-3</v>
      </c>
      <c r="BS53" s="703">
        <f>$BL53*(1-'Tier3Phase-in'!$P$12)</f>
        <v>3.3232474363208788E-3</v>
      </c>
      <c r="BT53" s="703">
        <f>$BL53*(1-'Tier3Phase-in'!$Q$12)</f>
        <v>3.3161414189944623E-3</v>
      </c>
      <c r="BU53" s="705">
        <f>BU52</f>
        <v>9.0081744270220209E-3</v>
      </c>
      <c r="BV53" s="708">
        <f>BV52</f>
        <v>5.8471838478579407E-3</v>
      </c>
      <c r="BW53" s="703">
        <f>(1-'Tier3Phase-in'!$J$20)*BV53</f>
        <v>1.9880425082716997E-3</v>
      </c>
      <c r="BX53" s="705">
        <f t="shared" si="81"/>
        <v>1.9851336065397243E-3</v>
      </c>
      <c r="BY53" s="708">
        <f t="shared" si="81"/>
        <v>1.9761463105834789E-3</v>
      </c>
      <c r="BZ53" s="705">
        <f t="shared" si="81"/>
        <v>2.8117075533197122E-3</v>
      </c>
      <c r="CA53" s="708">
        <f t="shared" si="81"/>
        <v>2.2928426708990206E-3</v>
      </c>
    </row>
    <row r="54" spans="1:79" x14ac:dyDescent="0.2">
      <c r="A54" s="690" t="str">
        <f>Technologies!C122</f>
        <v>TMDSLAH</v>
      </c>
      <c r="B54" s="690" t="str">
        <f>Technologies!D122</f>
        <v>Medium Duty Truck, Advanced Hybrid Diesel</v>
      </c>
      <c r="C54" s="705">
        <f>'Raw emissions'!D23*0.5+'Raw emissions'!D17*0.5</f>
        <v>2.8368308204398591</v>
      </c>
      <c r="D54" s="706">
        <f>'Raw emissions'!E23*0.5+'Raw emissions'!E17*0.5</f>
        <v>0.88771540779407565</v>
      </c>
      <c r="E54" s="702">
        <f>$D54*(1-'Tier3Phase-in'!$J$12)</f>
        <v>0.88771540779407565</v>
      </c>
      <c r="F54" s="702">
        <f>$D54*(1-'Tier3Phase-in'!$K$12)</f>
        <v>0.76882495139308338</v>
      </c>
      <c r="G54" s="702">
        <f>$D54*(1-'Tier3Phase-in'!$L$12)</f>
        <v>0.6758742309341258</v>
      </c>
      <c r="H54" s="702">
        <f>$D54*(1-'Tier3Phase-in'!$M$12)</f>
        <v>0.63804544935199192</v>
      </c>
      <c r="I54" s="702">
        <f>$D54*(1-'Tier3Phase-in'!$N$12)</f>
        <v>0.60475612155971403</v>
      </c>
      <c r="J54" s="702">
        <f>$D54*(1-'Tier3Phase-in'!$O$12)</f>
        <v>0.55719993899931697</v>
      </c>
      <c r="K54" s="702">
        <f>$D54*(1-'Tier3Phase-in'!$P$12)</f>
        <v>0.55601103443530719</v>
      </c>
      <c r="L54" s="702">
        <f>$D54*(1-'Tier3Phase-in'!$Q$12)</f>
        <v>0.55482212987129731</v>
      </c>
      <c r="M54" s="705">
        <f>'Raw emissions'!J23*0.5+'Raw emissions'!J17*0.5</f>
        <v>0.19606208140753156</v>
      </c>
      <c r="N54" s="706">
        <f>'Raw emissions'!K23*0.5+'Raw emissions'!K17*0.5</f>
        <v>6.4640002303018501E-2</v>
      </c>
      <c r="O54" s="702">
        <f>$N54*(1-'Tier3Phase-in'!$J$12)</f>
        <v>6.4640002303018501E-2</v>
      </c>
      <c r="P54" s="702">
        <f>$N54*(1-'Tier3Phase-in'!$K$12)</f>
        <v>5.598285913743567E-2</v>
      </c>
      <c r="Q54" s="702">
        <f>$N54*(1-'Tier3Phase-in'!$L$12)</f>
        <v>4.9214547207979992E-2</v>
      </c>
      <c r="R54" s="702">
        <f>$N54*(1-'Tier3Phase-in'!$M$12)</f>
        <v>4.6460001655294549E-2</v>
      </c>
      <c r="S54" s="702">
        <f>$N54*(1-'Tier3Phase-in'!$N$12)</f>
        <v>4.4036001568931359E-2</v>
      </c>
      <c r="T54" s="702">
        <f>$N54*(1-'Tier3Phase-in'!$O$12)</f>
        <v>4.0573144302698212E-2</v>
      </c>
      <c r="U54" s="702">
        <f>$N54*(1-'Tier3Phase-in'!$P$12)</f>
        <v>4.0486572871042389E-2</v>
      </c>
      <c r="V54" s="702">
        <f>$N54*(1-'Tier3Phase-in'!$Q$12)</f>
        <v>4.040000143938656E-2</v>
      </c>
      <c r="W54" s="705">
        <f>'Raw emissions'!M23*0.5+'Raw emissions'!M17*0.5</f>
        <v>0.15275013113345309</v>
      </c>
      <c r="X54" s="706">
        <f>'Raw emissions'!N23*0.5+'Raw emissions'!N17*0.5</f>
        <v>2.5265839382814952E-2</v>
      </c>
      <c r="Y54" s="702">
        <f>$X54*(1-'Tier3Phase-in'!$J$12)</f>
        <v>2.5265839382814952E-2</v>
      </c>
      <c r="Z54" s="702">
        <f>$X54*(1-'Tier3Phase-in'!$K$12)</f>
        <v>2.1882021608330807E-2</v>
      </c>
      <c r="AA54" s="702">
        <f>$X54*(1-'Tier3Phase-in'!$L$12)</f>
        <v>1.9236491348279566E-2</v>
      </c>
      <c r="AB54" s="702">
        <f>$X54*(1-'Tier3Phase-in'!$M$12)</f>
        <v>1.8159822056398246E-2</v>
      </c>
      <c r="AC54" s="702">
        <f>$X54*(1-'Tier3Phase-in'!$N$12)</f>
        <v>1.7212353079542685E-2</v>
      </c>
      <c r="AD54" s="702">
        <f>$X54*(1-'Tier3Phase-in'!$O$12)</f>
        <v>1.5858825969749024E-2</v>
      </c>
      <c r="AE54" s="702">
        <f>$X54*(1-'Tier3Phase-in'!$P$12)</f>
        <v>1.5824987792004183E-2</v>
      </c>
      <c r="AF54" s="702">
        <f>$X54*(1-'Tier3Phase-in'!$Q$12)</f>
        <v>1.5791149614259346E-2</v>
      </c>
      <c r="AG54" s="705">
        <f>'Raw emissions'!P23*0.5+'Raw emissions'!P17*0.5</f>
        <v>1.8260545122076008</v>
      </c>
      <c r="AH54" s="706">
        <f>'Raw emissions'!Q23*0.5+'Raw emissions'!Q17*0.5</f>
        <v>0.86288417231881254</v>
      </c>
      <c r="AI54" s="702">
        <f>$AH54*(1-'Tier3Phase-in'!$J$12)</f>
        <v>0.86288417231881254</v>
      </c>
      <c r="AJ54" s="702">
        <f>$AH54*(1-'Tier3Phase-in'!$K$12)</f>
        <v>0.74731932781182875</v>
      </c>
      <c r="AK54" s="702">
        <f>$AH54*(1-'Tier3Phase-in'!$L$12)</f>
        <v>0.65696863119727766</v>
      </c>
      <c r="AL54" s="702">
        <f>$AH54*(1-'Tier3Phase-in'!$M$12)</f>
        <v>0.6201979988541465</v>
      </c>
      <c r="AM54" s="702">
        <f>$AH54*(1-'Tier3Phase-in'!$N$12)</f>
        <v>0.58783984239219111</v>
      </c>
      <c r="AN54" s="702">
        <f>$AH54*(1-'Tier3Phase-in'!$O$12)</f>
        <v>0.5416139045893974</v>
      </c>
      <c r="AO54" s="702">
        <f>$AH54*(1-'Tier3Phase-in'!$P$12)</f>
        <v>0.54045825614432763</v>
      </c>
      <c r="AP54" s="702">
        <f>$AH54*(1-'Tier3Phase-in'!$Q$12)</f>
        <v>0.53930260769925786</v>
      </c>
      <c r="AQ54" s="705">
        <f>'Raw emissions'!Y23*0.5+'Raw emissions'!Y17*0.5</f>
        <v>0.40528442904025297</v>
      </c>
      <c r="AR54" s="706">
        <f>'Raw emissions'!Z23*0.5+'Raw emissions'!Z17*0.5</f>
        <v>0.14194951964193617</v>
      </c>
      <c r="AS54" s="702">
        <f>$AR54*(1-'Tier3Phase-in'!$J$12)</f>
        <v>0.14194951964193617</v>
      </c>
      <c r="AT54" s="702">
        <f>$AR54*(1-'Tier3Phase-in'!$K$12)</f>
        <v>0.12293842326131972</v>
      </c>
      <c r="AU54" s="702">
        <f>$AR54*(1-'Tier3Phase-in'!$L$12)</f>
        <v>0.10807520245465595</v>
      </c>
      <c r="AV54" s="702">
        <f>$AR54*(1-'Tier3Phase-in'!$M$12)</f>
        <v>0.10202621724264162</v>
      </c>
      <c r="AW54" s="702">
        <f>$AR54*(1-'Tier3Phase-in'!$N$12)</f>
        <v>9.6703110256069022E-2</v>
      </c>
      <c r="AX54" s="702">
        <f>$AR54*(1-'Tier3Phase-in'!$O$12)</f>
        <v>8.9098671703822421E-2</v>
      </c>
      <c r="AY54" s="702">
        <f>$AR54*(1-'Tier3Phase-in'!$P$12)</f>
        <v>8.8908560740016254E-2</v>
      </c>
      <c r="AZ54" s="702">
        <f>$AR54*(1-'Tier3Phase-in'!$Q$12)</f>
        <v>8.8718449776210101E-2</v>
      </c>
      <c r="BA54" s="705">
        <f>'Raw emissions'!AK23*0.5+'Raw emissions'!AK17*0.5</f>
        <v>7.7006964515964921E-2</v>
      </c>
      <c r="BB54" s="708">
        <f>'Raw emissions'!AL23*0.5+'Raw emissions'!AL17*0.5</f>
        <v>1.0465592312035906E-3</v>
      </c>
      <c r="BC54" s="703">
        <f>$BB54*(1-'Tier3Phase-in'!$J$12)</f>
        <v>1.0465592312035906E-3</v>
      </c>
      <c r="BD54" s="703">
        <f>$BB54*(1-'Tier3Phase-in'!$K$12)</f>
        <v>9.0639504845310974E-4</v>
      </c>
      <c r="BE54" s="703">
        <f>$BB54*(1-'Tier3Phase-in'!$L$12)</f>
        <v>7.9681214193909745E-4</v>
      </c>
      <c r="BF54" s="703">
        <f>$BB54*(1-'Tier3Phase-in'!$M$12)</f>
        <v>7.5221444742758074E-4</v>
      </c>
      <c r="BG54" s="703">
        <f>$BB54*(1-'Tier3Phase-in'!$N$12)</f>
        <v>7.1296847625744615E-4</v>
      </c>
      <c r="BH54" s="703">
        <f>$BB54*(1-'Tier3Phase-in'!$O$12)</f>
        <v>6.569028031572536E-4</v>
      </c>
      <c r="BI54" s="703">
        <f>$BB54*(1-'Tier3Phase-in'!$P$12)</f>
        <v>6.5550116132974889E-4</v>
      </c>
      <c r="BJ54" s="703">
        <f>$BB54*(1-'Tier3Phase-in'!$Q$12)</f>
        <v>6.5409951950224417E-4</v>
      </c>
      <c r="BK54" s="705">
        <f>'Raw emissions'!AG23*0.5+'Raw emissions'!AG17*0.5</f>
        <v>0.10510254476502623</v>
      </c>
      <c r="BL54" s="708">
        <f>'Raw emissions'!AI23*0.5+'Raw emissions'!AI17*0.5</f>
        <v>5.3058262703911396E-3</v>
      </c>
      <c r="BM54" s="703">
        <f>$BL54*(1-'Tier3Phase-in'!$J$12)</f>
        <v>5.3058262703911396E-3</v>
      </c>
      <c r="BN54" s="703">
        <f>$BL54*(1-'Tier3Phase-in'!$K$12)</f>
        <v>4.5952245377494693E-3</v>
      </c>
      <c r="BO54" s="703">
        <f>$BL54*(1-'Tier3Phase-in'!$L$12)</f>
        <v>4.0396631831387088E-3</v>
      </c>
      <c r="BP54" s="703">
        <f>$BL54*(1-'Tier3Phase-in'!$M$12)</f>
        <v>3.8135626318436316E-3</v>
      </c>
      <c r="BQ54" s="703">
        <f>$BL54*(1-'Tier3Phase-in'!$N$12)</f>
        <v>3.6145941467039641E-3</v>
      </c>
      <c r="BR54" s="703">
        <f>$BL54*(1-'Tier3Phase-in'!$O$12)</f>
        <v>3.3303534536472949E-3</v>
      </c>
      <c r="BS54" s="703">
        <f>$BL54*(1-'Tier3Phase-in'!$P$12)</f>
        <v>3.3232474363208788E-3</v>
      </c>
      <c r="BT54" s="703">
        <f>$BL54*(1-'Tier3Phase-in'!$Q$12)</f>
        <v>3.3161414189944623E-3</v>
      </c>
      <c r="BU54" s="705">
        <f>'Raw emissions'!G23*0.5+'Raw emissions'!G17*0.5</f>
        <v>9.0081744270220209E-3</v>
      </c>
      <c r="BV54" s="708">
        <f>'Raw emissions'!H23*0.5+'Raw emissions'!H17*0.5</f>
        <v>5.8471838478579407E-3</v>
      </c>
      <c r="BW54" s="703">
        <f>(1-'Tier3Phase-in'!$J$20)*BV54</f>
        <v>1.9880425082716997E-3</v>
      </c>
      <c r="BX54" s="705">
        <f>'Raw emissions'!V23*0.5+'Raw emissions'!V17*0.5</f>
        <v>1.9851336065397243E-3</v>
      </c>
      <c r="BY54" s="708">
        <f>'Raw emissions'!W23*0.5+'Raw emissions'!W17*0.5</f>
        <v>1.9761463105834789E-3</v>
      </c>
      <c r="BZ54" s="705">
        <f>'Raw emissions'!S23*0.5+'Raw emissions'!S17*0.5</f>
        <v>2.8117075533197122E-3</v>
      </c>
      <c r="CA54" s="708">
        <f>'Raw emissions'!T23*0.5+'Raw emissions'!T17*0.5</f>
        <v>2.2928426708990206E-3</v>
      </c>
    </row>
    <row r="55" spans="1:79" x14ac:dyDescent="0.2">
      <c r="A55" s="690" t="str">
        <f>Technologies!C123</f>
        <v>TMB20C10</v>
      </c>
      <c r="B55" s="690" t="str">
        <f>Technologies!D123</f>
        <v>Medium Duty Truck, B20, 2010</v>
      </c>
      <c r="C55" s="705">
        <f>'Raw emissions'!D25*0.5+'Raw emissions'!D19*0.5</f>
        <v>2.8045103114783663</v>
      </c>
      <c r="D55" s="706">
        <f>'Raw emissions'!E25*0.5+'Raw emissions'!E19*0.5</f>
        <v>0.88771540779407565</v>
      </c>
      <c r="E55" s="702">
        <f>$C55</f>
        <v>2.8045103114783663</v>
      </c>
      <c r="F55" s="702">
        <f t="shared" ref="F55:L55" si="82">$C55</f>
        <v>2.8045103114783663</v>
      </c>
      <c r="G55" s="702">
        <f t="shared" si="82"/>
        <v>2.8045103114783663</v>
      </c>
      <c r="H55" s="702">
        <f t="shared" si="82"/>
        <v>2.8045103114783663</v>
      </c>
      <c r="I55" s="702">
        <f t="shared" si="82"/>
        <v>2.8045103114783663</v>
      </c>
      <c r="J55" s="702">
        <f t="shared" si="82"/>
        <v>2.8045103114783663</v>
      </c>
      <c r="K55" s="702">
        <f t="shared" si="82"/>
        <v>2.8045103114783663</v>
      </c>
      <c r="L55" s="702">
        <f t="shared" si="82"/>
        <v>2.8045103114783663</v>
      </c>
      <c r="M55" s="705">
        <f>'Raw emissions'!J25*0.5+'Raw emissions'!J19*0.5</f>
        <v>0.18721771093787512</v>
      </c>
      <c r="N55" s="706">
        <f>'Raw emissions'!K25*0.5+'Raw emissions'!K19*0.5</f>
        <v>6.4640002303018501E-2</v>
      </c>
      <c r="O55" s="702">
        <f>$M55</f>
        <v>0.18721771093787512</v>
      </c>
      <c r="P55" s="702">
        <f t="shared" ref="P55:V55" si="83">$M55</f>
        <v>0.18721771093787512</v>
      </c>
      <c r="Q55" s="702">
        <f t="shared" si="83"/>
        <v>0.18721771093787512</v>
      </c>
      <c r="R55" s="702">
        <f t="shared" si="83"/>
        <v>0.18721771093787512</v>
      </c>
      <c r="S55" s="702">
        <f t="shared" si="83"/>
        <v>0.18721771093787512</v>
      </c>
      <c r="T55" s="702">
        <f t="shared" si="83"/>
        <v>0.18721771093787512</v>
      </c>
      <c r="U55" s="702">
        <f t="shared" si="83"/>
        <v>0.18721771093787512</v>
      </c>
      <c r="V55" s="702">
        <f t="shared" si="83"/>
        <v>0.18721771093787512</v>
      </c>
      <c r="W55" s="705">
        <f>'Raw emissions'!M25*0.5+'Raw emissions'!M19*0.5</f>
        <v>0.1441707667486064</v>
      </c>
      <c r="X55" s="706">
        <f>'Raw emissions'!N25*0.5+'Raw emissions'!N19*0.5</f>
        <v>2.5265839382814952E-2</v>
      </c>
      <c r="Y55" s="702">
        <f t="shared" ref="Y55:AF55" si="84">W55</f>
        <v>0.1441707667486064</v>
      </c>
      <c r="Z55" s="702">
        <f t="shared" si="84"/>
        <v>2.5265839382814952E-2</v>
      </c>
      <c r="AA55" s="702">
        <f t="shared" si="84"/>
        <v>0.1441707667486064</v>
      </c>
      <c r="AB55" s="702">
        <f t="shared" si="84"/>
        <v>2.5265839382814952E-2</v>
      </c>
      <c r="AC55" s="702">
        <f t="shared" si="84"/>
        <v>0.1441707667486064</v>
      </c>
      <c r="AD55" s="702">
        <f t="shared" si="84"/>
        <v>2.5265839382814952E-2</v>
      </c>
      <c r="AE55" s="702">
        <f t="shared" si="84"/>
        <v>0.1441707667486064</v>
      </c>
      <c r="AF55" s="702">
        <f t="shared" si="84"/>
        <v>2.5265839382814952E-2</v>
      </c>
      <c r="AG55" s="705">
        <f>'Raw emissions'!P25*0.5+'Raw emissions'!P19*0.5</f>
        <v>1.7465577144527775</v>
      </c>
      <c r="AH55" s="706">
        <f>'Raw emissions'!Q25*0.5+'Raw emissions'!Q19*0.5</f>
        <v>0.86288417231881254</v>
      </c>
      <c r="AI55" s="702">
        <f>$AG55</f>
        <v>1.7465577144527775</v>
      </c>
      <c r="AJ55" s="702">
        <f t="shared" ref="AJ55:AP55" si="85">$AG55</f>
        <v>1.7465577144527775</v>
      </c>
      <c r="AK55" s="702">
        <f t="shared" si="85"/>
        <v>1.7465577144527775</v>
      </c>
      <c r="AL55" s="702">
        <f t="shared" si="85"/>
        <v>1.7465577144527775</v>
      </c>
      <c r="AM55" s="702">
        <f t="shared" si="85"/>
        <v>1.7465577144527775</v>
      </c>
      <c r="AN55" s="702">
        <f t="shared" si="85"/>
        <v>1.7465577144527775</v>
      </c>
      <c r="AO55" s="702">
        <f t="shared" si="85"/>
        <v>1.7465577144527775</v>
      </c>
      <c r="AP55" s="702">
        <f t="shared" si="85"/>
        <v>1.7465577144527775</v>
      </c>
      <c r="AQ55" s="705">
        <f>'Raw emissions'!Y25*0.5+'Raw emissions'!Y19*0.5</f>
        <v>0.40528442904025297</v>
      </c>
      <c r="AR55" s="706">
        <f>'Raw emissions'!Z25*0.5+'Raw emissions'!Z19*0.5</f>
        <v>0.14194951964193617</v>
      </c>
      <c r="AS55" s="702">
        <f>$AQ55</f>
        <v>0.40528442904025297</v>
      </c>
      <c r="AT55" s="702">
        <f t="shared" ref="AT55:AZ55" si="86">$AQ55</f>
        <v>0.40528442904025297</v>
      </c>
      <c r="AU55" s="702">
        <f t="shared" si="86"/>
        <v>0.40528442904025297</v>
      </c>
      <c r="AV55" s="702">
        <f t="shared" si="86"/>
        <v>0.40528442904025297</v>
      </c>
      <c r="AW55" s="702">
        <f t="shared" si="86"/>
        <v>0.40528442904025297</v>
      </c>
      <c r="AX55" s="702">
        <f t="shared" si="86"/>
        <v>0.40528442904025297</v>
      </c>
      <c r="AY55" s="702">
        <f t="shared" si="86"/>
        <v>0.40528442904025297</v>
      </c>
      <c r="AZ55" s="702">
        <f t="shared" si="86"/>
        <v>0.40528442904025297</v>
      </c>
      <c r="BA55" s="705">
        <f>'Raw emissions'!AK25*0.5+'Raw emissions'!AK19*0.5</f>
        <v>7.2636227372673987E-2</v>
      </c>
      <c r="BB55" s="708">
        <f>'Raw emissions'!AL25*0.5+'Raw emissions'!AL19*0.5</f>
        <v>1.0465592312035906E-3</v>
      </c>
      <c r="BC55" s="703">
        <f>$BA55</f>
        <v>7.2636227372673987E-2</v>
      </c>
      <c r="BD55" s="703">
        <f t="shared" ref="BD55:BJ55" si="87">$BA55</f>
        <v>7.2636227372673987E-2</v>
      </c>
      <c r="BE55" s="703">
        <f t="shared" si="87"/>
        <v>7.2636227372673987E-2</v>
      </c>
      <c r="BF55" s="703">
        <f t="shared" si="87"/>
        <v>7.2636227372673987E-2</v>
      </c>
      <c r="BG55" s="703">
        <f t="shared" si="87"/>
        <v>7.2636227372673987E-2</v>
      </c>
      <c r="BH55" s="703">
        <f t="shared" si="87"/>
        <v>7.2636227372673987E-2</v>
      </c>
      <c r="BI55" s="703">
        <f t="shared" si="87"/>
        <v>7.2636227372673987E-2</v>
      </c>
      <c r="BJ55" s="703">
        <f t="shared" si="87"/>
        <v>7.2636227372673987E-2</v>
      </c>
      <c r="BK55" s="705">
        <f>'Raw emissions'!AG25*0.5+'Raw emissions'!AG19*0.5</f>
        <v>9.5376049353187692E-2</v>
      </c>
      <c r="BL55" s="708">
        <f>'Raw emissions'!AI25*0.5+'Raw emissions'!AI19*0.5</f>
        <v>5.3058262703911396E-3</v>
      </c>
      <c r="BM55" s="703">
        <f>$BK55</f>
        <v>9.5376049353187692E-2</v>
      </c>
      <c r="BN55" s="703">
        <f t="shared" ref="BN55:BT55" si="88">$BK55</f>
        <v>9.5376049353187692E-2</v>
      </c>
      <c r="BO55" s="703">
        <f t="shared" si="88"/>
        <v>9.5376049353187692E-2</v>
      </c>
      <c r="BP55" s="703">
        <f t="shared" si="88"/>
        <v>9.5376049353187692E-2</v>
      </c>
      <c r="BQ55" s="703">
        <f t="shared" si="88"/>
        <v>9.5376049353187692E-2</v>
      </c>
      <c r="BR55" s="703">
        <f t="shared" si="88"/>
        <v>9.5376049353187692E-2</v>
      </c>
      <c r="BS55" s="703">
        <f t="shared" si="88"/>
        <v>9.5376049353187692E-2</v>
      </c>
      <c r="BT55" s="703">
        <f t="shared" si="88"/>
        <v>9.5376049353187692E-2</v>
      </c>
      <c r="BU55" s="705">
        <f>'Raw emissions'!G25*0.5+'Raw emissions'!G19*0.5</f>
        <v>7.3946099617738462E-3</v>
      </c>
      <c r="BV55" s="708">
        <f>'Raw emissions'!H25*0.5+'Raw emissions'!H19*0.5</f>
        <v>5.3320744383221251E-3</v>
      </c>
      <c r="BW55" s="703">
        <f>(1-'Tier3Phase-in'!$J$20)*BV55</f>
        <v>1.8129053090295223E-3</v>
      </c>
      <c r="BX55" s="705">
        <f>'Raw emissions'!V25*0.5+'Raw emissions'!V19*0.5</f>
        <v>1.9851331868638031E-3</v>
      </c>
      <c r="BY55" s="708">
        <f>'Raw emissions'!W25*0.5+'Raw emissions'!W19*0.5</f>
        <v>1.9761393487738787E-3</v>
      </c>
      <c r="BZ55" s="705">
        <f>'Raw emissions'!S25*0.5+'Raw emissions'!S19*0.5</f>
        <v>2.8117075533197122E-3</v>
      </c>
      <c r="CA55" s="708">
        <f>'Raw emissions'!T25*0.5+'Raw emissions'!T19*0.5</f>
        <v>2.2928426708990206E-3</v>
      </c>
    </row>
    <row r="56" spans="1:79" x14ac:dyDescent="0.2">
      <c r="A56" s="690" t="str">
        <f>Technologies!C124</f>
        <v>TMB20C</v>
      </c>
      <c r="B56" s="690" t="str">
        <f>Technologies!D124</f>
        <v>Medium Duty Truck, Conventional B20</v>
      </c>
      <c r="C56" s="705">
        <f>'Raw emissions'!D25*0.5+'Raw emissions'!D19*0.5</f>
        <v>2.8045103114783663</v>
      </c>
      <c r="D56" s="706">
        <f>'Raw emissions'!E25*0.5+'Raw emissions'!E19*0.5</f>
        <v>0.88771540779407565</v>
      </c>
      <c r="E56" s="702">
        <f>$D56*(1-'Tier3Phase-in'!$J$12)</f>
        <v>0.88771540779407565</v>
      </c>
      <c r="F56" s="702">
        <f>$D56*(1-'Tier3Phase-in'!$K$12)</f>
        <v>0.76882495139308338</v>
      </c>
      <c r="G56" s="702">
        <f>$D56*(1-'Tier3Phase-in'!$L$12)</f>
        <v>0.6758742309341258</v>
      </c>
      <c r="H56" s="702">
        <f>$D56*(1-'Tier3Phase-in'!$M$12)</f>
        <v>0.63804544935199192</v>
      </c>
      <c r="I56" s="702">
        <f>$D56*(1-'Tier3Phase-in'!$N$12)</f>
        <v>0.60475612155971403</v>
      </c>
      <c r="J56" s="702">
        <f>$D56*(1-'Tier3Phase-in'!$O$12)</f>
        <v>0.55719993899931697</v>
      </c>
      <c r="K56" s="702">
        <f>$D56*(1-'Tier3Phase-in'!$P$12)</f>
        <v>0.55601103443530719</v>
      </c>
      <c r="L56" s="702">
        <f>$D56*(1-'Tier3Phase-in'!$Q$12)</f>
        <v>0.55482212987129731</v>
      </c>
      <c r="M56" s="705">
        <f>'Raw emissions'!J25*0.5+'Raw emissions'!J19*0.5</f>
        <v>0.18721771093787512</v>
      </c>
      <c r="N56" s="706">
        <f>'Raw emissions'!K25*0.5+'Raw emissions'!K19*0.5</f>
        <v>6.4640002303018501E-2</v>
      </c>
      <c r="O56" s="702">
        <f>$N56*(1-'Tier3Phase-in'!$J$12)</f>
        <v>6.4640002303018501E-2</v>
      </c>
      <c r="P56" s="702">
        <f>$N56*(1-'Tier3Phase-in'!$K$12)</f>
        <v>5.598285913743567E-2</v>
      </c>
      <c r="Q56" s="702">
        <f>$N56*(1-'Tier3Phase-in'!$L$12)</f>
        <v>4.9214547207979992E-2</v>
      </c>
      <c r="R56" s="702">
        <f>$N56*(1-'Tier3Phase-in'!$M$12)</f>
        <v>4.6460001655294549E-2</v>
      </c>
      <c r="S56" s="702">
        <f>$N56*(1-'Tier3Phase-in'!$N$12)</f>
        <v>4.4036001568931359E-2</v>
      </c>
      <c r="T56" s="702">
        <f>$N56*(1-'Tier3Phase-in'!$O$12)</f>
        <v>4.0573144302698212E-2</v>
      </c>
      <c r="U56" s="702">
        <f>$N56*(1-'Tier3Phase-in'!$P$12)</f>
        <v>4.0486572871042389E-2</v>
      </c>
      <c r="V56" s="702">
        <f>$N56*(1-'Tier3Phase-in'!$Q$12)</f>
        <v>4.040000143938656E-2</v>
      </c>
      <c r="W56" s="705">
        <f>'Raw emissions'!M25*0.5+'Raw emissions'!M19*0.5</f>
        <v>0.1441707667486064</v>
      </c>
      <c r="X56" s="706">
        <f>'Raw emissions'!N25*0.5+'Raw emissions'!N19*0.5</f>
        <v>2.5265839382814952E-2</v>
      </c>
      <c r="Y56" s="702">
        <f>$X56*(1-'Tier3Phase-in'!$J$12)</f>
        <v>2.5265839382814952E-2</v>
      </c>
      <c r="Z56" s="702">
        <f>$X56*(1-'Tier3Phase-in'!$K$12)</f>
        <v>2.1882021608330807E-2</v>
      </c>
      <c r="AA56" s="702">
        <f>$X56*(1-'Tier3Phase-in'!$L$12)</f>
        <v>1.9236491348279566E-2</v>
      </c>
      <c r="AB56" s="702">
        <f>$X56*(1-'Tier3Phase-in'!$M$12)</f>
        <v>1.8159822056398246E-2</v>
      </c>
      <c r="AC56" s="702">
        <f>$X56*(1-'Tier3Phase-in'!$N$12)</f>
        <v>1.7212353079542685E-2</v>
      </c>
      <c r="AD56" s="702">
        <f>$X56*(1-'Tier3Phase-in'!$O$12)</f>
        <v>1.5858825969749024E-2</v>
      </c>
      <c r="AE56" s="702">
        <f>$X56*(1-'Tier3Phase-in'!$P$12)</f>
        <v>1.5824987792004183E-2</v>
      </c>
      <c r="AF56" s="702">
        <f>$X56*(1-'Tier3Phase-in'!$Q$12)</f>
        <v>1.5791149614259346E-2</v>
      </c>
      <c r="AG56" s="705">
        <f>'Raw emissions'!P25*0.5+'Raw emissions'!P19*0.5</f>
        <v>1.7465577144527775</v>
      </c>
      <c r="AH56" s="706">
        <f>'Raw emissions'!Q25*0.5+'Raw emissions'!Q19*0.5</f>
        <v>0.86288417231881254</v>
      </c>
      <c r="AI56" s="702">
        <f>$AH56*(1-'Tier3Phase-in'!$J$12)</f>
        <v>0.86288417231881254</v>
      </c>
      <c r="AJ56" s="702">
        <f>$AH56*(1-'Tier3Phase-in'!$K$12)</f>
        <v>0.74731932781182875</v>
      </c>
      <c r="AK56" s="702">
        <f>$AH56*(1-'Tier3Phase-in'!$L$12)</f>
        <v>0.65696863119727766</v>
      </c>
      <c r="AL56" s="702">
        <f>$AH56*(1-'Tier3Phase-in'!$M$12)</f>
        <v>0.6201979988541465</v>
      </c>
      <c r="AM56" s="702">
        <f>$AH56*(1-'Tier3Phase-in'!$N$12)</f>
        <v>0.58783984239219111</v>
      </c>
      <c r="AN56" s="702">
        <f>$AH56*(1-'Tier3Phase-in'!$O$12)</f>
        <v>0.5416139045893974</v>
      </c>
      <c r="AO56" s="702">
        <f>$AH56*(1-'Tier3Phase-in'!$P$12)</f>
        <v>0.54045825614432763</v>
      </c>
      <c r="AP56" s="702">
        <f>$AH56*(1-'Tier3Phase-in'!$Q$12)</f>
        <v>0.53930260769925786</v>
      </c>
      <c r="AQ56" s="705">
        <f>'Raw emissions'!Y25*0.5+'Raw emissions'!Y19*0.5</f>
        <v>0.40528442904025297</v>
      </c>
      <c r="AR56" s="706">
        <f>'Raw emissions'!Z25*0.5+'Raw emissions'!Z19*0.5</f>
        <v>0.14194951964193617</v>
      </c>
      <c r="AS56" s="702">
        <f>$AR56*(1-'Tier3Phase-in'!$J$12)</f>
        <v>0.14194951964193617</v>
      </c>
      <c r="AT56" s="702">
        <f>$AR56*(1-'Tier3Phase-in'!$K$12)</f>
        <v>0.12293842326131972</v>
      </c>
      <c r="AU56" s="702">
        <f>$AR56*(1-'Tier3Phase-in'!$L$12)</f>
        <v>0.10807520245465595</v>
      </c>
      <c r="AV56" s="702">
        <f>$AR56*(1-'Tier3Phase-in'!$M$12)</f>
        <v>0.10202621724264162</v>
      </c>
      <c r="AW56" s="702">
        <f>$AR56*(1-'Tier3Phase-in'!$N$12)</f>
        <v>9.6703110256069022E-2</v>
      </c>
      <c r="AX56" s="702">
        <f>$AR56*(1-'Tier3Phase-in'!$O$12)</f>
        <v>8.9098671703822421E-2</v>
      </c>
      <c r="AY56" s="702">
        <f>$AR56*(1-'Tier3Phase-in'!$P$12)</f>
        <v>8.8908560740016254E-2</v>
      </c>
      <c r="AZ56" s="702">
        <f>$AR56*(1-'Tier3Phase-in'!$Q$12)</f>
        <v>8.8718449776210101E-2</v>
      </c>
      <c r="BA56" s="705">
        <f>'Raw emissions'!AK25*0.5+'Raw emissions'!AK19*0.5</f>
        <v>7.2636227372673987E-2</v>
      </c>
      <c r="BB56" s="708">
        <f>'Raw emissions'!AL25*0.5+'Raw emissions'!AL19*0.5</f>
        <v>1.0465592312035906E-3</v>
      </c>
      <c r="BC56" s="703">
        <f>$BB56*(1-'Tier3Phase-in'!$J$12)</f>
        <v>1.0465592312035906E-3</v>
      </c>
      <c r="BD56" s="703">
        <f>$BB56*(1-'Tier3Phase-in'!$K$12)</f>
        <v>9.0639504845310974E-4</v>
      </c>
      <c r="BE56" s="703">
        <f>$BB56*(1-'Tier3Phase-in'!$L$12)</f>
        <v>7.9681214193909745E-4</v>
      </c>
      <c r="BF56" s="703">
        <f>$BB56*(1-'Tier3Phase-in'!$M$12)</f>
        <v>7.5221444742758074E-4</v>
      </c>
      <c r="BG56" s="703">
        <f>$BB56*(1-'Tier3Phase-in'!$N$12)</f>
        <v>7.1296847625744615E-4</v>
      </c>
      <c r="BH56" s="703">
        <f>$BB56*(1-'Tier3Phase-in'!$O$12)</f>
        <v>6.569028031572536E-4</v>
      </c>
      <c r="BI56" s="703">
        <f>$BB56*(1-'Tier3Phase-in'!$P$12)</f>
        <v>6.5550116132974889E-4</v>
      </c>
      <c r="BJ56" s="703">
        <f>$BB56*(1-'Tier3Phase-in'!$Q$12)</f>
        <v>6.5409951950224417E-4</v>
      </c>
      <c r="BK56" s="705">
        <f>'Raw emissions'!AG25*0.5+'Raw emissions'!AG19*0.5</f>
        <v>9.5376049353187692E-2</v>
      </c>
      <c r="BL56" s="708">
        <f>'Raw emissions'!AI25*0.5+'Raw emissions'!AI19*0.5</f>
        <v>5.3058262703911396E-3</v>
      </c>
      <c r="BM56" s="703">
        <f>$BL56*(1-'Tier3Phase-in'!$J$12)</f>
        <v>5.3058262703911396E-3</v>
      </c>
      <c r="BN56" s="703">
        <f>$BL56*(1-'Tier3Phase-in'!$K$12)</f>
        <v>4.5952245377494693E-3</v>
      </c>
      <c r="BO56" s="703">
        <f>$BL56*(1-'Tier3Phase-in'!$L$12)</f>
        <v>4.0396631831387088E-3</v>
      </c>
      <c r="BP56" s="703">
        <f>$BL56*(1-'Tier3Phase-in'!$M$12)</f>
        <v>3.8135626318436316E-3</v>
      </c>
      <c r="BQ56" s="703">
        <f>$BL56*(1-'Tier3Phase-in'!$N$12)</f>
        <v>3.6145941467039641E-3</v>
      </c>
      <c r="BR56" s="703">
        <f>$BL56*(1-'Tier3Phase-in'!$O$12)</f>
        <v>3.3303534536472949E-3</v>
      </c>
      <c r="BS56" s="703">
        <f>$BL56*(1-'Tier3Phase-in'!$P$12)</f>
        <v>3.3232474363208788E-3</v>
      </c>
      <c r="BT56" s="703">
        <f>$BL56*(1-'Tier3Phase-in'!$Q$12)</f>
        <v>3.3161414189944623E-3</v>
      </c>
      <c r="BU56" s="705">
        <f>'Raw emissions'!G25*0.5+'Raw emissions'!G19*0.5</f>
        <v>7.3946099617738462E-3</v>
      </c>
      <c r="BV56" s="708">
        <f>'Raw emissions'!H25*0.5+'Raw emissions'!H19*0.5</f>
        <v>5.3320744383221251E-3</v>
      </c>
      <c r="BW56" s="703">
        <f>(1-'Tier3Phase-in'!$J$20)*BV56</f>
        <v>1.8129053090295223E-3</v>
      </c>
      <c r="BX56" s="705">
        <f>'Raw emissions'!V25*0.5+'Raw emissions'!V19*0.5</f>
        <v>1.9851331868638031E-3</v>
      </c>
      <c r="BY56" s="708">
        <f>'Raw emissions'!W25*0.5+'Raw emissions'!W19*0.5</f>
        <v>1.9761393487738787E-3</v>
      </c>
      <c r="BZ56" s="705">
        <f>'Raw emissions'!S25*0.5+'Raw emissions'!S19*0.5</f>
        <v>2.8117075533197122E-3</v>
      </c>
      <c r="CA56" s="708">
        <f>'Raw emissions'!T25*0.5+'Raw emissions'!T19*0.5</f>
        <v>2.2928426708990206E-3</v>
      </c>
    </row>
    <row r="57" spans="1:79" x14ac:dyDescent="0.2">
      <c r="A57" s="690" t="str">
        <f>Technologies!C125</f>
        <v>TMB20IM</v>
      </c>
      <c r="B57" s="690" t="str">
        <f>Technologies!D125</f>
        <v>Medium Duty Truck, Improved B20</v>
      </c>
      <c r="C57" s="705">
        <f>C56</f>
        <v>2.8045103114783663</v>
      </c>
      <c r="D57" s="706">
        <f>D56</f>
        <v>0.88771540779407565</v>
      </c>
      <c r="E57" s="702">
        <f>$D57*(1-'Tier3Phase-in'!$J$12)</f>
        <v>0.88771540779407565</v>
      </c>
      <c r="F57" s="702">
        <f>$D57*(1-'Tier3Phase-in'!$K$12)</f>
        <v>0.76882495139308338</v>
      </c>
      <c r="G57" s="702">
        <f>$D57*(1-'Tier3Phase-in'!$L$12)</f>
        <v>0.6758742309341258</v>
      </c>
      <c r="H57" s="702">
        <f>$D57*(1-'Tier3Phase-in'!$M$12)</f>
        <v>0.63804544935199192</v>
      </c>
      <c r="I57" s="702">
        <f>$D57*(1-'Tier3Phase-in'!$N$12)</f>
        <v>0.60475612155971403</v>
      </c>
      <c r="J57" s="702">
        <f>$D57*(1-'Tier3Phase-in'!$O$12)</f>
        <v>0.55719993899931697</v>
      </c>
      <c r="K57" s="702">
        <f>$D57*(1-'Tier3Phase-in'!$P$12)</f>
        <v>0.55601103443530719</v>
      </c>
      <c r="L57" s="702">
        <f>$D57*(1-'Tier3Phase-in'!$Q$12)</f>
        <v>0.55482212987129731</v>
      </c>
      <c r="M57" s="705">
        <f>M56</f>
        <v>0.18721771093787512</v>
      </c>
      <c r="N57" s="706">
        <f>N56</f>
        <v>6.4640002303018501E-2</v>
      </c>
      <c r="O57" s="702">
        <f>$N57*(1-'Tier3Phase-in'!$J$12)</f>
        <v>6.4640002303018501E-2</v>
      </c>
      <c r="P57" s="702">
        <f>$N57*(1-'Tier3Phase-in'!$K$12)</f>
        <v>5.598285913743567E-2</v>
      </c>
      <c r="Q57" s="702">
        <f>$N57*(1-'Tier3Phase-in'!$L$12)</f>
        <v>4.9214547207979992E-2</v>
      </c>
      <c r="R57" s="702">
        <f>$N57*(1-'Tier3Phase-in'!$M$12)</f>
        <v>4.6460001655294549E-2</v>
      </c>
      <c r="S57" s="702">
        <f>$N57*(1-'Tier3Phase-in'!$N$12)</f>
        <v>4.4036001568931359E-2</v>
      </c>
      <c r="T57" s="702">
        <f>$N57*(1-'Tier3Phase-in'!$O$12)</f>
        <v>4.0573144302698212E-2</v>
      </c>
      <c r="U57" s="702">
        <f>$N57*(1-'Tier3Phase-in'!$P$12)</f>
        <v>4.0486572871042389E-2</v>
      </c>
      <c r="V57" s="702">
        <f>$N57*(1-'Tier3Phase-in'!$Q$12)</f>
        <v>4.040000143938656E-2</v>
      </c>
      <c r="W57" s="705">
        <f>W56</f>
        <v>0.1441707667486064</v>
      </c>
      <c r="X57" s="706">
        <f>X56</f>
        <v>2.5265839382814952E-2</v>
      </c>
      <c r="Y57" s="702">
        <f>$X57*(1-'Tier3Phase-in'!$J$12)</f>
        <v>2.5265839382814952E-2</v>
      </c>
      <c r="Z57" s="702">
        <f>$X57*(1-'Tier3Phase-in'!$K$12)</f>
        <v>2.1882021608330807E-2</v>
      </c>
      <c r="AA57" s="702">
        <f>$X57*(1-'Tier3Phase-in'!$L$12)</f>
        <v>1.9236491348279566E-2</v>
      </c>
      <c r="AB57" s="702">
        <f>$X57*(1-'Tier3Phase-in'!$M$12)</f>
        <v>1.8159822056398246E-2</v>
      </c>
      <c r="AC57" s="702">
        <f>$X57*(1-'Tier3Phase-in'!$N$12)</f>
        <v>1.7212353079542685E-2</v>
      </c>
      <c r="AD57" s="702">
        <f>$X57*(1-'Tier3Phase-in'!$O$12)</f>
        <v>1.5858825969749024E-2</v>
      </c>
      <c r="AE57" s="702">
        <f>$X57*(1-'Tier3Phase-in'!$P$12)</f>
        <v>1.5824987792004183E-2</v>
      </c>
      <c r="AF57" s="702">
        <f>$X57*(1-'Tier3Phase-in'!$Q$12)</f>
        <v>1.5791149614259346E-2</v>
      </c>
      <c r="AG57" s="705">
        <f>AG56</f>
        <v>1.7465577144527775</v>
      </c>
      <c r="AH57" s="706">
        <f>AH56</f>
        <v>0.86288417231881254</v>
      </c>
      <c r="AI57" s="702">
        <f>$AH57*(1-'Tier3Phase-in'!$J$12)</f>
        <v>0.86288417231881254</v>
      </c>
      <c r="AJ57" s="702">
        <f>$AH57*(1-'Tier3Phase-in'!$K$12)</f>
        <v>0.74731932781182875</v>
      </c>
      <c r="AK57" s="702">
        <f>$AH57*(1-'Tier3Phase-in'!$L$12)</f>
        <v>0.65696863119727766</v>
      </c>
      <c r="AL57" s="702">
        <f>$AH57*(1-'Tier3Phase-in'!$M$12)</f>
        <v>0.6201979988541465</v>
      </c>
      <c r="AM57" s="702">
        <f>$AH57*(1-'Tier3Phase-in'!$N$12)</f>
        <v>0.58783984239219111</v>
      </c>
      <c r="AN57" s="702">
        <f>$AH57*(1-'Tier3Phase-in'!$O$12)</f>
        <v>0.5416139045893974</v>
      </c>
      <c r="AO57" s="702">
        <f>$AH57*(1-'Tier3Phase-in'!$P$12)</f>
        <v>0.54045825614432763</v>
      </c>
      <c r="AP57" s="702">
        <f>$AH57*(1-'Tier3Phase-in'!$Q$12)</f>
        <v>0.53930260769925786</v>
      </c>
      <c r="AQ57" s="705">
        <f>AQ56</f>
        <v>0.40528442904025297</v>
      </c>
      <c r="AR57" s="706">
        <f>AR56</f>
        <v>0.14194951964193617</v>
      </c>
      <c r="AS57" s="702">
        <f>$AR57*(1-'Tier3Phase-in'!$J$12)</f>
        <v>0.14194951964193617</v>
      </c>
      <c r="AT57" s="702">
        <f>$AR57*(1-'Tier3Phase-in'!$K$12)</f>
        <v>0.12293842326131972</v>
      </c>
      <c r="AU57" s="702">
        <f>$AR57*(1-'Tier3Phase-in'!$L$12)</f>
        <v>0.10807520245465595</v>
      </c>
      <c r="AV57" s="702">
        <f>$AR57*(1-'Tier3Phase-in'!$M$12)</f>
        <v>0.10202621724264162</v>
      </c>
      <c r="AW57" s="702">
        <f>$AR57*(1-'Tier3Phase-in'!$N$12)</f>
        <v>9.6703110256069022E-2</v>
      </c>
      <c r="AX57" s="702">
        <f>$AR57*(1-'Tier3Phase-in'!$O$12)</f>
        <v>8.9098671703822421E-2</v>
      </c>
      <c r="AY57" s="702">
        <f>$AR57*(1-'Tier3Phase-in'!$P$12)</f>
        <v>8.8908560740016254E-2</v>
      </c>
      <c r="AZ57" s="702">
        <f>$AR57*(1-'Tier3Phase-in'!$Q$12)</f>
        <v>8.8718449776210101E-2</v>
      </c>
      <c r="BA57" s="705">
        <f>BA56</f>
        <v>7.2636227372673987E-2</v>
      </c>
      <c r="BB57" s="708">
        <f>BB56</f>
        <v>1.0465592312035906E-3</v>
      </c>
      <c r="BC57" s="703">
        <f>$BB57*(1-'Tier3Phase-in'!$J$12)</f>
        <v>1.0465592312035906E-3</v>
      </c>
      <c r="BD57" s="703">
        <f>$BB57*(1-'Tier3Phase-in'!$K$12)</f>
        <v>9.0639504845310974E-4</v>
      </c>
      <c r="BE57" s="703">
        <f>$BB57*(1-'Tier3Phase-in'!$L$12)</f>
        <v>7.9681214193909745E-4</v>
      </c>
      <c r="BF57" s="703">
        <f>$BB57*(1-'Tier3Phase-in'!$M$12)</f>
        <v>7.5221444742758074E-4</v>
      </c>
      <c r="BG57" s="703">
        <f>$BB57*(1-'Tier3Phase-in'!$N$12)</f>
        <v>7.1296847625744615E-4</v>
      </c>
      <c r="BH57" s="703">
        <f>$BB57*(1-'Tier3Phase-in'!$O$12)</f>
        <v>6.569028031572536E-4</v>
      </c>
      <c r="BI57" s="703">
        <f>$BB57*(1-'Tier3Phase-in'!$P$12)</f>
        <v>6.5550116132974889E-4</v>
      </c>
      <c r="BJ57" s="703">
        <f>$BB57*(1-'Tier3Phase-in'!$Q$12)</f>
        <v>6.5409951950224417E-4</v>
      </c>
      <c r="BK57" s="705">
        <f>BK56</f>
        <v>9.5376049353187692E-2</v>
      </c>
      <c r="BL57" s="708">
        <f>BL56</f>
        <v>5.3058262703911396E-3</v>
      </c>
      <c r="BM57" s="703">
        <f>$BL57*(1-'Tier3Phase-in'!$J$12)</f>
        <v>5.3058262703911396E-3</v>
      </c>
      <c r="BN57" s="703">
        <f>$BL57*(1-'Tier3Phase-in'!$K$12)</f>
        <v>4.5952245377494693E-3</v>
      </c>
      <c r="BO57" s="703">
        <f>$BL57*(1-'Tier3Phase-in'!$L$12)</f>
        <v>4.0396631831387088E-3</v>
      </c>
      <c r="BP57" s="703">
        <f>$BL57*(1-'Tier3Phase-in'!$M$12)</f>
        <v>3.8135626318436316E-3</v>
      </c>
      <c r="BQ57" s="703">
        <f>$BL57*(1-'Tier3Phase-in'!$N$12)</f>
        <v>3.6145941467039641E-3</v>
      </c>
      <c r="BR57" s="703">
        <f>$BL57*(1-'Tier3Phase-in'!$O$12)</f>
        <v>3.3303534536472949E-3</v>
      </c>
      <c r="BS57" s="703">
        <f>$BL57*(1-'Tier3Phase-in'!$P$12)</f>
        <v>3.3232474363208788E-3</v>
      </c>
      <c r="BT57" s="703">
        <f>$BL57*(1-'Tier3Phase-in'!$Q$12)</f>
        <v>3.3161414189944623E-3</v>
      </c>
      <c r="BU57" s="705">
        <f>BU56</f>
        <v>7.3946099617738462E-3</v>
      </c>
      <c r="BV57" s="708">
        <f>BV56</f>
        <v>5.3320744383221251E-3</v>
      </c>
      <c r="BW57" s="703">
        <f>(1-'Tier3Phase-in'!$J$20)*BV57</f>
        <v>1.8129053090295223E-3</v>
      </c>
      <c r="BX57" s="705">
        <f t="shared" ref="BX57:CA58" si="89">BX56</f>
        <v>1.9851331868638031E-3</v>
      </c>
      <c r="BY57" s="708">
        <f t="shared" si="89"/>
        <v>1.9761393487738787E-3</v>
      </c>
      <c r="BZ57" s="705">
        <f t="shared" si="89"/>
        <v>2.8117075533197122E-3</v>
      </c>
      <c r="CA57" s="708">
        <f t="shared" si="89"/>
        <v>2.2928426708990206E-3</v>
      </c>
    </row>
    <row r="58" spans="1:79" x14ac:dyDescent="0.2">
      <c r="A58" s="690" t="str">
        <f>Technologies!C126</f>
        <v>TMB20ADV</v>
      </c>
      <c r="B58" s="690" t="str">
        <f>Technologies!D126</f>
        <v>Medium Duty Truck, Advanced Tech B20</v>
      </c>
      <c r="C58" s="705">
        <f>C57</f>
        <v>2.8045103114783663</v>
      </c>
      <c r="D58" s="706">
        <f>D57</f>
        <v>0.88771540779407565</v>
      </c>
      <c r="E58" s="702">
        <f>$D58*(1-'Tier3Phase-in'!$J$12)</f>
        <v>0.88771540779407565</v>
      </c>
      <c r="F58" s="702">
        <f>$D58*(1-'Tier3Phase-in'!$K$12)</f>
        <v>0.76882495139308338</v>
      </c>
      <c r="G58" s="702">
        <f>$D58*(1-'Tier3Phase-in'!$L$12)</f>
        <v>0.6758742309341258</v>
      </c>
      <c r="H58" s="702">
        <f>$D58*(1-'Tier3Phase-in'!$M$12)</f>
        <v>0.63804544935199192</v>
      </c>
      <c r="I58" s="702">
        <f>$D58*(1-'Tier3Phase-in'!$N$12)</f>
        <v>0.60475612155971403</v>
      </c>
      <c r="J58" s="702">
        <f>$D58*(1-'Tier3Phase-in'!$O$12)</f>
        <v>0.55719993899931697</v>
      </c>
      <c r="K58" s="702">
        <f>$D58*(1-'Tier3Phase-in'!$P$12)</f>
        <v>0.55601103443530719</v>
      </c>
      <c r="L58" s="702">
        <f>$D58*(1-'Tier3Phase-in'!$Q$12)</f>
        <v>0.55482212987129731</v>
      </c>
      <c r="M58" s="705">
        <f>M57</f>
        <v>0.18721771093787512</v>
      </c>
      <c r="N58" s="706">
        <f>N57</f>
        <v>6.4640002303018501E-2</v>
      </c>
      <c r="O58" s="702">
        <f>$N58*(1-'Tier3Phase-in'!$J$12)</f>
        <v>6.4640002303018501E-2</v>
      </c>
      <c r="P58" s="702">
        <f>$N58*(1-'Tier3Phase-in'!$K$12)</f>
        <v>5.598285913743567E-2</v>
      </c>
      <c r="Q58" s="702">
        <f>$N58*(1-'Tier3Phase-in'!$L$12)</f>
        <v>4.9214547207979992E-2</v>
      </c>
      <c r="R58" s="702">
        <f>$N58*(1-'Tier3Phase-in'!$M$12)</f>
        <v>4.6460001655294549E-2</v>
      </c>
      <c r="S58" s="702">
        <f>$N58*(1-'Tier3Phase-in'!$N$12)</f>
        <v>4.4036001568931359E-2</v>
      </c>
      <c r="T58" s="702">
        <f>$N58*(1-'Tier3Phase-in'!$O$12)</f>
        <v>4.0573144302698212E-2</v>
      </c>
      <c r="U58" s="702">
        <f>$N58*(1-'Tier3Phase-in'!$P$12)</f>
        <v>4.0486572871042389E-2</v>
      </c>
      <c r="V58" s="702">
        <f>$N58*(1-'Tier3Phase-in'!$Q$12)</f>
        <v>4.040000143938656E-2</v>
      </c>
      <c r="W58" s="705">
        <f>W57</f>
        <v>0.1441707667486064</v>
      </c>
      <c r="X58" s="706">
        <f>X57</f>
        <v>2.5265839382814952E-2</v>
      </c>
      <c r="Y58" s="702">
        <f>$X58*(1-'Tier3Phase-in'!$J$12)</f>
        <v>2.5265839382814952E-2</v>
      </c>
      <c r="Z58" s="702">
        <f>$X58*(1-'Tier3Phase-in'!$K$12)</f>
        <v>2.1882021608330807E-2</v>
      </c>
      <c r="AA58" s="702">
        <f>$X58*(1-'Tier3Phase-in'!$L$12)</f>
        <v>1.9236491348279566E-2</v>
      </c>
      <c r="AB58" s="702">
        <f>$X58*(1-'Tier3Phase-in'!$M$12)</f>
        <v>1.8159822056398246E-2</v>
      </c>
      <c r="AC58" s="702">
        <f>$X58*(1-'Tier3Phase-in'!$N$12)</f>
        <v>1.7212353079542685E-2</v>
      </c>
      <c r="AD58" s="702">
        <f>$X58*(1-'Tier3Phase-in'!$O$12)</f>
        <v>1.5858825969749024E-2</v>
      </c>
      <c r="AE58" s="702">
        <f>$X58*(1-'Tier3Phase-in'!$P$12)</f>
        <v>1.5824987792004183E-2</v>
      </c>
      <c r="AF58" s="702">
        <f>$X58*(1-'Tier3Phase-in'!$Q$12)</f>
        <v>1.5791149614259346E-2</v>
      </c>
      <c r="AG58" s="705">
        <f>AG57</f>
        <v>1.7465577144527775</v>
      </c>
      <c r="AH58" s="706">
        <f>AH57</f>
        <v>0.86288417231881254</v>
      </c>
      <c r="AI58" s="702">
        <f>$AH58*(1-'Tier3Phase-in'!$J$12)</f>
        <v>0.86288417231881254</v>
      </c>
      <c r="AJ58" s="702">
        <f>$AH58*(1-'Tier3Phase-in'!$K$12)</f>
        <v>0.74731932781182875</v>
      </c>
      <c r="AK58" s="702">
        <f>$AH58*(1-'Tier3Phase-in'!$L$12)</f>
        <v>0.65696863119727766</v>
      </c>
      <c r="AL58" s="702">
        <f>$AH58*(1-'Tier3Phase-in'!$M$12)</f>
        <v>0.6201979988541465</v>
      </c>
      <c r="AM58" s="702">
        <f>$AH58*(1-'Tier3Phase-in'!$N$12)</f>
        <v>0.58783984239219111</v>
      </c>
      <c r="AN58" s="702">
        <f>$AH58*(1-'Tier3Phase-in'!$O$12)</f>
        <v>0.5416139045893974</v>
      </c>
      <c r="AO58" s="702">
        <f>$AH58*(1-'Tier3Phase-in'!$P$12)</f>
        <v>0.54045825614432763</v>
      </c>
      <c r="AP58" s="702">
        <f>$AH58*(1-'Tier3Phase-in'!$Q$12)</f>
        <v>0.53930260769925786</v>
      </c>
      <c r="AQ58" s="705">
        <f>AQ57</f>
        <v>0.40528442904025297</v>
      </c>
      <c r="AR58" s="706">
        <f>AR57</f>
        <v>0.14194951964193617</v>
      </c>
      <c r="AS58" s="702">
        <f>$AR58*(1-'Tier3Phase-in'!$J$12)</f>
        <v>0.14194951964193617</v>
      </c>
      <c r="AT58" s="702">
        <f>$AR58*(1-'Tier3Phase-in'!$K$12)</f>
        <v>0.12293842326131972</v>
      </c>
      <c r="AU58" s="702">
        <f>$AR58*(1-'Tier3Phase-in'!$L$12)</f>
        <v>0.10807520245465595</v>
      </c>
      <c r="AV58" s="702">
        <f>$AR58*(1-'Tier3Phase-in'!$M$12)</f>
        <v>0.10202621724264162</v>
      </c>
      <c r="AW58" s="702">
        <f>$AR58*(1-'Tier3Phase-in'!$N$12)</f>
        <v>9.6703110256069022E-2</v>
      </c>
      <c r="AX58" s="702">
        <f>$AR58*(1-'Tier3Phase-in'!$O$12)</f>
        <v>8.9098671703822421E-2</v>
      </c>
      <c r="AY58" s="702">
        <f>$AR58*(1-'Tier3Phase-in'!$P$12)</f>
        <v>8.8908560740016254E-2</v>
      </c>
      <c r="AZ58" s="702">
        <f>$AR58*(1-'Tier3Phase-in'!$Q$12)</f>
        <v>8.8718449776210101E-2</v>
      </c>
      <c r="BA58" s="705">
        <f>BA57</f>
        <v>7.2636227372673987E-2</v>
      </c>
      <c r="BB58" s="708">
        <f>BB57</f>
        <v>1.0465592312035906E-3</v>
      </c>
      <c r="BC58" s="703">
        <f>$BB58*(1-'Tier3Phase-in'!$J$12)</f>
        <v>1.0465592312035906E-3</v>
      </c>
      <c r="BD58" s="703">
        <f>$BB58*(1-'Tier3Phase-in'!$K$12)</f>
        <v>9.0639504845310974E-4</v>
      </c>
      <c r="BE58" s="703">
        <f>$BB58*(1-'Tier3Phase-in'!$L$12)</f>
        <v>7.9681214193909745E-4</v>
      </c>
      <c r="BF58" s="703">
        <f>$BB58*(1-'Tier3Phase-in'!$M$12)</f>
        <v>7.5221444742758074E-4</v>
      </c>
      <c r="BG58" s="703">
        <f>$BB58*(1-'Tier3Phase-in'!$N$12)</f>
        <v>7.1296847625744615E-4</v>
      </c>
      <c r="BH58" s="703">
        <f>$BB58*(1-'Tier3Phase-in'!$O$12)</f>
        <v>6.569028031572536E-4</v>
      </c>
      <c r="BI58" s="703">
        <f>$BB58*(1-'Tier3Phase-in'!$P$12)</f>
        <v>6.5550116132974889E-4</v>
      </c>
      <c r="BJ58" s="703">
        <f>$BB58*(1-'Tier3Phase-in'!$Q$12)</f>
        <v>6.5409951950224417E-4</v>
      </c>
      <c r="BK58" s="705">
        <f>BK57</f>
        <v>9.5376049353187692E-2</v>
      </c>
      <c r="BL58" s="708">
        <f>BL57</f>
        <v>5.3058262703911396E-3</v>
      </c>
      <c r="BM58" s="703">
        <f>$BL58*(1-'Tier3Phase-in'!$J$12)</f>
        <v>5.3058262703911396E-3</v>
      </c>
      <c r="BN58" s="703">
        <f>$BL58*(1-'Tier3Phase-in'!$K$12)</f>
        <v>4.5952245377494693E-3</v>
      </c>
      <c r="BO58" s="703">
        <f>$BL58*(1-'Tier3Phase-in'!$L$12)</f>
        <v>4.0396631831387088E-3</v>
      </c>
      <c r="BP58" s="703">
        <f>$BL58*(1-'Tier3Phase-in'!$M$12)</f>
        <v>3.8135626318436316E-3</v>
      </c>
      <c r="BQ58" s="703">
        <f>$BL58*(1-'Tier3Phase-in'!$N$12)</f>
        <v>3.6145941467039641E-3</v>
      </c>
      <c r="BR58" s="703">
        <f>$BL58*(1-'Tier3Phase-in'!$O$12)</f>
        <v>3.3303534536472949E-3</v>
      </c>
      <c r="BS58" s="703">
        <f>$BL58*(1-'Tier3Phase-in'!$P$12)</f>
        <v>3.3232474363208788E-3</v>
      </c>
      <c r="BT58" s="703">
        <f>$BL58*(1-'Tier3Phase-in'!$Q$12)</f>
        <v>3.3161414189944623E-3</v>
      </c>
      <c r="BU58" s="705">
        <f>BU57</f>
        <v>7.3946099617738462E-3</v>
      </c>
      <c r="BV58" s="708">
        <f>BV57</f>
        <v>5.3320744383221251E-3</v>
      </c>
      <c r="BW58" s="703">
        <f>(1-'Tier3Phase-in'!$J$20)*BV58</f>
        <v>1.8129053090295223E-3</v>
      </c>
      <c r="BX58" s="705">
        <f t="shared" si="89"/>
        <v>1.9851331868638031E-3</v>
      </c>
      <c r="BY58" s="708">
        <f t="shared" si="89"/>
        <v>1.9761393487738787E-3</v>
      </c>
      <c r="BZ58" s="705">
        <f t="shared" si="89"/>
        <v>2.8117075533197122E-3</v>
      </c>
      <c r="CA58" s="708">
        <f t="shared" si="89"/>
        <v>2.2928426708990206E-3</v>
      </c>
    </row>
    <row r="59" spans="1:79" x14ac:dyDescent="0.2">
      <c r="A59" s="690" t="str">
        <f>Technologies!C127</f>
        <v>TMB20AH</v>
      </c>
      <c r="B59" s="690" t="str">
        <f>Technologies!D127</f>
        <v>Medium Duty Truck, Advanced Hybrid B20</v>
      </c>
      <c r="C59" s="705">
        <f>C57</f>
        <v>2.8045103114783663</v>
      </c>
      <c r="D59" s="706">
        <f>D57</f>
        <v>0.88771540779407565</v>
      </c>
      <c r="E59" s="702">
        <f>$D59*(1-'Tier3Phase-in'!$J$12)</f>
        <v>0.88771540779407565</v>
      </c>
      <c r="F59" s="702">
        <f>$D59*(1-'Tier3Phase-in'!$K$12)</f>
        <v>0.76882495139308338</v>
      </c>
      <c r="G59" s="702">
        <f>$D59*(1-'Tier3Phase-in'!$L$12)</f>
        <v>0.6758742309341258</v>
      </c>
      <c r="H59" s="702">
        <f>$D59*(1-'Tier3Phase-in'!$M$12)</f>
        <v>0.63804544935199192</v>
      </c>
      <c r="I59" s="702">
        <f>$D59*(1-'Tier3Phase-in'!$N$12)</f>
        <v>0.60475612155971403</v>
      </c>
      <c r="J59" s="702">
        <f>$D59*(1-'Tier3Phase-in'!$O$12)</f>
        <v>0.55719993899931697</v>
      </c>
      <c r="K59" s="702">
        <f>$D59*(1-'Tier3Phase-in'!$P$12)</f>
        <v>0.55601103443530719</v>
      </c>
      <c r="L59" s="702">
        <f>$D59*(1-'Tier3Phase-in'!$Q$12)</f>
        <v>0.55482212987129731</v>
      </c>
      <c r="M59" s="705">
        <f>M57</f>
        <v>0.18721771093787512</v>
      </c>
      <c r="N59" s="706">
        <f>N57</f>
        <v>6.4640002303018501E-2</v>
      </c>
      <c r="O59" s="702">
        <f>$N59*(1-'Tier3Phase-in'!$J$12)</f>
        <v>6.4640002303018501E-2</v>
      </c>
      <c r="P59" s="702">
        <f>$N59*(1-'Tier3Phase-in'!$K$12)</f>
        <v>5.598285913743567E-2</v>
      </c>
      <c r="Q59" s="702">
        <f>$N59*(1-'Tier3Phase-in'!$L$12)</f>
        <v>4.9214547207979992E-2</v>
      </c>
      <c r="R59" s="702">
        <f>$N59*(1-'Tier3Phase-in'!$M$12)</f>
        <v>4.6460001655294549E-2</v>
      </c>
      <c r="S59" s="702">
        <f>$N59*(1-'Tier3Phase-in'!$N$12)</f>
        <v>4.4036001568931359E-2</v>
      </c>
      <c r="T59" s="702">
        <f>$N59*(1-'Tier3Phase-in'!$O$12)</f>
        <v>4.0573144302698212E-2</v>
      </c>
      <c r="U59" s="702">
        <f>$N59*(1-'Tier3Phase-in'!$P$12)</f>
        <v>4.0486572871042389E-2</v>
      </c>
      <c r="V59" s="702">
        <f>$N59*(1-'Tier3Phase-in'!$Q$12)</f>
        <v>4.040000143938656E-2</v>
      </c>
      <c r="W59" s="705">
        <f>W57</f>
        <v>0.1441707667486064</v>
      </c>
      <c r="X59" s="706">
        <f>X57</f>
        <v>2.5265839382814952E-2</v>
      </c>
      <c r="Y59" s="702">
        <f>$X59*(1-'Tier3Phase-in'!$J$12)</f>
        <v>2.5265839382814952E-2</v>
      </c>
      <c r="Z59" s="702">
        <f>$X59*(1-'Tier3Phase-in'!$K$12)</f>
        <v>2.1882021608330807E-2</v>
      </c>
      <c r="AA59" s="702">
        <f>$X59*(1-'Tier3Phase-in'!$L$12)</f>
        <v>1.9236491348279566E-2</v>
      </c>
      <c r="AB59" s="702">
        <f>$X59*(1-'Tier3Phase-in'!$M$12)</f>
        <v>1.8159822056398246E-2</v>
      </c>
      <c r="AC59" s="702">
        <f>$X59*(1-'Tier3Phase-in'!$N$12)</f>
        <v>1.7212353079542685E-2</v>
      </c>
      <c r="AD59" s="702">
        <f>$X59*(1-'Tier3Phase-in'!$O$12)</f>
        <v>1.5858825969749024E-2</v>
      </c>
      <c r="AE59" s="702">
        <f>$X59*(1-'Tier3Phase-in'!$P$12)</f>
        <v>1.5824987792004183E-2</v>
      </c>
      <c r="AF59" s="702">
        <f>$X59*(1-'Tier3Phase-in'!$Q$12)</f>
        <v>1.5791149614259346E-2</v>
      </c>
      <c r="AG59" s="705">
        <f>AG57</f>
        <v>1.7465577144527775</v>
      </c>
      <c r="AH59" s="706">
        <f>AH57</f>
        <v>0.86288417231881254</v>
      </c>
      <c r="AI59" s="702">
        <f>$AH59*(1-'Tier3Phase-in'!$J$12)</f>
        <v>0.86288417231881254</v>
      </c>
      <c r="AJ59" s="702">
        <f>$AH59*(1-'Tier3Phase-in'!$K$12)</f>
        <v>0.74731932781182875</v>
      </c>
      <c r="AK59" s="702">
        <f>$AH59*(1-'Tier3Phase-in'!$L$12)</f>
        <v>0.65696863119727766</v>
      </c>
      <c r="AL59" s="702">
        <f>$AH59*(1-'Tier3Phase-in'!$M$12)</f>
        <v>0.6201979988541465</v>
      </c>
      <c r="AM59" s="702">
        <f>$AH59*(1-'Tier3Phase-in'!$N$12)</f>
        <v>0.58783984239219111</v>
      </c>
      <c r="AN59" s="702">
        <f>$AH59*(1-'Tier3Phase-in'!$O$12)</f>
        <v>0.5416139045893974</v>
      </c>
      <c r="AO59" s="702">
        <f>$AH59*(1-'Tier3Phase-in'!$P$12)</f>
        <v>0.54045825614432763</v>
      </c>
      <c r="AP59" s="702">
        <f>$AH59*(1-'Tier3Phase-in'!$Q$12)</f>
        <v>0.53930260769925786</v>
      </c>
      <c r="AQ59" s="705">
        <f>AQ57</f>
        <v>0.40528442904025297</v>
      </c>
      <c r="AR59" s="706">
        <f>AR57</f>
        <v>0.14194951964193617</v>
      </c>
      <c r="AS59" s="702">
        <f>$AR59*(1-'Tier3Phase-in'!$J$12)</f>
        <v>0.14194951964193617</v>
      </c>
      <c r="AT59" s="702">
        <f>$AR59*(1-'Tier3Phase-in'!$K$12)</f>
        <v>0.12293842326131972</v>
      </c>
      <c r="AU59" s="702">
        <f>$AR59*(1-'Tier3Phase-in'!$L$12)</f>
        <v>0.10807520245465595</v>
      </c>
      <c r="AV59" s="702">
        <f>$AR59*(1-'Tier3Phase-in'!$M$12)</f>
        <v>0.10202621724264162</v>
      </c>
      <c r="AW59" s="702">
        <f>$AR59*(1-'Tier3Phase-in'!$N$12)</f>
        <v>9.6703110256069022E-2</v>
      </c>
      <c r="AX59" s="702">
        <f>$AR59*(1-'Tier3Phase-in'!$O$12)</f>
        <v>8.9098671703822421E-2</v>
      </c>
      <c r="AY59" s="702">
        <f>$AR59*(1-'Tier3Phase-in'!$P$12)</f>
        <v>8.8908560740016254E-2</v>
      </c>
      <c r="AZ59" s="702">
        <f>$AR59*(1-'Tier3Phase-in'!$Q$12)</f>
        <v>8.8718449776210101E-2</v>
      </c>
      <c r="BA59" s="705">
        <f>BA57</f>
        <v>7.2636227372673987E-2</v>
      </c>
      <c r="BB59" s="708">
        <f>BB57</f>
        <v>1.0465592312035906E-3</v>
      </c>
      <c r="BC59" s="703">
        <f>$BB59*(1-'Tier3Phase-in'!$J$12)</f>
        <v>1.0465592312035906E-3</v>
      </c>
      <c r="BD59" s="703">
        <f>$BB59*(1-'Tier3Phase-in'!$K$12)</f>
        <v>9.0639504845310974E-4</v>
      </c>
      <c r="BE59" s="703">
        <f>$BB59*(1-'Tier3Phase-in'!$L$12)</f>
        <v>7.9681214193909745E-4</v>
      </c>
      <c r="BF59" s="703">
        <f>$BB59*(1-'Tier3Phase-in'!$M$12)</f>
        <v>7.5221444742758074E-4</v>
      </c>
      <c r="BG59" s="703">
        <f>$BB59*(1-'Tier3Phase-in'!$N$12)</f>
        <v>7.1296847625744615E-4</v>
      </c>
      <c r="BH59" s="703">
        <f>$BB59*(1-'Tier3Phase-in'!$O$12)</f>
        <v>6.569028031572536E-4</v>
      </c>
      <c r="BI59" s="703">
        <f>$BB59*(1-'Tier3Phase-in'!$P$12)</f>
        <v>6.5550116132974889E-4</v>
      </c>
      <c r="BJ59" s="703">
        <f>$BB59*(1-'Tier3Phase-in'!$Q$12)</f>
        <v>6.5409951950224417E-4</v>
      </c>
      <c r="BK59" s="705">
        <f>BK57</f>
        <v>9.5376049353187692E-2</v>
      </c>
      <c r="BL59" s="708">
        <f>BL57</f>
        <v>5.3058262703911396E-3</v>
      </c>
      <c r="BM59" s="703">
        <f>$BL59*(1-'Tier3Phase-in'!$J$12)</f>
        <v>5.3058262703911396E-3</v>
      </c>
      <c r="BN59" s="703">
        <f>$BL59*(1-'Tier3Phase-in'!$K$12)</f>
        <v>4.5952245377494693E-3</v>
      </c>
      <c r="BO59" s="703">
        <f>$BL59*(1-'Tier3Phase-in'!$L$12)</f>
        <v>4.0396631831387088E-3</v>
      </c>
      <c r="BP59" s="703">
        <f>$BL59*(1-'Tier3Phase-in'!$M$12)</f>
        <v>3.8135626318436316E-3</v>
      </c>
      <c r="BQ59" s="703">
        <f>$BL59*(1-'Tier3Phase-in'!$N$12)</f>
        <v>3.6145941467039641E-3</v>
      </c>
      <c r="BR59" s="703">
        <f>$BL59*(1-'Tier3Phase-in'!$O$12)</f>
        <v>3.3303534536472949E-3</v>
      </c>
      <c r="BS59" s="703">
        <f>$BL59*(1-'Tier3Phase-in'!$P$12)</f>
        <v>3.3232474363208788E-3</v>
      </c>
      <c r="BT59" s="703">
        <f>$BL59*(1-'Tier3Phase-in'!$Q$12)</f>
        <v>3.3161414189944623E-3</v>
      </c>
      <c r="BU59" s="705">
        <f>BU57</f>
        <v>7.3946099617738462E-3</v>
      </c>
      <c r="BV59" s="708">
        <f>BV57</f>
        <v>5.3320744383221251E-3</v>
      </c>
      <c r="BW59" s="703">
        <f>(1-'Tier3Phase-in'!$J$20)*BV59</f>
        <v>1.8129053090295223E-3</v>
      </c>
      <c r="BX59" s="705">
        <f>BX57</f>
        <v>1.9851331868638031E-3</v>
      </c>
      <c r="BY59" s="708">
        <f>BY57</f>
        <v>1.9761393487738787E-3</v>
      </c>
      <c r="BZ59" s="705">
        <f>BZ57</f>
        <v>2.8117075533197122E-3</v>
      </c>
      <c r="CA59" s="708">
        <f>CA57</f>
        <v>2.2928426708990206E-3</v>
      </c>
    </row>
    <row r="60" spans="1:79" x14ac:dyDescent="0.2">
      <c r="A60" s="690" t="str">
        <f>Technologies!C128</f>
        <v>TMCNGC10</v>
      </c>
      <c r="B60" s="690" t="str">
        <f>Technologies!D128</f>
        <v>Medium Duty Truck, CNG, 2010</v>
      </c>
      <c r="C60" s="705">
        <f>'Raw emissions'!D26*0.5+'Raw emissions'!D20*0.5</f>
        <v>1.364593534900058</v>
      </c>
      <c r="D60" s="706">
        <f>'Raw emissions'!E26*0.5+'Raw emissions'!E20*0.5</f>
        <v>0.62037710448809924</v>
      </c>
      <c r="E60" s="702">
        <f>$C60</f>
        <v>1.364593534900058</v>
      </c>
      <c r="F60" s="702">
        <f t="shared" ref="F60:L60" si="90">$C60</f>
        <v>1.364593534900058</v>
      </c>
      <c r="G60" s="702">
        <f t="shared" si="90"/>
        <v>1.364593534900058</v>
      </c>
      <c r="H60" s="702">
        <f t="shared" si="90"/>
        <v>1.364593534900058</v>
      </c>
      <c r="I60" s="702">
        <f t="shared" si="90"/>
        <v>1.364593534900058</v>
      </c>
      <c r="J60" s="702">
        <f t="shared" si="90"/>
        <v>1.364593534900058</v>
      </c>
      <c r="K60" s="702">
        <f t="shared" si="90"/>
        <v>1.364593534900058</v>
      </c>
      <c r="L60" s="702">
        <f t="shared" si="90"/>
        <v>1.364593534900058</v>
      </c>
      <c r="M60" s="705">
        <f>'Raw emissions'!J26*0.5+'Raw emissions'!J20*0.5</f>
        <v>6.8212302079523626E-2</v>
      </c>
      <c r="N60" s="706">
        <f>'Raw emissions'!K26*0.5+'Raw emissions'!K20*0.5</f>
        <v>6.3983130658135087E-2</v>
      </c>
      <c r="O60" s="702">
        <f>$M60</f>
        <v>6.8212302079523626E-2</v>
      </c>
      <c r="P60" s="702">
        <f t="shared" ref="P60:V60" si="91">$M60</f>
        <v>6.8212302079523626E-2</v>
      </c>
      <c r="Q60" s="702">
        <f t="shared" si="91"/>
        <v>6.8212302079523626E-2</v>
      </c>
      <c r="R60" s="702">
        <f t="shared" si="91"/>
        <v>6.8212302079523626E-2</v>
      </c>
      <c r="S60" s="702">
        <f t="shared" si="91"/>
        <v>6.8212302079523626E-2</v>
      </c>
      <c r="T60" s="702">
        <f t="shared" si="91"/>
        <v>6.8212302079523626E-2</v>
      </c>
      <c r="U60" s="702">
        <f t="shared" si="91"/>
        <v>6.8212302079523626E-2</v>
      </c>
      <c r="V60" s="702">
        <f t="shared" si="91"/>
        <v>6.8212302079523626E-2</v>
      </c>
      <c r="W60" s="705">
        <f>'Raw emissions'!M26*0.5+'Raw emissions'!M20*0.5</f>
        <v>2.9253607396581817E-2</v>
      </c>
      <c r="X60" s="706">
        <f>'Raw emissions'!N26*0.5+'Raw emissions'!N20*0.5</f>
        <v>2.5024342334571157E-2</v>
      </c>
      <c r="Y60" s="702">
        <f t="shared" ref="Y60:AF60" si="92">W60</f>
        <v>2.9253607396581817E-2</v>
      </c>
      <c r="Z60" s="702">
        <f t="shared" si="92"/>
        <v>2.5024342334571157E-2</v>
      </c>
      <c r="AA60" s="702">
        <f t="shared" si="92"/>
        <v>2.9253607396581817E-2</v>
      </c>
      <c r="AB60" s="702">
        <f t="shared" si="92"/>
        <v>2.5024342334571157E-2</v>
      </c>
      <c r="AC60" s="702">
        <f t="shared" si="92"/>
        <v>2.9253607396581817E-2</v>
      </c>
      <c r="AD60" s="702">
        <f t="shared" si="92"/>
        <v>2.5024342334571157E-2</v>
      </c>
      <c r="AE60" s="702">
        <f t="shared" si="92"/>
        <v>2.9253607396581817E-2</v>
      </c>
      <c r="AF60" s="702">
        <f t="shared" si="92"/>
        <v>2.5024342334571157E-2</v>
      </c>
      <c r="AG60" s="705">
        <f>'Raw emissions'!P26*0.5+'Raw emissions'!P20*0.5</f>
        <v>3.5482215009949756</v>
      </c>
      <c r="AH60" s="706">
        <f>'Raw emissions'!Q26*0.5+'Raw emissions'!Q20*0.5</f>
        <v>2.8437042031660607</v>
      </c>
      <c r="AI60" s="702">
        <f>$AG60</f>
        <v>3.5482215009949756</v>
      </c>
      <c r="AJ60" s="702">
        <f t="shared" ref="AJ60:AP60" si="93">$AG60</f>
        <v>3.5482215009949756</v>
      </c>
      <c r="AK60" s="702">
        <f t="shared" si="93"/>
        <v>3.5482215009949756</v>
      </c>
      <c r="AL60" s="702">
        <f t="shared" si="93"/>
        <v>3.5482215009949756</v>
      </c>
      <c r="AM60" s="702">
        <f t="shared" si="93"/>
        <v>3.5482215009949756</v>
      </c>
      <c r="AN60" s="702">
        <f t="shared" si="93"/>
        <v>3.5482215009949756</v>
      </c>
      <c r="AO60" s="702">
        <f t="shared" si="93"/>
        <v>3.5482215009949756</v>
      </c>
      <c r="AP60" s="702">
        <f t="shared" si="93"/>
        <v>3.5482215009949756</v>
      </c>
      <c r="AQ60" s="705">
        <f>'Raw emissions'!Y26*0.5+'Raw emissions'!Y20*0.5</f>
        <v>0.36617152561340605</v>
      </c>
      <c r="AR60" s="706">
        <f>'Raw emissions'!Z26*0.5+'Raw emissions'!Z20*0.5</f>
        <v>0.16600109371886845</v>
      </c>
      <c r="AS60" s="702">
        <f>$AQ60</f>
        <v>0.36617152561340605</v>
      </c>
      <c r="AT60" s="702">
        <f t="shared" ref="AT60:AZ60" si="94">$AQ60</f>
        <v>0.36617152561340605</v>
      </c>
      <c r="AU60" s="702">
        <f t="shared" si="94"/>
        <v>0.36617152561340605</v>
      </c>
      <c r="AV60" s="702">
        <f t="shared" si="94"/>
        <v>0.36617152561340605</v>
      </c>
      <c r="AW60" s="702">
        <f t="shared" si="94"/>
        <v>0.36617152561340605</v>
      </c>
      <c r="AX60" s="702">
        <f t="shared" si="94"/>
        <v>0.36617152561340605</v>
      </c>
      <c r="AY60" s="702">
        <f t="shared" si="94"/>
        <v>0.36617152561340605</v>
      </c>
      <c r="AZ60" s="702">
        <f t="shared" si="94"/>
        <v>0.36617152561340605</v>
      </c>
      <c r="BA60" s="705">
        <f>'Raw emissions'!AK26*0.5+'Raw emissions'!AK20*0.5</f>
        <v>5.1038368285963387E-3</v>
      </c>
      <c r="BB60" s="708">
        <f>'Raw emissions'!AL26*0.5+'Raw emissions'!AL20*0.5</f>
        <v>1.1459529381124805E-3</v>
      </c>
      <c r="BC60" s="703">
        <f>$BA60</f>
        <v>5.1038368285963387E-3</v>
      </c>
      <c r="BD60" s="703">
        <f t="shared" ref="BD60:BJ60" si="95">$BA60</f>
        <v>5.1038368285963387E-3</v>
      </c>
      <c r="BE60" s="703">
        <f t="shared" si="95"/>
        <v>5.1038368285963387E-3</v>
      </c>
      <c r="BF60" s="703">
        <f t="shared" si="95"/>
        <v>5.1038368285963387E-3</v>
      </c>
      <c r="BG60" s="703">
        <f t="shared" si="95"/>
        <v>5.1038368285963387E-3</v>
      </c>
      <c r="BH60" s="703">
        <f t="shared" si="95"/>
        <v>5.1038368285963387E-3</v>
      </c>
      <c r="BI60" s="703">
        <f t="shared" si="95"/>
        <v>5.1038368285963387E-3</v>
      </c>
      <c r="BJ60" s="703">
        <f t="shared" si="95"/>
        <v>5.1038368285963387E-3</v>
      </c>
      <c r="BK60" s="705">
        <f>'Raw emissions'!AG26*0.5+'Raw emissions'!AG20*0.5</f>
        <v>4.38199161915356E-3</v>
      </c>
      <c r="BL60" s="708">
        <f>'Raw emissions'!AI26*0.5+'Raw emissions'!AI20*0.5</f>
        <v>2.502434233457116E-3</v>
      </c>
      <c r="BM60" s="703">
        <f>$BK60</f>
        <v>4.38199161915356E-3</v>
      </c>
      <c r="BN60" s="703">
        <f t="shared" ref="BN60:BT60" si="96">$BK60</f>
        <v>4.38199161915356E-3</v>
      </c>
      <c r="BO60" s="703">
        <f t="shared" si="96"/>
        <v>4.38199161915356E-3</v>
      </c>
      <c r="BP60" s="703">
        <f t="shared" si="96"/>
        <v>4.38199161915356E-3</v>
      </c>
      <c r="BQ60" s="703">
        <f t="shared" si="96"/>
        <v>4.38199161915356E-3</v>
      </c>
      <c r="BR60" s="703">
        <f t="shared" si="96"/>
        <v>4.38199161915356E-3</v>
      </c>
      <c r="BS60" s="703">
        <f t="shared" si="96"/>
        <v>4.38199161915356E-3</v>
      </c>
      <c r="BT60" s="703">
        <f t="shared" si="96"/>
        <v>4.38199161915356E-3</v>
      </c>
      <c r="BU60" s="705">
        <f>'Raw emissions'!G26*0.5+'Raw emissions'!G20*0.5</f>
        <v>4.6116202389280114E-3</v>
      </c>
      <c r="BV60" s="708">
        <f>'Raw emissions'!H26*0.5+'Raw emissions'!H20*0.5</f>
        <v>3.5098496656176112E-3</v>
      </c>
      <c r="BW60" s="703">
        <f>(1-'Tier3Phase-in'!$J$20)*BV60</f>
        <v>1.1933488863099878E-3</v>
      </c>
      <c r="BX60" s="705">
        <f>'Raw emissions'!V26*0.5+'Raw emissions'!V20*0.5</f>
        <v>3.3987825048925585E-2</v>
      </c>
      <c r="BY60" s="708">
        <f>'Raw emissions'!W26*0.5+'Raw emissions'!W20*0.5</f>
        <v>9.6891130072953684E-3</v>
      </c>
      <c r="BZ60" s="705">
        <f>'Raw emissions'!S26*0.5+'Raw emissions'!S20*0.5</f>
        <v>9.0519152363395163E-3</v>
      </c>
      <c r="CA60" s="708">
        <f>'Raw emissions'!T26*0.5+'Raw emissions'!T20*0.5</f>
        <v>4.2359146298120666E-3</v>
      </c>
    </row>
    <row r="61" spans="1:79" x14ac:dyDescent="0.2">
      <c r="A61" s="690" t="str">
        <f>Technologies!C129</f>
        <v>TMCNGC</v>
      </c>
      <c r="B61" s="690" t="str">
        <f>Technologies!D129</f>
        <v>Medium Duty Truck, Conventional CNG</v>
      </c>
      <c r="C61" s="705">
        <f>'Raw emissions'!D26*0.5+'Raw emissions'!D20*0.5</f>
        <v>1.364593534900058</v>
      </c>
      <c r="D61" s="706">
        <f>'Raw emissions'!E26*0.5+'Raw emissions'!E20*0.5</f>
        <v>0.62037710448809924</v>
      </c>
      <c r="E61" s="702">
        <f>$D61*(1-'Tier3Phase-in'!$J$12)</f>
        <v>0.62037710448809924</v>
      </c>
      <c r="F61" s="702">
        <f>$D61*(1-'Tier3Phase-in'!$K$12)</f>
        <v>0.53729088513701451</v>
      </c>
      <c r="G61" s="702">
        <f>$D61*(1-'Tier3Phase-in'!$L$12)</f>
        <v>0.47233256818980285</v>
      </c>
      <c r="H61" s="702">
        <f>$D61*(1-'Tier3Phase-in'!$M$12)</f>
        <v>0.44589604385082132</v>
      </c>
      <c r="I61" s="702">
        <f>$D61*(1-'Tier3Phase-in'!$N$12)</f>
        <v>0.42263190243251764</v>
      </c>
      <c r="J61" s="702">
        <f>$D61*(1-'Tier3Phase-in'!$O$12)</f>
        <v>0.38939741469208367</v>
      </c>
      <c r="K61" s="702">
        <f>$D61*(1-'Tier3Phase-in'!$P$12)</f>
        <v>0.38856655249857286</v>
      </c>
      <c r="L61" s="702">
        <f>$D61*(1-'Tier3Phase-in'!$Q$12)</f>
        <v>0.38773569030506205</v>
      </c>
      <c r="M61" s="705">
        <f>'Raw emissions'!J26*0.5+'Raw emissions'!J20*0.5</f>
        <v>6.8212302079523626E-2</v>
      </c>
      <c r="N61" s="706">
        <f>'Raw emissions'!K26*0.5+'Raw emissions'!K20*0.5</f>
        <v>6.3983130658135087E-2</v>
      </c>
      <c r="O61" s="702">
        <f>$N61*(1-'Tier3Phase-in'!$J$12)</f>
        <v>6.3983130658135087E-2</v>
      </c>
      <c r="P61" s="702">
        <f>$N61*(1-'Tier3Phase-in'!$K$12)</f>
        <v>5.5413961373563428E-2</v>
      </c>
      <c r="Q61" s="702">
        <f>$N61*(1-'Tier3Phase-in'!$L$12)</f>
        <v>4.8714429023807397E-2</v>
      </c>
      <c r="R61" s="702">
        <f>$N61*(1-'Tier3Phase-in'!$M$12)</f>
        <v>4.5987875160534597E-2</v>
      </c>
      <c r="S61" s="702">
        <f>$N61*(1-'Tier3Phase-in'!$N$12)</f>
        <v>4.3588507760854531E-2</v>
      </c>
      <c r="T61" s="702">
        <f>$N61*(1-'Tier3Phase-in'!$O$12)</f>
        <v>4.0160840047025852E-2</v>
      </c>
      <c r="U61" s="702">
        <f>$N61*(1-'Tier3Phase-in'!$P$12)</f>
        <v>4.0075148354180141E-2</v>
      </c>
      <c r="V61" s="702">
        <f>$N61*(1-'Tier3Phase-in'!$Q$12)</f>
        <v>3.9989456661334431E-2</v>
      </c>
      <c r="W61" s="705">
        <f>'Raw emissions'!M26*0.5+'Raw emissions'!M20*0.5</f>
        <v>2.9253607396581817E-2</v>
      </c>
      <c r="X61" s="706">
        <f>'Raw emissions'!N26*0.5+'Raw emissions'!N20*0.5</f>
        <v>2.5024342334571157E-2</v>
      </c>
      <c r="Y61" s="702">
        <f>$X61*(1-'Tier3Phase-in'!$J$12)</f>
        <v>2.5024342334571157E-2</v>
      </c>
      <c r="Z61" s="702">
        <f>$X61*(1-'Tier3Phase-in'!$K$12)</f>
        <v>2.1672867914762521E-2</v>
      </c>
      <c r="AA61" s="702">
        <f>$X61*(1-'Tier3Phase-in'!$L$12)</f>
        <v>1.9052624277457585E-2</v>
      </c>
      <c r="AB61" s="702">
        <f>$X61*(1-'Tier3Phase-in'!$M$12)</f>
        <v>1.7986246052973019E-2</v>
      </c>
      <c r="AC61" s="702">
        <f>$X61*(1-'Tier3Phase-in'!$N$12)</f>
        <v>1.7047833215426602E-2</v>
      </c>
      <c r="AD61" s="702">
        <f>$X61*(1-'Tier3Phase-in'!$O$12)</f>
        <v>1.5707243447503141E-2</v>
      </c>
      <c r="AE61" s="702">
        <f>$X61*(1-'Tier3Phase-in'!$P$12)</f>
        <v>1.5673728703305058E-2</v>
      </c>
      <c r="AF61" s="702">
        <f>$X61*(1-'Tier3Phase-in'!$Q$12)</f>
        <v>1.5640213959106974E-2</v>
      </c>
      <c r="AG61" s="705">
        <f>'Raw emissions'!P26*0.5+'Raw emissions'!P20*0.5</f>
        <v>3.5482215009949756</v>
      </c>
      <c r="AH61" s="706">
        <f>'Raw emissions'!Q26*0.5+'Raw emissions'!Q20*0.5</f>
        <v>2.8437042031660607</v>
      </c>
      <c r="AI61" s="702">
        <f>$AH61*(1-'Tier3Phase-in'!$J$12)</f>
        <v>2.8437042031660607</v>
      </c>
      <c r="AJ61" s="702">
        <f>$AH61*(1-'Tier3Phase-in'!$K$12)</f>
        <v>2.4628509616706062</v>
      </c>
      <c r="AK61" s="702">
        <f>$AH61*(1-'Tier3Phase-in'!$L$12)</f>
        <v>2.165092972865069</v>
      </c>
      <c r="AL61" s="702">
        <f>$AH61*(1-'Tier3Phase-in'!$M$12)</f>
        <v>2.0439123960256063</v>
      </c>
      <c r="AM61" s="702">
        <f>$AH61*(1-'Tier3Phase-in'!$N$12)</f>
        <v>1.937273488406879</v>
      </c>
      <c r="AN61" s="702">
        <f>$AH61*(1-'Tier3Phase-in'!$O$12)</f>
        <v>1.7849321918086967</v>
      </c>
      <c r="AO61" s="702">
        <f>$AH61*(1-'Tier3Phase-in'!$P$12)</f>
        <v>1.7811236593937423</v>
      </c>
      <c r="AP61" s="702">
        <f>$AH61*(1-'Tier3Phase-in'!$Q$12)</f>
        <v>1.7773151269787879</v>
      </c>
      <c r="AQ61" s="705">
        <f>'Raw emissions'!Y26*0.5+'Raw emissions'!Y20*0.5</f>
        <v>0.36617152561340605</v>
      </c>
      <c r="AR61" s="706">
        <f>'Raw emissions'!Z26*0.5+'Raw emissions'!Z20*0.5</f>
        <v>0.16600109371886845</v>
      </c>
      <c r="AS61" s="702">
        <f>$AR61*(1-'Tier3Phase-in'!$J$12)</f>
        <v>0.16600109371886845</v>
      </c>
      <c r="AT61" s="702">
        <f>$AR61*(1-'Tier3Phase-in'!$K$12)</f>
        <v>0.14376880438152001</v>
      </c>
      <c r="AU61" s="702">
        <f>$AR61*(1-'Tier3Phase-in'!$L$12)</f>
        <v>0.12638719635413848</v>
      </c>
      <c r="AV61" s="702">
        <f>$AR61*(1-'Tier3Phase-in'!$M$12)</f>
        <v>0.11931328611043671</v>
      </c>
      <c r="AW61" s="702">
        <f>$AR61*(1-'Tier3Phase-in'!$N$12)</f>
        <v>0.11308824509597913</v>
      </c>
      <c r="AX61" s="702">
        <f>$AR61*(1-'Tier3Phase-in'!$O$12)</f>
        <v>0.10419532936103973</v>
      </c>
      <c r="AY61" s="702">
        <f>$AR61*(1-'Tier3Phase-in'!$P$12)</f>
        <v>0.10397300646766626</v>
      </c>
      <c r="AZ61" s="702">
        <f>$AR61*(1-'Tier3Phase-in'!$Q$12)</f>
        <v>0.10375068357429279</v>
      </c>
      <c r="BA61" s="705">
        <f>'Raw emissions'!AK26*0.5+'Raw emissions'!AK20*0.5</f>
        <v>5.1038368285963387E-3</v>
      </c>
      <c r="BB61" s="708">
        <f>'Raw emissions'!AL26*0.5+'Raw emissions'!AL20*0.5</f>
        <v>1.1459529381124805E-3</v>
      </c>
      <c r="BC61" s="703">
        <f>$BB61*(1-'Tier3Phase-in'!$J$12)</f>
        <v>1.1459529381124805E-3</v>
      </c>
      <c r="BD61" s="703">
        <f>$BB61*(1-'Tier3Phase-in'!$K$12)</f>
        <v>9.924770981867019E-4</v>
      </c>
      <c r="BE61" s="703">
        <f>$BB61*(1-'Tier3Phase-in'!$L$12)</f>
        <v>8.7248689606291127E-4</v>
      </c>
      <c r="BF61" s="703">
        <f>$BB61*(1-'Tier3Phase-in'!$M$12)</f>
        <v>8.236536742683453E-4</v>
      </c>
      <c r="BG61" s="703">
        <f>$BB61*(1-'Tier3Phase-in'!$N$12)</f>
        <v>7.8068043908912732E-4</v>
      </c>
      <c r="BH61" s="703">
        <f>$BB61*(1-'Tier3Phase-in'!$O$12)</f>
        <v>7.1929010311881571E-4</v>
      </c>
      <c r="BI61" s="703">
        <f>$BB61*(1-'Tier3Phase-in'!$P$12)</f>
        <v>7.1775534471955806E-4</v>
      </c>
      <c r="BJ61" s="703">
        <f>$BB61*(1-'Tier3Phase-in'!$Q$12)</f>
        <v>7.162205863203003E-4</v>
      </c>
      <c r="BK61" s="705">
        <f>'Raw emissions'!AG26*0.5+'Raw emissions'!AG20*0.5</f>
        <v>4.38199161915356E-3</v>
      </c>
      <c r="BL61" s="708">
        <f>'Raw emissions'!AI26*0.5+'Raw emissions'!AI20*0.5</f>
        <v>2.502434233457116E-3</v>
      </c>
      <c r="BM61" s="703">
        <f>$BL61*(1-'Tier3Phase-in'!$J$12)</f>
        <v>2.502434233457116E-3</v>
      </c>
      <c r="BN61" s="703">
        <f>$BL61*(1-'Tier3Phase-in'!$K$12)</f>
        <v>2.1672867914762522E-3</v>
      </c>
      <c r="BO61" s="703">
        <f>$BL61*(1-'Tier3Phase-in'!$L$12)</f>
        <v>1.9052624277457587E-3</v>
      </c>
      <c r="BP61" s="703">
        <f>$BL61*(1-'Tier3Phase-in'!$M$12)</f>
        <v>1.7986246052973023E-3</v>
      </c>
      <c r="BQ61" s="703">
        <f>$BL61*(1-'Tier3Phase-in'!$N$12)</f>
        <v>1.7047833215426604E-3</v>
      </c>
      <c r="BR61" s="703">
        <f>$BL61*(1-'Tier3Phase-in'!$O$12)</f>
        <v>1.5707243447503146E-3</v>
      </c>
      <c r="BS61" s="703">
        <f>$BL61*(1-'Tier3Phase-in'!$P$12)</f>
        <v>1.5673728703305061E-3</v>
      </c>
      <c r="BT61" s="703">
        <f>$BL61*(1-'Tier3Phase-in'!$Q$12)</f>
        <v>1.5640213959106975E-3</v>
      </c>
      <c r="BU61" s="705">
        <f>'Raw emissions'!G26*0.5+'Raw emissions'!G20*0.5</f>
        <v>4.6116202389280114E-3</v>
      </c>
      <c r="BV61" s="708">
        <f>'Raw emissions'!H26*0.5+'Raw emissions'!H20*0.5</f>
        <v>3.5098496656176112E-3</v>
      </c>
      <c r="BW61" s="703">
        <f>(1-'Tier3Phase-in'!$J$20)*BV61</f>
        <v>1.1933488863099878E-3</v>
      </c>
      <c r="BX61" s="705">
        <f>'Raw emissions'!V26*0.5+'Raw emissions'!V20*0.5</f>
        <v>3.3987825048925585E-2</v>
      </c>
      <c r="BY61" s="708">
        <f>'Raw emissions'!W26*0.5+'Raw emissions'!W20*0.5</f>
        <v>9.6891130072953684E-3</v>
      </c>
      <c r="BZ61" s="705">
        <f>'Raw emissions'!S26*0.5+'Raw emissions'!S20*0.5</f>
        <v>9.0519152363395163E-3</v>
      </c>
      <c r="CA61" s="708">
        <f>'Raw emissions'!T26*0.5+'Raw emissions'!T20*0.5</f>
        <v>4.2359146298120666E-3</v>
      </c>
    </row>
    <row r="62" spans="1:79" x14ac:dyDescent="0.2">
      <c r="A62" s="690" t="str">
        <f>Technologies!C130</f>
        <v>TMCNGIM</v>
      </c>
      <c r="B62" s="690" t="str">
        <f>Technologies!D130</f>
        <v>Medium Duty Truck, Improved CNG</v>
      </c>
      <c r="C62" s="705">
        <f>C61</f>
        <v>1.364593534900058</v>
      </c>
      <c r="D62" s="706">
        <f>D61</f>
        <v>0.62037710448809924</v>
      </c>
      <c r="E62" s="702">
        <f>$D62*(1-'Tier3Phase-in'!$J$12)</f>
        <v>0.62037710448809924</v>
      </c>
      <c r="F62" s="702">
        <f>$D62*(1-'Tier3Phase-in'!$K$12)</f>
        <v>0.53729088513701451</v>
      </c>
      <c r="G62" s="702">
        <f>$D62*(1-'Tier3Phase-in'!$L$12)</f>
        <v>0.47233256818980285</v>
      </c>
      <c r="H62" s="702">
        <f>$D62*(1-'Tier3Phase-in'!$M$12)</f>
        <v>0.44589604385082132</v>
      </c>
      <c r="I62" s="702">
        <f>$D62*(1-'Tier3Phase-in'!$N$12)</f>
        <v>0.42263190243251764</v>
      </c>
      <c r="J62" s="702">
        <f>$D62*(1-'Tier3Phase-in'!$O$12)</f>
        <v>0.38939741469208367</v>
      </c>
      <c r="K62" s="702">
        <f>$D62*(1-'Tier3Phase-in'!$P$12)</f>
        <v>0.38856655249857286</v>
      </c>
      <c r="L62" s="702">
        <f>$D62*(1-'Tier3Phase-in'!$Q$12)</f>
        <v>0.38773569030506205</v>
      </c>
      <c r="M62" s="705">
        <f>M61</f>
        <v>6.8212302079523626E-2</v>
      </c>
      <c r="N62" s="706">
        <f>N61</f>
        <v>6.3983130658135087E-2</v>
      </c>
      <c r="O62" s="702">
        <f>$N62*(1-'Tier3Phase-in'!$J$12)</f>
        <v>6.3983130658135087E-2</v>
      </c>
      <c r="P62" s="702">
        <f>$N62*(1-'Tier3Phase-in'!$K$12)</f>
        <v>5.5413961373563428E-2</v>
      </c>
      <c r="Q62" s="702">
        <f>$N62*(1-'Tier3Phase-in'!$L$12)</f>
        <v>4.8714429023807397E-2</v>
      </c>
      <c r="R62" s="702">
        <f>$N62*(1-'Tier3Phase-in'!$M$12)</f>
        <v>4.5987875160534597E-2</v>
      </c>
      <c r="S62" s="702">
        <f>$N62*(1-'Tier3Phase-in'!$N$12)</f>
        <v>4.3588507760854531E-2</v>
      </c>
      <c r="T62" s="702">
        <f>$N62*(1-'Tier3Phase-in'!$O$12)</f>
        <v>4.0160840047025852E-2</v>
      </c>
      <c r="U62" s="702">
        <f>$N62*(1-'Tier3Phase-in'!$P$12)</f>
        <v>4.0075148354180141E-2</v>
      </c>
      <c r="V62" s="702">
        <f>$N62*(1-'Tier3Phase-in'!$Q$12)</f>
        <v>3.9989456661334431E-2</v>
      </c>
      <c r="W62" s="705">
        <f>W61</f>
        <v>2.9253607396581817E-2</v>
      </c>
      <c r="X62" s="706">
        <f>X61</f>
        <v>2.5024342334571157E-2</v>
      </c>
      <c r="Y62" s="702">
        <f>$X62*(1-'Tier3Phase-in'!$J$12)</f>
        <v>2.5024342334571157E-2</v>
      </c>
      <c r="Z62" s="702">
        <f>$X62*(1-'Tier3Phase-in'!$K$12)</f>
        <v>2.1672867914762521E-2</v>
      </c>
      <c r="AA62" s="702">
        <f>$X62*(1-'Tier3Phase-in'!$L$12)</f>
        <v>1.9052624277457585E-2</v>
      </c>
      <c r="AB62" s="702">
        <f>$X62*(1-'Tier3Phase-in'!$M$12)</f>
        <v>1.7986246052973019E-2</v>
      </c>
      <c r="AC62" s="702">
        <f>$X62*(1-'Tier3Phase-in'!$N$12)</f>
        <v>1.7047833215426602E-2</v>
      </c>
      <c r="AD62" s="702">
        <f>$X62*(1-'Tier3Phase-in'!$O$12)</f>
        <v>1.5707243447503141E-2</v>
      </c>
      <c r="AE62" s="702">
        <f>$X62*(1-'Tier3Phase-in'!$P$12)</f>
        <v>1.5673728703305058E-2</v>
      </c>
      <c r="AF62" s="702">
        <f>$X62*(1-'Tier3Phase-in'!$Q$12)</f>
        <v>1.5640213959106974E-2</v>
      </c>
      <c r="AG62" s="705">
        <f>AG61</f>
        <v>3.5482215009949756</v>
      </c>
      <c r="AH62" s="706">
        <f>AH61</f>
        <v>2.8437042031660607</v>
      </c>
      <c r="AI62" s="702">
        <f>$AH62*(1-'Tier3Phase-in'!$J$12)</f>
        <v>2.8437042031660607</v>
      </c>
      <c r="AJ62" s="702">
        <f>$AH62*(1-'Tier3Phase-in'!$K$12)</f>
        <v>2.4628509616706062</v>
      </c>
      <c r="AK62" s="702">
        <f>$AH62*(1-'Tier3Phase-in'!$L$12)</f>
        <v>2.165092972865069</v>
      </c>
      <c r="AL62" s="702">
        <f>$AH62*(1-'Tier3Phase-in'!$M$12)</f>
        <v>2.0439123960256063</v>
      </c>
      <c r="AM62" s="702">
        <f>$AH62*(1-'Tier3Phase-in'!$N$12)</f>
        <v>1.937273488406879</v>
      </c>
      <c r="AN62" s="702">
        <f>$AH62*(1-'Tier3Phase-in'!$O$12)</f>
        <v>1.7849321918086967</v>
      </c>
      <c r="AO62" s="702">
        <f>$AH62*(1-'Tier3Phase-in'!$P$12)</f>
        <v>1.7811236593937423</v>
      </c>
      <c r="AP62" s="702">
        <f>$AH62*(1-'Tier3Phase-in'!$Q$12)</f>
        <v>1.7773151269787879</v>
      </c>
      <c r="AQ62" s="705">
        <f>AQ61</f>
        <v>0.36617152561340605</v>
      </c>
      <c r="AR62" s="706">
        <f>AR61</f>
        <v>0.16600109371886845</v>
      </c>
      <c r="AS62" s="702">
        <f>$AR62*(1-'Tier3Phase-in'!$J$12)</f>
        <v>0.16600109371886845</v>
      </c>
      <c r="AT62" s="702">
        <f>$AR62*(1-'Tier3Phase-in'!$K$12)</f>
        <v>0.14376880438152001</v>
      </c>
      <c r="AU62" s="702">
        <f>$AR62*(1-'Tier3Phase-in'!$L$12)</f>
        <v>0.12638719635413848</v>
      </c>
      <c r="AV62" s="702">
        <f>$AR62*(1-'Tier3Phase-in'!$M$12)</f>
        <v>0.11931328611043671</v>
      </c>
      <c r="AW62" s="702">
        <f>$AR62*(1-'Tier3Phase-in'!$N$12)</f>
        <v>0.11308824509597913</v>
      </c>
      <c r="AX62" s="702">
        <f>$AR62*(1-'Tier3Phase-in'!$O$12)</f>
        <v>0.10419532936103973</v>
      </c>
      <c r="AY62" s="702">
        <f>$AR62*(1-'Tier3Phase-in'!$P$12)</f>
        <v>0.10397300646766626</v>
      </c>
      <c r="AZ62" s="702">
        <f>$AR62*(1-'Tier3Phase-in'!$Q$12)</f>
        <v>0.10375068357429279</v>
      </c>
      <c r="BA62" s="705">
        <f>BA61</f>
        <v>5.1038368285963387E-3</v>
      </c>
      <c r="BB62" s="708">
        <f>BB61</f>
        <v>1.1459529381124805E-3</v>
      </c>
      <c r="BC62" s="703">
        <f>$BB62*(1-'Tier3Phase-in'!$J$12)</f>
        <v>1.1459529381124805E-3</v>
      </c>
      <c r="BD62" s="703">
        <f>$BB62*(1-'Tier3Phase-in'!$K$12)</f>
        <v>9.924770981867019E-4</v>
      </c>
      <c r="BE62" s="703">
        <f>$BB62*(1-'Tier3Phase-in'!$L$12)</f>
        <v>8.7248689606291127E-4</v>
      </c>
      <c r="BF62" s="703">
        <f>$BB62*(1-'Tier3Phase-in'!$M$12)</f>
        <v>8.236536742683453E-4</v>
      </c>
      <c r="BG62" s="703">
        <f>$BB62*(1-'Tier3Phase-in'!$N$12)</f>
        <v>7.8068043908912732E-4</v>
      </c>
      <c r="BH62" s="703">
        <f>$BB62*(1-'Tier3Phase-in'!$O$12)</f>
        <v>7.1929010311881571E-4</v>
      </c>
      <c r="BI62" s="703">
        <f>$BB62*(1-'Tier3Phase-in'!$P$12)</f>
        <v>7.1775534471955806E-4</v>
      </c>
      <c r="BJ62" s="703">
        <f>$BB62*(1-'Tier3Phase-in'!$Q$12)</f>
        <v>7.162205863203003E-4</v>
      </c>
      <c r="BK62" s="705">
        <f>BK61</f>
        <v>4.38199161915356E-3</v>
      </c>
      <c r="BL62" s="708">
        <f>BL61</f>
        <v>2.502434233457116E-3</v>
      </c>
      <c r="BM62" s="703">
        <f>$BL62*(1-'Tier3Phase-in'!$J$12)</f>
        <v>2.502434233457116E-3</v>
      </c>
      <c r="BN62" s="703">
        <f>$BL62*(1-'Tier3Phase-in'!$K$12)</f>
        <v>2.1672867914762522E-3</v>
      </c>
      <c r="BO62" s="703">
        <f>$BL62*(1-'Tier3Phase-in'!$L$12)</f>
        <v>1.9052624277457587E-3</v>
      </c>
      <c r="BP62" s="703">
        <f>$BL62*(1-'Tier3Phase-in'!$M$12)</f>
        <v>1.7986246052973023E-3</v>
      </c>
      <c r="BQ62" s="703">
        <f>$BL62*(1-'Tier3Phase-in'!$N$12)</f>
        <v>1.7047833215426604E-3</v>
      </c>
      <c r="BR62" s="703">
        <f>$BL62*(1-'Tier3Phase-in'!$O$12)</f>
        <v>1.5707243447503146E-3</v>
      </c>
      <c r="BS62" s="703">
        <f>$BL62*(1-'Tier3Phase-in'!$P$12)</f>
        <v>1.5673728703305061E-3</v>
      </c>
      <c r="BT62" s="703">
        <f>$BL62*(1-'Tier3Phase-in'!$Q$12)</f>
        <v>1.5640213959106975E-3</v>
      </c>
      <c r="BU62" s="705">
        <f>BU61</f>
        <v>4.6116202389280114E-3</v>
      </c>
      <c r="BV62" s="708">
        <f>BV61</f>
        <v>3.5098496656176112E-3</v>
      </c>
      <c r="BW62" s="703">
        <f>(1-'Tier3Phase-in'!$J$20)*BV62</f>
        <v>1.1933488863099878E-3</v>
      </c>
      <c r="BX62" s="705">
        <f t="shared" ref="BX62:CA63" si="97">BX61</f>
        <v>3.3987825048925585E-2</v>
      </c>
      <c r="BY62" s="708">
        <f t="shared" si="97"/>
        <v>9.6891130072953684E-3</v>
      </c>
      <c r="BZ62" s="705">
        <f t="shared" si="97"/>
        <v>9.0519152363395163E-3</v>
      </c>
      <c r="CA62" s="708">
        <f t="shared" si="97"/>
        <v>4.2359146298120666E-3</v>
      </c>
    </row>
    <row r="63" spans="1:79" x14ac:dyDescent="0.2">
      <c r="A63" s="690" t="str">
        <f>Technologies!C131</f>
        <v>TMCNGAH</v>
      </c>
      <c r="B63" s="690" t="str">
        <f>Technologies!D131</f>
        <v>Medium Duty Truck, Advanced Hybrid CNG</v>
      </c>
      <c r="C63" s="705">
        <f>C62</f>
        <v>1.364593534900058</v>
      </c>
      <c r="D63" s="706">
        <f>D62</f>
        <v>0.62037710448809924</v>
      </c>
      <c r="E63" s="702">
        <f>$D63*(1-'Tier3Phase-in'!$J$12)</f>
        <v>0.62037710448809924</v>
      </c>
      <c r="F63" s="702">
        <f>$D63*(1-'Tier3Phase-in'!$K$12)</f>
        <v>0.53729088513701451</v>
      </c>
      <c r="G63" s="702">
        <f>$D63*(1-'Tier3Phase-in'!$L$12)</f>
        <v>0.47233256818980285</v>
      </c>
      <c r="H63" s="702">
        <f>$D63*(1-'Tier3Phase-in'!$M$12)</f>
        <v>0.44589604385082132</v>
      </c>
      <c r="I63" s="702">
        <f>$D63*(1-'Tier3Phase-in'!$N$12)</f>
        <v>0.42263190243251764</v>
      </c>
      <c r="J63" s="702">
        <f>$D63*(1-'Tier3Phase-in'!$O$12)</f>
        <v>0.38939741469208367</v>
      </c>
      <c r="K63" s="702">
        <f>$D63*(1-'Tier3Phase-in'!$P$12)</f>
        <v>0.38856655249857286</v>
      </c>
      <c r="L63" s="702">
        <f>$D63*(1-'Tier3Phase-in'!$Q$12)</f>
        <v>0.38773569030506205</v>
      </c>
      <c r="M63" s="705">
        <f>M62</f>
        <v>6.8212302079523626E-2</v>
      </c>
      <c r="N63" s="706">
        <f>N62</f>
        <v>6.3983130658135087E-2</v>
      </c>
      <c r="O63" s="702">
        <f>$N63*(1-'Tier3Phase-in'!$J$12)</f>
        <v>6.3983130658135087E-2</v>
      </c>
      <c r="P63" s="702">
        <f>$N63*(1-'Tier3Phase-in'!$K$12)</f>
        <v>5.5413961373563428E-2</v>
      </c>
      <c r="Q63" s="702">
        <f>$N63*(1-'Tier3Phase-in'!$L$12)</f>
        <v>4.8714429023807397E-2</v>
      </c>
      <c r="R63" s="702">
        <f>$N63*(1-'Tier3Phase-in'!$M$12)</f>
        <v>4.5987875160534597E-2</v>
      </c>
      <c r="S63" s="702">
        <f>$N63*(1-'Tier3Phase-in'!$N$12)</f>
        <v>4.3588507760854531E-2</v>
      </c>
      <c r="T63" s="702">
        <f>$N63*(1-'Tier3Phase-in'!$O$12)</f>
        <v>4.0160840047025852E-2</v>
      </c>
      <c r="U63" s="702">
        <f>$N63*(1-'Tier3Phase-in'!$P$12)</f>
        <v>4.0075148354180141E-2</v>
      </c>
      <c r="V63" s="702">
        <f>$N63*(1-'Tier3Phase-in'!$Q$12)</f>
        <v>3.9989456661334431E-2</v>
      </c>
      <c r="W63" s="705">
        <f>W62</f>
        <v>2.9253607396581817E-2</v>
      </c>
      <c r="X63" s="706">
        <f>X62</f>
        <v>2.5024342334571157E-2</v>
      </c>
      <c r="Y63" s="702">
        <f>$X63*(1-'Tier3Phase-in'!$J$12)</f>
        <v>2.5024342334571157E-2</v>
      </c>
      <c r="Z63" s="702">
        <f>$X63*(1-'Tier3Phase-in'!$K$12)</f>
        <v>2.1672867914762521E-2</v>
      </c>
      <c r="AA63" s="702">
        <f>$X63*(1-'Tier3Phase-in'!$L$12)</f>
        <v>1.9052624277457585E-2</v>
      </c>
      <c r="AB63" s="702">
        <f>$X63*(1-'Tier3Phase-in'!$M$12)</f>
        <v>1.7986246052973019E-2</v>
      </c>
      <c r="AC63" s="702">
        <f>$X63*(1-'Tier3Phase-in'!$N$12)</f>
        <v>1.7047833215426602E-2</v>
      </c>
      <c r="AD63" s="702">
        <f>$X63*(1-'Tier3Phase-in'!$O$12)</f>
        <v>1.5707243447503141E-2</v>
      </c>
      <c r="AE63" s="702">
        <f>$X63*(1-'Tier3Phase-in'!$P$12)</f>
        <v>1.5673728703305058E-2</v>
      </c>
      <c r="AF63" s="702">
        <f>$X63*(1-'Tier3Phase-in'!$Q$12)</f>
        <v>1.5640213959106974E-2</v>
      </c>
      <c r="AG63" s="705">
        <f>AG62</f>
        <v>3.5482215009949756</v>
      </c>
      <c r="AH63" s="706">
        <f>AH62</f>
        <v>2.8437042031660607</v>
      </c>
      <c r="AI63" s="702">
        <f>$AH63*(1-'Tier3Phase-in'!$J$12)</f>
        <v>2.8437042031660607</v>
      </c>
      <c r="AJ63" s="702">
        <f>$AH63*(1-'Tier3Phase-in'!$K$12)</f>
        <v>2.4628509616706062</v>
      </c>
      <c r="AK63" s="702">
        <f>$AH63*(1-'Tier3Phase-in'!$L$12)</f>
        <v>2.165092972865069</v>
      </c>
      <c r="AL63" s="702">
        <f>$AH63*(1-'Tier3Phase-in'!$M$12)</f>
        <v>2.0439123960256063</v>
      </c>
      <c r="AM63" s="702">
        <f>$AH63*(1-'Tier3Phase-in'!$N$12)</f>
        <v>1.937273488406879</v>
      </c>
      <c r="AN63" s="702">
        <f>$AH63*(1-'Tier3Phase-in'!$O$12)</f>
        <v>1.7849321918086967</v>
      </c>
      <c r="AO63" s="702">
        <f>$AH63*(1-'Tier3Phase-in'!$P$12)</f>
        <v>1.7811236593937423</v>
      </c>
      <c r="AP63" s="702">
        <f>$AH63*(1-'Tier3Phase-in'!$Q$12)</f>
        <v>1.7773151269787879</v>
      </c>
      <c r="AQ63" s="705">
        <f>AQ62</f>
        <v>0.36617152561340605</v>
      </c>
      <c r="AR63" s="706">
        <f>AR62</f>
        <v>0.16600109371886845</v>
      </c>
      <c r="AS63" s="702">
        <f>$AR63*(1-'Tier3Phase-in'!$J$12)</f>
        <v>0.16600109371886845</v>
      </c>
      <c r="AT63" s="702">
        <f>$AR63*(1-'Tier3Phase-in'!$K$12)</f>
        <v>0.14376880438152001</v>
      </c>
      <c r="AU63" s="702">
        <f>$AR63*(1-'Tier3Phase-in'!$L$12)</f>
        <v>0.12638719635413848</v>
      </c>
      <c r="AV63" s="702">
        <f>$AR63*(1-'Tier3Phase-in'!$M$12)</f>
        <v>0.11931328611043671</v>
      </c>
      <c r="AW63" s="702">
        <f>$AR63*(1-'Tier3Phase-in'!$N$12)</f>
        <v>0.11308824509597913</v>
      </c>
      <c r="AX63" s="702">
        <f>$AR63*(1-'Tier3Phase-in'!$O$12)</f>
        <v>0.10419532936103973</v>
      </c>
      <c r="AY63" s="702">
        <f>$AR63*(1-'Tier3Phase-in'!$P$12)</f>
        <v>0.10397300646766626</v>
      </c>
      <c r="AZ63" s="702">
        <f>$AR63*(1-'Tier3Phase-in'!$Q$12)</f>
        <v>0.10375068357429279</v>
      </c>
      <c r="BA63" s="705">
        <f>BA62</f>
        <v>5.1038368285963387E-3</v>
      </c>
      <c r="BB63" s="708">
        <f>BB62</f>
        <v>1.1459529381124805E-3</v>
      </c>
      <c r="BC63" s="703">
        <f>$BB63*(1-'Tier3Phase-in'!$J$12)</f>
        <v>1.1459529381124805E-3</v>
      </c>
      <c r="BD63" s="703">
        <f>$BB63*(1-'Tier3Phase-in'!$K$12)</f>
        <v>9.924770981867019E-4</v>
      </c>
      <c r="BE63" s="703">
        <f>$BB63*(1-'Tier3Phase-in'!$L$12)</f>
        <v>8.7248689606291127E-4</v>
      </c>
      <c r="BF63" s="703">
        <f>$BB63*(1-'Tier3Phase-in'!$M$12)</f>
        <v>8.236536742683453E-4</v>
      </c>
      <c r="BG63" s="703">
        <f>$BB63*(1-'Tier3Phase-in'!$N$12)</f>
        <v>7.8068043908912732E-4</v>
      </c>
      <c r="BH63" s="703">
        <f>$BB63*(1-'Tier3Phase-in'!$O$12)</f>
        <v>7.1929010311881571E-4</v>
      </c>
      <c r="BI63" s="703">
        <f>$BB63*(1-'Tier3Phase-in'!$P$12)</f>
        <v>7.1775534471955806E-4</v>
      </c>
      <c r="BJ63" s="703">
        <f>$BB63*(1-'Tier3Phase-in'!$Q$12)</f>
        <v>7.162205863203003E-4</v>
      </c>
      <c r="BK63" s="705">
        <f>BK62</f>
        <v>4.38199161915356E-3</v>
      </c>
      <c r="BL63" s="708">
        <f>BL62</f>
        <v>2.502434233457116E-3</v>
      </c>
      <c r="BM63" s="703">
        <f>$BL63*(1-'Tier3Phase-in'!$J$12)</f>
        <v>2.502434233457116E-3</v>
      </c>
      <c r="BN63" s="703">
        <f>$BL63*(1-'Tier3Phase-in'!$K$12)</f>
        <v>2.1672867914762522E-3</v>
      </c>
      <c r="BO63" s="703">
        <f>$BL63*(1-'Tier3Phase-in'!$L$12)</f>
        <v>1.9052624277457587E-3</v>
      </c>
      <c r="BP63" s="703">
        <f>$BL63*(1-'Tier3Phase-in'!$M$12)</f>
        <v>1.7986246052973023E-3</v>
      </c>
      <c r="BQ63" s="703">
        <f>$BL63*(1-'Tier3Phase-in'!$N$12)</f>
        <v>1.7047833215426604E-3</v>
      </c>
      <c r="BR63" s="703">
        <f>$BL63*(1-'Tier3Phase-in'!$O$12)</f>
        <v>1.5707243447503146E-3</v>
      </c>
      <c r="BS63" s="703">
        <f>$BL63*(1-'Tier3Phase-in'!$P$12)</f>
        <v>1.5673728703305061E-3</v>
      </c>
      <c r="BT63" s="703">
        <f>$BL63*(1-'Tier3Phase-in'!$Q$12)</f>
        <v>1.5640213959106975E-3</v>
      </c>
      <c r="BU63" s="705">
        <f>BU62</f>
        <v>4.6116202389280114E-3</v>
      </c>
      <c r="BV63" s="708">
        <f>BV62</f>
        <v>3.5098496656176112E-3</v>
      </c>
      <c r="BW63" s="703">
        <f>(1-'Tier3Phase-in'!$J$20)*BV63</f>
        <v>1.1933488863099878E-3</v>
      </c>
      <c r="BX63" s="705">
        <f t="shared" si="97"/>
        <v>3.3987825048925585E-2</v>
      </c>
      <c r="BY63" s="708">
        <f t="shared" si="97"/>
        <v>9.6891130072953684E-3</v>
      </c>
      <c r="BZ63" s="705">
        <f t="shared" si="97"/>
        <v>9.0519152363395163E-3</v>
      </c>
      <c r="CA63" s="708">
        <f t="shared" si="97"/>
        <v>4.2359146298120666E-3</v>
      </c>
    </row>
    <row r="64" spans="1:79" x14ac:dyDescent="0.2">
      <c r="A64" s="690" t="str">
        <f>Technologies!C132</f>
        <v>TMLPGC10</v>
      </c>
      <c r="B64" s="690" t="str">
        <f>Technologies!D132</f>
        <v>Medium Duty Truck, LPG, 2010</v>
      </c>
      <c r="C64" s="705">
        <f>'Raw emissions'!D27*0.5+'Raw emissions'!D21*0.5</f>
        <v>1.0522177196781448</v>
      </c>
      <c r="D64" s="706">
        <f>'Raw emissions'!E27*0.5+'Raw emissions'!E21*0.5</f>
        <v>0.62037710448809924</v>
      </c>
      <c r="E64" s="702">
        <f>$C64</f>
        <v>1.0522177196781448</v>
      </c>
      <c r="F64" s="702">
        <f t="shared" ref="F64:L64" si="98">$C64</f>
        <v>1.0522177196781448</v>
      </c>
      <c r="G64" s="702">
        <f t="shared" si="98"/>
        <v>1.0522177196781448</v>
      </c>
      <c r="H64" s="702">
        <f t="shared" si="98"/>
        <v>1.0522177196781448</v>
      </c>
      <c r="I64" s="702">
        <f t="shared" si="98"/>
        <v>1.0522177196781448</v>
      </c>
      <c r="J64" s="702">
        <f t="shared" si="98"/>
        <v>1.0522177196781448</v>
      </c>
      <c r="K64" s="702">
        <f t="shared" si="98"/>
        <v>1.0522177196781448</v>
      </c>
      <c r="L64" s="702">
        <f t="shared" si="98"/>
        <v>1.0522177196781448</v>
      </c>
      <c r="M64" s="705">
        <f>'Raw emissions'!J27*0.5+'Raw emissions'!J21*0.5</f>
        <v>5.1616272721643944E-2</v>
      </c>
      <c r="N64" s="706">
        <f>'Raw emissions'!K27*0.5+'Raw emissions'!K21*0.5</f>
        <v>5.164709523824474E-2</v>
      </c>
      <c r="O64" s="702">
        <f>$M64</f>
        <v>5.1616272721643944E-2</v>
      </c>
      <c r="P64" s="702">
        <f t="shared" ref="P64:V64" si="99">$M64</f>
        <v>5.1616272721643944E-2</v>
      </c>
      <c r="Q64" s="702">
        <f t="shared" si="99"/>
        <v>5.1616272721643944E-2</v>
      </c>
      <c r="R64" s="702">
        <f t="shared" si="99"/>
        <v>5.1616272721643944E-2</v>
      </c>
      <c r="S64" s="702">
        <f t="shared" si="99"/>
        <v>5.1616272721643944E-2</v>
      </c>
      <c r="T64" s="702">
        <f t="shared" si="99"/>
        <v>5.1616272721643944E-2</v>
      </c>
      <c r="U64" s="702">
        <f t="shared" si="99"/>
        <v>5.1616272721643944E-2</v>
      </c>
      <c r="V64" s="702">
        <f t="shared" si="99"/>
        <v>5.1616272721643944E-2</v>
      </c>
      <c r="W64" s="705">
        <f>'Raw emissions'!M27*0.5+'Raw emissions'!M21*0.5</f>
        <v>1.3307407602233009E-2</v>
      </c>
      <c r="X64" s="706">
        <f>'Raw emissions'!N27*0.5+'Raw emissions'!N21*0.5</f>
        <v>1.3315312391676241E-2</v>
      </c>
      <c r="Y64" s="702">
        <f t="shared" ref="Y64:AF64" si="100">W64</f>
        <v>1.3307407602233009E-2</v>
      </c>
      <c r="Z64" s="702">
        <f t="shared" si="100"/>
        <v>1.3315312391676241E-2</v>
      </c>
      <c r="AA64" s="702">
        <f t="shared" si="100"/>
        <v>1.3307407602233009E-2</v>
      </c>
      <c r="AB64" s="702">
        <f t="shared" si="100"/>
        <v>1.3315312391676241E-2</v>
      </c>
      <c r="AC64" s="702">
        <f t="shared" si="100"/>
        <v>1.3307407602233009E-2</v>
      </c>
      <c r="AD64" s="702">
        <f t="shared" si="100"/>
        <v>1.3315312391676241E-2</v>
      </c>
      <c r="AE64" s="702">
        <f t="shared" si="100"/>
        <v>1.3307407602233009E-2</v>
      </c>
      <c r="AF64" s="702">
        <f t="shared" si="100"/>
        <v>1.3315312391676241E-2</v>
      </c>
      <c r="AG64" s="705">
        <f>'Raw emissions'!P27*0.5+'Raw emissions'!P21*0.5</f>
        <v>3.5482215009949756</v>
      </c>
      <c r="AH64" s="706">
        <f>'Raw emissions'!Q27*0.5+'Raw emissions'!Q21*0.5</f>
        <v>2.8437042031660607</v>
      </c>
      <c r="AI64" s="702">
        <f>$AG64</f>
        <v>3.5482215009949756</v>
      </c>
      <c r="AJ64" s="702">
        <f t="shared" ref="AJ64:AP64" si="101">$AG64</f>
        <v>3.5482215009949756</v>
      </c>
      <c r="AK64" s="702">
        <f t="shared" si="101"/>
        <v>3.5482215009949756</v>
      </c>
      <c r="AL64" s="702">
        <f t="shared" si="101"/>
        <v>3.5482215009949756</v>
      </c>
      <c r="AM64" s="702">
        <f t="shared" si="101"/>
        <v>3.5482215009949756</v>
      </c>
      <c r="AN64" s="702">
        <f t="shared" si="101"/>
        <v>3.5482215009949756</v>
      </c>
      <c r="AO64" s="702">
        <f t="shared" si="101"/>
        <v>3.5482215009949756</v>
      </c>
      <c r="AP64" s="702">
        <f t="shared" si="101"/>
        <v>3.5482215009949756</v>
      </c>
      <c r="AQ64" s="705">
        <f>'Raw emissions'!Y27*0.5+'Raw emissions'!Y21*0.5</f>
        <v>0.50901704174024187</v>
      </c>
      <c r="AR64" s="706">
        <f>'Raw emissions'!Z27*0.5+'Raw emissions'!Z21*0.5</f>
        <v>0.16600109371886845</v>
      </c>
      <c r="AS64" s="702">
        <f>$AQ64</f>
        <v>0.50901704174024187</v>
      </c>
      <c r="AT64" s="702">
        <f t="shared" ref="AT64:AZ64" si="102">$AQ64</f>
        <v>0.50901704174024187</v>
      </c>
      <c r="AU64" s="702">
        <f t="shared" si="102"/>
        <v>0.50901704174024187</v>
      </c>
      <c r="AV64" s="702">
        <f t="shared" si="102"/>
        <v>0.50901704174024187</v>
      </c>
      <c r="AW64" s="702">
        <f t="shared" si="102"/>
        <v>0.50901704174024187</v>
      </c>
      <c r="AX64" s="702">
        <f t="shared" si="102"/>
        <v>0.50901704174024187</v>
      </c>
      <c r="AY64" s="702">
        <f t="shared" si="102"/>
        <v>0.50901704174024187</v>
      </c>
      <c r="AZ64" s="702">
        <f t="shared" si="102"/>
        <v>0.50901704174024187</v>
      </c>
      <c r="BA64" s="705">
        <f>'Raw emissions'!AK27*0.5+'Raw emissions'!AK21*0.5</f>
        <v>0</v>
      </c>
      <c r="BB64" s="708">
        <f>'Raw emissions'!AL27*0.5+'Raw emissions'!AL21*0.5</f>
        <v>0</v>
      </c>
      <c r="BC64" s="703">
        <f>$BA64</f>
        <v>0</v>
      </c>
      <c r="BD64" s="703">
        <f t="shared" ref="BD64:BJ64" si="103">$BA64</f>
        <v>0</v>
      </c>
      <c r="BE64" s="703">
        <f t="shared" si="103"/>
        <v>0</v>
      </c>
      <c r="BF64" s="703">
        <f t="shared" si="103"/>
        <v>0</v>
      </c>
      <c r="BG64" s="703">
        <f t="shared" si="103"/>
        <v>0</v>
      </c>
      <c r="BH64" s="703">
        <f t="shared" si="103"/>
        <v>0</v>
      </c>
      <c r="BI64" s="703">
        <f t="shared" si="103"/>
        <v>0</v>
      </c>
      <c r="BJ64" s="703">
        <f t="shared" si="103"/>
        <v>0</v>
      </c>
      <c r="BK64" s="705">
        <f>'Raw emissions'!AG27*0.5+'Raw emissions'!AG21*0.5</f>
        <v>1.3230364646535668E-3</v>
      </c>
      <c r="BL64" s="708">
        <f>'Raw emissions'!AI27*0.5+'Raw emissions'!AI21*0.5</f>
        <v>1.3315312391676242E-3</v>
      </c>
      <c r="BM64" s="703">
        <f>$BK64</f>
        <v>1.3230364646535668E-3</v>
      </c>
      <c r="BN64" s="703">
        <f t="shared" ref="BN64:BT64" si="104">$BK64</f>
        <v>1.3230364646535668E-3</v>
      </c>
      <c r="BO64" s="703">
        <f t="shared" si="104"/>
        <v>1.3230364646535668E-3</v>
      </c>
      <c r="BP64" s="703">
        <f t="shared" si="104"/>
        <v>1.3230364646535668E-3</v>
      </c>
      <c r="BQ64" s="703">
        <f t="shared" si="104"/>
        <v>1.3230364646535668E-3</v>
      </c>
      <c r="BR64" s="703">
        <f t="shared" si="104"/>
        <v>1.3230364646535668E-3</v>
      </c>
      <c r="BS64" s="703">
        <f t="shared" si="104"/>
        <v>1.3230364646535668E-3</v>
      </c>
      <c r="BT64" s="703">
        <f t="shared" si="104"/>
        <v>1.3230364646535668E-3</v>
      </c>
      <c r="BU64" s="705">
        <f>'Raw emissions'!G27*0.5+'Raw emissions'!G21*0.5</f>
        <v>0</v>
      </c>
      <c r="BV64" s="708">
        <f>'Raw emissions'!H27*0.5+'Raw emissions'!H21*0.5</f>
        <v>0</v>
      </c>
      <c r="BW64" s="703">
        <f>(1-'Tier3Phase-in'!$J$20)*BV64</f>
        <v>0</v>
      </c>
      <c r="BX64" s="705">
        <f>'Raw emissions'!V27*0.5+'Raw emissions'!V21*0.5</f>
        <v>1.2275915972736392E-2</v>
      </c>
      <c r="BY64" s="708">
        <f>'Raw emissions'!W27*0.5+'Raw emissions'!W21*0.5</f>
        <v>9.6891130072953684E-3</v>
      </c>
      <c r="BZ64" s="705">
        <f>'Raw emissions'!S27*0.5+'Raw emissions'!S21*0.5</f>
        <v>9.0519152363395163E-3</v>
      </c>
      <c r="CA64" s="708">
        <f>'Raw emissions'!T27*0.5+'Raw emissions'!T21*0.5</f>
        <v>4.2359146298120666E-3</v>
      </c>
    </row>
    <row r="65" spans="1:79" x14ac:dyDescent="0.2">
      <c r="A65" s="690" t="str">
        <f>Technologies!C133</f>
        <v>TMLPGC</v>
      </c>
      <c r="B65" s="690" t="str">
        <f>Technologies!D133</f>
        <v>Medium Duty Truck, Conventional LPG</v>
      </c>
      <c r="C65" s="705">
        <f>'Raw emissions'!D27*0.5+'Raw emissions'!D21*0.5</f>
        <v>1.0522177196781448</v>
      </c>
      <c r="D65" s="706">
        <f>'Raw emissions'!E27*0.5+'Raw emissions'!E21*0.5</f>
        <v>0.62037710448809924</v>
      </c>
      <c r="E65" s="702">
        <f>$D65*(1-'Tier3Phase-in'!$J$12)</f>
        <v>0.62037710448809924</v>
      </c>
      <c r="F65" s="702">
        <f>$D65*(1-'Tier3Phase-in'!$K$12)</f>
        <v>0.53729088513701451</v>
      </c>
      <c r="G65" s="702">
        <f>$D65*(1-'Tier3Phase-in'!$L$12)</f>
        <v>0.47233256818980285</v>
      </c>
      <c r="H65" s="702">
        <f>$D65*(1-'Tier3Phase-in'!$M$12)</f>
        <v>0.44589604385082132</v>
      </c>
      <c r="I65" s="702">
        <f>$D65*(1-'Tier3Phase-in'!$N$12)</f>
        <v>0.42263190243251764</v>
      </c>
      <c r="J65" s="702">
        <f>$D65*(1-'Tier3Phase-in'!$O$12)</f>
        <v>0.38939741469208367</v>
      </c>
      <c r="K65" s="702">
        <f>$D65*(1-'Tier3Phase-in'!$P$12)</f>
        <v>0.38856655249857286</v>
      </c>
      <c r="L65" s="702">
        <f>$D65*(1-'Tier3Phase-in'!$Q$12)</f>
        <v>0.38773569030506205</v>
      </c>
      <c r="M65" s="705">
        <f>'Raw emissions'!J27*0.5+'Raw emissions'!J21*0.5</f>
        <v>5.1616272721643944E-2</v>
      </c>
      <c r="N65" s="706">
        <f>'Raw emissions'!K27*0.5+'Raw emissions'!K21*0.5</f>
        <v>5.164709523824474E-2</v>
      </c>
      <c r="O65" s="702">
        <f>$N65*(1-'Tier3Phase-in'!$J$12)</f>
        <v>5.164709523824474E-2</v>
      </c>
      <c r="P65" s="702">
        <f>$N65*(1-'Tier3Phase-in'!$K$12)</f>
        <v>4.4730073554551247E-2</v>
      </c>
      <c r="Q65" s="702">
        <f>$N65*(1-'Tier3Phase-in'!$L$12)</f>
        <v>3.9322220238209062E-2</v>
      </c>
      <c r="R65" s="702">
        <f>$N65*(1-'Tier3Phase-in'!$M$12)</f>
        <v>3.7121349702488406E-2</v>
      </c>
      <c r="S65" s="702">
        <f>$N65*(1-'Tier3Phase-in'!$N$12)</f>
        <v>3.5184583631054228E-2</v>
      </c>
      <c r="T65" s="702">
        <f>$N65*(1-'Tier3Phase-in'!$O$12)</f>
        <v>3.2417774957576827E-2</v>
      </c>
      <c r="U65" s="702">
        <f>$N65*(1-'Tier3Phase-in'!$P$12)</f>
        <v>3.2348604740739896E-2</v>
      </c>
      <c r="V65" s="702">
        <f>$N65*(1-'Tier3Phase-in'!$Q$12)</f>
        <v>3.2279434523902965E-2</v>
      </c>
      <c r="W65" s="705">
        <f>'Raw emissions'!M27*0.5+'Raw emissions'!M21*0.5</f>
        <v>1.3307407602233009E-2</v>
      </c>
      <c r="X65" s="706">
        <f>'Raw emissions'!N27*0.5+'Raw emissions'!N21*0.5</f>
        <v>1.3315312391676241E-2</v>
      </c>
      <c r="Y65" s="702">
        <f>$X65*(1-'Tier3Phase-in'!$J$12)</f>
        <v>1.3315312391676241E-2</v>
      </c>
      <c r="Z65" s="702">
        <f>$X65*(1-'Tier3Phase-in'!$K$12)</f>
        <v>1.1532011624933888E-2</v>
      </c>
      <c r="AA65" s="702">
        <f>$X65*(1-'Tier3Phase-in'!$L$12)</f>
        <v>1.0137794661844411E-2</v>
      </c>
      <c r="AB65" s="702">
        <f>$X65*(1-'Tier3Phase-in'!$M$12)</f>
        <v>9.5703807815172987E-3</v>
      </c>
      <c r="AC65" s="702">
        <f>$X65*(1-'Tier3Phase-in'!$N$12)</f>
        <v>9.0710565668294402E-3</v>
      </c>
      <c r="AD65" s="702">
        <f>$X65*(1-'Tier3Phase-in'!$O$12)</f>
        <v>8.3577362601324964E-3</v>
      </c>
      <c r="AE65" s="702">
        <f>$X65*(1-'Tier3Phase-in'!$P$12)</f>
        <v>8.3399032524650741E-3</v>
      </c>
      <c r="AF65" s="702">
        <f>$X65*(1-'Tier3Phase-in'!$Q$12)</f>
        <v>8.32207024479765E-3</v>
      </c>
      <c r="AG65" s="705">
        <f>'Raw emissions'!P27*0.5+'Raw emissions'!P21*0.5</f>
        <v>3.5482215009949756</v>
      </c>
      <c r="AH65" s="706">
        <f>'Raw emissions'!Q27*0.5+'Raw emissions'!Q21*0.5</f>
        <v>2.8437042031660607</v>
      </c>
      <c r="AI65" s="702">
        <f>$AH65*(1-'Tier3Phase-in'!$J$12)</f>
        <v>2.8437042031660607</v>
      </c>
      <c r="AJ65" s="702">
        <f>$AH65*(1-'Tier3Phase-in'!$K$12)</f>
        <v>2.4628509616706062</v>
      </c>
      <c r="AK65" s="702">
        <f>$AH65*(1-'Tier3Phase-in'!$L$12)</f>
        <v>2.165092972865069</v>
      </c>
      <c r="AL65" s="702">
        <f>$AH65*(1-'Tier3Phase-in'!$M$12)</f>
        <v>2.0439123960256063</v>
      </c>
      <c r="AM65" s="702">
        <f>$AH65*(1-'Tier3Phase-in'!$N$12)</f>
        <v>1.937273488406879</v>
      </c>
      <c r="AN65" s="702">
        <f>$AH65*(1-'Tier3Phase-in'!$O$12)</f>
        <v>1.7849321918086967</v>
      </c>
      <c r="AO65" s="702">
        <f>$AH65*(1-'Tier3Phase-in'!$P$12)</f>
        <v>1.7811236593937423</v>
      </c>
      <c r="AP65" s="702">
        <f>$AH65*(1-'Tier3Phase-in'!$Q$12)</f>
        <v>1.7773151269787879</v>
      </c>
      <c r="AQ65" s="705">
        <f>'Raw emissions'!Y27*0.5+'Raw emissions'!Y21*0.5</f>
        <v>0.50901704174024187</v>
      </c>
      <c r="AR65" s="706">
        <f>'Raw emissions'!Z27*0.5+'Raw emissions'!Z21*0.5</f>
        <v>0.16600109371886845</v>
      </c>
      <c r="AS65" s="702">
        <f>$AR65*(1-'Tier3Phase-in'!$J$12)</f>
        <v>0.16600109371886845</v>
      </c>
      <c r="AT65" s="702">
        <f>$AR65*(1-'Tier3Phase-in'!$K$12)</f>
        <v>0.14376880438152001</v>
      </c>
      <c r="AU65" s="702">
        <f>$AR65*(1-'Tier3Phase-in'!$L$12)</f>
        <v>0.12638719635413848</v>
      </c>
      <c r="AV65" s="702">
        <f>$AR65*(1-'Tier3Phase-in'!$M$12)</f>
        <v>0.11931328611043671</v>
      </c>
      <c r="AW65" s="702">
        <f>$AR65*(1-'Tier3Phase-in'!$N$12)</f>
        <v>0.11308824509597913</v>
      </c>
      <c r="AX65" s="702">
        <f>$AR65*(1-'Tier3Phase-in'!$O$12)</f>
        <v>0.10419532936103973</v>
      </c>
      <c r="AY65" s="702">
        <f>$AR65*(1-'Tier3Phase-in'!$P$12)</f>
        <v>0.10397300646766626</v>
      </c>
      <c r="AZ65" s="702">
        <f>$AR65*(1-'Tier3Phase-in'!$Q$12)</f>
        <v>0.10375068357429279</v>
      </c>
      <c r="BA65" s="705">
        <f>'Raw emissions'!AK27*0.5+'Raw emissions'!AK21*0.5</f>
        <v>0</v>
      </c>
      <c r="BB65" s="708">
        <f>'Raw emissions'!AL27*0.5+'Raw emissions'!AL21*0.5</f>
        <v>0</v>
      </c>
      <c r="BC65" s="703">
        <f>$BB65*(1-'Tier3Phase-in'!$J$12)</f>
        <v>0</v>
      </c>
      <c r="BD65" s="703">
        <f>$BB65*(1-'Tier3Phase-in'!$K$12)</f>
        <v>0</v>
      </c>
      <c r="BE65" s="703">
        <f>$BB65*(1-'Tier3Phase-in'!$L$12)</f>
        <v>0</v>
      </c>
      <c r="BF65" s="703">
        <f>$BB65*(1-'Tier3Phase-in'!$M$12)</f>
        <v>0</v>
      </c>
      <c r="BG65" s="703">
        <f>$BB65*(1-'Tier3Phase-in'!$N$12)</f>
        <v>0</v>
      </c>
      <c r="BH65" s="703">
        <f>$BB65*(1-'Tier3Phase-in'!$O$12)</f>
        <v>0</v>
      </c>
      <c r="BI65" s="703">
        <f>$BB65*(1-'Tier3Phase-in'!$P$12)</f>
        <v>0</v>
      </c>
      <c r="BJ65" s="703">
        <f>$BB65*(1-'Tier3Phase-in'!$Q$12)</f>
        <v>0</v>
      </c>
      <c r="BK65" s="705">
        <f>'Raw emissions'!AG27*0.5+'Raw emissions'!AG21*0.5</f>
        <v>1.3230364646535668E-3</v>
      </c>
      <c r="BL65" s="708">
        <f>'Raw emissions'!AI27*0.5+'Raw emissions'!AI21*0.5</f>
        <v>1.3315312391676242E-3</v>
      </c>
      <c r="BM65" s="703">
        <f>$BL65*(1-'Tier3Phase-in'!$J$12)</f>
        <v>1.3315312391676242E-3</v>
      </c>
      <c r="BN65" s="703">
        <f>$BL65*(1-'Tier3Phase-in'!$K$12)</f>
        <v>1.1532011624933889E-3</v>
      </c>
      <c r="BO65" s="703">
        <f>$BL65*(1-'Tier3Phase-in'!$L$12)</f>
        <v>1.0137794661844411E-3</v>
      </c>
      <c r="BP65" s="703">
        <f>$BL65*(1-'Tier3Phase-in'!$M$12)</f>
        <v>9.5703807815172989E-4</v>
      </c>
      <c r="BQ65" s="703">
        <f>$BL65*(1-'Tier3Phase-in'!$N$12)</f>
        <v>9.0710565668294409E-4</v>
      </c>
      <c r="BR65" s="703">
        <f>$BL65*(1-'Tier3Phase-in'!$O$12)</f>
        <v>8.3577362601324964E-4</v>
      </c>
      <c r="BS65" s="703">
        <f>$BL65*(1-'Tier3Phase-in'!$P$12)</f>
        <v>8.3399032524650741E-4</v>
      </c>
      <c r="BT65" s="703">
        <f>$BL65*(1-'Tier3Phase-in'!$Q$12)</f>
        <v>8.3220702447976518E-4</v>
      </c>
      <c r="BU65" s="705">
        <f>'Raw emissions'!G27*0.5+'Raw emissions'!G21*0.5</f>
        <v>0</v>
      </c>
      <c r="BV65" s="708">
        <f>'Raw emissions'!H27*0.5+'Raw emissions'!H21*0.5</f>
        <v>0</v>
      </c>
      <c r="BW65" s="703">
        <f>(1-'Tier3Phase-in'!$J$20)*BV65</f>
        <v>0</v>
      </c>
      <c r="BX65" s="705">
        <f>'Raw emissions'!V27*0.5+'Raw emissions'!V21*0.5</f>
        <v>1.2275915972736392E-2</v>
      </c>
      <c r="BY65" s="708">
        <f>'Raw emissions'!W27*0.5+'Raw emissions'!W21*0.5</f>
        <v>9.6891130072953684E-3</v>
      </c>
      <c r="BZ65" s="705">
        <f>'Raw emissions'!S27*0.5+'Raw emissions'!S21*0.5</f>
        <v>9.0519152363395163E-3</v>
      </c>
      <c r="CA65" s="708">
        <f>'Raw emissions'!T27*0.5+'Raw emissions'!T21*0.5</f>
        <v>4.2359146298120666E-3</v>
      </c>
    </row>
    <row r="66" spans="1:79" x14ac:dyDescent="0.2">
      <c r="A66" s="690" t="str">
        <f>Technologies!C134</f>
        <v>TMLPGIM</v>
      </c>
      <c r="B66" s="690" t="str">
        <f>Technologies!D134</f>
        <v>Medium Duty Truck, Improved LPG</v>
      </c>
      <c r="C66" s="705">
        <f>C65</f>
        <v>1.0522177196781448</v>
      </c>
      <c r="D66" s="706">
        <f>D65</f>
        <v>0.62037710448809924</v>
      </c>
      <c r="E66" s="702">
        <f>$D66*(1-'Tier3Phase-in'!$J$12)</f>
        <v>0.62037710448809924</v>
      </c>
      <c r="F66" s="702">
        <f>$D66*(1-'Tier3Phase-in'!$K$12)</f>
        <v>0.53729088513701451</v>
      </c>
      <c r="G66" s="702">
        <f>$D66*(1-'Tier3Phase-in'!$L$12)</f>
        <v>0.47233256818980285</v>
      </c>
      <c r="H66" s="702">
        <f>$D66*(1-'Tier3Phase-in'!$M$12)</f>
        <v>0.44589604385082132</v>
      </c>
      <c r="I66" s="702">
        <f>$D66*(1-'Tier3Phase-in'!$N$12)</f>
        <v>0.42263190243251764</v>
      </c>
      <c r="J66" s="702">
        <f>$D66*(1-'Tier3Phase-in'!$O$12)</f>
        <v>0.38939741469208367</v>
      </c>
      <c r="K66" s="702">
        <f>$D66*(1-'Tier3Phase-in'!$P$12)</f>
        <v>0.38856655249857286</v>
      </c>
      <c r="L66" s="702">
        <f>$D66*(1-'Tier3Phase-in'!$Q$12)</f>
        <v>0.38773569030506205</v>
      </c>
      <c r="M66" s="705">
        <f>M65</f>
        <v>5.1616272721643944E-2</v>
      </c>
      <c r="N66" s="706">
        <f>N65</f>
        <v>5.164709523824474E-2</v>
      </c>
      <c r="O66" s="702">
        <f>$N66*(1-'Tier3Phase-in'!$J$12)</f>
        <v>5.164709523824474E-2</v>
      </c>
      <c r="P66" s="702">
        <f>$N66*(1-'Tier3Phase-in'!$K$12)</f>
        <v>4.4730073554551247E-2</v>
      </c>
      <c r="Q66" s="702">
        <f>$N66*(1-'Tier3Phase-in'!$L$12)</f>
        <v>3.9322220238209062E-2</v>
      </c>
      <c r="R66" s="702">
        <f>$N66*(1-'Tier3Phase-in'!$M$12)</f>
        <v>3.7121349702488406E-2</v>
      </c>
      <c r="S66" s="702">
        <f>$N66*(1-'Tier3Phase-in'!$N$12)</f>
        <v>3.5184583631054228E-2</v>
      </c>
      <c r="T66" s="702">
        <f>$N66*(1-'Tier3Phase-in'!$O$12)</f>
        <v>3.2417774957576827E-2</v>
      </c>
      <c r="U66" s="702">
        <f>$N66*(1-'Tier3Phase-in'!$P$12)</f>
        <v>3.2348604740739896E-2</v>
      </c>
      <c r="V66" s="702">
        <f>$N66*(1-'Tier3Phase-in'!$Q$12)</f>
        <v>3.2279434523902965E-2</v>
      </c>
      <c r="W66" s="705">
        <f>W65</f>
        <v>1.3307407602233009E-2</v>
      </c>
      <c r="X66" s="706">
        <f>X65</f>
        <v>1.3315312391676241E-2</v>
      </c>
      <c r="Y66" s="702">
        <f>$X66*(1-'Tier3Phase-in'!$J$12)</f>
        <v>1.3315312391676241E-2</v>
      </c>
      <c r="Z66" s="702">
        <f>$X66*(1-'Tier3Phase-in'!$K$12)</f>
        <v>1.1532011624933888E-2</v>
      </c>
      <c r="AA66" s="702">
        <f>$X66*(1-'Tier3Phase-in'!$L$12)</f>
        <v>1.0137794661844411E-2</v>
      </c>
      <c r="AB66" s="702">
        <f>$X66*(1-'Tier3Phase-in'!$M$12)</f>
        <v>9.5703807815172987E-3</v>
      </c>
      <c r="AC66" s="702">
        <f>$X66*(1-'Tier3Phase-in'!$N$12)</f>
        <v>9.0710565668294402E-3</v>
      </c>
      <c r="AD66" s="702">
        <f>$X66*(1-'Tier3Phase-in'!$O$12)</f>
        <v>8.3577362601324964E-3</v>
      </c>
      <c r="AE66" s="702">
        <f>$X66*(1-'Tier3Phase-in'!$P$12)</f>
        <v>8.3399032524650741E-3</v>
      </c>
      <c r="AF66" s="702">
        <f>$X66*(1-'Tier3Phase-in'!$Q$12)</f>
        <v>8.32207024479765E-3</v>
      </c>
      <c r="AG66" s="705">
        <f>AG65</f>
        <v>3.5482215009949756</v>
      </c>
      <c r="AH66" s="706">
        <f>AH65</f>
        <v>2.8437042031660607</v>
      </c>
      <c r="AI66" s="702">
        <f>$AH66*(1-'Tier3Phase-in'!$J$12)</f>
        <v>2.8437042031660607</v>
      </c>
      <c r="AJ66" s="702">
        <f>$AH66*(1-'Tier3Phase-in'!$K$12)</f>
        <v>2.4628509616706062</v>
      </c>
      <c r="AK66" s="702">
        <f>$AH66*(1-'Tier3Phase-in'!$L$12)</f>
        <v>2.165092972865069</v>
      </c>
      <c r="AL66" s="702">
        <f>$AH66*(1-'Tier3Phase-in'!$M$12)</f>
        <v>2.0439123960256063</v>
      </c>
      <c r="AM66" s="702">
        <f>$AH66*(1-'Tier3Phase-in'!$N$12)</f>
        <v>1.937273488406879</v>
      </c>
      <c r="AN66" s="702">
        <f>$AH66*(1-'Tier3Phase-in'!$O$12)</f>
        <v>1.7849321918086967</v>
      </c>
      <c r="AO66" s="702">
        <f>$AH66*(1-'Tier3Phase-in'!$P$12)</f>
        <v>1.7811236593937423</v>
      </c>
      <c r="AP66" s="702">
        <f>$AH66*(1-'Tier3Phase-in'!$Q$12)</f>
        <v>1.7773151269787879</v>
      </c>
      <c r="AQ66" s="705">
        <f>AQ65</f>
        <v>0.50901704174024187</v>
      </c>
      <c r="AR66" s="706">
        <f>AR65</f>
        <v>0.16600109371886845</v>
      </c>
      <c r="AS66" s="702">
        <f>$AR66*(1-'Tier3Phase-in'!$J$12)</f>
        <v>0.16600109371886845</v>
      </c>
      <c r="AT66" s="702">
        <f>$AR66*(1-'Tier3Phase-in'!$K$12)</f>
        <v>0.14376880438152001</v>
      </c>
      <c r="AU66" s="702">
        <f>$AR66*(1-'Tier3Phase-in'!$L$12)</f>
        <v>0.12638719635413848</v>
      </c>
      <c r="AV66" s="702">
        <f>$AR66*(1-'Tier3Phase-in'!$M$12)</f>
        <v>0.11931328611043671</v>
      </c>
      <c r="AW66" s="702">
        <f>$AR66*(1-'Tier3Phase-in'!$N$12)</f>
        <v>0.11308824509597913</v>
      </c>
      <c r="AX66" s="702">
        <f>$AR66*(1-'Tier3Phase-in'!$O$12)</f>
        <v>0.10419532936103973</v>
      </c>
      <c r="AY66" s="702">
        <f>$AR66*(1-'Tier3Phase-in'!$P$12)</f>
        <v>0.10397300646766626</v>
      </c>
      <c r="AZ66" s="702">
        <f>$AR66*(1-'Tier3Phase-in'!$Q$12)</f>
        <v>0.10375068357429279</v>
      </c>
      <c r="BA66" s="705">
        <f>BA65</f>
        <v>0</v>
      </c>
      <c r="BB66" s="708">
        <f>BB65</f>
        <v>0</v>
      </c>
      <c r="BC66" s="703">
        <f>$BB66*(1-'Tier3Phase-in'!$J$12)</f>
        <v>0</v>
      </c>
      <c r="BD66" s="703">
        <f>$BB66*(1-'Tier3Phase-in'!$K$12)</f>
        <v>0</v>
      </c>
      <c r="BE66" s="703">
        <f>$BB66*(1-'Tier3Phase-in'!$L$12)</f>
        <v>0</v>
      </c>
      <c r="BF66" s="703">
        <f>$BB66*(1-'Tier3Phase-in'!$M$12)</f>
        <v>0</v>
      </c>
      <c r="BG66" s="703">
        <f>$BB66*(1-'Tier3Phase-in'!$N$12)</f>
        <v>0</v>
      </c>
      <c r="BH66" s="703">
        <f>$BB66*(1-'Tier3Phase-in'!$O$12)</f>
        <v>0</v>
      </c>
      <c r="BI66" s="703">
        <f>$BB66*(1-'Tier3Phase-in'!$P$12)</f>
        <v>0</v>
      </c>
      <c r="BJ66" s="703">
        <f>$BB66*(1-'Tier3Phase-in'!$Q$12)</f>
        <v>0</v>
      </c>
      <c r="BK66" s="705">
        <f>BK65</f>
        <v>1.3230364646535668E-3</v>
      </c>
      <c r="BL66" s="708">
        <f>BL65</f>
        <v>1.3315312391676242E-3</v>
      </c>
      <c r="BM66" s="703">
        <f>$BL66*(1-'Tier3Phase-in'!$J$12)</f>
        <v>1.3315312391676242E-3</v>
      </c>
      <c r="BN66" s="703">
        <f>$BL66*(1-'Tier3Phase-in'!$K$12)</f>
        <v>1.1532011624933889E-3</v>
      </c>
      <c r="BO66" s="703">
        <f>$BL66*(1-'Tier3Phase-in'!$L$12)</f>
        <v>1.0137794661844411E-3</v>
      </c>
      <c r="BP66" s="703">
        <f>$BL66*(1-'Tier3Phase-in'!$M$12)</f>
        <v>9.5703807815172989E-4</v>
      </c>
      <c r="BQ66" s="703">
        <f>$BL66*(1-'Tier3Phase-in'!$N$12)</f>
        <v>9.0710565668294409E-4</v>
      </c>
      <c r="BR66" s="703">
        <f>$BL66*(1-'Tier3Phase-in'!$O$12)</f>
        <v>8.3577362601324964E-4</v>
      </c>
      <c r="BS66" s="703">
        <f>$BL66*(1-'Tier3Phase-in'!$P$12)</f>
        <v>8.3399032524650741E-4</v>
      </c>
      <c r="BT66" s="703">
        <f>$BL66*(1-'Tier3Phase-in'!$Q$12)</f>
        <v>8.3220702447976518E-4</v>
      </c>
      <c r="BU66" s="705">
        <f>BU65</f>
        <v>0</v>
      </c>
      <c r="BV66" s="708">
        <f>BV65</f>
        <v>0</v>
      </c>
      <c r="BW66" s="703">
        <f>(1-'Tier3Phase-in'!$J$20)*BV66</f>
        <v>0</v>
      </c>
      <c r="BX66" s="705">
        <f t="shared" ref="BX66:CA67" si="105">BX65</f>
        <v>1.2275915972736392E-2</v>
      </c>
      <c r="BY66" s="708">
        <f t="shared" si="105"/>
        <v>9.6891130072953684E-3</v>
      </c>
      <c r="BZ66" s="705">
        <f t="shared" si="105"/>
        <v>9.0519152363395163E-3</v>
      </c>
      <c r="CA66" s="708">
        <f t="shared" si="105"/>
        <v>4.2359146298120666E-3</v>
      </c>
    </row>
    <row r="67" spans="1:79" x14ac:dyDescent="0.2">
      <c r="A67" s="690" t="str">
        <f>Technologies!C135</f>
        <v>TMLPGAH</v>
      </c>
      <c r="B67" s="690" t="str">
        <f>Technologies!D135</f>
        <v>Medium Duty Truck, Advanced Hybrid LPG</v>
      </c>
      <c r="C67" s="705">
        <f>C66</f>
        <v>1.0522177196781448</v>
      </c>
      <c r="D67" s="706">
        <f>D66</f>
        <v>0.62037710448809924</v>
      </c>
      <c r="E67" s="702">
        <f>$D67*(1-'Tier3Phase-in'!$J$12)</f>
        <v>0.62037710448809924</v>
      </c>
      <c r="F67" s="702">
        <f>$D67*(1-'Tier3Phase-in'!$K$12)</f>
        <v>0.53729088513701451</v>
      </c>
      <c r="G67" s="702">
        <f>$D67*(1-'Tier3Phase-in'!$L$12)</f>
        <v>0.47233256818980285</v>
      </c>
      <c r="H67" s="702">
        <f>$D67*(1-'Tier3Phase-in'!$M$12)</f>
        <v>0.44589604385082132</v>
      </c>
      <c r="I67" s="702">
        <f>$D67*(1-'Tier3Phase-in'!$N$12)</f>
        <v>0.42263190243251764</v>
      </c>
      <c r="J67" s="702">
        <f>$D67*(1-'Tier3Phase-in'!$O$12)</f>
        <v>0.38939741469208367</v>
      </c>
      <c r="K67" s="702">
        <f>$D67*(1-'Tier3Phase-in'!$P$12)</f>
        <v>0.38856655249857286</v>
      </c>
      <c r="L67" s="702">
        <f>$D67*(1-'Tier3Phase-in'!$Q$12)</f>
        <v>0.38773569030506205</v>
      </c>
      <c r="M67" s="705">
        <f>M66</f>
        <v>5.1616272721643944E-2</v>
      </c>
      <c r="N67" s="706">
        <f>N66</f>
        <v>5.164709523824474E-2</v>
      </c>
      <c r="O67" s="702">
        <f>$N67*(1-'Tier3Phase-in'!$J$12)</f>
        <v>5.164709523824474E-2</v>
      </c>
      <c r="P67" s="702">
        <f>$N67*(1-'Tier3Phase-in'!$K$12)</f>
        <v>4.4730073554551247E-2</v>
      </c>
      <c r="Q67" s="702">
        <f>$N67*(1-'Tier3Phase-in'!$L$12)</f>
        <v>3.9322220238209062E-2</v>
      </c>
      <c r="R67" s="702">
        <f>$N67*(1-'Tier3Phase-in'!$M$12)</f>
        <v>3.7121349702488406E-2</v>
      </c>
      <c r="S67" s="702">
        <f>$N67*(1-'Tier3Phase-in'!$N$12)</f>
        <v>3.5184583631054228E-2</v>
      </c>
      <c r="T67" s="702">
        <f>$N67*(1-'Tier3Phase-in'!$O$12)</f>
        <v>3.2417774957576827E-2</v>
      </c>
      <c r="U67" s="702">
        <f>$N67*(1-'Tier3Phase-in'!$P$12)</f>
        <v>3.2348604740739896E-2</v>
      </c>
      <c r="V67" s="702">
        <f>$N67*(1-'Tier3Phase-in'!$Q$12)</f>
        <v>3.2279434523902965E-2</v>
      </c>
      <c r="W67" s="705">
        <f>W66</f>
        <v>1.3307407602233009E-2</v>
      </c>
      <c r="X67" s="706">
        <f>X66</f>
        <v>1.3315312391676241E-2</v>
      </c>
      <c r="Y67" s="702">
        <f>$X67*(1-'Tier3Phase-in'!$J$12)</f>
        <v>1.3315312391676241E-2</v>
      </c>
      <c r="Z67" s="702">
        <f>$X67*(1-'Tier3Phase-in'!$K$12)</f>
        <v>1.1532011624933888E-2</v>
      </c>
      <c r="AA67" s="702">
        <f>$X67*(1-'Tier3Phase-in'!$L$12)</f>
        <v>1.0137794661844411E-2</v>
      </c>
      <c r="AB67" s="702">
        <f>$X67*(1-'Tier3Phase-in'!$M$12)</f>
        <v>9.5703807815172987E-3</v>
      </c>
      <c r="AC67" s="702">
        <f>$X67*(1-'Tier3Phase-in'!$N$12)</f>
        <v>9.0710565668294402E-3</v>
      </c>
      <c r="AD67" s="702">
        <f>$X67*(1-'Tier3Phase-in'!$O$12)</f>
        <v>8.3577362601324964E-3</v>
      </c>
      <c r="AE67" s="702">
        <f>$X67*(1-'Tier3Phase-in'!$P$12)</f>
        <v>8.3399032524650741E-3</v>
      </c>
      <c r="AF67" s="702">
        <f>$X67*(1-'Tier3Phase-in'!$Q$12)</f>
        <v>8.32207024479765E-3</v>
      </c>
      <c r="AG67" s="705">
        <f>AG66</f>
        <v>3.5482215009949756</v>
      </c>
      <c r="AH67" s="706">
        <f>AH66</f>
        <v>2.8437042031660607</v>
      </c>
      <c r="AI67" s="702">
        <f>$AH67*(1-'Tier3Phase-in'!$J$12)</f>
        <v>2.8437042031660607</v>
      </c>
      <c r="AJ67" s="702">
        <f>$AH67*(1-'Tier3Phase-in'!$K$12)</f>
        <v>2.4628509616706062</v>
      </c>
      <c r="AK67" s="702">
        <f>$AH67*(1-'Tier3Phase-in'!$L$12)</f>
        <v>2.165092972865069</v>
      </c>
      <c r="AL67" s="702">
        <f>$AH67*(1-'Tier3Phase-in'!$M$12)</f>
        <v>2.0439123960256063</v>
      </c>
      <c r="AM67" s="702">
        <f>$AH67*(1-'Tier3Phase-in'!$N$12)</f>
        <v>1.937273488406879</v>
      </c>
      <c r="AN67" s="702">
        <f>$AH67*(1-'Tier3Phase-in'!$O$12)</f>
        <v>1.7849321918086967</v>
      </c>
      <c r="AO67" s="702">
        <f>$AH67*(1-'Tier3Phase-in'!$P$12)</f>
        <v>1.7811236593937423</v>
      </c>
      <c r="AP67" s="702">
        <f>$AH67*(1-'Tier3Phase-in'!$Q$12)</f>
        <v>1.7773151269787879</v>
      </c>
      <c r="AQ67" s="705">
        <f>AQ66</f>
        <v>0.50901704174024187</v>
      </c>
      <c r="AR67" s="706">
        <f>AR66</f>
        <v>0.16600109371886845</v>
      </c>
      <c r="AS67" s="702">
        <f>$AR67*(1-'Tier3Phase-in'!$J$12)</f>
        <v>0.16600109371886845</v>
      </c>
      <c r="AT67" s="702">
        <f>$AR67*(1-'Tier3Phase-in'!$K$12)</f>
        <v>0.14376880438152001</v>
      </c>
      <c r="AU67" s="702">
        <f>$AR67*(1-'Tier3Phase-in'!$L$12)</f>
        <v>0.12638719635413848</v>
      </c>
      <c r="AV67" s="702">
        <f>$AR67*(1-'Tier3Phase-in'!$M$12)</f>
        <v>0.11931328611043671</v>
      </c>
      <c r="AW67" s="702">
        <f>$AR67*(1-'Tier3Phase-in'!$N$12)</f>
        <v>0.11308824509597913</v>
      </c>
      <c r="AX67" s="702">
        <f>$AR67*(1-'Tier3Phase-in'!$O$12)</f>
        <v>0.10419532936103973</v>
      </c>
      <c r="AY67" s="702">
        <f>$AR67*(1-'Tier3Phase-in'!$P$12)</f>
        <v>0.10397300646766626</v>
      </c>
      <c r="AZ67" s="702">
        <f>$AR67*(1-'Tier3Phase-in'!$Q$12)</f>
        <v>0.10375068357429279</v>
      </c>
      <c r="BA67" s="705">
        <f>BA66</f>
        <v>0</v>
      </c>
      <c r="BB67" s="708">
        <f>BB66</f>
        <v>0</v>
      </c>
      <c r="BC67" s="703">
        <f>$BB67*(1-'Tier3Phase-in'!$J$12)</f>
        <v>0</v>
      </c>
      <c r="BD67" s="703">
        <f>$BB67*(1-'Tier3Phase-in'!$K$12)</f>
        <v>0</v>
      </c>
      <c r="BE67" s="703">
        <f>$BB67*(1-'Tier3Phase-in'!$L$12)</f>
        <v>0</v>
      </c>
      <c r="BF67" s="703">
        <f>$BB67*(1-'Tier3Phase-in'!$M$12)</f>
        <v>0</v>
      </c>
      <c r="BG67" s="703">
        <f>$BB67*(1-'Tier3Phase-in'!$N$12)</f>
        <v>0</v>
      </c>
      <c r="BH67" s="703">
        <f>$BB67*(1-'Tier3Phase-in'!$O$12)</f>
        <v>0</v>
      </c>
      <c r="BI67" s="703">
        <f>$BB67*(1-'Tier3Phase-in'!$P$12)</f>
        <v>0</v>
      </c>
      <c r="BJ67" s="703">
        <f>$BB67*(1-'Tier3Phase-in'!$Q$12)</f>
        <v>0</v>
      </c>
      <c r="BK67" s="705">
        <f>BK66</f>
        <v>1.3230364646535668E-3</v>
      </c>
      <c r="BL67" s="708">
        <f>BL66</f>
        <v>1.3315312391676242E-3</v>
      </c>
      <c r="BM67" s="703">
        <f>$BL67*(1-'Tier3Phase-in'!$J$12)</f>
        <v>1.3315312391676242E-3</v>
      </c>
      <c r="BN67" s="703">
        <f>$BL67*(1-'Tier3Phase-in'!$K$12)</f>
        <v>1.1532011624933889E-3</v>
      </c>
      <c r="BO67" s="703">
        <f>$BL67*(1-'Tier3Phase-in'!$L$12)</f>
        <v>1.0137794661844411E-3</v>
      </c>
      <c r="BP67" s="703">
        <f>$BL67*(1-'Tier3Phase-in'!$M$12)</f>
        <v>9.5703807815172989E-4</v>
      </c>
      <c r="BQ67" s="703">
        <f>$BL67*(1-'Tier3Phase-in'!$N$12)</f>
        <v>9.0710565668294409E-4</v>
      </c>
      <c r="BR67" s="703">
        <f>$BL67*(1-'Tier3Phase-in'!$O$12)</f>
        <v>8.3577362601324964E-4</v>
      </c>
      <c r="BS67" s="703">
        <f>$BL67*(1-'Tier3Phase-in'!$P$12)</f>
        <v>8.3399032524650741E-4</v>
      </c>
      <c r="BT67" s="703">
        <f>$BL67*(1-'Tier3Phase-in'!$Q$12)</f>
        <v>8.3220702447976518E-4</v>
      </c>
      <c r="BU67" s="705">
        <f>BU66</f>
        <v>0</v>
      </c>
      <c r="BV67" s="708">
        <f>BV66</f>
        <v>0</v>
      </c>
      <c r="BW67" s="703">
        <f>(1-'Tier3Phase-in'!$J$20)*BV67</f>
        <v>0</v>
      </c>
      <c r="BX67" s="705">
        <f t="shared" si="105"/>
        <v>1.2275915972736392E-2</v>
      </c>
      <c r="BY67" s="708">
        <f t="shared" si="105"/>
        <v>9.6891130072953684E-3</v>
      </c>
      <c r="BZ67" s="705">
        <f t="shared" si="105"/>
        <v>9.0519152363395163E-3</v>
      </c>
      <c r="CA67" s="708">
        <f t="shared" si="105"/>
        <v>4.2359146298120666E-3</v>
      </c>
    </row>
    <row r="68" spans="1:79" x14ac:dyDescent="0.2">
      <c r="A68" s="690" t="str">
        <f>Technologies!C143</f>
        <v>THSGSL10</v>
      </c>
      <c r="B68" s="690" t="str">
        <f>Technologies!D143</f>
        <v>Heavy Truck, Short Haul, Gasoline, 2010</v>
      </c>
      <c r="C68" s="705">
        <f>'Raw emissions'!D24</f>
        <v>3.2140849448617628</v>
      </c>
      <c r="D68" s="706">
        <f>'Raw emissions'!E24</f>
        <v>2.9141853792979426</v>
      </c>
      <c r="E68" s="702">
        <f>$C68</f>
        <v>3.2140849448617628</v>
      </c>
      <c r="F68" s="702">
        <f t="shared" ref="F68:L69" si="106">$C68</f>
        <v>3.2140849448617628</v>
      </c>
      <c r="G68" s="702">
        <f t="shared" si="106"/>
        <v>3.2140849448617628</v>
      </c>
      <c r="H68" s="702">
        <f t="shared" si="106"/>
        <v>3.2140849448617628</v>
      </c>
      <c r="I68" s="702">
        <f t="shared" si="106"/>
        <v>3.2140849448617628</v>
      </c>
      <c r="J68" s="702">
        <f t="shared" si="106"/>
        <v>3.2140849448617628</v>
      </c>
      <c r="K68" s="702">
        <f t="shared" si="106"/>
        <v>3.2140849448617628</v>
      </c>
      <c r="L68" s="702">
        <f t="shared" si="106"/>
        <v>3.2140849448617628</v>
      </c>
      <c r="M68" s="705">
        <f>'Raw emissions'!J24</f>
        <v>7.1171786501975476E-2</v>
      </c>
      <c r="N68" s="706">
        <f>'Raw emissions'!K24</f>
        <v>7.0293940862293736E-2</v>
      </c>
      <c r="O68" s="702">
        <f>$M68</f>
        <v>7.1171786501975476E-2</v>
      </c>
      <c r="P68" s="702">
        <f t="shared" ref="P68:V69" si="107">$M68</f>
        <v>7.1171786501975476E-2</v>
      </c>
      <c r="Q68" s="702">
        <f t="shared" si="107"/>
        <v>7.1171786501975476E-2</v>
      </c>
      <c r="R68" s="702">
        <f t="shared" si="107"/>
        <v>7.1171786501975476E-2</v>
      </c>
      <c r="S68" s="702">
        <f t="shared" si="107"/>
        <v>7.1171786501975476E-2</v>
      </c>
      <c r="T68" s="702">
        <f t="shared" si="107"/>
        <v>7.1171786501975476E-2</v>
      </c>
      <c r="U68" s="702">
        <f t="shared" si="107"/>
        <v>7.1171786501975476E-2</v>
      </c>
      <c r="V68" s="702">
        <f t="shared" si="107"/>
        <v>7.1171786501975476E-2</v>
      </c>
      <c r="W68" s="705">
        <f>'Raw emissions'!M24</f>
        <v>2.3656629380179688E-2</v>
      </c>
      <c r="X68" s="706">
        <f>'Raw emissions'!N24</f>
        <v>2.2750839098643481E-2</v>
      </c>
      <c r="Y68" s="702">
        <f t="shared" ref="Y68:AF69" si="108">W68</f>
        <v>2.3656629380179688E-2</v>
      </c>
      <c r="Z68" s="702">
        <f t="shared" si="108"/>
        <v>2.2750839098643481E-2</v>
      </c>
      <c r="AA68" s="702">
        <f t="shared" si="108"/>
        <v>2.3656629380179688E-2</v>
      </c>
      <c r="AB68" s="702">
        <f t="shared" si="108"/>
        <v>2.2750839098643481E-2</v>
      </c>
      <c r="AC68" s="702">
        <f t="shared" si="108"/>
        <v>2.3656629380179688E-2</v>
      </c>
      <c r="AD68" s="702">
        <f t="shared" si="108"/>
        <v>2.2750839098643481E-2</v>
      </c>
      <c r="AE68" s="702">
        <f t="shared" si="108"/>
        <v>2.3656629380179688E-2</v>
      </c>
      <c r="AF68" s="702">
        <f t="shared" si="108"/>
        <v>2.2750839098643481E-2</v>
      </c>
      <c r="AG68" s="705">
        <f>'Raw emissions'!P24</f>
        <v>27.574379311686648</v>
      </c>
      <c r="AH68" s="706">
        <f>'Raw emissions'!Q24</f>
        <v>22.334301202781276</v>
      </c>
      <c r="AI68" s="702">
        <f t="shared" ref="AI68:AP69" si="109">$AG68</f>
        <v>27.574379311686648</v>
      </c>
      <c r="AJ68" s="702">
        <f t="shared" si="109"/>
        <v>27.574379311686648</v>
      </c>
      <c r="AK68" s="702">
        <f t="shared" si="109"/>
        <v>27.574379311686648</v>
      </c>
      <c r="AL68" s="702">
        <f t="shared" si="109"/>
        <v>27.574379311686648</v>
      </c>
      <c r="AM68" s="702">
        <f t="shared" si="109"/>
        <v>27.574379311686648</v>
      </c>
      <c r="AN68" s="702">
        <f t="shared" si="109"/>
        <v>27.574379311686648</v>
      </c>
      <c r="AO68" s="702">
        <f t="shared" si="109"/>
        <v>27.574379311686648</v>
      </c>
      <c r="AP68" s="702">
        <f t="shared" si="109"/>
        <v>27.574379311686648</v>
      </c>
      <c r="AQ68" s="705">
        <f>'Raw emissions'!Y24</f>
        <v>0.91730572321668336</v>
      </c>
      <c r="AR68" s="706">
        <f>'Raw emissions'!Z24</f>
        <v>0.77889365480066897</v>
      </c>
      <c r="AS68" s="702">
        <f t="shared" ref="AS68:AZ69" si="110">$AQ68</f>
        <v>0.91730572321668336</v>
      </c>
      <c r="AT68" s="702">
        <f t="shared" si="110"/>
        <v>0.91730572321668336</v>
      </c>
      <c r="AU68" s="702">
        <f t="shared" si="110"/>
        <v>0.91730572321668336</v>
      </c>
      <c r="AV68" s="702">
        <f t="shared" si="110"/>
        <v>0.91730572321668336</v>
      </c>
      <c r="AW68" s="702">
        <f t="shared" si="110"/>
        <v>0.91730572321668336</v>
      </c>
      <c r="AX68" s="702">
        <f t="shared" si="110"/>
        <v>0.91730572321668336</v>
      </c>
      <c r="AY68" s="702">
        <f t="shared" si="110"/>
        <v>0.91730572321668336</v>
      </c>
      <c r="AZ68" s="702">
        <f t="shared" si="110"/>
        <v>0.91730572321668336</v>
      </c>
      <c r="BA68" s="705">
        <f>'Raw emissions'!AK24</f>
        <v>8.5795888371057003E-4</v>
      </c>
      <c r="BB68" s="708">
        <f>'Raw emissions'!AL24</f>
        <v>6.609729181305306E-4</v>
      </c>
      <c r="BC68" s="703">
        <f t="shared" ref="BC68:BJ69" si="111">$BA68</f>
        <v>8.5795888371057003E-4</v>
      </c>
      <c r="BD68" s="703">
        <f t="shared" si="111"/>
        <v>8.5795888371057003E-4</v>
      </c>
      <c r="BE68" s="703">
        <f t="shared" si="111"/>
        <v>8.5795888371057003E-4</v>
      </c>
      <c r="BF68" s="703">
        <f t="shared" si="111"/>
        <v>8.5795888371057003E-4</v>
      </c>
      <c r="BG68" s="703">
        <f t="shared" si="111"/>
        <v>8.5795888371057003E-4</v>
      </c>
      <c r="BH68" s="703">
        <f t="shared" si="111"/>
        <v>8.5795888371057003E-4</v>
      </c>
      <c r="BI68" s="703">
        <f t="shared" si="111"/>
        <v>8.5795888371057003E-4</v>
      </c>
      <c r="BJ68" s="703">
        <f t="shared" si="111"/>
        <v>8.5795888371057003E-4</v>
      </c>
      <c r="BK68" s="705">
        <f>'Raw emissions'!AG24</f>
        <v>9.2090070139841246E-3</v>
      </c>
      <c r="BL68" s="708">
        <f>'Raw emissions'!AI24</f>
        <v>8.1903020755116525E-3</v>
      </c>
      <c r="BM68" s="703">
        <f>$BK68</f>
        <v>9.2090070139841246E-3</v>
      </c>
      <c r="BN68" s="703">
        <f t="shared" ref="BN68:BT69" si="112">$BK68</f>
        <v>9.2090070139841246E-3</v>
      </c>
      <c r="BO68" s="703">
        <f t="shared" si="112"/>
        <v>9.2090070139841246E-3</v>
      </c>
      <c r="BP68" s="703">
        <f t="shared" si="112"/>
        <v>9.2090070139841246E-3</v>
      </c>
      <c r="BQ68" s="703">
        <f t="shared" si="112"/>
        <v>9.2090070139841246E-3</v>
      </c>
      <c r="BR68" s="703">
        <f t="shared" si="112"/>
        <v>9.2090070139841246E-3</v>
      </c>
      <c r="BS68" s="703">
        <f t="shared" si="112"/>
        <v>9.2090070139841246E-3</v>
      </c>
      <c r="BT68" s="703">
        <f t="shared" si="112"/>
        <v>9.2090070139841246E-3</v>
      </c>
      <c r="BU68" s="705">
        <f>'Raw emissions'!G24</f>
        <v>1.5458099434990425E-2</v>
      </c>
      <c r="BV68" s="708">
        <f>'Raw emissions'!H24</f>
        <v>1.379681232519772E-2</v>
      </c>
      <c r="BW68" s="703">
        <f>(1-'Tier3Phase-in'!$J$20)*BV68</f>
        <v>4.6909161905672242E-3</v>
      </c>
      <c r="BX68" s="705">
        <f>'Raw emissions'!V24</f>
        <v>2.3555454263633174E-2</v>
      </c>
      <c r="BY68" s="708">
        <f>'Raw emissions'!W24</f>
        <v>1.7683755411684831E-2</v>
      </c>
      <c r="BZ68" s="705">
        <f>'Raw emissions'!S24</f>
        <v>3.1897675799081329E-2</v>
      </c>
      <c r="CA68" s="708">
        <f>'Raw emissions'!T24</f>
        <v>6.2840498621211452E-3</v>
      </c>
    </row>
    <row r="69" spans="1:79" x14ac:dyDescent="0.2">
      <c r="A69" s="690" t="str">
        <f>Technologies!C145</f>
        <v>THSDSLC10</v>
      </c>
      <c r="B69" s="690" t="str">
        <f>Technologies!D145</f>
        <v>Heavy Truck, Short Haul, Conventional Diesel 2010</v>
      </c>
      <c r="C69" s="705">
        <f>'Raw emissions'!D23*'Raw emissions'!B78+'Raw emissions'!D35*'Raw emissions'!B79</f>
        <v>4.2186469082134739</v>
      </c>
      <c r="D69" s="706">
        <f>'Raw emissions'!E23*'Raw emissions'!$B$78+'Raw emissions'!E35*'Raw emissions'!$B$79</f>
        <v>1.2167816356523204</v>
      </c>
      <c r="E69" s="702">
        <f>$C69</f>
        <v>4.2186469082134739</v>
      </c>
      <c r="F69" s="702">
        <f t="shared" si="106"/>
        <v>4.2186469082134739</v>
      </c>
      <c r="G69" s="702">
        <f t="shared" si="106"/>
        <v>4.2186469082134739</v>
      </c>
      <c r="H69" s="702">
        <f t="shared" si="106"/>
        <v>4.2186469082134739</v>
      </c>
      <c r="I69" s="702">
        <f t="shared" si="106"/>
        <v>4.2186469082134739</v>
      </c>
      <c r="J69" s="702">
        <f t="shared" si="106"/>
        <v>4.2186469082134739</v>
      </c>
      <c r="K69" s="702">
        <f t="shared" si="106"/>
        <v>4.2186469082134739</v>
      </c>
      <c r="L69" s="702">
        <f t="shared" si="106"/>
        <v>4.2186469082134739</v>
      </c>
      <c r="M69" s="705">
        <f>'Raw emissions'!J23*'Raw emissions'!$B$78+'Raw emissions'!J35*'Raw emissions'!$B$79</f>
        <v>0.33416931867826155</v>
      </c>
      <c r="N69" s="706">
        <f>'Raw emissions'!K23*'Raw emissions'!$B$78+'Raw emissions'!K35*'Raw emissions'!$B$79</f>
        <v>9.4247292349221481E-2</v>
      </c>
      <c r="O69" s="702">
        <f>$M69</f>
        <v>0.33416931867826155</v>
      </c>
      <c r="P69" s="702">
        <f t="shared" si="107"/>
        <v>0.33416931867826155</v>
      </c>
      <c r="Q69" s="702">
        <f t="shared" si="107"/>
        <v>0.33416931867826155</v>
      </c>
      <c r="R69" s="702">
        <f t="shared" si="107"/>
        <v>0.33416931867826155</v>
      </c>
      <c r="S69" s="702">
        <f t="shared" si="107"/>
        <v>0.33416931867826155</v>
      </c>
      <c r="T69" s="702">
        <f t="shared" si="107"/>
        <v>0.33416931867826155</v>
      </c>
      <c r="U69" s="702">
        <f t="shared" si="107"/>
        <v>0.33416931867826155</v>
      </c>
      <c r="V69" s="702">
        <f t="shared" si="107"/>
        <v>0.33416931867826155</v>
      </c>
      <c r="W69" s="705">
        <f>'Raw emissions'!M23*'Raw emissions'!$B$78+'Raw emissions'!M35*'Raw emissions'!$B$79</f>
        <v>0.27207757852255388</v>
      </c>
      <c r="X69" s="706">
        <f>'Raw emissions'!N23*'Raw emissions'!$B$78+'Raw emissions'!N35*'Raw emissions'!$B$79</f>
        <v>3.9344784647155295E-2</v>
      </c>
      <c r="Y69" s="702">
        <f t="shared" si="108"/>
        <v>0.27207757852255388</v>
      </c>
      <c r="Z69" s="702">
        <f t="shared" si="108"/>
        <v>3.9344784647155295E-2</v>
      </c>
      <c r="AA69" s="702">
        <f t="shared" si="108"/>
        <v>0.27207757852255388</v>
      </c>
      <c r="AB69" s="702">
        <f t="shared" si="108"/>
        <v>3.9344784647155295E-2</v>
      </c>
      <c r="AC69" s="702">
        <f t="shared" si="108"/>
        <v>0.27207757852255388</v>
      </c>
      <c r="AD69" s="702">
        <f t="shared" si="108"/>
        <v>3.9344784647155295E-2</v>
      </c>
      <c r="AE69" s="702">
        <f t="shared" si="108"/>
        <v>0.27207757852255388</v>
      </c>
      <c r="AF69" s="702">
        <f t="shared" si="108"/>
        <v>3.9344784647155295E-2</v>
      </c>
      <c r="AG69" s="705">
        <f>'Raw emissions'!P23*'Raw emissions'!$B$78+'Raw emissions'!P35*'Raw emissions'!$B$79</f>
        <v>1.629150142285112</v>
      </c>
      <c r="AH69" s="706">
        <f>'Raw emissions'!Q23*'Raw emissions'!$B$78+'Raw emissions'!Q35*'Raw emissions'!$B$79</f>
        <v>0.51668855239759326</v>
      </c>
      <c r="AI69" s="702">
        <f t="shared" si="109"/>
        <v>1.629150142285112</v>
      </c>
      <c r="AJ69" s="702">
        <f t="shared" si="109"/>
        <v>1.629150142285112</v>
      </c>
      <c r="AK69" s="702">
        <f t="shared" si="109"/>
        <v>1.629150142285112</v>
      </c>
      <c r="AL69" s="702">
        <f t="shared" si="109"/>
        <v>1.629150142285112</v>
      </c>
      <c r="AM69" s="702">
        <f t="shared" si="109"/>
        <v>1.629150142285112</v>
      </c>
      <c r="AN69" s="702">
        <f t="shared" si="109"/>
        <v>1.629150142285112</v>
      </c>
      <c r="AO69" s="702">
        <f t="shared" si="109"/>
        <v>1.629150142285112</v>
      </c>
      <c r="AP69" s="702">
        <f t="shared" si="109"/>
        <v>1.629150142285112</v>
      </c>
      <c r="AQ69" s="705">
        <f>'Raw emissions'!Y23*'Raw emissions'!$B$78+'Raw emissions'!Y35*'Raw emissions'!$B$79</f>
        <v>0.41345713549361068</v>
      </c>
      <c r="AR69" s="706">
        <f>'Raw emissions'!Z23*'Raw emissions'!$B$78+'Raw emissions'!Z35*'Raw emissions'!$B$79</f>
        <v>0.13692347977870439</v>
      </c>
      <c r="AS69" s="702">
        <f t="shared" si="110"/>
        <v>0.41345713549361068</v>
      </c>
      <c r="AT69" s="702">
        <f t="shared" si="110"/>
        <v>0.41345713549361068</v>
      </c>
      <c r="AU69" s="702">
        <f t="shared" si="110"/>
        <v>0.41345713549361068</v>
      </c>
      <c r="AV69" s="702">
        <f t="shared" si="110"/>
        <v>0.41345713549361068</v>
      </c>
      <c r="AW69" s="702">
        <f t="shared" si="110"/>
        <v>0.41345713549361068</v>
      </c>
      <c r="AX69" s="702">
        <f t="shared" si="110"/>
        <v>0.41345713549361068</v>
      </c>
      <c r="AY69" s="702">
        <f t="shared" si="110"/>
        <v>0.41345713549361068</v>
      </c>
      <c r="AZ69" s="702">
        <f t="shared" si="110"/>
        <v>0.41345713549361068</v>
      </c>
      <c r="BA69" s="705">
        <f>'Raw emissions'!AK23*'Raw emissions'!$B$78+'Raw emissions'!AK35*'Raw emissions'!$B$79</f>
        <v>0.17616921217447815</v>
      </c>
      <c r="BB69" s="708">
        <f>'Raw emissions'!AL23*'Raw emissions'!$B$78+'Raw emissions'!AL35*'Raw emissions'!$B$79</f>
        <v>1.7042150911375994E-3</v>
      </c>
      <c r="BC69" s="703">
        <f t="shared" si="111"/>
        <v>0.17616921217447815</v>
      </c>
      <c r="BD69" s="703">
        <f t="shared" si="111"/>
        <v>0.17616921217447815</v>
      </c>
      <c r="BE69" s="703">
        <f t="shared" si="111"/>
        <v>0.17616921217447815</v>
      </c>
      <c r="BF69" s="703">
        <f t="shared" si="111"/>
        <v>0.17616921217447815</v>
      </c>
      <c r="BG69" s="703">
        <f t="shared" si="111"/>
        <v>0.17616921217447815</v>
      </c>
      <c r="BH69" s="703">
        <f t="shared" si="111"/>
        <v>0.17616921217447815</v>
      </c>
      <c r="BI69" s="703">
        <f t="shared" si="111"/>
        <v>0.17616921217447815</v>
      </c>
      <c r="BJ69" s="703">
        <f t="shared" si="111"/>
        <v>0.17616921217447815</v>
      </c>
      <c r="BK69" s="705">
        <f>'Raw emissions'!AG23*'Raw emissions'!$B$78+'Raw emissions'!AG35*'Raw emissions'!$B$79</f>
        <v>0.17059032974087304</v>
      </c>
      <c r="BL69" s="708">
        <f>'Raw emissions'!AI23*'Raw emissions'!$B$78+'Raw emissions'!AI35*'Raw emissions'!$B$79</f>
        <v>8.2624047759026122E-3</v>
      </c>
      <c r="BM69" s="703">
        <f>$BK69</f>
        <v>0.17059032974087304</v>
      </c>
      <c r="BN69" s="703">
        <f t="shared" si="112"/>
        <v>0.17059032974087304</v>
      </c>
      <c r="BO69" s="703">
        <f t="shared" si="112"/>
        <v>0.17059032974087304</v>
      </c>
      <c r="BP69" s="703">
        <f t="shared" si="112"/>
        <v>0.17059032974087304</v>
      </c>
      <c r="BQ69" s="703">
        <f t="shared" si="112"/>
        <v>0.17059032974087304</v>
      </c>
      <c r="BR69" s="703">
        <f t="shared" si="112"/>
        <v>0.17059032974087304</v>
      </c>
      <c r="BS69" s="703">
        <f t="shared" si="112"/>
        <v>0.17059032974087304</v>
      </c>
      <c r="BT69" s="703">
        <f t="shared" si="112"/>
        <v>0.17059032974087304</v>
      </c>
      <c r="BU69" s="705">
        <f>'Raw emissions'!G23*'Raw emissions'!$B$78+'Raw emissions'!G35*'Raw emissions'!$B$79</f>
        <v>1.6251195689031762E-2</v>
      </c>
      <c r="BV69" s="708">
        <f>'Raw emissions'!H23*'Raw emissions'!$B$78+'Raw emissions'!H35*'Raw emissions'!$B$79</f>
        <v>1.0655345021427653E-2</v>
      </c>
      <c r="BW69" s="703">
        <f>(1-'Tier3Phase-in'!$J$20)*BV69</f>
        <v>3.6228173072854019E-3</v>
      </c>
      <c r="BX69" s="705">
        <f>'Raw emissions'!V23*'Raw emissions'!BU78+'Raw emissions'!V35*'Raw emissions'!BU79</f>
        <v>0</v>
      </c>
      <c r="BY69" s="708">
        <f>'Raw emissions'!W23*'Raw emissions'!$B$78+'Raw emissions'!W35*'Raw emissions'!$B$79</f>
        <v>1.9321510424196472E-3</v>
      </c>
      <c r="BZ69" s="705">
        <f>'Raw emissions'!S23*'Raw emissions'!BW78+'Raw emissions'!S35*'Raw emissions'!BW79</f>
        <v>0</v>
      </c>
      <c r="CA69" s="708">
        <f>'Raw emissions'!T23*'Raw emissions'!$B$78+'Raw emissions'!T35*'Raw emissions'!$B$79</f>
        <v>1.9677443278455272E-3</v>
      </c>
    </row>
    <row r="70" spans="1:79" x14ac:dyDescent="0.2">
      <c r="A70" s="690" t="str">
        <f>Technologies!C146</f>
        <v>THSDSLC</v>
      </c>
      <c r="B70" s="690" t="str">
        <f>Technologies!D146</f>
        <v>Heavy Truck, Short Haul, Conv. Diesel</v>
      </c>
      <c r="C70" s="705">
        <f>'Raw emissions'!D23*'Raw emissions'!B78+'Raw emissions'!D35*'Raw emissions'!B79</f>
        <v>4.2186469082134739</v>
      </c>
      <c r="D70" s="706">
        <f>'Raw emissions'!E23*'Raw emissions'!$B$78+'Raw emissions'!E35*'Raw emissions'!$B$79</f>
        <v>1.2167816356523204</v>
      </c>
      <c r="E70" s="702">
        <f>$D70*(1-'Tier3Phase-in'!$J$12)</f>
        <v>1.2167816356523204</v>
      </c>
      <c r="F70" s="702">
        <f>$D70*(1-'Tier3Phase-in'!$K$12)</f>
        <v>1.0538198094488846</v>
      </c>
      <c r="G70" s="702">
        <f>$D70*(1-'Tier3Phase-in'!$L$12)</f>
        <v>0.92641329078074397</v>
      </c>
      <c r="H70" s="702">
        <f>$D70*(1-'Tier3Phase-in'!$M$12)</f>
        <v>0.87456180062510536</v>
      </c>
      <c r="I70" s="702">
        <f>$D70*(1-'Tier3Phase-in'!$N$12)</f>
        <v>0.82893248928814334</v>
      </c>
      <c r="J70" s="702">
        <f>$D70*(1-'Tier3Phase-in'!$O$12)</f>
        <v>0.76374775880676882</v>
      </c>
      <c r="K70" s="702">
        <f>$D70*(1-'Tier3Phase-in'!$P$12)</f>
        <v>0.76211814054473459</v>
      </c>
      <c r="L70" s="702">
        <f>$D70*(1-'Tier3Phase-in'!$Q$12)</f>
        <v>0.76048852228270025</v>
      </c>
      <c r="M70" s="705">
        <f>'Raw emissions'!J23*'Raw emissions'!$B$78+'Raw emissions'!J35*'Raw emissions'!$B$79</f>
        <v>0.33416931867826155</v>
      </c>
      <c r="N70" s="706">
        <f>'Raw emissions'!K23*'Raw emissions'!$B$78+'Raw emissions'!K35*'Raw emissions'!$B$79</f>
        <v>9.4247292349221481E-2</v>
      </c>
      <c r="O70" s="702">
        <f>$N70*(1-'Tier3Phase-in'!$J$12)</f>
        <v>9.4247292349221481E-2</v>
      </c>
      <c r="P70" s="702">
        <f>$N70*(1-'Tier3Phase-in'!$K$12)</f>
        <v>8.1624887123879317E-2</v>
      </c>
      <c r="Q70" s="702">
        <f>$N70*(1-'Tier3Phase-in'!$L$12)</f>
        <v>7.1756461220429987E-2</v>
      </c>
      <c r="R70" s="702">
        <f>$N70*(1-'Tier3Phase-in'!$M$12)</f>
        <v>6.7740241376002944E-2</v>
      </c>
      <c r="S70" s="702">
        <f>$N70*(1-'Tier3Phase-in'!$N$12)</f>
        <v>6.4205967912907141E-2</v>
      </c>
      <c r="T70" s="702">
        <f>$N70*(1-'Tier3Phase-in'!$O$12)</f>
        <v>5.915700582277026E-2</v>
      </c>
      <c r="U70" s="702">
        <f>$N70*(1-'Tier3Phase-in'!$P$12)</f>
        <v>5.9030781770516842E-2</v>
      </c>
      <c r="V70" s="702">
        <f>$N70*(1-'Tier3Phase-in'!$Q$12)</f>
        <v>5.8904557718263424E-2</v>
      </c>
      <c r="W70" s="705">
        <f>'Raw emissions'!M23*'Raw emissions'!$B$78+'Raw emissions'!M35*'Raw emissions'!$B$79</f>
        <v>0.27207757852255388</v>
      </c>
      <c r="X70" s="706">
        <f>'Raw emissions'!N23*'Raw emissions'!$B$78+'Raw emissions'!N35*'Raw emissions'!$B$79</f>
        <v>3.9344784647155295E-2</v>
      </c>
      <c r="Y70" s="702">
        <f>$X70*(1-'Tier3Phase-in'!$J$12)</f>
        <v>3.9344784647155295E-2</v>
      </c>
      <c r="Z70" s="702">
        <f>$X70*(1-'Tier3Phase-in'!$K$12)</f>
        <v>3.4075393846196997E-2</v>
      </c>
      <c r="AA70" s="702">
        <f>$X70*(1-'Tier3Phase-in'!$L$12)</f>
        <v>2.9955688310902326E-2</v>
      </c>
      <c r="AB70" s="702">
        <f>$X70*(1-'Tier3Phase-in'!$M$12)</f>
        <v>2.8279063965142869E-2</v>
      </c>
      <c r="AC70" s="702">
        <f>$X70*(1-'Tier3Phase-in'!$N$12)</f>
        <v>2.6803634540874546E-2</v>
      </c>
      <c r="AD70" s="702">
        <f>$X70*(1-'Tier3Phase-in'!$O$12)</f>
        <v>2.469587822049122E-2</v>
      </c>
      <c r="AE70" s="702">
        <f>$X70*(1-'Tier3Phase-in'!$P$12)</f>
        <v>2.464318431248164E-2</v>
      </c>
      <c r="AF70" s="702">
        <f>$X70*(1-'Tier3Phase-in'!$Q$12)</f>
        <v>2.459049040447206E-2</v>
      </c>
      <c r="AG70" s="705">
        <f>'Raw emissions'!P23*'Raw emissions'!$B$78+'Raw emissions'!P35*'Raw emissions'!$B$79</f>
        <v>1.629150142285112</v>
      </c>
      <c r="AH70" s="706">
        <f>'Raw emissions'!Q23*'Raw emissions'!$B$78+'Raw emissions'!Q35*'Raw emissions'!$B$79</f>
        <v>0.51668855239759326</v>
      </c>
      <c r="AI70" s="702">
        <f>$AH70*(1-'Tier3Phase-in'!$J$12)</f>
        <v>0.51668855239759326</v>
      </c>
      <c r="AJ70" s="702">
        <f>$AH70*(1-'Tier3Phase-in'!$K$12)</f>
        <v>0.44748919270148702</v>
      </c>
      <c r="AK70" s="702">
        <f>$AH70*(1-'Tier3Phase-in'!$L$12)</f>
        <v>0.39338787512089485</v>
      </c>
      <c r="AL70" s="702">
        <f>$AH70*(1-'Tier3Phase-in'!$M$12)</f>
        <v>0.37136989703577017</v>
      </c>
      <c r="AM70" s="702">
        <f>$AH70*(1-'Tier3Phase-in'!$N$12)</f>
        <v>0.35199407632086044</v>
      </c>
      <c r="AN70" s="702">
        <f>$AH70*(1-'Tier3Phase-in'!$O$12)</f>
        <v>0.32431433244241786</v>
      </c>
      <c r="AO70" s="702">
        <f>$AH70*(1-'Tier3Phase-in'!$P$12)</f>
        <v>0.32362233884545683</v>
      </c>
      <c r="AP70" s="702">
        <f>$AH70*(1-'Tier3Phase-in'!$Q$12)</f>
        <v>0.32293034524849579</v>
      </c>
      <c r="AQ70" s="705">
        <f>'Raw emissions'!Y23*'Raw emissions'!$B$78+'Raw emissions'!Y35*'Raw emissions'!$B$79</f>
        <v>0.41345713549361068</v>
      </c>
      <c r="AR70" s="706">
        <f>'Raw emissions'!Z23*'Raw emissions'!$B$78+'Raw emissions'!Z35*'Raw emissions'!$B$79</f>
        <v>0.13692347977870439</v>
      </c>
      <c r="AS70" s="702">
        <f>$AR70*(1-'Tier3Phase-in'!$J$12)</f>
        <v>0.13692347977870439</v>
      </c>
      <c r="AT70" s="702">
        <f>$AR70*(1-'Tier3Phase-in'!$K$12)</f>
        <v>0.11858551373691363</v>
      </c>
      <c r="AU70" s="702">
        <f>$AR70*(1-'Tier3Phase-in'!$L$12)</f>
        <v>0.1042485584678772</v>
      </c>
      <c r="AV70" s="702">
        <f>$AR70*(1-'Tier3Phase-in'!$M$12)</f>
        <v>9.8413751090943788E-2</v>
      </c>
      <c r="AW70" s="702">
        <f>$AR70*(1-'Tier3Phase-in'!$N$12)</f>
        <v>9.3279120599242371E-2</v>
      </c>
      <c r="AX70" s="702">
        <f>$AR70*(1-'Tier3Phase-in'!$O$12)</f>
        <v>8.5943934182526049E-2</v>
      </c>
      <c r="AY70" s="702">
        <f>$AR70*(1-'Tier3Phase-in'!$P$12)</f>
        <v>8.5760554522108151E-2</v>
      </c>
      <c r="AZ70" s="702">
        <f>$AR70*(1-'Tier3Phase-in'!$Q$12)</f>
        <v>8.5577174861690253E-2</v>
      </c>
      <c r="BA70" s="705">
        <f>'Raw emissions'!AK23*'Raw emissions'!$B$78+'Raw emissions'!AK35*'Raw emissions'!$B$79</f>
        <v>0.17616921217447815</v>
      </c>
      <c r="BB70" s="708">
        <f>'Raw emissions'!AL23*'Raw emissions'!$B$78+'Raw emissions'!AL35*'Raw emissions'!$B$79</f>
        <v>1.7042150911375994E-3</v>
      </c>
      <c r="BC70" s="703">
        <f>$BB70*(1-'Tier3Phase-in'!$J$12)</f>
        <v>1.7042150911375994E-3</v>
      </c>
      <c r="BD70" s="703">
        <f>$BB70*(1-'Tier3Phase-in'!$K$12)</f>
        <v>1.4759719985745282E-3</v>
      </c>
      <c r="BE70" s="703">
        <f>$BB70*(1-'Tier3Phase-in'!$L$12)</f>
        <v>1.2975273989343087E-3</v>
      </c>
      <c r="BF70" s="703">
        <f>$BB70*(1-'Tier3Phase-in'!$M$12)</f>
        <v>1.2249045967551496E-3</v>
      </c>
      <c r="BG70" s="703">
        <f>$BB70*(1-'Tier3Phase-in'!$N$12)</f>
        <v>1.1609965308374897E-3</v>
      </c>
      <c r="BH70" s="703">
        <f>$BB70*(1-'Tier3Phase-in'!$O$12)</f>
        <v>1.0696992938122609E-3</v>
      </c>
      <c r="BI70" s="703">
        <f>$BB70*(1-'Tier3Phase-in'!$P$12)</f>
        <v>1.0674168628866303E-3</v>
      </c>
      <c r="BJ70" s="703">
        <f>$BB70*(1-'Tier3Phase-in'!$Q$12)</f>
        <v>1.0651344319609997E-3</v>
      </c>
      <c r="BK70" s="705">
        <f>'Raw emissions'!AG23*'Raw emissions'!$B$78+'Raw emissions'!AG35*'Raw emissions'!$B$79</f>
        <v>0.17059032974087304</v>
      </c>
      <c r="BL70" s="708">
        <f>'Raw emissions'!AI23*'Raw emissions'!$B$78+'Raw emissions'!AI35*'Raw emissions'!$B$79</f>
        <v>8.2624047759026122E-3</v>
      </c>
      <c r="BM70" s="703">
        <f>$BL70*(1-'Tier3Phase-in'!$J$12)</f>
        <v>8.2624047759026122E-3</v>
      </c>
      <c r="BN70" s="703">
        <f>$BL70*(1-'Tier3Phase-in'!$K$12)</f>
        <v>7.1558327077013697E-3</v>
      </c>
      <c r="BO70" s="703">
        <f>$BL70*(1-'Tier3Phase-in'!$L$12)</f>
        <v>6.2906945452894884E-3</v>
      </c>
      <c r="BP70" s="703">
        <f>$BL70*(1-'Tier3Phase-in'!$M$12)</f>
        <v>5.9386034326800027E-3</v>
      </c>
      <c r="BQ70" s="703">
        <f>$BL70*(1-'Tier3Phase-in'!$N$12)</f>
        <v>5.6287632535836551E-3</v>
      </c>
      <c r="BR70" s="703">
        <f>$BL70*(1-'Tier3Phase-in'!$O$12)</f>
        <v>5.1861344263031562E-3</v>
      </c>
      <c r="BS70" s="703">
        <f>$BL70*(1-'Tier3Phase-in'!$P$12)</f>
        <v>5.1750687056211445E-3</v>
      </c>
      <c r="BT70" s="703">
        <f>$BL70*(1-'Tier3Phase-in'!$Q$12)</f>
        <v>5.1640029849391329E-3</v>
      </c>
      <c r="BU70" s="705">
        <f>'Raw emissions'!G23*'Raw emissions'!$B$78+'Raw emissions'!G35*'Raw emissions'!$B$79</f>
        <v>1.6251195689031762E-2</v>
      </c>
      <c r="BV70" s="708">
        <f>'Raw emissions'!H23*'Raw emissions'!$B$78+'Raw emissions'!H35*'Raw emissions'!$B$79</f>
        <v>1.0655345021427653E-2</v>
      </c>
      <c r="BW70" s="703">
        <f>(1-'Tier3Phase-in'!$J$20)*BV70</f>
        <v>3.6228173072854019E-3</v>
      </c>
      <c r="BX70" s="705">
        <f>'Raw emissions'!V23*'Raw emissions'!BU78+'Raw emissions'!V35*'Raw emissions'!BU79</f>
        <v>0</v>
      </c>
      <c r="BY70" s="708">
        <f>'Raw emissions'!W23*'Raw emissions'!$B$78+'Raw emissions'!W35*'Raw emissions'!$B$79</f>
        <v>1.9321510424196472E-3</v>
      </c>
      <c r="BZ70" s="705">
        <f>'Raw emissions'!S23*'Raw emissions'!BW78+'Raw emissions'!S35*'Raw emissions'!BW79</f>
        <v>0</v>
      </c>
      <c r="CA70" s="708">
        <f>'Raw emissions'!T23*'Raw emissions'!$B$78+'Raw emissions'!T35*'Raw emissions'!$B$79</f>
        <v>1.9677443278455272E-3</v>
      </c>
    </row>
    <row r="71" spans="1:79" x14ac:dyDescent="0.2">
      <c r="A71" s="690" t="str">
        <f>Technologies!C147</f>
        <v>THSDSLIM</v>
      </c>
      <c r="B71" s="690" t="str">
        <f>Technologies!D147</f>
        <v>Heavy Truck, Short Haul, Improved Diesel</v>
      </c>
      <c r="C71" s="705">
        <f>C70</f>
        <v>4.2186469082134739</v>
      </c>
      <c r="D71" s="706">
        <f>D70</f>
        <v>1.2167816356523204</v>
      </c>
      <c r="E71" s="702">
        <f>$D71*(1-'Tier3Phase-in'!$J$12)</f>
        <v>1.2167816356523204</v>
      </c>
      <c r="F71" s="702">
        <f>$D71*(1-'Tier3Phase-in'!$K$12)</f>
        <v>1.0538198094488846</v>
      </c>
      <c r="G71" s="702">
        <f>$D71*(1-'Tier3Phase-in'!$L$12)</f>
        <v>0.92641329078074397</v>
      </c>
      <c r="H71" s="702">
        <f>$D71*(1-'Tier3Phase-in'!$M$12)</f>
        <v>0.87456180062510536</v>
      </c>
      <c r="I71" s="702">
        <f>$D71*(1-'Tier3Phase-in'!$N$12)</f>
        <v>0.82893248928814334</v>
      </c>
      <c r="J71" s="702">
        <f>$D71*(1-'Tier3Phase-in'!$O$12)</f>
        <v>0.76374775880676882</v>
      </c>
      <c r="K71" s="702">
        <f>$D71*(1-'Tier3Phase-in'!$P$12)</f>
        <v>0.76211814054473459</v>
      </c>
      <c r="L71" s="702">
        <f>$D71*(1-'Tier3Phase-in'!$Q$12)</f>
        <v>0.76048852228270025</v>
      </c>
      <c r="M71" s="705">
        <f>M70</f>
        <v>0.33416931867826155</v>
      </c>
      <c r="N71" s="706">
        <f>N70</f>
        <v>9.4247292349221481E-2</v>
      </c>
      <c r="O71" s="702">
        <f>$N71*(1-'Tier3Phase-in'!$J$12)</f>
        <v>9.4247292349221481E-2</v>
      </c>
      <c r="P71" s="702">
        <f>$N71*(1-'Tier3Phase-in'!$K$12)</f>
        <v>8.1624887123879317E-2</v>
      </c>
      <c r="Q71" s="702">
        <f>$N71*(1-'Tier3Phase-in'!$L$12)</f>
        <v>7.1756461220429987E-2</v>
      </c>
      <c r="R71" s="702">
        <f>$N71*(1-'Tier3Phase-in'!$M$12)</f>
        <v>6.7740241376002944E-2</v>
      </c>
      <c r="S71" s="702">
        <f>$N71*(1-'Tier3Phase-in'!$N$12)</f>
        <v>6.4205967912907141E-2</v>
      </c>
      <c r="T71" s="702">
        <f>$N71*(1-'Tier3Phase-in'!$O$12)</f>
        <v>5.915700582277026E-2</v>
      </c>
      <c r="U71" s="702">
        <f>$N71*(1-'Tier3Phase-in'!$P$12)</f>
        <v>5.9030781770516842E-2</v>
      </c>
      <c r="V71" s="702">
        <f>$N71*(1-'Tier3Phase-in'!$Q$12)</f>
        <v>5.8904557718263424E-2</v>
      </c>
      <c r="W71" s="705">
        <f>W70</f>
        <v>0.27207757852255388</v>
      </c>
      <c r="X71" s="706">
        <f>X70</f>
        <v>3.9344784647155295E-2</v>
      </c>
      <c r="Y71" s="702">
        <f>$X71*(1-'Tier3Phase-in'!$J$12)</f>
        <v>3.9344784647155295E-2</v>
      </c>
      <c r="Z71" s="702">
        <f>$X71*(1-'Tier3Phase-in'!$K$12)</f>
        <v>3.4075393846196997E-2</v>
      </c>
      <c r="AA71" s="702">
        <f>$X71*(1-'Tier3Phase-in'!$L$12)</f>
        <v>2.9955688310902326E-2</v>
      </c>
      <c r="AB71" s="702">
        <f>$X71*(1-'Tier3Phase-in'!$M$12)</f>
        <v>2.8279063965142869E-2</v>
      </c>
      <c r="AC71" s="702">
        <f>$X71*(1-'Tier3Phase-in'!$N$12)</f>
        <v>2.6803634540874546E-2</v>
      </c>
      <c r="AD71" s="702">
        <f>$X71*(1-'Tier3Phase-in'!$O$12)</f>
        <v>2.469587822049122E-2</v>
      </c>
      <c r="AE71" s="702">
        <f>$X71*(1-'Tier3Phase-in'!$P$12)</f>
        <v>2.464318431248164E-2</v>
      </c>
      <c r="AF71" s="702">
        <f>$X71*(1-'Tier3Phase-in'!$Q$12)</f>
        <v>2.459049040447206E-2</v>
      </c>
      <c r="AG71" s="705">
        <f>AG70</f>
        <v>1.629150142285112</v>
      </c>
      <c r="AH71" s="706">
        <f>AH70</f>
        <v>0.51668855239759326</v>
      </c>
      <c r="AI71" s="702">
        <f>$AH71*(1-'Tier3Phase-in'!$J$12)</f>
        <v>0.51668855239759326</v>
      </c>
      <c r="AJ71" s="702">
        <f>$AH71*(1-'Tier3Phase-in'!$K$12)</f>
        <v>0.44748919270148702</v>
      </c>
      <c r="AK71" s="702">
        <f>$AH71*(1-'Tier3Phase-in'!$L$12)</f>
        <v>0.39338787512089485</v>
      </c>
      <c r="AL71" s="702">
        <f>$AH71*(1-'Tier3Phase-in'!$M$12)</f>
        <v>0.37136989703577017</v>
      </c>
      <c r="AM71" s="702">
        <f>$AH71*(1-'Tier3Phase-in'!$N$12)</f>
        <v>0.35199407632086044</v>
      </c>
      <c r="AN71" s="702">
        <f>$AH71*(1-'Tier3Phase-in'!$O$12)</f>
        <v>0.32431433244241786</v>
      </c>
      <c r="AO71" s="702">
        <f>$AH71*(1-'Tier3Phase-in'!$P$12)</f>
        <v>0.32362233884545683</v>
      </c>
      <c r="AP71" s="702">
        <f>$AH71*(1-'Tier3Phase-in'!$Q$12)</f>
        <v>0.32293034524849579</v>
      </c>
      <c r="AQ71" s="705">
        <f>AQ70</f>
        <v>0.41345713549361068</v>
      </c>
      <c r="AR71" s="706">
        <f>AR70</f>
        <v>0.13692347977870439</v>
      </c>
      <c r="AS71" s="702">
        <f>$AR71*(1-'Tier3Phase-in'!$J$12)</f>
        <v>0.13692347977870439</v>
      </c>
      <c r="AT71" s="702">
        <f>$AR71*(1-'Tier3Phase-in'!$K$12)</f>
        <v>0.11858551373691363</v>
      </c>
      <c r="AU71" s="702">
        <f>$AR71*(1-'Tier3Phase-in'!$L$12)</f>
        <v>0.1042485584678772</v>
      </c>
      <c r="AV71" s="702">
        <f>$AR71*(1-'Tier3Phase-in'!$M$12)</f>
        <v>9.8413751090943788E-2</v>
      </c>
      <c r="AW71" s="702">
        <f>$AR71*(1-'Tier3Phase-in'!$N$12)</f>
        <v>9.3279120599242371E-2</v>
      </c>
      <c r="AX71" s="702">
        <f>$AR71*(1-'Tier3Phase-in'!$O$12)</f>
        <v>8.5943934182526049E-2</v>
      </c>
      <c r="AY71" s="702">
        <f>$AR71*(1-'Tier3Phase-in'!$P$12)</f>
        <v>8.5760554522108151E-2</v>
      </c>
      <c r="AZ71" s="702">
        <f>$AR71*(1-'Tier3Phase-in'!$Q$12)</f>
        <v>8.5577174861690253E-2</v>
      </c>
      <c r="BA71" s="705">
        <f>BA70</f>
        <v>0.17616921217447815</v>
      </c>
      <c r="BB71" s="708">
        <f>BB70</f>
        <v>1.7042150911375994E-3</v>
      </c>
      <c r="BC71" s="703">
        <f>$BB71*(1-'Tier3Phase-in'!$J$12)</f>
        <v>1.7042150911375994E-3</v>
      </c>
      <c r="BD71" s="703">
        <f>$BB71*(1-'Tier3Phase-in'!$K$12)</f>
        <v>1.4759719985745282E-3</v>
      </c>
      <c r="BE71" s="703">
        <f>$BB71*(1-'Tier3Phase-in'!$L$12)</f>
        <v>1.2975273989343087E-3</v>
      </c>
      <c r="BF71" s="703">
        <f>$BB71*(1-'Tier3Phase-in'!$M$12)</f>
        <v>1.2249045967551496E-3</v>
      </c>
      <c r="BG71" s="703">
        <f>$BB71*(1-'Tier3Phase-in'!$N$12)</f>
        <v>1.1609965308374897E-3</v>
      </c>
      <c r="BH71" s="703">
        <f>$BB71*(1-'Tier3Phase-in'!$O$12)</f>
        <v>1.0696992938122609E-3</v>
      </c>
      <c r="BI71" s="703">
        <f>$BB71*(1-'Tier3Phase-in'!$P$12)</f>
        <v>1.0674168628866303E-3</v>
      </c>
      <c r="BJ71" s="703">
        <f>$BB71*(1-'Tier3Phase-in'!$Q$12)</f>
        <v>1.0651344319609997E-3</v>
      </c>
      <c r="BK71" s="705">
        <f>BK70</f>
        <v>0.17059032974087304</v>
      </c>
      <c r="BL71" s="708">
        <f>BL70</f>
        <v>8.2624047759026122E-3</v>
      </c>
      <c r="BM71" s="703">
        <f>$BL71*(1-'Tier3Phase-in'!$J$12)</f>
        <v>8.2624047759026122E-3</v>
      </c>
      <c r="BN71" s="703">
        <f>$BL71*(1-'Tier3Phase-in'!$K$12)</f>
        <v>7.1558327077013697E-3</v>
      </c>
      <c r="BO71" s="703">
        <f>$BL71*(1-'Tier3Phase-in'!$L$12)</f>
        <v>6.2906945452894884E-3</v>
      </c>
      <c r="BP71" s="703">
        <f>$BL71*(1-'Tier3Phase-in'!$M$12)</f>
        <v>5.9386034326800027E-3</v>
      </c>
      <c r="BQ71" s="703">
        <f>$BL71*(1-'Tier3Phase-in'!$N$12)</f>
        <v>5.6287632535836551E-3</v>
      </c>
      <c r="BR71" s="703">
        <f>$BL71*(1-'Tier3Phase-in'!$O$12)</f>
        <v>5.1861344263031562E-3</v>
      </c>
      <c r="BS71" s="703">
        <f>$BL71*(1-'Tier3Phase-in'!$P$12)</f>
        <v>5.1750687056211445E-3</v>
      </c>
      <c r="BT71" s="703">
        <f>$BL71*(1-'Tier3Phase-in'!$Q$12)</f>
        <v>5.1640029849391329E-3</v>
      </c>
      <c r="BU71" s="705">
        <f>BU70</f>
        <v>1.6251195689031762E-2</v>
      </c>
      <c r="BV71" s="708">
        <f>BV70</f>
        <v>1.0655345021427653E-2</v>
      </c>
      <c r="BW71" s="703">
        <f>(1-'Tier3Phase-in'!$J$20)*BV71</f>
        <v>3.6228173072854019E-3</v>
      </c>
      <c r="BX71" s="705">
        <f>BX70</f>
        <v>0</v>
      </c>
      <c r="BY71" s="708">
        <f>BY70</f>
        <v>1.9321510424196472E-3</v>
      </c>
      <c r="BZ71" s="705">
        <f>BZ70</f>
        <v>0</v>
      </c>
      <c r="CA71" s="708">
        <f>CA70</f>
        <v>1.9677443278455272E-3</v>
      </c>
    </row>
    <row r="72" spans="1:79" x14ac:dyDescent="0.2">
      <c r="A72" s="690" t="str">
        <f>Technologies!C148</f>
        <v>THSDSLADV</v>
      </c>
      <c r="B72" s="690" t="str">
        <f>Technologies!D148</f>
        <v>Heavy Truck, Short Haul, Advanced Diesel</v>
      </c>
      <c r="C72" s="705">
        <f>'Raw emissions'!D23*'Raw emissions'!B78+'Raw emissions'!D35*'Raw emissions'!B79</f>
        <v>4.2186469082134739</v>
      </c>
      <c r="D72" s="706">
        <f>'Raw emissions'!E23*'Raw emissions'!$B$78+'Raw emissions'!E35*'Raw emissions'!$B$79</f>
        <v>1.2167816356523204</v>
      </c>
      <c r="E72" s="702">
        <f>$D72*(1-'Tier3Phase-in'!$J$12)</f>
        <v>1.2167816356523204</v>
      </c>
      <c r="F72" s="702">
        <f>$D72*(1-'Tier3Phase-in'!$K$12)</f>
        <v>1.0538198094488846</v>
      </c>
      <c r="G72" s="702">
        <f>$D72*(1-'Tier3Phase-in'!$L$12)</f>
        <v>0.92641329078074397</v>
      </c>
      <c r="H72" s="702">
        <f>$D72*(1-'Tier3Phase-in'!$M$12)</f>
        <v>0.87456180062510536</v>
      </c>
      <c r="I72" s="702">
        <f>$D72*(1-'Tier3Phase-in'!$N$12)</f>
        <v>0.82893248928814334</v>
      </c>
      <c r="J72" s="702">
        <f>$D72*(1-'Tier3Phase-in'!$O$12)</f>
        <v>0.76374775880676882</v>
      </c>
      <c r="K72" s="702">
        <f>$D72*(1-'Tier3Phase-in'!$P$12)</f>
        <v>0.76211814054473459</v>
      </c>
      <c r="L72" s="702">
        <f>$D72*(1-'Tier3Phase-in'!$Q$12)</f>
        <v>0.76048852228270025</v>
      </c>
      <c r="M72" s="705">
        <f>'Raw emissions'!J23*'Raw emissions'!$B$78+'Raw emissions'!J35*'Raw emissions'!$B$79</f>
        <v>0.33416931867826155</v>
      </c>
      <c r="N72" s="706">
        <f>'Raw emissions'!K23*'Raw emissions'!$B$78+'Raw emissions'!K35*'Raw emissions'!$B$79</f>
        <v>9.4247292349221481E-2</v>
      </c>
      <c r="O72" s="702">
        <f>$N72*(1-'Tier3Phase-in'!$J$12)</f>
        <v>9.4247292349221481E-2</v>
      </c>
      <c r="P72" s="702">
        <f>$N72*(1-'Tier3Phase-in'!$K$12)</f>
        <v>8.1624887123879317E-2</v>
      </c>
      <c r="Q72" s="702">
        <f>$N72*(1-'Tier3Phase-in'!$L$12)</f>
        <v>7.1756461220429987E-2</v>
      </c>
      <c r="R72" s="702">
        <f>$N72*(1-'Tier3Phase-in'!$M$12)</f>
        <v>6.7740241376002944E-2</v>
      </c>
      <c r="S72" s="702">
        <f>$N72*(1-'Tier3Phase-in'!$N$12)</f>
        <v>6.4205967912907141E-2</v>
      </c>
      <c r="T72" s="702">
        <f>$N72*(1-'Tier3Phase-in'!$O$12)</f>
        <v>5.915700582277026E-2</v>
      </c>
      <c r="U72" s="702">
        <f>$N72*(1-'Tier3Phase-in'!$P$12)</f>
        <v>5.9030781770516842E-2</v>
      </c>
      <c r="V72" s="702">
        <f>$N72*(1-'Tier3Phase-in'!$Q$12)</f>
        <v>5.8904557718263424E-2</v>
      </c>
      <c r="W72" s="705">
        <f>'Raw emissions'!M23*'Raw emissions'!$B$78+'Raw emissions'!M35*'Raw emissions'!$B$79</f>
        <v>0.27207757852255388</v>
      </c>
      <c r="X72" s="706">
        <f>'Raw emissions'!N23*'Raw emissions'!$B$78+'Raw emissions'!N35*'Raw emissions'!$B$79</f>
        <v>3.9344784647155295E-2</v>
      </c>
      <c r="Y72" s="702">
        <f>$X72*(1-'Tier3Phase-in'!$J$12)</f>
        <v>3.9344784647155295E-2</v>
      </c>
      <c r="Z72" s="702">
        <f>$X72*(1-'Tier3Phase-in'!$K$12)</f>
        <v>3.4075393846196997E-2</v>
      </c>
      <c r="AA72" s="702">
        <f>$X72*(1-'Tier3Phase-in'!$L$12)</f>
        <v>2.9955688310902326E-2</v>
      </c>
      <c r="AB72" s="702">
        <f>$X72*(1-'Tier3Phase-in'!$M$12)</f>
        <v>2.8279063965142869E-2</v>
      </c>
      <c r="AC72" s="702">
        <f>$X72*(1-'Tier3Phase-in'!$N$12)</f>
        <v>2.6803634540874546E-2</v>
      </c>
      <c r="AD72" s="702">
        <f>$X72*(1-'Tier3Phase-in'!$O$12)</f>
        <v>2.469587822049122E-2</v>
      </c>
      <c r="AE72" s="702">
        <f>$X72*(1-'Tier3Phase-in'!$P$12)</f>
        <v>2.464318431248164E-2</v>
      </c>
      <c r="AF72" s="702">
        <f>$X72*(1-'Tier3Phase-in'!$Q$12)</f>
        <v>2.459049040447206E-2</v>
      </c>
      <c r="AG72" s="705">
        <f>'Raw emissions'!P23*'Raw emissions'!$B$78+'Raw emissions'!P35*'Raw emissions'!$B$79</f>
        <v>1.629150142285112</v>
      </c>
      <c r="AH72" s="706">
        <f>'Raw emissions'!Q23*'Raw emissions'!$B$78+'Raw emissions'!Q35*'Raw emissions'!$B$79</f>
        <v>0.51668855239759326</v>
      </c>
      <c r="AI72" s="702">
        <f>$AH72*(1-'Tier3Phase-in'!$J$12)</f>
        <v>0.51668855239759326</v>
      </c>
      <c r="AJ72" s="702">
        <f>$AH72*(1-'Tier3Phase-in'!$K$12)</f>
        <v>0.44748919270148702</v>
      </c>
      <c r="AK72" s="702">
        <f>$AH72*(1-'Tier3Phase-in'!$L$12)</f>
        <v>0.39338787512089485</v>
      </c>
      <c r="AL72" s="702">
        <f>$AH72*(1-'Tier3Phase-in'!$M$12)</f>
        <v>0.37136989703577017</v>
      </c>
      <c r="AM72" s="702">
        <f>$AH72*(1-'Tier3Phase-in'!$N$12)</f>
        <v>0.35199407632086044</v>
      </c>
      <c r="AN72" s="702">
        <f>$AH72*(1-'Tier3Phase-in'!$O$12)</f>
        <v>0.32431433244241786</v>
      </c>
      <c r="AO72" s="702">
        <f>$AH72*(1-'Tier3Phase-in'!$P$12)</f>
        <v>0.32362233884545683</v>
      </c>
      <c r="AP72" s="702">
        <f>$AH72*(1-'Tier3Phase-in'!$Q$12)</f>
        <v>0.32293034524849579</v>
      </c>
      <c r="AQ72" s="705">
        <f>'Raw emissions'!Y23*'Raw emissions'!$B$78+'Raw emissions'!Y35*'Raw emissions'!$B$79</f>
        <v>0.41345713549361068</v>
      </c>
      <c r="AR72" s="706">
        <f>'Raw emissions'!Z23*'Raw emissions'!$B$78+'Raw emissions'!Z35*'Raw emissions'!$B$79</f>
        <v>0.13692347977870439</v>
      </c>
      <c r="AS72" s="702">
        <f>$AR72*(1-'Tier3Phase-in'!$J$12)</f>
        <v>0.13692347977870439</v>
      </c>
      <c r="AT72" s="702">
        <f>$AR72*(1-'Tier3Phase-in'!$K$12)</f>
        <v>0.11858551373691363</v>
      </c>
      <c r="AU72" s="702">
        <f>$AR72*(1-'Tier3Phase-in'!$L$12)</f>
        <v>0.1042485584678772</v>
      </c>
      <c r="AV72" s="702">
        <f>$AR72*(1-'Tier3Phase-in'!$M$12)</f>
        <v>9.8413751090943788E-2</v>
      </c>
      <c r="AW72" s="702">
        <f>$AR72*(1-'Tier3Phase-in'!$N$12)</f>
        <v>9.3279120599242371E-2</v>
      </c>
      <c r="AX72" s="702">
        <f>$AR72*(1-'Tier3Phase-in'!$O$12)</f>
        <v>8.5943934182526049E-2</v>
      </c>
      <c r="AY72" s="702">
        <f>$AR72*(1-'Tier3Phase-in'!$P$12)</f>
        <v>8.5760554522108151E-2</v>
      </c>
      <c r="AZ72" s="702">
        <f>$AR72*(1-'Tier3Phase-in'!$Q$12)</f>
        <v>8.5577174861690253E-2</v>
      </c>
      <c r="BA72" s="705">
        <f>'Raw emissions'!AK23*'Raw emissions'!$B$78+'Raw emissions'!AK35*'Raw emissions'!$B$79</f>
        <v>0.17616921217447815</v>
      </c>
      <c r="BB72" s="708">
        <f>'Raw emissions'!AL23*'Raw emissions'!$B$78+'Raw emissions'!AL35*'Raw emissions'!$B$79</f>
        <v>1.7042150911375994E-3</v>
      </c>
      <c r="BC72" s="703">
        <f>$BB72*(1-'Tier3Phase-in'!$J$12)</f>
        <v>1.7042150911375994E-3</v>
      </c>
      <c r="BD72" s="703">
        <f>$BB72*(1-'Tier3Phase-in'!$K$12)</f>
        <v>1.4759719985745282E-3</v>
      </c>
      <c r="BE72" s="703">
        <f>$BB72*(1-'Tier3Phase-in'!$L$12)</f>
        <v>1.2975273989343087E-3</v>
      </c>
      <c r="BF72" s="703">
        <f>$BB72*(1-'Tier3Phase-in'!$M$12)</f>
        <v>1.2249045967551496E-3</v>
      </c>
      <c r="BG72" s="703">
        <f>$BB72*(1-'Tier3Phase-in'!$N$12)</f>
        <v>1.1609965308374897E-3</v>
      </c>
      <c r="BH72" s="703">
        <f>$BB72*(1-'Tier3Phase-in'!$O$12)</f>
        <v>1.0696992938122609E-3</v>
      </c>
      <c r="BI72" s="703">
        <f>$BB72*(1-'Tier3Phase-in'!$P$12)</f>
        <v>1.0674168628866303E-3</v>
      </c>
      <c r="BJ72" s="703">
        <f>$BB72*(1-'Tier3Phase-in'!$Q$12)</f>
        <v>1.0651344319609997E-3</v>
      </c>
      <c r="BK72" s="705">
        <f>'Raw emissions'!AG23*'Raw emissions'!$B$78+'Raw emissions'!AG35*'Raw emissions'!$B$79</f>
        <v>0.17059032974087304</v>
      </c>
      <c r="BL72" s="708">
        <f>'Raw emissions'!AI23*'Raw emissions'!$B$78+'Raw emissions'!AI35*'Raw emissions'!$B$79</f>
        <v>8.2624047759026122E-3</v>
      </c>
      <c r="BM72" s="703">
        <f>$BL72*(1-'Tier3Phase-in'!$J$12)</f>
        <v>8.2624047759026122E-3</v>
      </c>
      <c r="BN72" s="703">
        <f>$BL72*(1-'Tier3Phase-in'!$K$12)</f>
        <v>7.1558327077013697E-3</v>
      </c>
      <c r="BO72" s="703">
        <f>$BL72*(1-'Tier3Phase-in'!$L$12)</f>
        <v>6.2906945452894884E-3</v>
      </c>
      <c r="BP72" s="703">
        <f>$BL72*(1-'Tier3Phase-in'!$M$12)</f>
        <v>5.9386034326800027E-3</v>
      </c>
      <c r="BQ72" s="703">
        <f>$BL72*(1-'Tier3Phase-in'!$N$12)</f>
        <v>5.6287632535836551E-3</v>
      </c>
      <c r="BR72" s="703">
        <f>$BL72*(1-'Tier3Phase-in'!$O$12)</f>
        <v>5.1861344263031562E-3</v>
      </c>
      <c r="BS72" s="703">
        <f>$BL72*(1-'Tier3Phase-in'!$P$12)</f>
        <v>5.1750687056211445E-3</v>
      </c>
      <c r="BT72" s="703">
        <f>$BL72*(1-'Tier3Phase-in'!$Q$12)</f>
        <v>5.1640029849391329E-3</v>
      </c>
      <c r="BU72" s="705">
        <f>'Raw emissions'!G23*'Raw emissions'!$B$78+'Raw emissions'!G35*'Raw emissions'!$B$79</f>
        <v>1.6251195689031762E-2</v>
      </c>
      <c r="BV72" s="708">
        <f>'Raw emissions'!H23*'Raw emissions'!$B$78+'Raw emissions'!H35*'Raw emissions'!$B$79</f>
        <v>1.0655345021427653E-2</v>
      </c>
      <c r="BW72" s="703">
        <f>(1-'Tier3Phase-in'!$J$20)*BV72</f>
        <v>3.6228173072854019E-3</v>
      </c>
      <c r="BX72" s="705">
        <f>'Raw emissions'!V23*'Raw emissions'!BU78+'Raw emissions'!V35*'Raw emissions'!BU79</f>
        <v>0</v>
      </c>
      <c r="BY72" s="708">
        <f>'Raw emissions'!W23*'Raw emissions'!$B$78+'Raw emissions'!W35*'Raw emissions'!$B$79</f>
        <v>1.9321510424196472E-3</v>
      </c>
      <c r="BZ72" s="705">
        <f>'Raw emissions'!S23*'Raw emissions'!BW78+'Raw emissions'!S35*'Raw emissions'!BW79</f>
        <v>0</v>
      </c>
      <c r="CA72" s="708">
        <f>'Raw emissions'!T23*'Raw emissions'!$B$78+'Raw emissions'!T35*'Raw emissions'!$B$79</f>
        <v>1.9677443278455272E-3</v>
      </c>
    </row>
    <row r="73" spans="1:79" x14ac:dyDescent="0.2">
      <c r="A73" s="690" t="str">
        <f>Technologies!C149</f>
        <v>THSDSLAH</v>
      </c>
      <c r="B73" s="690" t="str">
        <f>Technologies!D149</f>
        <v>Heavy Truck, Short Haul, Hybrid Diesel</v>
      </c>
      <c r="C73" s="705">
        <f>C72</f>
        <v>4.2186469082134739</v>
      </c>
      <c r="D73" s="706">
        <f>D72</f>
        <v>1.2167816356523204</v>
      </c>
      <c r="E73" s="702">
        <f>$D73*(1-'Tier3Phase-in'!$J$12)</f>
        <v>1.2167816356523204</v>
      </c>
      <c r="F73" s="702">
        <f>$D73*(1-'Tier3Phase-in'!$K$12)</f>
        <v>1.0538198094488846</v>
      </c>
      <c r="G73" s="702">
        <f>$D73*(1-'Tier3Phase-in'!$L$12)</f>
        <v>0.92641329078074397</v>
      </c>
      <c r="H73" s="702">
        <f>$D73*(1-'Tier3Phase-in'!$M$12)</f>
        <v>0.87456180062510536</v>
      </c>
      <c r="I73" s="702">
        <f>$D73*(1-'Tier3Phase-in'!$N$12)</f>
        <v>0.82893248928814334</v>
      </c>
      <c r="J73" s="702">
        <f>$D73*(1-'Tier3Phase-in'!$O$12)</f>
        <v>0.76374775880676882</v>
      </c>
      <c r="K73" s="702">
        <f>$D73*(1-'Tier3Phase-in'!$P$12)</f>
        <v>0.76211814054473459</v>
      </c>
      <c r="L73" s="702">
        <f>$D73*(1-'Tier3Phase-in'!$Q$12)</f>
        <v>0.76048852228270025</v>
      </c>
      <c r="M73" s="705">
        <f>M72</f>
        <v>0.33416931867826155</v>
      </c>
      <c r="N73" s="706">
        <f>N72</f>
        <v>9.4247292349221481E-2</v>
      </c>
      <c r="O73" s="702">
        <f>$N73*(1-'Tier3Phase-in'!$J$12)</f>
        <v>9.4247292349221481E-2</v>
      </c>
      <c r="P73" s="702">
        <f>$N73*(1-'Tier3Phase-in'!$K$12)</f>
        <v>8.1624887123879317E-2</v>
      </c>
      <c r="Q73" s="702">
        <f>$N73*(1-'Tier3Phase-in'!$L$12)</f>
        <v>7.1756461220429987E-2</v>
      </c>
      <c r="R73" s="702">
        <f>$N73*(1-'Tier3Phase-in'!$M$12)</f>
        <v>6.7740241376002944E-2</v>
      </c>
      <c r="S73" s="702">
        <f>$N73*(1-'Tier3Phase-in'!$N$12)</f>
        <v>6.4205967912907141E-2</v>
      </c>
      <c r="T73" s="702">
        <f>$N73*(1-'Tier3Phase-in'!$O$12)</f>
        <v>5.915700582277026E-2</v>
      </c>
      <c r="U73" s="702">
        <f>$N73*(1-'Tier3Phase-in'!$P$12)</f>
        <v>5.9030781770516842E-2</v>
      </c>
      <c r="V73" s="702">
        <f>$N73*(1-'Tier3Phase-in'!$Q$12)</f>
        <v>5.8904557718263424E-2</v>
      </c>
      <c r="W73" s="705">
        <f>W72</f>
        <v>0.27207757852255388</v>
      </c>
      <c r="X73" s="706">
        <f>X72</f>
        <v>3.9344784647155295E-2</v>
      </c>
      <c r="Y73" s="702">
        <f>$X73*(1-'Tier3Phase-in'!$J$12)</f>
        <v>3.9344784647155295E-2</v>
      </c>
      <c r="Z73" s="702">
        <f>$X73*(1-'Tier3Phase-in'!$K$12)</f>
        <v>3.4075393846196997E-2</v>
      </c>
      <c r="AA73" s="702">
        <f>$X73*(1-'Tier3Phase-in'!$L$12)</f>
        <v>2.9955688310902326E-2</v>
      </c>
      <c r="AB73" s="702">
        <f>$X73*(1-'Tier3Phase-in'!$M$12)</f>
        <v>2.8279063965142869E-2</v>
      </c>
      <c r="AC73" s="702">
        <f>$X73*(1-'Tier3Phase-in'!$N$12)</f>
        <v>2.6803634540874546E-2</v>
      </c>
      <c r="AD73" s="702">
        <f>$X73*(1-'Tier3Phase-in'!$O$12)</f>
        <v>2.469587822049122E-2</v>
      </c>
      <c r="AE73" s="702">
        <f>$X73*(1-'Tier3Phase-in'!$P$12)</f>
        <v>2.464318431248164E-2</v>
      </c>
      <c r="AF73" s="702">
        <f>$X73*(1-'Tier3Phase-in'!$Q$12)</f>
        <v>2.459049040447206E-2</v>
      </c>
      <c r="AG73" s="705">
        <f>AG72</f>
        <v>1.629150142285112</v>
      </c>
      <c r="AH73" s="706">
        <f>AH72</f>
        <v>0.51668855239759326</v>
      </c>
      <c r="AI73" s="702">
        <f>$AH73*(1-'Tier3Phase-in'!$J$12)</f>
        <v>0.51668855239759326</v>
      </c>
      <c r="AJ73" s="702">
        <f>$AH73*(1-'Tier3Phase-in'!$K$12)</f>
        <v>0.44748919270148702</v>
      </c>
      <c r="AK73" s="702">
        <f>$AH73*(1-'Tier3Phase-in'!$L$12)</f>
        <v>0.39338787512089485</v>
      </c>
      <c r="AL73" s="702">
        <f>$AH73*(1-'Tier3Phase-in'!$M$12)</f>
        <v>0.37136989703577017</v>
      </c>
      <c r="AM73" s="702">
        <f>$AH73*(1-'Tier3Phase-in'!$N$12)</f>
        <v>0.35199407632086044</v>
      </c>
      <c r="AN73" s="702">
        <f>$AH73*(1-'Tier3Phase-in'!$O$12)</f>
        <v>0.32431433244241786</v>
      </c>
      <c r="AO73" s="702">
        <f>$AH73*(1-'Tier3Phase-in'!$P$12)</f>
        <v>0.32362233884545683</v>
      </c>
      <c r="AP73" s="702">
        <f>$AH73*(1-'Tier3Phase-in'!$Q$12)</f>
        <v>0.32293034524849579</v>
      </c>
      <c r="AQ73" s="705">
        <f>AQ72</f>
        <v>0.41345713549361068</v>
      </c>
      <c r="AR73" s="706">
        <f>AR72</f>
        <v>0.13692347977870439</v>
      </c>
      <c r="AS73" s="702">
        <f>$AR73*(1-'Tier3Phase-in'!$J$12)</f>
        <v>0.13692347977870439</v>
      </c>
      <c r="AT73" s="702">
        <f>$AR73*(1-'Tier3Phase-in'!$K$12)</f>
        <v>0.11858551373691363</v>
      </c>
      <c r="AU73" s="702">
        <f>$AR73*(1-'Tier3Phase-in'!$L$12)</f>
        <v>0.1042485584678772</v>
      </c>
      <c r="AV73" s="702">
        <f>$AR73*(1-'Tier3Phase-in'!$M$12)</f>
        <v>9.8413751090943788E-2</v>
      </c>
      <c r="AW73" s="702">
        <f>$AR73*(1-'Tier3Phase-in'!$N$12)</f>
        <v>9.3279120599242371E-2</v>
      </c>
      <c r="AX73" s="702">
        <f>$AR73*(1-'Tier3Phase-in'!$O$12)</f>
        <v>8.5943934182526049E-2</v>
      </c>
      <c r="AY73" s="702">
        <f>$AR73*(1-'Tier3Phase-in'!$P$12)</f>
        <v>8.5760554522108151E-2</v>
      </c>
      <c r="AZ73" s="702">
        <f>$AR73*(1-'Tier3Phase-in'!$Q$12)</f>
        <v>8.5577174861690253E-2</v>
      </c>
      <c r="BA73" s="705">
        <f>BA72</f>
        <v>0.17616921217447815</v>
      </c>
      <c r="BB73" s="708">
        <f>BB72</f>
        <v>1.7042150911375994E-3</v>
      </c>
      <c r="BC73" s="703">
        <f>$BB73*(1-'Tier3Phase-in'!$J$12)</f>
        <v>1.7042150911375994E-3</v>
      </c>
      <c r="BD73" s="703">
        <f>$BB73*(1-'Tier3Phase-in'!$K$12)</f>
        <v>1.4759719985745282E-3</v>
      </c>
      <c r="BE73" s="703">
        <f>$BB73*(1-'Tier3Phase-in'!$L$12)</f>
        <v>1.2975273989343087E-3</v>
      </c>
      <c r="BF73" s="703">
        <f>$BB73*(1-'Tier3Phase-in'!$M$12)</f>
        <v>1.2249045967551496E-3</v>
      </c>
      <c r="BG73" s="703">
        <f>$BB73*(1-'Tier3Phase-in'!$N$12)</f>
        <v>1.1609965308374897E-3</v>
      </c>
      <c r="BH73" s="703">
        <f>$BB73*(1-'Tier3Phase-in'!$O$12)</f>
        <v>1.0696992938122609E-3</v>
      </c>
      <c r="BI73" s="703">
        <f>$BB73*(1-'Tier3Phase-in'!$P$12)</f>
        <v>1.0674168628866303E-3</v>
      </c>
      <c r="BJ73" s="703">
        <f>$BB73*(1-'Tier3Phase-in'!$Q$12)</f>
        <v>1.0651344319609997E-3</v>
      </c>
      <c r="BK73" s="705">
        <f>BK72</f>
        <v>0.17059032974087304</v>
      </c>
      <c r="BL73" s="708">
        <f>BL72</f>
        <v>8.2624047759026122E-3</v>
      </c>
      <c r="BM73" s="703">
        <f>$BL73*(1-'Tier3Phase-in'!$J$12)</f>
        <v>8.2624047759026122E-3</v>
      </c>
      <c r="BN73" s="703">
        <f>$BL73*(1-'Tier3Phase-in'!$K$12)</f>
        <v>7.1558327077013697E-3</v>
      </c>
      <c r="BO73" s="703">
        <f>$BL73*(1-'Tier3Phase-in'!$L$12)</f>
        <v>6.2906945452894884E-3</v>
      </c>
      <c r="BP73" s="703">
        <f>$BL73*(1-'Tier3Phase-in'!$M$12)</f>
        <v>5.9386034326800027E-3</v>
      </c>
      <c r="BQ73" s="703">
        <f>$BL73*(1-'Tier3Phase-in'!$N$12)</f>
        <v>5.6287632535836551E-3</v>
      </c>
      <c r="BR73" s="703">
        <f>$BL73*(1-'Tier3Phase-in'!$O$12)</f>
        <v>5.1861344263031562E-3</v>
      </c>
      <c r="BS73" s="703">
        <f>$BL73*(1-'Tier3Phase-in'!$P$12)</f>
        <v>5.1750687056211445E-3</v>
      </c>
      <c r="BT73" s="703">
        <f>$BL73*(1-'Tier3Phase-in'!$Q$12)</f>
        <v>5.1640029849391329E-3</v>
      </c>
      <c r="BU73" s="705">
        <f>BU72</f>
        <v>1.6251195689031762E-2</v>
      </c>
      <c r="BV73" s="708">
        <f>BV72</f>
        <v>1.0655345021427653E-2</v>
      </c>
      <c r="BW73" s="703">
        <f>(1-'Tier3Phase-in'!$J$20)*BV73</f>
        <v>3.6228173072854019E-3</v>
      </c>
      <c r="BX73" s="705">
        <f>BX72</f>
        <v>0</v>
      </c>
      <c r="BY73" s="708">
        <f>BY72</f>
        <v>1.9321510424196472E-3</v>
      </c>
      <c r="BZ73" s="705">
        <f>BZ72</f>
        <v>0</v>
      </c>
      <c r="CA73" s="708">
        <f>CA72</f>
        <v>1.9677443278455272E-3</v>
      </c>
    </row>
    <row r="74" spans="1:79" x14ac:dyDescent="0.2">
      <c r="A74" s="690" t="str">
        <f>Technologies!C156</f>
        <v>THSB20C10</v>
      </c>
      <c r="B74" s="690" t="str">
        <f>Technologies!D156</f>
        <v>Heavy Truck, Short Haul, Conventional B20 2010</v>
      </c>
      <c r="C74" s="705">
        <f>'Raw emissions'!D25*'Raw emissions'!B78+'Raw emissions'!D36*'Raw emissions'!B79</f>
        <v>4.2186469082134739</v>
      </c>
      <c r="D74" s="706">
        <f>'Raw emissions'!E25*'Raw emissions'!$B$78+'Raw emissions'!E36*'Raw emissions'!$B$79</f>
        <v>1.2167816356523204</v>
      </c>
      <c r="E74" s="702">
        <f>$C74</f>
        <v>4.2186469082134739</v>
      </c>
      <c r="F74" s="702">
        <f t="shared" ref="F74:L74" si="113">$C74</f>
        <v>4.2186469082134739</v>
      </c>
      <c r="G74" s="702">
        <f t="shared" si="113"/>
        <v>4.2186469082134739</v>
      </c>
      <c r="H74" s="702">
        <f t="shared" si="113"/>
        <v>4.2186469082134739</v>
      </c>
      <c r="I74" s="702">
        <f t="shared" si="113"/>
        <v>4.2186469082134739</v>
      </c>
      <c r="J74" s="702">
        <f t="shared" si="113"/>
        <v>4.2186469082134739</v>
      </c>
      <c r="K74" s="702">
        <f t="shared" si="113"/>
        <v>4.2186469082134739</v>
      </c>
      <c r="L74" s="702">
        <f t="shared" si="113"/>
        <v>4.2186469082134739</v>
      </c>
      <c r="M74" s="705">
        <f>'Raw emissions'!J25*'Raw emissions'!$B$78+'Raw emissions'!J36*'Raw emissions'!$B$79</f>
        <v>0.30923032184700716</v>
      </c>
      <c r="N74" s="706">
        <f>'Raw emissions'!K25*'Raw emissions'!$B$78+'Raw emissions'!K36*'Raw emissions'!$B$79</f>
        <v>9.4247292349221481E-2</v>
      </c>
      <c r="O74" s="702">
        <f>$M74</f>
        <v>0.30923032184700716</v>
      </c>
      <c r="P74" s="702">
        <f t="shared" ref="P74:V74" si="114">$M74</f>
        <v>0.30923032184700716</v>
      </c>
      <c r="Q74" s="702">
        <f t="shared" si="114"/>
        <v>0.30923032184700716</v>
      </c>
      <c r="R74" s="702">
        <f t="shared" si="114"/>
        <v>0.30923032184700716</v>
      </c>
      <c r="S74" s="702">
        <f t="shared" si="114"/>
        <v>0.30923032184700716</v>
      </c>
      <c r="T74" s="702">
        <f t="shared" si="114"/>
        <v>0.30923032184700716</v>
      </c>
      <c r="U74" s="702">
        <f t="shared" si="114"/>
        <v>0.30923032184700716</v>
      </c>
      <c r="V74" s="702">
        <f t="shared" si="114"/>
        <v>0.30923032184700716</v>
      </c>
      <c r="W74" s="705">
        <f>'Raw emissions'!M25*'Raw emissions'!$B$78+'Raw emissions'!M36*'Raw emissions'!$B$79</f>
        <v>0.24788587795608663</v>
      </c>
      <c r="X74" s="706">
        <f>'Raw emissions'!N25*'Raw emissions'!$B$78+'Raw emissions'!N36*'Raw emissions'!$B$79</f>
        <v>3.9344784647155295E-2</v>
      </c>
      <c r="Y74" s="702">
        <f t="shared" ref="Y74:AF74" si="115">W74</f>
        <v>0.24788587795608663</v>
      </c>
      <c r="Z74" s="702">
        <f t="shared" si="115"/>
        <v>3.9344784647155295E-2</v>
      </c>
      <c r="AA74" s="702">
        <f t="shared" si="115"/>
        <v>0.24788587795608663</v>
      </c>
      <c r="AB74" s="702">
        <f t="shared" si="115"/>
        <v>3.9344784647155295E-2</v>
      </c>
      <c r="AC74" s="702">
        <f t="shared" si="115"/>
        <v>0.24788587795608663</v>
      </c>
      <c r="AD74" s="702">
        <f t="shared" si="115"/>
        <v>3.9344784647155295E-2</v>
      </c>
      <c r="AE74" s="702">
        <f t="shared" si="115"/>
        <v>0.24788587795608663</v>
      </c>
      <c r="AF74" s="702">
        <f t="shared" si="115"/>
        <v>3.9344784647155295E-2</v>
      </c>
      <c r="AG74" s="705">
        <f>'Raw emissions'!P25*'Raw emissions'!$B$78+'Raw emissions'!P36*'Raw emissions'!$B$79</f>
        <v>1.4881903421604605</v>
      </c>
      <c r="AH74" s="706">
        <f>'Raw emissions'!Q25*'Raw emissions'!$B$78+'Raw emissions'!Q36*'Raw emissions'!$B$79</f>
        <v>0.51668855239759326</v>
      </c>
      <c r="AI74" s="702">
        <f>$AG74</f>
        <v>1.4881903421604605</v>
      </c>
      <c r="AJ74" s="702">
        <f t="shared" ref="AJ74:AP74" si="116">$AG74</f>
        <v>1.4881903421604605</v>
      </c>
      <c r="AK74" s="702">
        <f t="shared" si="116"/>
        <v>1.4881903421604605</v>
      </c>
      <c r="AL74" s="702">
        <f t="shared" si="116"/>
        <v>1.4881903421604605</v>
      </c>
      <c r="AM74" s="702">
        <f t="shared" si="116"/>
        <v>1.4881903421604605</v>
      </c>
      <c r="AN74" s="702">
        <f t="shared" si="116"/>
        <v>1.4881903421604605</v>
      </c>
      <c r="AO74" s="702">
        <f t="shared" si="116"/>
        <v>1.4881903421604605</v>
      </c>
      <c r="AP74" s="702">
        <f t="shared" si="116"/>
        <v>1.4881903421604605</v>
      </c>
      <c r="AQ74" s="705">
        <f>'Raw emissions'!Y25*'Raw emissions'!$B$78+'Raw emissions'!Y36*'Raw emissions'!$B$79</f>
        <v>0.41345713549361068</v>
      </c>
      <c r="AR74" s="706">
        <f>'Raw emissions'!Z25*'Raw emissions'!$B$78+'Raw emissions'!Z36*'Raw emissions'!$B$79</f>
        <v>0.13692347977870439</v>
      </c>
      <c r="AS74" s="702">
        <f>$AR74*(1-'Tier3Phase-in'!$J$12)</f>
        <v>0.13692347977870439</v>
      </c>
      <c r="AT74" s="702">
        <f>$AR74*(1-'Tier3Phase-in'!$K$12)</f>
        <v>0.11858551373691363</v>
      </c>
      <c r="AU74" s="702">
        <f>$AR74*(1-'Tier3Phase-in'!$L$12)</f>
        <v>0.1042485584678772</v>
      </c>
      <c r="AV74" s="702">
        <f>$AR74*(1-'Tier3Phase-in'!$M$12)</f>
        <v>9.8413751090943788E-2</v>
      </c>
      <c r="AW74" s="702">
        <f>$AR74*(1-'Tier3Phase-in'!$N$12)</f>
        <v>9.3279120599242371E-2</v>
      </c>
      <c r="AX74" s="702">
        <f>$AR74*(1-'Tier3Phase-in'!$O$12)</f>
        <v>8.5943934182526049E-2</v>
      </c>
      <c r="AY74" s="702">
        <f>$AR74*(1-'Tier3Phase-in'!$P$12)</f>
        <v>8.5760554522108151E-2</v>
      </c>
      <c r="AZ74" s="702">
        <f>$AR74*(1-'Tier3Phase-in'!$Q$12)</f>
        <v>8.5577174861690253E-2</v>
      </c>
      <c r="BA74" s="705">
        <f>'Raw emissions'!AK25*'Raw emissions'!$B$78+'Raw emissions'!AK36*'Raw emissions'!$B$79</f>
        <v>0.15849047529998392</v>
      </c>
      <c r="BB74" s="708">
        <f>'Raw emissions'!AL25*'Raw emissions'!$B$78+'Raw emissions'!AL36*'Raw emissions'!$B$79</f>
        <v>1.7042150911375994E-3</v>
      </c>
      <c r="BC74" s="703">
        <f>$BB74*(1-'Tier3Phase-in'!$J$12)</f>
        <v>1.7042150911375994E-3</v>
      </c>
      <c r="BD74" s="703">
        <f>$BB74*(1-'Tier3Phase-in'!$K$12)</f>
        <v>1.4759719985745282E-3</v>
      </c>
      <c r="BE74" s="703">
        <f>$BB74*(1-'Tier3Phase-in'!$L$12)</f>
        <v>1.2975273989343087E-3</v>
      </c>
      <c r="BF74" s="703">
        <f>$BB74*(1-'Tier3Phase-in'!$M$12)</f>
        <v>1.2249045967551496E-3</v>
      </c>
      <c r="BG74" s="703">
        <f>$BB74*(1-'Tier3Phase-in'!$N$12)</f>
        <v>1.1609965308374897E-3</v>
      </c>
      <c r="BH74" s="703">
        <f>$BB74*(1-'Tier3Phase-in'!$O$12)</f>
        <v>1.0696992938122609E-3</v>
      </c>
      <c r="BI74" s="703">
        <f>$BB74*(1-'Tier3Phase-in'!$P$12)</f>
        <v>1.0674168628866303E-3</v>
      </c>
      <c r="BJ74" s="703">
        <f>$BB74*(1-'Tier3Phase-in'!$Q$12)</f>
        <v>1.0651344319609997E-3</v>
      </c>
      <c r="BK74" s="705">
        <f>'Raw emissions'!AG25*'Raw emissions'!$B$78+'Raw emissions'!AG36*'Raw emissions'!$B$79</f>
        <v>0.1537635401605135</v>
      </c>
      <c r="BL74" s="708">
        <f>'Raw emissions'!AI25*'Raw emissions'!$B$78+'Raw emissions'!AI36*'Raw emissions'!$B$79</f>
        <v>8.2624047759026122E-3</v>
      </c>
      <c r="BM74" s="703">
        <f>$BL74*(1-'Tier3Phase-in'!$J$12)</f>
        <v>8.2624047759026122E-3</v>
      </c>
      <c r="BN74" s="703">
        <f>$BL74*(1-'Tier3Phase-in'!$K$12)</f>
        <v>7.1558327077013697E-3</v>
      </c>
      <c r="BO74" s="703">
        <f>$BL74*(1-'Tier3Phase-in'!$L$12)</f>
        <v>6.2906945452894884E-3</v>
      </c>
      <c r="BP74" s="703">
        <f>$BL74*(1-'Tier3Phase-in'!$M$12)</f>
        <v>5.9386034326800027E-3</v>
      </c>
      <c r="BQ74" s="703">
        <f>$BL74*(1-'Tier3Phase-in'!$N$12)</f>
        <v>5.6287632535836551E-3</v>
      </c>
      <c r="BR74" s="703">
        <f>$BL74*(1-'Tier3Phase-in'!$O$12)</f>
        <v>5.1861344263031562E-3</v>
      </c>
      <c r="BS74" s="703">
        <f>$BL74*(1-'Tier3Phase-in'!$P$12)</f>
        <v>5.1750687056211445E-3</v>
      </c>
      <c r="BT74" s="703">
        <f>$BL74*(1-'Tier3Phase-in'!$Q$12)</f>
        <v>5.1640029849391329E-3</v>
      </c>
      <c r="BU74" s="705">
        <f>'Raw emissions'!G25*'Raw emissions'!$B$78+'Raw emissions'!G36*'Raw emissions'!$B$79</f>
        <v>1.4540255516365265E-2</v>
      </c>
      <c r="BV74" s="708">
        <f>'Raw emissions'!H25*'Raw emissions'!$B$78+'Raw emissions'!H36*'Raw emissions'!$B$79</f>
        <v>1.0360628166183626E-2</v>
      </c>
      <c r="BW74" s="703">
        <f>(1-'Tier3Phase-in'!$J$20)*BV74</f>
        <v>3.5226135765024326E-3</v>
      </c>
      <c r="BX74" s="705">
        <f>'Raw emissions'!V25*'Raw emissions'!BU78+'Raw emissions'!V36*'Raw emissions'!BU79</f>
        <v>0</v>
      </c>
      <c r="BY74" s="708">
        <f>'Raw emissions'!W25*'Raw emissions'!$B$78+'Raw emissions'!W36*'Raw emissions'!$B$79</f>
        <v>1.9321419230745396E-3</v>
      </c>
      <c r="BZ74" s="705">
        <f>'Raw emissions'!S25*'Raw emissions'!BW78+'Raw emissions'!S36*'Raw emissions'!BW79</f>
        <v>0</v>
      </c>
      <c r="CA74" s="708">
        <f>'Raw emissions'!T25*'Raw emissions'!$B$78+'Raw emissions'!T36*'Raw emissions'!$B$79</f>
        <v>1.9677443278455272E-3</v>
      </c>
    </row>
    <row r="75" spans="1:79" x14ac:dyDescent="0.2">
      <c r="A75" s="690" t="str">
        <f>Technologies!C157</f>
        <v>THSB20C</v>
      </c>
      <c r="B75" s="690" t="str">
        <f>Technologies!D157</f>
        <v>Heavy Truck, Short Haul, Conventional B20</v>
      </c>
      <c r="C75" s="705">
        <f>'Raw emissions'!D25*'Raw emissions'!B78+'Raw emissions'!D36*'Raw emissions'!B79</f>
        <v>4.2186469082134739</v>
      </c>
      <c r="D75" s="706">
        <f>'Raw emissions'!E25*'Raw emissions'!$B$78+'Raw emissions'!E36*'Raw emissions'!$B$79</f>
        <v>1.2167816356523204</v>
      </c>
      <c r="E75" s="702">
        <f>$D75*(1-'Tier3Phase-in'!$J$12)</f>
        <v>1.2167816356523204</v>
      </c>
      <c r="F75" s="702">
        <f>$D75*(1-'Tier3Phase-in'!$K$12)</f>
        <v>1.0538198094488846</v>
      </c>
      <c r="G75" s="702">
        <f>$D75*(1-'Tier3Phase-in'!$L$12)</f>
        <v>0.92641329078074397</v>
      </c>
      <c r="H75" s="702">
        <f>$D75*(1-'Tier3Phase-in'!$M$12)</f>
        <v>0.87456180062510536</v>
      </c>
      <c r="I75" s="702">
        <f>$D75*(1-'Tier3Phase-in'!$N$12)</f>
        <v>0.82893248928814334</v>
      </c>
      <c r="J75" s="702">
        <f>$D75*(1-'Tier3Phase-in'!$O$12)</f>
        <v>0.76374775880676882</v>
      </c>
      <c r="K75" s="702">
        <f>$D75*(1-'Tier3Phase-in'!$P$12)</f>
        <v>0.76211814054473459</v>
      </c>
      <c r="L75" s="702">
        <f>$D75*(1-'Tier3Phase-in'!$Q$12)</f>
        <v>0.76048852228270025</v>
      </c>
      <c r="M75" s="705">
        <f>'Raw emissions'!J25*'Raw emissions'!$B$78+'Raw emissions'!J36*'Raw emissions'!$B$79</f>
        <v>0.30923032184700716</v>
      </c>
      <c r="N75" s="706">
        <f>'Raw emissions'!K25*'Raw emissions'!$B$78+'Raw emissions'!K36*'Raw emissions'!$B$79</f>
        <v>9.4247292349221481E-2</v>
      </c>
      <c r="O75" s="702">
        <f>$N75*(1-'Tier3Phase-in'!$J$12)</f>
        <v>9.4247292349221481E-2</v>
      </c>
      <c r="P75" s="702">
        <f>$N75*(1-'Tier3Phase-in'!$K$12)</f>
        <v>8.1624887123879317E-2</v>
      </c>
      <c r="Q75" s="702">
        <f>$N75*(1-'Tier3Phase-in'!$L$12)</f>
        <v>7.1756461220429987E-2</v>
      </c>
      <c r="R75" s="702">
        <f>$N75*(1-'Tier3Phase-in'!$M$12)</f>
        <v>6.7740241376002944E-2</v>
      </c>
      <c r="S75" s="702">
        <f>$N75*(1-'Tier3Phase-in'!$N$12)</f>
        <v>6.4205967912907141E-2</v>
      </c>
      <c r="T75" s="702">
        <f>$N75*(1-'Tier3Phase-in'!$O$12)</f>
        <v>5.915700582277026E-2</v>
      </c>
      <c r="U75" s="702">
        <f>$N75*(1-'Tier3Phase-in'!$P$12)</f>
        <v>5.9030781770516842E-2</v>
      </c>
      <c r="V75" s="702">
        <f>$N75*(1-'Tier3Phase-in'!$Q$12)</f>
        <v>5.8904557718263424E-2</v>
      </c>
      <c r="W75" s="705">
        <f>'Raw emissions'!M25*'Raw emissions'!$B$78+'Raw emissions'!M36*'Raw emissions'!$B$79</f>
        <v>0.24788587795608663</v>
      </c>
      <c r="X75" s="706">
        <f>'Raw emissions'!N25*'Raw emissions'!$B$78+'Raw emissions'!N36*'Raw emissions'!$B$79</f>
        <v>3.9344784647155295E-2</v>
      </c>
      <c r="Y75" s="702">
        <f>$X75*(1-'Tier3Phase-in'!$J$12)</f>
        <v>3.9344784647155295E-2</v>
      </c>
      <c r="Z75" s="702">
        <f>$X75*(1-'Tier3Phase-in'!$K$12)</f>
        <v>3.4075393846196997E-2</v>
      </c>
      <c r="AA75" s="702">
        <f>$X75*(1-'Tier3Phase-in'!$L$12)</f>
        <v>2.9955688310902326E-2</v>
      </c>
      <c r="AB75" s="702">
        <f>$X75*(1-'Tier3Phase-in'!$M$12)</f>
        <v>2.8279063965142869E-2</v>
      </c>
      <c r="AC75" s="702">
        <f>$X75*(1-'Tier3Phase-in'!$N$12)</f>
        <v>2.6803634540874546E-2</v>
      </c>
      <c r="AD75" s="702">
        <f>$X75*(1-'Tier3Phase-in'!$O$12)</f>
        <v>2.469587822049122E-2</v>
      </c>
      <c r="AE75" s="702">
        <f>$X75*(1-'Tier3Phase-in'!$P$12)</f>
        <v>2.464318431248164E-2</v>
      </c>
      <c r="AF75" s="702">
        <f>$X75*(1-'Tier3Phase-in'!$Q$12)</f>
        <v>2.459049040447206E-2</v>
      </c>
      <c r="AG75" s="705">
        <f>'Raw emissions'!P25*'Raw emissions'!$B$78+'Raw emissions'!P36*'Raw emissions'!$B$79</f>
        <v>1.4881903421604605</v>
      </c>
      <c r="AH75" s="706">
        <f>'Raw emissions'!Q25*'Raw emissions'!$B$78+'Raw emissions'!Q36*'Raw emissions'!$B$79</f>
        <v>0.51668855239759326</v>
      </c>
      <c r="AI75" s="702">
        <f>$AH75*(1-'Tier3Phase-in'!$J$12)</f>
        <v>0.51668855239759326</v>
      </c>
      <c r="AJ75" s="702">
        <f>$AH75*(1-'Tier3Phase-in'!$K$12)</f>
        <v>0.44748919270148702</v>
      </c>
      <c r="AK75" s="702">
        <f>$AH75*(1-'Tier3Phase-in'!$L$12)</f>
        <v>0.39338787512089485</v>
      </c>
      <c r="AL75" s="702">
        <f>$AH75*(1-'Tier3Phase-in'!$M$12)</f>
        <v>0.37136989703577017</v>
      </c>
      <c r="AM75" s="702">
        <f>$AH75*(1-'Tier3Phase-in'!$N$12)</f>
        <v>0.35199407632086044</v>
      </c>
      <c r="AN75" s="702">
        <f>$AH75*(1-'Tier3Phase-in'!$O$12)</f>
        <v>0.32431433244241786</v>
      </c>
      <c r="AO75" s="702">
        <f>$AH75*(1-'Tier3Phase-in'!$P$12)</f>
        <v>0.32362233884545683</v>
      </c>
      <c r="AP75" s="702">
        <f>$AH75*(1-'Tier3Phase-in'!$Q$12)</f>
        <v>0.32293034524849579</v>
      </c>
      <c r="AQ75" s="705">
        <f>'Raw emissions'!Y25*'Raw emissions'!$B$78+'Raw emissions'!Y36*'Raw emissions'!$B$79</f>
        <v>0.41345713549361068</v>
      </c>
      <c r="AR75" s="706">
        <f>'Raw emissions'!Z25*'Raw emissions'!$B$78+'Raw emissions'!Z36*'Raw emissions'!$B$79</f>
        <v>0.13692347977870439</v>
      </c>
      <c r="AS75" s="702">
        <f>$AR75*(1-'Tier3Phase-in'!$J$12)</f>
        <v>0.13692347977870439</v>
      </c>
      <c r="AT75" s="702">
        <f>$AR75*(1-'Tier3Phase-in'!$K$12)</f>
        <v>0.11858551373691363</v>
      </c>
      <c r="AU75" s="702">
        <f>$AR75*(1-'Tier3Phase-in'!$L$12)</f>
        <v>0.1042485584678772</v>
      </c>
      <c r="AV75" s="702">
        <f>$AR75*(1-'Tier3Phase-in'!$M$12)</f>
        <v>9.8413751090943788E-2</v>
      </c>
      <c r="AW75" s="702">
        <f>$AR75*(1-'Tier3Phase-in'!$N$12)</f>
        <v>9.3279120599242371E-2</v>
      </c>
      <c r="AX75" s="702">
        <f>$AR75*(1-'Tier3Phase-in'!$O$12)</f>
        <v>8.5943934182526049E-2</v>
      </c>
      <c r="AY75" s="702">
        <f>$AR75*(1-'Tier3Phase-in'!$P$12)</f>
        <v>8.5760554522108151E-2</v>
      </c>
      <c r="AZ75" s="702">
        <f>$AR75*(1-'Tier3Phase-in'!$Q$12)</f>
        <v>8.5577174861690253E-2</v>
      </c>
      <c r="BA75" s="705">
        <f>'Raw emissions'!AK25*'Raw emissions'!$B$78+'Raw emissions'!AK36*'Raw emissions'!$B$79</f>
        <v>0.15849047529998392</v>
      </c>
      <c r="BB75" s="708">
        <f>'Raw emissions'!AL25*'Raw emissions'!$B$78+'Raw emissions'!AL36*'Raw emissions'!$B$79</f>
        <v>1.7042150911375994E-3</v>
      </c>
      <c r="BC75" s="703">
        <f>$BB75*(1-'Tier3Phase-in'!$J$12)</f>
        <v>1.7042150911375994E-3</v>
      </c>
      <c r="BD75" s="703">
        <f>$BB75*(1-'Tier3Phase-in'!$K$12)</f>
        <v>1.4759719985745282E-3</v>
      </c>
      <c r="BE75" s="703">
        <f>$BB75*(1-'Tier3Phase-in'!$L$12)</f>
        <v>1.2975273989343087E-3</v>
      </c>
      <c r="BF75" s="703">
        <f>$BB75*(1-'Tier3Phase-in'!$M$12)</f>
        <v>1.2249045967551496E-3</v>
      </c>
      <c r="BG75" s="703">
        <f>$BB75*(1-'Tier3Phase-in'!$N$12)</f>
        <v>1.1609965308374897E-3</v>
      </c>
      <c r="BH75" s="703">
        <f>$BB75*(1-'Tier3Phase-in'!$O$12)</f>
        <v>1.0696992938122609E-3</v>
      </c>
      <c r="BI75" s="703">
        <f>$BB75*(1-'Tier3Phase-in'!$P$12)</f>
        <v>1.0674168628866303E-3</v>
      </c>
      <c r="BJ75" s="703">
        <f>$BB75*(1-'Tier3Phase-in'!$Q$12)</f>
        <v>1.0651344319609997E-3</v>
      </c>
      <c r="BK75" s="705">
        <f>'Raw emissions'!AG25*'Raw emissions'!$B$78+'Raw emissions'!AG36*'Raw emissions'!$B$79</f>
        <v>0.1537635401605135</v>
      </c>
      <c r="BL75" s="708">
        <f>'Raw emissions'!AI25*'Raw emissions'!$B$78+'Raw emissions'!AI36*'Raw emissions'!$B$79</f>
        <v>8.2624047759026122E-3</v>
      </c>
      <c r="BM75" s="703">
        <f>$BL75*(1-'Tier3Phase-in'!$J$12)</f>
        <v>8.2624047759026122E-3</v>
      </c>
      <c r="BN75" s="703">
        <f>$BL75*(1-'Tier3Phase-in'!$K$12)</f>
        <v>7.1558327077013697E-3</v>
      </c>
      <c r="BO75" s="703">
        <f>$BL75*(1-'Tier3Phase-in'!$L$12)</f>
        <v>6.2906945452894884E-3</v>
      </c>
      <c r="BP75" s="703">
        <f>$BL75*(1-'Tier3Phase-in'!$M$12)</f>
        <v>5.9386034326800027E-3</v>
      </c>
      <c r="BQ75" s="703">
        <f>$BL75*(1-'Tier3Phase-in'!$N$12)</f>
        <v>5.6287632535836551E-3</v>
      </c>
      <c r="BR75" s="703">
        <f>$BL75*(1-'Tier3Phase-in'!$O$12)</f>
        <v>5.1861344263031562E-3</v>
      </c>
      <c r="BS75" s="703">
        <f>$BL75*(1-'Tier3Phase-in'!$P$12)</f>
        <v>5.1750687056211445E-3</v>
      </c>
      <c r="BT75" s="703">
        <f>$BL75*(1-'Tier3Phase-in'!$Q$12)</f>
        <v>5.1640029849391329E-3</v>
      </c>
      <c r="BU75" s="705">
        <f>'Raw emissions'!G25*'Raw emissions'!$B$78+'Raw emissions'!G36*'Raw emissions'!$B$79</f>
        <v>1.4540255516365265E-2</v>
      </c>
      <c r="BV75" s="708">
        <f>'Raw emissions'!H25*'Raw emissions'!$B$78+'Raw emissions'!H36*'Raw emissions'!$B$79</f>
        <v>1.0360628166183626E-2</v>
      </c>
      <c r="BW75" s="703">
        <f>(1-'Tier3Phase-in'!$J$20)*BV75</f>
        <v>3.5226135765024326E-3</v>
      </c>
      <c r="BX75" s="705">
        <f>'Raw emissions'!V25*'Raw emissions'!BU78+'Raw emissions'!V36*'Raw emissions'!BU79</f>
        <v>0</v>
      </c>
      <c r="BY75" s="708">
        <f>'Raw emissions'!W25*'Raw emissions'!$B$78+'Raw emissions'!W36*'Raw emissions'!$B$79</f>
        <v>1.9321419230745396E-3</v>
      </c>
      <c r="BZ75" s="705">
        <f>'Raw emissions'!S25*'Raw emissions'!BW78+'Raw emissions'!S36*'Raw emissions'!BW79</f>
        <v>0</v>
      </c>
      <c r="CA75" s="708">
        <f>'Raw emissions'!T25*'Raw emissions'!$B$78+'Raw emissions'!T36*'Raw emissions'!$B$79</f>
        <v>1.9677443278455272E-3</v>
      </c>
    </row>
    <row r="76" spans="1:79" x14ac:dyDescent="0.2">
      <c r="A76" s="690" t="str">
        <f>Technologies!C158</f>
        <v>THSB20IM</v>
      </c>
      <c r="B76" s="690" t="str">
        <f>Technologies!D158</f>
        <v>Heavy Truck, Short Haul, Improved B20</v>
      </c>
      <c r="C76" s="705">
        <f t="shared" ref="C76:D78" si="117">C75</f>
        <v>4.2186469082134739</v>
      </c>
      <c r="D76" s="706">
        <f t="shared" si="117"/>
        <v>1.2167816356523204</v>
      </c>
      <c r="E76" s="702">
        <f>$D76*(1-'Tier3Phase-in'!$J$12)</f>
        <v>1.2167816356523204</v>
      </c>
      <c r="F76" s="702">
        <f>$D76*(1-'Tier3Phase-in'!$K$12)</f>
        <v>1.0538198094488846</v>
      </c>
      <c r="G76" s="702">
        <f>$D76*(1-'Tier3Phase-in'!$L$12)</f>
        <v>0.92641329078074397</v>
      </c>
      <c r="H76" s="702">
        <f>$D76*(1-'Tier3Phase-in'!$M$12)</f>
        <v>0.87456180062510536</v>
      </c>
      <c r="I76" s="702">
        <f>$D76*(1-'Tier3Phase-in'!$N$12)</f>
        <v>0.82893248928814334</v>
      </c>
      <c r="J76" s="702">
        <f>$D76*(1-'Tier3Phase-in'!$O$12)</f>
        <v>0.76374775880676882</v>
      </c>
      <c r="K76" s="702">
        <f>$D76*(1-'Tier3Phase-in'!$P$12)</f>
        <v>0.76211814054473459</v>
      </c>
      <c r="L76" s="702">
        <f>$D76*(1-'Tier3Phase-in'!$Q$12)</f>
        <v>0.76048852228270025</v>
      </c>
      <c r="M76" s="705">
        <f t="shared" ref="M76:N78" si="118">M75</f>
        <v>0.30923032184700716</v>
      </c>
      <c r="N76" s="706">
        <f t="shared" si="118"/>
        <v>9.4247292349221481E-2</v>
      </c>
      <c r="O76" s="702">
        <f>$N76*(1-'Tier3Phase-in'!$J$12)</f>
        <v>9.4247292349221481E-2</v>
      </c>
      <c r="P76" s="702">
        <f>$N76*(1-'Tier3Phase-in'!$K$12)</f>
        <v>8.1624887123879317E-2</v>
      </c>
      <c r="Q76" s="702">
        <f>$N76*(1-'Tier3Phase-in'!$L$12)</f>
        <v>7.1756461220429987E-2</v>
      </c>
      <c r="R76" s="702">
        <f>$N76*(1-'Tier3Phase-in'!$M$12)</f>
        <v>6.7740241376002944E-2</v>
      </c>
      <c r="S76" s="702">
        <f>$N76*(1-'Tier3Phase-in'!$N$12)</f>
        <v>6.4205967912907141E-2</v>
      </c>
      <c r="T76" s="702">
        <f>$N76*(1-'Tier3Phase-in'!$O$12)</f>
        <v>5.915700582277026E-2</v>
      </c>
      <c r="U76" s="702">
        <f>$N76*(1-'Tier3Phase-in'!$P$12)</f>
        <v>5.9030781770516842E-2</v>
      </c>
      <c r="V76" s="702">
        <f>$N76*(1-'Tier3Phase-in'!$Q$12)</f>
        <v>5.8904557718263424E-2</v>
      </c>
      <c r="W76" s="705">
        <f t="shared" ref="W76:X78" si="119">W75</f>
        <v>0.24788587795608663</v>
      </c>
      <c r="X76" s="706">
        <f t="shared" si="119"/>
        <v>3.9344784647155295E-2</v>
      </c>
      <c r="Y76" s="702">
        <f>$X76*(1-'Tier3Phase-in'!$J$12)</f>
        <v>3.9344784647155295E-2</v>
      </c>
      <c r="Z76" s="702">
        <f>$X76*(1-'Tier3Phase-in'!$K$12)</f>
        <v>3.4075393846196997E-2</v>
      </c>
      <c r="AA76" s="702">
        <f>$X76*(1-'Tier3Phase-in'!$L$12)</f>
        <v>2.9955688310902326E-2</v>
      </c>
      <c r="AB76" s="702">
        <f>$X76*(1-'Tier3Phase-in'!$M$12)</f>
        <v>2.8279063965142869E-2</v>
      </c>
      <c r="AC76" s="702">
        <f>$X76*(1-'Tier3Phase-in'!$N$12)</f>
        <v>2.6803634540874546E-2</v>
      </c>
      <c r="AD76" s="702">
        <f>$X76*(1-'Tier3Phase-in'!$O$12)</f>
        <v>2.469587822049122E-2</v>
      </c>
      <c r="AE76" s="702">
        <f>$X76*(1-'Tier3Phase-in'!$P$12)</f>
        <v>2.464318431248164E-2</v>
      </c>
      <c r="AF76" s="702">
        <f>$X76*(1-'Tier3Phase-in'!$Q$12)</f>
        <v>2.459049040447206E-2</v>
      </c>
      <c r="AG76" s="705">
        <f t="shared" ref="AG76:AH78" si="120">AG75</f>
        <v>1.4881903421604605</v>
      </c>
      <c r="AH76" s="706">
        <f t="shared" si="120"/>
        <v>0.51668855239759326</v>
      </c>
      <c r="AI76" s="702">
        <f>$AH76*(1-'Tier3Phase-in'!$J$12)</f>
        <v>0.51668855239759326</v>
      </c>
      <c r="AJ76" s="702">
        <f>$AH76*(1-'Tier3Phase-in'!$K$12)</f>
        <v>0.44748919270148702</v>
      </c>
      <c r="AK76" s="702">
        <f>$AH76*(1-'Tier3Phase-in'!$L$12)</f>
        <v>0.39338787512089485</v>
      </c>
      <c r="AL76" s="702">
        <f>$AH76*(1-'Tier3Phase-in'!$M$12)</f>
        <v>0.37136989703577017</v>
      </c>
      <c r="AM76" s="702">
        <f>$AH76*(1-'Tier3Phase-in'!$N$12)</f>
        <v>0.35199407632086044</v>
      </c>
      <c r="AN76" s="702">
        <f>$AH76*(1-'Tier3Phase-in'!$O$12)</f>
        <v>0.32431433244241786</v>
      </c>
      <c r="AO76" s="702">
        <f>$AH76*(1-'Tier3Phase-in'!$P$12)</f>
        <v>0.32362233884545683</v>
      </c>
      <c r="AP76" s="702">
        <f>$AH76*(1-'Tier3Phase-in'!$Q$12)</f>
        <v>0.32293034524849579</v>
      </c>
      <c r="AQ76" s="705">
        <f t="shared" ref="AQ76:AR78" si="121">AQ75</f>
        <v>0.41345713549361068</v>
      </c>
      <c r="AR76" s="706">
        <f t="shared" si="121"/>
        <v>0.13692347977870439</v>
      </c>
      <c r="AS76" s="702">
        <f>$AR76*(1-'Tier3Phase-in'!$J$12)</f>
        <v>0.13692347977870439</v>
      </c>
      <c r="AT76" s="702">
        <f>$AR76*(1-'Tier3Phase-in'!$K$12)</f>
        <v>0.11858551373691363</v>
      </c>
      <c r="AU76" s="702">
        <f>$AR76*(1-'Tier3Phase-in'!$L$12)</f>
        <v>0.1042485584678772</v>
      </c>
      <c r="AV76" s="702">
        <f>$AR76*(1-'Tier3Phase-in'!$M$12)</f>
        <v>9.8413751090943788E-2</v>
      </c>
      <c r="AW76" s="702">
        <f>$AR76*(1-'Tier3Phase-in'!$N$12)</f>
        <v>9.3279120599242371E-2</v>
      </c>
      <c r="AX76" s="702">
        <f>$AR76*(1-'Tier3Phase-in'!$O$12)</f>
        <v>8.5943934182526049E-2</v>
      </c>
      <c r="AY76" s="702">
        <f>$AR76*(1-'Tier3Phase-in'!$P$12)</f>
        <v>8.5760554522108151E-2</v>
      </c>
      <c r="AZ76" s="702">
        <f>$AR76*(1-'Tier3Phase-in'!$Q$12)</f>
        <v>8.5577174861690253E-2</v>
      </c>
      <c r="BA76" s="705">
        <f t="shared" ref="BA76:BB78" si="122">BA75</f>
        <v>0.15849047529998392</v>
      </c>
      <c r="BB76" s="708">
        <f t="shared" si="122"/>
        <v>1.7042150911375994E-3</v>
      </c>
      <c r="BC76" s="703">
        <f>$BB76*(1-'Tier3Phase-in'!$J$12)</f>
        <v>1.7042150911375994E-3</v>
      </c>
      <c r="BD76" s="703">
        <f>$BB76*(1-'Tier3Phase-in'!$K$12)</f>
        <v>1.4759719985745282E-3</v>
      </c>
      <c r="BE76" s="703">
        <f>$BB76*(1-'Tier3Phase-in'!$L$12)</f>
        <v>1.2975273989343087E-3</v>
      </c>
      <c r="BF76" s="703">
        <f>$BB76*(1-'Tier3Phase-in'!$M$12)</f>
        <v>1.2249045967551496E-3</v>
      </c>
      <c r="BG76" s="703">
        <f>$BB76*(1-'Tier3Phase-in'!$N$12)</f>
        <v>1.1609965308374897E-3</v>
      </c>
      <c r="BH76" s="703">
        <f>$BB76*(1-'Tier3Phase-in'!$O$12)</f>
        <v>1.0696992938122609E-3</v>
      </c>
      <c r="BI76" s="703">
        <f>$BB76*(1-'Tier3Phase-in'!$P$12)</f>
        <v>1.0674168628866303E-3</v>
      </c>
      <c r="BJ76" s="703">
        <f>$BB76*(1-'Tier3Phase-in'!$Q$12)</f>
        <v>1.0651344319609997E-3</v>
      </c>
      <c r="BK76" s="705">
        <f t="shared" ref="BK76:BL78" si="123">BK75</f>
        <v>0.1537635401605135</v>
      </c>
      <c r="BL76" s="708">
        <f t="shared" si="123"/>
        <v>8.2624047759026122E-3</v>
      </c>
      <c r="BM76" s="703">
        <f>$BL76*(1-'Tier3Phase-in'!$J$12)</f>
        <v>8.2624047759026122E-3</v>
      </c>
      <c r="BN76" s="703">
        <f>$BL76*(1-'Tier3Phase-in'!$K$12)</f>
        <v>7.1558327077013697E-3</v>
      </c>
      <c r="BO76" s="703">
        <f>$BL76*(1-'Tier3Phase-in'!$L$12)</f>
        <v>6.2906945452894884E-3</v>
      </c>
      <c r="BP76" s="703">
        <f>$BL76*(1-'Tier3Phase-in'!$M$12)</f>
        <v>5.9386034326800027E-3</v>
      </c>
      <c r="BQ76" s="703">
        <f>$BL76*(1-'Tier3Phase-in'!$N$12)</f>
        <v>5.6287632535836551E-3</v>
      </c>
      <c r="BR76" s="703">
        <f>$BL76*(1-'Tier3Phase-in'!$O$12)</f>
        <v>5.1861344263031562E-3</v>
      </c>
      <c r="BS76" s="703">
        <f>$BL76*(1-'Tier3Phase-in'!$P$12)</f>
        <v>5.1750687056211445E-3</v>
      </c>
      <c r="BT76" s="703">
        <f>$BL76*(1-'Tier3Phase-in'!$Q$12)</f>
        <v>5.1640029849391329E-3</v>
      </c>
      <c r="BU76" s="705">
        <f t="shared" ref="BU76:BV78" si="124">BU75</f>
        <v>1.4540255516365265E-2</v>
      </c>
      <c r="BV76" s="708">
        <f t="shared" si="124"/>
        <v>1.0360628166183626E-2</v>
      </c>
      <c r="BW76" s="703">
        <f>(1-'Tier3Phase-in'!$J$20)*BV76</f>
        <v>3.5226135765024326E-3</v>
      </c>
      <c r="BX76" s="705">
        <f t="shared" ref="BX76:CA78" si="125">BX75</f>
        <v>0</v>
      </c>
      <c r="BY76" s="708">
        <f t="shared" si="125"/>
        <v>1.9321419230745396E-3</v>
      </c>
      <c r="BZ76" s="705">
        <f t="shared" si="125"/>
        <v>0</v>
      </c>
      <c r="CA76" s="708">
        <f t="shared" si="125"/>
        <v>1.9677443278455272E-3</v>
      </c>
    </row>
    <row r="77" spans="1:79" x14ac:dyDescent="0.2">
      <c r="A77" s="690" t="str">
        <f>Technologies!C159</f>
        <v>THSB20ADV</v>
      </c>
      <c r="B77" s="690" t="str">
        <f>Technologies!D159</f>
        <v>Heavy Truck, Short Haul, Advanced B20</v>
      </c>
      <c r="C77" s="705">
        <f t="shared" si="117"/>
        <v>4.2186469082134739</v>
      </c>
      <c r="D77" s="706">
        <f t="shared" si="117"/>
        <v>1.2167816356523204</v>
      </c>
      <c r="E77" s="702">
        <f>$D77*(1-'Tier3Phase-in'!$J$12)</f>
        <v>1.2167816356523204</v>
      </c>
      <c r="F77" s="702">
        <f>$D77*(1-'Tier3Phase-in'!$K$12)</f>
        <v>1.0538198094488846</v>
      </c>
      <c r="G77" s="702">
        <f>$D77*(1-'Tier3Phase-in'!$L$12)</f>
        <v>0.92641329078074397</v>
      </c>
      <c r="H77" s="702">
        <f>$D77*(1-'Tier3Phase-in'!$M$12)</f>
        <v>0.87456180062510536</v>
      </c>
      <c r="I77" s="702">
        <f>$D77*(1-'Tier3Phase-in'!$N$12)</f>
        <v>0.82893248928814334</v>
      </c>
      <c r="J77" s="702">
        <f>$D77*(1-'Tier3Phase-in'!$O$12)</f>
        <v>0.76374775880676882</v>
      </c>
      <c r="K77" s="702">
        <f>$D77*(1-'Tier3Phase-in'!$P$12)</f>
        <v>0.76211814054473459</v>
      </c>
      <c r="L77" s="702">
        <f>$D77*(1-'Tier3Phase-in'!$Q$12)</f>
        <v>0.76048852228270025</v>
      </c>
      <c r="M77" s="705">
        <f t="shared" si="118"/>
        <v>0.30923032184700716</v>
      </c>
      <c r="N77" s="706">
        <f t="shared" si="118"/>
        <v>9.4247292349221481E-2</v>
      </c>
      <c r="O77" s="702">
        <f>$N77*(1-'Tier3Phase-in'!$J$12)</f>
        <v>9.4247292349221481E-2</v>
      </c>
      <c r="P77" s="702">
        <f>$N77*(1-'Tier3Phase-in'!$K$12)</f>
        <v>8.1624887123879317E-2</v>
      </c>
      <c r="Q77" s="702">
        <f>$N77*(1-'Tier3Phase-in'!$L$12)</f>
        <v>7.1756461220429987E-2</v>
      </c>
      <c r="R77" s="702">
        <f>$N77*(1-'Tier3Phase-in'!$M$12)</f>
        <v>6.7740241376002944E-2</v>
      </c>
      <c r="S77" s="702">
        <f>$N77*(1-'Tier3Phase-in'!$N$12)</f>
        <v>6.4205967912907141E-2</v>
      </c>
      <c r="T77" s="702">
        <f>$N77*(1-'Tier3Phase-in'!$O$12)</f>
        <v>5.915700582277026E-2</v>
      </c>
      <c r="U77" s="702">
        <f>$N77*(1-'Tier3Phase-in'!$P$12)</f>
        <v>5.9030781770516842E-2</v>
      </c>
      <c r="V77" s="702">
        <f>$N77*(1-'Tier3Phase-in'!$Q$12)</f>
        <v>5.8904557718263424E-2</v>
      </c>
      <c r="W77" s="705">
        <f t="shared" si="119"/>
        <v>0.24788587795608663</v>
      </c>
      <c r="X77" s="706">
        <f t="shared" si="119"/>
        <v>3.9344784647155295E-2</v>
      </c>
      <c r="Y77" s="702">
        <f>$X77*(1-'Tier3Phase-in'!$J$12)</f>
        <v>3.9344784647155295E-2</v>
      </c>
      <c r="Z77" s="702">
        <f>$X77*(1-'Tier3Phase-in'!$K$12)</f>
        <v>3.4075393846196997E-2</v>
      </c>
      <c r="AA77" s="702">
        <f>$X77*(1-'Tier3Phase-in'!$L$12)</f>
        <v>2.9955688310902326E-2</v>
      </c>
      <c r="AB77" s="702">
        <f>$X77*(1-'Tier3Phase-in'!$M$12)</f>
        <v>2.8279063965142869E-2</v>
      </c>
      <c r="AC77" s="702">
        <f>$X77*(1-'Tier3Phase-in'!$N$12)</f>
        <v>2.6803634540874546E-2</v>
      </c>
      <c r="AD77" s="702">
        <f>$X77*(1-'Tier3Phase-in'!$O$12)</f>
        <v>2.469587822049122E-2</v>
      </c>
      <c r="AE77" s="702">
        <f>$X77*(1-'Tier3Phase-in'!$P$12)</f>
        <v>2.464318431248164E-2</v>
      </c>
      <c r="AF77" s="702">
        <f>$X77*(1-'Tier3Phase-in'!$Q$12)</f>
        <v>2.459049040447206E-2</v>
      </c>
      <c r="AG77" s="705">
        <f t="shared" si="120"/>
        <v>1.4881903421604605</v>
      </c>
      <c r="AH77" s="706">
        <f t="shared" si="120"/>
        <v>0.51668855239759326</v>
      </c>
      <c r="AI77" s="702">
        <f>$AH77*(1-'Tier3Phase-in'!$J$12)</f>
        <v>0.51668855239759326</v>
      </c>
      <c r="AJ77" s="702">
        <f>$AH77*(1-'Tier3Phase-in'!$K$12)</f>
        <v>0.44748919270148702</v>
      </c>
      <c r="AK77" s="702">
        <f>$AH77*(1-'Tier3Phase-in'!$L$12)</f>
        <v>0.39338787512089485</v>
      </c>
      <c r="AL77" s="702">
        <f>$AH77*(1-'Tier3Phase-in'!$M$12)</f>
        <v>0.37136989703577017</v>
      </c>
      <c r="AM77" s="702">
        <f>$AH77*(1-'Tier3Phase-in'!$N$12)</f>
        <v>0.35199407632086044</v>
      </c>
      <c r="AN77" s="702">
        <f>$AH77*(1-'Tier3Phase-in'!$O$12)</f>
        <v>0.32431433244241786</v>
      </c>
      <c r="AO77" s="702">
        <f>$AH77*(1-'Tier3Phase-in'!$P$12)</f>
        <v>0.32362233884545683</v>
      </c>
      <c r="AP77" s="702">
        <f>$AH77*(1-'Tier3Phase-in'!$Q$12)</f>
        <v>0.32293034524849579</v>
      </c>
      <c r="AQ77" s="705">
        <f t="shared" si="121"/>
        <v>0.41345713549361068</v>
      </c>
      <c r="AR77" s="706">
        <f t="shared" si="121"/>
        <v>0.13692347977870439</v>
      </c>
      <c r="AS77" s="702">
        <f>$AR77*(1-'Tier3Phase-in'!$J$12)</f>
        <v>0.13692347977870439</v>
      </c>
      <c r="AT77" s="702">
        <f>$AR77*(1-'Tier3Phase-in'!$K$12)</f>
        <v>0.11858551373691363</v>
      </c>
      <c r="AU77" s="702">
        <f>$AR77*(1-'Tier3Phase-in'!$L$12)</f>
        <v>0.1042485584678772</v>
      </c>
      <c r="AV77" s="702">
        <f>$AR77*(1-'Tier3Phase-in'!$M$12)</f>
        <v>9.8413751090943788E-2</v>
      </c>
      <c r="AW77" s="702">
        <f>$AR77*(1-'Tier3Phase-in'!$N$12)</f>
        <v>9.3279120599242371E-2</v>
      </c>
      <c r="AX77" s="702">
        <f>$AR77*(1-'Tier3Phase-in'!$O$12)</f>
        <v>8.5943934182526049E-2</v>
      </c>
      <c r="AY77" s="702">
        <f>$AR77*(1-'Tier3Phase-in'!$P$12)</f>
        <v>8.5760554522108151E-2</v>
      </c>
      <c r="AZ77" s="702">
        <f>$AR77*(1-'Tier3Phase-in'!$Q$12)</f>
        <v>8.5577174861690253E-2</v>
      </c>
      <c r="BA77" s="705">
        <f t="shared" si="122"/>
        <v>0.15849047529998392</v>
      </c>
      <c r="BB77" s="708">
        <f t="shared" si="122"/>
        <v>1.7042150911375994E-3</v>
      </c>
      <c r="BC77" s="703">
        <f>$BB77*(1-'Tier3Phase-in'!$J$12)</f>
        <v>1.7042150911375994E-3</v>
      </c>
      <c r="BD77" s="703">
        <f>$BB77*(1-'Tier3Phase-in'!$K$12)</f>
        <v>1.4759719985745282E-3</v>
      </c>
      <c r="BE77" s="703">
        <f>$BB77*(1-'Tier3Phase-in'!$L$12)</f>
        <v>1.2975273989343087E-3</v>
      </c>
      <c r="BF77" s="703">
        <f>$BB77*(1-'Tier3Phase-in'!$M$12)</f>
        <v>1.2249045967551496E-3</v>
      </c>
      <c r="BG77" s="703">
        <f>$BB77*(1-'Tier3Phase-in'!$N$12)</f>
        <v>1.1609965308374897E-3</v>
      </c>
      <c r="BH77" s="703">
        <f>$BB77*(1-'Tier3Phase-in'!$O$12)</f>
        <v>1.0696992938122609E-3</v>
      </c>
      <c r="BI77" s="703">
        <f>$BB77*(1-'Tier3Phase-in'!$P$12)</f>
        <v>1.0674168628866303E-3</v>
      </c>
      <c r="BJ77" s="703">
        <f>$BB77*(1-'Tier3Phase-in'!$Q$12)</f>
        <v>1.0651344319609997E-3</v>
      </c>
      <c r="BK77" s="705">
        <f t="shared" si="123"/>
        <v>0.1537635401605135</v>
      </c>
      <c r="BL77" s="708">
        <f t="shared" si="123"/>
        <v>8.2624047759026122E-3</v>
      </c>
      <c r="BM77" s="703">
        <f>$BL77*(1-'Tier3Phase-in'!$J$12)</f>
        <v>8.2624047759026122E-3</v>
      </c>
      <c r="BN77" s="703">
        <f>$BL77*(1-'Tier3Phase-in'!$K$12)</f>
        <v>7.1558327077013697E-3</v>
      </c>
      <c r="BO77" s="703">
        <f>$BL77*(1-'Tier3Phase-in'!$L$12)</f>
        <v>6.2906945452894884E-3</v>
      </c>
      <c r="BP77" s="703">
        <f>$BL77*(1-'Tier3Phase-in'!$M$12)</f>
        <v>5.9386034326800027E-3</v>
      </c>
      <c r="BQ77" s="703">
        <f>$BL77*(1-'Tier3Phase-in'!$N$12)</f>
        <v>5.6287632535836551E-3</v>
      </c>
      <c r="BR77" s="703">
        <f>$BL77*(1-'Tier3Phase-in'!$O$12)</f>
        <v>5.1861344263031562E-3</v>
      </c>
      <c r="BS77" s="703">
        <f>$BL77*(1-'Tier3Phase-in'!$P$12)</f>
        <v>5.1750687056211445E-3</v>
      </c>
      <c r="BT77" s="703">
        <f>$BL77*(1-'Tier3Phase-in'!$Q$12)</f>
        <v>5.1640029849391329E-3</v>
      </c>
      <c r="BU77" s="705">
        <f t="shared" si="124"/>
        <v>1.4540255516365265E-2</v>
      </c>
      <c r="BV77" s="708">
        <f t="shared" si="124"/>
        <v>1.0360628166183626E-2</v>
      </c>
      <c r="BW77" s="703">
        <f>(1-'Tier3Phase-in'!$J$20)*BV77</f>
        <v>3.5226135765024326E-3</v>
      </c>
      <c r="BX77" s="705">
        <f t="shared" si="125"/>
        <v>0</v>
      </c>
      <c r="BY77" s="708">
        <f t="shared" si="125"/>
        <v>1.9321419230745396E-3</v>
      </c>
      <c r="BZ77" s="705">
        <f t="shared" si="125"/>
        <v>0</v>
      </c>
      <c r="CA77" s="708">
        <f t="shared" si="125"/>
        <v>1.9677443278455272E-3</v>
      </c>
    </row>
    <row r="78" spans="1:79" x14ac:dyDescent="0.2">
      <c r="A78" s="690" t="str">
        <f>Technologies!C160</f>
        <v>THSB20AH</v>
      </c>
      <c r="B78" s="690" t="str">
        <f>Technologies!D160</f>
        <v>Heavy Truck, Short Haul, Hybrid B20</v>
      </c>
      <c r="C78" s="705">
        <f t="shared" si="117"/>
        <v>4.2186469082134739</v>
      </c>
      <c r="D78" s="706">
        <f t="shared" si="117"/>
        <v>1.2167816356523204</v>
      </c>
      <c r="E78" s="702">
        <f>$D78*(1-'Tier3Phase-in'!$J$12)</f>
        <v>1.2167816356523204</v>
      </c>
      <c r="F78" s="702">
        <f>$D78*(1-'Tier3Phase-in'!$K$12)</f>
        <v>1.0538198094488846</v>
      </c>
      <c r="G78" s="702">
        <f>$D78*(1-'Tier3Phase-in'!$L$12)</f>
        <v>0.92641329078074397</v>
      </c>
      <c r="H78" s="702">
        <f>$D78*(1-'Tier3Phase-in'!$M$12)</f>
        <v>0.87456180062510536</v>
      </c>
      <c r="I78" s="702">
        <f>$D78*(1-'Tier3Phase-in'!$N$12)</f>
        <v>0.82893248928814334</v>
      </c>
      <c r="J78" s="702">
        <f>$D78*(1-'Tier3Phase-in'!$O$12)</f>
        <v>0.76374775880676882</v>
      </c>
      <c r="K78" s="702">
        <f>$D78*(1-'Tier3Phase-in'!$P$12)</f>
        <v>0.76211814054473459</v>
      </c>
      <c r="L78" s="702">
        <f>$D78*(1-'Tier3Phase-in'!$Q$12)</f>
        <v>0.76048852228270025</v>
      </c>
      <c r="M78" s="705">
        <f t="shared" si="118"/>
        <v>0.30923032184700716</v>
      </c>
      <c r="N78" s="706">
        <f t="shared" si="118"/>
        <v>9.4247292349221481E-2</v>
      </c>
      <c r="O78" s="702">
        <f>$N78*(1-'Tier3Phase-in'!$J$12)</f>
        <v>9.4247292349221481E-2</v>
      </c>
      <c r="P78" s="702">
        <f>$N78*(1-'Tier3Phase-in'!$K$12)</f>
        <v>8.1624887123879317E-2</v>
      </c>
      <c r="Q78" s="702">
        <f>$N78*(1-'Tier3Phase-in'!$L$12)</f>
        <v>7.1756461220429987E-2</v>
      </c>
      <c r="R78" s="702">
        <f>$N78*(1-'Tier3Phase-in'!$M$12)</f>
        <v>6.7740241376002944E-2</v>
      </c>
      <c r="S78" s="702">
        <f>$N78*(1-'Tier3Phase-in'!$N$12)</f>
        <v>6.4205967912907141E-2</v>
      </c>
      <c r="T78" s="702">
        <f>$N78*(1-'Tier3Phase-in'!$O$12)</f>
        <v>5.915700582277026E-2</v>
      </c>
      <c r="U78" s="702">
        <f>$N78*(1-'Tier3Phase-in'!$P$12)</f>
        <v>5.9030781770516842E-2</v>
      </c>
      <c r="V78" s="702">
        <f>$N78*(1-'Tier3Phase-in'!$Q$12)</f>
        <v>5.8904557718263424E-2</v>
      </c>
      <c r="W78" s="705">
        <f t="shared" si="119"/>
        <v>0.24788587795608663</v>
      </c>
      <c r="X78" s="706">
        <f t="shared" si="119"/>
        <v>3.9344784647155295E-2</v>
      </c>
      <c r="Y78" s="702">
        <f>$X78*(1-'Tier3Phase-in'!$J$12)</f>
        <v>3.9344784647155295E-2</v>
      </c>
      <c r="Z78" s="702">
        <f>$X78*(1-'Tier3Phase-in'!$K$12)</f>
        <v>3.4075393846196997E-2</v>
      </c>
      <c r="AA78" s="702">
        <f>$X78*(1-'Tier3Phase-in'!$L$12)</f>
        <v>2.9955688310902326E-2</v>
      </c>
      <c r="AB78" s="702">
        <f>$X78*(1-'Tier3Phase-in'!$M$12)</f>
        <v>2.8279063965142869E-2</v>
      </c>
      <c r="AC78" s="702">
        <f>$X78*(1-'Tier3Phase-in'!$N$12)</f>
        <v>2.6803634540874546E-2</v>
      </c>
      <c r="AD78" s="702">
        <f>$X78*(1-'Tier3Phase-in'!$O$12)</f>
        <v>2.469587822049122E-2</v>
      </c>
      <c r="AE78" s="702">
        <f>$X78*(1-'Tier3Phase-in'!$P$12)</f>
        <v>2.464318431248164E-2</v>
      </c>
      <c r="AF78" s="702">
        <f>$X78*(1-'Tier3Phase-in'!$Q$12)</f>
        <v>2.459049040447206E-2</v>
      </c>
      <c r="AG78" s="705">
        <f t="shared" si="120"/>
        <v>1.4881903421604605</v>
      </c>
      <c r="AH78" s="706">
        <f t="shared" si="120"/>
        <v>0.51668855239759326</v>
      </c>
      <c r="AI78" s="702">
        <f>$AH78*(1-'Tier3Phase-in'!$J$12)</f>
        <v>0.51668855239759326</v>
      </c>
      <c r="AJ78" s="702">
        <f>$AH78*(1-'Tier3Phase-in'!$K$12)</f>
        <v>0.44748919270148702</v>
      </c>
      <c r="AK78" s="702">
        <f>$AH78*(1-'Tier3Phase-in'!$L$12)</f>
        <v>0.39338787512089485</v>
      </c>
      <c r="AL78" s="702">
        <f>$AH78*(1-'Tier3Phase-in'!$M$12)</f>
        <v>0.37136989703577017</v>
      </c>
      <c r="AM78" s="702">
        <f>$AH78*(1-'Tier3Phase-in'!$N$12)</f>
        <v>0.35199407632086044</v>
      </c>
      <c r="AN78" s="702">
        <f>$AH78*(1-'Tier3Phase-in'!$O$12)</f>
        <v>0.32431433244241786</v>
      </c>
      <c r="AO78" s="702">
        <f>$AH78*(1-'Tier3Phase-in'!$P$12)</f>
        <v>0.32362233884545683</v>
      </c>
      <c r="AP78" s="702">
        <f>$AH78*(1-'Tier3Phase-in'!$Q$12)</f>
        <v>0.32293034524849579</v>
      </c>
      <c r="AQ78" s="705">
        <f t="shared" si="121"/>
        <v>0.41345713549361068</v>
      </c>
      <c r="AR78" s="706">
        <f t="shared" si="121"/>
        <v>0.13692347977870439</v>
      </c>
      <c r="AS78" s="702">
        <f>$AR78*(1-'Tier3Phase-in'!$J$12)</f>
        <v>0.13692347977870439</v>
      </c>
      <c r="AT78" s="702">
        <f>$AR78*(1-'Tier3Phase-in'!$K$12)</f>
        <v>0.11858551373691363</v>
      </c>
      <c r="AU78" s="702">
        <f>$AR78*(1-'Tier3Phase-in'!$L$12)</f>
        <v>0.1042485584678772</v>
      </c>
      <c r="AV78" s="702">
        <f>$AR78*(1-'Tier3Phase-in'!$M$12)</f>
        <v>9.8413751090943788E-2</v>
      </c>
      <c r="AW78" s="702">
        <f>$AR78*(1-'Tier3Phase-in'!$N$12)</f>
        <v>9.3279120599242371E-2</v>
      </c>
      <c r="AX78" s="702">
        <f>$AR78*(1-'Tier3Phase-in'!$O$12)</f>
        <v>8.5943934182526049E-2</v>
      </c>
      <c r="AY78" s="702">
        <f>$AR78*(1-'Tier3Phase-in'!$P$12)</f>
        <v>8.5760554522108151E-2</v>
      </c>
      <c r="AZ78" s="702">
        <f>$AR78*(1-'Tier3Phase-in'!$Q$12)</f>
        <v>8.5577174861690253E-2</v>
      </c>
      <c r="BA78" s="705">
        <f t="shared" si="122"/>
        <v>0.15849047529998392</v>
      </c>
      <c r="BB78" s="708">
        <f t="shared" si="122"/>
        <v>1.7042150911375994E-3</v>
      </c>
      <c r="BC78" s="703">
        <f>$BB78*(1-'Tier3Phase-in'!$J$12)</f>
        <v>1.7042150911375994E-3</v>
      </c>
      <c r="BD78" s="703">
        <f>$BB78*(1-'Tier3Phase-in'!$K$12)</f>
        <v>1.4759719985745282E-3</v>
      </c>
      <c r="BE78" s="703">
        <f>$BB78*(1-'Tier3Phase-in'!$L$12)</f>
        <v>1.2975273989343087E-3</v>
      </c>
      <c r="BF78" s="703">
        <f>$BB78*(1-'Tier3Phase-in'!$M$12)</f>
        <v>1.2249045967551496E-3</v>
      </c>
      <c r="BG78" s="703">
        <f>$BB78*(1-'Tier3Phase-in'!$N$12)</f>
        <v>1.1609965308374897E-3</v>
      </c>
      <c r="BH78" s="703">
        <f>$BB78*(1-'Tier3Phase-in'!$O$12)</f>
        <v>1.0696992938122609E-3</v>
      </c>
      <c r="BI78" s="703">
        <f>$BB78*(1-'Tier3Phase-in'!$P$12)</f>
        <v>1.0674168628866303E-3</v>
      </c>
      <c r="BJ78" s="703">
        <f>$BB78*(1-'Tier3Phase-in'!$Q$12)</f>
        <v>1.0651344319609997E-3</v>
      </c>
      <c r="BK78" s="705">
        <f t="shared" si="123"/>
        <v>0.1537635401605135</v>
      </c>
      <c r="BL78" s="708">
        <f t="shared" si="123"/>
        <v>8.2624047759026122E-3</v>
      </c>
      <c r="BM78" s="703">
        <f>$BL78*(1-'Tier3Phase-in'!$J$12)</f>
        <v>8.2624047759026122E-3</v>
      </c>
      <c r="BN78" s="703">
        <f>$BL78*(1-'Tier3Phase-in'!$K$12)</f>
        <v>7.1558327077013697E-3</v>
      </c>
      <c r="BO78" s="703">
        <f>$BL78*(1-'Tier3Phase-in'!$L$12)</f>
        <v>6.2906945452894884E-3</v>
      </c>
      <c r="BP78" s="703">
        <f>$BL78*(1-'Tier3Phase-in'!$M$12)</f>
        <v>5.9386034326800027E-3</v>
      </c>
      <c r="BQ78" s="703">
        <f>$BL78*(1-'Tier3Phase-in'!$N$12)</f>
        <v>5.6287632535836551E-3</v>
      </c>
      <c r="BR78" s="703">
        <f>$BL78*(1-'Tier3Phase-in'!$O$12)</f>
        <v>5.1861344263031562E-3</v>
      </c>
      <c r="BS78" s="703">
        <f>$BL78*(1-'Tier3Phase-in'!$P$12)</f>
        <v>5.1750687056211445E-3</v>
      </c>
      <c r="BT78" s="703">
        <f>$BL78*(1-'Tier3Phase-in'!$Q$12)</f>
        <v>5.1640029849391329E-3</v>
      </c>
      <c r="BU78" s="705">
        <f t="shared" si="124"/>
        <v>1.4540255516365265E-2</v>
      </c>
      <c r="BV78" s="708">
        <f t="shared" si="124"/>
        <v>1.0360628166183626E-2</v>
      </c>
      <c r="BW78" s="703">
        <f>(1-'Tier3Phase-in'!$J$20)*BV78</f>
        <v>3.5226135765024326E-3</v>
      </c>
      <c r="BX78" s="705">
        <f t="shared" si="125"/>
        <v>0</v>
      </c>
      <c r="BY78" s="708">
        <f t="shared" si="125"/>
        <v>1.9321419230745396E-3</v>
      </c>
      <c r="BZ78" s="705">
        <f t="shared" si="125"/>
        <v>0</v>
      </c>
      <c r="CA78" s="708">
        <f t="shared" si="125"/>
        <v>1.9677443278455272E-3</v>
      </c>
    </row>
    <row r="79" spans="1:79" x14ac:dyDescent="0.2">
      <c r="A79" s="690" t="str">
        <f>Technologies!C161</f>
        <v>THSCNGC10</v>
      </c>
      <c r="B79" s="690" t="str">
        <f>Technologies!D161</f>
        <v>Heavy Truck, Short Haul, Conventional CNG 2010</v>
      </c>
      <c r="C79" s="705">
        <f>'Raw emissions'!D26*'Raw emissions'!B78+'Raw emissions'!D37*'Raw emissions'!B79</f>
        <v>3.0251386951020027</v>
      </c>
      <c r="D79" s="706">
        <f>'Raw emissions'!E26*'Raw emissions'!$B$78+'Raw emissions'!E37*'Raw emissions'!$B$79</f>
        <v>1.2167816356523204</v>
      </c>
      <c r="E79" s="702">
        <f>$C79</f>
        <v>3.0251386951020027</v>
      </c>
      <c r="F79" s="702">
        <f t="shared" ref="F79:L79" si="126">$C79</f>
        <v>3.0251386951020027</v>
      </c>
      <c r="G79" s="702">
        <f t="shared" si="126"/>
        <v>3.0251386951020027</v>
      </c>
      <c r="H79" s="702">
        <f t="shared" si="126"/>
        <v>3.0251386951020027</v>
      </c>
      <c r="I79" s="702">
        <f t="shared" si="126"/>
        <v>3.0251386951020027</v>
      </c>
      <c r="J79" s="702">
        <f t="shared" si="126"/>
        <v>3.0251386951020027</v>
      </c>
      <c r="K79" s="702">
        <f t="shared" si="126"/>
        <v>3.0251386951020027</v>
      </c>
      <c r="L79" s="702">
        <f t="shared" si="126"/>
        <v>3.0251386951020027</v>
      </c>
      <c r="M79" s="705">
        <f>'Raw emissions'!J26*'Raw emissions'!$B$78+'Raw emissions'!J37*'Raw emissions'!$B$79</f>
        <v>0.1119406340433215</v>
      </c>
      <c r="N79" s="706">
        <f>'Raw emissions'!K26*'Raw emissions'!$B$78+'Raw emissions'!K37*'Raw emissions'!$B$79</f>
        <v>9.4247292349221481E-2</v>
      </c>
      <c r="O79" s="702">
        <f>$M79</f>
        <v>0.1119406340433215</v>
      </c>
      <c r="P79" s="702">
        <f t="shared" ref="P79:V79" si="127">$M79</f>
        <v>0.1119406340433215</v>
      </c>
      <c r="Q79" s="702">
        <f t="shared" si="127"/>
        <v>0.1119406340433215</v>
      </c>
      <c r="R79" s="702">
        <f t="shared" si="127"/>
        <v>0.1119406340433215</v>
      </c>
      <c r="S79" s="702">
        <f t="shared" si="127"/>
        <v>0.1119406340433215</v>
      </c>
      <c r="T79" s="702">
        <f t="shared" si="127"/>
        <v>0.1119406340433215</v>
      </c>
      <c r="U79" s="702">
        <f t="shared" si="127"/>
        <v>0.1119406340433215</v>
      </c>
      <c r="V79" s="702">
        <f t="shared" si="127"/>
        <v>0.1119406340433215</v>
      </c>
      <c r="W79" s="705">
        <f>'Raw emissions'!M26*'Raw emissions'!$B$78+'Raw emissions'!M37*'Raw emissions'!$B$79</f>
        <v>5.6507969514429948E-2</v>
      </c>
      <c r="X79" s="706">
        <f>'Raw emissions'!N26*'Raw emissions'!$B$78+'Raw emissions'!N37*'Raw emissions'!$B$79</f>
        <v>3.9344784647155295E-2</v>
      </c>
      <c r="Y79" s="702">
        <f t="shared" ref="Y79:AF79" si="128">W79</f>
        <v>5.6507969514429948E-2</v>
      </c>
      <c r="Z79" s="702">
        <f t="shared" si="128"/>
        <v>3.9344784647155295E-2</v>
      </c>
      <c r="AA79" s="702">
        <f t="shared" si="128"/>
        <v>5.6507969514429948E-2</v>
      </c>
      <c r="AB79" s="702">
        <f t="shared" si="128"/>
        <v>3.9344784647155295E-2</v>
      </c>
      <c r="AC79" s="702">
        <f t="shared" si="128"/>
        <v>5.6507969514429948E-2</v>
      </c>
      <c r="AD79" s="702">
        <f t="shared" si="128"/>
        <v>3.9344784647155295E-2</v>
      </c>
      <c r="AE79" s="702">
        <f t="shared" si="128"/>
        <v>5.6507969514429948E-2</v>
      </c>
      <c r="AF79" s="702">
        <f t="shared" si="128"/>
        <v>3.9344784647155295E-2</v>
      </c>
      <c r="AG79" s="705">
        <f>'Raw emissions'!P26*'Raw emissions'!$B$78+'Raw emissions'!P37*'Raw emissions'!$B$79</f>
        <v>0.33772121810215516</v>
      </c>
      <c r="AH79" s="706">
        <f>'Raw emissions'!Q26*'Raw emissions'!$B$78+'Raw emissions'!Q37*'Raw emissions'!$B$79</f>
        <v>0.44802613552576565</v>
      </c>
      <c r="AI79" s="702">
        <f>$AG79</f>
        <v>0.33772121810215516</v>
      </c>
      <c r="AJ79" s="702">
        <f t="shared" ref="AJ79:AP79" si="129">$AG79</f>
        <v>0.33772121810215516</v>
      </c>
      <c r="AK79" s="702">
        <f t="shared" si="129"/>
        <v>0.33772121810215516</v>
      </c>
      <c r="AL79" s="702">
        <f t="shared" si="129"/>
        <v>0.33772121810215516</v>
      </c>
      <c r="AM79" s="702">
        <f t="shared" si="129"/>
        <v>0.33772121810215516</v>
      </c>
      <c r="AN79" s="702">
        <f t="shared" si="129"/>
        <v>0.33772121810215516</v>
      </c>
      <c r="AO79" s="702">
        <f t="shared" si="129"/>
        <v>0.33772121810215516</v>
      </c>
      <c r="AP79" s="702">
        <f t="shared" si="129"/>
        <v>0.33772121810215516</v>
      </c>
      <c r="AQ79" s="705">
        <f>'Raw emissions'!Y26*'Raw emissions'!$B$78+'Raw emissions'!Y37*'Raw emissions'!$B$79</f>
        <v>0.41345713549361068</v>
      </c>
      <c r="AR79" s="706">
        <f>'Raw emissions'!Z26*'Raw emissions'!$B$78+'Raw emissions'!Z37*'Raw emissions'!$B$79</f>
        <v>0.13692347977870439</v>
      </c>
      <c r="AS79" s="702">
        <f>$AQ79</f>
        <v>0.41345713549361068</v>
      </c>
      <c r="AT79" s="702">
        <f t="shared" ref="AT79:AZ79" si="130">$AQ79</f>
        <v>0.41345713549361068</v>
      </c>
      <c r="AU79" s="702">
        <f t="shared" si="130"/>
        <v>0.41345713549361068</v>
      </c>
      <c r="AV79" s="702">
        <f t="shared" si="130"/>
        <v>0.41345713549361068</v>
      </c>
      <c r="AW79" s="702">
        <f t="shared" si="130"/>
        <v>0.41345713549361068</v>
      </c>
      <c r="AX79" s="702">
        <f t="shared" si="130"/>
        <v>0.41345713549361068</v>
      </c>
      <c r="AY79" s="702">
        <f t="shared" si="130"/>
        <v>0.41345713549361068</v>
      </c>
      <c r="AZ79" s="702">
        <f t="shared" si="130"/>
        <v>0.41345713549361068</v>
      </c>
      <c r="BA79" s="705">
        <f>'Raw emissions'!AK26*'Raw emissions'!$B$78+'Raw emissions'!AK37*'Raw emissions'!$B$79</f>
        <v>1.8635913292846147E-2</v>
      </c>
      <c r="BB79" s="708">
        <f>'Raw emissions'!AL26*'Raw emissions'!$B$78+'Raw emissions'!AL37*'Raw emissions'!$B$79</f>
        <v>1.7042150911375994E-3</v>
      </c>
      <c r="BC79" s="703">
        <f>$BA79</f>
        <v>1.8635913292846147E-2</v>
      </c>
      <c r="BD79" s="703">
        <f t="shared" ref="BD79:BJ79" si="131">$BA79</f>
        <v>1.8635913292846147E-2</v>
      </c>
      <c r="BE79" s="703">
        <f t="shared" si="131"/>
        <v>1.8635913292846147E-2</v>
      </c>
      <c r="BF79" s="703">
        <f t="shared" si="131"/>
        <v>1.8635913292846147E-2</v>
      </c>
      <c r="BG79" s="703">
        <f t="shared" si="131"/>
        <v>1.8635913292846147E-2</v>
      </c>
      <c r="BH79" s="703">
        <f t="shared" si="131"/>
        <v>1.8635913292846147E-2</v>
      </c>
      <c r="BI79" s="703">
        <f t="shared" si="131"/>
        <v>1.8635913292846147E-2</v>
      </c>
      <c r="BJ79" s="703">
        <f t="shared" si="131"/>
        <v>1.8635913292846147E-2</v>
      </c>
      <c r="BK79" s="705">
        <f>'Raw emissions'!AG26*'Raw emissions'!$B$78+'Raw emissions'!AG37*'Raw emissions'!$B$79</f>
        <v>9.8326859099698485E-3</v>
      </c>
      <c r="BL79" s="708">
        <f>'Raw emissions'!AI26*'Raw emissions'!$B$78+'Raw emissions'!AI37*'Raw emissions'!$B$79</f>
        <v>3.9344784647155299E-3</v>
      </c>
      <c r="BM79" s="703">
        <f>$BK79</f>
        <v>9.8326859099698485E-3</v>
      </c>
      <c r="BN79" s="703">
        <f t="shared" ref="BN79:BT79" si="132">$BK79</f>
        <v>9.8326859099698485E-3</v>
      </c>
      <c r="BO79" s="703">
        <f t="shared" si="132"/>
        <v>9.8326859099698485E-3</v>
      </c>
      <c r="BP79" s="703">
        <f t="shared" si="132"/>
        <v>9.8326859099698485E-3</v>
      </c>
      <c r="BQ79" s="703">
        <f t="shared" si="132"/>
        <v>9.8326859099698485E-3</v>
      </c>
      <c r="BR79" s="703">
        <f t="shared" si="132"/>
        <v>9.8326859099698485E-3</v>
      </c>
      <c r="BS79" s="703">
        <f t="shared" si="132"/>
        <v>9.8326859099698485E-3</v>
      </c>
      <c r="BT79" s="703">
        <f t="shared" si="132"/>
        <v>9.8326859099698485E-3</v>
      </c>
      <c r="BU79" s="705">
        <f>'Raw emissions'!G26*'Raw emissions'!$B$78+'Raw emissions'!G37*'Raw emissions'!$B$79</f>
        <v>1.1145897812193141E-2</v>
      </c>
      <c r="BV79" s="708">
        <f>'Raw emissions'!H26*'Raw emissions'!$B$78+'Raw emissions'!H37*'Raw emissions'!$B$79</f>
        <v>7.9419857980102225E-3</v>
      </c>
      <c r="BW79" s="703">
        <f>(1-'Tier3Phase-in'!$J$20)*BV79</f>
        <v>2.7002751713234756E-3</v>
      </c>
      <c r="BX79" s="705">
        <f>'Raw emissions'!V26*'Raw emissions'!BU78+'Raw emissions'!V37*'Raw emissions'!BU79</f>
        <v>0</v>
      </c>
      <c r="BY79" s="708">
        <f>'Raw emissions'!W26*'Raw emissions'!$B$78+'Raw emissions'!W37*'Raw emissions'!$B$79</f>
        <v>1.9321425501609792E-3</v>
      </c>
      <c r="BZ79" s="705">
        <f>'Raw emissions'!S26*'Raw emissions'!BW78+'Raw emissions'!S37*'Raw emissions'!BW79</f>
        <v>0</v>
      </c>
      <c r="CA79" s="708">
        <f>'Raw emissions'!T26*'Raw emissions'!$B$78+'Raw emissions'!T37*'Raw emissions'!$B$79</f>
        <v>1.9677443278455272E-3</v>
      </c>
    </row>
    <row r="80" spans="1:79" x14ac:dyDescent="0.2">
      <c r="A80" s="690" t="str">
        <f>Technologies!C162</f>
        <v>THSCNGC</v>
      </c>
      <c r="B80" s="690" t="str">
        <f>Technologies!D162</f>
        <v>Heavy Truck, Short Haul, Conventional CNG</v>
      </c>
      <c r="C80" s="705">
        <f>'Raw emissions'!D26*'Raw emissions'!B78+'Raw emissions'!D37*'Raw emissions'!B79</f>
        <v>3.0251386951020027</v>
      </c>
      <c r="D80" s="706">
        <f>'Raw emissions'!E26*'Raw emissions'!$B$78+'Raw emissions'!E37*'Raw emissions'!$B$79</f>
        <v>1.2167816356523204</v>
      </c>
      <c r="E80" s="702">
        <f>$D80*(1-'Tier3Phase-in'!$J$12)</f>
        <v>1.2167816356523204</v>
      </c>
      <c r="F80" s="702">
        <f>$D80*(1-'Tier3Phase-in'!$K$12)</f>
        <v>1.0538198094488846</v>
      </c>
      <c r="G80" s="702">
        <f>$D80*(1-'Tier3Phase-in'!$L$12)</f>
        <v>0.92641329078074397</v>
      </c>
      <c r="H80" s="702">
        <f>$D80*(1-'Tier3Phase-in'!$M$12)</f>
        <v>0.87456180062510536</v>
      </c>
      <c r="I80" s="702">
        <f>$D80*(1-'Tier3Phase-in'!$N$12)</f>
        <v>0.82893248928814334</v>
      </c>
      <c r="J80" s="702">
        <f>$D80*(1-'Tier3Phase-in'!$O$12)</f>
        <v>0.76374775880676882</v>
      </c>
      <c r="K80" s="702">
        <f>$D80*(1-'Tier3Phase-in'!$P$12)</f>
        <v>0.76211814054473459</v>
      </c>
      <c r="L80" s="702">
        <f>$D80*(1-'Tier3Phase-in'!$Q$12)</f>
        <v>0.76048852228270025</v>
      </c>
      <c r="M80" s="705">
        <f>'Raw emissions'!J26*'Raw emissions'!$B$78+'Raw emissions'!J37*'Raw emissions'!$B$79</f>
        <v>0.1119406340433215</v>
      </c>
      <c r="N80" s="706">
        <f>'Raw emissions'!K26*'Raw emissions'!$B$78+'Raw emissions'!K37*'Raw emissions'!$B$79</f>
        <v>9.4247292349221481E-2</v>
      </c>
      <c r="O80" s="702">
        <f>$N80*(1-'Tier3Phase-in'!$J$12)</f>
        <v>9.4247292349221481E-2</v>
      </c>
      <c r="P80" s="702">
        <f>$N80*(1-'Tier3Phase-in'!$K$12)</f>
        <v>8.1624887123879317E-2</v>
      </c>
      <c r="Q80" s="702">
        <f>$N80*(1-'Tier3Phase-in'!$L$12)</f>
        <v>7.1756461220429987E-2</v>
      </c>
      <c r="R80" s="702">
        <f>$N80*(1-'Tier3Phase-in'!$M$12)</f>
        <v>6.7740241376002944E-2</v>
      </c>
      <c r="S80" s="702">
        <f>$N80*(1-'Tier3Phase-in'!$N$12)</f>
        <v>6.4205967912907141E-2</v>
      </c>
      <c r="T80" s="702">
        <f>$N80*(1-'Tier3Phase-in'!$O$12)</f>
        <v>5.915700582277026E-2</v>
      </c>
      <c r="U80" s="702">
        <f>$N80*(1-'Tier3Phase-in'!$P$12)</f>
        <v>5.9030781770516842E-2</v>
      </c>
      <c r="V80" s="702">
        <f>$N80*(1-'Tier3Phase-in'!$Q$12)</f>
        <v>5.8904557718263424E-2</v>
      </c>
      <c r="W80" s="705">
        <f>'Raw emissions'!M26*'Raw emissions'!$B$78+'Raw emissions'!M37*'Raw emissions'!$B$79</f>
        <v>5.6507969514429948E-2</v>
      </c>
      <c r="X80" s="706">
        <f>'Raw emissions'!N26*'Raw emissions'!$B$78+'Raw emissions'!N37*'Raw emissions'!$B$79</f>
        <v>3.9344784647155295E-2</v>
      </c>
      <c r="Y80" s="702">
        <f>$X80*(1-'Tier3Phase-in'!$J$12)</f>
        <v>3.9344784647155295E-2</v>
      </c>
      <c r="Z80" s="702">
        <f>$X80*(1-'Tier3Phase-in'!$K$12)</f>
        <v>3.4075393846196997E-2</v>
      </c>
      <c r="AA80" s="702">
        <f>$X80*(1-'Tier3Phase-in'!$L$12)</f>
        <v>2.9955688310902326E-2</v>
      </c>
      <c r="AB80" s="702">
        <f>$X80*(1-'Tier3Phase-in'!$M$12)</f>
        <v>2.8279063965142869E-2</v>
      </c>
      <c r="AC80" s="702">
        <f>$X80*(1-'Tier3Phase-in'!$N$12)</f>
        <v>2.6803634540874546E-2</v>
      </c>
      <c r="AD80" s="702">
        <f>$X80*(1-'Tier3Phase-in'!$O$12)</f>
        <v>2.469587822049122E-2</v>
      </c>
      <c r="AE80" s="702">
        <f>$X80*(1-'Tier3Phase-in'!$P$12)</f>
        <v>2.464318431248164E-2</v>
      </c>
      <c r="AF80" s="702">
        <f>$X80*(1-'Tier3Phase-in'!$Q$12)</f>
        <v>2.459049040447206E-2</v>
      </c>
      <c r="AG80" s="705">
        <f>'Raw emissions'!P26*'Raw emissions'!$B$78+'Raw emissions'!P37*'Raw emissions'!$B$79</f>
        <v>0.33772121810215516</v>
      </c>
      <c r="AH80" s="706">
        <f>'Raw emissions'!Q26*'Raw emissions'!$B$78+'Raw emissions'!Q37*'Raw emissions'!$B$79</f>
        <v>0.44802613552576565</v>
      </c>
      <c r="AI80" s="702">
        <f>$AH80*(1-'Tier3Phase-in'!$J$12)</f>
        <v>0.44802613552576565</v>
      </c>
      <c r="AJ80" s="702">
        <f>$AH80*(1-'Tier3Phase-in'!$K$12)</f>
        <v>0.38802263523213631</v>
      </c>
      <c r="AK80" s="702">
        <f>$AH80*(1-'Tier3Phase-in'!$L$12)</f>
        <v>0.34111080772984431</v>
      </c>
      <c r="AL80" s="702">
        <f>$AH80*(1-'Tier3Phase-in'!$M$12)</f>
        <v>0.32201878490914404</v>
      </c>
      <c r="AM80" s="702">
        <f>$AH80*(1-'Tier3Phase-in'!$N$12)</f>
        <v>0.30521780482692784</v>
      </c>
      <c r="AN80" s="702">
        <f>$AH80*(1-'Tier3Phase-in'!$O$12)</f>
        <v>0.28121640470947606</v>
      </c>
      <c r="AO80" s="702">
        <f>$AH80*(1-'Tier3Phase-in'!$P$12)</f>
        <v>0.2806163697065398</v>
      </c>
      <c r="AP80" s="702">
        <f>$AH80*(1-'Tier3Phase-in'!$Q$12)</f>
        <v>0.28001633470360354</v>
      </c>
      <c r="AQ80" s="705">
        <f>'Raw emissions'!Y26*'Raw emissions'!$B$78+'Raw emissions'!Y37*'Raw emissions'!$B$79</f>
        <v>0.41345713549361068</v>
      </c>
      <c r="AR80" s="706">
        <f>'Raw emissions'!Z26*'Raw emissions'!$B$78+'Raw emissions'!Z37*'Raw emissions'!$B$79</f>
        <v>0.13692347977870439</v>
      </c>
      <c r="AS80" s="702">
        <f>$AR80*(1-'Tier3Phase-in'!$J$12)</f>
        <v>0.13692347977870439</v>
      </c>
      <c r="AT80" s="702">
        <f>$AR80*(1-'Tier3Phase-in'!$K$12)</f>
        <v>0.11858551373691363</v>
      </c>
      <c r="AU80" s="702">
        <f>$AR80*(1-'Tier3Phase-in'!$L$12)</f>
        <v>0.1042485584678772</v>
      </c>
      <c r="AV80" s="702">
        <f>$AR80*(1-'Tier3Phase-in'!$M$12)</f>
        <v>9.8413751090943788E-2</v>
      </c>
      <c r="AW80" s="702">
        <f>$AR80*(1-'Tier3Phase-in'!$N$12)</f>
        <v>9.3279120599242371E-2</v>
      </c>
      <c r="AX80" s="702">
        <f>$AR80*(1-'Tier3Phase-in'!$O$12)</f>
        <v>8.5943934182526049E-2</v>
      </c>
      <c r="AY80" s="702">
        <f>$AR80*(1-'Tier3Phase-in'!$P$12)</f>
        <v>8.5760554522108151E-2</v>
      </c>
      <c r="AZ80" s="702">
        <f>$AR80*(1-'Tier3Phase-in'!$Q$12)</f>
        <v>8.5577174861690253E-2</v>
      </c>
      <c r="BA80" s="705">
        <f>'Raw emissions'!AK26*'Raw emissions'!$B$78+'Raw emissions'!AK37*'Raw emissions'!$B$79</f>
        <v>1.8635913292846147E-2</v>
      </c>
      <c r="BB80" s="708">
        <f>'Raw emissions'!AL26*'Raw emissions'!$B$78+'Raw emissions'!AL37*'Raw emissions'!$B$79</f>
        <v>1.7042150911375994E-3</v>
      </c>
      <c r="BC80" s="703">
        <f>$BB80*(1-'Tier3Phase-in'!$J$12)</f>
        <v>1.7042150911375994E-3</v>
      </c>
      <c r="BD80" s="703">
        <f>$BB80*(1-'Tier3Phase-in'!$K$12)</f>
        <v>1.4759719985745282E-3</v>
      </c>
      <c r="BE80" s="703">
        <f>$BB80*(1-'Tier3Phase-in'!$L$12)</f>
        <v>1.2975273989343087E-3</v>
      </c>
      <c r="BF80" s="703">
        <f>$BB80*(1-'Tier3Phase-in'!$M$12)</f>
        <v>1.2249045967551496E-3</v>
      </c>
      <c r="BG80" s="703">
        <f>$BB80*(1-'Tier3Phase-in'!$N$12)</f>
        <v>1.1609965308374897E-3</v>
      </c>
      <c r="BH80" s="703">
        <f>$BB80*(1-'Tier3Phase-in'!$O$12)</f>
        <v>1.0696992938122609E-3</v>
      </c>
      <c r="BI80" s="703">
        <f>$BB80*(1-'Tier3Phase-in'!$P$12)</f>
        <v>1.0674168628866303E-3</v>
      </c>
      <c r="BJ80" s="703">
        <f>$BB80*(1-'Tier3Phase-in'!$Q$12)</f>
        <v>1.0651344319609997E-3</v>
      </c>
      <c r="BK80" s="705">
        <f>'Raw emissions'!AG26*'Raw emissions'!$B$78+'Raw emissions'!AG37*'Raw emissions'!$B$79</f>
        <v>9.8326859099698485E-3</v>
      </c>
      <c r="BL80" s="708">
        <f>'Raw emissions'!AI26*'Raw emissions'!$B$78+'Raw emissions'!AI37*'Raw emissions'!$B$79</f>
        <v>3.9344784647155299E-3</v>
      </c>
      <c r="BM80" s="703">
        <f>$BL80*(1-'Tier3Phase-in'!$J$12)</f>
        <v>3.9344784647155299E-3</v>
      </c>
      <c r="BN80" s="703">
        <f>$BL80*(1-'Tier3Phase-in'!$K$12)</f>
        <v>3.4075393846197E-3</v>
      </c>
      <c r="BO80" s="703">
        <f>$BL80*(1-'Tier3Phase-in'!$L$12)</f>
        <v>2.9955688310902328E-3</v>
      </c>
      <c r="BP80" s="703">
        <f>$BL80*(1-'Tier3Phase-in'!$M$12)</f>
        <v>2.8279063965142869E-3</v>
      </c>
      <c r="BQ80" s="703">
        <f>$BL80*(1-'Tier3Phase-in'!$N$12)</f>
        <v>2.680363454087455E-3</v>
      </c>
      <c r="BR80" s="703">
        <f>$BL80*(1-'Tier3Phase-in'!$O$12)</f>
        <v>2.4695878220491224E-3</v>
      </c>
      <c r="BS80" s="703">
        <f>$BL80*(1-'Tier3Phase-in'!$P$12)</f>
        <v>2.4643184312481644E-3</v>
      </c>
      <c r="BT80" s="703">
        <f>$BL80*(1-'Tier3Phase-in'!$Q$12)</f>
        <v>2.459049040447206E-3</v>
      </c>
      <c r="BU80" s="705">
        <f>'Raw emissions'!G26*'Raw emissions'!$B$78+'Raw emissions'!G37*'Raw emissions'!$B$79</f>
        <v>1.1145897812193141E-2</v>
      </c>
      <c r="BV80" s="708">
        <f>'Raw emissions'!H26*'Raw emissions'!$B$78+'Raw emissions'!H37*'Raw emissions'!$B$79</f>
        <v>7.9419857980102225E-3</v>
      </c>
      <c r="BW80" s="703">
        <f>(1-'Tier3Phase-in'!$J$20)*BV80</f>
        <v>2.7002751713234756E-3</v>
      </c>
      <c r="BX80" s="705">
        <f>'Raw emissions'!V26*'Raw emissions'!BU78+'Raw emissions'!V37*'Raw emissions'!BU79</f>
        <v>0</v>
      </c>
      <c r="BY80" s="708">
        <f>'Raw emissions'!W26*'Raw emissions'!$B$78+'Raw emissions'!W37*'Raw emissions'!$B$79</f>
        <v>1.9321425501609792E-3</v>
      </c>
      <c r="BZ80" s="705">
        <f>'Raw emissions'!S26*'Raw emissions'!BW78+'Raw emissions'!S37*'Raw emissions'!BW79</f>
        <v>0</v>
      </c>
      <c r="CA80" s="708">
        <f>'Raw emissions'!T26*'Raw emissions'!$B$78+'Raw emissions'!T37*'Raw emissions'!$B$79</f>
        <v>1.9677443278455272E-3</v>
      </c>
    </row>
    <row r="81" spans="1:79" x14ac:dyDescent="0.2">
      <c r="A81" s="690" t="str">
        <f>Technologies!C164</f>
        <v>THSCNGIM</v>
      </c>
      <c r="B81" s="690" t="str">
        <f>Technologies!D164</f>
        <v>Heavy Truck, Short Haul, Improved CNG</v>
      </c>
      <c r="C81" s="705">
        <f t="shared" ref="C81:D83" si="133">C80</f>
        <v>3.0251386951020027</v>
      </c>
      <c r="D81" s="706">
        <f t="shared" si="133"/>
        <v>1.2167816356523204</v>
      </c>
      <c r="E81" s="702">
        <f>$D81*(1-'Tier3Phase-in'!$J$12)</f>
        <v>1.2167816356523204</v>
      </c>
      <c r="F81" s="702">
        <f>$D81*(1-'Tier3Phase-in'!$K$12)</f>
        <v>1.0538198094488846</v>
      </c>
      <c r="G81" s="702">
        <f>$D81*(1-'Tier3Phase-in'!$L$12)</f>
        <v>0.92641329078074397</v>
      </c>
      <c r="H81" s="702">
        <f>$D81*(1-'Tier3Phase-in'!$M$12)</f>
        <v>0.87456180062510536</v>
      </c>
      <c r="I81" s="702">
        <f>$D81*(1-'Tier3Phase-in'!$N$12)</f>
        <v>0.82893248928814334</v>
      </c>
      <c r="J81" s="702">
        <f>$D81*(1-'Tier3Phase-in'!$O$12)</f>
        <v>0.76374775880676882</v>
      </c>
      <c r="K81" s="702">
        <f>$D81*(1-'Tier3Phase-in'!$P$12)</f>
        <v>0.76211814054473459</v>
      </c>
      <c r="L81" s="702">
        <f>$D81*(1-'Tier3Phase-in'!$Q$12)</f>
        <v>0.76048852228270025</v>
      </c>
      <c r="M81" s="705">
        <f t="shared" ref="M81:N83" si="134">M80</f>
        <v>0.1119406340433215</v>
      </c>
      <c r="N81" s="706">
        <f t="shared" si="134"/>
        <v>9.4247292349221481E-2</v>
      </c>
      <c r="O81" s="702">
        <f>$N81*(1-'Tier3Phase-in'!$J$12)</f>
        <v>9.4247292349221481E-2</v>
      </c>
      <c r="P81" s="702">
        <f>$N81*(1-'Tier3Phase-in'!$K$12)</f>
        <v>8.1624887123879317E-2</v>
      </c>
      <c r="Q81" s="702">
        <f>$N81*(1-'Tier3Phase-in'!$L$12)</f>
        <v>7.1756461220429987E-2</v>
      </c>
      <c r="R81" s="702">
        <f>$N81*(1-'Tier3Phase-in'!$M$12)</f>
        <v>6.7740241376002944E-2</v>
      </c>
      <c r="S81" s="702">
        <f>$N81*(1-'Tier3Phase-in'!$N$12)</f>
        <v>6.4205967912907141E-2</v>
      </c>
      <c r="T81" s="702">
        <f>$N81*(1-'Tier3Phase-in'!$O$12)</f>
        <v>5.915700582277026E-2</v>
      </c>
      <c r="U81" s="702">
        <f>$N81*(1-'Tier3Phase-in'!$P$12)</f>
        <v>5.9030781770516842E-2</v>
      </c>
      <c r="V81" s="702">
        <f>$N81*(1-'Tier3Phase-in'!$Q$12)</f>
        <v>5.8904557718263424E-2</v>
      </c>
      <c r="W81" s="705">
        <f t="shared" ref="W81:X83" si="135">W80</f>
        <v>5.6507969514429948E-2</v>
      </c>
      <c r="X81" s="706">
        <f t="shared" si="135"/>
        <v>3.9344784647155295E-2</v>
      </c>
      <c r="Y81" s="702">
        <f>$X81*(1-'Tier3Phase-in'!$J$12)</f>
        <v>3.9344784647155295E-2</v>
      </c>
      <c r="Z81" s="702">
        <f>$X81*(1-'Tier3Phase-in'!$K$12)</f>
        <v>3.4075393846196997E-2</v>
      </c>
      <c r="AA81" s="702">
        <f>$X81*(1-'Tier3Phase-in'!$L$12)</f>
        <v>2.9955688310902326E-2</v>
      </c>
      <c r="AB81" s="702">
        <f>$X81*(1-'Tier3Phase-in'!$M$12)</f>
        <v>2.8279063965142869E-2</v>
      </c>
      <c r="AC81" s="702">
        <f>$X81*(1-'Tier3Phase-in'!$N$12)</f>
        <v>2.6803634540874546E-2</v>
      </c>
      <c r="AD81" s="702">
        <f>$X81*(1-'Tier3Phase-in'!$O$12)</f>
        <v>2.469587822049122E-2</v>
      </c>
      <c r="AE81" s="702">
        <f>$X81*(1-'Tier3Phase-in'!$P$12)</f>
        <v>2.464318431248164E-2</v>
      </c>
      <c r="AF81" s="702">
        <f>$X81*(1-'Tier3Phase-in'!$Q$12)</f>
        <v>2.459049040447206E-2</v>
      </c>
      <c r="AG81" s="705">
        <f t="shared" ref="AG81:AH83" si="136">AG80</f>
        <v>0.33772121810215516</v>
      </c>
      <c r="AH81" s="706">
        <f t="shared" si="136"/>
        <v>0.44802613552576565</v>
      </c>
      <c r="AI81" s="702">
        <f>$AH81*(1-'Tier3Phase-in'!$J$12)</f>
        <v>0.44802613552576565</v>
      </c>
      <c r="AJ81" s="702">
        <f>$AH81*(1-'Tier3Phase-in'!$K$12)</f>
        <v>0.38802263523213631</v>
      </c>
      <c r="AK81" s="702">
        <f>$AH81*(1-'Tier3Phase-in'!$L$12)</f>
        <v>0.34111080772984431</v>
      </c>
      <c r="AL81" s="702">
        <f>$AH81*(1-'Tier3Phase-in'!$M$12)</f>
        <v>0.32201878490914404</v>
      </c>
      <c r="AM81" s="702">
        <f>$AH81*(1-'Tier3Phase-in'!$N$12)</f>
        <v>0.30521780482692784</v>
      </c>
      <c r="AN81" s="702">
        <f>$AH81*(1-'Tier3Phase-in'!$O$12)</f>
        <v>0.28121640470947606</v>
      </c>
      <c r="AO81" s="702">
        <f>$AH81*(1-'Tier3Phase-in'!$P$12)</f>
        <v>0.2806163697065398</v>
      </c>
      <c r="AP81" s="702">
        <f>$AH81*(1-'Tier3Phase-in'!$Q$12)</f>
        <v>0.28001633470360354</v>
      </c>
      <c r="AQ81" s="705">
        <f t="shared" ref="AQ81:AR83" si="137">AQ80</f>
        <v>0.41345713549361068</v>
      </c>
      <c r="AR81" s="706">
        <f t="shared" si="137"/>
        <v>0.13692347977870439</v>
      </c>
      <c r="AS81" s="702">
        <f>$AR81*(1-'Tier3Phase-in'!$J$12)</f>
        <v>0.13692347977870439</v>
      </c>
      <c r="AT81" s="702">
        <f>$AR81*(1-'Tier3Phase-in'!$K$12)</f>
        <v>0.11858551373691363</v>
      </c>
      <c r="AU81" s="702">
        <f>$AR81*(1-'Tier3Phase-in'!$L$12)</f>
        <v>0.1042485584678772</v>
      </c>
      <c r="AV81" s="702">
        <f>$AR81*(1-'Tier3Phase-in'!$M$12)</f>
        <v>9.8413751090943788E-2</v>
      </c>
      <c r="AW81" s="702">
        <f>$AR81*(1-'Tier3Phase-in'!$N$12)</f>
        <v>9.3279120599242371E-2</v>
      </c>
      <c r="AX81" s="702">
        <f>$AR81*(1-'Tier3Phase-in'!$O$12)</f>
        <v>8.5943934182526049E-2</v>
      </c>
      <c r="AY81" s="702">
        <f>$AR81*(1-'Tier3Phase-in'!$P$12)</f>
        <v>8.5760554522108151E-2</v>
      </c>
      <c r="AZ81" s="702">
        <f>$AR81*(1-'Tier3Phase-in'!$Q$12)</f>
        <v>8.5577174861690253E-2</v>
      </c>
      <c r="BA81" s="705">
        <f t="shared" ref="BA81:BB83" si="138">BA80</f>
        <v>1.8635913292846147E-2</v>
      </c>
      <c r="BB81" s="708">
        <f t="shared" si="138"/>
        <v>1.7042150911375994E-3</v>
      </c>
      <c r="BC81" s="703">
        <f>$BB81*(1-'Tier3Phase-in'!$J$12)</f>
        <v>1.7042150911375994E-3</v>
      </c>
      <c r="BD81" s="703">
        <f>$BB81*(1-'Tier3Phase-in'!$K$12)</f>
        <v>1.4759719985745282E-3</v>
      </c>
      <c r="BE81" s="703">
        <f>$BB81*(1-'Tier3Phase-in'!$L$12)</f>
        <v>1.2975273989343087E-3</v>
      </c>
      <c r="BF81" s="703">
        <f>$BB81*(1-'Tier3Phase-in'!$M$12)</f>
        <v>1.2249045967551496E-3</v>
      </c>
      <c r="BG81" s="703">
        <f>$BB81*(1-'Tier3Phase-in'!$N$12)</f>
        <v>1.1609965308374897E-3</v>
      </c>
      <c r="BH81" s="703">
        <f>$BB81*(1-'Tier3Phase-in'!$O$12)</f>
        <v>1.0696992938122609E-3</v>
      </c>
      <c r="BI81" s="703">
        <f>$BB81*(1-'Tier3Phase-in'!$P$12)</f>
        <v>1.0674168628866303E-3</v>
      </c>
      <c r="BJ81" s="703">
        <f>$BB81*(1-'Tier3Phase-in'!$Q$12)</f>
        <v>1.0651344319609997E-3</v>
      </c>
      <c r="BK81" s="705">
        <f t="shared" ref="BK81:BL83" si="139">BK80</f>
        <v>9.8326859099698485E-3</v>
      </c>
      <c r="BL81" s="708">
        <f t="shared" si="139"/>
        <v>3.9344784647155299E-3</v>
      </c>
      <c r="BM81" s="703">
        <f>$BL81*(1-'Tier3Phase-in'!$J$12)</f>
        <v>3.9344784647155299E-3</v>
      </c>
      <c r="BN81" s="703">
        <f>$BL81*(1-'Tier3Phase-in'!$K$12)</f>
        <v>3.4075393846197E-3</v>
      </c>
      <c r="BO81" s="703">
        <f>$BL81*(1-'Tier3Phase-in'!$L$12)</f>
        <v>2.9955688310902328E-3</v>
      </c>
      <c r="BP81" s="703">
        <f>$BL81*(1-'Tier3Phase-in'!$M$12)</f>
        <v>2.8279063965142869E-3</v>
      </c>
      <c r="BQ81" s="703">
        <f>$BL81*(1-'Tier3Phase-in'!$N$12)</f>
        <v>2.680363454087455E-3</v>
      </c>
      <c r="BR81" s="703">
        <f>$BL81*(1-'Tier3Phase-in'!$O$12)</f>
        <v>2.4695878220491224E-3</v>
      </c>
      <c r="BS81" s="703">
        <f>$BL81*(1-'Tier3Phase-in'!$P$12)</f>
        <v>2.4643184312481644E-3</v>
      </c>
      <c r="BT81" s="703">
        <f>$BL81*(1-'Tier3Phase-in'!$Q$12)</f>
        <v>2.459049040447206E-3</v>
      </c>
      <c r="BU81" s="705">
        <f t="shared" ref="BU81:BV83" si="140">BU80</f>
        <v>1.1145897812193141E-2</v>
      </c>
      <c r="BV81" s="708">
        <f t="shared" si="140"/>
        <v>7.9419857980102225E-3</v>
      </c>
      <c r="BW81" s="703">
        <f>(1-'Tier3Phase-in'!$J$20)*BV81</f>
        <v>2.7002751713234756E-3</v>
      </c>
      <c r="BX81" s="705">
        <f t="shared" ref="BX81:CA83" si="141">BX80</f>
        <v>0</v>
      </c>
      <c r="BY81" s="708">
        <f t="shared" si="141"/>
        <v>1.9321425501609792E-3</v>
      </c>
      <c r="BZ81" s="705">
        <f t="shared" si="141"/>
        <v>0</v>
      </c>
      <c r="CA81" s="708">
        <f t="shared" si="141"/>
        <v>1.9677443278455272E-3</v>
      </c>
    </row>
    <row r="82" spans="1:79" x14ac:dyDescent="0.2">
      <c r="A82" s="690" t="str">
        <f>Technologies!C166</f>
        <v>THSCNGADV</v>
      </c>
      <c r="B82" s="690" t="str">
        <f>Technologies!D166</f>
        <v>Heavy Truck, Short Haul, Advanced CNG</v>
      </c>
      <c r="C82" s="705">
        <f t="shared" si="133"/>
        <v>3.0251386951020027</v>
      </c>
      <c r="D82" s="706">
        <f t="shared" si="133"/>
        <v>1.2167816356523204</v>
      </c>
      <c r="E82" s="702">
        <f>$D82*(1-'Tier3Phase-in'!$J$12)</f>
        <v>1.2167816356523204</v>
      </c>
      <c r="F82" s="702">
        <f>$D82*(1-'Tier3Phase-in'!$K$12)</f>
        <v>1.0538198094488846</v>
      </c>
      <c r="G82" s="702">
        <f>$D82*(1-'Tier3Phase-in'!$L$12)</f>
        <v>0.92641329078074397</v>
      </c>
      <c r="H82" s="702">
        <f>$D82*(1-'Tier3Phase-in'!$M$12)</f>
        <v>0.87456180062510536</v>
      </c>
      <c r="I82" s="702">
        <f>$D82*(1-'Tier3Phase-in'!$N$12)</f>
        <v>0.82893248928814334</v>
      </c>
      <c r="J82" s="702">
        <f>$D82*(1-'Tier3Phase-in'!$O$12)</f>
        <v>0.76374775880676882</v>
      </c>
      <c r="K82" s="702">
        <f>$D82*(1-'Tier3Phase-in'!$P$12)</f>
        <v>0.76211814054473459</v>
      </c>
      <c r="L82" s="702">
        <f>$D82*(1-'Tier3Phase-in'!$Q$12)</f>
        <v>0.76048852228270025</v>
      </c>
      <c r="M82" s="705">
        <f t="shared" si="134"/>
        <v>0.1119406340433215</v>
      </c>
      <c r="N82" s="706">
        <f t="shared" si="134"/>
        <v>9.4247292349221481E-2</v>
      </c>
      <c r="O82" s="702">
        <f>$N82*(1-'Tier3Phase-in'!$J$12)</f>
        <v>9.4247292349221481E-2</v>
      </c>
      <c r="P82" s="702">
        <f>$N82*(1-'Tier3Phase-in'!$K$12)</f>
        <v>8.1624887123879317E-2</v>
      </c>
      <c r="Q82" s="702">
        <f>$N82*(1-'Tier3Phase-in'!$L$12)</f>
        <v>7.1756461220429987E-2</v>
      </c>
      <c r="R82" s="702">
        <f>$N82*(1-'Tier3Phase-in'!$M$12)</f>
        <v>6.7740241376002944E-2</v>
      </c>
      <c r="S82" s="702">
        <f>$N82*(1-'Tier3Phase-in'!$N$12)</f>
        <v>6.4205967912907141E-2</v>
      </c>
      <c r="T82" s="702">
        <f>$N82*(1-'Tier3Phase-in'!$O$12)</f>
        <v>5.915700582277026E-2</v>
      </c>
      <c r="U82" s="702">
        <f>$N82*(1-'Tier3Phase-in'!$P$12)</f>
        <v>5.9030781770516842E-2</v>
      </c>
      <c r="V82" s="702">
        <f>$N82*(1-'Tier3Phase-in'!$Q$12)</f>
        <v>5.8904557718263424E-2</v>
      </c>
      <c r="W82" s="705">
        <f t="shared" si="135"/>
        <v>5.6507969514429948E-2</v>
      </c>
      <c r="X82" s="706">
        <f t="shared" si="135"/>
        <v>3.9344784647155295E-2</v>
      </c>
      <c r="Y82" s="702">
        <f>$X82*(1-'Tier3Phase-in'!$J$12)</f>
        <v>3.9344784647155295E-2</v>
      </c>
      <c r="Z82" s="702">
        <f>$X82*(1-'Tier3Phase-in'!$K$12)</f>
        <v>3.4075393846196997E-2</v>
      </c>
      <c r="AA82" s="702">
        <f>$X82*(1-'Tier3Phase-in'!$L$12)</f>
        <v>2.9955688310902326E-2</v>
      </c>
      <c r="AB82" s="702">
        <f>$X82*(1-'Tier3Phase-in'!$M$12)</f>
        <v>2.8279063965142869E-2</v>
      </c>
      <c r="AC82" s="702">
        <f>$X82*(1-'Tier3Phase-in'!$N$12)</f>
        <v>2.6803634540874546E-2</v>
      </c>
      <c r="AD82" s="702">
        <f>$X82*(1-'Tier3Phase-in'!$O$12)</f>
        <v>2.469587822049122E-2</v>
      </c>
      <c r="AE82" s="702">
        <f>$X82*(1-'Tier3Phase-in'!$P$12)</f>
        <v>2.464318431248164E-2</v>
      </c>
      <c r="AF82" s="702">
        <f>$X82*(1-'Tier3Phase-in'!$Q$12)</f>
        <v>2.459049040447206E-2</v>
      </c>
      <c r="AG82" s="705">
        <f t="shared" si="136"/>
        <v>0.33772121810215516</v>
      </c>
      <c r="AH82" s="706">
        <f t="shared" si="136"/>
        <v>0.44802613552576565</v>
      </c>
      <c r="AI82" s="702">
        <f>$AH82*(1-'Tier3Phase-in'!$J$12)</f>
        <v>0.44802613552576565</v>
      </c>
      <c r="AJ82" s="702">
        <f>$AH82*(1-'Tier3Phase-in'!$K$12)</f>
        <v>0.38802263523213631</v>
      </c>
      <c r="AK82" s="702">
        <f>$AH82*(1-'Tier3Phase-in'!$L$12)</f>
        <v>0.34111080772984431</v>
      </c>
      <c r="AL82" s="702">
        <f>$AH82*(1-'Tier3Phase-in'!$M$12)</f>
        <v>0.32201878490914404</v>
      </c>
      <c r="AM82" s="702">
        <f>$AH82*(1-'Tier3Phase-in'!$N$12)</f>
        <v>0.30521780482692784</v>
      </c>
      <c r="AN82" s="702">
        <f>$AH82*(1-'Tier3Phase-in'!$O$12)</f>
        <v>0.28121640470947606</v>
      </c>
      <c r="AO82" s="702">
        <f>$AH82*(1-'Tier3Phase-in'!$P$12)</f>
        <v>0.2806163697065398</v>
      </c>
      <c r="AP82" s="702">
        <f>$AH82*(1-'Tier3Phase-in'!$Q$12)</f>
        <v>0.28001633470360354</v>
      </c>
      <c r="AQ82" s="705">
        <f t="shared" si="137"/>
        <v>0.41345713549361068</v>
      </c>
      <c r="AR82" s="706">
        <f t="shared" si="137"/>
        <v>0.13692347977870439</v>
      </c>
      <c r="AS82" s="702">
        <f>$AR82*(1-'Tier3Phase-in'!$J$12)</f>
        <v>0.13692347977870439</v>
      </c>
      <c r="AT82" s="702">
        <f>$AR82*(1-'Tier3Phase-in'!$K$12)</f>
        <v>0.11858551373691363</v>
      </c>
      <c r="AU82" s="702">
        <f>$AR82*(1-'Tier3Phase-in'!$L$12)</f>
        <v>0.1042485584678772</v>
      </c>
      <c r="AV82" s="702">
        <f>$AR82*(1-'Tier3Phase-in'!$M$12)</f>
        <v>9.8413751090943788E-2</v>
      </c>
      <c r="AW82" s="702">
        <f>$AR82*(1-'Tier3Phase-in'!$N$12)</f>
        <v>9.3279120599242371E-2</v>
      </c>
      <c r="AX82" s="702">
        <f>$AR82*(1-'Tier3Phase-in'!$O$12)</f>
        <v>8.5943934182526049E-2</v>
      </c>
      <c r="AY82" s="702">
        <f>$AR82*(1-'Tier3Phase-in'!$P$12)</f>
        <v>8.5760554522108151E-2</v>
      </c>
      <c r="AZ82" s="702">
        <f>$AR82*(1-'Tier3Phase-in'!$Q$12)</f>
        <v>8.5577174861690253E-2</v>
      </c>
      <c r="BA82" s="705">
        <f t="shared" si="138"/>
        <v>1.8635913292846147E-2</v>
      </c>
      <c r="BB82" s="708">
        <f t="shared" si="138"/>
        <v>1.7042150911375994E-3</v>
      </c>
      <c r="BC82" s="703">
        <f>$BB82*(1-'Tier3Phase-in'!$J$12)</f>
        <v>1.7042150911375994E-3</v>
      </c>
      <c r="BD82" s="703">
        <f>$BB82*(1-'Tier3Phase-in'!$K$12)</f>
        <v>1.4759719985745282E-3</v>
      </c>
      <c r="BE82" s="703">
        <f>$BB82*(1-'Tier3Phase-in'!$L$12)</f>
        <v>1.2975273989343087E-3</v>
      </c>
      <c r="BF82" s="703">
        <f>$BB82*(1-'Tier3Phase-in'!$M$12)</f>
        <v>1.2249045967551496E-3</v>
      </c>
      <c r="BG82" s="703">
        <f>$BB82*(1-'Tier3Phase-in'!$N$12)</f>
        <v>1.1609965308374897E-3</v>
      </c>
      <c r="BH82" s="703">
        <f>$BB82*(1-'Tier3Phase-in'!$O$12)</f>
        <v>1.0696992938122609E-3</v>
      </c>
      <c r="BI82" s="703">
        <f>$BB82*(1-'Tier3Phase-in'!$P$12)</f>
        <v>1.0674168628866303E-3</v>
      </c>
      <c r="BJ82" s="703">
        <f>$BB82*(1-'Tier3Phase-in'!$Q$12)</f>
        <v>1.0651344319609997E-3</v>
      </c>
      <c r="BK82" s="705">
        <f t="shared" si="139"/>
        <v>9.8326859099698485E-3</v>
      </c>
      <c r="BL82" s="708">
        <f t="shared" si="139"/>
        <v>3.9344784647155299E-3</v>
      </c>
      <c r="BM82" s="703">
        <f>$BL82*(1-'Tier3Phase-in'!$J$12)</f>
        <v>3.9344784647155299E-3</v>
      </c>
      <c r="BN82" s="703">
        <f>$BL82*(1-'Tier3Phase-in'!$K$12)</f>
        <v>3.4075393846197E-3</v>
      </c>
      <c r="BO82" s="703">
        <f>$BL82*(1-'Tier3Phase-in'!$L$12)</f>
        <v>2.9955688310902328E-3</v>
      </c>
      <c r="BP82" s="703">
        <f>$BL82*(1-'Tier3Phase-in'!$M$12)</f>
        <v>2.8279063965142869E-3</v>
      </c>
      <c r="BQ82" s="703">
        <f>$BL82*(1-'Tier3Phase-in'!$N$12)</f>
        <v>2.680363454087455E-3</v>
      </c>
      <c r="BR82" s="703">
        <f>$BL82*(1-'Tier3Phase-in'!$O$12)</f>
        <v>2.4695878220491224E-3</v>
      </c>
      <c r="BS82" s="703">
        <f>$BL82*(1-'Tier3Phase-in'!$P$12)</f>
        <v>2.4643184312481644E-3</v>
      </c>
      <c r="BT82" s="703">
        <f>$BL82*(1-'Tier3Phase-in'!$Q$12)</f>
        <v>2.459049040447206E-3</v>
      </c>
      <c r="BU82" s="705">
        <f t="shared" si="140"/>
        <v>1.1145897812193141E-2</v>
      </c>
      <c r="BV82" s="708">
        <f t="shared" si="140"/>
        <v>7.9419857980102225E-3</v>
      </c>
      <c r="BW82" s="703">
        <f>(1-'Tier3Phase-in'!$J$20)*BV82</f>
        <v>2.7002751713234756E-3</v>
      </c>
      <c r="BX82" s="705">
        <f t="shared" si="141"/>
        <v>0</v>
      </c>
      <c r="BY82" s="708">
        <f t="shared" si="141"/>
        <v>1.9321425501609792E-3</v>
      </c>
      <c r="BZ82" s="705">
        <f t="shared" si="141"/>
        <v>0</v>
      </c>
      <c r="CA82" s="708">
        <f t="shared" si="141"/>
        <v>1.9677443278455272E-3</v>
      </c>
    </row>
    <row r="83" spans="1:79" x14ac:dyDescent="0.2">
      <c r="A83" s="690" t="str">
        <f>Technologies!C168</f>
        <v>THSCNGAH</v>
      </c>
      <c r="B83" s="690" t="str">
        <f>Technologies!D168</f>
        <v>Heavy Truck, Short Haul, Hybrid CNG</v>
      </c>
      <c r="C83" s="705">
        <f t="shared" si="133"/>
        <v>3.0251386951020027</v>
      </c>
      <c r="D83" s="706">
        <f t="shared" si="133"/>
        <v>1.2167816356523204</v>
      </c>
      <c r="E83" s="702">
        <f>$D83*(1-'Tier3Phase-in'!$J$12)</f>
        <v>1.2167816356523204</v>
      </c>
      <c r="F83" s="702">
        <f>$D83*(1-'Tier3Phase-in'!$K$12)</f>
        <v>1.0538198094488846</v>
      </c>
      <c r="G83" s="702">
        <f>$D83*(1-'Tier3Phase-in'!$L$12)</f>
        <v>0.92641329078074397</v>
      </c>
      <c r="H83" s="702">
        <f>$D83*(1-'Tier3Phase-in'!$M$12)</f>
        <v>0.87456180062510536</v>
      </c>
      <c r="I83" s="702">
        <f>$D83*(1-'Tier3Phase-in'!$N$12)</f>
        <v>0.82893248928814334</v>
      </c>
      <c r="J83" s="702">
        <f>$D83*(1-'Tier3Phase-in'!$O$12)</f>
        <v>0.76374775880676882</v>
      </c>
      <c r="K83" s="702">
        <f>$D83*(1-'Tier3Phase-in'!$P$12)</f>
        <v>0.76211814054473459</v>
      </c>
      <c r="L83" s="702">
        <f>$D83*(1-'Tier3Phase-in'!$Q$12)</f>
        <v>0.76048852228270025</v>
      </c>
      <c r="M83" s="705">
        <f t="shared" si="134"/>
        <v>0.1119406340433215</v>
      </c>
      <c r="N83" s="706">
        <f t="shared" si="134"/>
        <v>9.4247292349221481E-2</v>
      </c>
      <c r="O83" s="702">
        <f>$N83*(1-'Tier3Phase-in'!$J$12)</f>
        <v>9.4247292349221481E-2</v>
      </c>
      <c r="P83" s="702">
        <f>$N83*(1-'Tier3Phase-in'!$K$12)</f>
        <v>8.1624887123879317E-2</v>
      </c>
      <c r="Q83" s="702">
        <f>$N83*(1-'Tier3Phase-in'!$L$12)</f>
        <v>7.1756461220429987E-2</v>
      </c>
      <c r="R83" s="702">
        <f>$N83*(1-'Tier3Phase-in'!$M$12)</f>
        <v>6.7740241376002944E-2</v>
      </c>
      <c r="S83" s="702">
        <f>$N83*(1-'Tier3Phase-in'!$N$12)</f>
        <v>6.4205967912907141E-2</v>
      </c>
      <c r="T83" s="702">
        <f>$N83*(1-'Tier3Phase-in'!$O$12)</f>
        <v>5.915700582277026E-2</v>
      </c>
      <c r="U83" s="702">
        <f>$N83*(1-'Tier3Phase-in'!$P$12)</f>
        <v>5.9030781770516842E-2</v>
      </c>
      <c r="V83" s="702">
        <f>$N83*(1-'Tier3Phase-in'!$Q$12)</f>
        <v>5.8904557718263424E-2</v>
      </c>
      <c r="W83" s="705">
        <f t="shared" si="135"/>
        <v>5.6507969514429948E-2</v>
      </c>
      <c r="X83" s="706">
        <f t="shared" si="135"/>
        <v>3.9344784647155295E-2</v>
      </c>
      <c r="Y83" s="702">
        <f>$X83*(1-'Tier3Phase-in'!$J$12)</f>
        <v>3.9344784647155295E-2</v>
      </c>
      <c r="Z83" s="702">
        <f>$X83*(1-'Tier3Phase-in'!$K$12)</f>
        <v>3.4075393846196997E-2</v>
      </c>
      <c r="AA83" s="702">
        <f>$X83*(1-'Tier3Phase-in'!$L$12)</f>
        <v>2.9955688310902326E-2</v>
      </c>
      <c r="AB83" s="702">
        <f>$X83*(1-'Tier3Phase-in'!$M$12)</f>
        <v>2.8279063965142869E-2</v>
      </c>
      <c r="AC83" s="702">
        <f>$X83*(1-'Tier3Phase-in'!$N$12)</f>
        <v>2.6803634540874546E-2</v>
      </c>
      <c r="AD83" s="702">
        <f>$X83*(1-'Tier3Phase-in'!$O$12)</f>
        <v>2.469587822049122E-2</v>
      </c>
      <c r="AE83" s="702">
        <f>$X83*(1-'Tier3Phase-in'!$P$12)</f>
        <v>2.464318431248164E-2</v>
      </c>
      <c r="AF83" s="702">
        <f>$X83*(1-'Tier3Phase-in'!$Q$12)</f>
        <v>2.459049040447206E-2</v>
      </c>
      <c r="AG83" s="705">
        <f t="shared" si="136"/>
        <v>0.33772121810215516</v>
      </c>
      <c r="AH83" s="706">
        <f t="shared" si="136"/>
        <v>0.44802613552576565</v>
      </c>
      <c r="AI83" s="702">
        <f>$AH83*(1-'Tier3Phase-in'!$J$12)</f>
        <v>0.44802613552576565</v>
      </c>
      <c r="AJ83" s="702">
        <f>$AH83*(1-'Tier3Phase-in'!$K$12)</f>
        <v>0.38802263523213631</v>
      </c>
      <c r="AK83" s="702">
        <f>$AH83*(1-'Tier3Phase-in'!$L$12)</f>
        <v>0.34111080772984431</v>
      </c>
      <c r="AL83" s="702">
        <f>$AH83*(1-'Tier3Phase-in'!$M$12)</f>
        <v>0.32201878490914404</v>
      </c>
      <c r="AM83" s="702">
        <f>$AH83*(1-'Tier3Phase-in'!$N$12)</f>
        <v>0.30521780482692784</v>
      </c>
      <c r="AN83" s="702">
        <f>$AH83*(1-'Tier3Phase-in'!$O$12)</f>
        <v>0.28121640470947606</v>
      </c>
      <c r="AO83" s="702">
        <f>$AH83*(1-'Tier3Phase-in'!$P$12)</f>
        <v>0.2806163697065398</v>
      </c>
      <c r="AP83" s="702">
        <f>$AH83*(1-'Tier3Phase-in'!$Q$12)</f>
        <v>0.28001633470360354</v>
      </c>
      <c r="AQ83" s="705">
        <f t="shared" si="137"/>
        <v>0.41345713549361068</v>
      </c>
      <c r="AR83" s="706">
        <f t="shared" si="137"/>
        <v>0.13692347977870439</v>
      </c>
      <c r="AS83" s="702">
        <f>$AR83*(1-'Tier3Phase-in'!$J$12)</f>
        <v>0.13692347977870439</v>
      </c>
      <c r="AT83" s="702">
        <f>$AR83*(1-'Tier3Phase-in'!$K$12)</f>
        <v>0.11858551373691363</v>
      </c>
      <c r="AU83" s="702">
        <f>$AR83*(1-'Tier3Phase-in'!$L$12)</f>
        <v>0.1042485584678772</v>
      </c>
      <c r="AV83" s="702">
        <f>$AR83*(1-'Tier3Phase-in'!$M$12)</f>
        <v>9.8413751090943788E-2</v>
      </c>
      <c r="AW83" s="702">
        <f>$AR83*(1-'Tier3Phase-in'!$N$12)</f>
        <v>9.3279120599242371E-2</v>
      </c>
      <c r="AX83" s="702">
        <f>$AR83*(1-'Tier3Phase-in'!$O$12)</f>
        <v>8.5943934182526049E-2</v>
      </c>
      <c r="AY83" s="702">
        <f>$AR83*(1-'Tier3Phase-in'!$P$12)</f>
        <v>8.5760554522108151E-2</v>
      </c>
      <c r="AZ83" s="702">
        <f>$AR83*(1-'Tier3Phase-in'!$Q$12)</f>
        <v>8.5577174861690253E-2</v>
      </c>
      <c r="BA83" s="705">
        <f t="shared" si="138"/>
        <v>1.8635913292846147E-2</v>
      </c>
      <c r="BB83" s="708">
        <f t="shared" si="138"/>
        <v>1.7042150911375994E-3</v>
      </c>
      <c r="BC83" s="703">
        <f>$BB83*(1-'Tier3Phase-in'!$J$12)</f>
        <v>1.7042150911375994E-3</v>
      </c>
      <c r="BD83" s="703">
        <f>$BB83*(1-'Tier3Phase-in'!$K$12)</f>
        <v>1.4759719985745282E-3</v>
      </c>
      <c r="BE83" s="703">
        <f>$BB83*(1-'Tier3Phase-in'!$L$12)</f>
        <v>1.2975273989343087E-3</v>
      </c>
      <c r="BF83" s="703">
        <f>$BB83*(1-'Tier3Phase-in'!$M$12)</f>
        <v>1.2249045967551496E-3</v>
      </c>
      <c r="BG83" s="703">
        <f>$BB83*(1-'Tier3Phase-in'!$N$12)</f>
        <v>1.1609965308374897E-3</v>
      </c>
      <c r="BH83" s="703">
        <f>$BB83*(1-'Tier3Phase-in'!$O$12)</f>
        <v>1.0696992938122609E-3</v>
      </c>
      <c r="BI83" s="703">
        <f>$BB83*(1-'Tier3Phase-in'!$P$12)</f>
        <v>1.0674168628866303E-3</v>
      </c>
      <c r="BJ83" s="703">
        <f>$BB83*(1-'Tier3Phase-in'!$Q$12)</f>
        <v>1.0651344319609997E-3</v>
      </c>
      <c r="BK83" s="705">
        <f t="shared" si="139"/>
        <v>9.8326859099698485E-3</v>
      </c>
      <c r="BL83" s="708">
        <f t="shared" si="139"/>
        <v>3.9344784647155299E-3</v>
      </c>
      <c r="BM83" s="703">
        <f>$BL83*(1-'Tier3Phase-in'!$J$12)</f>
        <v>3.9344784647155299E-3</v>
      </c>
      <c r="BN83" s="703">
        <f>$BL83*(1-'Tier3Phase-in'!$K$12)</f>
        <v>3.4075393846197E-3</v>
      </c>
      <c r="BO83" s="703">
        <f>$BL83*(1-'Tier3Phase-in'!$L$12)</f>
        <v>2.9955688310902328E-3</v>
      </c>
      <c r="BP83" s="703">
        <f>$BL83*(1-'Tier3Phase-in'!$M$12)</f>
        <v>2.8279063965142869E-3</v>
      </c>
      <c r="BQ83" s="703">
        <f>$BL83*(1-'Tier3Phase-in'!$N$12)</f>
        <v>2.680363454087455E-3</v>
      </c>
      <c r="BR83" s="703">
        <f>$BL83*(1-'Tier3Phase-in'!$O$12)</f>
        <v>2.4695878220491224E-3</v>
      </c>
      <c r="BS83" s="703">
        <f>$BL83*(1-'Tier3Phase-in'!$P$12)</f>
        <v>2.4643184312481644E-3</v>
      </c>
      <c r="BT83" s="703">
        <f>$BL83*(1-'Tier3Phase-in'!$Q$12)</f>
        <v>2.459049040447206E-3</v>
      </c>
      <c r="BU83" s="705">
        <f t="shared" si="140"/>
        <v>1.1145897812193141E-2</v>
      </c>
      <c r="BV83" s="708">
        <f t="shared" si="140"/>
        <v>7.9419857980102225E-3</v>
      </c>
      <c r="BW83" s="703">
        <f>(1-'Tier3Phase-in'!$J$20)*BV83</f>
        <v>2.7002751713234756E-3</v>
      </c>
      <c r="BX83" s="705">
        <f t="shared" si="141"/>
        <v>0</v>
      </c>
      <c r="BY83" s="708">
        <f t="shared" si="141"/>
        <v>1.9321425501609792E-3</v>
      </c>
      <c r="BZ83" s="705">
        <f t="shared" si="141"/>
        <v>0</v>
      </c>
      <c r="CA83" s="708">
        <f t="shared" si="141"/>
        <v>1.9677443278455272E-3</v>
      </c>
    </row>
    <row r="84" spans="1:79" x14ac:dyDescent="0.2">
      <c r="A84" s="690" t="str">
        <f>Technologies!C171</f>
        <v>THLDSLC10</v>
      </c>
      <c r="B84" s="690" t="str">
        <f>Technologies!D171</f>
        <v>Heavy Truck, Long Haul, Diesel Conventional 2010</v>
      </c>
      <c r="C84" s="705">
        <f>'Raw emissions'!D29*'Raw emissions'!B78+'Raw emissions'!D39*'Raw emissions'!B79</f>
        <v>6.1495505224907969</v>
      </c>
      <c r="D84" s="706">
        <f>'Raw emissions'!E29*'Raw emissions'!$B$78+'Raw emissions'!E39*'Raw emissions'!$B$79</f>
        <v>3.0358008198204458</v>
      </c>
      <c r="E84" s="702">
        <f>$C84</f>
        <v>6.1495505224907969</v>
      </c>
      <c r="F84" s="702">
        <f t="shared" ref="F84:L84" si="142">$C84</f>
        <v>6.1495505224907969</v>
      </c>
      <c r="G84" s="702">
        <f t="shared" si="142"/>
        <v>6.1495505224907969</v>
      </c>
      <c r="H84" s="702">
        <f t="shared" si="142"/>
        <v>6.1495505224907969</v>
      </c>
      <c r="I84" s="702">
        <f t="shared" si="142"/>
        <v>6.1495505224907969</v>
      </c>
      <c r="J84" s="702">
        <f t="shared" si="142"/>
        <v>6.1495505224907969</v>
      </c>
      <c r="K84" s="702">
        <f t="shared" si="142"/>
        <v>6.1495505224907969</v>
      </c>
      <c r="L84" s="702">
        <f t="shared" si="142"/>
        <v>6.1495505224907969</v>
      </c>
      <c r="M84" s="705">
        <f>'Raw emissions'!J29*'Raw emissions'!$B$78+'Raw emissions'!J39*'Raw emissions'!$B$79</f>
        <v>0.3726065784654341</v>
      </c>
      <c r="N84" s="706">
        <f>'Raw emissions'!K29*'Raw emissions'!$B$78+'Raw emissions'!K39*'Raw emissions'!$B$79</f>
        <v>0.10272368073303488</v>
      </c>
      <c r="O84" s="702">
        <f>$M84</f>
        <v>0.3726065784654341</v>
      </c>
      <c r="P84" s="702">
        <f t="shared" ref="P84:V84" si="143">$M84</f>
        <v>0.3726065784654341</v>
      </c>
      <c r="Q84" s="702">
        <f t="shared" si="143"/>
        <v>0.3726065784654341</v>
      </c>
      <c r="R84" s="702">
        <f t="shared" si="143"/>
        <v>0.3726065784654341</v>
      </c>
      <c r="S84" s="702">
        <f t="shared" si="143"/>
        <v>0.3726065784654341</v>
      </c>
      <c r="T84" s="702">
        <f t="shared" si="143"/>
        <v>0.3726065784654341</v>
      </c>
      <c r="U84" s="702">
        <f t="shared" si="143"/>
        <v>0.3726065784654341</v>
      </c>
      <c r="V84" s="702">
        <f t="shared" si="143"/>
        <v>0.3726065784654341</v>
      </c>
      <c r="W84" s="705">
        <f>'Raw emissions'!M29*'Raw emissions'!$B$78+'Raw emissions'!M39*'Raw emissions'!$B$79</f>
        <v>0.30669422058703344</v>
      </c>
      <c r="X84" s="706">
        <f>'Raw emissions'!N29*'Raw emissions'!$B$78+'Raw emissions'!N39*'Raw emissions'!$B$79</f>
        <v>4.4897772649016794E-2</v>
      </c>
      <c r="Y84" s="702">
        <f t="shared" ref="Y84:AF84" si="144">W84</f>
        <v>0.30669422058703344</v>
      </c>
      <c r="Z84" s="702">
        <f t="shared" si="144"/>
        <v>4.4897772649016794E-2</v>
      </c>
      <c r="AA84" s="702">
        <f t="shared" si="144"/>
        <v>0.30669422058703344</v>
      </c>
      <c r="AB84" s="702">
        <f t="shared" si="144"/>
        <v>4.4897772649016794E-2</v>
      </c>
      <c r="AC84" s="702">
        <f t="shared" si="144"/>
        <v>0.30669422058703344</v>
      </c>
      <c r="AD84" s="702">
        <f t="shared" si="144"/>
        <v>4.4897772649016794E-2</v>
      </c>
      <c r="AE84" s="702">
        <f t="shared" si="144"/>
        <v>0.30669422058703344</v>
      </c>
      <c r="AF84" s="702">
        <f t="shared" si="144"/>
        <v>4.4897772649016794E-2</v>
      </c>
      <c r="AG84" s="705">
        <f>'Raw emissions'!P29*'Raw emissions'!$B$78+'Raw emissions'!P39*'Raw emissions'!$B$79</f>
        <v>2.2932785948514973</v>
      </c>
      <c r="AH84" s="706">
        <f>'Raw emissions'!Q29*'Raw emissions'!$B$78+'Raw emissions'!Q39*'Raw emissions'!$B$79</f>
        <v>1.2113102080621954</v>
      </c>
      <c r="AI84" s="702">
        <f>$AG84</f>
        <v>2.2932785948514973</v>
      </c>
      <c r="AJ84" s="702">
        <f t="shared" ref="AJ84:AP84" si="145">$AG84</f>
        <v>2.2932785948514973</v>
      </c>
      <c r="AK84" s="702">
        <f t="shared" si="145"/>
        <v>2.2932785948514973</v>
      </c>
      <c r="AL84" s="702">
        <f t="shared" si="145"/>
        <v>2.2932785948514973</v>
      </c>
      <c r="AM84" s="702">
        <f t="shared" si="145"/>
        <v>2.2932785948514973</v>
      </c>
      <c r="AN84" s="702">
        <f t="shared" si="145"/>
        <v>2.2932785948514973</v>
      </c>
      <c r="AO84" s="702">
        <f t="shared" si="145"/>
        <v>2.2932785948514973</v>
      </c>
      <c r="AP84" s="702">
        <f t="shared" si="145"/>
        <v>2.2932785948514973</v>
      </c>
      <c r="AQ84" s="705">
        <f>'Raw emissions'!Y29*'Raw emissions'!$B$78+'Raw emissions'!Y39*'Raw emissions'!$B$79</f>
        <v>0.85567360282878224</v>
      </c>
      <c r="AR84" s="706">
        <f>'Raw emissions'!Z29*'Raw emissions'!$B$78+'Raw emissions'!Z39*'Raw emissions'!$B$79</f>
        <v>0.57076675713209823</v>
      </c>
      <c r="AS84" s="702">
        <f>$AQ84</f>
        <v>0.85567360282878224</v>
      </c>
      <c r="AT84" s="702">
        <f t="shared" ref="AT84:AZ84" si="146">$AQ84</f>
        <v>0.85567360282878224</v>
      </c>
      <c r="AU84" s="702">
        <f t="shared" si="146"/>
        <v>0.85567360282878224</v>
      </c>
      <c r="AV84" s="702">
        <f t="shared" si="146"/>
        <v>0.85567360282878224</v>
      </c>
      <c r="AW84" s="702">
        <f t="shared" si="146"/>
        <v>0.85567360282878224</v>
      </c>
      <c r="AX84" s="702">
        <f t="shared" si="146"/>
        <v>0.85567360282878224</v>
      </c>
      <c r="AY84" s="702">
        <f t="shared" si="146"/>
        <v>0.85567360282878224</v>
      </c>
      <c r="AZ84" s="702">
        <f t="shared" si="146"/>
        <v>0.85567360282878224</v>
      </c>
      <c r="BA84" s="705">
        <f>'Raw emissions'!AK29*'Raw emissions'!$B$78+'Raw emissions'!AK39*'Raw emissions'!$B$79</f>
        <v>0.1968214542174157</v>
      </c>
      <c r="BB84" s="708">
        <f>'Raw emissions'!AL29*'Raw emissions'!$B$78+'Raw emissions'!AL39*'Raw emissions'!$B$79</f>
        <v>2.0959612598349924E-3</v>
      </c>
      <c r="BC84" s="703">
        <f>$BA84</f>
        <v>0.1968214542174157</v>
      </c>
      <c r="BD84" s="703">
        <f t="shared" ref="BD84:BJ84" si="147">$BA84</f>
        <v>0.1968214542174157</v>
      </c>
      <c r="BE84" s="703">
        <f t="shared" si="147"/>
        <v>0.1968214542174157</v>
      </c>
      <c r="BF84" s="703">
        <f t="shared" si="147"/>
        <v>0.1968214542174157</v>
      </c>
      <c r="BG84" s="703">
        <f t="shared" si="147"/>
        <v>0.1968214542174157</v>
      </c>
      <c r="BH84" s="703">
        <f t="shared" si="147"/>
        <v>0.1968214542174157</v>
      </c>
      <c r="BI84" s="703">
        <f t="shared" si="147"/>
        <v>0.1968214542174157</v>
      </c>
      <c r="BJ84" s="703">
        <f t="shared" si="147"/>
        <v>0.1968214542174157</v>
      </c>
      <c r="BK84" s="705">
        <f>'Raw emissions'!AG29*'Raw emissions'!$B$78+'Raw emissions'!AG39*'Raw emissions'!$B$79</f>
        <v>0.1849636756826982</v>
      </c>
      <c r="BL84" s="708">
        <f>'Raw emissions'!AI29*'Raw emissions'!$B$78+'Raw emissions'!AI39*'Raw emissions'!$B$79</f>
        <v>9.4285322562935262E-3</v>
      </c>
      <c r="BM84" s="703">
        <f>$BK84</f>
        <v>0.1849636756826982</v>
      </c>
      <c r="BN84" s="703">
        <f t="shared" ref="BN84:BT84" si="148">$BK84</f>
        <v>0.1849636756826982</v>
      </c>
      <c r="BO84" s="703">
        <f t="shared" si="148"/>
        <v>0.1849636756826982</v>
      </c>
      <c r="BP84" s="703">
        <f t="shared" si="148"/>
        <v>0.1849636756826982</v>
      </c>
      <c r="BQ84" s="703">
        <f t="shared" si="148"/>
        <v>0.1849636756826982</v>
      </c>
      <c r="BR84" s="703">
        <f t="shared" si="148"/>
        <v>0.1849636756826982</v>
      </c>
      <c r="BS84" s="703">
        <f t="shared" si="148"/>
        <v>0.1849636756826982</v>
      </c>
      <c r="BT84" s="703">
        <f t="shared" si="148"/>
        <v>0.1849636756826982</v>
      </c>
      <c r="BU84" s="705">
        <f>'Raw emissions'!G29*'Raw emissions'!$B$78+'Raw emissions'!G39*'Raw emissions'!$B$79</f>
        <v>1.7252503214038276E-2</v>
      </c>
      <c r="BV84" s="708">
        <f>'Raw emissions'!H29*'Raw emissions'!$B$78+'Raw emissions'!H39*'Raw emissions'!$B$79</f>
        <v>1.1312400111365948E-2</v>
      </c>
      <c r="BW84" s="703">
        <f>(1-'Tier3Phase-in'!$J$20)*BV84</f>
        <v>3.8462160378644221E-3</v>
      </c>
      <c r="BX84" s="705">
        <f>'Raw emissions'!V29*'Raw emissions'!BU78+'Raw emissions'!V39*'Raw emissions'!BU79</f>
        <v>0</v>
      </c>
      <c r="BY84" s="708">
        <f>'Raw emissions'!W29*'Raw emissions'!$B$78+'Raw emissions'!W39*'Raw emissions'!$B$79</f>
        <v>1.9321489574068264E-3</v>
      </c>
      <c r="BZ84" s="705">
        <f>'Raw emissions'!S29*'Raw emissions'!BW78+'Raw emissions'!S39*'Raw emissions'!BW79</f>
        <v>0</v>
      </c>
      <c r="CA84" s="708">
        <f>'Raw emissions'!T29*'Raw emissions'!$B$78+'Raw emissions'!T39*'Raw emissions'!$B$79</f>
        <v>1.9222585649836582E-3</v>
      </c>
    </row>
    <row r="85" spans="1:79" x14ac:dyDescent="0.2">
      <c r="A85" s="690" t="str">
        <f>Technologies!C172</f>
        <v>THLDSLC</v>
      </c>
      <c r="B85" s="690" t="str">
        <f>Technologies!D172</f>
        <v>Heavy Truck, Long Haul, Conv. Diesel</v>
      </c>
      <c r="C85" s="705">
        <f>'Raw emissions'!D29*'Raw emissions'!B78+'Raw emissions'!D39*'Raw emissions'!B79</f>
        <v>6.1495505224907969</v>
      </c>
      <c r="D85" s="706">
        <f>'Raw emissions'!E29*'Raw emissions'!$B$78+'Raw emissions'!E39*'Raw emissions'!$B$79</f>
        <v>3.0358008198204458</v>
      </c>
      <c r="E85" s="702">
        <f>$D85*(1-'Tier3Phase-in'!$J$12)</f>
        <v>3.0358008198204458</v>
      </c>
      <c r="F85" s="702">
        <f>$D85*(1-'Tier3Phase-in'!$K$12)</f>
        <v>2.6292203528802078</v>
      </c>
      <c r="G85" s="702">
        <f>$D85*(1-'Tier3Phase-in'!$L$12)</f>
        <v>2.3113483514542028</v>
      </c>
      <c r="H85" s="702">
        <f>$D85*(1-'Tier3Phase-in'!$M$12)</f>
        <v>2.1819818392459456</v>
      </c>
      <c r="I85" s="702">
        <f>$D85*(1-'Tier3Phase-in'!$N$12)</f>
        <v>2.0681393085026789</v>
      </c>
      <c r="J85" s="702">
        <f>$D85*(1-'Tier3Phase-in'!$O$12)</f>
        <v>1.9055071217265831</v>
      </c>
      <c r="K85" s="702">
        <f>$D85*(1-'Tier3Phase-in'!$P$12)</f>
        <v>1.9014413170571809</v>
      </c>
      <c r="L85" s="702">
        <f>$D85*(1-'Tier3Phase-in'!$Q$12)</f>
        <v>1.8973755123877787</v>
      </c>
      <c r="M85" s="705">
        <f>'Raw emissions'!J29*'Raw emissions'!$B$78+'Raw emissions'!J39*'Raw emissions'!$B$79</f>
        <v>0.3726065784654341</v>
      </c>
      <c r="N85" s="706">
        <f>'Raw emissions'!K29*'Raw emissions'!$B$78+'Raw emissions'!K39*'Raw emissions'!$B$79</f>
        <v>0.10272368073303488</v>
      </c>
      <c r="O85" s="702">
        <f>$N85*(1-'Tier3Phase-in'!$J$12)</f>
        <v>0.10272368073303488</v>
      </c>
      <c r="P85" s="702">
        <f>$N85*(1-'Tier3Phase-in'!$K$12)</f>
        <v>8.896604492057486E-2</v>
      </c>
      <c r="Q85" s="702">
        <f>$N85*(1-'Tier3Phase-in'!$L$12)</f>
        <v>7.821007510356065E-2</v>
      </c>
      <c r="R85" s="702">
        <f>$N85*(1-'Tier3Phase-in'!$M$12)</f>
        <v>7.3832645526868815E-2</v>
      </c>
      <c r="S85" s="702">
        <f>$N85*(1-'Tier3Phase-in'!$N$12)</f>
        <v>6.9980507499380021E-2</v>
      </c>
      <c r="T85" s="702">
        <f>$N85*(1-'Tier3Phase-in'!$O$12)</f>
        <v>6.4477453174395988E-2</v>
      </c>
      <c r="U85" s="702">
        <f>$N85*(1-'Tier3Phase-in'!$P$12)</f>
        <v>6.4339876816271388E-2</v>
      </c>
      <c r="V85" s="702">
        <f>$N85*(1-'Tier3Phase-in'!$Q$12)</f>
        <v>6.4202300458146802E-2</v>
      </c>
      <c r="W85" s="705">
        <f>'Raw emissions'!M29*'Raw emissions'!$B$78+'Raw emissions'!M39*'Raw emissions'!$B$79</f>
        <v>0.30669422058703344</v>
      </c>
      <c r="X85" s="706">
        <f>'Raw emissions'!N29*'Raw emissions'!$B$78+'Raw emissions'!N39*'Raw emissions'!$B$79</f>
        <v>4.4897772649016794E-2</v>
      </c>
      <c r="Y85" s="702">
        <f>$X85*(1-'Tier3Phase-in'!$J$12)</f>
        <v>4.4897772649016794E-2</v>
      </c>
      <c r="Z85" s="702">
        <f>$X85*(1-'Tier3Phase-in'!$K$12)</f>
        <v>3.888467809780919E-2</v>
      </c>
      <c r="AA85" s="702">
        <f>$X85*(1-'Tier3Phase-in'!$L$12)</f>
        <v>3.418353144868324E-2</v>
      </c>
      <c r="AB85" s="702">
        <f>$X85*(1-'Tier3Phase-in'!$M$12)</f>
        <v>3.2270274091480818E-2</v>
      </c>
      <c r="AC85" s="702">
        <f>$X85*(1-'Tier3Phase-in'!$N$12)</f>
        <v>3.0586607617142693E-2</v>
      </c>
      <c r="AD85" s="702">
        <f>$X85*(1-'Tier3Phase-in'!$O$12)</f>
        <v>2.8181369796659642E-2</v>
      </c>
      <c r="AE85" s="702">
        <f>$X85*(1-'Tier3Phase-in'!$P$12)</f>
        <v>2.8121238851147569E-2</v>
      </c>
      <c r="AF85" s="702">
        <f>$X85*(1-'Tier3Phase-in'!$Q$12)</f>
        <v>2.8061107905635495E-2</v>
      </c>
      <c r="AG85" s="705">
        <f>'Raw emissions'!P29*'Raw emissions'!$B$78+'Raw emissions'!P39*'Raw emissions'!$B$79</f>
        <v>2.2932785948514973</v>
      </c>
      <c r="AH85" s="706">
        <f>'Raw emissions'!Q29*'Raw emissions'!$B$78+'Raw emissions'!Q39*'Raw emissions'!$B$79</f>
        <v>1.2113102080621954</v>
      </c>
      <c r="AI85" s="702">
        <f>$AH85*(1-'Tier3Phase-in'!$J$12)</f>
        <v>1.2113102080621954</v>
      </c>
      <c r="AJ85" s="702">
        <f>$AH85*(1-'Tier3Phase-in'!$K$12)</f>
        <v>1.0490811623395799</v>
      </c>
      <c r="AK85" s="702">
        <f>$AH85*(1-'Tier3Phase-in'!$L$12)</f>
        <v>0.922247544774626</v>
      </c>
      <c r="AL85" s="702">
        <f>$AH85*(1-'Tier3Phase-in'!$M$12)</f>
        <v>0.87062921204470289</v>
      </c>
      <c r="AM85" s="702">
        <f>$AH85*(1-'Tier3Phase-in'!$N$12)</f>
        <v>0.82520507924237063</v>
      </c>
      <c r="AN85" s="702">
        <f>$AH85*(1-'Tier3Phase-in'!$O$12)</f>
        <v>0.7603134609533243</v>
      </c>
      <c r="AO85" s="702">
        <f>$AH85*(1-'Tier3Phase-in'!$P$12)</f>
        <v>0.75869117049609813</v>
      </c>
      <c r="AP85" s="702">
        <f>$AH85*(1-'Tier3Phase-in'!$Q$12)</f>
        <v>0.75706888003887207</v>
      </c>
      <c r="AQ85" s="705">
        <f>'Raw emissions'!Y29*'Raw emissions'!$B$78+'Raw emissions'!Y39*'Raw emissions'!$B$79</f>
        <v>0.85567360282878224</v>
      </c>
      <c r="AR85" s="706">
        <f>'Raw emissions'!Z29*'Raw emissions'!$B$78+'Raw emissions'!Z39*'Raw emissions'!$B$79</f>
        <v>0.57076675713209823</v>
      </c>
      <c r="AS85" s="702">
        <f>$AR85*(1-'Tier3Phase-in'!$J$12)</f>
        <v>0.57076675713209823</v>
      </c>
      <c r="AT85" s="702">
        <f>$AR85*(1-'Tier3Phase-in'!$K$12)</f>
        <v>0.49432478073047798</v>
      </c>
      <c r="AU85" s="702">
        <f>$AR85*(1-'Tier3Phase-in'!$L$12)</f>
        <v>0.4345610537255748</v>
      </c>
      <c r="AV85" s="702">
        <f>$AR85*(1-'Tier3Phase-in'!$M$12)</f>
        <v>0.41023860668869561</v>
      </c>
      <c r="AW85" s="702">
        <f>$AR85*(1-'Tier3Phase-in'!$N$12)</f>
        <v>0.38883485329624196</v>
      </c>
      <c r="AX85" s="702">
        <f>$AR85*(1-'Tier3Phase-in'!$O$12)</f>
        <v>0.35825806273559374</v>
      </c>
      <c r="AY85" s="702">
        <f>$AR85*(1-'Tier3Phase-in'!$P$12)</f>
        <v>0.35749364297157754</v>
      </c>
      <c r="AZ85" s="702">
        <f>$AR85*(1-'Tier3Phase-in'!$Q$12)</f>
        <v>0.3567292232075614</v>
      </c>
      <c r="BA85" s="705">
        <f>'Raw emissions'!AK29*'Raw emissions'!$B$78+'Raw emissions'!AK39*'Raw emissions'!$B$79</f>
        <v>0.1968214542174157</v>
      </c>
      <c r="BB85" s="708">
        <f>'Raw emissions'!AL29*'Raw emissions'!$B$78+'Raw emissions'!AL39*'Raw emissions'!$B$79</f>
        <v>2.0959612598349924E-3</v>
      </c>
      <c r="BC85" s="703">
        <f>$BB85*(1-'Tier3Phase-in'!$J$12)</f>
        <v>2.0959612598349924E-3</v>
      </c>
      <c r="BD85" s="703">
        <f>$BB85*(1-'Tier3Phase-in'!$K$12)</f>
        <v>1.8152521625356632E-3</v>
      </c>
      <c r="BE85" s="703">
        <f>$BB85*(1-'Tier3Phase-in'!$L$12)</f>
        <v>1.5957886864652784E-3</v>
      </c>
      <c r="BF85" s="703">
        <f>$BB85*(1-'Tier3Phase-in'!$M$12)</f>
        <v>1.5064721555064007E-3</v>
      </c>
      <c r="BG85" s="703">
        <f>$BB85*(1-'Tier3Phase-in'!$N$12)</f>
        <v>1.4278736082625886E-3</v>
      </c>
      <c r="BH85" s="703">
        <f>$BB85*(1-'Tier3Phase-in'!$O$12)</f>
        <v>1.3155899693428567E-3</v>
      </c>
      <c r="BI85" s="703">
        <f>$BB85*(1-'Tier3Phase-in'!$P$12)</f>
        <v>1.3127828783698634E-3</v>
      </c>
      <c r="BJ85" s="703">
        <f>$BB85*(1-'Tier3Phase-in'!$Q$12)</f>
        <v>1.3099757873968703E-3</v>
      </c>
      <c r="BK85" s="705">
        <f>'Raw emissions'!AG29*'Raw emissions'!$B$78+'Raw emissions'!AG39*'Raw emissions'!$B$79</f>
        <v>0.1849636756826982</v>
      </c>
      <c r="BL85" s="708">
        <f>'Raw emissions'!AI29*'Raw emissions'!$B$78+'Raw emissions'!AI39*'Raw emissions'!$B$79</f>
        <v>9.4285322562935262E-3</v>
      </c>
      <c r="BM85" s="703">
        <f>$BL85*(1-'Tier3Phase-in'!$J$12)</f>
        <v>9.4285322562935262E-3</v>
      </c>
      <c r="BN85" s="703">
        <f>$BL85*(1-'Tier3Phase-in'!$K$12)</f>
        <v>8.1657824005399293E-3</v>
      </c>
      <c r="BO85" s="703">
        <f>$BL85*(1-'Tier3Phase-in'!$L$12)</f>
        <v>7.1785416042234804E-3</v>
      </c>
      <c r="BP85" s="703">
        <f>$BL85*(1-'Tier3Phase-in'!$M$12)</f>
        <v>6.7767575592109722E-3</v>
      </c>
      <c r="BQ85" s="703">
        <f>$BL85*(1-'Tier3Phase-in'!$N$12)</f>
        <v>6.4231875995999646E-3</v>
      </c>
      <c r="BR85" s="703">
        <f>$BL85*(1-'Tier3Phase-in'!$O$12)</f>
        <v>5.9180876572985245E-3</v>
      </c>
      <c r="BS85" s="703">
        <f>$BL85*(1-'Tier3Phase-in'!$P$12)</f>
        <v>5.9054601587409895E-3</v>
      </c>
      <c r="BT85" s="703">
        <f>$BL85*(1-'Tier3Phase-in'!$Q$12)</f>
        <v>5.8928326601834537E-3</v>
      </c>
      <c r="BU85" s="705">
        <f>'Raw emissions'!G29*'Raw emissions'!$B$78+'Raw emissions'!G39*'Raw emissions'!$B$79</f>
        <v>1.7252503214038276E-2</v>
      </c>
      <c r="BV85" s="708">
        <f>'Raw emissions'!H29*'Raw emissions'!$B$78+'Raw emissions'!H39*'Raw emissions'!$B$79</f>
        <v>1.1312400111365948E-2</v>
      </c>
      <c r="BW85" s="703">
        <f>(1-'Tier3Phase-in'!$J$20)*BV85</f>
        <v>3.8462160378644221E-3</v>
      </c>
      <c r="BX85" s="705">
        <f>'Raw emissions'!V29*'Raw emissions'!BU78+'Raw emissions'!V39*'Raw emissions'!BU79</f>
        <v>0</v>
      </c>
      <c r="BY85" s="708">
        <f>'Raw emissions'!W29*'Raw emissions'!$B$78+'Raw emissions'!W39*'Raw emissions'!$B$79</f>
        <v>1.9321489574068264E-3</v>
      </c>
      <c r="BZ85" s="705">
        <f>'Raw emissions'!S29*'Raw emissions'!BW78+'Raw emissions'!S39*'Raw emissions'!BW79</f>
        <v>0</v>
      </c>
      <c r="CA85" s="708">
        <f>'Raw emissions'!T29*'Raw emissions'!$B$78+'Raw emissions'!T39*'Raw emissions'!$B$79</f>
        <v>1.9222585649836582E-3</v>
      </c>
    </row>
    <row r="86" spans="1:79" x14ac:dyDescent="0.2">
      <c r="A86" s="690" t="str">
        <f>Technologies!C173</f>
        <v>THLDSLIM</v>
      </c>
      <c r="B86" s="690" t="str">
        <f>Technologies!D173</f>
        <v>Heavy Truck, Long Haul, Improved Diesel</v>
      </c>
      <c r="C86" s="705">
        <f>C85</f>
        <v>6.1495505224907969</v>
      </c>
      <c r="D86" s="706">
        <f>D85</f>
        <v>3.0358008198204458</v>
      </c>
      <c r="E86" s="702">
        <f>$D86*(1-'Tier3Phase-in'!$J$12)</f>
        <v>3.0358008198204458</v>
      </c>
      <c r="F86" s="702">
        <f>$D86*(1-'Tier3Phase-in'!$K$12)</f>
        <v>2.6292203528802078</v>
      </c>
      <c r="G86" s="702">
        <f>$D86*(1-'Tier3Phase-in'!$L$12)</f>
        <v>2.3113483514542028</v>
      </c>
      <c r="H86" s="702">
        <f>$D86*(1-'Tier3Phase-in'!$M$12)</f>
        <v>2.1819818392459456</v>
      </c>
      <c r="I86" s="702">
        <f>$D86*(1-'Tier3Phase-in'!$N$12)</f>
        <v>2.0681393085026789</v>
      </c>
      <c r="J86" s="702">
        <f>$D86*(1-'Tier3Phase-in'!$O$12)</f>
        <v>1.9055071217265831</v>
      </c>
      <c r="K86" s="702">
        <f>$D86*(1-'Tier3Phase-in'!$P$12)</f>
        <v>1.9014413170571809</v>
      </c>
      <c r="L86" s="702">
        <f>$D86*(1-'Tier3Phase-in'!$Q$12)</f>
        <v>1.8973755123877787</v>
      </c>
      <c r="M86" s="705">
        <f>M85</f>
        <v>0.3726065784654341</v>
      </c>
      <c r="N86" s="706">
        <f>N85</f>
        <v>0.10272368073303488</v>
      </c>
      <c r="O86" s="702">
        <f>$N86*(1-'Tier3Phase-in'!$J$12)</f>
        <v>0.10272368073303488</v>
      </c>
      <c r="P86" s="702">
        <f>$N86*(1-'Tier3Phase-in'!$K$12)</f>
        <v>8.896604492057486E-2</v>
      </c>
      <c r="Q86" s="702">
        <f>$N86*(1-'Tier3Phase-in'!$L$12)</f>
        <v>7.821007510356065E-2</v>
      </c>
      <c r="R86" s="702">
        <f>$N86*(1-'Tier3Phase-in'!$M$12)</f>
        <v>7.3832645526868815E-2</v>
      </c>
      <c r="S86" s="702">
        <f>$N86*(1-'Tier3Phase-in'!$N$12)</f>
        <v>6.9980507499380021E-2</v>
      </c>
      <c r="T86" s="702">
        <f>$N86*(1-'Tier3Phase-in'!$O$12)</f>
        <v>6.4477453174395988E-2</v>
      </c>
      <c r="U86" s="702">
        <f>$N86*(1-'Tier3Phase-in'!$P$12)</f>
        <v>6.4339876816271388E-2</v>
      </c>
      <c r="V86" s="702">
        <f>$N86*(1-'Tier3Phase-in'!$Q$12)</f>
        <v>6.4202300458146802E-2</v>
      </c>
      <c r="W86" s="705">
        <f>W85</f>
        <v>0.30669422058703344</v>
      </c>
      <c r="X86" s="706">
        <f>X85</f>
        <v>4.4897772649016794E-2</v>
      </c>
      <c r="Y86" s="702">
        <f>$X86*(1-'Tier3Phase-in'!$J$12)</f>
        <v>4.4897772649016794E-2</v>
      </c>
      <c r="Z86" s="702">
        <f>$X86*(1-'Tier3Phase-in'!$K$12)</f>
        <v>3.888467809780919E-2</v>
      </c>
      <c r="AA86" s="702">
        <f>$X86*(1-'Tier3Phase-in'!$L$12)</f>
        <v>3.418353144868324E-2</v>
      </c>
      <c r="AB86" s="702">
        <f>$X86*(1-'Tier3Phase-in'!$M$12)</f>
        <v>3.2270274091480818E-2</v>
      </c>
      <c r="AC86" s="702">
        <f>$X86*(1-'Tier3Phase-in'!$N$12)</f>
        <v>3.0586607617142693E-2</v>
      </c>
      <c r="AD86" s="702">
        <f>$X86*(1-'Tier3Phase-in'!$O$12)</f>
        <v>2.8181369796659642E-2</v>
      </c>
      <c r="AE86" s="702">
        <f>$X86*(1-'Tier3Phase-in'!$P$12)</f>
        <v>2.8121238851147569E-2</v>
      </c>
      <c r="AF86" s="702">
        <f>$X86*(1-'Tier3Phase-in'!$Q$12)</f>
        <v>2.8061107905635495E-2</v>
      </c>
      <c r="AG86" s="705">
        <f>AG85</f>
        <v>2.2932785948514973</v>
      </c>
      <c r="AH86" s="706">
        <f>AH85</f>
        <v>1.2113102080621954</v>
      </c>
      <c r="AI86" s="702">
        <f>$AH86*(1-'Tier3Phase-in'!$J$12)</f>
        <v>1.2113102080621954</v>
      </c>
      <c r="AJ86" s="702">
        <f>$AH86*(1-'Tier3Phase-in'!$K$12)</f>
        <v>1.0490811623395799</v>
      </c>
      <c r="AK86" s="702">
        <f>$AH86*(1-'Tier3Phase-in'!$L$12)</f>
        <v>0.922247544774626</v>
      </c>
      <c r="AL86" s="702">
        <f>$AH86*(1-'Tier3Phase-in'!$M$12)</f>
        <v>0.87062921204470289</v>
      </c>
      <c r="AM86" s="702">
        <f>$AH86*(1-'Tier3Phase-in'!$N$12)</f>
        <v>0.82520507924237063</v>
      </c>
      <c r="AN86" s="702">
        <f>$AH86*(1-'Tier3Phase-in'!$O$12)</f>
        <v>0.7603134609533243</v>
      </c>
      <c r="AO86" s="702">
        <f>$AH86*(1-'Tier3Phase-in'!$P$12)</f>
        <v>0.75869117049609813</v>
      </c>
      <c r="AP86" s="702">
        <f>$AH86*(1-'Tier3Phase-in'!$Q$12)</f>
        <v>0.75706888003887207</v>
      </c>
      <c r="AQ86" s="705">
        <f>AQ85</f>
        <v>0.85567360282878224</v>
      </c>
      <c r="AR86" s="706">
        <f>AR85</f>
        <v>0.57076675713209823</v>
      </c>
      <c r="AS86" s="702">
        <f>$AR86*(1-'Tier3Phase-in'!$J$12)</f>
        <v>0.57076675713209823</v>
      </c>
      <c r="AT86" s="702">
        <f>$AR86*(1-'Tier3Phase-in'!$K$12)</f>
        <v>0.49432478073047798</v>
      </c>
      <c r="AU86" s="702">
        <f>$AR86*(1-'Tier3Phase-in'!$L$12)</f>
        <v>0.4345610537255748</v>
      </c>
      <c r="AV86" s="702">
        <f>$AR86*(1-'Tier3Phase-in'!$M$12)</f>
        <v>0.41023860668869561</v>
      </c>
      <c r="AW86" s="702">
        <f>$AR86*(1-'Tier3Phase-in'!$N$12)</f>
        <v>0.38883485329624196</v>
      </c>
      <c r="AX86" s="702">
        <f>$AR86*(1-'Tier3Phase-in'!$O$12)</f>
        <v>0.35825806273559374</v>
      </c>
      <c r="AY86" s="702">
        <f>$AR86*(1-'Tier3Phase-in'!$P$12)</f>
        <v>0.35749364297157754</v>
      </c>
      <c r="AZ86" s="702">
        <f>$AR86*(1-'Tier3Phase-in'!$Q$12)</f>
        <v>0.3567292232075614</v>
      </c>
      <c r="BA86" s="705">
        <f>BA85</f>
        <v>0.1968214542174157</v>
      </c>
      <c r="BB86" s="708">
        <f>BB85</f>
        <v>2.0959612598349924E-3</v>
      </c>
      <c r="BC86" s="703">
        <f>$BB86*(1-'Tier3Phase-in'!$J$12)</f>
        <v>2.0959612598349924E-3</v>
      </c>
      <c r="BD86" s="703">
        <f>$BB86*(1-'Tier3Phase-in'!$K$12)</f>
        <v>1.8152521625356632E-3</v>
      </c>
      <c r="BE86" s="703">
        <f>$BB86*(1-'Tier3Phase-in'!$L$12)</f>
        <v>1.5957886864652784E-3</v>
      </c>
      <c r="BF86" s="703">
        <f>$BB86*(1-'Tier3Phase-in'!$M$12)</f>
        <v>1.5064721555064007E-3</v>
      </c>
      <c r="BG86" s="703">
        <f>$BB86*(1-'Tier3Phase-in'!$N$12)</f>
        <v>1.4278736082625886E-3</v>
      </c>
      <c r="BH86" s="703">
        <f>$BB86*(1-'Tier3Phase-in'!$O$12)</f>
        <v>1.3155899693428567E-3</v>
      </c>
      <c r="BI86" s="703">
        <f>$BB86*(1-'Tier3Phase-in'!$P$12)</f>
        <v>1.3127828783698634E-3</v>
      </c>
      <c r="BJ86" s="703">
        <f>$BB86*(1-'Tier3Phase-in'!$Q$12)</f>
        <v>1.3099757873968703E-3</v>
      </c>
      <c r="BK86" s="705">
        <f>BK85</f>
        <v>0.1849636756826982</v>
      </c>
      <c r="BL86" s="708">
        <f>BL85</f>
        <v>9.4285322562935262E-3</v>
      </c>
      <c r="BM86" s="703">
        <f>$BL86*(1-'Tier3Phase-in'!$J$12)</f>
        <v>9.4285322562935262E-3</v>
      </c>
      <c r="BN86" s="703">
        <f>$BL86*(1-'Tier3Phase-in'!$K$12)</f>
        <v>8.1657824005399293E-3</v>
      </c>
      <c r="BO86" s="703">
        <f>$BL86*(1-'Tier3Phase-in'!$L$12)</f>
        <v>7.1785416042234804E-3</v>
      </c>
      <c r="BP86" s="703">
        <f>$BL86*(1-'Tier3Phase-in'!$M$12)</f>
        <v>6.7767575592109722E-3</v>
      </c>
      <c r="BQ86" s="703">
        <f>$BL86*(1-'Tier3Phase-in'!$N$12)</f>
        <v>6.4231875995999646E-3</v>
      </c>
      <c r="BR86" s="703">
        <f>$BL86*(1-'Tier3Phase-in'!$O$12)</f>
        <v>5.9180876572985245E-3</v>
      </c>
      <c r="BS86" s="703">
        <f>$BL86*(1-'Tier3Phase-in'!$P$12)</f>
        <v>5.9054601587409895E-3</v>
      </c>
      <c r="BT86" s="703">
        <f>$BL86*(1-'Tier3Phase-in'!$Q$12)</f>
        <v>5.8928326601834537E-3</v>
      </c>
      <c r="BU86" s="705">
        <f>BU85</f>
        <v>1.7252503214038276E-2</v>
      </c>
      <c r="BV86" s="708">
        <f>BV85</f>
        <v>1.1312400111365948E-2</v>
      </c>
      <c r="BW86" s="703">
        <f>(1-'Tier3Phase-in'!$J$20)*BV86</f>
        <v>3.8462160378644221E-3</v>
      </c>
      <c r="BX86" s="705">
        <f>BX85</f>
        <v>0</v>
      </c>
      <c r="BY86" s="708">
        <f>BY85</f>
        <v>1.9321489574068264E-3</v>
      </c>
      <c r="BZ86" s="705">
        <f>BZ85</f>
        <v>0</v>
      </c>
      <c r="CA86" s="708">
        <f>CA85</f>
        <v>1.9222585649836582E-3</v>
      </c>
    </row>
    <row r="87" spans="1:79" x14ac:dyDescent="0.2">
      <c r="A87" s="690" t="str">
        <f>Technologies!C174</f>
        <v>THLDSLADV</v>
      </c>
      <c r="B87" s="690" t="str">
        <f>Technologies!D174</f>
        <v>Heavy Truck, Long Haul, Advanced Diesel</v>
      </c>
      <c r="C87" s="705">
        <f>'Raw emissions'!D29*'Raw emissions'!B78+'Raw emissions'!D39*'Raw emissions'!B79</f>
        <v>6.1495505224907969</v>
      </c>
      <c r="D87" s="706">
        <f>'Raw emissions'!E29*'Raw emissions'!$B$78+'Raw emissions'!E39*'Raw emissions'!$B$79</f>
        <v>3.0358008198204458</v>
      </c>
      <c r="E87" s="702">
        <f>$D87*(1-'Tier3Phase-in'!$J$12)</f>
        <v>3.0358008198204458</v>
      </c>
      <c r="F87" s="702">
        <f>$D87*(1-'Tier3Phase-in'!$K$12)</f>
        <v>2.6292203528802078</v>
      </c>
      <c r="G87" s="702">
        <f>$D87*(1-'Tier3Phase-in'!$L$12)</f>
        <v>2.3113483514542028</v>
      </c>
      <c r="H87" s="702">
        <f>$D87*(1-'Tier3Phase-in'!$M$12)</f>
        <v>2.1819818392459456</v>
      </c>
      <c r="I87" s="702">
        <f>$D87*(1-'Tier3Phase-in'!$N$12)</f>
        <v>2.0681393085026789</v>
      </c>
      <c r="J87" s="702">
        <f>$D87*(1-'Tier3Phase-in'!$O$12)</f>
        <v>1.9055071217265831</v>
      </c>
      <c r="K87" s="702">
        <f>$D87*(1-'Tier3Phase-in'!$P$12)</f>
        <v>1.9014413170571809</v>
      </c>
      <c r="L87" s="702">
        <f>$D87*(1-'Tier3Phase-in'!$Q$12)</f>
        <v>1.8973755123877787</v>
      </c>
      <c r="M87" s="705">
        <f>'Raw emissions'!J29*'Raw emissions'!$B$78+'Raw emissions'!J39*'Raw emissions'!$B$79</f>
        <v>0.3726065784654341</v>
      </c>
      <c r="N87" s="706">
        <f>'Raw emissions'!K29*'Raw emissions'!$B$78+'Raw emissions'!K39*'Raw emissions'!$B$79</f>
        <v>0.10272368073303488</v>
      </c>
      <c r="O87" s="702">
        <f>$N87*(1-'Tier3Phase-in'!$J$12)</f>
        <v>0.10272368073303488</v>
      </c>
      <c r="P87" s="702">
        <f>$N87*(1-'Tier3Phase-in'!$K$12)</f>
        <v>8.896604492057486E-2</v>
      </c>
      <c r="Q87" s="702">
        <f>$N87*(1-'Tier3Phase-in'!$L$12)</f>
        <v>7.821007510356065E-2</v>
      </c>
      <c r="R87" s="702">
        <f>$N87*(1-'Tier3Phase-in'!$M$12)</f>
        <v>7.3832645526868815E-2</v>
      </c>
      <c r="S87" s="702">
        <f>$N87*(1-'Tier3Phase-in'!$N$12)</f>
        <v>6.9980507499380021E-2</v>
      </c>
      <c r="T87" s="702">
        <f>$N87*(1-'Tier3Phase-in'!$O$12)</f>
        <v>6.4477453174395988E-2</v>
      </c>
      <c r="U87" s="702">
        <f>$N87*(1-'Tier3Phase-in'!$P$12)</f>
        <v>6.4339876816271388E-2</v>
      </c>
      <c r="V87" s="702">
        <f>$N87*(1-'Tier3Phase-in'!$Q$12)</f>
        <v>6.4202300458146802E-2</v>
      </c>
      <c r="W87" s="705">
        <f>'Raw emissions'!M29*'Raw emissions'!$B$78+'Raw emissions'!M39*'Raw emissions'!$B$79</f>
        <v>0.30669422058703344</v>
      </c>
      <c r="X87" s="706">
        <f>'Raw emissions'!N29*'Raw emissions'!$B$78+'Raw emissions'!N39*'Raw emissions'!$B$79</f>
        <v>4.4897772649016794E-2</v>
      </c>
      <c r="Y87" s="702">
        <f>$X87*(1-'Tier3Phase-in'!$J$12)</f>
        <v>4.4897772649016794E-2</v>
      </c>
      <c r="Z87" s="702">
        <f>$X87*(1-'Tier3Phase-in'!$K$12)</f>
        <v>3.888467809780919E-2</v>
      </c>
      <c r="AA87" s="702">
        <f>$X87*(1-'Tier3Phase-in'!$L$12)</f>
        <v>3.418353144868324E-2</v>
      </c>
      <c r="AB87" s="702">
        <f>$X87*(1-'Tier3Phase-in'!$M$12)</f>
        <v>3.2270274091480818E-2</v>
      </c>
      <c r="AC87" s="702">
        <f>$X87*(1-'Tier3Phase-in'!$N$12)</f>
        <v>3.0586607617142693E-2</v>
      </c>
      <c r="AD87" s="702">
        <f>$X87*(1-'Tier3Phase-in'!$O$12)</f>
        <v>2.8181369796659642E-2</v>
      </c>
      <c r="AE87" s="702">
        <f>$X87*(1-'Tier3Phase-in'!$P$12)</f>
        <v>2.8121238851147569E-2</v>
      </c>
      <c r="AF87" s="702">
        <f>$X87*(1-'Tier3Phase-in'!$Q$12)</f>
        <v>2.8061107905635495E-2</v>
      </c>
      <c r="AG87" s="705">
        <f>'Raw emissions'!P29*'Raw emissions'!$B$78+'Raw emissions'!P39*'Raw emissions'!$B$79</f>
        <v>2.2932785948514973</v>
      </c>
      <c r="AH87" s="706">
        <f>'Raw emissions'!Q29*'Raw emissions'!$B$78+'Raw emissions'!Q39*'Raw emissions'!$B$79</f>
        <v>1.2113102080621954</v>
      </c>
      <c r="AI87" s="702">
        <f>$AH87*(1-'Tier3Phase-in'!$J$12)</f>
        <v>1.2113102080621954</v>
      </c>
      <c r="AJ87" s="702">
        <f>$AH87*(1-'Tier3Phase-in'!$K$12)</f>
        <v>1.0490811623395799</v>
      </c>
      <c r="AK87" s="702">
        <f>$AH87*(1-'Tier3Phase-in'!$L$12)</f>
        <v>0.922247544774626</v>
      </c>
      <c r="AL87" s="702">
        <f>$AH87*(1-'Tier3Phase-in'!$M$12)</f>
        <v>0.87062921204470289</v>
      </c>
      <c r="AM87" s="702">
        <f>$AH87*(1-'Tier3Phase-in'!$N$12)</f>
        <v>0.82520507924237063</v>
      </c>
      <c r="AN87" s="702">
        <f>$AH87*(1-'Tier3Phase-in'!$O$12)</f>
        <v>0.7603134609533243</v>
      </c>
      <c r="AO87" s="702">
        <f>$AH87*(1-'Tier3Phase-in'!$P$12)</f>
        <v>0.75869117049609813</v>
      </c>
      <c r="AP87" s="702">
        <f>$AH87*(1-'Tier3Phase-in'!$Q$12)</f>
        <v>0.75706888003887207</v>
      </c>
      <c r="AQ87" s="705">
        <f>'Raw emissions'!Y29*'Raw emissions'!$B$78+'Raw emissions'!Y39*'Raw emissions'!$B$79</f>
        <v>0.85567360282878224</v>
      </c>
      <c r="AR87" s="706">
        <f>'Raw emissions'!Z29*'Raw emissions'!$B$78+'Raw emissions'!Z39*'Raw emissions'!$B$79</f>
        <v>0.57076675713209823</v>
      </c>
      <c r="AS87" s="702">
        <f>$AR87*(1-'Tier3Phase-in'!$J$12)</f>
        <v>0.57076675713209823</v>
      </c>
      <c r="AT87" s="702">
        <f>$AR87*(1-'Tier3Phase-in'!$K$12)</f>
        <v>0.49432478073047798</v>
      </c>
      <c r="AU87" s="702">
        <f>$AR87*(1-'Tier3Phase-in'!$L$12)</f>
        <v>0.4345610537255748</v>
      </c>
      <c r="AV87" s="702">
        <f>$AR87*(1-'Tier3Phase-in'!$M$12)</f>
        <v>0.41023860668869561</v>
      </c>
      <c r="AW87" s="702">
        <f>$AR87*(1-'Tier3Phase-in'!$N$12)</f>
        <v>0.38883485329624196</v>
      </c>
      <c r="AX87" s="702">
        <f>$AR87*(1-'Tier3Phase-in'!$O$12)</f>
        <v>0.35825806273559374</v>
      </c>
      <c r="AY87" s="702">
        <f>$AR87*(1-'Tier3Phase-in'!$P$12)</f>
        <v>0.35749364297157754</v>
      </c>
      <c r="AZ87" s="702">
        <f>$AR87*(1-'Tier3Phase-in'!$Q$12)</f>
        <v>0.3567292232075614</v>
      </c>
      <c r="BA87" s="705">
        <f>'Raw emissions'!AK29*'Raw emissions'!$B$78+'Raw emissions'!AK39*'Raw emissions'!$B$79</f>
        <v>0.1968214542174157</v>
      </c>
      <c r="BB87" s="708">
        <f>'Raw emissions'!AL29*'Raw emissions'!$B$78+'Raw emissions'!AL39*'Raw emissions'!$B$79</f>
        <v>2.0959612598349924E-3</v>
      </c>
      <c r="BC87" s="703">
        <f>$BB87*(1-'Tier3Phase-in'!$J$12)</f>
        <v>2.0959612598349924E-3</v>
      </c>
      <c r="BD87" s="703">
        <f>$BB87*(1-'Tier3Phase-in'!$K$12)</f>
        <v>1.8152521625356632E-3</v>
      </c>
      <c r="BE87" s="703">
        <f>$BB87*(1-'Tier3Phase-in'!$L$12)</f>
        <v>1.5957886864652784E-3</v>
      </c>
      <c r="BF87" s="703">
        <f>$BB87*(1-'Tier3Phase-in'!$M$12)</f>
        <v>1.5064721555064007E-3</v>
      </c>
      <c r="BG87" s="703">
        <f>$BB87*(1-'Tier3Phase-in'!$N$12)</f>
        <v>1.4278736082625886E-3</v>
      </c>
      <c r="BH87" s="703">
        <f>$BB87*(1-'Tier3Phase-in'!$O$12)</f>
        <v>1.3155899693428567E-3</v>
      </c>
      <c r="BI87" s="703">
        <f>$BB87*(1-'Tier3Phase-in'!$P$12)</f>
        <v>1.3127828783698634E-3</v>
      </c>
      <c r="BJ87" s="703">
        <f>$BB87*(1-'Tier3Phase-in'!$Q$12)</f>
        <v>1.3099757873968703E-3</v>
      </c>
      <c r="BK87" s="705">
        <f>'Raw emissions'!AG29*'Raw emissions'!$B$78+'Raw emissions'!AG39*'Raw emissions'!$B$79</f>
        <v>0.1849636756826982</v>
      </c>
      <c r="BL87" s="708">
        <f>'Raw emissions'!AI29*'Raw emissions'!$B$78+'Raw emissions'!AI39*'Raw emissions'!$B$79</f>
        <v>9.4285322562935262E-3</v>
      </c>
      <c r="BM87" s="703">
        <f>$BL87*(1-'Tier3Phase-in'!$J$12)</f>
        <v>9.4285322562935262E-3</v>
      </c>
      <c r="BN87" s="703">
        <f>$BL87*(1-'Tier3Phase-in'!$K$12)</f>
        <v>8.1657824005399293E-3</v>
      </c>
      <c r="BO87" s="703">
        <f>$BL87*(1-'Tier3Phase-in'!$L$12)</f>
        <v>7.1785416042234804E-3</v>
      </c>
      <c r="BP87" s="703">
        <f>$BL87*(1-'Tier3Phase-in'!$M$12)</f>
        <v>6.7767575592109722E-3</v>
      </c>
      <c r="BQ87" s="703">
        <f>$BL87*(1-'Tier3Phase-in'!$N$12)</f>
        <v>6.4231875995999646E-3</v>
      </c>
      <c r="BR87" s="703">
        <f>$BL87*(1-'Tier3Phase-in'!$O$12)</f>
        <v>5.9180876572985245E-3</v>
      </c>
      <c r="BS87" s="703">
        <f>$BL87*(1-'Tier3Phase-in'!$P$12)</f>
        <v>5.9054601587409895E-3</v>
      </c>
      <c r="BT87" s="703">
        <f>$BL87*(1-'Tier3Phase-in'!$Q$12)</f>
        <v>5.8928326601834537E-3</v>
      </c>
      <c r="BU87" s="705">
        <f>'Raw emissions'!G29*'Raw emissions'!$B$78+'Raw emissions'!G39*'Raw emissions'!$B$79</f>
        <v>1.7252503214038276E-2</v>
      </c>
      <c r="BV87" s="708">
        <f>'Raw emissions'!H29*'Raw emissions'!$B$78+'Raw emissions'!H39*'Raw emissions'!$B$79</f>
        <v>1.1312400111365948E-2</v>
      </c>
      <c r="BW87" s="703">
        <f>(1-'Tier3Phase-in'!$J$20)*BV87</f>
        <v>3.8462160378644221E-3</v>
      </c>
      <c r="BX87" s="705">
        <f>'Raw emissions'!V29*'Raw emissions'!BU78+'Raw emissions'!V39*'Raw emissions'!BU79</f>
        <v>0</v>
      </c>
      <c r="BY87" s="708">
        <f>'Raw emissions'!W29*'Raw emissions'!$B$78+'Raw emissions'!W39*'Raw emissions'!$B$79</f>
        <v>1.9321489574068264E-3</v>
      </c>
      <c r="BZ87" s="705">
        <f>'Raw emissions'!S29*'Raw emissions'!BW78+'Raw emissions'!S39*'Raw emissions'!BW79</f>
        <v>0</v>
      </c>
      <c r="CA87" s="708">
        <f>'Raw emissions'!T29*'Raw emissions'!$B$78+'Raw emissions'!T39*'Raw emissions'!$B$79</f>
        <v>1.9222585649836582E-3</v>
      </c>
    </row>
    <row r="88" spans="1:79" x14ac:dyDescent="0.2">
      <c r="A88" s="690" t="str">
        <f>Technologies!C175</f>
        <v>THLDSLAH</v>
      </c>
      <c r="B88" s="690" t="str">
        <f>Technologies!D175</f>
        <v>Heavy Truck, Long Haul, Advanced Diesel Hybrid</v>
      </c>
      <c r="C88" s="705">
        <f>C87</f>
        <v>6.1495505224907969</v>
      </c>
      <c r="D88" s="706">
        <f>D87</f>
        <v>3.0358008198204458</v>
      </c>
      <c r="E88" s="702">
        <f>$D88*(1-'Tier3Phase-in'!$J$12)</f>
        <v>3.0358008198204458</v>
      </c>
      <c r="F88" s="702">
        <f>$D88*(1-'Tier3Phase-in'!$K$12)</f>
        <v>2.6292203528802078</v>
      </c>
      <c r="G88" s="702">
        <f>$D88*(1-'Tier3Phase-in'!$L$12)</f>
        <v>2.3113483514542028</v>
      </c>
      <c r="H88" s="702">
        <f>$D88*(1-'Tier3Phase-in'!$M$12)</f>
        <v>2.1819818392459456</v>
      </c>
      <c r="I88" s="702">
        <f>$D88*(1-'Tier3Phase-in'!$N$12)</f>
        <v>2.0681393085026789</v>
      </c>
      <c r="J88" s="702">
        <f>$D88*(1-'Tier3Phase-in'!$O$12)</f>
        <v>1.9055071217265831</v>
      </c>
      <c r="K88" s="702">
        <f>$D88*(1-'Tier3Phase-in'!$P$12)</f>
        <v>1.9014413170571809</v>
      </c>
      <c r="L88" s="702">
        <f>$D88*(1-'Tier3Phase-in'!$Q$12)</f>
        <v>1.8973755123877787</v>
      </c>
      <c r="M88" s="705">
        <f>M87</f>
        <v>0.3726065784654341</v>
      </c>
      <c r="N88" s="706">
        <f>N87</f>
        <v>0.10272368073303488</v>
      </c>
      <c r="O88" s="702">
        <f>$N88*(1-'Tier3Phase-in'!$J$12)</f>
        <v>0.10272368073303488</v>
      </c>
      <c r="P88" s="702">
        <f>$N88*(1-'Tier3Phase-in'!$K$12)</f>
        <v>8.896604492057486E-2</v>
      </c>
      <c r="Q88" s="702">
        <f>$N88*(1-'Tier3Phase-in'!$L$12)</f>
        <v>7.821007510356065E-2</v>
      </c>
      <c r="R88" s="702">
        <f>$N88*(1-'Tier3Phase-in'!$M$12)</f>
        <v>7.3832645526868815E-2</v>
      </c>
      <c r="S88" s="702">
        <f>$N88*(1-'Tier3Phase-in'!$N$12)</f>
        <v>6.9980507499380021E-2</v>
      </c>
      <c r="T88" s="702">
        <f>$N88*(1-'Tier3Phase-in'!$O$12)</f>
        <v>6.4477453174395988E-2</v>
      </c>
      <c r="U88" s="702">
        <f>$N88*(1-'Tier3Phase-in'!$P$12)</f>
        <v>6.4339876816271388E-2</v>
      </c>
      <c r="V88" s="702">
        <f>$N88*(1-'Tier3Phase-in'!$Q$12)</f>
        <v>6.4202300458146802E-2</v>
      </c>
      <c r="W88" s="705">
        <f>W87</f>
        <v>0.30669422058703344</v>
      </c>
      <c r="X88" s="706">
        <f>X87</f>
        <v>4.4897772649016794E-2</v>
      </c>
      <c r="Y88" s="702">
        <f>$X88*(1-'Tier3Phase-in'!$J$12)</f>
        <v>4.4897772649016794E-2</v>
      </c>
      <c r="Z88" s="702">
        <f>$X88*(1-'Tier3Phase-in'!$K$12)</f>
        <v>3.888467809780919E-2</v>
      </c>
      <c r="AA88" s="702">
        <f>$X88*(1-'Tier3Phase-in'!$L$12)</f>
        <v>3.418353144868324E-2</v>
      </c>
      <c r="AB88" s="702">
        <f>$X88*(1-'Tier3Phase-in'!$M$12)</f>
        <v>3.2270274091480818E-2</v>
      </c>
      <c r="AC88" s="702">
        <f>$X88*(1-'Tier3Phase-in'!$N$12)</f>
        <v>3.0586607617142693E-2</v>
      </c>
      <c r="AD88" s="702">
        <f>$X88*(1-'Tier3Phase-in'!$O$12)</f>
        <v>2.8181369796659642E-2</v>
      </c>
      <c r="AE88" s="702">
        <f>$X88*(1-'Tier3Phase-in'!$P$12)</f>
        <v>2.8121238851147569E-2</v>
      </c>
      <c r="AF88" s="702">
        <f>$X88*(1-'Tier3Phase-in'!$Q$12)</f>
        <v>2.8061107905635495E-2</v>
      </c>
      <c r="AG88" s="705">
        <f>AG87</f>
        <v>2.2932785948514973</v>
      </c>
      <c r="AH88" s="706">
        <f>AH87</f>
        <v>1.2113102080621954</v>
      </c>
      <c r="AI88" s="702">
        <f>$AH88*(1-'Tier3Phase-in'!$J$12)</f>
        <v>1.2113102080621954</v>
      </c>
      <c r="AJ88" s="702">
        <f>$AH88*(1-'Tier3Phase-in'!$K$12)</f>
        <v>1.0490811623395799</v>
      </c>
      <c r="AK88" s="702">
        <f>$AH88*(1-'Tier3Phase-in'!$L$12)</f>
        <v>0.922247544774626</v>
      </c>
      <c r="AL88" s="702">
        <f>$AH88*(1-'Tier3Phase-in'!$M$12)</f>
        <v>0.87062921204470289</v>
      </c>
      <c r="AM88" s="702">
        <f>$AH88*(1-'Tier3Phase-in'!$N$12)</f>
        <v>0.82520507924237063</v>
      </c>
      <c r="AN88" s="702">
        <f>$AH88*(1-'Tier3Phase-in'!$O$12)</f>
        <v>0.7603134609533243</v>
      </c>
      <c r="AO88" s="702">
        <f>$AH88*(1-'Tier3Phase-in'!$P$12)</f>
        <v>0.75869117049609813</v>
      </c>
      <c r="AP88" s="702">
        <f>$AH88*(1-'Tier3Phase-in'!$Q$12)</f>
        <v>0.75706888003887207</v>
      </c>
      <c r="AQ88" s="705">
        <f>AQ87</f>
        <v>0.85567360282878224</v>
      </c>
      <c r="AR88" s="706">
        <f>AR87</f>
        <v>0.57076675713209823</v>
      </c>
      <c r="AS88" s="702">
        <f>$AR88*(1-'Tier3Phase-in'!$J$12)</f>
        <v>0.57076675713209823</v>
      </c>
      <c r="AT88" s="702">
        <f>$AR88*(1-'Tier3Phase-in'!$K$12)</f>
        <v>0.49432478073047798</v>
      </c>
      <c r="AU88" s="702">
        <f>$AR88*(1-'Tier3Phase-in'!$L$12)</f>
        <v>0.4345610537255748</v>
      </c>
      <c r="AV88" s="702">
        <f>$AR88*(1-'Tier3Phase-in'!$M$12)</f>
        <v>0.41023860668869561</v>
      </c>
      <c r="AW88" s="702">
        <f>$AR88*(1-'Tier3Phase-in'!$N$12)</f>
        <v>0.38883485329624196</v>
      </c>
      <c r="AX88" s="702">
        <f>$AR88*(1-'Tier3Phase-in'!$O$12)</f>
        <v>0.35825806273559374</v>
      </c>
      <c r="AY88" s="702">
        <f>$AR88*(1-'Tier3Phase-in'!$P$12)</f>
        <v>0.35749364297157754</v>
      </c>
      <c r="AZ88" s="702">
        <f>$AR88*(1-'Tier3Phase-in'!$Q$12)</f>
        <v>0.3567292232075614</v>
      </c>
      <c r="BA88" s="705">
        <f>BA87</f>
        <v>0.1968214542174157</v>
      </c>
      <c r="BB88" s="708">
        <f>BB87</f>
        <v>2.0959612598349924E-3</v>
      </c>
      <c r="BC88" s="703">
        <f>$BB88*(1-'Tier3Phase-in'!$J$12)</f>
        <v>2.0959612598349924E-3</v>
      </c>
      <c r="BD88" s="703">
        <f>$BB88*(1-'Tier3Phase-in'!$K$12)</f>
        <v>1.8152521625356632E-3</v>
      </c>
      <c r="BE88" s="703">
        <f>$BB88*(1-'Tier3Phase-in'!$L$12)</f>
        <v>1.5957886864652784E-3</v>
      </c>
      <c r="BF88" s="703">
        <f>$BB88*(1-'Tier3Phase-in'!$M$12)</f>
        <v>1.5064721555064007E-3</v>
      </c>
      <c r="BG88" s="703">
        <f>$BB88*(1-'Tier3Phase-in'!$N$12)</f>
        <v>1.4278736082625886E-3</v>
      </c>
      <c r="BH88" s="703">
        <f>$BB88*(1-'Tier3Phase-in'!$O$12)</f>
        <v>1.3155899693428567E-3</v>
      </c>
      <c r="BI88" s="703">
        <f>$BB88*(1-'Tier3Phase-in'!$P$12)</f>
        <v>1.3127828783698634E-3</v>
      </c>
      <c r="BJ88" s="703">
        <f>$BB88*(1-'Tier3Phase-in'!$Q$12)</f>
        <v>1.3099757873968703E-3</v>
      </c>
      <c r="BK88" s="705">
        <f>BK87</f>
        <v>0.1849636756826982</v>
      </c>
      <c r="BL88" s="708">
        <f>BL87</f>
        <v>9.4285322562935262E-3</v>
      </c>
      <c r="BM88" s="703">
        <f>$BL88*(1-'Tier3Phase-in'!$J$12)</f>
        <v>9.4285322562935262E-3</v>
      </c>
      <c r="BN88" s="703">
        <f>$BL88*(1-'Tier3Phase-in'!$K$12)</f>
        <v>8.1657824005399293E-3</v>
      </c>
      <c r="BO88" s="703">
        <f>$BL88*(1-'Tier3Phase-in'!$L$12)</f>
        <v>7.1785416042234804E-3</v>
      </c>
      <c r="BP88" s="703">
        <f>$BL88*(1-'Tier3Phase-in'!$M$12)</f>
        <v>6.7767575592109722E-3</v>
      </c>
      <c r="BQ88" s="703">
        <f>$BL88*(1-'Tier3Phase-in'!$N$12)</f>
        <v>6.4231875995999646E-3</v>
      </c>
      <c r="BR88" s="703">
        <f>$BL88*(1-'Tier3Phase-in'!$O$12)</f>
        <v>5.9180876572985245E-3</v>
      </c>
      <c r="BS88" s="703">
        <f>$BL88*(1-'Tier3Phase-in'!$P$12)</f>
        <v>5.9054601587409895E-3</v>
      </c>
      <c r="BT88" s="703">
        <f>$BL88*(1-'Tier3Phase-in'!$Q$12)</f>
        <v>5.8928326601834537E-3</v>
      </c>
      <c r="BU88" s="705">
        <f>BU87</f>
        <v>1.7252503214038276E-2</v>
      </c>
      <c r="BV88" s="708">
        <f>BV87</f>
        <v>1.1312400111365948E-2</v>
      </c>
      <c r="BW88" s="703">
        <f>(1-'Tier3Phase-in'!$J$20)*BV88</f>
        <v>3.8462160378644221E-3</v>
      </c>
      <c r="BX88" s="705">
        <f>BX87</f>
        <v>0</v>
      </c>
      <c r="BY88" s="708">
        <f>BY87</f>
        <v>1.9321489574068264E-3</v>
      </c>
      <c r="BZ88" s="705">
        <f>BZ87</f>
        <v>0</v>
      </c>
      <c r="CA88" s="708">
        <f>CA87</f>
        <v>1.9222585649836582E-3</v>
      </c>
    </row>
    <row r="89" spans="1:79" x14ac:dyDescent="0.2">
      <c r="A89" s="690" t="str">
        <f>Technologies!C176</f>
        <v>THLDSLSW</v>
      </c>
      <c r="B89" s="690" t="str">
        <f>Technologies!D176</f>
        <v>Heavy Truck, Long Haul, Diesel Smartway</v>
      </c>
      <c r="C89" s="705">
        <f>C87</f>
        <v>6.1495505224907969</v>
      </c>
      <c r="D89" s="706">
        <f>D87</f>
        <v>3.0358008198204458</v>
      </c>
      <c r="E89" s="702">
        <f>$D89*(1-'Tier3Phase-in'!$J$12)</f>
        <v>3.0358008198204458</v>
      </c>
      <c r="F89" s="702">
        <f>$D89*(1-'Tier3Phase-in'!$K$12)</f>
        <v>2.6292203528802078</v>
      </c>
      <c r="G89" s="702">
        <f>$D89*(1-'Tier3Phase-in'!$L$12)</f>
        <v>2.3113483514542028</v>
      </c>
      <c r="H89" s="702">
        <f>$D89*(1-'Tier3Phase-in'!$M$12)</f>
        <v>2.1819818392459456</v>
      </c>
      <c r="I89" s="702">
        <f>$D89*(1-'Tier3Phase-in'!$N$12)</f>
        <v>2.0681393085026789</v>
      </c>
      <c r="J89" s="702">
        <f>$D89*(1-'Tier3Phase-in'!$O$12)</f>
        <v>1.9055071217265831</v>
      </c>
      <c r="K89" s="702">
        <f>$D89*(1-'Tier3Phase-in'!$P$12)</f>
        <v>1.9014413170571809</v>
      </c>
      <c r="L89" s="702">
        <f>$D89*(1-'Tier3Phase-in'!$Q$12)</f>
        <v>1.8973755123877787</v>
      </c>
      <c r="M89" s="705">
        <f>M87</f>
        <v>0.3726065784654341</v>
      </c>
      <c r="N89" s="706">
        <f>N87</f>
        <v>0.10272368073303488</v>
      </c>
      <c r="O89" s="702">
        <f>$N89*(1-'Tier3Phase-in'!$J$12)</f>
        <v>0.10272368073303488</v>
      </c>
      <c r="P89" s="702">
        <f>$N89*(1-'Tier3Phase-in'!$K$12)</f>
        <v>8.896604492057486E-2</v>
      </c>
      <c r="Q89" s="702">
        <f>$N89*(1-'Tier3Phase-in'!$L$12)</f>
        <v>7.821007510356065E-2</v>
      </c>
      <c r="R89" s="702">
        <f>$N89*(1-'Tier3Phase-in'!$M$12)</f>
        <v>7.3832645526868815E-2</v>
      </c>
      <c r="S89" s="702">
        <f>$N89*(1-'Tier3Phase-in'!$N$12)</f>
        <v>6.9980507499380021E-2</v>
      </c>
      <c r="T89" s="702">
        <f>$N89*(1-'Tier3Phase-in'!$O$12)</f>
        <v>6.4477453174395988E-2</v>
      </c>
      <c r="U89" s="702">
        <f>$N89*(1-'Tier3Phase-in'!$P$12)</f>
        <v>6.4339876816271388E-2</v>
      </c>
      <c r="V89" s="702">
        <f>$N89*(1-'Tier3Phase-in'!$Q$12)</f>
        <v>6.4202300458146802E-2</v>
      </c>
      <c r="W89" s="705">
        <f>W87</f>
        <v>0.30669422058703344</v>
      </c>
      <c r="X89" s="706">
        <f>X87</f>
        <v>4.4897772649016794E-2</v>
      </c>
      <c r="Y89" s="702">
        <f>$X89*(1-'Tier3Phase-in'!$J$12)</f>
        <v>4.4897772649016794E-2</v>
      </c>
      <c r="Z89" s="702">
        <f>$X89*(1-'Tier3Phase-in'!$K$12)</f>
        <v>3.888467809780919E-2</v>
      </c>
      <c r="AA89" s="702">
        <f>$X89*(1-'Tier3Phase-in'!$L$12)</f>
        <v>3.418353144868324E-2</v>
      </c>
      <c r="AB89" s="702">
        <f>$X89*(1-'Tier3Phase-in'!$M$12)</f>
        <v>3.2270274091480818E-2</v>
      </c>
      <c r="AC89" s="702">
        <f>$X89*(1-'Tier3Phase-in'!$N$12)</f>
        <v>3.0586607617142693E-2</v>
      </c>
      <c r="AD89" s="702">
        <f>$X89*(1-'Tier3Phase-in'!$O$12)</f>
        <v>2.8181369796659642E-2</v>
      </c>
      <c r="AE89" s="702">
        <f>$X89*(1-'Tier3Phase-in'!$P$12)</f>
        <v>2.8121238851147569E-2</v>
      </c>
      <c r="AF89" s="702">
        <f>$X89*(1-'Tier3Phase-in'!$Q$12)</f>
        <v>2.8061107905635495E-2</v>
      </c>
      <c r="AG89" s="705">
        <f>AG87</f>
        <v>2.2932785948514973</v>
      </c>
      <c r="AH89" s="706">
        <f>AH87</f>
        <v>1.2113102080621954</v>
      </c>
      <c r="AI89" s="702">
        <f>$AH89*(1-'Tier3Phase-in'!$J$12)</f>
        <v>1.2113102080621954</v>
      </c>
      <c r="AJ89" s="702">
        <f>$AH89*(1-'Tier3Phase-in'!$K$12)</f>
        <v>1.0490811623395799</v>
      </c>
      <c r="AK89" s="702">
        <f>$AH89*(1-'Tier3Phase-in'!$L$12)</f>
        <v>0.922247544774626</v>
      </c>
      <c r="AL89" s="702">
        <f>$AH89*(1-'Tier3Phase-in'!$M$12)</f>
        <v>0.87062921204470289</v>
      </c>
      <c r="AM89" s="702">
        <f>$AH89*(1-'Tier3Phase-in'!$N$12)</f>
        <v>0.82520507924237063</v>
      </c>
      <c r="AN89" s="702">
        <f>$AH89*(1-'Tier3Phase-in'!$O$12)</f>
        <v>0.7603134609533243</v>
      </c>
      <c r="AO89" s="702">
        <f>$AH89*(1-'Tier3Phase-in'!$P$12)</f>
        <v>0.75869117049609813</v>
      </c>
      <c r="AP89" s="702">
        <f>$AH89*(1-'Tier3Phase-in'!$Q$12)</f>
        <v>0.75706888003887207</v>
      </c>
      <c r="AQ89" s="705">
        <f>AQ87</f>
        <v>0.85567360282878224</v>
      </c>
      <c r="AR89" s="706">
        <f>AR87</f>
        <v>0.57076675713209823</v>
      </c>
      <c r="AS89" s="702">
        <f>$AR89*(1-'Tier3Phase-in'!$J$12)</f>
        <v>0.57076675713209823</v>
      </c>
      <c r="AT89" s="702">
        <f>$AR89*(1-'Tier3Phase-in'!$K$12)</f>
        <v>0.49432478073047798</v>
      </c>
      <c r="AU89" s="702">
        <f>$AR89*(1-'Tier3Phase-in'!$L$12)</f>
        <v>0.4345610537255748</v>
      </c>
      <c r="AV89" s="702">
        <f>$AR89*(1-'Tier3Phase-in'!$M$12)</f>
        <v>0.41023860668869561</v>
      </c>
      <c r="AW89" s="702">
        <f>$AR89*(1-'Tier3Phase-in'!$N$12)</f>
        <v>0.38883485329624196</v>
      </c>
      <c r="AX89" s="702">
        <f>$AR89*(1-'Tier3Phase-in'!$O$12)</f>
        <v>0.35825806273559374</v>
      </c>
      <c r="AY89" s="702">
        <f>$AR89*(1-'Tier3Phase-in'!$P$12)</f>
        <v>0.35749364297157754</v>
      </c>
      <c r="AZ89" s="702">
        <f>$AR89*(1-'Tier3Phase-in'!$Q$12)</f>
        <v>0.3567292232075614</v>
      </c>
      <c r="BA89" s="705">
        <f>BA87</f>
        <v>0.1968214542174157</v>
      </c>
      <c r="BB89" s="708">
        <f>BB87</f>
        <v>2.0959612598349924E-3</v>
      </c>
      <c r="BC89" s="703">
        <f>$BB89*(1-'Tier3Phase-in'!$J$12)</f>
        <v>2.0959612598349924E-3</v>
      </c>
      <c r="BD89" s="703">
        <f>$BB89*(1-'Tier3Phase-in'!$K$12)</f>
        <v>1.8152521625356632E-3</v>
      </c>
      <c r="BE89" s="703">
        <f>$BB89*(1-'Tier3Phase-in'!$L$12)</f>
        <v>1.5957886864652784E-3</v>
      </c>
      <c r="BF89" s="703">
        <f>$BB89*(1-'Tier3Phase-in'!$M$12)</f>
        <v>1.5064721555064007E-3</v>
      </c>
      <c r="BG89" s="703">
        <f>$BB89*(1-'Tier3Phase-in'!$N$12)</f>
        <v>1.4278736082625886E-3</v>
      </c>
      <c r="BH89" s="703">
        <f>$BB89*(1-'Tier3Phase-in'!$O$12)</f>
        <v>1.3155899693428567E-3</v>
      </c>
      <c r="BI89" s="703">
        <f>$BB89*(1-'Tier3Phase-in'!$P$12)</f>
        <v>1.3127828783698634E-3</v>
      </c>
      <c r="BJ89" s="703">
        <f>$BB89*(1-'Tier3Phase-in'!$Q$12)</f>
        <v>1.3099757873968703E-3</v>
      </c>
      <c r="BK89" s="705">
        <f>BK87</f>
        <v>0.1849636756826982</v>
      </c>
      <c r="BL89" s="708">
        <f>BL87</f>
        <v>9.4285322562935262E-3</v>
      </c>
      <c r="BM89" s="703">
        <f>$BL89*(1-'Tier3Phase-in'!$J$12)</f>
        <v>9.4285322562935262E-3</v>
      </c>
      <c r="BN89" s="703">
        <f>$BL89*(1-'Tier3Phase-in'!$K$12)</f>
        <v>8.1657824005399293E-3</v>
      </c>
      <c r="BO89" s="703">
        <f>$BL89*(1-'Tier3Phase-in'!$L$12)</f>
        <v>7.1785416042234804E-3</v>
      </c>
      <c r="BP89" s="703">
        <f>$BL89*(1-'Tier3Phase-in'!$M$12)</f>
        <v>6.7767575592109722E-3</v>
      </c>
      <c r="BQ89" s="703">
        <f>$BL89*(1-'Tier3Phase-in'!$N$12)</f>
        <v>6.4231875995999646E-3</v>
      </c>
      <c r="BR89" s="703">
        <f>$BL89*(1-'Tier3Phase-in'!$O$12)</f>
        <v>5.9180876572985245E-3</v>
      </c>
      <c r="BS89" s="703">
        <f>$BL89*(1-'Tier3Phase-in'!$P$12)</f>
        <v>5.9054601587409895E-3</v>
      </c>
      <c r="BT89" s="703">
        <f>$BL89*(1-'Tier3Phase-in'!$Q$12)</f>
        <v>5.8928326601834537E-3</v>
      </c>
      <c r="BU89" s="705">
        <f>BU87</f>
        <v>1.7252503214038276E-2</v>
      </c>
      <c r="BV89" s="708">
        <f>BV87</f>
        <v>1.1312400111365948E-2</v>
      </c>
      <c r="BW89" s="703">
        <f>(1-'Tier3Phase-in'!$J$20)*BV89</f>
        <v>3.8462160378644221E-3</v>
      </c>
      <c r="BX89" s="705">
        <f>BX87</f>
        <v>0</v>
      </c>
      <c r="BY89" s="708">
        <f>BY87</f>
        <v>1.9321489574068264E-3</v>
      </c>
      <c r="BZ89" s="705">
        <f>BZ87</f>
        <v>0</v>
      </c>
      <c r="CA89" s="708">
        <f>CA87</f>
        <v>1.9222585649836582E-3</v>
      </c>
    </row>
    <row r="90" spans="1:79" x14ac:dyDescent="0.2">
      <c r="A90" s="690" t="str">
        <f>Technologies!C177</f>
        <v>THLDSLSWH</v>
      </c>
      <c r="B90" s="690" t="str">
        <f>Technologies!D177</f>
        <v>Heavy Truck, Long Haul, Diesel Smartway Hybird</v>
      </c>
      <c r="C90" s="705">
        <f>C89</f>
        <v>6.1495505224907969</v>
      </c>
      <c r="D90" s="706">
        <f>D89</f>
        <v>3.0358008198204458</v>
      </c>
      <c r="E90" s="702">
        <f>$D90*(1-'Tier3Phase-in'!$J$12)</f>
        <v>3.0358008198204458</v>
      </c>
      <c r="F90" s="702">
        <f>$D90*(1-'Tier3Phase-in'!$K$12)</f>
        <v>2.6292203528802078</v>
      </c>
      <c r="G90" s="702">
        <f>$D90*(1-'Tier3Phase-in'!$L$12)</f>
        <v>2.3113483514542028</v>
      </c>
      <c r="H90" s="702">
        <f>$D90*(1-'Tier3Phase-in'!$M$12)</f>
        <v>2.1819818392459456</v>
      </c>
      <c r="I90" s="702">
        <f>$D90*(1-'Tier3Phase-in'!$N$12)</f>
        <v>2.0681393085026789</v>
      </c>
      <c r="J90" s="702">
        <f>$D90*(1-'Tier3Phase-in'!$O$12)</f>
        <v>1.9055071217265831</v>
      </c>
      <c r="K90" s="702">
        <f>$D90*(1-'Tier3Phase-in'!$P$12)</f>
        <v>1.9014413170571809</v>
      </c>
      <c r="L90" s="702">
        <f>$D90*(1-'Tier3Phase-in'!$Q$12)</f>
        <v>1.8973755123877787</v>
      </c>
      <c r="M90" s="705">
        <f>M89</f>
        <v>0.3726065784654341</v>
      </c>
      <c r="N90" s="706">
        <f>N89</f>
        <v>0.10272368073303488</v>
      </c>
      <c r="O90" s="702">
        <f>$N90*(1-'Tier3Phase-in'!$J$12)</f>
        <v>0.10272368073303488</v>
      </c>
      <c r="P90" s="702">
        <f>$N90*(1-'Tier3Phase-in'!$K$12)</f>
        <v>8.896604492057486E-2</v>
      </c>
      <c r="Q90" s="702">
        <f>$N90*(1-'Tier3Phase-in'!$L$12)</f>
        <v>7.821007510356065E-2</v>
      </c>
      <c r="R90" s="702">
        <f>$N90*(1-'Tier3Phase-in'!$M$12)</f>
        <v>7.3832645526868815E-2</v>
      </c>
      <c r="S90" s="702">
        <f>$N90*(1-'Tier3Phase-in'!$N$12)</f>
        <v>6.9980507499380021E-2</v>
      </c>
      <c r="T90" s="702">
        <f>$N90*(1-'Tier3Phase-in'!$O$12)</f>
        <v>6.4477453174395988E-2</v>
      </c>
      <c r="U90" s="702">
        <f>$N90*(1-'Tier3Phase-in'!$P$12)</f>
        <v>6.4339876816271388E-2</v>
      </c>
      <c r="V90" s="702">
        <f>$N90*(1-'Tier3Phase-in'!$Q$12)</f>
        <v>6.4202300458146802E-2</v>
      </c>
      <c r="W90" s="705">
        <f>W89</f>
        <v>0.30669422058703344</v>
      </c>
      <c r="X90" s="706">
        <f>X89</f>
        <v>4.4897772649016794E-2</v>
      </c>
      <c r="Y90" s="702">
        <f>$X90*(1-'Tier3Phase-in'!$J$12)</f>
        <v>4.4897772649016794E-2</v>
      </c>
      <c r="Z90" s="702">
        <f>$X90*(1-'Tier3Phase-in'!$K$12)</f>
        <v>3.888467809780919E-2</v>
      </c>
      <c r="AA90" s="702">
        <f>$X90*(1-'Tier3Phase-in'!$L$12)</f>
        <v>3.418353144868324E-2</v>
      </c>
      <c r="AB90" s="702">
        <f>$X90*(1-'Tier3Phase-in'!$M$12)</f>
        <v>3.2270274091480818E-2</v>
      </c>
      <c r="AC90" s="702">
        <f>$X90*(1-'Tier3Phase-in'!$N$12)</f>
        <v>3.0586607617142693E-2</v>
      </c>
      <c r="AD90" s="702">
        <f>$X90*(1-'Tier3Phase-in'!$O$12)</f>
        <v>2.8181369796659642E-2</v>
      </c>
      <c r="AE90" s="702">
        <f>$X90*(1-'Tier3Phase-in'!$P$12)</f>
        <v>2.8121238851147569E-2</v>
      </c>
      <c r="AF90" s="702">
        <f>$X90*(1-'Tier3Phase-in'!$Q$12)</f>
        <v>2.8061107905635495E-2</v>
      </c>
      <c r="AG90" s="705">
        <f>AG89</f>
        <v>2.2932785948514973</v>
      </c>
      <c r="AH90" s="706">
        <f>AH89</f>
        <v>1.2113102080621954</v>
      </c>
      <c r="AI90" s="702">
        <f>$AH90*(1-'Tier3Phase-in'!$J$12)</f>
        <v>1.2113102080621954</v>
      </c>
      <c r="AJ90" s="702">
        <f>$AH90*(1-'Tier3Phase-in'!$K$12)</f>
        <v>1.0490811623395799</v>
      </c>
      <c r="AK90" s="702">
        <f>$AH90*(1-'Tier3Phase-in'!$L$12)</f>
        <v>0.922247544774626</v>
      </c>
      <c r="AL90" s="702">
        <f>$AH90*(1-'Tier3Phase-in'!$M$12)</f>
        <v>0.87062921204470289</v>
      </c>
      <c r="AM90" s="702">
        <f>$AH90*(1-'Tier3Phase-in'!$N$12)</f>
        <v>0.82520507924237063</v>
      </c>
      <c r="AN90" s="702">
        <f>$AH90*(1-'Tier3Phase-in'!$O$12)</f>
        <v>0.7603134609533243</v>
      </c>
      <c r="AO90" s="702">
        <f>$AH90*(1-'Tier3Phase-in'!$P$12)</f>
        <v>0.75869117049609813</v>
      </c>
      <c r="AP90" s="702">
        <f>$AH90*(1-'Tier3Phase-in'!$Q$12)</f>
        <v>0.75706888003887207</v>
      </c>
      <c r="AQ90" s="705">
        <f>AQ89</f>
        <v>0.85567360282878224</v>
      </c>
      <c r="AR90" s="706">
        <f>AR89</f>
        <v>0.57076675713209823</v>
      </c>
      <c r="AS90" s="702">
        <f>$AR90*(1-'Tier3Phase-in'!$J$12)</f>
        <v>0.57076675713209823</v>
      </c>
      <c r="AT90" s="702">
        <f>$AR90*(1-'Tier3Phase-in'!$K$12)</f>
        <v>0.49432478073047798</v>
      </c>
      <c r="AU90" s="702">
        <f>$AR90*(1-'Tier3Phase-in'!$L$12)</f>
        <v>0.4345610537255748</v>
      </c>
      <c r="AV90" s="702">
        <f>$AR90*(1-'Tier3Phase-in'!$M$12)</f>
        <v>0.41023860668869561</v>
      </c>
      <c r="AW90" s="702">
        <f>$AR90*(1-'Tier3Phase-in'!$N$12)</f>
        <v>0.38883485329624196</v>
      </c>
      <c r="AX90" s="702">
        <f>$AR90*(1-'Tier3Phase-in'!$O$12)</f>
        <v>0.35825806273559374</v>
      </c>
      <c r="AY90" s="702">
        <f>$AR90*(1-'Tier3Phase-in'!$P$12)</f>
        <v>0.35749364297157754</v>
      </c>
      <c r="AZ90" s="702">
        <f>$AR90*(1-'Tier3Phase-in'!$Q$12)</f>
        <v>0.3567292232075614</v>
      </c>
      <c r="BA90" s="705">
        <f>BA89</f>
        <v>0.1968214542174157</v>
      </c>
      <c r="BB90" s="708">
        <f>BB89</f>
        <v>2.0959612598349924E-3</v>
      </c>
      <c r="BC90" s="703">
        <f>$BB90*(1-'Tier3Phase-in'!$J$12)</f>
        <v>2.0959612598349924E-3</v>
      </c>
      <c r="BD90" s="703">
        <f>$BB90*(1-'Tier3Phase-in'!$K$12)</f>
        <v>1.8152521625356632E-3</v>
      </c>
      <c r="BE90" s="703">
        <f>$BB90*(1-'Tier3Phase-in'!$L$12)</f>
        <v>1.5957886864652784E-3</v>
      </c>
      <c r="BF90" s="703">
        <f>$BB90*(1-'Tier3Phase-in'!$M$12)</f>
        <v>1.5064721555064007E-3</v>
      </c>
      <c r="BG90" s="703">
        <f>$BB90*(1-'Tier3Phase-in'!$N$12)</f>
        <v>1.4278736082625886E-3</v>
      </c>
      <c r="BH90" s="703">
        <f>$BB90*(1-'Tier3Phase-in'!$O$12)</f>
        <v>1.3155899693428567E-3</v>
      </c>
      <c r="BI90" s="703">
        <f>$BB90*(1-'Tier3Phase-in'!$P$12)</f>
        <v>1.3127828783698634E-3</v>
      </c>
      <c r="BJ90" s="703">
        <f>$BB90*(1-'Tier3Phase-in'!$Q$12)</f>
        <v>1.3099757873968703E-3</v>
      </c>
      <c r="BK90" s="705">
        <f>BK89</f>
        <v>0.1849636756826982</v>
      </c>
      <c r="BL90" s="708">
        <f>BL89</f>
        <v>9.4285322562935262E-3</v>
      </c>
      <c r="BM90" s="703">
        <f>$BL90*(1-'Tier3Phase-in'!$J$12)</f>
        <v>9.4285322562935262E-3</v>
      </c>
      <c r="BN90" s="703">
        <f>$BL90*(1-'Tier3Phase-in'!$K$12)</f>
        <v>8.1657824005399293E-3</v>
      </c>
      <c r="BO90" s="703">
        <f>$BL90*(1-'Tier3Phase-in'!$L$12)</f>
        <v>7.1785416042234804E-3</v>
      </c>
      <c r="BP90" s="703">
        <f>$BL90*(1-'Tier3Phase-in'!$M$12)</f>
        <v>6.7767575592109722E-3</v>
      </c>
      <c r="BQ90" s="703">
        <f>$BL90*(1-'Tier3Phase-in'!$N$12)</f>
        <v>6.4231875995999646E-3</v>
      </c>
      <c r="BR90" s="703">
        <f>$BL90*(1-'Tier3Phase-in'!$O$12)</f>
        <v>5.9180876572985245E-3</v>
      </c>
      <c r="BS90" s="703">
        <f>$BL90*(1-'Tier3Phase-in'!$P$12)</f>
        <v>5.9054601587409895E-3</v>
      </c>
      <c r="BT90" s="703">
        <f>$BL90*(1-'Tier3Phase-in'!$Q$12)</f>
        <v>5.8928326601834537E-3</v>
      </c>
      <c r="BU90" s="705">
        <f>BU89</f>
        <v>1.7252503214038276E-2</v>
      </c>
      <c r="BV90" s="708">
        <f>BV89</f>
        <v>1.1312400111365948E-2</v>
      </c>
      <c r="BW90" s="703">
        <f>(1-'Tier3Phase-in'!$J$20)*BV90</f>
        <v>3.8462160378644221E-3</v>
      </c>
      <c r="BX90" s="705">
        <f>BX89</f>
        <v>0</v>
      </c>
      <c r="BY90" s="708">
        <f>BY89</f>
        <v>1.9321489574068264E-3</v>
      </c>
      <c r="BZ90" s="705">
        <f>BZ89</f>
        <v>0</v>
      </c>
      <c r="CA90" s="708">
        <f>CA89</f>
        <v>1.9222585649836582E-3</v>
      </c>
    </row>
    <row r="91" spans="1:79" x14ac:dyDescent="0.2">
      <c r="A91" s="690" t="str">
        <f>Technologies!C178</f>
        <v>THLB20C10</v>
      </c>
      <c r="B91" s="690" t="str">
        <f>Technologies!D178</f>
        <v>Heavy Truck, Long Haul, B20 Conventional 2010</v>
      </c>
      <c r="C91" s="705">
        <f>'Raw emissions'!D31*'Raw emissions'!B78+'Raw emissions'!D40*'Raw emissions'!B79</f>
        <v>6.1495505224907969</v>
      </c>
      <c r="D91" s="706">
        <f>'Raw emissions'!E31*'Raw emissions'!$B$78+'Raw emissions'!E40*'Raw emissions'!$B$79</f>
        <v>3.0358008198204458</v>
      </c>
      <c r="E91" s="702">
        <f>$C91</f>
        <v>6.1495505224907969</v>
      </c>
      <c r="F91" s="702">
        <f t="shared" ref="F91:L91" si="149">$C91</f>
        <v>6.1495505224907969</v>
      </c>
      <c r="G91" s="702">
        <f t="shared" si="149"/>
        <v>6.1495505224907969</v>
      </c>
      <c r="H91" s="702">
        <f t="shared" si="149"/>
        <v>6.1495505224907969</v>
      </c>
      <c r="I91" s="702">
        <f t="shared" si="149"/>
        <v>6.1495505224907969</v>
      </c>
      <c r="J91" s="702">
        <f t="shared" si="149"/>
        <v>6.1495505224907969</v>
      </c>
      <c r="K91" s="702">
        <f t="shared" si="149"/>
        <v>6.1495505224907969</v>
      </c>
      <c r="L91" s="702">
        <f t="shared" si="149"/>
        <v>6.1495505224907969</v>
      </c>
      <c r="M91" s="705">
        <f>'Raw emissions'!J31*'Raw emissions'!$B$78+'Raw emissions'!J40*'Raw emissions'!$B$79</f>
        <v>0.34446413174733448</v>
      </c>
      <c r="N91" s="706">
        <f>'Raw emissions'!K31*'Raw emissions'!$B$78+'Raw emissions'!K40*'Raw emissions'!$B$79</f>
        <v>0.10272368073303488</v>
      </c>
      <c r="O91" s="702">
        <f>$M91</f>
        <v>0.34446413174733448</v>
      </c>
      <c r="P91" s="702">
        <f t="shared" ref="P91:V91" si="150">$M91</f>
        <v>0.34446413174733448</v>
      </c>
      <c r="Q91" s="702">
        <f t="shared" si="150"/>
        <v>0.34446413174733448</v>
      </c>
      <c r="R91" s="702">
        <f t="shared" si="150"/>
        <v>0.34446413174733448</v>
      </c>
      <c r="S91" s="702">
        <f t="shared" si="150"/>
        <v>0.34446413174733448</v>
      </c>
      <c r="T91" s="702">
        <f t="shared" si="150"/>
        <v>0.34446413174733448</v>
      </c>
      <c r="U91" s="702">
        <f t="shared" si="150"/>
        <v>0.34446413174733448</v>
      </c>
      <c r="V91" s="702">
        <f t="shared" si="150"/>
        <v>0.34446413174733448</v>
      </c>
      <c r="W91" s="705">
        <f>'Raw emissions'!M31*'Raw emissions'!$B$78+'Raw emissions'!M40*'Raw emissions'!$B$79</f>
        <v>0.27939501582100246</v>
      </c>
      <c r="X91" s="706">
        <f>'Raw emissions'!N31*'Raw emissions'!$B$78+'Raw emissions'!N40*'Raw emissions'!$B$79</f>
        <v>4.4897772649016794E-2</v>
      </c>
      <c r="Y91" s="702">
        <f t="shared" ref="Y91:AF91" si="151">W91</f>
        <v>0.27939501582100246</v>
      </c>
      <c r="Z91" s="702">
        <f t="shared" si="151"/>
        <v>4.4897772649016794E-2</v>
      </c>
      <c r="AA91" s="702">
        <f t="shared" si="151"/>
        <v>0.27939501582100246</v>
      </c>
      <c r="AB91" s="702">
        <f t="shared" si="151"/>
        <v>4.4897772649016794E-2</v>
      </c>
      <c r="AC91" s="702">
        <f t="shared" si="151"/>
        <v>0.27939501582100246</v>
      </c>
      <c r="AD91" s="702">
        <f t="shared" si="151"/>
        <v>4.4897772649016794E-2</v>
      </c>
      <c r="AE91" s="702">
        <f t="shared" si="151"/>
        <v>0.27939501582100246</v>
      </c>
      <c r="AF91" s="702">
        <f t="shared" si="151"/>
        <v>4.4897772649016794E-2</v>
      </c>
      <c r="AG91" s="705">
        <f>'Raw emissions'!P31*'Raw emissions'!$B$78+'Raw emissions'!P40*'Raw emissions'!$B$79</f>
        <v>2.1248112800144261</v>
      </c>
      <c r="AH91" s="706">
        <f>'Raw emissions'!Q31*'Raw emissions'!$B$78+'Raw emissions'!Q40*'Raw emissions'!$B$79</f>
        <v>1.2113102080621954</v>
      </c>
      <c r="AI91" s="702">
        <f>$AG91</f>
        <v>2.1248112800144261</v>
      </c>
      <c r="AJ91" s="702">
        <f t="shared" ref="AJ91:AP91" si="152">$AG91</f>
        <v>2.1248112800144261</v>
      </c>
      <c r="AK91" s="702">
        <f t="shared" si="152"/>
        <v>2.1248112800144261</v>
      </c>
      <c r="AL91" s="702">
        <f t="shared" si="152"/>
        <v>2.1248112800144261</v>
      </c>
      <c r="AM91" s="702">
        <f t="shared" si="152"/>
        <v>2.1248112800144261</v>
      </c>
      <c r="AN91" s="702">
        <f t="shared" si="152"/>
        <v>2.1248112800144261</v>
      </c>
      <c r="AO91" s="702">
        <f t="shared" si="152"/>
        <v>2.1248112800144261</v>
      </c>
      <c r="AP91" s="702">
        <f t="shared" si="152"/>
        <v>2.1248112800144261</v>
      </c>
      <c r="AQ91" s="705">
        <f>'Raw emissions'!Y31*'Raw emissions'!$B$78+'Raw emissions'!Y40*'Raw emissions'!$B$79</f>
        <v>0.85567360282878224</v>
      </c>
      <c r="AR91" s="706">
        <f>'Raw emissions'!Z31*'Raw emissions'!$B$78+'Raw emissions'!Z40*'Raw emissions'!$B$79</f>
        <v>0.57076675713209823</v>
      </c>
      <c r="AS91" s="702">
        <f>$AQ91</f>
        <v>0.85567360282878224</v>
      </c>
      <c r="AT91" s="702">
        <f t="shared" ref="AT91:AZ91" si="153">$AQ91</f>
        <v>0.85567360282878224</v>
      </c>
      <c r="AU91" s="702">
        <f t="shared" si="153"/>
        <v>0.85567360282878224</v>
      </c>
      <c r="AV91" s="702">
        <f t="shared" si="153"/>
        <v>0.85567360282878224</v>
      </c>
      <c r="AW91" s="702">
        <f t="shared" si="153"/>
        <v>0.85567360282878224</v>
      </c>
      <c r="AX91" s="702">
        <f t="shared" si="153"/>
        <v>0.85567360282878224</v>
      </c>
      <c r="AY91" s="702">
        <f t="shared" si="153"/>
        <v>0.85567360282878224</v>
      </c>
      <c r="AZ91" s="702">
        <f t="shared" si="153"/>
        <v>0.85567360282878224</v>
      </c>
      <c r="BA91" s="705">
        <f>'Raw emissions'!AK31*'Raw emissions'!$B$78+'Raw emissions'!AK40*'Raw emissions'!$B$79</f>
        <v>0.17708166923612689</v>
      </c>
      <c r="BB91" s="708">
        <f>'Raw emissions'!AL31*'Raw emissions'!$B$78+'Raw emissions'!AL40*'Raw emissions'!$B$79</f>
        <v>2.0959612598349924E-3</v>
      </c>
      <c r="BC91" s="703">
        <f>$BA91</f>
        <v>0.17708166923612689</v>
      </c>
      <c r="BD91" s="703">
        <f t="shared" ref="BD91:BJ91" si="154">$BA91</f>
        <v>0.17708166923612689</v>
      </c>
      <c r="BE91" s="703">
        <f t="shared" si="154"/>
        <v>0.17708166923612689</v>
      </c>
      <c r="BF91" s="703">
        <f t="shared" si="154"/>
        <v>0.17708166923612689</v>
      </c>
      <c r="BG91" s="703">
        <f t="shared" si="154"/>
        <v>0.17708166923612689</v>
      </c>
      <c r="BH91" s="703">
        <f t="shared" si="154"/>
        <v>0.17708166923612689</v>
      </c>
      <c r="BI91" s="703">
        <f t="shared" si="154"/>
        <v>0.17708166923612689</v>
      </c>
      <c r="BJ91" s="703">
        <f t="shared" si="154"/>
        <v>0.17708166923612689</v>
      </c>
      <c r="BK91" s="705">
        <f>'Raw emissions'!AG31*'Raw emissions'!$B$78+'Raw emissions'!AG40*'Raw emissions'!$B$79</f>
        <v>0.16670087785414414</v>
      </c>
      <c r="BL91" s="708">
        <f>'Raw emissions'!AI31*'Raw emissions'!$B$78+'Raw emissions'!AI40*'Raw emissions'!$B$79</f>
        <v>9.4285322562935262E-3</v>
      </c>
      <c r="BM91" s="703">
        <f>$BK91</f>
        <v>0.16670087785414414</v>
      </c>
      <c r="BN91" s="703">
        <f t="shared" ref="BN91:BT91" si="155">$BK91</f>
        <v>0.16670087785414414</v>
      </c>
      <c r="BO91" s="703">
        <f t="shared" si="155"/>
        <v>0.16670087785414414</v>
      </c>
      <c r="BP91" s="703">
        <f t="shared" si="155"/>
        <v>0.16670087785414414</v>
      </c>
      <c r="BQ91" s="703">
        <f t="shared" si="155"/>
        <v>0.16670087785414414</v>
      </c>
      <c r="BR91" s="703">
        <f t="shared" si="155"/>
        <v>0.16670087785414414</v>
      </c>
      <c r="BS91" s="703">
        <f t="shared" si="155"/>
        <v>0.16670087785414414</v>
      </c>
      <c r="BT91" s="703">
        <f t="shared" si="155"/>
        <v>0.16670087785414414</v>
      </c>
      <c r="BU91" s="705">
        <f>'Raw emissions'!G31*'Raw emissions'!$B$78+'Raw emissions'!G40*'Raw emissions'!$B$79</f>
        <v>1.5433412123051972E-2</v>
      </c>
      <c r="BV91" s="708">
        <f>'Raw emissions'!H31*'Raw emissions'!$B$78+'Raw emissions'!H40*'Raw emissions'!$B$79</f>
        <v>1.0981611391844521E-2</v>
      </c>
      <c r="BW91" s="703">
        <f>(1-'Tier3Phase-in'!$J$20)*BV91</f>
        <v>3.7337478732271368E-3</v>
      </c>
      <c r="BX91" s="705">
        <f>'Raw emissions'!V31*'Raw emissions'!BU78+'Raw emissions'!V40*'Raw emissions'!BU79</f>
        <v>0</v>
      </c>
      <c r="BY91" s="708">
        <f>'Raw emissions'!W31*'Raw emissions'!$B$78+'Raw emissions'!W40*'Raw emissions'!$B$79</f>
        <v>1.9321380898951993E-3</v>
      </c>
      <c r="BZ91" s="705">
        <f>'Raw emissions'!S31*'Raw emissions'!BW78+'Raw emissions'!S40*'Raw emissions'!BW79</f>
        <v>0</v>
      </c>
      <c r="CA91" s="708">
        <f>'Raw emissions'!T31*'Raw emissions'!$B$78+'Raw emissions'!T40*'Raw emissions'!$B$79</f>
        <v>1.9222585649836582E-3</v>
      </c>
    </row>
    <row r="92" spans="1:79" x14ac:dyDescent="0.2">
      <c r="A92" s="690" t="str">
        <f>Technologies!C179</f>
        <v>THLB20C</v>
      </c>
      <c r="B92" s="690" t="str">
        <f>Technologies!D179</f>
        <v>Heavy Truck, Long Haul, Conventional B20</v>
      </c>
      <c r="C92" s="705">
        <f>'Raw emissions'!D31*'Raw emissions'!B78+'Raw emissions'!D40*'Raw emissions'!B79</f>
        <v>6.1495505224907969</v>
      </c>
      <c r="D92" s="706">
        <f>'Raw emissions'!E31*'Raw emissions'!$B$78+'Raw emissions'!E40*'Raw emissions'!$B$79</f>
        <v>3.0358008198204458</v>
      </c>
      <c r="E92" s="702">
        <f>$D92*(1-'Tier3Phase-in'!$J$12)</f>
        <v>3.0358008198204458</v>
      </c>
      <c r="F92" s="702">
        <f>$D92*(1-'Tier3Phase-in'!$K$12)</f>
        <v>2.6292203528802078</v>
      </c>
      <c r="G92" s="702">
        <f>$D92*(1-'Tier3Phase-in'!$L$12)</f>
        <v>2.3113483514542028</v>
      </c>
      <c r="H92" s="702">
        <f>$D92*(1-'Tier3Phase-in'!$M$12)</f>
        <v>2.1819818392459456</v>
      </c>
      <c r="I92" s="702">
        <f>$D92*(1-'Tier3Phase-in'!$N$12)</f>
        <v>2.0681393085026789</v>
      </c>
      <c r="J92" s="702">
        <f>$D92*(1-'Tier3Phase-in'!$O$12)</f>
        <v>1.9055071217265831</v>
      </c>
      <c r="K92" s="702">
        <f>$D92*(1-'Tier3Phase-in'!$P$12)</f>
        <v>1.9014413170571809</v>
      </c>
      <c r="L92" s="702">
        <f>$D92*(1-'Tier3Phase-in'!$Q$12)</f>
        <v>1.8973755123877787</v>
      </c>
      <c r="M92" s="705">
        <f>'Raw emissions'!J31*'Raw emissions'!$B$78+'Raw emissions'!J40*'Raw emissions'!$B$79</f>
        <v>0.34446413174733448</v>
      </c>
      <c r="N92" s="706">
        <f>'Raw emissions'!K31*'Raw emissions'!$B$78+'Raw emissions'!K40*'Raw emissions'!$B$79</f>
        <v>0.10272368073303488</v>
      </c>
      <c r="O92" s="702">
        <f>$N92*(1-'Tier3Phase-in'!$J$12)</f>
        <v>0.10272368073303488</v>
      </c>
      <c r="P92" s="702">
        <f>$N92*(1-'Tier3Phase-in'!$K$12)</f>
        <v>8.896604492057486E-2</v>
      </c>
      <c r="Q92" s="702">
        <f>$N92*(1-'Tier3Phase-in'!$L$12)</f>
        <v>7.821007510356065E-2</v>
      </c>
      <c r="R92" s="702">
        <f>$N92*(1-'Tier3Phase-in'!$M$12)</f>
        <v>7.3832645526868815E-2</v>
      </c>
      <c r="S92" s="702">
        <f>$N92*(1-'Tier3Phase-in'!$N$12)</f>
        <v>6.9980507499380021E-2</v>
      </c>
      <c r="T92" s="702">
        <f>$N92*(1-'Tier3Phase-in'!$O$12)</f>
        <v>6.4477453174395988E-2</v>
      </c>
      <c r="U92" s="702">
        <f>$N92*(1-'Tier3Phase-in'!$P$12)</f>
        <v>6.4339876816271388E-2</v>
      </c>
      <c r="V92" s="702">
        <f>$N92*(1-'Tier3Phase-in'!$Q$12)</f>
        <v>6.4202300458146802E-2</v>
      </c>
      <c r="W92" s="705">
        <f>'Raw emissions'!M31*'Raw emissions'!$B$78+'Raw emissions'!M40*'Raw emissions'!$B$79</f>
        <v>0.27939501582100246</v>
      </c>
      <c r="X92" s="706">
        <f>'Raw emissions'!N31*'Raw emissions'!$B$78+'Raw emissions'!N40*'Raw emissions'!$B$79</f>
        <v>4.4897772649016794E-2</v>
      </c>
      <c r="Y92" s="702">
        <f>$X92*(1-'Tier3Phase-in'!$J$12)</f>
        <v>4.4897772649016794E-2</v>
      </c>
      <c r="Z92" s="702">
        <f>$X92*(1-'Tier3Phase-in'!$K$12)</f>
        <v>3.888467809780919E-2</v>
      </c>
      <c r="AA92" s="702">
        <f>$X92*(1-'Tier3Phase-in'!$L$12)</f>
        <v>3.418353144868324E-2</v>
      </c>
      <c r="AB92" s="702">
        <f>$X92*(1-'Tier3Phase-in'!$M$12)</f>
        <v>3.2270274091480818E-2</v>
      </c>
      <c r="AC92" s="702">
        <f>$X92*(1-'Tier3Phase-in'!$N$12)</f>
        <v>3.0586607617142693E-2</v>
      </c>
      <c r="AD92" s="702">
        <f>$X92*(1-'Tier3Phase-in'!$O$12)</f>
        <v>2.8181369796659642E-2</v>
      </c>
      <c r="AE92" s="702">
        <f>$X92*(1-'Tier3Phase-in'!$P$12)</f>
        <v>2.8121238851147569E-2</v>
      </c>
      <c r="AF92" s="702">
        <f>$X92*(1-'Tier3Phase-in'!$Q$12)</f>
        <v>2.8061107905635495E-2</v>
      </c>
      <c r="AG92" s="705">
        <f>'Raw emissions'!P31*'Raw emissions'!$B$78+'Raw emissions'!P40*'Raw emissions'!$B$79</f>
        <v>2.1248112800144261</v>
      </c>
      <c r="AH92" s="706">
        <f>'Raw emissions'!Q31*'Raw emissions'!$B$78+'Raw emissions'!Q40*'Raw emissions'!$B$79</f>
        <v>1.2113102080621954</v>
      </c>
      <c r="AI92" s="702">
        <f>$AH92*(1-'Tier3Phase-in'!$J$12)</f>
        <v>1.2113102080621954</v>
      </c>
      <c r="AJ92" s="702">
        <f>$AH92*(1-'Tier3Phase-in'!$K$12)</f>
        <v>1.0490811623395799</v>
      </c>
      <c r="AK92" s="702">
        <f>$AH92*(1-'Tier3Phase-in'!$L$12)</f>
        <v>0.922247544774626</v>
      </c>
      <c r="AL92" s="702">
        <f>$AH92*(1-'Tier3Phase-in'!$M$12)</f>
        <v>0.87062921204470289</v>
      </c>
      <c r="AM92" s="702">
        <f>$AH92*(1-'Tier3Phase-in'!$N$12)</f>
        <v>0.82520507924237063</v>
      </c>
      <c r="AN92" s="702">
        <f>$AH92*(1-'Tier3Phase-in'!$O$12)</f>
        <v>0.7603134609533243</v>
      </c>
      <c r="AO92" s="702">
        <f>$AH92*(1-'Tier3Phase-in'!$P$12)</f>
        <v>0.75869117049609813</v>
      </c>
      <c r="AP92" s="702">
        <f>$AH92*(1-'Tier3Phase-in'!$Q$12)</f>
        <v>0.75706888003887207</v>
      </c>
      <c r="AQ92" s="705">
        <f>'Raw emissions'!Y31*'Raw emissions'!$B$78+'Raw emissions'!Y40*'Raw emissions'!$B$79</f>
        <v>0.85567360282878224</v>
      </c>
      <c r="AR92" s="706">
        <f>'Raw emissions'!Z31*'Raw emissions'!$B$78+'Raw emissions'!Z40*'Raw emissions'!$B$79</f>
        <v>0.57076675713209823</v>
      </c>
      <c r="AS92" s="702">
        <f>$AR92*(1-'Tier3Phase-in'!$J$12)</f>
        <v>0.57076675713209823</v>
      </c>
      <c r="AT92" s="702">
        <f>$AR92*(1-'Tier3Phase-in'!$K$12)</f>
        <v>0.49432478073047798</v>
      </c>
      <c r="AU92" s="702">
        <f>$AR92*(1-'Tier3Phase-in'!$L$12)</f>
        <v>0.4345610537255748</v>
      </c>
      <c r="AV92" s="702">
        <f>$AR92*(1-'Tier3Phase-in'!$M$12)</f>
        <v>0.41023860668869561</v>
      </c>
      <c r="AW92" s="702">
        <f>$AR92*(1-'Tier3Phase-in'!$N$12)</f>
        <v>0.38883485329624196</v>
      </c>
      <c r="AX92" s="702">
        <f>$AR92*(1-'Tier3Phase-in'!$O$12)</f>
        <v>0.35825806273559374</v>
      </c>
      <c r="AY92" s="702">
        <f>$AR92*(1-'Tier3Phase-in'!$P$12)</f>
        <v>0.35749364297157754</v>
      </c>
      <c r="AZ92" s="702">
        <f>$AR92*(1-'Tier3Phase-in'!$Q$12)</f>
        <v>0.3567292232075614</v>
      </c>
      <c r="BA92" s="705">
        <f>'Raw emissions'!AK31*'Raw emissions'!$B$78+'Raw emissions'!AK40*'Raw emissions'!$B$79</f>
        <v>0.17708166923612689</v>
      </c>
      <c r="BB92" s="708">
        <f>'Raw emissions'!AL31*'Raw emissions'!$B$78+'Raw emissions'!AL40*'Raw emissions'!$B$79</f>
        <v>2.0959612598349924E-3</v>
      </c>
      <c r="BC92" s="703">
        <f>$BB92*(1-'Tier3Phase-in'!$J$12)</f>
        <v>2.0959612598349924E-3</v>
      </c>
      <c r="BD92" s="703">
        <f>$BB92*(1-'Tier3Phase-in'!$K$12)</f>
        <v>1.8152521625356632E-3</v>
      </c>
      <c r="BE92" s="703">
        <f>$BB92*(1-'Tier3Phase-in'!$L$12)</f>
        <v>1.5957886864652784E-3</v>
      </c>
      <c r="BF92" s="703">
        <f>$BB92*(1-'Tier3Phase-in'!$M$12)</f>
        <v>1.5064721555064007E-3</v>
      </c>
      <c r="BG92" s="703">
        <f>$BB92*(1-'Tier3Phase-in'!$N$12)</f>
        <v>1.4278736082625886E-3</v>
      </c>
      <c r="BH92" s="703">
        <f>$BB92*(1-'Tier3Phase-in'!$O$12)</f>
        <v>1.3155899693428567E-3</v>
      </c>
      <c r="BI92" s="703">
        <f>$BB92*(1-'Tier3Phase-in'!$P$12)</f>
        <v>1.3127828783698634E-3</v>
      </c>
      <c r="BJ92" s="703">
        <f>$BB92*(1-'Tier3Phase-in'!$Q$12)</f>
        <v>1.3099757873968703E-3</v>
      </c>
      <c r="BK92" s="705">
        <f>'Raw emissions'!AG31*'Raw emissions'!$B$78+'Raw emissions'!AG40*'Raw emissions'!$B$79</f>
        <v>0.16670087785414414</v>
      </c>
      <c r="BL92" s="708">
        <f>'Raw emissions'!AI31*'Raw emissions'!$B$78+'Raw emissions'!AI40*'Raw emissions'!$B$79</f>
        <v>9.4285322562935262E-3</v>
      </c>
      <c r="BM92" s="703">
        <f>$BL92*(1-'Tier3Phase-in'!$J$12)</f>
        <v>9.4285322562935262E-3</v>
      </c>
      <c r="BN92" s="703">
        <f>$BL92*(1-'Tier3Phase-in'!$K$12)</f>
        <v>8.1657824005399293E-3</v>
      </c>
      <c r="BO92" s="703">
        <f>$BL92*(1-'Tier3Phase-in'!$L$12)</f>
        <v>7.1785416042234804E-3</v>
      </c>
      <c r="BP92" s="703">
        <f>$BL92*(1-'Tier3Phase-in'!$M$12)</f>
        <v>6.7767575592109722E-3</v>
      </c>
      <c r="BQ92" s="703">
        <f>$BL92*(1-'Tier3Phase-in'!$N$12)</f>
        <v>6.4231875995999646E-3</v>
      </c>
      <c r="BR92" s="703">
        <f>$BL92*(1-'Tier3Phase-in'!$O$12)</f>
        <v>5.9180876572985245E-3</v>
      </c>
      <c r="BS92" s="703">
        <f>$BL92*(1-'Tier3Phase-in'!$P$12)</f>
        <v>5.9054601587409895E-3</v>
      </c>
      <c r="BT92" s="703">
        <f>$BL92*(1-'Tier3Phase-in'!$Q$12)</f>
        <v>5.8928326601834537E-3</v>
      </c>
      <c r="BU92" s="705">
        <f>'Raw emissions'!G31*'Raw emissions'!$B$78+'Raw emissions'!G40*'Raw emissions'!$B$79</f>
        <v>1.5433412123051972E-2</v>
      </c>
      <c r="BV92" s="708">
        <f>'Raw emissions'!H31*'Raw emissions'!$B$78+'Raw emissions'!H40*'Raw emissions'!$B$79</f>
        <v>1.0981611391844521E-2</v>
      </c>
      <c r="BW92" s="703">
        <f>(1-'Tier3Phase-in'!$J$20)*BV92</f>
        <v>3.7337478732271368E-3</v>
      </c>
      <c r="BX92" s="705">
        <f>'Raw emissions'!V31*'Raw emissions'!BU78+'Raw emissions'!V40*'Raw emissions'!BU79</f>
        <v>0</v>
      </c>
      <c r="BY92" s="708">
        <f>'Raw emissions'!W31*'Raw emissions'!$B$78+'Raw emissions'!W40*'Raw emissions'!$B$79</f>
        <v>1.9321380898951993E-3</v>
      </c>
      <c r="BZ92" s="705">
        <f>'Raw emissions'!S31*'Raw emissions'!BW78+'Raw emissions'!S40*'Raw emissions'!BW79</f>
        <v>0</v>
      </c>
      <c r="CA92" s="708">
        <f>'Raw emissions'!T31*'Raw emissions'!$B$78+'Raw emissions'!T40*'Raw emissions'!$B$79</f>
        <v>1.9222585649836582E-3</v>
      </c>
    </row>
    <row r="93" spans="1:79" x14ac:dyDescent="0.2">
      <c r="A93" s="690" t="str">
        <f>Technologies!C180</f>
        <v>THLB20IM</v>
      </c>
      <c r="B93" s="690" t="str">
        <f>Technologies!D180</f>
        <v>Heavy Truck, Long Haul, Improved B20</v>
      </c>
      <c r="C93" s="705">
        <f t="shared" ref="C93:D97" si="156">C92</f>
        <v>6.1495505224907969</v>
      </c>
      <c r="D93" s="706">
        <f t="shared" si="156"/>
        <v>3.0358008198204458</v>
      </c>
      <c r="E93" s="702">
        <f>$D93*(1-'Tier3Phase-in'!$J$12)</f>
        <v>3.0358008198204458</v>
      </c>
      <c r="F93" s="702">
        <f>$D93*(1-'Tier3Phase-in'!$K$12)</f>
        <v>2.6292203528802078</v>
      </c>
      <c r="G93" s="702">
        <f>$D93*(1-'Tier3Phase-in'!$L$12)</f>
        <v>2.3113483514542028</v>
      </c>
      <c r="H93" s="702">
        <f>$D93*(1-'Tier3Phase-in'!$M$12)</f>
        <v>2.1819818392459456</v>
      </c>
      <c r="I93" s="702">
        <f>$D93*(1-'Tier3Phase-in'!$N$12)</f>
        <v>2.0681393085026789</v>
      </c>
      <c r="J93" s="702">
        <f>$D93*(1-'Tier3Phase-in'!$O$12)</f>
        <v>1.9055071217265831</v>
      </c>
      <c r="K93" s="702">
        <f>$D93*(1-'Tier3Phase-in'!$P$12)</f>
        <v>1.9014413170571809</v>
      </c>
      <c r="L93" s="702">
        <f>$D93*(1-'Tier3Phase-in'!$Q$12)</f>
        <v>1.8973755123877787</v>
      </c>
      <c r="M93" s="705">
        <f t="shared" ref="M93:N97" si="157">M92</f>
        <v>0.34446413174733448</v>
      </c>
      <c r="N93" s="706">
        <f t="shared" si="157"/>
        <v>0.10272368073303488</v>
      </c>
      <c r="O93" s="702">
        <f>$N93*(1-'Tier3Phase-in'!$J$12)</f>
        <v>0.10272368073303488</v>
      </c>
      <c r="P93" s="702">
        <f>$N93*(1-'Tier3Phase-in'!$K$12)</f>
        <v>8.896604492057486E-2</v>
      </c>
      <c r="Q93" s="702">
        <f>$N93*(1-'Tier3Phase-in'!$L$12)</f>
        <v>7.821007510356065E-2</v>
      </c>
      <c r="R93" s="702">
        <f>$N93*(1-'Tier3Phase-in'!$M$12)</f>
        <v>7.3832645526868815E-2</v>
      </c>
      <c r="S93" s="702">
        <f>$N93*(1-'Tier3Phase-in'!$N$12)</f>
        <v>6.9980507499380021E-2</v>
      </c>
      <c r="T93" s="702">
        <f>$N93*(1-'Tier3Phase-in'!$O$12)</f>
        <v>6.4477453174395988E-2</v>
      </c>
      <c r="U93" s="702">
        <f>$N93*(1-'Tier3Phase-in'!$P$12)</f>
        <v>6.4339876816271388E-2</v>
      </c>
      <c r="V93" s="702">
        <f>$N93*(1-'Tier3Phase-in'!$Q$12)</f>
        <v>6.4202300458146802E-2</v>
      </c>
      <c r="W93" s="705">
        <f t="shared" ref="W93:X97" si="158">W92</f>
        <v>0.27939501582100246</v>
      </c>
      <c r="X93" s="706">
        <f t="shared" si="158"/>
        <v>4.4897772649016794E-2</v>
      </c>
      <c r="Y93" s="702">
        <f>$X93*(1-'Tier3Phase-in'!$J$12)</f>
        <v>4.4897772649016794E-2</v>
      </c>
      <c r="Z93" s="702">
        <f>$X93*(1-'Tier3Phase-in'!$K$12)</f>
        <v>3.888467809780919E-2</v>
      </c>
      <c r="AA93" s="702">
        <f>$X93*(1-'Tier3Phase-in'!$L$12)</f>
        <v>3.418353144868324E-2</v>
      </c>
      <c r="AB93" s="702">
        <f>$X93*(1-'Tier3Phase-in'!$M$12)</f>
        <v>3.2270274091480818E-2</v>
      </c>
      <c r="AC93" s="702">
        <f>$X93*(1-'Tier3Phase-in'!$N$12)</f>
        <v>3.0586607617142693E-2</v>
      </c>
      <c r="AD93" s="702">
        <f>$X93*(1-'Tier3Phase-in'!$O$12)</f>
        <v>2.8181369796659642E-2</v>
      </c>
      <c r="AE93" s="702">
        <f>$X93*(1-'Tier3Phase-in'!$P$12)</f>
        <v>2.8121238851147569E-2</v>
      </c>
      <c r="AF93" s="702">
        <f>$X93*(1-'Tier3Phase-in'!$Q$12)</f>
        <v>2.8061107905635495E-2</v>
      </c>
      <c r="AG93" s="705">
        <f t="shared" ref="AG93:AH97" si="159">AG92</f>
        <v>2.1248112800144261</v>
      </c>
      <c r="AH93" s="706">
        <f t="shared" si="159"/>
        <v>1.2113102080621954</v>
      </c>
      <c r="AI93" s="702">
        <f>$AH93*(1-'Tier3Phase-in'!$J$12)</f>
        <v>1.2113102080621954</v>
      </c>
      <c r="AJ93" s="702">
        <f>$AH93*(1-'Tier3Phase-in'!$K$12)</f>
        <v>1.0490811623395799</v>
      </c>
      <c r="AK93" s="702">
        <f>$AH93*(1-'Tier3Phase-in'!$L$12)</f>
        <v>0.922247544774626</v>
      </c>
      <c r="AL93" s="702">
        <f>$AH93*(1-'Tier3Phase-in'!$M$12)</f>
        <v>0.87062921204470289</v>
      </c>
      <c r="AM93" s="702">
        <f>$AH93*(1-'Tier3Phase-in'!$N$12)</f>
        <v>0.82520507924237063</v>
      </c>
      <c r="AN93" s="702">
        <f>$AH93*(1-'Tier3Phase-in'!$O$12)</f>
        <v>0.7603134609533243</v>
      </c>
      <c r="AO93" s="702">
        <f>$AH93*(1-'Tier3Phase-in'!$P$12)</f>
        <v>0.75869117049609813</v>
      </c>
      <c r="AP93" s="702">
        <f>$AH93*(1-'Tier3Phase-in'!$Q$12)</f>
        <v>0.75706888003887207</v>
      </c>
      <c r="AQ93" s="705">
        <f t="shared" ref="AQ93:AR97" si="160">AQ92</f>
        <v>0.85567360282878224</v>
      </c>
      <c r="AR93" s="706">
        <f t="shared" si="160"/>
        <v>0.57076675713209823</v>
      </c>
      <c r="AS93" s="702">
        <f>$AR93*(1-'Tier3Phase-in'!$J$12)</f>
        <v>0.57076675713209823</v>
      </c>
      <c r="AT93" s="702">
        <f>$AR93*(1-'Tier3Phase-in'!$K$12)</f>
        <v>0.49432478073047798</v>
      </c>
      <c r="AU93" s="702">
        <f>$AR93*(1-'Tier3Phase-in'!$L$12)</f>
        <v>0.4345610537255748</v>
      </c>
      <c r="AV93" s="702">
        <f>$AR93*(1-'Tier3Phase-in'!$M$12)</f>
        <v>0.41023860668869561</v>
      </c>
      <c r="AW93" s="702">
        <f>$AR93*(1-'Tier3Phase-in'!$N$12)</f>
        <v>0.38883485329624196</v>
      </c>
      <c r="AX93" s="702">
        <f>$AR93*(1-'Tier3Phase-in'!$O$12)</f>
        <v>0.35825806273559374</v>
      </c>
      <c r="AY93" s="702">
        <f>$AR93*(1-'Tier3Phase-in'!$P$12)</f>
        <v>0.35749364297157754</v>
      </c>
      <c r="AZ93" s="702">
        <f>$AR93*(1-'Tier3Phase-in'!$Q$12)</f>
        <v>0.3567292232075614</v>
      </c>
      <c r="BA93" s="705">
        <f t="shared" ref="BA93:BB97" si="161">BA92</f>
        <v>0.17708166923612689</v>
      </c>
      <c r="BB93" s="708">
        <f t="shared" si="161"/>
        <v>2.0959612598349924E-3</v>
      </c>
      <c r="BC93" s="703">
        <f>$BB93*(1-'Tier3Phase-in'!$J$12)</f>
        <v>2.0959612598349924E-3</v>
      </c>
      <c r="BD93" s="703">
        <f>$BB93*(1-'Tier3Phase-in'!$K$12)</f>
        <v>1.8152521625356632E-3</v>
      </c>
      <c r="BE93" s="703">
        <f>$BB93*(1-'Tier3Phase-in'!$L$12)</f>
        <v>1.5957886864652784E-3</v>
      </c>
      <c r="BF93" s="703">
        <f>$BB93*(1-'Tier3Phase-in'!$M$12)</f>
        <v>1.5064721555064007E-3</v>
      </c>
      <c r="BG93" s="703">
        <f>$BB93*(1-'Tier3Phase-in'!$N$12)</f>
        <v>1.4278736082625886E-3</v>
      </c>
      <c r="BH93" s="703">
        <f>$BB93*(1-'Tier3Phase-in'!$O$12)</f>
        <v>1.3155899693428567E-3</v>
      </c>
      <c r="BI93" s="703">
        <f>$BB93*(1-'Tier3Phase-in'!$P$12)</f>
        <v>1.3127828783698634E-3</v>
      </c>
      <c r="BJ93" s="703">
        <f>$BB93*(1-'Tier3Phase-in'!$Q$12)</f>
        <v>1.3099757873968703E-3</v>
      </c>
      <c r="BK93" s="705">
        <f t="shared" ref="BK93:BL97" si="162">BK92</f>
        <v>0.16670087785414414</v>
      </c>
      <c r="BL93" s="708">
        <f t="shared" si="162"/>
        <v>9.4285322562935262E-3</v>
      </c>
      <c r="BM93" s="703">
        <f>$BL93*(1-'Tier3Phase-in'!$J$12)</f>
        <v>9.4285322562935262E-3</v>
      </c>
      <c r="BN93" s="703">
        <f>$BL93*(1-'Tier3Phase-in'!$K$12)</f>
        <v>8.1657824005399293E-3</v>
      </c>
      <c r="BO93" s="703">
        <f>$BL93*(1-'Tier3Phase-in'!$L$12)</f>
        <v>7.1785416042234804E-3</v>
      </c>
      <c r="BP93" s="703">
        <f>$BL93*(1-'Tier3Phase-in'!$M$12)</f>
        <v>6.7767575592109722E-3</v>
      </c>
      <c r="BQ93" s="703">
        <f>$BL93*(1-'Tier3Phase-in'!$N$12)</f>
        <v>6.4231875995999646E-3</v>
      </c>
      <c r="BR93" s="703">
        <f>$BL93*(1-'Tier3Phase-in'!$O$12)</f>
        <v>5.9180876572985245E-3</v>
      </c>
      <c r="BS93" s="703">
        <f>$BL93*(1-'Tier3Phase-in'!$P$12)</f>
        <v>5.9054601587409895E-3</v>
      </c>
      <c r="BT93" s="703">
        <f>$BL93*(1-'Tier3Phase-in'!$Q$12)</f>
        <v>5.8928326601834537E-3</v>
      </c>
      <c r="BU93" s="705">
        <f t="shared" ref="BU93:BV97" si="163">BU92</f>
        <v>1.5433412123051972E-2</v>
      </c>
      <c r="BV93" s="708">
        <f t="shared" si="163"/>
        <v>1.0981611391844521E-2</v>
      </c>
      <c r="BW93" s="703">
        <f>(1-'Tier3Phase-in'!$J$20)*BV93</f>
        <v>3.7337478732271368E-3</v>
      </c>
      <c r="BX93" s="705">
        <f t="shared" ref="BX93:CA97" si="164">BX92</f>
        <v>0</v>
      </c>
      <c r="BY93" s="708">
        <f t="shared" si="164"/>
        <v>1.9321380898951993E-3</v>
      </c>
      <c r="BZ93" s="705">
        <f t="shared" si="164"/>
        <v>0</v>
      </c>
      <c r="CA93" s="708">
        <f t="shared" si="164"/>
        <v>1.9222585649836582E-3</v>
      </c>
    </row>
    <row r="94" spans="1:79" x14ac:dyDescent="0.2">
      <c r="A94" s="690" t="str">
        <f>Technologies!C181</f>
        <v>THLB20ADV</v>
      </c>
      <c r="B94" s="690" t="str">
        <f>Technologies!D181</f>
        <v>Heavy Truck, Long Haul, Advanced B20</v>
      </c>
      <c r="C94" s="705">
        <f t="shared" si="156"/>
        <v>6.1495505224907969</v>
      </c>
      <c r="D94" s="706">
        <f t="shared" si="156"/>
        <v>3.0358008198204458</v>
      </c>
      <c r="E94" s="702">
        <f>$D94*(1-'Tier3Phase-in'!$J$12)</f>
        <v>3.0358008198204458</v>
      </c>
      <c r="F94" s="702">
        <f>$D94*(1-'Tier3Phase-in'!$K$12)</f>
        <v>2.6292203528802078</v>
      </c>
      <c r="G94" s="702">
        <f>$D94*(1-'Tier3Phase-in'!$L$12)</f>
        <v>2.3113483514542028</v>
      </c>
      <c r="H94" s="702">
        <f>$D94*(1-'Tier3Phase-in'!$M$12)</f>
        <v>2.1819818392459456</v>
      </c>
      <c r="I94" s="702">
        <f>$D94*(1-'Tier3Phase-in'!$N$12)</f>
        <v>2.0681393085026789</v>
      </c>
      <c r="J94" s="702">
        <f>$D94*(1-'Tier3Phase-in'!$O$12)</f>
        <v>1.9055071217265831</v>
      </c>
      <c r="K94" s="702">
        <f>$D94*(1-'Tier3Phase-in'!$P$12)</f>
        <v>1.9014413170571809</v>
      </c>
      <c r="L94" s="702">
        <f>$D94*(1-'Tier3Phase-in'!$Q$12)</f>
        <v>1.8973755123877787</v>
      </c>
      <c r="M94" s="705">
        <f t="shared" si="157"/>
        <v>0.34446413174733448</v>
      </c>
      <c r="N94" s="706">
        <f t="shared" si="157"/>
        <v>0.10272368073303488</v>
      </c>
      <c r="O94" s="702">
        <f>$N94*(1-'Tier3Phase-in'!$J$12)</f>
        <v>0.10272368073303488</v>
      </c>
      <c r="P94" s="702">
        <f>$N94*(1-'Tier3Phase-in'!$K$12)</f>
        <v>8.896604492057486E-2</v>
      </c>
      <c r="Q94" s="702">
        <f>$N94*(1-'Tier3Phase-in'!$L$12)</f>
        <v>7.821007510356065E-2</v>
      </c>
      <c r="R94" s="702">
        <f>$N94*(1-'Tier3Phase-in'!$M$12)</f>
        <v>7.3832645526868815E-2</v>
      </c>
      <c r="S94" s="702">
        <f>$N94*(1-'Tier3Phase-in'!$N$12)</f>
        <v>6.9980507499380021E-2</v>
      </c>
      <c r="T94" s="702">
        <f>$N94*(1-'Tier3Phase-in'!$O$12)</f>
        <v>6.4477453174395988E-2</v>
      </c>
      <c r="U94" s="702">
        <f>$N94*(1-'Tier3Phase-in'!$P$12)</f>
        <v>6.4339876816271388E-2</v>
      </c>
      <c r="V94" s="702">
        <f>$N94*(1-'Tier3Phase-in'!$Q$12)</f>
        <v>6.4202300458146802E-2</v>
      </c>
      <c r="W94" s="705">
        <f t="shared" si="158"/>
        <v>0.27939501582100246</v>
      </c>
      <c r="X94" s="706">
        <f t="shared" si="158"/>
        <v>4.4897772649016794E-2</v>
      </c>
      <c r="Y94" s="702">
        <f>$X94*(1-'Tier3Phase-in'!$J$12)</f>
        <v>4.4897772649016794E-2</v>
      </c>
      <c r="Z94" s="702">
        <f>$X94*(1-'Tier3Phase-in'!$K$12)</f>
        <v>3.888467809780919E-2</v>
      </c>
      <c r="AA94" s="702">
        <f>$X94*(1-'Tier3Phase-in'!$L$12)</f>
        <v>3.418353144868324E-2</v>
      </c>
      <c r="AB94" s="702">
        <f>$X94*(1-'Tier3Phase-in'!$M$12)</f>
        <v>3.2270274091480818E-2</v>
      </c>
      <c r="AC94" s="702">
        <f>$X94*(1-'Tier3Phase-in'!$N$12)</f>
        <v>3.0586607617142693E-2</v>
      </c>
      <c r="AD94" s="702">
        <f>$X94*(1-'Tier3Phase-in'!$O$12)</f>
        <v>2.8181369796659642E-2</v>
      </c>
      <c r="AE94" s="702">
        <f>$X94*(1-'Tier3Phase-in'!$P$12)</f>
        <v>2.8121238851147569E-2</v>
      </c>
      <c r="AF94" s="702">
        <f>$X94*(1-'Tier3Phase-in'!$Q$12)</f>
        <v>2.8061107905635495E-2</v>
      </c>
      <c r="AG94" s="705">
        <f t="shared" si="159"/>
        <v>2.1248112800144261</v>
      </c>
      <c r="AH94" s="706">
        <f t="shared" si="159"/>
        <v>1.2113102080621954</v>
      </c>
      <c r="AI94" s="702">
        <f>$AH94*(1-'Tier3Phase-in'!$J$12)</f>
        <v>1.2113102080621954</v>
      </c>
      <c r="AJ94" s="702">
        <f>$AH94*(1-'Tier3Phase-in'!$K$12)</f>
        <v>1.0490811623395799</v>
      </c>
      <c r="AK94" s="702">
        <f>$AH94*(1-'Tier3Phase-in'!$L$12)</f>
        <v>0.922247544774626</v>
      </c>
      <c r="AL94" s="702">
        <f>$AH94*(1-'Tier3Phase-in'!$M$12)</f>
        <v>0.87062921204470289</v>
      </c>
      <c r="AM94" s="702">
        <f>$AH94*(1-'Tier3Phase-in'!$N$12)</f>
        <v>0.82520507924237063</v>
      </c>
      <c r="AN94" s="702">
        <f>$AH94*(1-'Tier3Phase-in'!$O$12)</f>
        <v>0.7603134609533243</v>
      </c>
      <c r="AO94" s="702">
        <f>$AH94*(1-'Tier3Phase-in'!$P$12)</f>
        <v>0.75869117049609813</v>
      </c>
      <c r="AP94" s="702">
        <f>$AH94*(1-'Tier3Phase-in'!$Q$12)</f>
        <v>0.75706888003887207</v>
      </c>
      <c r="AQ94" s="705">
        <f t="shared" si="160"/>
        <v>0.85567360282878224</v>
      </c>
      <c r="AR94" s="706">
        <f t="shared" si="160"/>
        <v>0.57076675713209823</v>
      </c>
      <c r="AS94" s="702">
        <f>$AR94*(1-'Tier3Phase-in'!$J$12)</f>
        <v>0.57076675713209823</v>
      </c>
      <c r="AT94" s="702">
        <f>$AR94*(1-'Tier3Phase-in'!$K$12)</f>
        <v>0.49432478073047798</v>
      </c>
      <c r="AU94" s="702">
        <f>$AR94*(1-'Tier3Phase-in'!$L$12)</f>
        <v>0.4345610537255748</v>
      </c>
      <c r="AV94" s="702">
        <f>$AR94*(1-'Tier3Phase-in'!$M$12)</f>
        <v>0.41023860668869561</v>
      </c>
      <c r="AW94" s="702">
        <f>$AR94*(1-'Tier3Phase-in'!$N$12)</f>
        <v>0.38883485329624196</v>
      </c>
      <c r="AX94" s="702">
        <f>$AR94*(1-'Tier3Phase-in'!$O$12)</f>
        <v>0.35825806273559374</v>
      </c>
      <c r="AY94" s="702">
        <f>$AR94*(1-'Tier3Phase-in'!$P$12)</f>
        <v>0.35749364297157754</v>
      </c>
      <c r="AZ94" s="702">
        <f>$AR94*(1-'Tier3Phase-in'!$Q$12)</f>
        <v>0.3567292232075614</v>
      </c>
      <c r="BA94" s="705">
        <f t="shared" si="161"/>
        <v>0.17708166923612689</v>
      </c>
      <c r="BB94" s="708">
        <f t="shared" si="161"/>
        <v>2.0959612598349924E-3</v>
      </c>
      <c r="BC94" s="703">
        <f>$BB94*(1-'Tier3Phase-in'!$J$12)</f>
        <v>2.0959612598349924E-3</v>
      </c>
      <c r="BD94" s="703">
        <f>$BB94*(1-'Tier3Phase-in'!$K$12)</f>
        <v>1.8152521625356632E-3</v>
      </c>
      <c r="BE94" s="703">
        <f>$BB94*(1-'Tier3Phase-in'!$L$12)</f>
        <v>1.5957886864652784E-3</v>
      </c>
      <c r="BF94" s="703">
        <f>$BB94*(1-'Tier3Phase-in'!$M$12)</f>
        <v>1.5064721555064007E-3</v>
      </c>
      <c r="BG94" s="703">
        <f>$BB94*(1-'Tier3Phase-in'!$N$12)</f>
        <v>1.4278736082625886E-3</v>
      </c>
      <c r="BH94" s="703">
        <f>$BB94*(1-'Tier3Phase-in'!$O$12)</f>
        <v>1.3155899693428567E-3</v>
      </c>
      <c r="BI94" s="703">
        <f>$BB94*(1-'Tier3Phase-in'!$P$12)</f>
        <v>1.3127828783698634E-3</v>
      </c>
      <c r="BJ94" s="703">
        <f>$BB94*(1-'Tier3Phase-in'!$Q$12)</f>
        <v>1.3099757873968703E-3</v>
      </c>
      <c r="BK94" s="705">
        <f t="shared" si="162"/>
        <v>0.16670087785414414</v>
      </c>
      <c r="BL94" s="708">
        <f t="shared" si="162"/>
        <v>9.4285322562935262E-3</v>
      </c>
      <c r="BM94" s="703">
        <f>$BL94*(1-'Tier3Phase-in'!$J$12)</f>
        <v>9.4285322562935262E-3</v>
      </c>
      <c r="BN94" s="703">
        <f>$BL94*(1-'Tier3Phase-in'!$K$12)</f>
        <v>8.1657824005399293E-3</v>
      </c>
      <c r="BO94" s="703">
        <f>$BL94*(1-'Tier3Phase-in'!$L$12)</f>
        <v>7.1785416042234804E-3</v>
      </c>
      <c r="BP94" s="703">
        <f>$BL94*(1-'Tier3Phase-in'!$M$12)</f>
        <v>6.7767575592109722E-3</v>
      </c>
      <c r="BQ94" s="703">
        <f>$BL94*(1-'Tier3Phase-in'!$N$12)</f>
        <v>6.4231875995999646E-3</v>
      </c>
      <c r="BR94" s="703">
        <f>$BL94*(1-'Tier3Phase-in'!$O$12)</f>
        <v>5.9180876572985245E-3</v>
      </c>
      <c r="BS94" s="703">
        <f>$BL94*(1-'Tier3Phase-in'!$P$12)</f>
        <v>5.9054601587409895E-3</v>
      </c>
      <c r="BT94" s="703">
        <f>$BL94*(1-'Tier3Phase-in'!$Q$12)</f>
        <v>5.8928326601834537E-3</v>
      </c>
      <c r="BU94" s="705">
        <f t="shared" si="163"/>
        <v>1.5433412123051972E-2</v>
      </c>
      <c r="BV94" s="708">
        <f t="shared" si="163"/>
        <v>1.0981611391844521E-2</v>
      </c>
      <c r="BW94" s="703">
        <f>(1-'Tier3Phase-in'!$J$20)*BV94</f>
        <v>3.7337478732271368E-3</v>
      </c>
      <c r="BX94" s="705">
        <f t="shared" si="164"/>
        <v>0</v>
      </c>
      <c r="BY94" s="708">
        <f t="shared" si="164"/>
        <v>1.9321380898951993E-3</v>
      </c>
      <c r="BZ94" s="705">
        <f t="shared" si="164"/>
        <v>0</v>
      </c>
      <c r="CA94" s="708">
        <f t="shared" si="164"/>
        <v>1.9222585649836582E-3</v>
      </c>
    </row>
    <row r="95" spans="1:79" x14ac:dyDescent="0.2">
      <c r="A95" s="690" t="str">
        <f>Technologies!C182</f>
        <v>THLB20AH</v>
      </c>
      <c r="B95" s="690" t="str">
        <f>Technologies!D182</f>
        <v>Heavy Truck, Long Haul, Advanced B20 Hybrid</v>
      </c>
      <c r="C95" s="705">
        <f t="shared" si="156"/>
        <v>6.1495505224907969</v>
      </c>
      <c r="D95" s="706">
        <f t="shared" si="156"/>
        <v>3.0358008198204458</v>
      </c>
      <c r="E95" s="702">
        <f>$D95*(1-'Tier3Phase-in'!$J$12)</f>
        <v>3.0358008198204458</v>
      </c>
      <c r="F95" s="702">
        <f>$D95*(1-'Tier3Phase-in'!$K$12)</f>
        <v>2.6292203528802078</v>
      </c>
      <c r="G95" s="702">
        <f>$D95*(1-'Tier3Phase-in'!$L$12)</f>
        <v>2.3113483514542028</v>
      </c>
      <c r="H95" s="702">
        <f>$D95*(1-'Tier3Phase-in'!$M$12)</f>
        <v>2.1819818392459456</v>
      </c>
      <c r="I95" s="702">
        <f>$D95*(1-'Tier3Phase-in'!$N$12)</f>
        <v>2.0681393085026789</v>
      </c>
      <c r="J95" s="702">
        <f>$D95*(1-'Tier3Phase-in'!$O$12)</f>
        <v>1.9055071217265831</v>
      </c>
      <c r="K95" s="702">
        <f>$D95*(1-'Tier3Phase-in'!$P$12)</f>
        <v>1.9014413170571809</v>
      </c>
      <c r="L95" s="702">
        <f>$D95*(1-'Tier3Phase-in'!$Q$12)</f>
        <v>1.8973755123877787</v>
      </c>
      <c r="M95" s="705">
        <f t="shared" si="157"/>
        <v>0.34446413174733448</v>
      </c>
      <c r="N95" s="706">
        <f t="shared" si="157"/>
        <v>0.10272368073303488</v>
      </c>
      <c r="O95" s="702">
        <f>$N95*(1-'Tier3Phase-in'!$J$12)</f>
        <v>0.10272368073303488</v>
      </c>
      <c r="P95" s="702">
        <f>$N95*(1-'Tier3Phase-in'!$K$12)</f>
        <v>8.896604492057486E-2</v>
      </c>
      <c r="Q95" s="702">
        <f>$N95*(1-'Tier3Phase-in'!$L$12)</f>
        <v>7.821007510356065E-2</v>
      </c>
      <c r="R95" s="702">
        <f>$N95*(1-'Tier3Phase-in'!$M$12)</f>
        <v>7.3832645526868815E-2</v>
      </c>
      <c r="S95" s="702">
        <f>$N95*(1-'Tier3Phase-in'!$N$12)</f>
        <v>6.9980507499380021E-2</v>
      </c>
      <c r="T95" s="702">
        <f>$N95*(1-'Tier3Phase-in'!$O$12)</f>
        <v>6.4477453174395988E-2</v>
      </c>
      <c r="U95" s="702">
        <f>$N95*(1-'Tier3Phase-in'!$P$12)</f>
        <v>6.4339876816271388E-2</v>
      </c>
      <c r="V95" s="702">
        <f>$N95*(1-'Tier3Phase-in'!$Q$12)</f>
        <v>6.4202300458146802E-2</v>
      </c>
      <c r="W95" s="705">
        <f t="shared" si="158"/>
        <v>0.27939501582100246</v>
      </c>
      <c r="X95" s="706">
        <f t="shared" si="158"/>
        <v>4.4897772649016794E-2</v>
      </c>
      <c r="Y95" s="702">
        <f>$X95*(1-'Tier3Phase-in'!$J$12)</f>
        <v>4.4897772649016794E-2</v>
      </c>
      <c r="Z95" s="702">
        <f>$X95*(1-'Tier3Phase-in'!$K$12)</f>
        <v>3.888467809780919E-2</v>
      </c>
      <c r="AA95" s="702">
        <f>$X95*(1-'Tier3Phase-in'!$L$12)</f>
        <v>3.418353144868324E-2</v>
      </c>
      <c r="AB95" s="702">
        <f>$X95*(1-'Tier3Phase-in'!$M$12)</f>
        <v>3.2270274091480818E-2</v>
      </c>
      <c r="AC95" s="702">
        <f>$X95*(1-'Tier3Phase-in'!$N$12)</f>
        <v>3.0586607617142693E-2</v>
      </c>
      <c r="AD95" s="702">
        <f>$X95*(1-'Tier3Phase-in'!$O$12)</f>
        <v>2.8181369796659642E-2</v>
      </c>
      <c r="AE95" s="702">
        <f>$X95*(1-'Tier3Phase-in'!$P$12)</f>
        <v>2.8121238851147569E-2</v>
      </c>
      <c r="AF95" s="702">
        <f>$X95*(1-'Tier3Phase-in'!$Q$12)</f>
        <v>2.8061107905635495E-2</v>
      </c>
      <c r="AG95" s="705">
        <f t="shared" si="159"/>
        <v>2.1248112800144261</v>
      </c>
      <c r="AH95" s="706">
        <f t="shared" si="159"/>
        <v>1.2113102080621954</v>
      </c>
      <c r="AI95" s="702">
        <f>$AH95*(1-'Tier3Phase-in'!$J$12)</f>
        <v>1.2113102080621954</v>
      </c>
      <c r="AJ95" s="702">
        <f>$AH95*(1-'Tier3Phase-in'!$K$12)</f>
        <v>1.0490811623395799</v>
      </c>
      <c r="AK95" s="702">
        <f>$AH95*(1-'Tier3Phase-in'!$L$12)</f>
        <v>0.922247544774626</v>
      </c>
      <c r="AL95" s="702">
        <f>$AH95*(1-'Tier3Phase-in'!$M$12)</f>
        <v>0.87062921204470289</v>
      </c>
      <c r="AM95" s="702">
        <f>$AH95*(1-'Tier3Phase-in'!$N$12)</f>
        <v>0.82520507924237063</v>
      </c>
      <c r="AN95" s="702">
        <f>$AH95*(1-'Tier3Phase-in'!$O$12)</f>
        <v>0.7603134609533243</v>
      </c>
      <c r="AO95" s="702">
        <f>$AH95*(1-'Tier3Phase-in'!$P$12)</f>
        <v>0.75869117049609813</v>
      </c>
      <c r="AP95" s="702">
        <f>$AH95*(1-'Tier3Phase-in'!$Q$12)</f>
        <v>0.75706888003887207</v>
      </c>
      <c r="AQ95" s="705">
        <f t="shared" si="160"/>
        <v>0.85567360282878224</v>
      </c>
      <c r="AR95" s="706">
        <f t="shared" si="160"/>
        <v>0.57076675713209823</v>
      </c>
      <c r="AS95" s="702">
        <f>$AR95*(1-'Tier3Phase-in'!$J$12)</f>
        <v>0.57076675713209823</v>
      </c>
      <c r="AT95" s="702">
        <f>$AR95*(1-'Tier3Phase-in'!$K$12)</f>
        <v>0.49432478073047798</v>
      </c>
      <c r="AU95" s="702">
        <f>$AR95*(1-'Tier3Phase-in'!$L$12)</f>
        <v>0.4345610537255748</v>
      </c>
      <c r="AV95" s="702">
        <f>$AR95*(1-'Tier3Phase-in'!$M$12)</f>
        <v>0.41023860668869561</v>
      </c>
      <c r="AW95" s="702">
        <f>$AR95*(1-'Tier3Phase-in'!$N$12)</f>
        <v>0.38883485329624196</v>
      </c>
      <c r="AX95" s="702">
        <f>$AR95*(1-'Tier3Phase-in'!$O$12)</f>
        <v>0.35825806273559374</v>
      </c>
      <c r="AY95" s="702">
        <f>$AR95*(1-'Tier3Phase-in'!$P$12)</f>
        <v>0.35749364297157754</v>
      </c>
      <c r="AZ95" s="702">
        <f>$AR95*(1-'Tier3Phase-in'!$Q$12)</f>
        <v>0.3567292232075614</v>
      </c>
      <c r="BA95" s="705">
        <f t="shared" si="161"/>
        <v>0.17708166923612689</v>
      </c>
      <c r="BB95" s="708">
        <f t="shared" si="161"/>
        <v>2.0959612598349924E-3</v>
      </c>
      <c r="BC95" s="703">
        <f>$BB95*(1-'Tier3Phase-in'!$J$12)</f>
        <v>2.0959612598349924E-3</v>
      </c>
      <c r="BD95" s="703">
        <f>$BB95*(1-'Tier3Phase-in'!$K$12)</f>
        <v>1.8152521625356632E-3</v>
      </c>
      <c r="BE95" s="703">
        <f>$BB95*(1-'Tier3Phase-in'!$L$12)</f>
        <v>1.5957886864652784E-3</v>
      </c>
      <c r="BF95" s="703">
        <f>$BB95*(1-'Tier3Phase-in'!$M$12)</f>
        <v>1.5064721555064007E-3</v>
      </c>
      <c r="BG95" s="703">
        <f>$BB95*(1-'Tier3Phase-in'!$N$12)</f>
        <v>1.4278736082625886E-3</v>
      </c>
      <c r="BH95" s="703">
        <f>$BB95*(1-'Tier3Phase-in'!$O$12)</f>
        <v>1.3155899693428567E-3</v>
      </c>
      <c r="BI95" s="703">
        <f>$BB95*(1-'Tier3Phase-in'!$P$12)</f>
        <v>1.3127828783698634E-3</v>
      </c>
      <c r="BJ95" s="703">
        <f>$BB95*(1-'Tier3Phase-in'!$Q$12)</f>
        <v>1.3099757873968703E-3</v>
      </c>
      <c r="BK95" s="705">
        <f t="shared" si="162"/>
        <v>0.16670087785414414</v>
      </c>
      <c r="BL95" s="708">
        <f t="shared" si="162"/>
        <v>9.4285322562935262E-3</v>
      </c>
      <c r="BM95" s="703">
        <f>$BL95*(1-'Tier3Phase-in'!$J$12)</f>
        <v>9.4285322562935262E-3</v>
      </c>
      <c r="BN95" s="703">
        <f>$BL95*(1-'Tier3Phase-in'!$K$12)</f>
        <v>8.1657824005399293E-3</v>
      </c>
      <c r="BO95" s="703">
        <f>$BL95*(1-'Tier3Phase-in'!$L$12)</f>
        <v>7.1785416042234804E-3</v>
      </c>
      <c r="BP95" s="703">
        <f>$BL95*(1-'Tier3Phase-in'!$M$12)</f>
        <v>6.7767575592109722E-3</v>
      </c>
      <c r="BQ95" s="703">
        <f>$BL95*(1-'Tier3Phase-in'!$N$12)</f>
        <v>6.4231875995999646E-3</v>
      </c>
      <c r="BR95" s="703">
        <f>$BL95*(1-'Tier3Phase-in'!$O$12)</f>
        <v>5.9180876572985245E-3</v>
      </c>
      <c r="BS95" s="703">
        <f>$BL95*(1-'Tier3Phase-in'!$P$12)</f>
        <v>5.9054601587409895E-3</v>
      </c>
      <c r="BT95" s="703">
        <f>$BL95*(1-'Tier3Phase-in'!$Q$12)</f>
        <v>5.8928326601834537E-3</v>
      </c>
      <c r="BU95" s="705">
        <f t="shared" si="163"/>
        <v>1.5433412123051972E-2</v>
      </c>
      <c r="BV95" s="708">
        <f t="shared" si="163"/>
        <v>1.0981611391844521E-2</v>
      </c>
      <c r="BW95" s="703">
        <f>(1-'Tier3Phase-in'!$J$20)*BV95</f>
        <v>3.7337478732271368E-3</v>
      </c>
      <c r="BX95" s="705">
        <f t="shared" si="164"/>
        <v>0</v>
      </c>
      <c r="BY95" s="708">
        <f t="shared" si="164"/>
        <v>1.9321380898951993E-3</v>
      </c>
      <c r="BZ95" s="705">
        <f t="shared" si="164"/>
        <v>0</v>
      </c>
      <c r="CA95" s="708">
        <f t="shared" si="164"/>
        <v>1.9222585649836582E-3</v>
      </c>
    </row>
    <row r="96" spans="1:79" x14ac:dyDescent="0.2">
      <c r="A96" s="690" t="str">
        <f>Technologies!C183</f>
        <v>THLB20SW</v>
      </c>
      <c r="B96" s="690" t="str">
        <f>Technologies!D183</f>
        <v>Heavy Truck, Long Haul, B20 Smartway</v>
      </c>
      <c r="C96" s="705">
        <f t="shared" si="156"/>
        <v>6.1495505224907969</v>
      </c>
      <c r="D96" s="706">
        <f t="shared" si="156"/>
        <v>3.0358008198204458</v>
      </c>
      <c r="E96" s="702">
        <f>$D96*(1-'Tier3Phase-in'!$J$12)</f>
        <v>3.0358008198204458</v>
      </c>
      <c r="F96" s="702">
        <f>$D96*(1-'Tier3Phase-in'!$K$12)</f>
        <v>2.6292203528802078</v>
      </c>
      <c r="G96" s="702">
        <f>$D96*(1-'Tier3Phase-in'!$L$12)</f>
        <v>2.3113483514542028</v>
      </c>
      <c r="H96" s="702">
        <f>$D96*(1-'Tier3Phase-in'!$M$12)</f>
        <v>2.1819818392459456</v>
      </c>
      <c r="I96" s="702">
        <f>$D96*(1-'Tier3Phase-in'!$N$12)</f>
        <v>2.0681393085026789</v>
      </c>
      <c r="J96" s="702">
        <f>$D96*(1-'Tier3Phase-in'!$O$12)</f>
        <v>1.9055071217265831</v>
      </c>
      <c r="K96" s="702">
        <f>$D96*(1-'Tier3Phase-in'!$P$12)</f>
        <v>1.9014413170571809</v>
      </c>
      <c r="L96" s="702">
        <f>$D96*(1-'Tier3Phase-in'!$Q$12)</f>
        <v>1.8973755123877787</v>
      </c>
      <c r="M96" s="705">
        <f t="shared" si="157"/>
        <v>0.34446413174733448</v>
      </c>
      <c r="N96" s="706">
        <f t="shared" si="157"/>
        <v>0.10272368073303488</v>
      </c>
      <c r="O96" s="702">
        <f>$N96*(1-'Tier3Phase-in'!$J$12)</f>
        <v>0.10272368073303488</v>
      </c>
      <c r="P96" s="702">
        <f>$N96*(1-'Tier3Phase-in'!$K$12)</f>
        <v>8.896604492057486E-2</v>
      </c>
      <c r="Q96" s="702">
        <f>$N96*(1-'Tier3Phase-in'!$L$12)</f>
        <v>7.821007510356065E-2</v>
      </c>
      <c r="R96" s="702">
        <f>$N96*(1-'Tier3Phase-in'!$M$12)</f>
        <v>7.3832645526868815E-2</v>
      </c>
      <c r="S96" s="702">
        <f>$N96*(1-'Tier3Phase-in'!$N$12)</f>
        <v>6.9980507499380021E-2</v>
      </c>
      <c r="T96" s="702">
        <f>$N96*(1-'Tier3Phase-in'!$O$12)</f>
        <v>6.4477453174395988E-2</v>
      </c>
      <c r="U96" s="702">
        <f>$N96*(1-'Tier3Phase-in'!$P$12)</f>
        <v>6.4339876816271388E-2</v>
      </c>
      <c r="V96" s="702">
        <f>$N96*(1-'Tier3Phase-in'!$Q$12)</f>
        <v>6.4202300458146802E-2</v>
      </c>
      <c r="W96" s="705">
        <f t="shared" si="158"/>
        <v>0.27939501582100246</v>
      </c>
      <c r="X96" s="706">
        <f t="shared" si="158"/>
        <v>4.4897772649016794E-2</v>
      </c>
      <c r="Y96" s="702">
        <f>$X96*(1-'Tier3Phase-in'!$J$12)</f>
        <v>4.4897772649016794E-2</v>
      </c>
      <c r="Z96" s="702">
        <f>$X96*(1-'Tier3Phase-in'!$K$12)</f>
        <v>3.888467809780919E-2</v>
      </c>
      <c r="AA96" s="702">
        <f>$X96*(1-'Tier3Phase-in'!$L$12)</f>
        <v>3.418353144868324E-2</v>
      </c>
      <c r="AB96" s="702">
        <f>$X96*(1-'Tier3Phase-in'!$M$12)</f>
        <v>3.2270274091480818E-2</v>
      </c>
      <c r="AC96" s="702">
        <f>$X96*(1-'Tier3Phase-in'!$N$12)</f>
        <v>3.0586607617142693E-2</v>
      </c>
      <c r="AD96" s="702">
        <f>$X96*(1-'Tier3Phase-in'!$O$12)</f>
        <v>2.8181369796659642E-2</v>
      </c>
      <c r="AE96" s="702">
        <f>$X96*(1-'Tier3Phase-in'!$P$12)</f>
        <v>2.8121238851147569E-2</v>
      </c>
      <c r="AF96" s="702">
        <f>$X96*(1-'Tier3Phase-in'!$Q$12)</f>
        <v>2.8061107905635495E-2</v>
      </c>
      <c r="AG96" s="705">
        <f t="shared" si="159"/>
        <v>2.1248112800144261</v>
      </c>
      <c r="AH96" s="706">
        <f t="shared" si="159"/>
        <v>1.2113102080621954</v>
      </c>
      <c r="AI96" s="702">
        <f>$AH96*(1-'Tier3Phase-in'!$J$12)</f>
        <v>1.2113102080621954</v>
      </c>
      <c r="AJ96" s="702">
        <f>$AH96*(1-'Tier3Phase-in'!$K$12)</f>
        <v>1.0490811623395799</v>
      </c>
      <c r="AK96" s="702">
        <f>$AH96*(1-'Tier3Phase-in'!$L$12)</f>
        <v>0.922247544774626</v>
      </c>
      <c r="AL96" s="702">
        <f>$AH96*(1-'Tier3Phase-in'!$M$12)</f>
        <v>0.87062921204470289</v>
      </c>
      <c r="AM96" s="702">
        <f>$AH96*(1-'Tier3Phase-in'!$N$12)</f>
        <v>0.82520507924237063</v>
      </c>
      <c r="AN96" s="702">
        <f>$AH96*(1-'Tier3Phase-in'!$O$12)</f>
        <v>0.7603134609533243</v>
      </c>
      <c r="AO96" s="702">
        <f>$AH96*(1-'Tier3Phase-in'!$P$12)</f>
        <v>0.75869117049609813</v>
      </c>
      <c r="AP96" s="702">
        <f>$AH96*(1-'Tier3Phase-in'!$Q$12)</f>
        <v>0.75706888003887207</v>
      </c>
      <c r="AQ96" s="705">
        <f t="shared" si="160"/>
        <v>0.85567360282878224</v>
      </c>
      <c r="AR96" s="706">
        <f t="shared" si="160"/>
        <v>0.57076675713209823</v>
      </c>
      <c r="AS96" s="702">
        <f>$AR96*(1-'Tier3Phase-in'!$J$12)</f>
        <v>0.57076675713209823</v>
      </c>
      <c r="AT96" s="702">
        <f>$AR96*(1-'Tier3Phase-in'!$K$12)</f>
        <v>0.49432478073047798</v>
      </c>
      <c r="AU96" s="702">
        <f>$AR96*(1-'Tier3Phase-in'!$L$12)</f>
        <v>0.4345610537255748</v>
      </c>
      <c r="AV96" s="702">
        <f>$AR96*(1-'Tier3Phase-in'!$M$12)</f>
        <v>0.41023860668869561</v>
      </c>
      <c r="AW96" s="702">
        <f>$AR96*(1-'Tier3Phase-in'!$N$12)</f>
        <v>0.38883485329624196</v>
      </c>
      <c r="AX96" s="702">
        <f>$AR96*(1-'Tier3Phase-in'!$O$12)</f>
        <v>0.35825806273559374</v>
      </c>
      <c r="AY96" s="702">
        <f>$AR96*(1-'Tier3Phase-in'!$P$12)</f>
        <v>0.35749364297157754</v>
      </c>
      <c r="AZ96" s="702">
        <f>$AR96*(1-'Tier3Phase-in'!$Q$12)</f>
        <v>0.3567292232075614</v>
      </c>
      <c r="BA96" s="705">
        <f t="shared" si="161"/>
        <v>0.17708166923612689</v>
      </c>
      <c r="BB96" s="708">
        <f t="shared" si="161"/>
        <v>2.0959612598349924E-3</v>
      </c>
      <c r="BC96" s="703">
        <f>$BB96*(1-'Tier3Phase-in'!$J$12)</f>
        <v>2.0959612598349924E-3</v>
      </c>
      <c r="BD96" s="703">
        <f>$BB96*(1-'Tier3Phase-in'!$K$12)</f>
        <v>1.8152521625356632E-3</v>
      </c>
      <c r="BE96" s="703">
        <f>$BB96*(1-'Tier3Phase-in'!$L$12)</f>
        <v>1.5957886864652784E-3</v>
      </c>
      <c r="BF96" s="703">
        <f>$BB96*(1-'Tier3Phase-in'!$M$12)</f>
        <v>1.5064721555064007E-3</v>
      </c>
      <c r="BG96" s="703">
        <f>$BB96*(1-'Tier3Phase-in'!$N$12)</f>
        <v>1.4278736082625886E-3</v>
      </c>
      <c r="BH96" s="703">
        <f>$BB96*(1-'Tier3Phase-in'!$O$12)</f>
        <v>1.3155899693428567E-3</v>
      </c>
      <c r="BI96" s="703">
        <f>$BB96*(1-'Tier3Phase-in'!$P$12)</f>
        <v>1.3127828783698634E-3</v>
      </c>
      <c r="BJ96" s="703">
        <f>$BB96*(1-'Tier3Phase-in'!$Q$12)</f>
        <v>1.3099757873968703E-3</v>
      </c>
      <c r="BK96" s="705">
        <f t="shared" si="162"/>
        <v>0.16670087785414414</v>
      </c>
      <c r="BL96" s="708">
        <f t="shared" si="162"/>
        <v>9.4285322562935262E-3</v>
      </c>
      <c r="BM96" s="703">
        <f>$BL96*(1-'Tier3Phase-in'!$J$12)</f>
        <v>9.4285322562935262E-3</v>
      </c>
      <c r="BN96" s="703">
        <f>$BL96*(1-'Tier3Phase-in'!$K$12)</f>
        <v>8.1657824005399293E-3</v>
      </c>
      <c r="BO96" s="703">
        <f>$BL96*(1-'Tier3Phase-in'!$L$12)</f>
        <v>7.1785416042234804E-3</v>
      </c>
      <c r="BP96" s="703">
        <f>$BL96*(1-'Tier3Phase-in'!$M$12)</f>
        <v>6.7767575592109722E-3</v>
      </c>
      <c r="BQ96" s="703">
        <f>$BL96*(1-'Tier3Phase-in'!$N$12)</f>
        <v>6.4231875995999646E-3</v>
      </c>
      <c r="BR96" s="703">
        <f>$BL96*(1-'Tier3Phase-in'!$O$12)</f>
        <v>5.9180876572985245E-3</v>
      </c>
      <c r="BS96" s="703">
        <f>$BL96*(1-'Tier3Phase-in'!$P$12)</f>
        <v>5.9054601587409895E-3</v>
      </c>
      <c r="BT96" s="703">
        <f>$BL96*(1-'Tier3Phase-in'!$Q$12)</f>
        <v>5.8928326601834537E-3</v>
      </c>
      <c r="BU96" s="705">
        <f t="shared" si="163"/>
        <v>1.5433412123051972E-2</v>
      </c>
      <c r="BV96" s="708">
        <f t="shared" si="163"/>
        <v>1.0981611391844521E-2</v>
      </c>
      <c r="BW96" s="703">
        <f>(1-'Tier3Phase-in'!$J$20)*BV96</f>
        <v>3.7337478732271368E-3</v>
      </c>
      <c r="BX96" s="705">
        <f t="shared" si="164"/>
        <v>0</v>
      </c>
      <c r="BY96" s="708">
        <f t="shared" si="164"/>
        <v>1.9321380898951993E-3</v>
      </c>
      <c r="BZ96" s="705">
        <f t="shared" si="164"/>
        <v>0</v>
      </c>
      <c r="CA96" s="708">
        <f t="shared" si="164"/>
        <v>1.9222585649836582E-3</v>
      </c>
    </row>
    <row r="97" spans="1:79" x14ac:dyDescent="0.2">
      <c r="A97" s="690" t="str">
        <f>Technologies!C184</f>
        <v>THLB20SWH</v>
      </c>
      <c r="B97" s="690" t="str">
        <f>Technologies!D184</f>
        <v>Heavy Truck, Long Haul, B20 Smartway Hybird</v>
      </c>
      <c r="C97" s="705">
        <f t="shared" si="156"/>
        <v>6.1495505224907969</v>
      </c>
      <c r="D97" s="706">
        <f t="shared" si="156"/>
        <v>3.0358008198204458</v>
      </c>
      <c r="E97" s="702">
        <f>$D97*(1-'Tier3Phase-in'!$J$12)</f>
        <v>3.0358008198204458</v>
      </c>
      <c r="F97" s="702">
        <f>$D97*(1-'Tier3Phase-in'!$K$12)</f>
        <v>2.6292203528802078</v>
      </c>
      <c r="G97" s="702">
        <f>$D97*(1-'Tier3Phase-in'!$L$12)</f>
        <v>2.3113483514542028</v>
      </c>
      <c r="H97" s="702">
        <f>$D97*(1-'Tier3Phase-in'!$M$12)</f>
        <v>2.1819818392459456</v>
      </c>
      <c r="I97" s="702">
        <f>$D97*(1-'Tier3Phase-in'!$N$12)</f>
        <v>2.0681393085026789</v>
      </c>
      <c r="J97" s="702">
        <f>$D97*(1-'Tier3Phase-in'!$O$12)</f>
        <v>1.9055071217265831</v>
      </c>
      <c r="K97" s="702">
        <f>$D97*(1-'Tier3Phase-in'!$P$12)</f>
        <v>1.9014413170571809</v>
      </c>
      <c r="L97" s="702">
        <f>$D97*(1-'Tier3Phase-in'!$Q$12)</f>
        <v>1.8973755123877787</v>
      </c>
      <c r="M97" s="705">
        <f t="shared" si="157"/>
        <v>0.34446413174733448</v>
      </c>
      <c r="N97" s="706">
        <f t="shared" si="157"/>
        <v>0.10272368073303488</v>
      </c>
      <c r="O97" s="702">
        <f>$N97*(1-'Tier3Phase-in'!$J$12)</f>
        <v>0.10272368073303488</v>
      </c>
      <c r="P97" s="702">
        <f>$N97*(1-'Tier3Phase-in'!$K$12)</f>
        <v>8.896604492057486E-2</v>
      </c>
      <c r="Q97" s="702">
        <f>$N97*(1-'Tier3Phase-in'!$L$12)</f>
        <v>7.821007510356065E-2</v>
      </c>
      <c r="R97" s="702">
        <f>$N97*(1-'Tier3Phase-in'!$M$12)</f>
        <v>7.3832645526868815E-2</v>
      </c>
      <c r="S97" s="702">
        <f>$N97*(1-'Tier3Phase-in'!$N$12)</f>
        <v>6.9980507499380021E-2</v>
      </c>
      <c r="T97" s="702">
        <f>$N97*(1-'Tier3Phase-in'!$O$12)</f>
        <v>6.4477453174395988E-2</v>
      </c>
      <c r="U97" s="702">
        <f>$N97*(1-'Tier3Phase-in'!$P$12)</f>
        <v>6.4339876816271388E-2</v>
      </c>
      <c r="V97" s="702">
        <f>$N97*(1-'Tier3Phase-in'!$Q$12)</f>
        <v>6.4202300458146802E-2</v>
      </c>
      <c r="W97" s="705">
        <f t="shared" si="158"/>
        <v>0.27939501582100246</v>
      </c>
      <c r="X97" s="706">
        <f t="shared" si="158"/>
        <v>4.4897772649016794E-2</v>
      </c>
      <c r="Y97" s="702">
        <f>$X97*(1-'Tier3Phase-in'!$J$12)</f>
        <v>4.4897772649016794E-2</v>
      </c>
      <c r="Z97" s="702">
        <f>$X97*(1-'Tier3Phase-in'!$K$12)</f>
        <v>3.888467809780919E-2</v>
      </c>
      <c r="AA97" s="702">
        <f>$X97*(1-'Tier3Phase-in'!$L$12)</f>
        <v>3.418353144868324E-2</v>
      </c>
      <c r="AB97" s="702">
        <f>$X97*(1-'Tier3Phase-in'!$M$12)</f>
        <v>3.2270274091480818E-2</v>
      </c>
      <c r="AC97" s="702">
        <f>$X97*(1-'Tier3Phase-in'!$N$12)</f>
        <v>3.0586607617142693E-2</v>
      </c>
      <c r="AD97" s="702">
        <f>$X97*(1-'Tier3Phase-in'!$O$12)</f>
        <v>2.8181369796659642E-2</v>
      </c>
      <c r="AE97" s="702">
        <f>$X97*(1-'Tier3Phase-in'!$P$12)</f>
        <v>2.8121238851147569E-2</v>
      </c>
      <c r="AF97" s="702">
        <f>$X97*(1-'Tier3Phase-in'!$Q$12)</f>
        <v>2.8061107905635495E-2</v>
      </c>
      <c r="AG97" s="705">
        <f t="shared" si="159"/>
        <v>2.1248112800144261</v>
      </c>
      <c r="AH97" s="706">
        <f t="shared" si="159"/>
        <v>1.2113102080621954</v>
      </c>
      <c r="AI97" s="702">
        <f>$AH97*(1-'Tier3Phase-in'!$J$12)</f>
        <v>1.2113102080621954</v>
      </c>
      <c r="AJ97" s="702">
        <f>$AH97*(1-'Tier3Phase-in'!$K$12)</f>
        <v>1.0490811623395799</v>
      </c>
      <c r="AK97" s="702">
        <f>$AH97*(1-'Tier3Phase-in'!$L$12)</f>
        <v>0.922247544774626</v>
      </c>
      <c r="AL97" s="702">
        <f>$AH97*(1-'Tier3Phase-in'!$M$12)</f>
        <v>0.87062921204470289</v>
      </c>
      <c r="AM97" s="702">
        <f>$AH97*(1-'Tier3Phase-in'!$N$12)</f>
        <v>0.82520507924237063</v>
      </c>
      <c r="AN97" s="702">
        <f>$AH97*(1-'Tier3Phase-in'!$O$12)</f>
        <v>0.7603134609533243</v>
      </c>
      <c r="AO97" s="702">
        <f>$AH97*(1-'Tier3Phase-in'!$P$12)</f>
        <v>0.75869117049609813</v>
      </c>
      <c r="AP97" s="702">
        <f>$AH97*(1-'Tier3Phase-in'!$Q$12)</f>
        <v>0.75706888003887207</v>
      </c>
      <c r="AQ97" s="705">
        <f t="shared" si="160"/>
        <v>0.85567360282878224</v>
      </c>
      <c r="AR97" s="706">
        <f t="shared" si="160"/>
        <v>0.57076675713209823</v>
      </c>
      <c r="AS97" s="702">
        <f>$AR97*(1-'Tier3Phase-in'!$J$12)</f>
        <v>0.57076675713209823</v>
      </c>
      <c r="AT97" s="702">
        <f>$AR97*(1-'Tier3Phase-in'!$K$12)</f>
        <v>0.49432478073047798</v>
      </c>
      <c r="AU97" s="702">
        <f>$AR97*(1-'Tier3Phase-in'!$L$12)</f>
        <v>0.4345610537255748</v>
      </c>
      <c r="AV97" s="702">
        <f>$AR97*(1-'Tier3Phase-in'!$M$12)</f>
        <v>0.41023860668869561</v>
      </c>
      <c r="AW97" s="702">
        <f>$AR97*(1-'Tier3Phase-in'!$N$12)</f>
        <v>0.38883485329624196</v>
      </c>
      <c r="AX97" s="702">
        <f>$AR97*(1-'Tier3Phase-in'!$O$12)</f>
        <v>0.35825806273559374</v>
      </c>
      <c r="AY97" s="702">
        <f>$AR97*(1-'Tier3Phase-in'!$P$12)</f>
        <v>0.35749364297157754</v>
      </c>
      <c r="AZ97" s="702">
        <f>$AR97*(1-'Tier3Phase-in'!$Q$12)</f>
        <v>0.3567292232075614</v>
      </c>
      <c r="BA97" s="705">
        <f t="shared" si="161"/>
        <v>0.17708166923612689</v>
      </c>
      <c r="BB97" s="708">
        <f t="shared" si="161"/>
        <v>2.0959612598349924E-3</v>
      </c>
      <c r="BC97" s="703">
        <f>$BB97*(1-'Tier3Phase-in'!$J$12)</f>
        <v>2.0959612598349924E-3</v>
      </c>
      <c r="BD97" s="703">
        <f>$BB97*(1-'Tier3Phase-in'!$K$12)</f>
        <v>1.8152521625356632E-3</v>
      </c>
      <c r="BE97" s="703">
        <f>$BB97*(1-'Tier3Phase-in'!$L$12)</f>
        <v>1.5957886864652784E-3</v>
      </c>
      <c r="BF97" s="703">
        <f>$BB97*(1-'Tier3Phase-in'!$M$12)</f>
        <v>1.5064721555064007E-3</v>
      </c>
      <c r="BG97" s="703">
        <f>$BB97*(1-'Tier3Phase-in'!$N$12)</f>
        <v>1.4278736082625886E-3</v>
      </c>
      <c r="BH97" s="703">
        <f>$BB97*(1-'Tier3Phase-in'!$O$12)</f>
        <v>1.3155899693428567E-3</v>
      </c>
      <c r="BI97" s="703">
        <f>$BB97*(1-'Tier3Phase-in'!$P$12)</f>
        <v>1.3127828783698634E-3</v>
      </c>
      <c r="BJ97" s="703">
        <f>$BB97*(1-'Tier3Phase-in'!$Q$12)</f>
        <v>1.3099757873968703E-3</v>
      </c>
      <c r="BK97" s="705">
        <f t="shared" si="162"/>
        <v>0.16670087785414414</v>
      </c>
      <c r="BL97" s="708">
        <f t="shared" si="162"/>
        <v>9.4285322562935262E-3</v>
      </c>
      <c r="BM97" s="703">
        <f>$BL97*(1-'Tier3Phase-in'!$J$12)</f>
        <v>9.4285322562935262E-3</v>
      </c>
      <c r="BN97" s="703">
        <f>$BL97*(1-'Tier3Phase-in'!$K$12)</f>
        <v>8.1657824005399293E-3</v>
      </c>
      <c r="BO97" s="703">
        <f>$BL97*(1-'Tier3Phase-in'!$L$12)</f>
        <v>7.1785416042234804E-3</v>
      </c>
      <c r="BP97" s="703">
        <f>$BL97*(1-'Tier3Phase-in'!$M$12)</f>
        <v>6.7767575592109722E-3</v>
      </c>
      <c r="BQ97" s="703">
        <f>$BL97*(1-'Tier3Phase-in'!$N$12)</f>
        <v>6.4231875995999646E-3</v>
      </c>
      <c r="BR97" s="703">
        <f>$BL97*(1-'Tier3Phase-in'!$O$12)</f>
        <v>5.9180876572985245E-3</v>
      </c>
      <c r="BS97" s="703">
        <f>$BL97*(1-'Tier3Phase-in'!$P$12)</f>
        <v>5.9054601587409895E-3</v>
      </c>
      <c r="BT97" s="703">
        <f>$BL97*(1-'Tier3Phase-in'!$Q$12)</f>
        <v>5.8928326601834537E-3</v>
      </c>
      <c r="BU97" s="705">
        <f t="shared" si="163"/>
        <v>1.5433412123051972E-2</v>
      </c>
      <c r="BV97" s="708">
        <f t="shared" si="163"/>
        <v>1.0981611391844521E-2</v>
      </c>
      <c r="BW97" s="703">
        <f>(1-'Tier3Phase-in'!$J$20)*BV97</f>
        <v>3.7337478732271368E-3</v>
      </c>
      <c r="BX97" s="705">
        <f t="shared" si="164"/>
        <v>0</v>
      </c>
      <c r="BY97" s="708">
        <f t="shared" si="164"/>
        <v>1.9321380898951993E-3</v>
      </c>
      <c r="BZ97" s="705">
        <f t="shared" si="164"/>
        <v>0</v>
      </c>
      <c r="CA97" s="708">
        <f t="shared" si="164"/>
        <v>1.9222585649836582E-3</v>
      </c>
    </row>
    <row r="98" spans="1:79" x14ac:dyDescent="0.2">
      <c r="A98" s="690" t="str">
        <f>Technologies!C185</f>
        <v>THLLNGC10</v>
      </c>
      <c r="B98" s="690" t="str">
        <f>Technologies!D185</f>
        <v>Heavy Truck, Long Haul, LNG 2010</v>
      </c>
      <c r="C98" s="705">
        <f>C79</f>
        <v>3.0251386951020027</v>
      </c>
      <c r="D98" s="706">
        <f>D79</f>
        <v>1.2167816356523204</v>
      </c>
      <c r="E98" s="702">
        <f>$C98</f>
        <v>3.0251386951020027</v>
      </c>
      <c r="F98" s="702">
        <f t="shared" ref="F98:L98" si="165">$C98</f>
        <v>3.0251386951020027</v>
      </c>
      <c r="G98" s="702">
        <f t="shared" si="165"/>
        <v>3.0251386951020027</v>
      </c>
      <c r="H98" s="702">
        <f t="shared" si="165"/>
        <v>3.0251386951020027</v>
      </c>
      <c r="I98" s="702">
        <f t="shared" si="165"/>
        <v>3.0251386951020027</v>
      </c>
      <c r="J98" s="702">
        <f t="shared" si="165"/>
        <v>3.0251386951020027</v>
      </c>
      <c r="K98" s="702">
        <f t="shared" si="165"/>
        <v>3.0251386951020027</v>
      </c>
      <c r="L98" s="702">
        <f t="shared" si="165"/>
        <v>3.0251386951020027</v>
      </c>
      <c r="M98" s="705">
        <f>M79</f>
        <v>0.1119406340433215</v>
      </c>
      <c r="N98" s="706">
        <f>N79</f>
        <v>9.4247292349221481E-2</v>
      </c>
      <c r="O98" s="702">
        <f>$M98</f>
        <v>0.1119406340433215</v>
      </c>
      <c r="P98" s="702">
        <f t="shared" ref="P98:V98" si="166">$M98</f>
        <v>0.1119406340433215</v>
      </c>
      <c r="Q98" s="702">
        <f t="shared" si="166"/>
        <v>0.1119406340433215</v>
      </c>
      <c r="R98" s="702">
        <f t="shared" si="166"/>
        <v>0.1119406340433215</v>
      </c>
      <c r="S98" s="702">
        <f t="shared" si="166"/>
        <v>0.1119406340433215</v>
      </c>
      <c r="T98" s="702">
        <f t="shared" si="166"/>
        <v>0.1119406340433215</v>
      </c>
      <c r="U98" s="702">
        <f t="shared" si="166"/>
        <v>0.1119406340433215</v>
      </c>
      <c r="V98" s="702">
        <f t="shared" si="166"/>
        <v>0.1119406340433215</v>
      </c>
      <c r="W98" s="705">
        <f>W79</f>
        <v>5.6507969514429948E-2</v>
      </c>
      <c r="X98" s="706">
        <f>X79</f>
        <v>3.9344784647155295E-2</v>
      </c>
      <c r="Y98" s="702">
        <f t="shared" ref="Y98:AF98" si="167">W98</f>
        <v>5.6507969514429948E-2</v>
      </c>
      <c r="Z98" s="702">
        <f t="shared" si="167"/>
        <v>3.9344784647155295E-2</v>
      </c>
      <c r="AA98" s="702">
        <f t="shared" si="167"/>
        <v>5.6507969514429948E-2</v>
      </c>
      <c r="AB98" s="702">
        <f t="shared" si="167"/>
        <v>3.9344784647155295E-2</v>
      </c>
      <c r="AC98" s="702">
        <f t="shared" si="167"/>
        <v>5.6507969514429948E-2</v>
      </c>
      <c r="AD98" s="702">
        <f t="shared" si="167"/>
        <v>3.9344784647155295E-2</v>
      </c>
      <c r="AE98" s="702">
        <f t="shared" si="167"/>
        <v>5.6507969514429948E-2</v>
      </c>
      <c r="AF98" s="702">
        <f t="shared" si="167"/>
        <v>3.9344784647155295E-2</v>
      </c>
      <c r="AG98" s="705">
        <f>AG79</f>
        <v>0.33772121810215516</v>
      </c>
      <c r="AH98" s="706">
        <f>AH79</f>
        <v>0.44802613552576565</v>
      </c>
      <c r="AI98" s="702">
        <f>$AG98</f>
        <v>0.33772121810215516</v>
      </c>
      <c r="AJ98" s="702">
        <f t="shared" ref="AJ98:AP98" si="168">$AG98</f>
        <v>0.33772121810215516</v>
      </c>
      <c r="AK98" s="702">
        <f t="shared" si="168"/>
        <v>0.33772121810215516</v>
      </c>
      <c r="AL98" s="702">
        <f t="shared" si="168"/>
        <v>0.33772121810215516</v>
      </c>
      <c r="AM98" s="702">
        <f t="shared" si="168"/>
        <v>0.33772121810215516</v>
      </c>
      <c r="AN98" s="702">
        <f t="shared" si="168"/>
        <v>0.33772121810215516</v>
      </c>
      <c r="AO98" s="702">
        <f t="shared" si="168"/>
        <v>0.33772121810215516</v>
      </c>
      <c r="AP98" s="702">
        <f t="shared" si="168"/>
        <v>0.33772121810215516</v>
      </c>
      <c r="AQ98" s="705">
        <f>AQ79</f>
        <v>0.41345713549361068</v>
      </c>
      <c r="AR98" s="706">
        <f>AR79</f>
        <v>0.13692347977870439</v>
      </c>
      <c r="AS98" s="702">
        <f>$AQ98</f>
        <v>0.41345713549361068</v>
      </c>
      <c r="AT98" s="702">
        <f t="shared" ref="AT98:AZ98" si="169">$AQ98</f>
        <v>0.41345713549361068</v>
      </c>
      <c r="AU98" s="702">
        <f t="shared" si="169"/>
        <v>0.41345713549361068</v>
      </c>
      <c r="AV98" s="702">
        <f t="shared" si="169"/>
        <v>0.41345713549361068</v>
      </c>
      <c r="AW98" s="702">
        <f t="shared" si="169"/>
        <v>0.41345713549361068</v>
      </c>
      <c r="AX98" s="702">
        <f t="shared" si="169"/>
        <v>0.41345713549361068</v>
      </c>
      <c r="AY98" s="702">
        <f t="shared" si="169"/>
        <v>0.41345713549361068</v>
      </c>
      <c r="AZ98" s="702">
        <f t="shared" si="169"/>
        <v>0.41345713549361068</v>
      </c>
      <c r="BA98" s="705">
        <f>BA79</f>
        <v>1.8635913292846147E-2</v>
      </c>
      <c r="BB98" s="708">
        <f>BB79</f>
        <v>1.7042150911375994E-3</v>
      </c>
      <c r="BC98" s="703">
        <f>$BA98</f>
        <v>1.8635913292846147E-2</v>
      </c>
      <c r="BD98" s="703">
        <f t="shared" ref="BD98:BJ98" si="170">$BA98</f>
        <v>1.8635913292846147E-2</v>
      </c>
      <c r="BE98" s="703">
        <f t="shared" si="170"/>
        <v>1.8635913292846147E-2</v>
      </c>
      <c r="BF98" s="703">
        <f t="shared" si="170"/>
        <v>1.8635913292846147E-2</v>
      </c>
      <c r="BG98" s="703">
        <f t="shared" si="170"/>
        <v>1.8635913292846147E-2</v>
      </c>
      <c r="BH98" s="703">
        <f t="shared" si="170"/>
        <v>1.8635913292846147E-2</v>
      </c>
      <c r="BI98" s="703">
        <f t="shared" si="170"/>
        <v>1.8635913292846147E-2</v>
      </c>
      <c r="BJ98" s="703">
        <f t="shared" si="170"/>
        <v>1.8635913292846147E-2</v>
      </c>
      <c r="BK98" s="705">
        <f>BK79</f>
        <v>9.8326859099698485E-3</v>
      </c>
      <c r="BL98" s="708">
        <f>BL79</f>
        <v>3.9344784647155299E-3</v>
      </c>
      <c r="BM98" s="703">
        <f>$BK98</f>
        <v>9.8326859099698485E-3</v>
      </c>
      <c r="BN98" s="703">
        <f t="shared" ref="BN98:BT98" si="171">$BK98</f>
        <v>9.8326859099698485E-3</v>
      </c>
      <c r="BO98" s="703">
        <f t="shared" si="171"/>
        <v>9.8326859099698485E-3</v>
      </c>
      <c r="BP98" s="703">
        <f t="shared" si="171"/>
        <v>9.8326859099698485E-3</v>
      </c>
      <c r="BQ98" s="703">
        <f t="shared" si="171"/>
        <v>9.8326859099698485E-3</v>
      </c>
      <c r="BR98" s="703">
        <f t="shared" si="171"/>
        <v>9.8326859099698485E-3</v>
      </c>
      <c r="BS98" s="703">
        <f t="shared" si="171"/>
        <v>9.8326859099698485E-3</v>
      </c>
      <c r="BT98" s="703">
        <f t="shared" si="171"/>
        <v>9.8326859099698485E-3</v>
      </c>
      <c r="BU98" s="705">
        <f>BU79</f>
        <v>1.1145897812193141E-2</v>
      </c>
      <c r="BV98" s="708">
        <f>BV79</f>
        <v>7.9419857980102225E-3</v>
      </c>
      <c r="BW98" s="703">
        <f>(1-'Tier3Phase-in'!$J$20)*BV98</f>
        <v>2.7002751713234756E-3</v>
      </c>
      <c r="BX98" s="705">
        <f t="shared" ref="BX98:CA99" si="172">BX79</f>
        <v>0</v>
      </c>
      <c r="BY98" s="708">
        <f t="shared" si="172"/>
        <v>1.9321425501609792E-3</v>
      </c>
      <c r="BZ98" s="705">
        <f t="shared" si="172"/>
        <v>0</v>
      </c>
      <c r="CA98" s="708">
        <f t="shared" si="172"/>
        <v>1.9677443278455272E-3</v>
      </c>
    </row>
    <row r="99" spans="1:79" x14ac:dyDescent="0.2">
      <c r="A99" s="690" t="str">
        <f>Technologies!C186</f>
        <v>THLLNGC</v>
      </c>
      <c r="B99" s="690" t="str">
        <f>Technologies!D186</f>
        <v xml:space="preserve">Heavy Truck, Long Haul, Conventional LNG </v>
      </c>
      <c r="C99" s="705">
        <f>C80</f>
        <v>3.0251386951020027</v>
      </c>
      <c r="D99" s="706">
        <f>D80</f>
        <v>1.2167816356523204</v>
      </c>
      <c r="E99" s="702">
        <f>$D99*(1-'Tier3Phase-in'!$J$12)</f>
        <v>1.2167816356523204</v>
      </c>
      <c r="F99" s="702">
        <f>$D99*(1-'Tier3Phase-in'!$K$12)</f>
        <v>1.0538198094488846</v>
      </c>
      <c r="G99" s="702">
        <f>$D99*(1-'Tier3Phase-in'!$L$12)</f>
        <v>0.92641329078074397</v>
      </c>
      <c r="H99" s="702">
        <f>$D99*(1-'Tier3Phase-in'!$M$12)</f>
        <v>0.87456180062510536</v>
      </c>
      <c r="I99" s="702">
        <f>$D99*(1-'Tier3Phase-in'!$N$12)</f>
        <v>0.82893248928814334</v>
      </c>
      <c r="J99" s="702">
        <f>$D99*(1-'Tier3Phase-in'!$O$12)</f>
        <v>0.76374775880676882</v>
      </c>
      <c r="K99" s="702">
        <f>$D99*(1-'Tier3Phase-in'!$P$12)</f>
        <v>0.76211814054473459</v>
      </c>
      <c r="L99" s="702">
        <f>$D99*(1-'Tier3Phase-in'!$Q$12)</f>
        <v>0.76048852228270025</v>
      </c>
      <c r="M99" s="705">
        <f>M80</f>
        <v>0.1119406340433215</v>
      </c>
      <c r="N99" s="706">
        <f>N80</f>
        <v>9.4247292349221481E-2</v>
      </c>
      <c r="O99" s="702">
        <f>$N99*(1-'Tier3Phase-in'!$J$12)</f>
        <v>9.4247292349221481E-2</v>
      </c>
      <c r="P99" s="702">
        <f>$N99*(1-'Tier3Phase-in'!$K$12)</f>
        <v>8.1624887123879317E-2</v>
      </c>
      <c r="Q99" s="702">
        <f>$N99*(1-'Tier3Phase-in'!$L$12)</f>
        <v>7.1756461220429987E-2</v>
      </c>
      <c r="R99" s="702">
        <f>$N99*(1-'Tier3Phase-in'!$M$12)</f>
        <v>6.7740241376002944E-2</v>
      </c>
      <c r="S99" s="702">
        <f>$N99*(1-'Tier3Phase-in'!$N$12)</f>
        <v>6.4205967912907141E-2</v>
      </c>
      <c r="T99" s="702">
        <f>$N99*(1-'Tier3Phase-in'!$O$12)</f>
        <v>5.915700582277026E-2</v>
      </c>
      <c r="U99" s="702">
        <f>$N99*(1-'Tier3Phase-in'!$P$12)</f>
        <v>5.9030781770516842E-2</v>
      </c>
      <c r="V99" s="702">
        <f>$N99*(1-'Tier3Phase-in'!$Q$12)</f>
        <v>5.8904557718263424E-2</v>
      </c>
      <c r="W99" s="705">
        <f>W80</f>
        <v>5.6507969514429948E-2</v>
      </c>
      <c r="X99" s="706">
        <f>X80</f>
        <v>3.9344784647155295E-2</v>
      </c>
      <c r="Y99" s="702">
        <f>$X99*(1-'Tier3Phase-in'!$J$12)</f>
        <v>3.9344784647155295E-2</v>
      </c>
      <c r="Z99" s="702">
        <f>$X99*(1-'Tier3Phase-in'!$K$12)</f>
        <v>3.4075393846196997E-2</v>
      </c>
      <c r="AA99" s="702">
        <f>$X99*(1-'Tier3Phase-in'!$L$12)</f>
        <v>2.9955688310902326E-2</v>
      </c>
      <c r="AB99" s="702">
        <f>$X99*(1-'Tier3Phase-in'!$M$12)</f>
        <v>2.8279063965142869E-2</v>
      </c>
      <c r="AC99" s="702">
        <f>$X99*(1-'Tier3Phase-in'!$N$12)</f>
        <v>2.6803634540874546E-2</v>
      </c>
      <c r="AD99" s="702">
        <f>$X99*(1-'Tier3Phase-in'!$O$12)</f>
        <v>2.469587822049122E-2</v>
      </c>
      <c r="AE99" s="702">
        <f>$X99*(1-'Tier3Phase-in'!$P$12)</f>
        <v>2.464318431248164E-2</v>
      </c>
      <c r="AF99" s="702">
        <f>$X99*(1-'Tier3Phase-in'!$Q$12)</f>
        <v>2.459049040447206E-2</v>
      </c>
      <c r="AG99" s="705">
        <f>AG80</f>
        <v>0.33772121810215516</v>
      </c>
      <c r="AH99" s="706">
        <f>AH80</f>
        <v>0.44802613552576565</v>
      </c>
      <c r="AI99" s="702">
        <f>$AH99*(1-'Tier3Phase-in'!$J$12)</f>
        <v>0.44802613552576565</v>
      </c>
      <c r="AJ99" s="702">
        <f>$AH99*(1-'Tier3Phase-in'!$K$12)</f>
        <v>0.38802263523213631</v>
      </c>
      <c r="AK99" s="702">
        <f>$AH99*(1-'Tier3Phase-in'!$L$12)</f>
        <v>0.34111080772984431</v>
      </c>
      <c r="AL99" s="702">
        <f>$AH99*(1-'Tier3Phase-in'!$M$12)</f>
        <v>0.32201878490914404</v>
      </c>
      <c r="AM99" s="702">
        <f>$AH99*(1-'Tier3Phase-in'!$N$12)</f>
        <v>0.30521780482692784</v>
      </c>
      <c r="AN99" s="702">
        <f>$AH99*(1-'Tier3Phase-in'!$O$12)</f>
        <v>0.28121640470947606</v>
      </c>
      <c r="AO99" s="702">
        <f>$AH99*(1-'Tier3Phase-in'!$P$12)</f>
        <v>0.2806163697065398</v>
      </c>
      <c r="AP99" s="702">
        <f>$AH99*(1-'Tier3Phase-in'!$Q$12)</f>
        <v>0.28001633470360354</v>
      </c>
      <c r="AQ99" s="705">
        <f>AQ80</f>
        <v>0.41345713549361068</v>
      </c>
      <c r="AR99" s="706">
        <f>AR80</f>
        <v>0.13692347977870439</v>
      </c>
      <c r="AS99" s="702">
        <f>$AR99*(1-'Tier3Phase-in'!$J$12)</f>
        <v>0.13692347977870439</v>
      </c>
      <c r="AT99" s="702">
        <f>$AR99*(1-'Tier3Phase-in'!$K$12)</f>
        <v>0.11858551373691363</v>
      </c>
      <c r="AU99" s="702">
        <f>$AR99*(1-'Tier3Phase-in'!$L$12)</f>
        <v>0.1042485584678772</v>
      </c>
      <c r="AV99" s="702">
        <f>$AR99*(1-'Tier3Phase-in'!$M$12)</f>
        <v>9.8413751090943788E-2</v>
      </c>
      <c r="AW99" s="702">
        <f>$AR99*(1-'Tier3Phase-in'!$N$12)</f>
        <v>9.3279120599242371E-2</v>
      </c>
      <c r="AX99" s="702">
        <f>$AR99*(1-'Tier3Phase-in'!$O$12)</f>
        <v>8.5943934182526049E-2</v>
      </c>
      <c r="AY99" s="702">
        <f>$AR99*(1-'Tier3Phase-in'!$P$12)</f>
        <v>8.5760554522108151E-2</v>
      </c>
      <c r="AZ99" s="702">
        <f>$AR99*(1-'Tier3Phase-in'!$Q$12)</f>
        <v>8.5577174861690253E-2</v>
      </c>
      <c r="BA99" s="705">
        <f>BA80</f>
        <v>1.8635913292846147E-2</v>
      </c>
      <c r="BB99" s="708">
        <f>BB80</f>
        <v>1.7042150911375994E-3</v>
      </c>
      <c r="BC99" s="703">
        <f>$BB99*(1-'Tier3Phase-in'!$J$12)</f>
        <v>1.7042150911375994E-3</v>
      </c>
      <c r="BD99" s="703">
        <f>$BB99*(1-'Tier3Phase-in'!$K$12)</f>
        <v>1.4759719985745282E-3</v>
      </c>
      <c r="BE99" s="703">
        <f>$BB99*(1-'Tier3Phase-in'!$L$12)</f>
        <v>1.2975273989343087E-3</v>
      </c>
      <c r="BF99" s="703">
        <f>$BB99*(1-'Tier3Phase-in'!$M$12)</f>
        <v>1.2249045967551496E-3</v>
      </c>
      <c r="BG99" s="703">
        <f>$BB99*(1-'Tier3Phase-in'!$N$12)</f>
        <v>1.1609965308374897E-3</v>
      </c>
      <c r="BH99" s="703">
        <f>$BB99*(1-'Tier3Phase-in'!$O$12)</f>
        <v>1.0696992938122609E-3</v>
      </c>
      <c r="BI99" s="703">
        <f>$BB99*(1-'Tier3Phase-in'!$P$12)</f>
        <v>1.0674168628866303E-3</v>
      </c>
      <c r="BJ99" s="703">
        <f>$BB99*(1-'Tier3Phase-in'!$Q$12)</f>
        <v>1.0651344319609997E-3</v>
      </c>
      <c r="BK99" s="705">
        <f>BK80</f>
        <v>9.8326859099698485E-3</v>
      </c>
      <c r="BL99" s="708">
        <f>BL80</f>
        <v>3.9344784647155299E-3</v>
      </c>
      <c r="BM99" s="703">
        <f>$BL99*(1-'Tier3Phase-in'!$J$12)</f>
        <v>3.9344784647155299E-3</v>
      </c>
      <c r="BN99" s="703">
        <f>$BL99*(1-'Tier3Phase-in'!$K$12)</f>
        <v>3.4075393846197E-3</v>
      </c>
      <c r="BO99" s="703">
        <f>$BL99*(1-'Tier3Phase-in'!$L$12)</f>
        <v>2.9955688310902328E-3</v>
      </c>
      <c r="BP99" s="703">
        <f>$BL99*(1-'Tier3Phase-in'!$M$12)</f>
        <v>2.8279063965142869E-3</v>
      </c>
      <c r="BQ99" s="703">
        <f>$BL99*(1-'Tier3Phase-in'!$N$12)</f>
        <v>2.680363454087455E-3</v>
      </c>
      <c r="BR99" s="703">
        <f>$BL99*(1-'Tier3Phase-in'!$O$12)</f>
        <v>2.4695878220491224E-3</v>
      </c>
      <c r="BS99" s="703">
        <f>$BL99*(1-'Tier3Phase-in'!$P$12)</f>
        <v>2.4643184312481644E-3</v>
      </c>
      <c r="BT99" s="703">
        <f>$BL99*(1-'Tier3Phase-in'!$Q$12)</f>
        <v>2.459049040447206E-3</v>
      </c>
      <c r="BU99" s="705">
        <f>BU80</f>
        <v>1.1145897812193141E-2</v>
      </c>
      <c r="BV99" s="708">
        <f>BV80</f>
        <v>7.9419857980102225E-3</v>
      </c>
      <c r="BW99" s="703">
        <f>(1-'Tier3Phase-in'!$J$20)*BV99</f>
        <v>2.7002751713234756E-3</v>
      </c>
      <c r="BX99" s="705">
        <f t="shared" si="172"/>
        <v>0</v>
      </c>
      <c r="BY99" s="708">
        <f t="shared" si="172"/>
        <v>1.9321425501609792E-3</v>
      </c>
      <c r="BZ99" s="705">
        <f t="shared" si="172"/>
        <v>0</v>
      </c>
      <c r="CA99" s="708">
        <f t="shared" si="172"/>
        <v>1.9677443278455272E-3</v>
      </c>
    </row>
    <row r="100" spans="1:79" x14ac:dyDescent="0.2">
      <c r="A100" s="690" t="str">
        <f>Technologies!C187</f>
        <v>THLLNGADV</v>
      </c>
      <c r="B100" s="690" t="str">
        <f>Technologies!D187</f>
        <v>Heavy Truck, Long Haul, Advanced LNG</v>
      </c>
      <c r="C100" s="705">
        <f t="shared" ref="C100:D103" si="173">C99</f>
        <v>3.0251386951020027</v>
      </c>
      <c r="D100" s="706">
        <f t="shared" si="173"/>
        <v>1.2167816356523204</v>
      </c>
      <c r="E100" s="702">
        <f>$D100*(1-'Tier3Phase-in'!$J$12)</f>
        <v>1.2167816356523204</v>
      </c>
      <c r="F100" s="702">
        <f>$D100*(1-'Tier3Phase-in'!$K$12)</f>
        <v>1.0538198094488846</v>
      </c>
      <c r="G100" s="702">
        <f>$D100*(1-'Tier3Phase-in'!$L$12)</f>
        <v>0.92641329078074397</v>
      </c>
      <c r="H100" s="702">
        <f>$D100*(1-'Tier3Phase-in'!$M$12)</f>
        <v>0.87456180062510536</v>
      </c>
      <c r="I100" s="702">
        <f>$D100*(1-'Tier3Phase-in'!$N$12)</f>
        <v>0.82893248928814334</v>
      </c>
      <c r="J100" s="702">
        <f>$D100*(1-'Tier3Phase-in'!$O$12)</f>
        <v>0.76374775880676882</v>
      </c>
      <c r="K100" s="702">
        <f>$D100*(1-'Tier3Phase-in'!$P$12)</f>
        <v>0.76211814054473459</v>
      </c>
      <c r="L100" s="702">
        <f>$D100*(1-'Tier3Phase-in'!$Q$12)</f>
        <v>0.76048852228270025</v>
      </c>
      <c r="M100" s="705">
        <f t="shared" ref="M100:N103" si="174">M99</f>
        <v>0.1119406340433215</v>
      </c>
      <c r="N100" s="706">
        <f t="shared" si="174"/>
        <v>9.4247292349221481E-2</v>
      </c>
      <c r="O100" s="702">
        <f>$N100*(1-'Tier3Phase-in'!$J$12)</f>
        <v>9.4247292349221481E-2</v>
      </c>
      <c r="P100" s="702">
        <f>$N100*(1-'Tier3Phase-in'!$K$12)</f>
        <v>8.1624887123879317E-2</v>
      </c>
      <c r="Q100" s="702">
        <f>$N100*(1-'Tier3Phase-in'!$L$12)</f>
        <v>7.1756461220429987E-2</v>
      </c>
      <c r="R100" s="702">
        <f>$N100*(1-'Tier3Phase-in'!$M$12)</f>
        <v>6.7740241376002944E-2</v>
      </c>
      <c r="S100" s="702">
        <f>$N100*(1-'Tier3Phase-in'!$N$12)</f>
        <v>6.4205967912907141E-2</v>
      </c>
      <c r="T100" s="702">
        <f>$N100*(1-'Tier3Phase-in'!$O$12)</f>
        <v>5.915700582277026E-2</v>
      </c>
      <c r="U100" s="702">
        <f>$N100*(1-'Tier3Phase-in'!$P$12)</f>
        <v>5.9030781770516842E-2</v>
      </c>
      <c r="V100" s="702">
        <f>$N100*(1-'Tier3Phase-in'!$Q$12)</f>
        <v>5.8904557718263424E-2</v>
      </c>
      <c r="W100" s="705">
        <f t="shared" ref="W100:X103" si="175">W99</f>
        <v>5.6507969514429948E-2</v>
      </c>
      <c r="X100" s="706">
        <f t="shared" si="175"/>
        <v>3.9344784647155295E-2</v>
      </c>
      <c r="Y100" s="702">
        <f>$X100*(1-'Tier3Phase-in'!$J$12)</f>
        <v>3.9344784647155295E-2</v>
      </c>
      <c r="Z100" s="702">
        <f>$X100*(1-'Tier3Phase-in'!$K$12)</f>
        <v>3.4075393846196997E-2</v>
      </c>
      <c r="AA100" s="702">
        <f>$X100*(1-'Tier3Phase-in'!$L$12)</f>
        <v>2.9955688310902326E-2</v>
      </c>
      <c r="AB100" s="702">
        <f>$X100*(1-'Tier3Phase-in'!$M$12)</f>
        <v>2.8279063965142869E-2</v>
      </c>
      <c r="AC100" s="702">
        <f>$X100*(1-'Tier3Phase-in'!$N$12)</f>
        <v>2.6803634540874546E-2</v>
      </c>
      <c r="AD100" s="702">
        <f>$X100*(1-'Tier3Phase-in'!$O$12)</f>
        <v>2.469587822049122E-2</v>
      </c>
      <c r="AE100" s="702">
        <f>$X100*(1-'Tier3Phase-in'!$P$12)</f>
        <v>2.464318431248164E-2</v>
      </c>
      <c r="AF100" s="702">
        <f>$X100*(1-'Tier3Phase-in'!$Q$12)</f>
        <v>2.459049040447206E-2</v>
      </c>
      <c r="AG100" s="705">
        <f t="shared" ref="AG100:AH103" si="176">AG99</f>
        <v>0.33772121810215516</v>
      </c>
      <c r="AH100" s="706">
        <f t="shared" si="176"/>
        <v>0.44802613552576565</v>
      </c>
      <c r="AI100" s="702">
        <f>$AH100*(1-'Tier3Phase-in'!$J$12)</f>
        <v>0.44802613552576565</v>
      </c>
      <c r="AJ100" s="702">
        <f>$AH100*(1-'Tier3Phase-in'!$K$12)</f>
        <v>0.38802263523213631</v>
      </c>
      <c r="AK100" s="702">
        <f>$AH100*(1-'Tier3Phase-in'!$L$12)</f>
        <v>0.34111080772984431</v>
      </c>
      <c r="AL100" s="702">
        <f>$AH100*(1-'Tier3Phase-in'!$M$12)</f>
        <v>0.32201878490914404</v>
      </c>
      <c r="AM100" s="702">
        <f>$AH100*(1-'Tier3Phase-in'!$N$12)</f>
        <v>0.30521780482692784</v>
      </c>
      <c r="AN100" s="702">
        <f>$AH100*(1-'Tier3Phase-in'!$O$12)</f>
        <v>0.28121640470947606</v>
      </c>
      <c r="AO100" s="702">
        <f>$AH100*(1-'Tier3Phase-in'!$P$12)</f>
        <v>0.2806163697065398</v>
      </c>
      <c r="AP100" s="702">
        <f>$AH100*(1-'Tier3Phase-in'!$Q$12)</f>
        <v>0.28001633470360354</v>
      </c>
      <c r="AQ100" s="705">
        <f t="shared" ref="AQ100:AR103" si="177">AQ99</f>
        <v>0.41345713549361068</v>
      </c>
      <c r="AR100" s="706">
        <f t="shared" si="177"/>
        <v>0.13692347977870439</v>
      </c>
      <c r="AS100" s="702">
        <f>$AR100*(1-'Tier3Phase-in'!$J$12)</f>
        <v>0.13692347977870439</v>
      </c>
      <c r="AT100" s="702">
        <f>$AR100*(1-'Tier3Phase-in'!$K$12)</f>
        <v>0.11858551373691363</v>
      </c>
      <c r="AU100" s="702">
        <f>$AR100*(1-'Tier3Phase-in'!$L$12)</f>
        <v>0.1042485584678772</v>
      </c>
      <c r="AV100" s="702">
        <f>$AR100*(1-'Tier3Phase-in'!$M$12)</f>
        <v>9.8413751090943788E-2</v>
      </c>
      <c r="AW100" s="702">
        <f>$AR100*(1-'Tier3Phase-in'!$N$12)</f>
        <v>9.3279120599242371E-2</v>
      </c>
      <c r="AX100" s="702">
        <f>$AR100*(1-'Tier3Phase-in'!$O$12)</f>
        <v>8.5943934182526049E-2</v>
      </c>
      <c r="AY100" s="702">
        <f>$AR100*(1-'Tier3Phase-in'!$P$12)</f>
        <v>8.5760554522108151E-2</v>
      </c>
      <c r="AZ100" s="702">
        <f>$AR100*(1-'Tier3Phase-in'!$Q$12)</f>
        <v>8.5577174861690253E-2</v>
      </c>
      <c r="BA100" s="705">
        <f t="shared" ref="BA100:BB103" si="178">BA99</f>
        <v>1.8635913292846147E-2</v>
      </c>
      <c r="BB100" s="708">
        <f t="shared" si="178"/>
        <v>1.7042150911375994E-3</v>
      </c>
      <c r="BC100" s="703">
        <f>$BB100*(1-'Tier3Phase-in'!$J$12)</f>
        <v>1.7042150911375994E-3</v>
      </c>
      <c r="BD100" s="703">
        <f>$BB100*(1-'Tier3Phase-in'!$K$12)</f>
        <v>1.4759719985745282E-3</v>
      </c>
      <c r="BE100" s="703">
        <f>$BB100*(1-'Tier3Phase-in'!$L$12)</f>
        <v>1.2975273989343087E-3</v>
      </c>
      <c r="BF100" s="703">
        <f>$BB100*(1-'Tier3Phase-in'!$M$12)</f>
        <v>1.2249045967551496E-3</v>
      </c>
      <c r="BG100" s="703">
        <f>$BB100*(1-'Tier3Phase-in'!$N$12)</f>
        <v>1.1609965308374897E-3</v>
      </c>
      <c r="BH100" s="703">
        <f>$BB100*(1-'Tier3Phase-in'!$O$12)</f>
        <v>1.0696992938122609E-3</v>
      </c>
      <c r="BI100" s="703">
        <f>$BB100*(1-'Tier3Phase-in'!$P$12)</f>
        <v>1.0674168628866303E-3</v>
      </c>
      <c r="BJ100" s="703">
        <f>$BB100*(1-'Tier3Phase-in'!$Q$12)</f>
        <v>1.0651344319609997E-3</v>
      </c>
      <c r="BK100" s="705">
        <f t="shared" ref="BK100:BL103" si="179">BK99</f>
        <v>9.8326859099698485E-3</v>
      </c>
      <c r="BL100" s="708">
        <f t="shared" si="179"/>
        <v>3.9344784647155299E-3</v>
      </c>
      <c r="BM100" s="703">
        <f>$BL100*(1-'Tier3Phase-in'!$J$12)</f>
        <v>3.9344784647155299E-3</v>
      </c>
      <c r="BN100" s="703">
        <f>$BL100*(1-'Tier3Phase-in'!$K$12)</f>
        <v>3.4075393846197E-3</v>
      </c>
      <c r="BO100" s="703">
        <f>$BL100*(1-'Tier3Phase-in'!$L$12)</f>
        <v>2.9955688310902328E-3</v>
      </c>
      <c r="BP100" s="703">
        <f>$BL100*(1-'Tier3Phase-in'!$M$12)</f>
        <v>2.8279063965142869E-3</v>
      </c>
      <c r="BQ100" s="703">
        <f>$BL100*(1-'Tier3Phase-in'!$N$12)</f>
        <v>2.680363454087455E-3</v>
      </c>
      <c r="BR100" s="703">
        <f>$BL100*(1-'Tier3Phase-in'!$O$12)</f>
        <v>2.4695878220491224E-3</v>
      </c>
      <c r="BS100" s="703">
        <f>$BL100*(1-'Tier3Phase-in'!$P$12)</f>
        <v>2.4643184312481644E-3</v>
      </c>
      <c r="BT100" s="703">
        <f>$BL100*(1-'Tier3Phase-in'!$Q$12)</f>
        <v>2.459049040447206E-3</v>
      </c>
      <c r="BU100" s="705">
        <f t="shared" ref="BU100:BV103" si="180">BU99</f>
        <v>1.1145897812193141E-2</v>
      </c>
      <c r="BV100" s="708">
        <f t="shared" si="180"/>
        <v>7.9419857980102225E-3</v>
      </c>
      <c r="BW100" s="703">
        <f>(1-'Tier3Phase-in'!$J$20)*BV100</f>
        <v>2.7002751713234756E-3</v>
      </c>
      <c r="BX100" s="705">
        <f t="shared" ref="BX100:CA103" si="181">BX99</f>
        <v>0</v>
      </c>
      <c r="BY100" s="708">
        <f t="shared" si="181"/>
        <v>1.9321425501609792E-3</v>
      </c>
      <c r="BZ100" s="705">
        <f t="shared" si="181"/>
        <v>0</v>
      </c>
      <c r="CA100" s="708">
        <f t="shared" si="181"/>
        <v>1.9677443278455272E-3</v>
      </c>
    </row>
    <row r="101" spans="1:79" x14ac:dyDescent="0.2">
      <c r="A101" s="690" t="str">
        <f>Technologies!C188</f>
        <v>THLLNGAH</v>
      </c>
      <c r="B101" s="690" t="str">
        <f>Technologies!D188</f>
        <v>Heavy Truck, Long Haul, Advanced LNG Hybrid</v>
      </c>
      <c r="C101" s="705">
        <f t="shared" si="173"/>
        <v>3.0251386951020027</v>
      </c>
      <c r="D101" s="706">
        <f t="shared" si="173"/>
        <v>1.2167816356523204</v>
      </c>
      <c r="E101" s="702">
        <f>$D101*(1-'Tier3Phase-in'!$J$12)</f>
        <v>1.2167816356523204</v>
      </c>
      <c r="F101" s="702">
        <f>$D101*(1-'Tier3Phase-in'!$K$12)</f>
        <v>1.0538198094488846</v>
      </c>
      <c r="G101" s="702">
        <f>$D101*(1-'Tier3Phase-in'!$L$12)</f>
        <v>0.92641329078074397</v>
      </c>
      <c r="H101" s="702">
        <f>$D101*(1-'Tier3Phase-in'!$M$12)</f>
        <v>0.87456180062510536</v>
      </c>
      <c r="I101" s="702">
        <f>$D101*(1-'Tier3Phase-in'!$N$12)</f>
        <v>0.82893248928814334</v>
      </c>
      <c r="J101" s="702">
        <f>$D101*(1-'Tier3Phase-in'!$O$12)</f>
        <v>0.76374775880676882</v>
      </c>
      <c r="K101" s="702">
        <f>$D101*(1-'Tier3Phase-in'!$P$12)</f>
        <v>0.76211814054473459</v>
      </c>
      <c r="L101" s="702">
        <f>$D101*(1-'Tier3Phase-in'!$Q$12)</f>
        <v>0.76048852228270025</v>
      </c>
      <c r="M101" s="705">
        <f>M100</f>
        <v>0.1119406340433215</v>
      </c>
      <c r="N101" s="706">
        <f t="shared" si="174"/>
        <v>9.4247292349221481E-2</v>
      </c>
      <c r="O101" s="702">
        <f>$N101*(1-'Tier3Phase-in'!$J$12)</f>
        <v>9.4247292349221481E-2</v>
      </c>
      <c r="P101" s="702">
        <f>$N101*(1-'Tier3Phase-in'!$K$12)</f>
        <v>8.1624887123879317E-2</v>
      </c>
      <c r="Q101" s="702">
        <f>$N101*(1-'Tier3Phase-in'!$L$12)</f>
        <v>7.1756461220429987E-2</v>
      </c>
      <c r="R101" s="702">
        <f>$N101*(1-'Tier3Phase-in'!$M$12)</f>
        <v>6.7740241376002944E-2</v>
      </c>
      <c r="S101" s="702">
        <f>$N101*(1-'Tier3Phase-in'!$N$12)</f>
        <v>6.4205967912907141E-2</v>
      </c>
      <c r="T101" s="702">
        <f>$N101*(1-'Tier3Phase-in'!$O$12)</f>
        <v>5.915700582277026E-2</v>
      </c>
      <c r="U101" s="702">
        <f>$N101*(1-'Tier3Phase-in'!$P$12)</f>
        <v>5.9030781770516842E-2</v>
      </c>
      <c r="V101" s="702">
        <f>$N101*(1-'Tier3Phase-in'!$Q$12)</f>
        <v>5.8904557718263424E-2</v>
      </c>
      <c r="W101" s="705">
        <f t="shared" si="175"/>
        <v>5.6507969514429948E-2</v>
      </c>
      <c r="X101" s="706">
        <f t="shared" si="175"/>
        <v>3.9344784647155295E-2</v>
      </c>
      <c r="Y101" s="702">
        <f>$X101*(1-'Tier3Phase-in'!$J$12)</f>
        <v>3.9344784647155295E-2</v>
      </c>
      <c r="Z101" s="702">
        <f>$X101*(1-'Tier3Phase-in'!$K$12)</f>
        <v>3.4075393846196997E-2</v>
      </c>
      <c r="AA101" s="702">
        <f>$X101*(1-'Tier3Phase-in'!$L$12)</f>
        <v>2.9955688310902326E-2</v>
      </c>
      <c r="AB101" s="702">
        <f>$X101*(1-'Tier3Phase-in'!$M$12)</f>
        <v>2.8279063965142869E-2</v>
      </c>
      <c r="AC101" s="702">
        <f>$X101*(1-'Tier3Phase-in'!$N$12)</f>
        <v>2.6803634540874546E-2</v>
      </c>
      <c r="AD101" s="702">
        <f>$X101*(1-'Tier3Phase-in'!$O$12)</f>
        <v>2.469587822049122E-2</v>
      </c>
      <c r="AE101" s="702">
        <f>$X101*(1-'Tier3Phase-in'!$P$12)</f>
        <v>2.464318431248164E-2</v>
      </c>
      <c r="AF101" s="702">
        <f>$X101*(1-'Tier3Phase-in'!$Q$12)</f>
        <v>2.459049040447206E-2</v>
      </c>
      <c r="AG101" s="705">
        <f t="shared" si="176"/>
        <v>0.33772121810215516</v>
      </c>
      <c r="AH101" s="706">
        <f t="shared" si="176"/>
        <v>0.44802613552576565</v>
      </c>
      <c r="AI101" s="702">
        <f>$AH101*(1-'Tier3Phase-in'!$J$12)</f>
        <v>0.44802613552576565</v>
      </c>
      <c r="AJ101" s="702">
        <f>$AH101*(1-'Tier3Phase-in'!$K$12)</f>
        <v>0.38802263523213631</v>
      </c>
      <c r="AK101" s="702">
        <f>$AH101*(1-'Tier3Phase-in'!$L$12)</f>
        <v>0.34111080772984431</v>
      </c>
      <c r="AL101" s="702">
        <f>$AH101*(1-'Tier3Phase-in'!$M$12)</f>
        <v>0.32201878490914404</v>
      </c>
      <c r="AM101" s="702">
        <f>$AH101*(1-'Tier3Phase-in'!$N$12)</f>
        <v>0.30521780482692784</v>
      </c>
      <c r="AN101" s="702">
        <f>$AH101*(1-'Tier3Phase-in'!$O$12)</f>
        <v>0.28121640470947606</v>
      </c>
      <c r="AO101" s="702">
        <f>$AH101*(1-'Tier3Phase-in'!$P$12)</f>
        <v>0.2806163697065398</v>
      </c>
      <c r="AP101" s="702">
        <f>$AH101*(1-'Tier3Phase-in'!$Q$12)</f>
        <v>0.28001633470360354</v>
      </c>
      <c r="AQ101" s="705">
        <f t="shared" si="177"/>
        <v>0.41345713549361068</v>
      </c>
      <c r="AR101" s="706">
        <f t="shared" si="177"/>
        <v>0.13692347977870439</v>
      </c>
      <c r="AS101" s="702">
        <f>$AR101*(1-'Tier3Phase-in'!$J$12)</f>
        <v>0.13692347977870439</v>
      </c>
      <c r="AT101" s="702">
        <f>$AR101*(1-'Tier3Phase-in'!$K$12)</f>
        <v>0.11858551373691363</v>
      </c>
      <c r="AU101" s="702">
        <f>$AR101*(1-'Tier3Phase-in'!$L$12)</f>
        <v>0.1042485584678772</v>
      </c>
      <c r="AV101" s="702">
        <f>$AR101*(1-'Tier3Phase-in'!$M$12)</f>
        <v>9.8413751090943788E-2</v>
      </c>
      <c r="AW101" s="702">
        <f>$AR101*(1-'Tier3Phase-in'!$N$12)</f>
        <v>9.3279120599242371E-2</v>
      </c>
      <c r="AX101" s="702">
        <f>$AR101*(1-'Tier3Phase-in'!$O$12)</f>
        <v>8.5943934182526049E-2</v>
      </c>
      <c r="AY101" s="702">
        <f>$AR101*(1-'Tier3Phase-in'!$P$12)</f>
        <v>8.5760554522108151E-2</v>
      </c>
      <c r="AZ101" s="702">
        <f>$AR101*(1-'Tier3Phase-in'!$Q$12)</f>
        <v>8.5577174861690253E-2</v>
      </c>
      <c r="BA101" s="705">
        <f t="shared" si="178"/>
        <v>1.8635913292846147E-2</v>
      </c>
      <c r="BB101" s="708">
        <f t="shared" si="178"/>
        <v>1.7042150911375994E-3</v>
      </c>
      <c r="BC101" s="703">
        <f>$BB101*(1-'Tier3Phase-in'!$J$12)</f>
        <v>1.7042150911375994E-3</v>
      </c>
      <c r="BD101" s="703">
        <f>$BB101*(1-'Tier3Phase-in'!$K$12)</f>
        <v>1.4759719985745282E-3</v>
      </c>
      <c r="BE101" s="703">
        <f>$BB101*(1-'Tier3Phase-in'!$L$12)</f>
        <v>1.2975273989343087E-3</v>
      </c>
      <c r="BF101" s="703">
        <f>$BB101*(1-'Tier3Phase-in'!$M$12)</f>
        <v>1.2249045967551496E-3</v>
      </c>
      <c r="BG101" s="703">
        <f>$BB101*(1-'Tier3Phase-in'!$N$12)</f>
        <v>1.1609965308374897E-3</v>
      </c>
      <c r="BH101" s="703">
        <f>$BB101*(1-'Tier3Phase-in'!$O$12)</f>
        <v>1.0696992938122609E-3</v>
      </c>
      <c r="BI101" s="703">
        <f>$BB101*(1-'Tier3Phase-in'!$P$12)</f>
        <v>1.0674168628866303E-3</v>
      </c>
      <c r="BJ101" s="703">
        <f>$BB101*(1-'Tier3Phase-in'!$Q$12)</f>
        <v>1.0651344319609997E-3</v>
      </c>
      <c r="BK101" s="705">
        <f t="shared" si="179"/>
        <v>9.8326859099698485E-3</v>
      </c>
      <c r="BL101" s="708">
        <f t="shared" si="179"/>
        <v>3.9344784647155299E-3</v>
      </c>
      <c r="BM101" s="703">
        <f>$BL101*(1-'Tier3Phase-in'!$J$12)</f>
        <v>3.9344784647155299E-3</v>
      </c>
      <c r="BN101" s="703">
        <f>$BL101*(1-'Tier3Phase-in'!$K$12)</f>
        <v>3.4075393846197E-3</v>
      </c>
      <c r="BO101" s="703">
        <f>$BL101*(1-'Tier3Phase-in'!$L$12)</f>
        <v>2.9955688310902328E-3</v>
      </c>
      <c r="BP101" s="703">
        <f>$BL101*(1-'Tier3Phase-in'!$M$12)</f>
        <v>2.8279063965142869E-3</v>
      </c>
      <c r="BQ101" s="703">
        <f>$BL101*(1-'Tier3Phase-in'!$N$12)</f>
        <v>2.680363454087455E-3</v>
      </c>
      <c r="BR101" s="703">
        <f>$BL101*(1-'Tier3Phase-in'!$O$12)</f>
        <v>2.4695878220491224E-3</v>
      </c>
      <c r="BS101" s="703">
        <f>$BL101*(1-'Tier3Phase-in'!$P$12)</f>
        <v>2.4643184312481644E-3</v>
      </c>
      <c r="BT101" s="703">
        <f>$BL101*(1-'Tier3Phase-in'!$Q$12)</f>
        <v>2.459049040447206E-3</v>
      </c>
      <c r="BU101" s="705">
        <f t="shared" si="180"/>
        <v>1.1145897812193141E-2</v>
      </c>
      <c r="BV101" s="708">
        <f t="shared" si="180"/>
        <v>7.9419857980102225E-3</v>
      </c>
      <c r="BW101" s="703">
        <f>(1-'Tier3Phase-in'!$J$20)*BV101</f>
        <v>2.7002751713234756E-3</v>
      </c>
      <c r="BX101" s="705">
        <f t="shared" si="181"/>
        <v>0</v>
      </c>
      <c r="BY101" s="708">
        <f t="shared" si="181"/>
        <v>1.9321425501609792E-3</v>
      </c>
      <c r="BZ101" s="705">
        <f t="shared" si="181"/>
        <v>0</v>
      </c>
      <c r="CA101" s="708">
        <f t="shared" si="181"/>
        <v>1.9677443278455272E-3</v>
      </c>
    </row>
    <row r="102" spans="1:79" x14ac:dyDescent="0.2">
      <c r="A102" s="690" t="str">
        <f>Technologies!C189</f>
        <v>THLLNGSW</v>
      </c>
      <c r="B102" s="690" t="str">
        <f>Technologies!D189</f>
        <v>Heavy Truck, Long Haul, LNG Smartway</v>
      </c>
      <c r="C102" s="705">
        <f t="shared" si="173"/>
        <v>3.0251386951020027</v>
      </c>
      <c r="D102" s="706">
        <f t="shared" si="173"/>
        <v>1.2167816356523204</v>
      </c>
      <c r="E102" s="702">
        <f>$D102*(1-'Tier3Phase-in'!$J$12)</f>
        <v>1.2167816356523204</v>
      </c>
      <c r="F102" s="702">
        <f>$D102*(1-'Tier3Phase-in'!$K$12)</f>
        <v>1.0538198094488846</v>
      </c>
      <c r="G102" s="702">
        <f>$D102*(1-'Tier3Phase-in'!$L$12)</f>
        <v>0.92641329078074397</v>
      </c>
      <c r="H102" s="702">
        <f>$D102*(1-'Tier3Phase-in'!$M$12)</f>
        <v>0.87456180062510536</v>
      </c>
      <c r="I102" s="702">
        <f>$D102*(1-'Tier3Phase-in'!$N$12)</f>
        <v>0.82893248928814334</v>
      </c>
      <c r="J102" s="702">
        <f>$D102*(1-'Tier3Phase-in'!$O$12)</f>
        <v>0.76374775880676882</v>
      </c>
      <c r="K102" s="702">
        <f>$D102*(1-'Tier3Phase-in'!$P$12)</f>
        <v>0.76211814054473459</v>
      </c>
      <c r="L102" s="702">
        <f>$D102*(1-'Tier3Phase-in'!$Q$12)</f>
        <v>0.76048852228270025</v>
      </c>
      <c r="M102" s="705">
        <f>M101</f>
        <v>0.1119406340433215</v>
      </c>
      <c r="N102" s="706">
        <f t="shared" si="174"/>
        <v>9.4247292349221481E-2</v>
      </c>
      <c r="O102" s="702">
        <f>$N102*(1-'Tier3Phase-in'!$J$12)</f>
        <v>9.4247292349221481E-2</v>
      </c>
      <c r="P102" s="702">
        <f>$N102*(1-'Tier3Phase-in'!$K$12)</f>
        <v>8.1624887123879317E-2</v>
      </c>
      <c r="Q102" s="702">
        <f>$N102*(1-'Tier3Phase-in'!$L$12)</f>
        <v>7.1756461220429987E-2</v>
      </c>
      <c r="R102" s="702">
        <f>$N102*(1-'Tier3Phase-in'!$M$12)</f>
        <v>6.7740241376002944E-2</v>
      </c>
      <c r="S102" s="702">
        <f>$N102*(1-'Tier3Phase-in'!$N$12)</f>
        <v>6.4205967912907141E-2</v>
      </c>
      <c r="T102" s="702">
        <f>$N102*(1-'Tier3Phase-in'!$O$12)</f>
        <v>5.915700582277026E-2</v>
      </c>
      <c r="U102" s="702">
        <f>$N102*(1-'Tier3Phase-in'!$P$12)</f>
        <v>5.9030781770516842E-2</v>
      </c>
      <c r="V102" s="702">
        <f>$N102*(1-'Tier3Phase-in'!$Q$12)</f>
        <v>5.8904557718263424E-2</v>
      </c>
      <c r="W102" s="705">
        <f t="shared" si="175"/>
        <v>5.6507969514429948E-2</v>
      </c>
      <c r="X102" s="706">
        <f t="shared" si="175"/>
        <v>3.9344784647155295E-2</v>
      </c>
      <c r="Y102" s="702">
        <f>$X102*(1-'Tier3Phase-in'!$J$12)</f>
        <v>3.9344784647155295E-2</v>
      </c>
      <c r="Z102" s="702">
        <f>$X102*(1-'Tier3Phase-in'!$K$12)</f>
        <v>3.4075393846196997E-2</v>
      </c>
      <c r="AA102" s="702">
        <f>$X102*(1-'Tier3Phase-in'!$L$12)</f>
        <v>2.9955688310902326E-2</v>
      </c>
      <c r="AB102" s="702">
        <f>$X102*(1-'Tier3Phase-in'!$M$12)</f>
        <v>2.8279063965142869E-2</v>
      </c>
      <c r="AC102" s="702">
        <f>$X102*(1-'Tier3Phase-in'!$N$12)</f>
        <v>2.6803634540874546E-2</v>
      </c>
      <c r="AD102" s="702">
        <f>$X102*(1-'Tier3Phase-in'!$O$12)</f>
        <v>2.469587822049122E-2</v>
      </c>
      <c r="AE102" s="702">
        <f>$X102*(1-'Tier3Phase-in'!$P$12)</f>
        <v>2.464318431248164E-2</v>
      </c>
      <c r="AF102" s="702">
        <f>$X102*(1-'Tier3Phase-in'!$Q$12)</f>
        <v>2.459049040447206E-2</v>
      </c>
      <c r="AG102" s="705">
        <f t="shared" si="176"/>
        <v>0.33772121810215516</v>
      </c>
      <c r="AH102" s="706">
        <f t="shared" si="176"/>
        <v>0.44802613552576565</v>
      </c>
      <c r="AI102" s="702">
        <f>$AH102*(1-'Tier3Phase-in'!$J$12)</f>
        <v>0.44802613552576565</v>
      </c>
      <c r="AJ102" s="702">
        <f>$AH102*(1-'Tier3Phase-in'!$K$12)</f>
        <v>0.38802263523213631</v>
      </c>
      <c r="AK102" s="702">
        <f>$AH102*(1-'Tier3Phase-in'!$L$12)</f>
        <v>0.34111080772984431</v>
      </c>
      <c r="AL102" s="702">
        <f>$AH102*(1-'Tier3Phase-in'!$M$12)</f>
        <v>0.32201878490914404</v>
      </c>
      <c r="AM102" s="702">
        <f>$AH102*(1-'Tier3Phase-in'!$N$12)</f>
        <v>0.30521780482692784</v>
      </c>
      <c r="AN102" s="702">
        <f>$AH102*(1-'Tier3Phase-in'!$O$12)</f>
        <v>0.28121640470947606</v>
      </c>
      <c r="AO102" s="702">
        <f>$AH102*(1-'Tier3Phase-in'!$P$12)</f>
        <v>0.2806163697065398</v>
      </c>
      <c r="AP102" s="702">
        <f>$AH102*(1-'Tier3Phase-in'!$Q$12)</f>
        <v>0.28001633470360354</v>
      </c>
      <c r="AQ102" s="705">
        <f t="shared" si="177"/>
        <v>0.41345713549361068</v>
      </c>
      <c r="AR102" s="706">
        <f t="shared" si="177"/>
        <v>0.13692347977870439</v>
      </c>
      <c r="AS102" s="702">
        <f>$AR102*(1-'Tier3Phase-in'!$J$12)</f>
        <v>0.13692347977870439</v>
      </c>
      <c r="AT102" s="702">
        <f>$AR102*(1-'Tier3Phase-in'!$K$12)</f>
        <v>0.11858551373691363</v>
      </c>
      <c r="AU102" s="702">
        <f>$AR102*(1-'Tier3Phase-in'!$L$12)</f>
        <v>0.1042485584678772</v>
      </c>
      <c r="AV102" s="702">
        <f>$AR102*(1-'Tier3Phase-in'!$M$12)</f>
        <v>9.8413751090943788E-2</v>
      </c>
      <c r="AW102" s="702">
        <f>$AR102*(1-'Tier3Phase-in'!$N$12)</f>
        <v>9.3279120599242371E-2</v>
      </c>
      <c r="AX102" s="702">
        <f>$AR102*(1-'Tier3Phase-in'!$O$12)</f>
        <v>8.5943934182526049E-2</v>
      </c>
      <c r="AY102" s="702">
        <f>$AR102*(1-'Tier3Phase-in'!$P$12)</f>
        <v>8.5760554522108151E-2</v>
      </c>
      <c r="AZ102" s="702">
        <f>$AR102*(1-'Tier3Phase-in'!$Q$12)</f>
        <v>8.5577174861690253E-2</v>
      </c>
      <c r="BA102" s="705">
        <f t="shared" si="178"/>
        <v>1.8635913292846147E-2</v>
      </c>
      <c r="BB102" s="708">
        <f t="shared" si="178"/>
        <v>1.7042150911375994E-3</v>
      </c>
      <c r="BC102" s="703">
        <f>$BB102*(1-'Tier3Phase-in'!$J$12)</f>
        <v>1.7042150911375994E-3</v>
      </c>
      <c r="BD102" s="703">
        <f>$BB102*(1-'Tier3Phase-in'!$K$12)</f>
        <v>1.4759719985745282E-3</v>
      </c>
      <c r="BE102" s="703">
        <f>$BB102*(1-'Tier3Phase-in'!$L$12)</f>
        <v>1.2975273989343087E-3</v>
      </c>
      <c r="BF102" s="703">
        <f>$BB102*(1-'Tier3Phase-in'!$M$12)</f>
        <v>1.2249045967551496E-3</v>
      </c>
      <c r="BG102" s="703">
        <f>$BB102*(1-'Tier3Phase-in'!$N$12)</f>
        <v>1.1609965308374897E-3</v>
      </c>
      <c r="BH102" s="703">
        <f>$BB102*(1-'Tier3Phase-in'!$O$12)</f>
        <v>1.0696992938122609E-3</v>
      </c>
      <c r="BI102" s="703">
        <f>$BB102*(1-'Tier3Phase-in'!$P$12)</f>
        <v>1.0674168628866303E-3</v>
      </c>
      <c r="BJ102" s="703">
        <f>$BB102*(1-'Tier3Phase-in'!$Q$12)</f>
        <v>1.0651344319609997E-3</v>
      </c>
      <c r="BK102" s="705">
        <f t="shared" si="179"/>
        <v>9.8326859099698485E-3</v>
      </c>
      <c r="BL102" s="708">
        <f t="shared" si="179"/>
        <v>3.9344784647155299E-3</v>
      </c>
      <c r="BM102" s="703">
        <f>$BL102*(1-'Tier3Phase-in'!$J$12)</f>
        <v>3.9344784647155299E-3</v>
      </c>
      <c r="BN102" s="703">
        <f>$BL102*(1-'Tier3Phase-in'!$K$12)</f>
        <v>3.4075393846197E-3</v>
      </c>
      <c r="BO102" s="703">
        <f>$BL102*(1-'Tier3Phase-in'!$L$12)</f>
        <v>2.9955688310902328E-3</v>
      </c>
      <c r="BP102" s="703">
        <f>$BL102*(1-'Tier3Phase-in'!$M$12)</f>
        <v>2.8279063965142869E-3</v>
      </c>
      <c r="BQ102" s="703">
        <f>$BL102*(1-'Tier3Phase-in'!$N$12)</f>
        <v>2.680363454087455E-3</v>
      </c>
      <c r="BR102" s="703">
        <f>$BL102*(1-'Tier3Phase-in'!$O$12)</f>
        <v>2.4695878220491224E-3</v>
      </c>
      <c r="BS102" s="703">
        <f>$BL102*(1-'Tier3Phase-in'!$P$12)</f>
        <v>2.4643184312481644E-3</v>
      </c>
      <c r="BT102" s="703">
        <f>$BL102*(1-'Tier3Phase-in'!$Q$12)</f>
        <v>2.459049040447206E-3</v>
      </c>
      <c r="BU102" s="705">
        <f t="shared" si="180"/>
        <v>1.1145897812193141E-2</v>
      </c>
      <c r="BV102" s="708">
        <f t="shared" si="180"/>
        <v>7.9419857980102225E-3</v>
      </c>
      <c r="BW102" s="703">
        <f>(1-'Tier3Phase-in'!$J$20)*BV102</f>
        <v>2.7002751713234756E-3</v>
      </c>
      <c r="BX102" s="705">
        <f t="shared" si="181"/>
        <v>0</v>
      </c>
      <c r="BY102" s="708">
        <f t="shared" si="181"/>
        <v>1.9321425501609792E-3</v>
      </c>
      <c r="BZ102" s="705">
        <f t="shared" si="181"/>
        <v>0</v>
      </c>
      <c r="CA102" s="708">
        <f t="shared" si="181"/>
        <v>1.9677443278455272E-3</v>
      </c>
    </row>
    <row r="103" spans="1:79" x14ac:dyDescent="0.2">
      <c r="A103" s="690" t="str">
        <f>Technologies!C190</f>
        <v>THLLNGSWH</v>
      </c>
      <c r="B103" s="690" t="str">
        <f>Technologies!D190</f>
        <v>Heavy Truck, Long Haul, LNG Smartway Hybird</v>
      </c>
      <c r="C103" s="705">
        <f t="shared" si="173"/>
        <v>3.0251386951020027</v>
      </c>
      <c r="D103" s="706">
        <f t="shared" si="173"/>
        <v>1.2167816356523204</v>
      </c>
      <c r="E103" s="702">
        <f>$D103*(1-'Tier3Phase-in'!$J$12)</f>
        <v>1.2167816356523204</v>
      </c>
      <c r="F103" s="702">
        <f>$D103*(1-'Tier3Phase-in'!$K$12)</f>
        <v>1.0538198094488846</v>
      </c>
      <c r="G103" s="702">
        <f>$D103*(1-'Tier3Phase-in'!$L$12)</f>
        <v>0.92641329078074397</v>
      </c>
      <c r="H103" s="702">
        <f>$D103*(1-'Tier3Phase-in'!$M$12)</f>
        <v>0.87456180062510536</v>
      </c>
      <c r="I103" s="702">
        <f>$D103*(1-'Tier3Phase-in'!$N$12)</f>
        <v>0.82893248928814334</v>
      </c>
      <c r="J103" s="702">
        <f>$D103*(1-'Tier3Phase-in'!$O$12)</f>
        <v>0.76374775880676882</v>
      </c>
      <c r="K103" s="702">
        <f>$D103*(1-'Tier3Phase-in'!$P$12)</f>
        <v>0.76211814054473459</v>
      </c>
      <c r="L103" s="702">
        <f>$D103*(1-'Tier3Phase-in'!$Q$12)</f>
        <v>0.76048852228270025</v>
      </c>
      <c r="M103" s="705">
        <f>M102</f>
        <v>0.1119406340433215</v>
      </c>
      <c r="N103" s="706">
        <f t="shared" si="174"/>
        <v>9.4247292349221481E-2</v>
      </c>
      <c r="O103" s="702">
        <f>$N103*(1-'Tier3Phase-in'!$J$12)</f>
        <v>9.4247292349221481E-2</v>
      </c>
      <c r="P103" s="702">
        <f>$N103*(1-'Tier3Phase-in'!$K$12)</f>
        <v>8.1624887123879317E-2</v>
      </c>
      <c r="Q103" s="702">
        <f>$N103*(1-'Tier3Phase-in'!$L$12)</f>
        <v>7.1756461220429987E-2</v>
      </c>
      <c r="R103" s="702">
        <f>$N103*(1-'Tier3Phase-in'!$M$12)</f>
        <v>6.7740241376002944E-2</v>
      </c>
      <c r="S103" s="702">
        <f>$N103*(1-'Tier3Phase-in'!$N$12)</f>
        <v>6.4205967912907141E-2</v>
      </c>
      <c r="T103" s="702">
        <f>$N103*(1-'Tier3Phase-in'!$O$12)</f>
        <v>5.915700582277026E-2</v>
      </c>
      <c r="U103" s="702">
        <f>$N103*(1-'Tier3Phase-in'!$P$12)</f>
        <v>5.9030781770516842E-2</v>
      </c>
      <c r="V103" s="702">
        <f>$N103*(1-'Tier3Phase-in'!$Q$12)</f>
        <v>5.8904557718263424E-2</v>
      </c>
      <c r="W103" s="705">
        <f t="shared" si="175"/>
        <v>5.6507969514429948E-2</v>
      </c>
      <c r="X103" s="706">
        <f t="shared" si="175"/>
        <v>3.9344784647155295E-2</v>
      </c>
      <c r="Y103" s="702">
        <f>$X103*(1-'Tier3Phase-in'!$J$12)</f>
        <v>3.9344784647155295E-2</v>
      </c>
      <c r="Z103" s="702">
        <f>$X103*(1-'Tier3Phase-in'!$K$12)</f>
        <v>3.4075393846196997E-2</v>
      </c>
      <c r="AA103" s="702">
        <f>$X103*(1-'Tier3Phase-in'!$L$12)</f>
        <v>2.9955688310902326E-2</v>
      </c>
      <c r="AB103" s="702">
        <f>$X103*(1-'Tier3Phase-in'!$M$12)</f>
        <v>2.8279063965142869E-2</v>
      </c>
      <c r="AC103" s="702">
        <f>$X103*(1-'Tier3Phase-in'!$N$12)</f>
        <v>2.6803634540874546E-2</v>
      </c>
      <c r="AD103" s="702">
        <f>$X103*(1-'Tier3Phase-in'!$O$12)</f>
        <v>2.469587822049122E-2</v>
      </c>
      <c r="AE103" s="702">
        <f>$X103*(1-'Tier3Phase-in'!$P$12)</f>
        <v>2.464318431248164E-2</v>
      </c>
      <c r="AF103" s="702">
        <f>$X103*(1-'Tier3Phase-in'!$Q$12)</f>
        <v>2.459049040447206E-2</v>
      </c>
      <c r="AG103" s="705">
        <f t="shared" si="176"/>
        <v>0.33772121810215516</v>
      </c>
      <c r="AH103" s="706">
        <f t="shared" si="176"/>
        <v>0.44802613552576565</v>
      </c>
      <c r="AI103" s="702">
        <f>$AH103*(1-'Tier3Phase-in'!$J$12)</f>
        <v>0.44802613552576565</v>
      </c>
      <c r="AJ103" s="702">
        <f>$AH103*(1-'Tier3Phase-in'!$K$12)</f>
        <v>0.38802263523213631</v>
      </c>
      <c r="AK103" s="702">
        <f>$AH103*(1-'Tier3Phase-in'!$L$12)</f>
        <v>0.34111080772984431</v>
      </c>
      <c r="AL103" s="702">
        <f>$AH103*(1-'Tier3Phase-in'!$M$12)</f>
        <v>0.32201878490914404</v>
      </c>
      <c r="AM103" s="702">
        <f>$AH103*(1-'Tier3Phase-in'!$N$12)</f>
        <v>0.30521780482692784</v>
      </c>
      <c r="AN103" s="702">
        <f>$AH103*(1-'Tier3Phase-in'!$O$12)</f>
        <v>0.28121640470947606</v>
      </c>
      <c r="AO103" s="702">
        <f>$AH103*(1-'Tier3Phase-in'!$P$12)</f>
        <v>0.2806163697065398</v>
      </c>
      <c r="AP103" s="702">
        <f>$AH103*(1-'Tier3Phase-in'!$Q$12)</f>
        <v>0.28001633470360354</v>
      </c>
      <c r="AQ103" s="705">
        <f t="shared" si="177"/>
        <v>0.41345713549361068</v>
      </c>
      <c r="AR103" s="706">
        <f t="shared" si="177"/>
        <v>0.13692347977870439</v>
      </c>
      <c r="AS103" s="702">
        <f>$AR103*(1-'Tier3Phase-in'!$J$12)</f>
        <v>0.13692347977870439</v>
      </c>
      <c r="AT103" s="702">
        <f>$AR103*(1-'Tier3Phase-in'!$K$12)</f>
        <v>0.11858551373691363</v>
      </c>
      <c r="AU103" s="702">
        <f>$AR103*(1-'Tier3Phase-in'!$L$12)</f>
        <v>0.1042485584678772</v>
      </c>
      <c r="AV103" s="702">
        <f>$AR103*(1-'Tier3Phase-in'!$M$12)</f>
        <v>9.8413751090943788E-2</v>
      </c>
      <c r="AW103" s="702">
        <f>$AR103*(1-'Tier3Phase-in'!$N$12)</f>
        <v>9.3279120599242371E-2</v>
      </c>
      <c r="AX103" s="702">
        <f>$AR103*(1-'Tier3Phase-in'!$O$12)</f>
        <v>8.5943934182526049E-2</v>
      </c>
      <c r="AY103" s="702">
        <f>$AR103*(1-'Tier3Phase-in'!$P$12)</f>
        <v>8.5760554522108151E-2</v>
      </c>
      <c r="AZ103" s="702">
        <f>$AR103*(1-'Tier3Phase-in'!$Q$12)</f>
        <v>8.5577174861690253E-2</v>
      </c>
      <c r="BA103" s="705">
        <f t="shared" si="178"/>
        <v>1.8635913292846147E-2</v>
      </c>
      <c r="BB103" s="708">
        <f t="shared" si="178"/>
        <v>1.7042150911375994E-3</v>
      </c>
      <c r="BC103" s="703">
        <f>$BB103*(1-'Tier3Phase-in'!$J$12)</f>
        <v>1.7042150911375994E-3</v>
      </c>
      <c r="BD103" s="703">
        <f>$BB103*(1-'Tier3Phase-in'!$K$12)</f>
        <v>1.4759719985745282E-3</v>
      </c>
      <c r="BE103" s="703">
        <f>$BB103*(1-'Tier3Phase-in'!$L$12)</f>
        <v>1.2975273989343087E-3</v>
      </c>
      <c r="BF103" s="703">
        <f>$BB103*(1-'Tier3Phase-in'!$M$12)</f>
        <v>1.2249045967551496E-3</v>
      </c>
      <c r="BG103" s="703">
        <f>$BB103*(1-'Tier3Phase-in'!$N$12)</f>
        <v>1.1609965308374897E-3</v>
      </c>
      <c r="BH103" s="703">
        <f>$BB103*(1-'Tier3Phase-in'!$O$12)</f>
        <v>1.0696992938122609E-3</v>
      </c>
      <c r="BI103" s="703">
        <f>$BB103*(1-'Tier3Phase-in'!$P$12)</f>
        <v>1.0674168628866303E-3</v>
      </c>
      <c r="BJ103" s="703">
        <f>$BB103*(1-'Tier3Phase-in'!$Q$12)</f>
        <v>1.0651344319609997E-3</v>
      </c>
      <c r="BK103" s="705">
        <f t="shared" si="179"/>
        <v>9.8326859099698485E-3</v>
      </c>
      <c r="BL103" s="708">
        <f t="shared" si="179"/>
        <v>3.9344784647155299E-3</v>
      </c>
      <c r="BM103" s="703">
        <f>$BL103*(1-'Tier3Phase-in'!$J$12)</f>
        <v>3.9344784647155299E-3</v>
      </c>
      <c r="BN103" s="703">
        <f>$BL103*(1-'Tier3Phase-in'!$K$12)</f>
        <v>3.4075393846197E-3</v>
      </c>
      <c r="BO103" s="703">
        <f>$BL103*(1-'Tier3Phase-in'!$L$12)</f>
        <v>2.9955688310902328E-3</v>
      </c>
      <c r="BP103" s="703">
        <f>$BL103*(1-'Tier3Phase-in'!$M$12)</f>
        <v>2.8279063965142869E-3</v>
      </c>
      <c r="BQ103" s="703">
        <f>$BL103*(1-'Tier3Phase-in'!$N$12)</f>
        <v>2.680363454087455E-3</v>
      </c>
      <c r="BR103" s="703">
        <f>$BL103*(1-'Tier3Phase-in'!$O$12)</f>
        <v>2.4695878220491224E-3</v>
      </c>
      <c r="BS103" s="703">
        <f>$BL103*(1-'Tier3Phase-in'!$P$12)</f>
        <v>2.4643184312481644E-3</v>
      </c>
      <c r="BT103" s="703">
        <f>$BL103*(1-'Tier3Phase-in'!$Q$12)</f>
        <v>2.459049040447206E-3</v>
      </c>
      <c r="BU103" s="705">
        <f t="shared" si="180"/>
        <v>1.1145897812193141E-2</v>
      </c>
      <c r="BV103" s="708">
        <f t="shared" si="180"/>
        <v>7.9419857980102225E-3</v>
      </c>
      <c r="BW103" s="703">
        <f>(1-'Tier3Phase-in'!$J$20)*BV103</f>
        <v>2.7002751713234756E-3</v>
      </c>
      <c r="BX103" s="705">
        <f t="shared" si="181"/>
        <v>0</v>
      </c>
      <c r="BY103" s="708">
        <f t="shared" si="181"/>
        <v>1.9321425501609792E-3</v>
      </c>
      <c r="BZ103" s="705">
        <f t="shared" si="181"/>
        <v>0</v>
      </c>
      <c r="CA103" s="708">
        <f t="shared" si="181"/>
        <v>1.9677443278455272E-3</v>
      </c>
    </row>
    <row r="104" spans="1:79" x14ac:dyDescent="0.2">
      <c r="A104" s="686" t="str">
        <f>NewTech!B8</f>
        <v>TAJ10</v>
      </c>
      <c r="B104" s="686" t="str">
        <f>NewTech!C8</f>
        <v>Air Jet, Passenger 2010</v>
      </c>
      <c r="C104" s="693">
        <f>'Raw emissions'!D58</f>
        <v>6.5000000000000002E-2</v>
      </c>
      <c r="D104" s="706">
        <f>'Raw emissions'!D58</f>
        <v>6.5000000000000002E-2</v>
      </c>
      <c r="E104" s="707"/>
      <c r="F104" s="707"/>
      <c r="G104" s="707"/>
      <c r="H104" s="707"/>
      <c r="I104" s="707"/>
      <c r="J104" s="707"/>
      <c r="K104" s="707"/>
      <c r="L104" s="707"/>
      <c r="M104" s="693">
        <f>'Raw emissions'!J58</f>
        <v>4.1193391755001097E-3</v>
      </c>
      <c r="N104" s="706">
        <f>'Raw emissions'!N58</f>
        <v>3.9834009827086061E-3</v>
      </c>
      <c r="O104" s="707">
        <f>N104</f>
        <v>3.9834009827086061E-3</v>
      </c>
      <c r="P104" s="707">
        <f t="shared" ref="P104:V104" si="182">O104</f>
        <v>3.9834009827086061E-3</v>
      </c>
      <c r="Q104" s="707">
        <f t="shared" si="182"/>
        <v>3.9834009827086061E-3</v>
      </c>
      <c r="R104" s="707">
        <f t="shared" si="182"/>
        <v>3.9834009827086061E-3</v>
      </c>
      <c r="S104" s="707">
        <f t="shared" si="182"/>
        <v>3.9834009827086061E-3</v>
      </c>
      <c r="T104" s="707">
        <f t="shared" si="182"/>
        <v>3.9834009827086061E-3</v>
      </c>
      <c r="U104" s="707">
        <f t="shared" si="182"/>
        <v>3.9834009827086061E-3</v>
      </c>
      <c r="V104" s="707">
        <f t="shared" si="182"/>
        <v>3.9834009827086061E-3</v>
      </c>
      <c r="W104" s="693">
        <f>'Raw emissions'!M58</f>
        <v>3.9834009827086061E-3</v>
      </c>
      <c r="X104" s="706">
        <f>'Raw emissions'!X58</f>
        <v>9.4153068416053688E-3</v>
      </c>
      <c r="Y104" s="707">
        <f>X104</f>
        <v>9.4153068416053688E-3</v>
      </c>
      <c r="Z104" s="707">
        <f t="shared" ref="Z104:AF104" si="183">Y104</f>
        <v>9.4153068416053688E-3</v>
      </c>
      <c r="AA104" s="707">
        <f t="shared" si="183"/>
        <v>9.4153068416053688E-3</v>
      </c>
      <c r="AB104" s="707">
        <f t="shared" si="183"/>
        <v>9.4153068416053688E-3</v>
      </c>
      <c r="AC104" s="707">
        <f t="shared" si="183"/>
        <v>9.4153068416053688E-3</v>
      </c>
      <c r="AD104" s="707">
        <f t="shared" si="183"/>
        <v>9.4153068416053688E-3</v>
      </c>
      <c r="AE104" s="707">
        <f t="shared" si="183"/>
        <v>9.4153068416053688E-3</v>
      </c>
      <c r="AF104" s="707">
        <f t="shared" si="183"/>
        <v>9.4153068416053688E-3</v>
      </c>
      <c r="AG104" s="693">
        <f>'Raw emissions'!P58</f>
        <v>5.7633829563875541E-2</v>
      </c>
      <c r="AH104" s="706">
        <f>'Raw emissions'!AH58</f>
        <v>7.9668019654172129E-4</v>
      </c>
      <c r="AI104" s="707">
        <f>AH104</f>
        <v>7.9668019654172129E-4</v>
      </c>
      <c r="AJ104" s="707">
        <f t="shared" ref="AJ104:AP104" si="184">AI104</f>
        <v>7.9668019654172129E-4</v>
      </c>
      <c r="AK104" s="707">
        <f t="shared" si="184"/>
        <v>7.9668019654172129E-4</v>
      </c>
      <c r="AL104" s="707">
        <f t="shared" si="184"/>
        <v>7.9668019654172129E-4</v>
      </c>
      <c r="AM104" s="707">
        <f t="shared" si="184"/>
        <v>7.9668019654172129E-4</v>
      </c>
      <c r="AN104" s="707">
        <f t="shared" si="184"/>
        <v>7.9668019654172129E-4</v>
      </c>
      <c r="AO104" s="707">
        <f t="shared" si="184"/>
        <v>7.9668019654172129E-4</v>
      </c>
      <c r="AP104" s="707">
        <f t="shared" si="184"/>
        <v>7.9668019654172129E-4</v>
      </c>
      <c r="AQ104" s="693">
        <f>'Raw emissions'!Y58</f>
        <v>4.7351516241051824E-3</v>
      </c>
      <c r="AR104" s="706">
        <f>'Raw emissions'!AR58</f>
        <v>0</v>
      </c>
      <c r="AS104" s="707">
        <f>AR104</f>
        <v>0</v>
      </c>
      <c r="AT104" s="707">
        <f t="shared" ref="AT104:AZ104" si="185">AS104</f>
        <v>0</v>
      </c>
      <c r="AU104" s="707">
        <f t="shared" si="185"/>
        <v>0</v>
      </c>
      <c r="AV104" s="707">
        <f t="shared" si="185"/>
        <v>0</v>
      </c>
      <c r="AW104" s="707">
        <f t="shared" si="185"/>
        <v>0</v>
      </c>
      <c r="AX104" s="707">
        <f t="shared" si="185"/>
        <v>0</v>
      </c>
      <c r="AY104" s="707">
        <f t="shared" si="185"/>
        <v>0</v>
      </c>
      <c r="AZ104" s="707">
        <f t="shared" si="185"/>
        <v>0</v>
      </c>
      <c r="BA104" s="693">
        <f>'Raw emissions'!AK58</f>
        <v>2.6290446485876823E-3</v>
      </c>
      <c r="BB104" s="708">
        <f>'Raw emissions'!BB58</f>
        <v>0</v>
      </c>
      <c r="BC104" s="709">
        <f>BB104</f>
        <v>0</v>
      </c>
      <c r="BD104" s="709">
        <f t="shared" ref="BD104:BJ104" si="186">BC104</f>
        <v>0</v>
      </c>
      <c r="BE104" s="709">
        <f t="shared" si="186"/>
        <v>0</v>
      </c>
      <c r="BF104" s="709">
        <f t="shared" si="186"/>
        <v>0</v>
      </c>
      <c r="BG104" s="709">
        <f t="shared" si="186"/>
        <v>0</v>
      </c>
      <c r="BH104" s="709">
        <f t="shared" si="186"/>
        <v>0</v>
      </c>
      <c r="BI104" s="709">
        <f t="shared" si="186"/>
        <v>0</v>
      </c>
      <c r="BJ104" s="709">
        <f t="shared" si="186"/>
        <v>0</v>
      </c>
      <c r="BK104" s="693">
        <f>'Raw emissions'!AG58</f>
        <v>1.6381668593055247E-3</v>
      </c>
      <c r="BL104" s="708">
        <f>'Raw emissions'!BL58</f>
        <v>0</v>
      </c>
      <c r="BM104" s="709">
        <f>BL104</f>
        <v>0</v>
      </c>
      <c r="BN104" s="709">
        <f t="shared" ref="BN104:BT104" si="187">BM104</f>
        <v>0</v>
      </c>
      <c r="BO104" s="709">
        <f t="shared" si="187"/>
        <v>0</v>
      </c>
      <c r="BP104" s="709">
        <f t="shared" si="187"/>
        <v>0</v>
      </c>
      <c r="BQ104" s="709">
        <f t="shared" si="187"/>
        <v>0</v>
      </c>
      <c r="BR104" s="709">
        <f t="shared" si="187"/>
        <v>0</v>
      </c>
      <c r="BS104" s="709">
        <f t="shared" si="187"/>
        <v>0</v>
      </c>
      <c r="BT104" s="709">
        <f t="shared" si="187"/>
        <v>0</v>
      </c>
      <c r="BU104" s="693">
        <f>'Raw emissions'!G58</f>
        <v>2.1508132663782174E-2</v>
      </c>
      <c r="BV104" s="708">
        <f>'Raw emissions'!BV58</f>
        <v>0</v>
      </c>
      <c r="BW104" s="703">
        <f>(1-'Tier3Phase-in'!$J$20)*BV104</f>
        <v>0</v>
      </c>
      <c r="BX104" s="693">
        <f>'Raw emissions'!V58</f>
        <v>3.4651991513871272E-3</v>
      </c>
      <c r="BY104" s="708">
        <f>'Raw emissions'!BW58</f>
        <v>0</v>
      </c>
      <c r="BZ104" s="693">
        <f>'Raw emissions'!S58</f>
        <v>3.982987530330032E-3</v>
      </c>
      <c r="CA104" s="708">
        <f>'Raw emissions'!BY58</f>
        <v>0</v>
      </c>
    </row>
    <row r="105" spans="1:79" x14ac:dyDescent="0.2">
      <c r="A105" s="686" t="str">
        <f>NewTech!B9</f>
        <v>TAJSYN10</v>
      </c>
      <c r="B105" s="686" t="str">
        <f>NewTech!C9</f>
        <v>Air Jet, Passenger, Syn fuel, 2010</v>
      </c>
      <c r="C105" s="693">
        <f>'Raw emissions'!D59</f>
        <v>6.5000000000000002E-2</v>
      </c>
      <c r="D105" s="706">
        <f>'Raw emissions'!D59</f>
        <v>6.5000000000000002E-2</v>
      </c>
      <c r="E105" s="707"/>
      <c r="F105" s="707"/>
      <c r="G105" s="707"/>
      <c r="H105" s="707"/>
      <c r="I105" s="707"/>
      <c r="J105" s="707"/>
      <c r="K105" s="707"/>
      <c r="L105" s="707"/>
      <c r="M105" s="693">
        <f>'Raw emissions'!J59</f>
        <v>4.1193391755001097E-3</v>
      </c>
      <c r="N105" s="706">
        <f>'Raw emissions'!N59</f>
        <v>3.9834009827086061E-3</v>
      </c>
      <c r="O105" s="707">
        <f t="shared" ref="O105:V105" si="188">N105</f>
        <v>3.9834009827086061E-3</v>
      </c>
      <c r="P105" s="707">
        <f t="shared" si="188"/>
        <v>3.9834009827086061E-3</v>
      </c>
      <c r="Q105" s="707">
        <f t="shared" si="188"/>
        <v>3.9834009827086061E-3</v>
      </c>
      <c r="R105" s="707">
        <f t="shared" si="188"/>
        <v>3.9834009827086061E-3</v>
      </c>
      <c r="S105" s="707">
        <f t="shared" si="188"/>
        <v>3.9834009827086061E-3</v>
      </c>
      <c r="T105" s="707">
        <f t="shared" si="188"/>
        <v>3.9834009827086061E-3</v>
      </c>
      <c r="U105" s="707">
        <f t="shared" si="188"/>
        <v>3.9834009827086061E-3</v>
      </c>
      <c r="V105" s="707">
        <f t="shared" si="188"/>
        <v>3.9834009827086061E-3</v>
      </c>
      <c r="W105" s="693">
        <f>'Raw emissions'!M59</f>
        <v>3.9834009827086061E-3</v>
      </c>
      <c r="X105" s="706">
        <f>'Raw emissions'!X59</f>
        <v>9.4153068416053688E-3</v>
      </c>
      <c r="Y105" s="707">
        <f t="shared" ref="Y105:AF105" si="189">X105</f>
        <v>9.4153068416053688E-3</v>
      </c>
      <c r="Z105" s="707">
        <f t="shared" si="189"/>
        <v>9.4153068416053688E-3</v>
      </c>
      <c r="AA105" s="707">
        <f t="shared" si="189"/>
        <v>9.4153068416053688E-3</v>
      </c>
      <c r="AB105" s="707">
        <f t="shared" si="189"/>
        <v>9.4153068416053688E-3</v>
      </c>
      <c r="AC105" s="707">
        <f t="shared" si="189"/>
        <v>9.4153068416053688E-3</v>
      </c>
      <c r="AD105" s="707">
        <f t="shared" si="189"/>
        <v>9.4153068416053688E-3</v>
      </c>
      <c r="AE105" s="707">
        <f t="shared" si="189"/>
        <v>9.4153068416053688E-3</v>
      </c>
      <c r="AF105" s="707">
        <f t="shared" si="189"/>
        <v>9.4153068416053688E-3</v>
      </c>
      <c r="AG105" s="693">
        <f>'Raw emissions'!P59</f>
        <v>5.7633829563875541E-2</v>
      </c>
      <c r="AH105" s="706">
        <f>'Raw emissions'!AH59</f>
        <v>7.9668019654172129E-4</v>
      </c>
      <c r="AI105" s="707">
        <f t="shared" ref="AI105:AP105" si="190">AH105</f>
        <v>7.9668019654172129E-4</v>
      </c>
      <c r="AJ105" s="707">
        <f t="shared" si="190"/>
        <v>7.9668019654172129E-4</v>
      </c>
      <c r="AK105" s="707">
        <f t="shared" si="190"/>
        <v>7.9668019654172129E-4</v>
      </c>
      <c r="AL105" s="707">
        <f t="shared" si="190"/>
        <v>7.9668019654172129E-4</v>
      </c>
      <c r="AM105" s="707">
        <f t="shared" si="190"/>
        <v>7.9668019654172129E-4</v>
      </c>
      <c r="AN105" s="707">
        <f t="shared" si="190"/>
        <v>7.9668019654172129E-4</v>
      </c>
      <c r="AO105" s="707">
        <f t="shared" si="190"/>
        <v>7.9668019654172129E-4</v>
      </c>
      <c r="AP105" s="707">
        <f t="shared" si="190"/>
        <v>7.9668019654172129E-4</v>
      </c>
      <c r="AQ105" s="693">
        <f>'Raw emissions'!Y59</f>
        <v>4.7351516241051824E-3</v>
      </c>
      <c r="AR105" s="706">
        <f>'Raw emissions'!AR59</f>
        <v>0</v>
      </c>
      <c r="AS105" s="707">
        <f t="shared" ref="AS105:AZ105" si="191">AR105</f>
        <v>0</v>
      </c>
      <c r="AT105" s="707">
        <f t="shared" si="191"/>
        <v>0</v>
      </c>
      <c r="AU105" s="707">
        <f t="shared" si="191"/>
        <v>0</v>
      </c>
      <c r="AV105" s="707">
        <f t="shared" si="191"/>
        <v>0</v>
      </c>
      <c r="AW105" s="707">
        <f t="shared" si="191"/>
        <v>0</v>
      </c>
      <c r="AX105" s="707">
        <f t="shared" si="191"/>
        <v>0</v>
      </c>
      <c r="AY105" s="707">
        <f t="shared" si="191"/>
        <v>0</v>
      </c>
      <c r="AZ105" s="707">
        <f t="shared" si="191"/>
        <v>0</v>
      </c>
      <c r="BA105" s="693">
        <f>'Raw emissions'!AK59</f>
        <v>2.6290446485876823E-3</v>
      </c>
      <c r="BB105" s="708">
        <f>'Raw emissions'!BB59</f>
        <v>0</v>
      </c>
      <c r="BC105" s="709">
        <f t="shared" ref="BC105:BJ105" si="192">BB105</f>
        <v>0</v>
      </c>
      <c r="BD105" s="709">
        <f t="shared" si="192"/>
        <v>0</v>
      </c>
      <c r="BE105" s="709">
        <f t="shared" si="192"/>
        <v>0</v>
      </c>
      <c r="BF105" s="709">
        <f t="shared" si="192"/>
        <v>0</v>
      </c>
      <c r="BG105" s="709">
        <f t="shared" si="192"/>
        <v>0</v>
      </c>
      <c r="BH105" s="709">
        <f t="shared" si="192"/>
        <v>0</v>
      </c>
      <c r="BI105" s="709">
        <f t="shared" si="192"/>
        <v>0</v>
      </c>
      <c r="BJ105" s="709">
        <f t="shared" si="192"/>
        <v>0</v>
      </c>
      <c r="BK105" s="693">
        <f>'Raw emissions'!AG59</f>
        <v>1.6381668593055247E-3</v>
      </c>
      <c r="BL105" s="708">
        <f>'Raw emissions'!BL59</f>
        <v>0</v>
      </c>
      <c r="BM105" s="709">
        <f t="shared" ref="BM105:BT105" si="193">BL105</f>
        <v>0</v>
      </c>
      <c r="BN105" s="709">
        <f t="shared" si="193"/>
        <v>0</v>
      </c>
      <c r="BO105" s="709">
        <f t="shared" si="193"/>
        <v>0</v>
      </c>
      <c r="BP105" s="709">
        <f t="shared" si="193"/>
        <v>0</v>
      </c>
      <c r="BQ105" s="709">
        <f t="shared" si="193"/>
        <v>0</v>
      </c>
      <c r="BR105" s="709">
        <f t="shared" si="193"/>
        <v>0</v>
      </c>
      <c r="BS105" s="709">
        <f t="shared" si="193"/>
        <v>0</v>
      </c>
      <c r="BT105" s="709">
        <f t="shared" si="193"/>
        <v>0</v>
      </c>
      <c r="BU105" s="693">
        <f>'Raw emissions'!G59</f>
        <v>2.1508132663782174E-2</v>
      </c>
      <c r="BV105" s="708">
        <f>'Raw emissions'!BV59</f>
        <v>0</v>
      </c>
      <c r="BW105" s="703">
        <f>(1-'Tier3Phase-in'!$J$20)*BV105</f>
        <v>0</v>
      </c>
      <c r="BX105" s="693">
        <f>'Raw emissions'!V59</f>
        <v>3.4651991513871272E-3</v>
      </c>
      <c r="BY105" s="708">
        <f>'Raw emissions'!BW59</f>
        <v>0</v>
      </c>
      <c r="BZ105" s="693">
        <f>'Raw emissions'!S59</f>
        <v>3.982987530330032E-3</v>
      </c>
      <c r="CA105" s="708">
        <f>'Raw emissions'!BY59</f>
        <v>0</v>
      </c>
    </row>
    <row r="106" spans="1:79" x14ac:dyDescent="0.2">
      <c r="A106" s="686" t="str">
        <f>NewTech!B10</f>
        <v>TAJWT10</v>
      </c>
      <c r="B106" s="686" t="str">
        <f>NewTech!C10</f>
        <v>Air Jet, Passenger (Wing tips),2010</v>
      </c>
      <c r="C106" s="693">
        <f>'Raw emissions'!D58</f>
        <v>6.5000000000000002E-2</v>
      </c>
      <c r="D106" s="706">
        <f>'Raw emissions'!D58</f>
        <v>6.5000000000000002E-2</v>
      </c>
      <c r="E106" s="707"/>
      <c r="F106" s="707"/>
      <c r="G106" s="707"/>
      <c r="H106" s="707"/>
      <c r="I106" s="707"/>
      <c r="J106" s="707"/>
      <c r="K106" s="707"/>
      <c r="L106" s="707"/>
      <c r="M106" s="693">
        <f>'Raw emissions'!J58</f>
        <v>4.1193391755001097E-3</v>
      </c>
      <c r="N106" s="706">
        <f>'Raw emissions'!N58</f>
        <v>3.9834009827086061E-3</v>
      </c>
      <c r="O106" s="707">
        <f t="shared" ref="O106:V106" si="194">N106</f>
        <v>3.9834009827086061E-3</v>
      </c>
      <c r="P106" s="707">
        <f t="shared" si="194"/>
        <v>3.9834009827086061E-3</v>
      </c>
      <c r="Q106" s="707">
        <f t="shared" si="194"/>
        <v>3.9834009827086061E-3</v>
      </c>
      <c r="R106" s="707">
        <f t="shared" si="194"/>
        <v>3.9834009827086061E-3</v>
      </c>
      <c r="S106" s="707">
        <f t="shared" si="194"/>
        <v>3.9834009827086061E-3</v>
      </c>
      <c r="T106" s="707">
        <f t="shared" si="194"/>
        <v>3.9834009827086061E-3</v>
      </c>
      <c r="U106" s="707">
        <f t="shared" si="194"/>
        <v>3.9834009827086061E-3</v>
      </c>
      <c r="V106" s="707">
        <f t="shared" si="194"/>
        <v>3.9834009827086061E-3</v>
      </c>
      <c r="W106" s="693">
        <f>'Raw emissions'!M58</f>
        <v>3.9834009827086061E-3</v>
      </c>
      <c r="X106" s="706">
        <f>'Raw emissions'!X58</f>
        <v>9.4153068416053688E-3</v>
      </c>
      <c r="Y106" s="707">
        <f t="shared" ref="Y106:AF106" si="195">X106</f>
        <v>9.4153068416053688E-3</v>
      </c>
      <c r="Z106" s="707">
        <f t="shared" si="195"/>
        <v>9.4153068416053688E-3</v>
      </c>
      <c r="AA106" s="707">
        <f t="shared" si="195"/>
        <v>9.4153068416053688E-3</v>
      </c>
      <c r="AB106" s="707">
        <f t="shared" si="195"/>
        <v>9.4153068416053688E-3</v>
      </c>
      <c r="AC106" s="707">
        <f t="shared" si="195"/>
        <v>9.4153068416053688E-3</v>
      </c>
      <c r="AD106" s="707">
        <f t="shared" si="195"/>
        <v>9.4153068416053688E-3</v>
      </c>
      <c r="AE106" s="707">
        <f t="shared" si="195"/>
        <v>9.4153068416053688E-3</v>
      </c>
      <c r="AF106" s="707">
        <f t="shared" si="195"/>
        <v>9.4153068416053688E-3</v>
      </c>
      <c r="AG106" s="693">
        <f>'Raw emissions'!P58</f>
        <v>5.7633829563875541E-2</v>
      </c>
      <c r="AH106" s="706">
        <f>'Raw emissions'!AH58</f>
        <v>7.9668019654172129E-4</v>
      </c>
      <c r="AI106" s="707">
        <f t="shared" ref="AI106:AP106" si="196">AH106</f>
        <v>7.9668019654172129E-4</v>
      </c>
      <c r="AJ106" s="707">
        <f t="shared" si="196"/>
        <v>7.9668019654172129E-4</v>
      </c>
      <c r="AK106" s="707">
        <f t="shared" si="196"/>
        <v>7.9668019654172129E-4</v>
      </c>
      <c r="AL106" s="707">
        <f t="shared" si="196"/>
        <v>7.9668019654172129E-4</v>
      </c>
      <c r="AM106" s="707">
        <f t="shared" si="196"/>
        <v>7.9668019654172129E-4</v>
      </c>
      <c r="AN106" s="707">
        <f t="shared" si="196"/>
        <v>7.9668019654172129E-4</v>
      </c>
      <c r="AO106" s="707">
        <f t="shared" si="196"/>
        <v>7.9668019654172129E-4</v>
      </c>
      <c r="AP106" s="707">
        <f t="shared" si="196"/>
        <v>7.9668019654172129E-4</v>
      </c>
      <c r="AQ106" s="693">
        <f>'Raw emissions'!Y58</f>
        <v>4.7351516241051824E-3</v>
      </c>
      <c r="AR106" s="706">
        <f>'Raw emissions'!AR58</f>
        <v>0</v>
      </c>
      <c r="AS106" s="707">
        <f t="shared" ref="AS106:AZ106" si="197">AR106</f>
        <v>0</v>
      </c>
      <c r="AT106" s="707">
        <f t="shared" si="197"/>
        <v>0</v>
      </c>
      <c r="AU106" s="707">
        <f t="shared" si="197"/>
        <v>0</v>
      </c>
      <c r="AV106" s="707">
        <f t="shared" si="197"/>
        <v>0</v>
      </c>
      <c r="AW106" s="707">
        <f t="shared" si="197"/>
        <v>0</v>
      </c>
      <c r="AX106" s="707">
        <f t="shared" si="197"/>
        <v>0</v>
      </c>
      <c r="AY106" s="707">
        <f t="shared" si="197"/>
        <v>0</v>
      </c>
      <c r="AZ106" s="707">
        <f t="shared" si="197"/>
        <v>0</v>
      </c>
      <c r="BA106" s="693">
        <f>'Raw emissions'!AK58</f>
        <v>2.6290446485876823E-3</v>
      </c>
      <c r="BB106" s="708">
        <f>'Raw emissions'!BB58</f>
        <v>0</v>
      </c>
      <c r="BC106" s="709">
        <f t="shared" ref="BC106:BJ106" si="198">BB106</f>
        <v>0</v>
      </c>
      <c r="BD106" s="709">
        <f t="shared" si="198"/>
        <v>0</v>
      </c>
      <c r="BE106" s="709">
        <f t="shared" si="198"/>
        <v>0</v>
      </c>
      <c r="BF106" s="709">
        <f t="shared" si="198"/>
        <v>0</v>
      </c>
      <c r="BG106" s="709">
        <f t="shared" si="198"/>
        <v>0</v>
      </c>
      <c r="BH106" s="709">
        <f t="shared" si="198"/>
        <v>0</v>
      </c>
      <c r="BI106" s="709">
        <f t="shared" si="198"/>
        <v>0</v>
      </c>
      <c r="BJ106" s="709">
        <f t="shared" si="198"/>
        <v>0</v>
      </c>
      <c r="BK106" s="693">
        <f>'Raw emissions'!AG58</f>
        <v>1.6381668593055247E-3</v>
      </c>
      <c r="BL106" s="708">
        <f>'Raw emissions'!BL58</f>
        <v>0</v>
      </c>
      <c r="BM106" s="709">
        <f t="shared" ref="BM106:BT106" si="199">BL106</f>
        <v>0</v>
      </c>
      <c r="BN106" s="709">
        <f t="shared" si="199"/>
        <v>0</v>
      </c>
      <c r="BO106" s="709">
        <f t="shared" si="199"/>
        <v>0</v>
      </c>
      <c r="BP106" s="709">
        <f t="shared" si="199"/>
        <v>0</v>
      </c>
      <c r="BQ106" s="709">
        <f t="shared" si="199"/>
        <v>0</v>
      </c>
      <c r="BR106" s="709">
        <f t="shared" si="199"/>
        <v>0</v>
      </c>
      <c r="BS106" s="709">
        <f t="shared" si="199"/>
        <v>0</v>
      </c>
      <c r="BT106" s="709">
        <f t="shared" si="199"/>
        <v>0</v>
      </c>
      <c r="BU106" s="693">
        <f>'Raw emissions'!G58</f>
        <v>2.1508132663782174E-2</v>
      </c>
      <c r="BV106" s="708">
        <f>'Raw emissions'!BV58</f>
        <v>0</v>
      </c>
      <c r="BW106" s="703">
        <f>(1-'Tier3Phase-in'!$J$20)*BV106</f>
        <v>0</v>
      </c>
      <c r="BX106" s="693">
        <f>'Raw emissions'!V58</f>
        <v>3.4651991513871272E-3</v>
      </c>
      <c r="BY106" s="708">
        <f>'Raw emissions'!BW58</f>
        <v>0</v>
      </c>
      <c r="BZ106" s="693">
        <f>'Raw emissions'!S58</f>
        <v>3.982987530330032E-3</v>
      </c>
      <c r="CA106" s="708">
        <f>'Raw emissions'!BY58</f>
        <v>0</v>
      </c>
    </row>
    <row r="107" spans="1:79" x14ac:dyDescent="0.2">
      <c r="A107" s="686" t="str">
        <f>NewTech!B11</f>
        <v>TAJAPU15</v>
      </c>
      <c r="B107" s="686" t="str">
        <f>NewTech!C11</f>
        <v>Air Jet Passeneger (APU) 2015</v>
      </c>
      <c r="C107" s="693">
        <f>'Raw emissions'!D58</f>
        <v>6.5000000000000002E-2</v>
      </c>
      <c r="D107" s="706">
        <f>'Raw emissions'!D58</f>
        <v>6.5000000000000002E-2</v>
      </c>
      <c r="E107" s="707"/>
      <c r="F107" s="707"/>
      <c r="G107" s="707"/>
      <c r="H107" s="707"/>
      <c r="I107" s="707"/>
      <c r="J107" s="707"/>
      <c r="K107" s="707"/>
      <c r="L107" s="707"/>
      <c r="M107" s="693">
        <f>'Raw emissions'!J58</f>
        <v>4.1193391755001097E-3</v>
      </c>
      <c r="N107" s="706">
        <f>'Raw emissions'!N58</f>
        <v>3.9834009827086061E-3</v>
      </c>
      <c r="O107" s="707">
        <f t="shared" ref="O107:V107" si="200">N107</f>
        <v>3.9834009827086061E-3</v>
      </c>
      <c r="P107" s="707">
        <f t="shared" si="200"/>
        <v>3.9834009827086061E-3</v>
      </c>
      <c r="Q107" s="707">
        <f t="shared" si="200"/>
        <v>3.9834009827086061E-3</v>
      </c>
      <c r="R107" s="707">
        <f t="shared" si="200"/>
        <v>3.9834009827086061E-3</v>
      </c>
      <c r="S107" s="707">
        <f t="shared" si="200"/>
        <v>3.9834009827086061E-3</v>
      </c>
      <c r="T107" s="707">
        <f t="shared" si="200"/>
        <v>3.9834009827086061E-3</v>
      </c>
      <c r="U107" s="707">
        <f t="shared" si="200"/>
        <v>3.9834009827086061E-3</v>
      </c>
      <c r="V107" s="707">
        <f t="shared" si="200"/>
        <v>3.9834009827086061E-3</v>
      </c>
      <c r="W107" s="693">
        <f>'Raw emissions'!M58</f>
        <v>3.9834009827086061E-3</v>
      </c>
      <c r="X107" s="706">
        <f>'Raw emissions'!X58</f>
        <v>9.4153068416053688E-3</v>
      </c>
      <c r="Y107" s="707">
        <f t="shared" ref="Y107:AF107" si="201">X107</f>
        <v>9.4153068416053688E-3</v>
      </c>
      <c r="Z107" s="707">
        <f t="shared" si="201"/>
        <v>9.4153068416053688E-3</v>
      </c>
      <c r="AA107" s="707">
        <f t="shared" si="201"/>
        <v>9.4153068416053688E-3</v>
      </c>
      <c r="AB107" s="707">
        <f t="shared" si="201"/>
        <v>9.4153068416053688E-3</v>
      </c>
      <c r="AC107" s="707">
        <f t="shared" si="201"/>
        <v>9.4153068416053688E-3</v>
      </c>
      <c r="AD107" s="707">
        <f t="shared" si="201"/>
        <v>9.4153068416053688E-3</v>
      </c>
      <c r="AE107" s="707">
        <f t="shared" si="201"/>
        <v>9.4153068416053688E-3</v>
      </c>
      <c r="AF107" s="707">
        <f t="shared" si="201"/>
        <v>9.4153068416053688E-3</v>
      </c>
      <c r="AG107" s="693">
        <f>'Raw emissions'!P58</f>
        <v>5.7633829563875541E-2</v>
      </c>
      <c r="AH107" s="706">
        <f>'Raw emissions'!AH58</f>
        <v>7.9668019654172129E-4</v>
      </c>
      <c r="AI107" s="707">
        <f t="shared" ref="AI107:AP107" si="202">AH107</f>
        <v>7.9668019654172129E-4</v>
      </c>
      <c r="AJ107" s="707">
        <f t="shared" si="202"/>
        <v>7.9668019654172129E-4</v>
      </c>
      <c r="AK107" s="707">
        <f t="shared" si="202"/>
        <v>7.9668019654172129E-4</v>
      </c>
      <c r="AL107" s="707">
        <f t="shared" si="202"/>
        <v>7.9668019654172129E-4</v>
      </c>
      <c r="AM107" s="707">
        <f t="shared" si="202"/>
        <v>7.9668019654172129E-4</v>
      </c>
      <c r="AN107" s="707">
        <f t="shared" si="202"/>
        <v>7.9668019654172129E-4</v>
      </c>
      <c r="AO107" s="707">
        <f t="shared" si="202"/>
        <v>7.9668019654172129E-4</v>
      </c>
      <c r="AP107" s="707">
        <f t="shared" si="202"/>
        <v>7.9668019654172129E-4</v>
      </c>
      <c r="AQ107" s="693">
        <f>'Raw emissions'!Y58</f>
        <v>4.7351516241051824E-3</v>
      </c>
      <c r="AR107" s="706">
        <f>'Raw emissions'!AR58</f>
        <v>0</v>
      </c>
      <c r="AS107" s="707">
        <f t="shared" ref="AS107:AZ107" si="203">AR107</f>
        <v>0</v>
      </c>
      <c r="AT107" s="707">
        <f t="shared" si="203"/>
        <v>0</v>
      </c>
      <c r="AU107" s="707">
        <f t="shared" si="203"/>
        <v>0</v>
      </c>
      <c r="AV107" s="707">
        <f t="shared" si="203"/>
        <v>0</v>
      </c>
      <c r="AW107" s="707">
        <f t="shared" si="203"/>
        <v>0</v>
      </c>
      <c r="AX107" s="707">
        <f t="shared" si="203"/>
        <v>0</v>
      </c>
      <c r="AY107" s="707">
        <f t="shared" si="203"/>
        <v>0</v>
      </c>
      <c r="AZ107" s="707">
        <f t="shared" si="203"/>
        <v>0</v>
      </c>
      <c r="BA107" s="693">
        <f>'Raw emissions'!AK58</f>
        <v>2.6290446485876823E-3</v>
      </c>
      <c r="BB107" s="708">
        <f>'Raw emissions'!BB58</f>
        <v>0</v>
      </c>
      <c r="BC107" s="709">
        <f t="shared" ref="BC107:BJ107" si="204">BB107</f>
        <v>0</v>
      </c>
      <c r="BD107" s="709">
        <f t="shared" si="204"/>
        <v>0</v>
      </c>
      <c r="BE107" s="709">
        <f t="shared" si="204"/>
        <v>0</v>
      </c>
      <c r="BF107" s="709">
        <f t="shared" si="204"/>
        <v>0</v>
      </c>
      <c r="BG107" s="709">
        <f t="shared" si="204"/>
        <v>0</v>
      </c>
      <c r="BH107" s="709">
        <f t="shared" si="204"/>
        <v>0</v>
      </c>
      <c r="BI107" s="709">
        <f t="shared" si="204"/>
        <v>0</v>
      </c>
      <c r="BJ107" s="709">
        <f t="shared" si="204"/>
        <v>0</v>
      </c>
      <c r="BK107" s="693">
        <f>'Raw emissions'!AG58</f>
        <v>1.6381668593055247E-3</v>
      </c>
      <c r="BL107" s="708">
        <f>'Raw emissions'!BL58</f>
        <v>0</v>
      </c>
      <c r="BM107" s="709">
        <f t="shared" ref="BM107:BT107" si="205">BL107</f>
        <v>0</v>
      </c>
      <c r="BN107" s="709">
        <f t="shared" si="205"/>
        <v>0</v>
      </c>
      <c r="BO107" s="709">
        <f t="shared" si="205"/>
        <v>0</v>
      </c>
      <c r="BP107" s="709">
        <f t="shared" si="205"/>
        <v>0</v>
      </c>
      <c r="BQ107" s="709">
        <f t="shared" si="205"/>
        <v>0</v>
      </c>
      <c r="BR107" s="709">
        <f t="shared" si="205"/>
        <v>0</v>
      </c>
      <c r="BS107" s="709">
        <f t="shared" si="205"/>
        <v>0</v>
      </c>
      <c r="BT107" s="709">
        <f t="shared" si="205"/>
        <v>0</v>
      </c>
      <c r="BU107" s="693">
        <f>'Raw emissions'!G58</f>
        <v>2.1508132663782174E-2</v>
      </c>
      <c r="BV107" s="708">
        <f>'Raw emissions'!BV58</f>
        <v>0</v>
      </c>
      <c r="BW107" s="703">
        <f>(1-'Tier3Phase-in'!$J$20)*BV107</f>
        <v>0</v>
      </c>
      <c r="BX107" s="693">
        <f>'Raw emissions'!V58</f>
        <v>3.4651991513871272E-3</v>
      </c>
      <c r="BY107" s="708">
        <f>'Raw emissions'!BW58</f>
        <v>0</v>
      </c>
      <c r="BZ107" s="693">
        <f>'Raw emissions'!S58</f>
        <v>3.982987530330032E-3</v>
      </c>
      <c r="CA107" s="708">
        <f>'Raw emissions'!BY58</f>
        <v>0</v>
      </c>
    </row>
    <row r="108" spans="1:79" s="684" customFormat="1" x14ac:dyDescent="0.2">
      <c r="A108" s="684" t="str">
        <f>NewTech!B12</f>
        <v>TAJBW30</v>
      </c>
      <c r="B108" s="684" t="str">
        <f>NewTech!C12</f>
        <v>Air Jet, Passenger(blended wing), 2030</v>
      </c>
      <c r="C108" s="693">
        <f>'Raw emissions'!D58</f>
        <v>6.5000000000000002E-2</v>
      </c>
      <c r="D108" s="706">
        <f>'Raw emissions'!D58</f>
        <v>6.5000000000000002E-2</v>
      </c>
      <c r="E108" s="707"/>
      <c r="F108" s="707"/>
      <c r="G108" s="707"/>
      <c r="H108" s="707"/>
      <c r="I108" s="707"/>
      <c r="J108" s="707"/>
      <c r="K108" s="707"/>
      <c r="L108" s="707"/>
      <c r="M108" s="693">
        <f>'Raw emissions'!J58</f>
        <v>4.1193391755001097E-3</v>
      </c>
      <c r="N108" s="706">
        <f>'Raw emissions'!N58</f>
        <v>3.9834009827086061E-3</v>
      </c>
      <c r="O108" s="707">
        <f t="shared" ref="O108:V108" si="206">N108</f>
        <v>3.9834009827086061E-3</v>
      </c>
      <c r="P108" s="707">
        <f t="shared" si="206"/>
        <v>3.9834009827086061E-3</v>
      </c>
      <c r="Q108" s="707">
        <f t="shared" si="206"/>
        <v>3.9834009827086061E-3</v>
      </c>
      <c r="R108" s="707">
        <f t="shared" si="206"/>
        <v>3.9834009827086061E-3</v>
      </c>
      <c r="S108" s="707">
        <f t="shared" si="206"/>
        <v>3.9834009827086061E-3</v>
      </c>
      <c r="T108" s="707">
        <f t="shared" si="206"/>
        <v>3.9834009827086061E-3</v>
      </c>
      <c r="U108" s="707">
        <f t="shared" si="206"/>
        <v>3.9834009827086061E-3</v>
      </c>
      <c r="V108" s="707">
        <f t="shared" si="206"/>
        <v>3.9834009827086061E-3</v>
      </c>
      <c r="W108" s="693">
        <f>'Raw emissions'!M58</f>
        <v>3.9834009827086061E-3</v>
      </c>
      <c r="X108" s="706">
        <f>'Raw emissions'!X58</f>
        <v>9.4153068416053688E-3</v>
      </c>
      <c r="Y108" s="707">
        <f t="shared" ref="Y108:AF108" si="207">X108</f>
        <v>9.4153068416053688E-3</v>
      </c>
      <c r="Z108" s="707">
        <f t="shared" si="207"/>
        <v>9.4153068416053688E-3</v>
      </c>
      <c r="AA108" s="707">
        <f t="shared" si="207"/>
        <v>9.4153068416053688E-3</v>
      </c>
      <c r="AB108" s="707">
        <f t="shared" si="207"/>
        <v>9.4153068416053688E-3</v>
      </c>
      <c r="AC108" s="707">
        <f t="shared" si="207"/>
        <v>9.4153068416053688E-3</v>
      </c>
      <c r="AD108" s="707">
        <f t="shared" si="207"/>
        <v>9.4153068416053688E-3</v>
      </c>
      <c r="AE108" s="707">
        <f t="shared" si="207"/>
        <v>9.4153068416053688E-3</v>
      </c>
      <c r="AF108" s="707">
        <f t="shared" si="207"/>
        <v>9.4153068416053688E-3</v>
      </c>
      <c r="AG108" s="693">
        <f>'Raw emissions'!P58</f>
        <v>5.7633829563875541E-2</v>
      </c>
      <c r="AH108" s="706">
        <f>'Raw emissions'!AH58</f>
        <v>7.9668019654172129E-4</v>
      </c>
      <c r="AI108" s="707">
        <f t="shared" ref="AI108:AP108" si="208">AH108</f>
        <v>7.9668019654172129E-4</v>
      </c>
      <c r="AJ108" s="707">
        <f t="shared" si="208"/>
        <v>7.9668019654172129E-4</v>
      </c>
      <c r="AK108" s="707">
        <f t="shared" si="208"/>
        <v>7.9668019654172129E-4</v>
      </c>
      <c r="AL108" s="707">
        <f t="shared" si="208"/>
        <v>7.9668019654172129E-4</v>
      </c>
      <c r="AM108" s="707">
        <f t="shared" si="208"/>
        <v>7.9668019654172129E-4</v>
      </c>
      <c r="AN108" s="707">
        <f t="shared" si="208"/>
        <v>7.9668019654172129E-4</v>
      </c>
      <c r="AO108" s="707">
        <f t="shared" si="208"/>
        <v>7.9668019654172129E-4</v>
      </c>
      <c r="AP108" s="707">
        <f t="shared" si="208"/>
        <v>7.9668019654172129E-4</v>
      </c>
      <c r="AQ108" s="693">
        <f>'Raw emissions'!Y58</f>
        <v>4.7351516241051824E-3</v>
      </c>
      <c r="AR108" s="706">
        <f>'Raw emissions'!AR58</f>
        <v>0</v>
      </c>
      <c r="AS108" s="707">
        <f t="shared" ref="AS108:AZ108" si="209">AR108</f>
        <v>0</v>
      </c>
      <c r="AT108" s="707">
        <f t="shared" si="209"/>
        <v>0</v>
      </c>
      <c r="AU108" s="707">
        <f t="shared" si="209"/>
        <v>0</v>
      </c>
      <c r="AV108" s="707">
        <f t="shared" si="209"/>
        <v>0</v>
      </c>
      <c r="AW108" s="707">
        <f t="shared" si="209"/>
        <v>0</v>
      </c>
      <c r="AX108" s="707">
        <f t="shared" si="209"/>
        <v>0</v>
      </c>
      <c r="AY108" s="707">
        <f t="shared" si="209"/>
        <v>0</v>
      </c>
      <c r="AZ108" s="707">
        <f t="shared" si="209"/>
        <v>0</v>
      </c>
      <c r="BA108" s="693">
        <f>'Raw emissions'!AK58</f>
        <v>2.6290446485876823E-3</v>
      </c>
      <c r="BB108" s="708">
        <f>'Raw emissions'!BB58</f>
        <v>0</v>
      </c>
      <c r="BC108" s="709">
        <f t="shared" ref="BC108:BJ108" si="210">BB108</f>
        <v>0</v>
      </c>
      <c r="BD108" s="709">
        <f t="shared" si="210"/>
        <v>0</v>
      </c>
      <c r="BE108" s="709">
        <f t="shared" si="210"/>
        <v>0</v>
      </c>
      <c r="BF108" s="709">
        <f t="shared" si="210"/>
        <v>0</v>
      </c>
      <c r="BG108" s="709">
        <f t="shared" si="210"/>
        <v>0</v>
      </c>
      <c r="BH108" s="709">
        <f t="shared" si="210"/>
        <v>0</v>
      </c>
      <c r="BI108" s="709">
        <f t="shared" si="210"/>
        <v>0</v>
      </c>
      <c r="BJ108" s="709">
        <f t="shared" si="210"/>
        <v>0</v>
      </c>
      <c r="BK108" s="693">
        <f>'Raw emissions'!AG58</f>
        <v>1.6381668593055247E-3</v>
      </c>
      <c r="BL108" s="708">
        <f>'Raw emissions'!BL58</f>
        <v>0</v>
      </c>
      <c r="BM108" s="709">
        <f t="shared" ref="BM108:BT108" si="211">BL108</f>
        <v>0</v>
      </c>
      <c r="BN108" s="709">
        <f t="shared" si="211"/>
        <v>0</v>
      </c>
      <c r="BO108" s="709">
        <f t="shared" si="211"/>
        <v>0</v>
      </c>
      <c r="BP108" s="709">
        <f t="shared" si="211"/>
        <v>0</v>
      </c>
      <c r="BQ108" s="709">
        <f t="shared" si="211"/>
        <v>0</v>
      </c>
      <c r="BR108" s="709">
        <f t="shared" si="211"/>
        <v>0</v>
      </c>
      <c r="BS108" s="709">
        <f t="shared" si="211"/>
        <v>0</v>
      </c>
      <c r="BT108" s="709">
        <f t="shared" si="211"/>
        <v>0</v>
      </c>
      <c r="BU108" s="693">
        <f>'Raw emissions'!G58</f>
        <v>2.1508132663782174E-2</v>
      </c>
      <c r="BV108" s="708">
        <f>'Raw emissions'!BV58</f>
        <v>0</v>
      </c>
      <c r="BW108" s="703">
        <f>(1-'Tier3Phase-in'!$J$20)*BV108</f>
        <v>0</v>
      </c>
      <c r="BX108" s="693">
        <f>'Raw emissions'!V58</f>
        <v>3.4651991513871272E-3</v>
      </c>
      <c r="BY108" s="708">
        <f>'Raw emissions'!BW58</f>
        <v>0</v>
      </c>
      <c r="BZ108" s="693">
        <f>'Raw emissions'!S58</f>
        <v>3.982987530330032E-3</v>
      </c>
      <c r="CA108" s="708">
        <f>'Raw emissions'!BY58</f>
        <v>0</v>
      </c>
    </row>
    <row r="109" spans="1:79" s="684" customFormat="1" x14ac:dyDescent="0.2">
      <c r="A109" s="684" t="str">
        <f>NewTech!B13</f>
        <v>TAJAE30</v>
      </c>
      <c r="B109" s="684" t="str">
        <f>NewTech!C13</f>
        <v>Air Jet, Passenger (improved aero), 2030</v>
      </c>
      <c r="C109" s="685">
        <f>'Raw emissions'!D58</f>
        <v>6.5000000000000002E-2</v>
      </c>
      <c r="D109" s="702">
        <f>'Raw emissions'!D58</f>
        <v>6.5000000000000002E-2</v>
      </c>
      <c r="E109" s="707"/>
      <c r="F109" s="707"/>
      <c r="G109" s="707"/>
      <c r="H109" s="707"/>
      <c r="I109" s="707"/>
      <c r="J109" s="707"/>
      <c r="K109" s="707"/>
      <c r="L109" s="707"/>
      <c r="M109" s="685">
        <f>'Raw emissions'!J58</f>
        <v>4.1193391755001097E-3</v>
      </c>
      <c r="N109" s="702">
        <f>'Raw emissions'!N58</f>
        <v>3.9834009827086061E-3</v>
      </c>
      <c r="O109" s="707">
        <f t="shared" ref="O109:V109" si="212">N109</f>
        <v>3.9834009827086061E-3</v>
      </c>
      <c r="P109" s="707">
        <f t="shared" si="212"/>
        <v>3.9834009827086061E-3</v>
      </c>
      <c r="Q109" s="707">
        <f t="shared" si="212"/>
        <v>3.9834009827086061E-3</v>
      </c>
      <c r="R109" s="707">
        <f t="shared" si="212"/>
        <v>3.9834009827086061E-3</v>
      </c>
      <c r="S109" s="707">
        <f t="shared" si="212"/>
        <v>3.9834009827086061E-3</v>
      </c>
      <c r="T109" s="707">
        <f t="shared" si="212"/>
        <v>3.9834009827086061E-3</v>
      </c>
      <c r="U109" s="707">
        <f t="shared" si="212"/>
        <v>3.9834009827086061E-3</v>
      </c>
      <c r="V109" s="707">
        <f t="shared" si="212"/>
        <v>3.9834009827086061E-3</v>
      </c>
      <c r="W109" s="685">
        <f>'Raw emissions'!M58</f>
        <v>3.9834009827086061E-3</v>
      </c>
      <c r="X109" s="702">
        <f>'Raw emissions'!X58</f>
        <v>9.4153068416053688E-3</v>
      </c>
      <c r="Y109" s="707">
        <f t="shared" ref="Y109:AF109" si="213">X109</f>
        <v>9.4153068416053688E-3</v>
      </c>
      <c r="Z109" s="707">
        <f t="shared" si="213"/>
        <v>9.4153068416053688E-3</v>
      </c>
      <c r="AA109" s="707">
        <f t="shared" si="213"/>
        <v>9.4153068416053688E-3</v>
      </c>
      <c r="AB109" s="707">
        <f t="shared" si="213"/>
        <v>9.4153068416053688E-3</v>
      </c>
      <c r="AC109" s="707">
        <f t="shared" si="213"/>
        <v>9.4153068416053688E-3</v>
      </c>
      <c r="AD109" s="707">
        <f t="shared" si="213"/>
        <v>9.4153068416053688E-3</v>
      </c>
      <c r="AE109" s="707">
        <f t="shared" si="213"/>
        <v>9.4153068416053688E-3</v>
      </c>
      <c r="AF109" s="707">
        <f t="shared" si="213"/>
        <v>9.4153068416053688E-3</v>
      </c>
      <c r="AG109" s="685">
        <f>'Raw emissions'!P58</f>
        <v>5.7633829563875541E-2</v>
      </c>
      <c r="AH109" s="702">
        <f>'Raw emissions'!AH58</f>
        <v>7.9668019654172129E-4</v>
      </c>
      <c r="AI109" s="707">
        <f t="shared" ref="AI109:AP109" si="214">AH109</f>
        <v>7.9668019654172129E-4</v>
      </c>
      <c r="AJ109" s="707">
        <f t="shared" si="214"/>
        <v>7.9668019654172129E-4</v>
      </c>
      <c r="AK109" s="707">
        <f t="shared" si="214"/>
        <v>7.9668019654172129E-4</v>
      </c>
      <c r="AL109" s="707">
        <f t="shared" si="214"/>
        <v>7.9668019654172129E-4</v>
      </c>
      <c r="AM109" s="707">
        <f t="shared" si="214"/>
        <v>7.9668019654172129E-4</v>
      </c>
      <c r="AN109" s="707">
        <f t="shared" si="214"/>
        <v>7.9668019654172129E-4</v>
      </c>
      <c r="AO109" s="707">
        <f t="shared" si="214"/>
        <v>7.9668019654172129E-4</v>
      </c>
      <c r="AP109" s="707">
        <f t="shared" si="214"/>
        <v>7.9668019654172129E-4</v>
      </c>
      <c r="AQ109" s="685">
        <f>'Raw emissions'!Y58</f>
        <v>4.7351516241051824E-3</v>
      </c>
      <c r="AR109" s="702">
        <f>'Raw emissions'!AR58</f>
        <v>0</v>
      </c>
      <c r="AS109" s="707">
        <f t="shared" ref="AS109:AZ109" si="215">AR109</f>
        <v>0</v>
      </c>
      <c r="AT109" s="707">
        <f t="shared" si="215"/>
        <v>0</v>
      </c>
      <c r="AU109" s="707">
        <f t="shared" si="215"/>
        <v>0</v>
      </c>
      <c r="AV109" s="707">
        <f t="shared" si="215"/>
        <v>0</v>
      </c>
      <c r="AW109" s="707">
        <f t="shared" si="215"/>
        <v>0</v>
      </c>
      <c r="AX109" s="707">
        <f t="shared" si="215"/>
        <v>0</v>
      </c>
      <c r="AY109" s="707">
        <f t="shared" si="215"/>
        <v>0</v>
      </c>
      <c r="AZ109" s="707">
        <f t="shared" si="215"/>
        <v>0</v>
      </c>
      <c r="BA109" s="685">
        <f>'Raw emissions'!AK58</f>
        <v>2.6290446485876823E-3</v>
      </c>
      <c r="BB109" s="703">
        <f>'Raw emissions'!BB58</f>
        <v>0</v>
      </c>
      <c r="BC109" s="709">
        <f t="shared" ref="BC109:BJ109" si="216">BB109</f>
        <v>0</v>
      </c>
      <c r="BD109" s="709">
        <f t="shared" si="216"/>
        <v>0</v>
      </c>
      <c r="BE109" s="709">
        <f t="shared" si="216"/>
        <v>0</v>
      </c>
      <c r="BF109" s="709">
        <f t="shared" si="216"/>
        <v>0</v>
      </c>
      <c r="BG109" s="709">
        <f t="shared" si="216"/>
        <v>0</v>
      </c>
      <c r="BH109" s="709">
        <f t="shared" si="216"/>
        <v>0</v>
      </c>
      <c r="BI109" s="709">
        <f t="shared" si="216"/>
        <v>0</v>
      </c>
      <c r="BJ109" s="709">
        <f t="shared" si="216"/>
        <v>0</v>
      </c>
      <c r="BK109" s="685">
        <f>'Raw emissions'!AG58</f>
        <v>1.6381668593055247E-3</v>
      </c>
      <c r="BL109" s="703">
        <f>'Raw emissions'!BL58</f>
        <v>0</v>
      </c>
      <c r="BM109" s="709">
        <f t="shared" ref="BM109:BT109" si="217">BL109</f>
        <v>0</v>
      </c>
      <c r="BN109" s="709">
        <f t="shared" si="217"/>
        <v>0</v>
      </c>
      <c r="BO109" s="709">
        <f t="shared" si="217"/>
        <v>0</v>
      </c>
      <c r="BP109" s="709">
        <f t="shared" si="217"/>
        <v>0</v>
      </c>
      <c r="BQ109" s="709">
        <f t="shared" si="217"/>
        <v>0</v>
      </c>
      <c r="BR109" s="709">
        <f t="shared" si="217"/>
        <v>0</v>
      </c>
      <c r="BS109" s="709">
        <f t="shared" si="217"/>
        <v>0</v>
      </c>
      <c r="BT109" s="709">
        <f t="shared" si="217"/>
        <v>0</v>
      </c>
      <c r="BU109" s="685">
        <f>'Raw emissions'!G58</f>
        <v>2.1508132663782174E-2</v>
      </c>
      <c r="BV109" s="703">
        <f>'Raw emissions'!BV58</f>
        <v>0</v>
      </c>
      <c r="BW109" s="703">
        <f>(1-'Tier3Phase-in'!$J$20)*BV109</f>
        <v>0</v>
      </c>
      <c r="BX109" s="685">
        <f>'Raw emissions'!V58</f>
        <v>3.4651991513871272E-3</v>
      </c>
      <c r="BY109" s="703">
        <f>'Raw emissions'!BW58</f>
        <v>0</v>
      </c>
      <c r="BZ109" s="685">
        <f>'Raw emissions'!S58</f>
        <v>3.982987530330032E-3</v>
      </c>
      <c r="CA109" s="703">
        <f>'Raw emissions'!BY58</f>
        <v>0</v>
      </c>
    </row>
    <row r="110" spans="1:79" s="684" customFormat="1" x14ac:dyDescent="0.2">
      <c r="A110" s="684" t="str">
        <f>NewTech!B14</f>
        <v>TAJGE15</v>
      </c>
      <c r="B110" s="684" t="str">
        <f>NewTech!C14</f>
        <v>Air Jet Passenger, (geared engine), 2015</v>
      </c>
      <c r="C110" s="685">
        <f>'Raw emissions'!D58</f>
        <v>6.5000000000000002E-2</v>
      </c>
      <c r="D110" s="702">
        <f>'Raw emissions'!D58</f>
        <v>6.5000000000000002E-2</v>
      </c>
      <c r="E110" s="707"/>
      <c r="F110" s="707"/>
      <c r="G110" s="707"/>
      <c r="H110" s="707"/>
      <c r="I110" s="707"/>
      <c r="J110" s="707"/>
      <c r="K110" s="707"/>
      <c r="L110" s="707"/>
      <c r="M110" s="685">
        <f>'Raw emissions'!J58</f>
        <v>4.1193391755001097E-3</v>
      </c>
      <c r="N110" s="702">
        <f>'Raw emissions'!N58</f>
        <v>3.9834009827086061E-3</v>
      </c>
      <c r="O110" s="707">
        <f t="shared" ref="O110:V110" si="218">N110</f>
        <v>3.9834009827086061E-3</v>
      </c>
      <c r="P110" s="707">
        <f t="shared" si="218"/>
        <v>3.9834009827086061E-3</v>
      </c>
      <c r="Q110" s="707">
        <f t="shared" si="218"/>
        <v>3.9834009827086061E-3</v>
      </c>
      <c r="R110" s="707">
        <f t="shared" si="218"/>
        <v>3.9834009827086061E-3</v>
      </c>
      <c r="S110" s="707">
        <f t="shared" si="218"/>
        <v>3.9834009827086061E-3</v>
      </c>
      <c r="T110" s="707">
        <f t="shared" si="218"/>
        <v>3.9834009827086061E-3</v>
      </c>
      <c r="U110" s="707">
        <f t="shared" si="218"/>
        <v>3.9834009827086061E-3</v>
      </c>
      <c r="V110" s="707">
        <f t="shared" si="218"/>
        <v>3.9834009827086061E-3</v>
      </c>
      <c r="W110" s="685">
        <f>'Raw emissions'!M58</f>
        <v>3.9834009827086061E-3</v>
      </c>
      <c r="X110" s="702">
        <f>'Raw emissions'!X58</f>
        <v>9.4153068416053688E-3</v>
      </c>
      <c r="Y110" s="707">
        <f t="shared" ref="Y110:AF110" si="219">X110</f>
        <v>9.4153068416053688E-3</v>
      </c>
      <c r="Z110" s="707">
        <f t="shared" si="219"/>
        <v>9.4153068416053688E-3</v>
      </c>
      <c r="AA110" s="707">
        <f t="shared" si="219"/>
        <v>9.4153068416053688E-3</v>
      </c>
      <c r="AB110" s="707">
        <f t="shared" si="219"/>
        <v>9.4153068416053688E-3</v>
      </c>
      <c r="AC110" s="707">
        <f t="shared" si="219"/>
        <v>9.4153068416053688E-3</v>
      </c>
      <c r="AD110" s="707">
        <f t="shared" si="219"/>
        <v>9.4153068416053688E-3</v>
      </c>
      <c r="AE110" s="707">
        <f t="shared" si="219"/>
        <v>9.4153068416053688E-3</v>
      </c>
      <c r="AF110" s="707">
        <f t="shared" si="219"/>
        <v>9.4153068416053688E-3</v>
      </c>
      <c r="AG110" s="685">
        <f>'Raw emissions'!P58</f>
        <v>5.7633829563875541E-2</v>
      </c>
      <c r="AH110" s="702">
        <f>'Raw emissions'!AH58</f>
        <v>7.9668019654172129E-4</v>
      </c>
      <c r="AI110" s="707">
        <f t="shared" ref="AI110:AP110" si="220">AH110</f>
        <v>7.9668019654172129E-4</v>
      </c>
      <c r="AJ110" s="707">
        <f t="shared" si="220"/>
        <v>7.9668019654172129E-4</v>
      </c>
      <c r="AK110" s="707">
        <f t="shared" si="220"/>
        <v>7.9668019654172129E-4</v>
      </c>
      <c r="AL110" s="707">
        <f t="shared" si="220"/>
        <v>7.9668019654172129E-4</v>
      </c>
      <c r="AM110" s="707">
        <f t="shared" si="220"/>
        <v>7.9668019654172129E-4</v>
      </c>
      <c r="AN110" s="707">
        <f t="shared" si="220"/>
        <v>7.9668019654172129E-4</v>
      </c>
      <c r="AO110" s="707">
        <f t="shared" si="220"/>
        <v>7.9668019654172129E-4</v>
      </c>
      <c r="AP110" s="707">
        <f t="shared" si="220"/>
        <v>7.9668019654172129E-4</v>
      </c>
      <c r="AQ110" s="685">
        <f>'Raw emissions'!Y58</f>
        <v>4.7351516241051824E-3</v>
      </c>
      <c r="AR110" s="702">
        <f>'Raw emissions'!AR58</f>
        <v>0</v>
      </c>
      <c r="AS110" s="707">
        <f t="shared" ref="AS110:AZ110" si="221">AR110</f>
        <v>0</v>
      </c>
      <c r="AT110" s="707">
        <f t="shared" si="221"/>
        <v>0</v>
      </c>
      <c r="AU110" s="707">
        <f t="shared" si="221"/>
        <v>0</v>
      </c>
      <c r="AV110" s="707">
        <f t="shared" si="221"/>
        <v>0</v>
      </c>
      <c r="AW110" s="707">
        <f t="shared" si="221"/>
        <v>0</v>
      </c>
      <c r="AX110" s="707">
        <f t="shared" si="221"/>
        <v>0</v>
      </c>
      <c r="AY110" s="707">
        <f t="shared" si="221"/>
        <v>0</v>
      </c>
      <c r="AZ110" s="707">
        <f t="shared" si="221"/>
        <v>0</v>
      </c>
      <c r="BA110" s="685">
        <f>'Raw emissions'!AK58</f>
        <v>2.6290446485876823E-3</v>
      </c>
      <c r="BB110" s="703">
        <f>'Raw emissions'!BB58</f>
        <v>0</v>
      </c>
      <c r="BC110" s="709">
        <f t="shared" ref="BC110:BJ110" si="222">BB110</f>
        <v>0</v>
      </c>
      <c r="BD110" s="709">
        <f t="shared" si="222"/>
        <v>0</v>
      </c>
      <c r="BE110" s="709">
        <f t="shared" si="222"/>
        <v>0</v>
      </c>
      <c r="BF110" s="709">
        <f t="shared" si="222"/>
        <v>0</v>
      </c>
      <c r="BG110" s="709">
        <f t="shared" si="222"/>
        <v>0</v>
      </c>
      <c r="BH110" s="709">
        <f t="shared" si="222"/>
        <v>0</v>
      </c>
      <c r="BI110" s="709">
        <f t="shared" si="222"/>
        <v>0</v>
      </c>
      <c r="BJ110" s="709">
        <f t="shared" si="222"/>
        <v>0</v>
      </c>
      <c r="BK110" s="685">
        <f>'Raw emissions'!AG58</f>
        <v>1.6381668593055247E-3</v>
      </c>
      <c r="BL110" s="703">
        <f>'Raw emissions'!BL58</f>
        <v>0</v>
      </c>
      <c r="BM110" s="709">
        <f t="shared" ref="BM110:BT110" si="223">BL110</f>
        <v>0</v>
      </c>
      <c r="BN110" s="709">
        <f t="shared" si="223"/>
        <v>0</v>
      </c>
      <c r="BO110" s="709">
        <f t="shared" si="223"/>
        <v>0</v>
      </c>
      <c r="BP110" s="709">
        <f t="shared" si="223"/>
        <v>0</v>
      </c>
      <c r="BQ110" s="709">
        <f t="shared" si="223"/>
        <v>0</v>
      </c>
      <c r="BR110" s="709">
        <f t="shared" si="223"/>
        <v>0</v>
      </c>
      <c r="BS110" s="709">
        <f t="shared" si="223"/>
        <v>0</v>
      </c>
      <c r="BT110" s="709">
        <f t="shared" si="223"/>
        <v>0</v>
      </c>
      <c r="BU110" s="685">
        <f>'Raw emissions'!G58</f>
        <v>2.1508132663782174E-2</v>
      </c>
      <c r="BV110" s="703">
        <f>'Raw emissions'!BV58</f>
        <v>0</v>
      </c>
      <c r="BW110" s="703">
        <f>(1-'Tier3Phase-in'!$J$20)*BV110</f>
        <v>0</v>
      </c>
      <c r="BX110" s="685">
        <f>'Raw emissions'!V58</f>
        <v>3.4651991513871272E-3</v>
      </c>
      <c r="BY110" s="703">
        <f>'Raw emissions'!BW58</f>
        <v>0</v>
      </c>
      <c r="BZ110" s="685">
        <f>'Raw emissions'!S58</f>
        <v>3.982987530330032E-3</v>
      </c>
      <c r="CA110" s="703">
        <f>'Raw emissions'!BY58</f>
        <v>0</v>
      </c>
    </row>
    <row r="111" spans="1:79" s="684" customFormat="1" x14ac:dyDescent="0.2">
      <c r="A111" s="684" t="str">
        <f>NewTech!B15</f>
        <v>TAP10</v>
      </c>
      <c r="B111" s="684" t="str">
        <f>NewTech!C15</f>
        <v>Airplane, General Aviation - 2010</v>
      </c>
      <c r="C111" s="685">
        <f>'Raw emissions'!D60</f>
        <v>0.1636</v>
      </c>
      <c r="D111" s="702">
        <f>'Raw emissions'!D60</f>
        <v>0.1636</v>
      </c>
      <c r="E111" s="707"/>
      <c r="F111" s="707"/>
      <c r="G111" s="707"/>
      <c r="H111" s="707"/>
      <c r="I111" s="707"/>
      <c r="J111" s="707"/>
      <c r="K111" s="707"/>
      <c r="L111" s="707"/>
      <c r="M111" s="685">
        <f>'Raw emissions'!J60</f>
        <v>3.6400000000000002E-2</v>
      </c>
      <c r="N111" s="702">
        <f>'Raw emissions'!N60</f>
        <v>3.5198800000000002E-2</v>
      </c>
      <c r="O111" s="707">
        <f t="shared" ref="O111:V111" si="224">N111</f>
        <v>3.5198800000000002E-2</v>
      </c>
      <c r="P111" s="707">
        <f t="shared" si="224"/>
        <v>3.5198800000000002E-2</v>
      </c>
      <c r="Q111" s="707">
        <f t="shared" si="224"/>
        <v>3.5198800000000002E-2</v>
      </c>
      <c r="R111" s="707">
        <f t="shared" si="224"/>
        <v>3.5198800000000002E-2</v>
      </c>
      <c r="S111" s="707">
        <f t="shared" si="224"/>
        <v>3.5198800000000002E-2</v>
      </c>
      <c r="T111" s="707">
        <f t="shared" si="224"/>
        <v>3.5198800000000002E-2</v>
      </c>
      <c r="U111" s="707">
        <f t="shared" si="224"/>
        <v>3.5198800000000002E-2</v>
      </c>
      <c r="V111" s="707">
        <f t="shared" si="224"/>
        <v>3.5198800000000002E-2</v>
      </c>
      <c r="W111" s="685">
        <f>'Raw emissions'!M60</f>
        <v>3.5198800000000002E-2</v>
      </c>
      <c r="X111" s="702">
        <f>'Raw emissions'!X60</f>
        <v>9.4153068416053688E-3</v>
      </c>
      <c r="Y111" s="707">
        <f t="shared" ref="Y111:AF111" si="225">X111</f>
        <v>9.4153068416053688E-3</v>
      </c>
      <c r="Z111" s="707">
        <f t="shared" si="225"/>
        <v>9.4153068416053688E-3</v>
      </c>
      <c r="AA111" s="707">
        <f t="shared" si="225"/>
        <v>9.4153068416053688E-3</v>
      </c>
      <c r="AB111" s="707">
        <f t="shared" si="225"/>
        <v>9.4153068416053688E-3</v>
      </c>
      <c r="AC111" s="707">
        <f t="shared" si="225"/>
        <v>9.4153068416053688E-3</v>
      </c>
      <c r="AD111" s="707">
        <f t="shared" si="225"/>
        <v>9.4153068416053688E-3</v>
      </c>
      <c r="AE111" s="707">
        <f t="shared" si="225"/>
        <v>9.4153068416053688E-3</v>
      </c>
      <c r="AF111" s="707">
        <f t="shared" si="225"/>
        <v>9.4153068416053688E-3</v>
      </c>
      <c r="AG111" s="685">
        <f>'Raw emissions'!P60</f>
        <v>5.7633829563875541E-2</v>
      </c>
      <c r="AH111" s="702">
        <f>'Raw emissions'!AH60</f>
        <v>7.0397600000000008E-3</v>
      </c>
      <c r="AI111" s="707">
        <f t="shared" ref="AI111:AP111" si="226">AH111</f>
        <v>7.0397600000000008E-3</v>
      </c>
      <c r="AJ111" s="707">
        <f t="shared" si="226"/>
        <v>7.0397600000000008E-3</v>
      </c>
      <c r="AK111" s="707">
        <f t="shared" si="226"/>
        <v>7.0397600000000008E-3</v>
      </c>
      <c r="AL111" s="707">
        <f t="shared" si="226"/>
        <v>7.0397600000000008E-3</v>
      </c>
      <c r="AM111" s="707">
        <f t="shared" si="226"/>
        <v>7.0397600000000008E-3</v>
      </c>
      <c r="AN111" s="707">
        <f t="shared" si="226"/>
        <v>7.0397600000000008E-3</v>
      </c>
      <c r="AO111" s="707">
        <f t="shared" si="226"/>
        <v>7.0397600000000008E-3</v>
      </c>
      <c r="AP111" s="707">
        <f t="shared" si="226"/>
        <v>7.0397600000000008E-3</v>
      </c>
      <c r="AQ111" s="685">
        <f>'Raw emissions'!Y60</f>
        <v>4.7351516241051824E-3</v>
      </c>
      <c r="AR111" s="702">
        <f>'Raw emissions'!AR60</f>
        <v>0</v>
      </c>
      <c r="AS111" s="707">
        <f t="shared" ref="AS111:AZ111" si="227">AR111</f>
        <v>0</v>
      </c>
      <c r="AT111" s="707">
        <f t="shared" si="227"/>
        <v>0</v>
      </c>
      <c r="AU111" s="707">
        <f t="shared" si="227"/>
        <v>0</v>
      </c>
      <c r="AV111" s="707">
        <f t="shared" si="227"/>
        <v>0</v>
      </c>
      <c r="AW111" s="707">
        <f t="shared" si="227"/>
        <v>0</v>
      </c>
      <c r="AX111" s="707">
        <f t="shared" si="227"/>
        <v>0</v>
      </c>
      <c r="AY111" s="707">
        <f t="shared" si="227"/>
        <v>0</v>
      </c>
      <c r="AZ111" s="707">
        <f t="shared" si="227"/>
        <v>0</v>
      </c>
      <c r="BA111" s="685">
        <f>'Raw emissions'!AK60</f>
        <v>2.5528800000000001E-2</v>
      </c>
      <c r="BB111" s="703">
        <f>'Raw emissions'!BB60</f>
        <v>0</v>
      </c>
      <c r="BC111" s="709">
        <f t="shared" ref="BC111:BJ111" si="228">BB111</f>
        <v>0</v>
      </c>
      <c r="BD111" s="709">
        <f t="shared" si="228"/>
        <v>0</v>
      </c>
      <c r="BE111" s="709">
        <f t="shared" si="228"/>
        <v>0</v>
      </c>
      <c r="BF111" s="709">
        <f t="shared" si="228"/>
        <v>0</v>
      </c>
      <c r="BG111" s="709">
        <f t="shared" si="228"/>
        <v>0</v>
      </c>
      <c r="BH111" s="709">
        <f t="shared" si="228"/>
        <v>0</v>
      </c>
      <c r="BI111" s="709">
        <f t="shared" si="228"/>
        <v>0</v>
      </c>
      <c r="BJ111" s="709">
        <f t="shared" si="228"/>
        <v>0</v>
      </c>
      <c r="BK111" s="685">
        <f>'Raw emissions'!AG60</f>
        <v>7.7359999999999998E-3</v>
      </c>
      <c r="BL111" s="703">
        <f>'Raw emissions'!BL60</f>
        <v>0</v>
      </c>
      <c r="BM111" s="709">
        <f t="shared" ref="BM111:BT111" si="229">BL111</f>
        <v>0</v>
      </c>
      <c r="BN111" s="709">
        <f t="shared" si="229"/>
        <v>0</v>
      </c>
      <c r="BO111" s="709">
        <f t="shared" si="229"/>
        <v>0</v>
      </c>
      <c r="BP111" s="709">
        <f t="shared" si="229"/>
        <v>0</v>
      </c>
      <c r="BQ111" s="709">
        <f t="shared" si="229"/>
        <v>0</v>
      </c>
      <c r="BR111" s="709">
        <f t="shared" si="229"/>
        <v>0</v>
      </c>
      <c r="BS111" s="709">
        <f t="shared" si="229"/>
        <v>0</v>
      </c>
      <c r="BT111" s="709">
        <f t="shared" si="229"/>
        <v>0</v>
      </c>
      <c r="BU111" s="685">
        <f>'Raw emissions'!G60</f>
        <v>1.0849608754244008E-3</v>
      </c>
      <c r="BV111" s="703">
        <f>'Raw emissions'!BV60</f>
        <v>0</v>
      </c>
      <c r="BW111" s="703">
        <f>(1-'Tier3Phase-in'!$J$20)*BV111</f>
        <v>0</v>
      </c>
      <c r="BX111" s="685">
        <f>'Raw emissions'!V60</f>
        <v>3.4651991513871272E-3</v>
      </c>
      <c r="BY111" s="703">
        <f>'Raw emissions'!BW60</f>
        <v>0</v>
      </c>
      <c r="BZ111" s="685">
        <f>'Raw emissions'!S60</f>
        <v>3.982987530330032E-3</v>
      </c>
      <c r="CA111" s="703">
        <f>'Raw emissions'!BY60</f>
        <v>0</v>
      </c>
    </row>
    <row r="112" spans="1:79" s="684" customFormat="1" x14ac:dyDescent="0.2">
      <c r="A112" s="684" t="str">
        <f>Technologies!C207</f>
        <v>TSDSH10</v>
      </c>
      <c r="B112" s="684" t="str">
        <f>Technologies!D207</f>
        <v>Water Shipping, Residual Oil, 2010</v>
      </c>
      <c r="C112" s="685">
        <f>'Raw emissions'!D63</f>
        <v>2.0502459099730128</v>
      </c>
      <c r="D112" s="702">
        <f>'Raw emissions'!D63</f>
        <v>2.0502459099730128</v>
      </c>
      <c r="E112" s="707"/>
      <c r="F112" s="707"/>
      <c r="G112" s="707"/>
      <c r="H112" s="707"/>
      <c r="I112" s="707"/>
      <c r="J112" s="707"/>
      <c r="K112" s="707"/>
      <c r="L112" s="707"/>
      <c r="M112" s="685">
        <f>'Raw emissions'!J63</f>
        <v>0.22733732882657637</v>
      </c>
      <c r="N112" s="702">
        <f>'Raw emissions'!N63</f>
        <v>2.9435974132507807E-2</v>
      </c>
      <c r="O112" s="707">
        <f t="shared" ref="O112:V112" si="230">N112</f>
        <v>2.9435974132507807E-2</v>
      </c>
      <c r="P112" s="707">
        <f t="shared" si="230"/>
        <v>2.9435974132507807E-2</v>
      </c>
      <c r="Q112" s="707">
        <f t="shared" si="230"/>
        <v>2.9435974132507807E-2</v>
      </c>
      <c r="R112" s="707">
        <f t="shared" si="230"/>
        <v>2.9435974132507807E-2</v>
      </c>
      <c r="S112" s="707">
        <f t="shared" si="230"/>
        <v>2.9435974132507807E-2</v>
      </c>
      <c r="T112" s="707">
        <f t="shared" si="230"/>
        <v>2.9435974132507807E-2</v>
      </c>
      <c r="U112" s="707">
        <f t="shared" si="230"/>
        <v>2.9435974132507807E-2</v>
      </c>
      <c r="V112" s="707">
        <f t="shared" si="230"/>
        <v>2.9435974132507807E-2</v>
      </c>
      <c r="W112" s="685">
        <f>'Raw emissions'!M63</f>
        <v>0.20915034252045028</v>
      </c>
      <c r="X112" s="702">
        <f>'Raw emissions'!X63</f>
        <v>7.7463089822388975E-2</v>
      </c>
      <c r="Y112" s="707">
        <f t="shared" ref="Y112:AF112" si="231">X112</f>
        <v>7.7463089822388975E-2</v>
      </c>
      <c r="Z112" s="707">
        <f t="shared" si="231"/>
        <v>7.7463089822388975E-2</v>
      </c>
      <c r="AA112" s="707">
        <f t="shared" si="231"/>
        <v>7.7463089822388975E-2</v>
      </c>
      <c r="AB112" s="707">
        <f t="shared" si="231"/>
        <v>7.7463089822388975E-2</v>
      </c>
      <c r="AC112" s="707">
        <f t="shared" si="231"/>
        <v>7.7463089822388975E-2</v>
      </c>
      <c r="AD112" s="707">
        <f t="shared" si="231"/>
        <v>7.7463089822388975E-2</v>
      </c>
      <c r="AE112" s="707">
        <f t="shared" si="231"/>
        <v>7.7463089822388975E-2</v>
      </c>
      <c r="AF112" s="707">
        <f t="shared" si="231"/>
        <v>7.7463089822388975E-2</v>
      </c>
      <c r="AG112" s="685">
        <f>'Raw emissions'!P63</f>
        <v>0.19534170476950266</v>
      </c>
      <c r="AH112" s="702">
        <f>'Raw emissions'!AH63</f>
        <v>4.3921571929294558E-2</v>
      </c>
      <c r="AI112" s="707">
        <f t="shared" ref="AI112:AP112" si="232">AH112</f>
        <v>4.3921571929294558E-2</v>
      </c>
      <c r="AJ112" s="707">
        <f t="shared" si="232"/>
        <v>4.3921571929294558E-2</v>
      </c>
      <c r="AK112" s="707">
        <f t="shared" si="232"/>
        <v>4.3921571929294558E-2</v>
      </c>
      <c r="AL112" s="707">
        <f t="shared" si="232"/>
        <v>4.3921571929294558E-2</v>
      </c>
      <c r="AM112" s="707">
        <f t="shared" si="232"/>
        <v>4.3921571929294558E-2</v>
      </c>
      <c r="AN112" s="707">
        <f t="shared" si="232"/>
        <v>4.3921571929294558E-2</v>
      </c>
      <c r="AO112" s="707">
        <f t="shared" si="232"/>
        <v>4.3921571929294558E-2</v>
      </c>
      <c r="AP112" s="707">
        <f t="shared" si="232"/>
        <v>4.3921571929294558E-2</v>
      </c>
      <c r="AQ112" s="685">
        <f>'Raw emissions'!Y63</f>
        <v>7.7463089822388975E-2</v>
      </c>
      <c r="AR112" s="702">
        <f>'Raw emissions'!AR63</f>
        <v>0</v>
      </c>
      <c r="AS112" s="707">
        <f t="shared" ref="AS112:AZ112" si="233">AR112</f>
        <v>0</v>
      </c>
      <c r="AT112" s="707">
        <f t="shared" si="233"/>
        <v>0</v>
      </c>
      <c r="AU112" s="707">
        <f t="shared" si="233"/>
        <v>0</v>
      </c>
      <c r="AV112" s="707">
        <f t="shared" si="233"/>
        <v>0</v>
      </c>
      <c r="AW112" s="707">
        <f t="shared" si="233"/>
        <v>0</v>
      </c>
      <c r="AX112" s="707">
        <f t="shared" si="233"/>
        <v>0</v>
      </c>
      <c r="AY112" s="707">
        <f t="shared" si="233"/>
        <v>0</v>
      </c>
      <c r="AZ112" s="707">
        <f t="shared" si="233"/>
        <v>0</v>
      </c>
      <c r="BA112" s="685">
        <f>'Raw emissions'!AK63</f>
        <v>0.10666667468542965</v>
      </c>
      <c r="BB112" s="703">
        <f>'Raw emissions'!BB63</f>
        <v>0</v>
      </c>
      <c r="BC112" s="709">
        <f t="shared" ref="BC112:BJ112" si="234">BB112</f>
        <v>0</v>
      </c>
      <c r="BD112" s="709">
        <f t="shared" si="234"/>
        <v>0</v>
      </c>
      <c r="BE112" s="709">
        <f t="shared" si="234"/>
        <v>0</v>
      </c>
      <c r="BF112" s="709">
        <f t="shared" si="234"/>
        <v>0</v>
      </c>
      <c r="BG112" s="709">
        <f t="shared" si="234"/>
        <v>0</v>
      </c>
      <c r="BH112" s="709">
        <f t="shared" si="234"/>
        <v>0</v>
      </c>
      <c r="BI112" s="709">
        <f t="shared" si="234"/>
        <v>0</v>
      </c>
      <c r="BJ112" s="709">
        <f t="shared" si="234"/>
        <v>0</v>
      </c>
      <c r="BK112" s="685">
        <f>'Raw emissions'!AG63</f>
        <v>4.3921571929294558E-2</v>
      </c>
      <c r="BL112" s="703">
        <f>'Raw emissions'!BL63</f>
        <v>0</v>
      </c>
      <c r="BM112" s="709">
        <f t="shared" ref="BM112:BT112" si="235">BL112</f>
        <v>0</v>
      </c>
      <c r="BN112" s="709">
        <f t="shared" si="235"/>
        <v>0</v>
      </c>
      <c r="BO112" s="709">
        <f t="shared" si="235"/>
        <v>0</v>
      </c>
      <c r="BP112" s="709">
        <f t="shared" si="235"/>
        <v>0</v>
      </c>
      <c r="BQ112" s="709">
        <f t="shared" si="235"/>
        <v>0</v>
      </c>
      <c r="BR112" s="709">
        <f t="shared" si="235"/>
        <v>0</v>
      </c>
      <c r="BS112" s="709">
        <f t="shared" si="235"/>
        <v>0</v>
      </c>
      <c r="BT112" s="709">
        <f t="shared" si="235"/>
        <v>0</v>
      </c>
      <c r="BU112" s="685">
        <f>'Raw emissions'!G63</f>
        <v>1.7572333528187587</v>
      </c>
      <c r="BV112" s="703">
        <f>'Raw emissions'!BV63</f>
        <v>0</v>
      </c>
      <c r="BW112" s="703">
        <f>(1-'Tier3Phase-in'!$J$20)*BV112</f>
        <v>0</v>
      </c>
      <c r="BX112" s="685">
        <f>'Raw emissions'!V63</f>
        <v>2.1117829623188917E-3</v>
      </c>
      <c r="BY112" s="703">
        <f>'Raw emissions'!BW63</f>
        <v>0</v>
      </c>
      <c r="BZ112" s="685">
        <f>'Raw emissions'!S63</f>
        <v>7.3410763464156143E-4</v>
      </c>
      <c r="CA112" s="703">
        <f>'Raw emissions'!BY63</f>
        <v>0</v>
      </c>
    </row>
    <row r="113" spans="1:91" s="684" customFormat="1" x14ac:dyDescent="0.2">
      <c r="A113" s="684" t="str">
        <f>Technologies!C208</f>
        <v>TSDSHFI15</v>
      </c>
      <c r="B113" s="684" t="str">
        <f>Technologies!D208</f>
        <v>Water Shipping, Resid Fuel Inject, 2015</v>
      </c>
      <c r="C113" s="685">
        <f>'Raw emissions'!E63</f>
        <v>0.44204480605167623</v>
      </c>
      <c r="D113" s="702">
        <f>'Raw emissions'!D63</f>
        <v>2.0502459099730128</v>
      </c>
      <c r="E113" s="707"/>
      <c r="F113" s="707"/>
      <c r="G113" s="707"/>
      <c r="H113" s="707"/>
      <c r="I113" s="707"/>
      <c r="J113" s="707"/>
      <c r="K113" s="707"/>
      <c r="L113" s="707"/>
      <c r="M113" s="685">
        <f>'Raw emissions'!J63</f>
        <v>0.22733732882657637</v>
      </c>
      <c r="N113" s="702">
        <f>'Raw emissions'!N63</f>
        <v>2.9435974132507807E-2</v>
      </c>
      <c r="O113" s="707">
        <f t="shared" ref="O113:V113" si="236">N113</f>
        <v>2.9435974132507807E-2</v>
      </c>
      <c r="P113" s="707">
        <f t="shared" si="236"/>
        <v>2.9435974132507807E-2</v>
      </c>
      <c r="Q113" s="707">
        <f t="shared" si="236"/>
        <v>2.9435974132507807E-2</v>
      </c>
      <c r="R113" s="707">
        <f t="shared" si="236"/>
        <v>2.9435974132507807E-2</v>
      </c>
      <c r="S113" s="707">
        <f t="shared" si="236"/>
        <v>2.9435974132507807E-2</v>
      </c>
      <c r="T113" s="707">
        <f t="shared" si="236"/>
        <v>2.9435974132507807E-2</v>
      </c>
      <c r="U113" s="707">
        <f t="shared" si="236"/>
        <v>2.9435974132507807E-2</v>
      </c>
      <c r="V113" s="707">
        <f t="shared" si="236"/>
        <v>2.9435974132507807E-2</v>
      </c>
      <c r="W113" s="685">
        <f>'Raw emissions'!M63</f>
        <v>0.20915034252045028</v>
      </c>
      <c r="X113" s="702">
        <f>'Raw emissions'!X63</f>
        <v>7.7463089822388975E-2</v>
      </c>
      <c r="Y113" s="707">
        <f t="shared" ref="Y113:AF113" si="237">X113</f>
        <v>7.7463089822388975E-2</v>
      </c>
      <c r="Z113" s="707">
        <f t="shared" si="237"/>
        <v>7.7463089822388975E-2</v>
      </c>
      <c r="AA113" s="707">
        <f t="shared" si="237"/>
        <v>7.7463089822388975E-2</v>
      </c>
      <c r="AB113" s="707">
        <f t="shared" si="237"/>
        <v>7.7463089822388975E-2</v>
      </c>
      <c r="AC113" s="707">
        <f t="shared" si="237"/>
        <v>7.7463089822388975E-2</v>
      </c>
      <c r="AD113" s="707">
        <f t="shared" si="237"/>
        <v>7.7463089822388975E-2</v>
      </c>
      <c r="AE113" s="707">
        <f t="shared" si="237"/>
        <v>7.7463089822388975E-2</v>
      </c>
      <c r="AF113" s="707">
        <f t="shared" si="237"/>
        <v>7.7463089822388975E-2</v>
      </c>
      <c r="AG113" s="685">
        <f>'Raw emissions'!P63</f>
        <v>0.19534170476950266</v>
      </c>
      <c r="AH113" s="702">
        <f>'Raw emissions'!AH63</f>
        <v>4.3921571929294558E-2</v>
      </c>
      <c r="AI113" s="707">
        <f t="shared" ref="AI113:AP113" si="238">AH113</f>
        <v>4.3921571929294558E-2</v>
      </c>
      <c r="AJ113" s="707">
        <f t="shared" si="238"/>
        <v>4.3921571929294558E-2</v>
      </c>
      <c r="AK113" s="707">
        <f t="shared" si="238"/>
        <v>4.3921571929294558E-2</v>
      </c>
      <c r="AL113" s="707">
        <f t="shared" si="238"/>
        <v>4.3921571929294558E-2</v>
      </c>
      <c r="AM113" s="707">
        <f t="shared" si="238"/>
        <v>4.3921571929294558E-2</v>
      </c>
      <c r="AN113" s="707">
        <f t="shared" si="238"/>
        <v>4.3921571929294558E-2</v>
      </c>
      <c r="AO113" s="707">
        <f t="shared" si="238"/>
        <v>4.3921571929294558E-2</v>
      </c>
      <c r="AP113" s="707">
        <f t="shared" si="238"/>
        <v>4.3921571929294558E-2</v>
      </c>
      <c r="AQ113" s="685">
        <f>'Raw emissions'!Y63</f>
        <v>7.7463089822388975E-2</v>
      </c>
      <c r="AR113" s="702">
        <f>'Raw emissions'!AR63</f>
        <v>0</v>
      </c>
      <c r="AS113" s="707">
        <f t="shared" ref="AS113:AZ113" si="239">AR113</f>
        <v>0</v>
      </c>
      <c r="AT113" s="707">
        <f t="shared" si="239"/>
        <v>0</v>
      </c>
      <c r="AU113" s="707">
        <f t="shared" si="239"/>
        <v>0</v>
      </c>
      <c r="AV113" s="707">
        <f t="shared" si="239"/>
        <v>0</v>
      </c>
      <c r="AW113" s="707">
        <f t="shared" si="239"/>
        <v>0</v>
      </c>
      <c r="AX113" s="707">
        <f t="shared" si="239"/>
        <v>0</v>
      </c>
      <c r="AY113" s="707">
        <f t="shared" si="239"/>
        <v>0</v>
      </c>
      <c r="AZ113" s="707">
        <f t="shared" si="239"/>
        <v>0</v>
      </c>
      <c r="BA113" s="685">
        <f>'Raw emissions'!AK63</f>
        <v>0.10666667468542965</v>
      </c>
      <c r="BB113" s="703">
        <f>'Raw emissions'!BB63</f>
        <v>0</v>
      </c>
      <c r="BC113" s="709">
        <f t="shared" ref="BC113:BJ113" si="240">BB113</f>
        <v>0</v>
      </c>
      <c r="BD113" s="709">
        <f t="shared" si="240"/>
        <v>0</v>
      </c>
      <c r="BE113" s="709">
        <f t="shared" si="240"/>
        <v>0</v>
      </c>
      <c r="BF113" s="709">
        <f t="shared" si="240"/>
        <v>0</v>
      </c>
      <c r="BG113" s="709">
        <f t="shared" si="240"/>
        <v>0</v>
      </c>
      <c r="BH113" s="709">
        <f t="shared" si="240"/>
        <v>0</v>
      </c>
      <c r="BI113" s="709">
        <f t="shared" si="240"/>
        <v>0</v>
      </c>
      <c r="BJ113" s="709">
        <f t="shared" si="240"/>
        <v>0</v>
      </c>
      <c r="BK113" s="685">
        <f>'Raw emissions'!AG63</f>
        <v>4.3921571929294558E-2</v>
      </c>
      <c r="BL113" s="703">
        <f>'Raw emissions'!BL63</f>
        <v>0</v>
      </c>
      <c r="BM113" s="709">
        <f t="shared" ref="BM113:BT113" si="241">BL113</f>
        <v>0</v>
      </c>
      <c r="BN113" s="709">
        <f t="shared" si="241"/>
        <v>0</v>
      </c>
      <c r="BO113" s="709">
        <f t="shared" si="241"/>
        <v>0</v>
      </c>
      <c r="BP113" s="709">
        <f t="shared" si="241"/>
        <v>0</v>
      </c>
      <c r="BQ113" s="709">
        <f t="shared" si="241"/>
        <v>0</v>
      </c>
      <c r="BR113" s="709">
        <f t="shared" si="241"/>
        <v>0</v>
      </c>
      <c r="BS113" s="709">
        <f t="shared" si="241"/>
        <v>0</v>
      </c>
      <c r="BT113" s="709">
        <f t="shared" si="241"/>
        <v>0</v>
      </c>
      <c r="BU113" s="685">
        <f>'Raw emissions'!G63</f>
        <v>1.7572333528187587</v>
      </c>
      <c r="BV113" s="703">
        <f>'Raw emissions'!BV63</f>
        <v>0</v>
      </c>
      <c r="BW113" s="703">
        <f>(1-'Tier3Phase-in'!$J$20)*BV113</f>
        <v>0</v>
      </c>
      <c r="BX113" s="685">
        <f>'Raw emissions'!V63</f>
        <v>2.1117829623188917E-3</v>
      </c>
      <c r="BY113" s="703">
        <f>'Raw emissions'!BW63</f>
        <v>0</v>
      </c>
      <c r="BZ113" s="685">
        <f>'Raw emissions'!S63</f>
        <v>7.3410763464156143E-4</v>
      </c>
      <c r="CA113" s="703">
        <f>'Raw emissions'!BY63</f>
        <v>0</v>
      </c>
    </row>
    <row r="114" spans="1:91" s="684" customFormat="1" x14ac:dyDescent="0.2">
      <c r="A114" s="684" t="str">
        <f>Technologies!C209</f>
        <v>TSDSHBL15</v>
      </c>
      <c r="B114" s="684" t="str">
        <f>Technologies!D209</f>
        <v>Water Shipping, Resid Bubble Lub, 2015</v>
      </c>
      <c r="C114" s="685">
        <f>'Raw emissions'!E63</f>
        <v>0.44204480605167623</v>
      </c>
      <c r="D114" s="702">
        <f>'Raw emissions'!D63</f>
        <v>2.0502459099730128</v>
      </c>
      <c r="E114" s="707"/>
      <c r="F114" s="707"/>
      <c r="G114" s="707"/>
      <c r="H114" s="707"/>
      <c r="I114" s="707"/>
      <c r="J114" s="707"/>
      <c r="K114" s="707"/>
      <c r="L114" s="707"/>
      <c r="M114" s="685">
        <f>'Raw emissions'!J63</f>
        <v>0.22733732882657637</v>
      </c>
      <c r="N114" s="702">
        <f>'Raw emissions'!N63</f>
        <v>2.9435974132507807E-2</v>
      </c>
      <c r="O114" s="707">
        <f t="shared" ref="O114:V114" si="242">N114</f>
        <v>2.9435974132507807E-2</v>
      </c>
      <c r="P114" s="707">
        <f t="shared" si="242"/>
        <v>2.9435974132507807E-2</v>
      </c>
      <c r="Q114" s="707">
        <f t="shared" si="242"/>
        <v>2.9435974132507807E-2</v>
      </c>
      <c r="R114" s="707">
        <f t="shared" si="242"/>
        <v>2.9435974132507807E-2</v>
      </c>
      <c r="S114" s="707">
        <f t="shared" si="242"/>
        <v>2.9435974132507807E-2</v>
      </c>
      <c r="T114" s="707">
        <f t="shared" si="242"/>
        <v>2.9435974132507807E-2</v>
      </c>
      <c r="U114" s="707">
        <f t="shared" si="242"/>
        <v>2.9435974132507807E-2</v>
      </c>
      <c r="V114" s="707">
        <f t="shared" si="242"/>
        <v>2.9435974132507807E-2</v>
      </c>
      <c r="W114" s="685">
        <f>'Raw emissions'!M63</f>
        <v>0.20915034252045028</v>
      </c>
      <c r="X114" s="702">
        <f>'Raw emissions'!X63</f>
        <v>7.7463089822388975E-2</v>
      </c>
      <c r="Y114" s="707">
        <f t="shared" ref="Y114:AF114" si="243">X114</f>
        <v>7.7463089822388975E-2</v>
      </c>
      <c r="Z114" s="707">
        <f t="shared" si="243"/>
        <v>7.7463089822388975E-2</v>
      </c>
      <c r="AA114" s="707">
        <f t="shared" si="243"/>
        <v>7.7463089822388975E-2</v>
      </c>
      <c r="AB114" s="707">
        <f t="shared" si="243"/>
        <v>7.7463089822388975E-2</v>
      </c>
      <c r="AC114" s="707">
        <f t="shared" si="243"/>
        <v>7.7463089822388975E-2</v>
      </c>
      <c r="AD114" s="707">
        <f t="shared" si="243"/>
        <v>7.7463089822388975E-2</v>
      </c>
      <c r="AE114" s="707">
        <f t="shared" si="243"/>
        <v>7.7463089822388975E-2</v>
      </c>
      <c r="AF114" s="707">
        <f t="shared" si="243"/>
        <v>7.7463089822388975E-2</v>
      </c>
      <c r="AG114" s="685">
        <f>'Raw emissions'!P63</f>
        <v>0.19534170476950266</v>
      </c>
      <c r="AH114" s="702">
        <f>'Raw emissions'!AH63</f>
        <v>4.3921571929294558E-2</v>
      </c>
      <c r="AI114" s="707">
        <f t="shared" ref="AI114:AP114" si="244">AH114</f>
        <v>4.3921571929294558E-2</v>
      </c>
      <c r="AJ114" s="707">
        <f t="shared" si="244"/>
        <v>4.3921571929294558E-2</v>
      </c>
      <c r="AK114" s="707">
        <f t="shared" si="244"/>
        <v>4.3921571929294558E-2</v>
      </c>
      <c r="AL114" s="707">
        <f t="shared" si="244"/>
        <v>4.3921571929294558E-2</v>
      </c>
      <c r="AM114" s="707">
        <f t="shared" si="244"/>
        <v>4.3921571929294558E-2</v>
      </c>
      <c r="AN114" s="707">
        <f t="shared" si="244"/>
        <v>4.3921571929294558E-2</v>
      </c>
      <c r="AO114" s="707">
        <f t="shared" si="244"/>
        <v>4.3921571929294558E-2</v>
      </c>
      <c r="AP114" s="707">
        <f t="shared" si="244"/>
        <v>4.3921571929294558E-2</v>
      </c>
      <c r="AQ114" s="685">
        <f>'Raw emissions'!Y63</f>
        <v>7.7463089822388975E-2</v>
      </c>
      <c r="AR114" s="702">
        <f>'Raw emissions'!AR63</f>
        <v>0</v>
      </c>
      <c r="AS114" s="707">
        <f t="shared" ref="AS114:AZ114" si="245">AR114</f>
        <v>0</v>
      </c>
      <c r="AT114" s="707">
        <f t="shared" si="245"/>
        <v>0</v>
      </c>
      <c r="AU114" s="707">
        <f t="shared" si="245"/>
        <v>0</v>
      </c>
      <c r="AV114" s="707">
        <f t="shared" si="245"/>
        <v>0</v>
      </c>
      <c r="AW114" s="707">
        <f t="shared" si="245"/>
        <v>0</v>
      </c>
      <c r="AX114" s="707">
        <f t="shared" si="245"/>
        <v>0</v>
      </c>
      <c r="AY114" s="707">
        <f t="shared" si="245"/>
        <v>0</v>
      </c>
      <c r="AZ114" s="707">
        <f t="shared" si="245"/>
        <v>0</v>
      </c>
      <c r="BA114" s="685">
        <f>'Raw emissions'!AK63</f>
        <v>0.10666667468542965</v>
      </c>
      <c r="BB114" s="703">
        <f>'Raw emissions'!BB63</f>
        <v>0</v>
      </c>
      <c r="BC114" s="709">
        <f t="shared" ref="BC114:BJ114" si="246">BB114</f>
        <v>0</v>
      </c>
      <c r="BD114" s="709">
        <f t="shared" si="246"/>
        <v>0</v>
      </c>
      <c r="BE114" s="709">
        <f t="shared" si="246"/>
        <v>0</v>
      </c>
      <c r="BF114" s="709">
        <f t="shared" si="246"/>
        <v>0</v>
      </c>
      <c r="BG114" s="709">
        <f t="shared" si="246"/>
        <v>0</v>
      </c>
      <c r="BH114" s="709">
        <f t="shared" si="246"/>
        <v>0</v>
      </c>
      <c r="BI114" s="709">
        <f t="shared" si="246"/>
        <v>0</v>
      </c>
      <c r="BJ114" s="709">
        <f t="shared" si="246"/>
        <v>0</v>
      </c>
      <c r="BK114" s="685">
        <f>'Raw emissions'!AG63</f>
        <v>4.3921571929294558E-2</v>
      </c>
      <c r="BL114" s="703">
        <f>'Raw emissions'!BL63</f>
        <v>0</v>
      </c>
      <c r="BM114" s="709">
        <f t="shared" ref="BM114:BT114" si="247">BL114</f>
        <v>0</v>
      </c>
      <c r="BN114" s="709">
        <f t="shared" si="247"/>
        <v>0</v>
      </c>
      <c r="BO114" s="709">
        <f t="shared" si="247"/>
        <v>0</v>
      </c>
      <c r="BP114" s="709">
        <f t="shared" si="247"/>
        <v>0</v>
      </c>
      <c r="BQ114" s="709">
        <f t="shared" si="247"/>
        <v>0</v>
      </c>
      <c r="BR114" s="709">
        <f t="shared" si="247"/>
        <v>0</v>
      </c>
      <c r="BS114" s="709">
        <f t="shared" si="247"/>
        <v>0</v>
      </c>
      <c r="BT114" s="709">
        <f t="shared" si="247"/>
        <v>0</v>
      </c>
      <c r="BU114" s="685">
        <f>'Raw emissions'!G63</f>
        <v>1.7572333528187587</v>
      </c>
      <c r="BV114" s="703">
        <f>'Raw emissions'!BV63</f>
        <v>0</v>
      </c>
      <c r="BW114" s="703">
        <f>(1-'Tier3Phase-in'!$J$20)*BV114</f>
        <v>0</v>
      </c>
      <c r="BX114" s="685">
        <f>'Raw emissions'!V63</f>
        <v>2.1117829623188917E-3</v>
      </c>
      <c r="BY114" s="703">
        <f>'Raw emissions'!BW63</f>
        <v>0</v>
      </c>
      <c r="BZ114" s="685">
        <f>'Raw emissions'!S63</f>
        <v>7.3410763464156143E-4</v>
      </c>
      <c r="CA114" s="703">
        <f>'Raw emissions'!BY63</f>
        <v>0</v>
      </c>
    </row>
    <row r="115" spans="1:91" s="684" customFormat="1" x14ac:dyDescent="0.2">
      <c r="A115" s="684" t="str">
        <f>Technologies!C210</f>
        <v>TSDSLE</v>
      </c>
      <c r="B115" s="684" t="str">
        <f>Technologies!D210</f>
        <v>Water Shipping, Diesel exisiting</v>
      </c>
      <c r="C115" s="685">
        <f>'Raw emissions'!C62</f>
        <v>2.0867907816968794</v>
      </c>
      <c r="D115" s="702">
        <f>'Raw emissions'!D62</f>
        <v>1.279773520969089</v>
      </c>
      <c r="E115" s="707"/>
      <c r="F115" s="707"/>
      <c r="G115" s="707"/>
      <c r="H115" s="707"/>
      <c r="I115" s="707"/>
      <c r="J115" s="707"/>
      <c r="K115" s="707"/>
      <c r="L115" s="707"/>
      <c r="M115" s="685">
        <f>'Raw emissions'!M62</f>
        <v>3.3998425834718571E-2</v>
      </c>
      <c r="N115" s="702">
        <f>'Raw emissions'!N62</f>
        <v>8.8221556268551805E-3</v>
      </c>
      <c r="O115" s="707">
        <f t="shared" ref="O115:V115" si="248">N115</f>
        <v>8.8221556268551805E-3</v>
      </c>
      <c r="P115" s="707">
        <f t="shared" si="248"/>
        <v>8.8221556268551805E-3</v>
      </c>
      <c r="Q115" s="707">
        <f t="shared" si="248"/>
        <v>8.8221556268551805E-3</v>
      </c>
      <c r="R115" s="707">
        <f t="shared" si="248"/>
        <v>8.8221556268551805E-3</v>
      </c>
      <c r="S115" s="707">
        <f t="shared" si="248"/>
        <v>8.8221556268551805E-3</v>
      </c>
      <c r="T115" s="707">
        <f t="shared" si="248"/>
        <v>8.8221556268551805E-3</v>
      </c>
      <c r="U115" s="707">
        <f t="shared" si="248"/>
        <v>8.8221556268551805E-3</v>
      </c>
      <c r="V115" s="707">
        <f t="shared" si="248"/>
        <v>8.8221556268551805E-3</v>
      </c>
      <c r="W115" s="685">
        <f>'Raw emissions'!W62</f>
        <v>2.7030404015916873E-3</v>
      </c>
      <c r="X115" s="702">
        <f>'Raw emissions'!X62</f>
        <v>6.0909108490961816E-2</v>
      </c>
      <c r="Y115" s="707">
        <f t="shared" ref="Y115:AF115" si="249">X115</f>
        <v>6.0909108490961816E-2</v>
      </c>
      <c r="Z115" s="707">
        <f t="shared" si="249"/>
        <v>6.0909108490961816E-2</v>
      </c>
      <c r="AA115" s="707">
        <f t="shared" si="249"/>
        <v>6.0909108490961816E-2</v>
      </c>
      <c r="AB115" s="707">
        <f t="shared" si="249"/>
        <v>6.0909108490961816E-2</v>
      </c>
      <c r="AC115" s="707">
        <f t="shared" si="249"/>
        <v>6.0909108490961816E-2</v>
      </c>
      <c r="AD115" s="707">
        <f t="shared" si="249"/>
        <v>6.0909108490961816E-2</v>
      </c>
      <c r="AE115" s="707">
        <f t="shared" si="249"/>
        <v>6.0909108490961816E-2</v>
      </c>
      <c r="AF115" s="707">
        <f t="shared" si="249"/>
        <v>6.0909108490961816E-2</v>
      </c>
      <c r="AG115" s="685">
        <f>'Raw emissions'!AG62</f>
        <v>1.6842297105814433E-2</v>
      </c>
      <c r="AH115" s="702">
        <f>'Raw emissions'!AH62</f>
        <v>7.1396694252908992E-3</v>
      </c>
      <c r="AI115" s="707">
        <f t="shared" ref="AI115:AP115" si="250">AH115</f>
        <v>7.1396694252908992E-3</v>
      </c>
      <c r="AJ115" s="707">
        <f t="shared" si="250"/>
        <v>7.1396694252908992E-3</v>
      </c>
      <c r="AK115" s="707">
        <f t="shared" si="250"/>
        <v>7.1396694252908992E-3</v>
      </c>
      <c r="AL115" s="707">
        <f t="shared" si="250"/>
        <v>7.1396694252908992E-3</v>
      </c>
      <c r="AM115" s="707">
        <f t="shared" si="250"/>
        <v>7.1396694252908992E-3</v>
      </c>
      <c r="AN115" s="707">
        <f t="shared" si="250"/>
        <v>7.1396694252908992E-3</v>
      </c>
      <c r="AO115" s="707">
        <f t="shared" si="250"/>
        <v>7.1396694252908992E-3</v>
      </c>
      <c r="AP115" s="707">
        <f t="shared" si="250"/>
        <v>7.1396694252908992E-3</v>
      </c>
      <c r="AQ115" s="685">
        <f>'Raw emissions'!AQ62</f>
        <v>0</v>
      </c>
      <c r="AR115" s="702">
        <f>'Raw emissions'!AR62</f>
        <v>0</v>
      </c>
      <c r="AS115" s="707">
        <f t="shared" ref="AS115:AZ115" si="251">AR115</f>
        <v>0</v>
      </c>
      <c r="AT115" s="707">
        <f t="shared" si="251"/>
        <v>0</v>
      </c>
      <c r="AU115" s="707">
        <f t="shared" si="251"/>
        <v>0</v>
      </c>
      <c r="AV115" s="707">
        <f t="shared" si="251"/>
        <v>0</v>
      </c>
      <c r="AW115" s="707">
        <f t="shared" si="251"/>
        <v>0</v>
      </c>
      <c r="AX115" s="707">
        <f t="shared" si="251"/>
        <v>0</v>
      </c>
      <c r="AY115" s="707">
        <f t="shared" si="251"/>
        <v>0</v>
      </c>
      <c r="AZ115" s="707">
        <f t="shared" si="251"/>
        <v>0</v>
      </c>
      <c r="BA115" s="685">
        <f>'Raw emissions'!BA62</f>
        <v>0</v>
      </c>
      <c r="BB115" s="703">
        <f>'Raw emissions'!BB62</f>
        <v>0</v>
      </c>
      <c r="BC115" s="709">
        <f t="shared" ref="BC115:BJ115" si="252">BB115</f>
        <v>0</v>
      </c>
      <c r="BD115" s="709">
        <f t="shared" si="252"/>
        <v>0</v>
      </c>
      <c r="BE115" s="709">
        <f t="shared" si="252"/>
        <v>0</v>
      </c>
      <c r="BF115" s="709">
        <f t="shared" si="252"/>
        <v>0</v>
      </c>
      <c r="BG115" s="709">
        <f t="shared" si="252"/>
        <v>0</v>
      </c>
      <c r="BH115" s="709">
        <f t="shared" si="252"/>
        <v>0</v>
      </c>
      <c r="BI115" s="709">
        <f t="shared" si="252"/>
        <v>0</v>
      </c>
      <c r="BJ115" s="709">
        <f t="shared" si="252"/>
        <v>0</v>
      </c>
      <c r="BK115" s="685">
        <f>'Raw emissions'!BK62</f>
        <v>0</v>
      </c>
      <c r="BL115" s="703">
        <f>'Raw emissions'!BL62</f>
        <v>0</v>
      </c>
      <c r="BM115" s="709">
        <f t="shared" ref="BM115:BT115" si="253">BL115</f>
        <v>0</v>
      </c>
      <c r="BN115" s="709">
        <f t="shared" si="253"/>
        <v>0</v>
      </c>
      <c r="BO115" s="709">
        <f t="shared" si="253"/>
        <v>0</v>
      </c>
      <c r="BP115" s="709">
        <f t="shared" si="253"/>
        <v>0</v>
      </c>
      <c r="BQ115" s="709">
        <f t="shared" si="253"/>
        <v>0</v>
      </c>
      <c r="BR115" s="709">
        <f t="shared" si="253"/>
        <v>0</v>
      </c>
      <c r="BS115" s="709">
        <f t="shared" si="253"/>
        <v>0</v>
      </c>
      <c r="BT115" s="709">
        <f t="shared" si="253"/>
        <v>0</v>
      </c>
      <c r="BU115" s="685">
        <f>'Raw emissions'!BU62</f>
        <v>0</v>
      </c>
      <c r="BV115" s="703">
        <f>'Raw emissions'!BV62</f>
        <v>0</v>
      </c>
      <c r="BW115" s="703">
        <f>(1-'Tier3Phase-in'!$J$20)*BV115</f>
        <v>0</v>
      </c>
      <c r="BX115" s="685">
        <f>'Raw emissions'!BV62</f>
        <v>0</v>
      </c>
      <c r="BY115" s="703">
        <f>'Raw emissions'!BW62</f>
        <v>0</v>
      </c>
      <c r="BZ115" s="685">
        <f>'Raw emissions'!BX62</f>
        <v>0</v>
      </c>
      <c r="CA115" s="703">
        <f>'Raw emissions'!BY62</f>
        <v>0</v>
      </c>
    </row>
    <row r="116" spans="1:91" s="684" customFormat="1" x14ac:dyDescent="0.2">
      <c r="A116" s="684" t="str">
        <f>Technologies!C211</f>
        <v>TSDSL10</v>
      </c>
      <c r="B116" s="684" t="str">
        <f>Technologies!D211</f>
        <v>Water Shipping, Diesel,2010</v>
      </c>
      <c r="C116" s="685">
        <f>'Raw emissions'!D62</f>
        <v>1.279773520969089</v>
      </c>
      <c r="D116" s="702">
        <f>'Raw emissions'!D62</f>
        <v>1.279773520969089</v>
      </c>
      <c r="E116" s="707"/>
      <c r="F116" s="707"/>
      <c r="G116" s="707"/>
      <c r="H116" s="707"/>
      <c r="I116" s="707"/>
      <c r="J116" s="707"/>
      <c r="K116" s="707"/>
      <c r="L116" s="707"/>
      <c r="M116" s="685">
        <f>'Raw emissions'!J62</f>
        <v>3.6954810689911494E-2</v>
      </c>
      <c r="N116" s="702">
        <f>'Raw emissions'!N62</f>
        <v>8.8221556268551805E-3</v>
      </c>
      <c r="O116" s="707">
        <f t="shared" ref="O116:V116" si="254">N116</f>
        <v>8.8221556268551805E-3</v>
      </c>
      <c r="P116" s="707">
        <f t="shared" si="254"/>
        <v>8.8221556268551805E-3</v>
      </c>
      <c r="Q116" s="707">
        <f t="shared" si="254"/>
        <v>8.8221556268551805E-3</v>
      </c>
      <c r="R116" s="707">
        <f t="shared" si="254"/>
        <v>8.8221556268551805E-3</v>
      </c>
      <c r="S116" s="707">
        <f t="shared" si="254"/>
        <v>8.8221556268551805E-3</v>
      </c>
      <c r="T116" s="707">
        <f t="shared" si="254"/>
        <v>8.8221556268551805E-3</v>
      </c>
      <c r="U116" s="707">
        <f t="shared" si="254"/>
        <v>8.8221556268551805E-3</v>
      </c>
      <c r="V116" s="707">
        <f t="shared" si="254"/>
        <v>8.8221556268551805E-3</v>
      </c>
      <c r="W116" s="685">
        <f>'Raw emissions'!M62</f>
        <v>3.3998425834718571E-2</v>
      </c>
      <c r="X116" s="702">
        <f>'Raw emissions'!X62</f>
        <v>6.0909108490961816E-2</v>
      </c>
      <c r="Y116" s="707">
        <f t="shared" ref="Y116:AF116" si="255">X116</f>
        <v>6.0909108490961816E-2</v>
      </c>
      <c r="Z116" s="707">
        <f t="shared" si="255"/>
        <v>6.0909108490961816E-2</v>
      </c>
      <c r="AA116" s="707">
        <f t="shared" si="255"/>
        <v>6.0909108490961816E-2</v>
      </c>
      <c r="AB116" s="707">
        <f t="shared" si="255"/>
        <v>6.0909108490961816E-2</v>
      </c>
      <c r="AC116" s="707">
        <f t="shared" si="255"/>
        <v>6.0909108490961816E-2</v>
      </c>
      <c r="AD116" s="707">
        <f t="shared" si="255"/>
        <v>6.0909108490961816E-2</v>
      </c>
      <c r="AE116" s="707">
        <f t="shared" si="255"/>
        <v>6.0909108490961816E-2</v>
      </c>
      <c r="AF116" s="707">
        <f t="shared" si="255"/>
        <v>6.0909108490961816E-2</v>
      </c>
      <c r="AG116" s="685">
        <f>'Raw emissions'!P62</f>
        <v>0.25015564159324705</v>
      </c>
      <c r="AH116" s="702">
        <f>'Raw emissions'!AH62</f>
        <v>7.1396694252908992E-3</v>
      </c>
      <c r="AI116" s="707">
        <f t="shared" ref="AI116:AP116" si="256">AH116</f>
        <v>7.1396694252908992E-3</v>
      </c>
      <c r="AJ116" s="707">
        <f t="shared" si="256"/>
        <v>7.1396694252908992E-3</v>
      </c>
      <c r="AK116" s="707">
        <f t="shared" si="256"/>
        <v>7.1396694252908992E-3</v>
      </c>
      <c r="AL116" s="707">
        <f t="shared" si="256"/>
        <v>7.1396694252908992E-3</v>
      </c>
      <c r="AM116" s="707">
        <f t="shared" si="256"/>
        <v>7.1396694252908992E-3</v>
      </c>
      <c r="AN116" s="707">
        <f t="shared" si="256"/>
        <v>7.1396694252908992E-3</v>
      </c>
      <c r="AO116" s="707">
        <f t="shared" si="256"/>
        <v>7.1396694252908992E-3</v>
      </c>
      <c r="AP116" s="707">
        <f t="shared" si="256"/>
        <v>7.1396694252908992E-3</v>
      </c>
      <c r="AQ116" s="685">
        <f>'Raw emissions'!Y62</f>
        <v>5.2949610803903951E-2</v>
      </c>
      <c r="AR116" s="702">
        <f>'Raw emissions'!AR62</f>
        <v>0</v>
      </c>
      <c r="AS116" s="707">
        <f t="shared" ref="AS116:AZ116" si="257">AR116</f>
        <v>0</v>
      </c>
      <c r="AT116" s="707">
        <f t="shared" si="257"/>
        <v>0</v>
      </c>
      <c r="AU116" s="707">
        <f t="shared" si="257"/>
        <v>0</v>
      </c>
      <c r="AV116" s="707">
        <f t="shared" si="257"/>
        <v>0</v>
      </c>
      <c r="AW116" s="707">
        <f t="shared" si="257"/>
        <v>0</v>
      </c>
      <c r="AX116" s="707">
        <f t="shared" si="257"/>
        <v>0</v>
      </c>
      <c r="AY116" s="707">
        <f t="shared" si="257"/>
        <v>0</v>
      </c>
      <c r="AZ116" s="707">
        <f t="shared" si="257"/>
        <v>0</v>
      </c>
      <c r="BA116" s="685">
        <f>'Raw emissions'!AK62</f>
        <v>1.7339197175706471E-2</v>
      </c>
      <c r="BB116" s="703">
        <f>'Raw emissions'!BB62</f>
        <v>0</v>
      </c>
      <c r="BC116" s="709">
        <f t="shared" ref="BC116:BJ116" si="258">BB116</f>
        <v>0</v>
      </c>
      <c r="BD116" s="709">
        <f t="shared" si="258"/>
        <v>0</v>
      </c>
      <c r="BE116" s="709">
        <f t="shared" si="258"/>
        <v>0</v>
      </c>
      <c r="BF116" s="709">
        <f t="shared" si="258"/>
        <v>0</v>
      </c>
      <c r="BG116" s="709">
        <f t="shared" si="258"/>
        <v>0</v>
      </c>
      <c r="BH116" s="709">
        <f t="shared" si="258"/>
        <v>0</v>
      </c>
      <c r="BI116" s="709">
        <f t="shared" si="258"/>
        <v>0</v>
      </c>
      <c r="BJ116" s="709">
        <f t="shared" si="258"/>
        <v>0</v>
      </c>
      <c r="BK116" s="685">
        <f>'Raw emissions'!AG62</f>
        <v>1.6842297105814433E-2</v>
      </c>
      <c r="BL116" s="703">
        <f>'Raw emissions'!BL62</f>
        <v>0</v>
      </c>
      <c r="BM116" s="709">
        <f t="shared" ref="BM116:BT116" si="259">BL116</f>
        <v>0</v>
      </c>
      <c r="BN116" s="709">
        <f t="shared" si="259"/>
        <v>0</v>
      </c>
      <c r="BO116" s="709">
        <f t="shared" si="259"/>
        <v>0</v>
      </c>
      <c r="BP116" s="709">
        <f t="shared" si="259"/>
        <v>0</v>
      </c>
      <c r="BQ116" s="709">
        <f t="shared" si="259"/>
        <v>0</v>
      </c>
      <c r="BR116" s="709">
        <f t="shared" si="259"/>
        <v>0</v>
      </c>
      <c r="BS116" s="709">
        <f t="shared" si="259"/>
        <v>0</v>
      </c>
      <c r="BT116" s="709">
        <f t="shared" si="259"/>
        <v>0</v>
      </c>
      <c r="BU116" s="685">
        <f>'Raw emissions'!G62</f>
        <v>0.40423070386530668</v>
      </c>
      <c r="BV116" s="703">
        <f>'Raw emissions'!BV62</f>
        <v>0</v>
      </c>
      <c r="BW116" s="703">
        <f>(1-'Tier3Phase-in'!$J$20)*BV116</f>
        <v>0</v>
      </c>
      <c r="BX116" s="685">
        <f>'Raw emissions'!V62</f>
        <v>2.7030404015916873E-3</v>
      </c>
      <c r="BY116" s="703">
        <f>'Raw emissions'!BW62</f>
        <v>0</v>
      </c>
      <c r="BZ116" s="685">
        <f>'Raw emissions'!S62</f>
        <v>8.6497292850933982E-4</v>
      </c>
      <c r="CA116" s="703">
        <f>'Raw emissions'!BY62</f>
        <v>0</v>
      </c>
    </row>
    <row r="117" spans="1:91" s="684" customFormat="1" x14ac:dyDescent="0.2">
      <c r="A117" s="684" t="str">
        <f>Technologies!C212</f>
        <v>TSDSLFI15</v>
      </c>
      <c r="B117" s="684" t="str">
        <f>Technologies!D212</f>
        <v>Water Shipping, Diesel Fuel Inj, 2015</v>
      </c>
      <c r="C117" s="685">
        <f>'Raw emissions'!E62</f>
        <v>0.27100194505935099</v>
      </c>
      <c r="D117" s="702">
        <f>'Raw emissions'!D62</f>
        <v>1.279773520969089</v>
      </c>
      <c r="E117" s="707"/>
      <c r="F117" s="707"/>
      <c r="G117" s="707"/>
      <c r="H117" s="707"/>
      <c r="I117" s="707"/>
      <c r="J117" s="707"/>
      <c r="K117" s="707"/>
      <c r="L117" s="707"/>
      <c r="M117" s="685">
        <f>'Raw emissions'!J62</f>
        <v>3.6954810689911494E-2</v>
      </c>
      <c r="N117" s="702">
        <f>'Raw emissions'!N62</f>
        <v>8.8221556268551805E-3</v>
      </c>
      <c r="O117" s="707">
        <f t="shared" ref="O117:V117" si="260">N117</f>
        <v>8.8221556268551805E-3</v>
      </c>
      <c r="P117" s="707">
        <f t="shared" si="260"/>
        <v>8.8221556268551805E-3</v>
      </c>
      <c r="Q117" s="707">
        <f t="shared" si="260"/>
        <v>8.8221556268551805E-3</v>
      </c>
      <c r="R117" s="707">
        <f t="shared" si="260"/>
        <v>8.8221556268551805E-3</v>
      </c>
      <c r="S117" s="707">
        <f t="shared" si="260"/>
        <v>8.8221556268551805E-3</v>
      </c>
      <c r="T117" s="707">
        <f t="shared" si="260"/>
        <v>8.8221556268551805E-3</v>
      </c>
      <c r="U117" s="707">
        <f t="shared" si="260"/>
        <v>8.8221556268551805E-3</v>
      </c>
      <c r="V117" s="707">
        <f t="shared" si="260"/>
        <v>8.8221556268551805E-3</v>
      </c>
      <c r="W117" s="685">
        <f>'Raw emissions'!M62</f>
        <v>3.3998425834718571E-2</v>
      </c>
      <c r="X117" s="702">
        <f>'Raw emissions'!X62</f>
        <v>6.0909108490961816E-2</v>
      </c>
      <c r="Y117" s="707">
        <f t="shared" ref="Y117:AF117" si="261">X117</f>
        <v>6.0909108490961816E-2</v>
      </c>
      <c r="Z117" s="707">
        <f t="shared" si="261"/>
        <v>6.0909108490961816E-2</v>
      </c>
      <c r="AA117" s="707">
        <f t="shared" si="261"/>
        <v>6.0909108490961816E-2</v>
      </c>
      <c r="AB117" s="707">
        <f t="shared" si="261"/>
        <v>6.0909108490961816E-2</v>
      </c>
      <c r="AC117" s="707">
        <f t="shared" si="261"/>
        <v>6.0909108490961816E-2</v>
      </c>
      <c r="AD117" s="707">
        <f t="shared" si="261"/>
        <v>6.0909108490961816E-2</v>
      </c>
      <c r="AE117" s="707">
        <f t="shared" si="261"/>
        <v>6.0909108490961816E-2</v>
      </c>
      <c r="AF117" s="707">
        <f t="shared" si="261"/>
        <v>6.0909108490961816E-2</v>
      </c>
      <c r="AG117" s="685">
        <f>'Raw emissions'!P62</f>
        <v>0.25015564159324705</v>
      </c>
      <c r="AH117" s="702">
        <f>'Raw emissions'!AH62</f>
        <v>7.1396694252908992E-3</v>
      </c>
      <c r="AI117" s="707">
        <f t="shared" ref="AI117:AP117" si="262">AH117</f>
        <v>7.1396694252908992E-3</v>
      </c>
      <c r="AJ117" s="707">
        <f t="shared" si="262"/>
        <v>7.1396694252908992E-3</v>
      </c>
      <c r="AK117" s="707">
        <f t="shared" si="262"/>
        <v>7.1396694252908992E-3</v>
      </c>
      <c r="AL117" s="707">
        <f t="shared" si="262"/>
        <v>7.1396694252908992E-3</v>
      </c>
      <c r="AM117" s="707">
        <f t="shared" si="262"/>
        <v>7.1396694252908992E-3</v>
      </c>
      <c r="AN117" s="707">
        <f t="shared" si="262"/>
        <v>7.1396694252908992E-3</v>
      </c>
      <c r="AO117" s="707">
        <f t="shared" si="262"/>
        <v>7.1396694252908992E-3</v>
      </c>
      <c r="AP117" s="707">
        <f t="shared" si="262"/>
        <v>7.1396694252908992E-3</v>
      </c>
      <c r="AQ117" s="685">
        <f>'Raw emissions'!Y62</f>
        <v>5.2949610803903951E-2</v>
      </c>
      <c r="AR117" s="702">
        <f>'Raw emissions'!AR62</f>
        <v>0</v>
      </c>
      <c r="AS117" s="707">
        <f t="shared" ref="AS117:AZ117" si="263">AR117</f>
        <v>0</v>
      </c>
      <c r="AT117" s="707">
        <f t="shared" si="263"/>
        <v>0</v>
      </c>
      <c r="AU117" s="707">
        <f t="shared" si="263"/>
        <v>0</v>
      </c>
      <c r="AV117" s="707">
        <f t="shared" si="263"/>
        <v>0</v>
      </c>
      <c r="AW117" s="707">
        <f t="shared" si="263"/>
        <v>0</v>
      </c>
      <c r="AX117" s="707">
        <f t="shared" si="263"/>
        <v>0</v>
      </c>
      <c r="AY117" s="707">
        <f t="shared" si="263"/>
        <v>0</v>
      </c>
      <c r="AZ117" s="707">
        <f t="shared" si="263"/>
        <v>0</v>
      </c>
      <c r="BA117" s="685">
        <f>'Raw emissions'!AK62</f>
        <v>1.7339197175706471E-2</v>
      </c>
      <c r="BB117" s="703">
        <f>'Raw emissions'!BB62</f>
        <v>0</v>
      </c>
      <c r="BC117" s="709">
        <f t="shared" ref="BC117:BJ117" si="264">BB117</f>
        <v>0</v>
      </c>
      <c r="BD117" s="709">
        <f t="shared" si="264"/>
        <v>0</v>
      </c>
      <c r="BE117" s="709">
        <f t="shared" si="264"/>
        <v>0</v>
      </c>
      <c r="BF117" s="709">
        <f t="shared" si="264"/>
        <v>0</v>
      </c>
      <c r="BG117" s="709">
        <f t="shared" si="264"/>
        <v>0</v>
      </c>
      <c r="BH117" s="709">
        <f t="shared" si="264"/>
        <v>0</v>
      </c>
      <c r="BI117" s="709">
        <f t="shared" si="264"/>
        <v>0</v>
      </c>
      <c r="BJ117" s="709">
        <f t="shared" si="264"/>
        <v>0</v>
      </c>
      <c r="BK117" s="685">
        <f>'Raw emissions'!AG62</f>
        <v>1.6842297105814433E-2</v>
      </c>
      <c r="BL117" s="703">
        <f>'Raw emissions'!BL62</f>
        <v>0</v>
      </c>
      <c r="BM117" s="709">
        <f t="shared" ref="BM117:BT117" si="265">BL117</f>
        <v>0</v>
      </c>
      <c r="BN117" s="709">
        <f t="shared" si="265"/>
        <v>0</v>
      </c>
      <c r="BO117" s="709">
        <f t="shared" si="265"/>
        <v>0</v>
      </c>
      <c r="BP117" s="709">
        <f t="shared" si="265"/>
        <v>0</v>
      </c>
      <c r="BQ117" s="709">
        <f t="shared" si="265"/>
        <v>0</v>
      </c>
      <c r="BR117" s="709">
        <f t="shared" si="265"/>
        <v>0</v>
      </c>
      <c r="BS117" s="709">
        <f t="shared" si="265"/>
        <v>0</v>
      </c>
      <c r="BT117" s="709">
        <f t="shared" si="265"/>
        <v>0</v>
      </c>
      <c r="BU117" s="685">
        <f>'Raw emissions'!G62</f>
        <v>0.40423070386530668</v>
      </c>
      <c r="BV117" s="703">
        <f>'Raw emissions'!BV62</f>
        <v>0</v>
      </c>
      <c r="BW117" s="703">
        <f>(1-'Tier3Phase-in'!$J$20)*BV117</f>
        <v>0</v>
      </c>
      <c r="BX117" s="685">
        <f>'Raw emissions'!V62</f>
        <v>2.7030404015916873E-3</v>
      </c>
      <c r="BY117" s="703">
        <f>'Raw emissions'!BW62</f>
        <v>0</v>
      </c>
      <c r="BZ117" s="685">
        <f>'Raw emissions'!S62</f>
        <v>8.6497292850933982E-4</v>
      </c>
      <c r="CA117" s="703">
        <f>'Raw emissions'!BY62</f>
        <v>0</v>
      </c>
    </row>
    <row r="118" spans="1:91" s="684" customFormat="1" x14ac:dyDescent="0.2">
      <c r="A118" s="684" t="str">
        <f>Technologies!C213</f>
        <v>TSDSLHE15</v>
      </c>
      <c r="B118" s="684" t="str">
        <f>Technologies!D213</f>
        <v>Water Shipping, Diesel, Hybrid Electric, 2015</v>
      </c>
      <c r="C118" s="685">
        <f>'Raw emissions'!E62</f>
        <v>0.27100194505935099</v>
      </c>
      <c r="D118" s="702">
        <f>'Raw emissions'!D62</f>
        <v>1.279773520969089</v>
      </c>
      <c r="E118" s="707"/>
      <c r="F118" s="707"/>
      <c r="G118" s="707"/>
      <c r="H118" s="707"/>
      <c r="I118" s="707"/>
      <c r="J118" s="707"/>
      <c r="K118" s="707"/>
      <c r="L118" s="707"/>
      <c r="M118" s="685">
        <f>'Raw emissions'!J62</f>
        <v>3.6954810689911494E-2</v>
      </c>
      <c r="N118" s="702">
        <f>'Raw emissions'!N62</f>
        <v>8.8221556268551805E-3</v>
      </c>
      <c r="O118" s="707">
        <f t="shared" ref="O118:V118" si="266">N118</f>
        <v>8.8221556268551805E-3</v>
      </c>
      <c r="P118" s="707">
        <f t="shared" si="266"/>
        <v>8.8221556268551805E-3</v>
      </c>
      <c r="Q118" s="707">
        <f t="shared" si="266"/>
        <v>8.8221556268551805E-3</v>
      </c>
      <c r="R118" s="707">
        <f t="shared" si="266"/>
        <v>8.8221556268551805E-3</v>
      </c>
      <c r="S118" s="707">
        <f t="shared" si="266"/>
        <v>8.8221556268551805E-3</v>
      </c>
      <c r="T118" s="707">
        <f t="shared" si="266"/>
        <v>8.8221556268551805E-3</v>
      </c>
      <c r="U118" s="707">
        <f t="shared" si="266"/>
        <v>8.8221556268551805E-3</v>
      </c>
      <c r="V118" s="707">
        <f t="shared" si="266"/>
        <v>8.8221556268551805E-3</v>
      </c>
      <c r="W118" s="685">
        <f>'Raw emissions'!M62</f>
        <v>3.3998425834718571E-2</v>
      </c>
      <c r="X118" s="702">
        <f>'Raw emissions'!X62</f>
        <v>6.0909108490961816E-2</v>
      </c>
      <c r="Y118" s="707">
        <f t="shared" ref="Y118:AF118" si="267">X118</f>
        <v>6.0909108490961816E-2</v>
      </c>
      <c r="Z118" s="707">
        <f t="shared" si="267"/>
        <v>6.0909108490961816E-2</v>
      </c>
      <c r="AA118" s="707">
        <f t="shared" si="267"/>
        <v>6.0909108490961816E-2</v>
      </c>
      <c r="AB118" s="707">
        <f t="shared" si="267"/>
        <v>6.0909108490961816E-2</v>
      </c>
      <c r="AC118" s="707">
        <f t="shared" si="267"/>
        <v>6.0909108490961816E-2</v>
      </c>
      <c r="AD118" s="707">
        <f t="shared" si="267"/>
        <v>6.0909108490961816E-2</v>
      </c>
      <c r="AE118" s="707">
        <f t="shared" si="267"/>
        <v>6.0909108490961816E-2</v>
      </c>
      <c r="AF118" s="707">
        <f t="shared" si="267"/>
        <v>6.0909108490961816E-2</v>
      </c>
      <c r="AG118" s="685">
        <f>'Raw emissions'!P62</f>
        <v>0.25015564159324705</v>
      </c>
      <c r="AH118" s="702">
        <f>'Raw emissions'!AH62</f>
        <v>7.1396694252908992E-3</v>
      </c>
      <c r="AI118" s="707">
        <f t="shared" ref="AI118:AP118" si="268">AH118</f>
        <v>7.1396694252908992E-3</v>
      </c>
      <c r="AJ118" s="707">
        <f t="shared" si="268"/>
        <v>7.1396694252908992E-3</v>
      </c>
      <c r="AK118" s="707">
        <f t="shared" si="268"/>
        <v>7.1396694252908992E-3</v>
      </c>
      <c r="AL118" s="707">
        <f t="shared" si="268"/>
        <v>7.1396694252908992E-3</v>
      </c>
      <c r="AM118" s="707">
        <f t="shared" si="268"/>
        <v>7.1396694252908992E-3</v>
      </c>
      <c r="AN118" s="707">
        <f t="shared" si="268"/>
        <v>7.1396694252908992E-3</v>
      </c>
      <c r="AO118" s="707">
        <f t="shared" si="268"/>
        <v>7.1396694252908992E-3</v>
      </c>
      <c r="AP118" s="707">
        <f t="shared" si="268"/>
        <v>7.1396694252908992E-3</v>
      </c>
      <c r="AQ118" s="685">
        <f>'Raw emissions'!Y62</f>
        <v>5.2949610803903951E-2</v>
      </c>
      <c r="AR118" s="702">
        <f>'Raw emissions'!AR62</f>
        <v>0</v>
      </c>
      <c r="AS118" s="707">
        <f t="shared" ref="AS118:AZ118" si="269">AR118</f>
        <v>0</v>
      </c>
      <c r="AT118" s="707">
        <f t="shared" si="269"/>
        <v>0</v>
      </c>
      <c r="AU118" s="707">
        <f t="shared" si="269"/>
        <v>0</v>
      </c>
      <c r="AV118" s="707">
        <f t="shared" si="269"/>
        <v>0</v>
      </c>
      <c r="AW118" s="707">
        <f t="shared" si="269"/>
        <v>0</v>
      </c>
      <c r="AX118" s="707">
        <f t="shared" si="269"/>
        <v>0</v>
      </c>
      <c r="AY118" s="707">
        <f t="shared" si="269"/>
        <v>0</v>
      </c>
      <c r="AZ118" s="707">
        <f t="shared" si="269"/>
        <v>0</v>
      </c>
      <c r="BA118" s="685">
        <f>'Raw emissions'!AK62</f>
        <v>1.7339197175706471E-2</v>
      </c>
      <c r="BB118" s="703">
        <f>'Raw emissions'!BB62</f>
        <v>0</v>
      </c>
      <c r="BC118" s="709">
        <f t="shared" ref="BC118:BJ118" si="270">BB118</f>
        <v>0</v>
      </c>
      <c r="BD118" s="709">
        <f t="shared" si="270"/>
        <v>0</v>
      </c>
      <c r="BE118" s="709">
        <f t="shared" si="270"/>
        <v>0</v>
      </c>
      <c r="BF118" s="709">
        <f t="shared" si="270"/>
        <v>0</v>
      </c>
      <c r="BG118" s="709">
        <f t="shared" si="270"/>
        <v>0</v>
      </c>
      <c r="BH118" s="709">
        <f t="shared" si="270"/>
        <v>0</v>
      </c>
      <c r="BI118" s="709">
        <f t="shared" si="270"/>
        <v>0</v>
      </c>
      <c r="BJ118" s="709">
        <f t="shared" si="270"/>
        <v>0</v>
      </c>
      <c r="BK118" s="685">
        <f>'Raw emissions'!AG62</f>
        <v>1.6842297105814433E-2</v>
      </c>
      <c r="BL118" s="703">
        <f>'Raw emissions'!BL62</f>
        <v>0</v>
      </c>
      <c r="BM118" s="709">
        <f t="shared" ref="BM118:BT118" si="271">BL118</f>
        <v>0</v>
      </c>
      <c r="BN118" s="709">
        <f t="shared" si="271"/>
        <v>0</v>
      </c>
      <c r="BO118" s="709">
        <f t="shared" si="271"/>
        <v>0</v>
      </c>
      <c r="BP118" s="709">
        <f t="shared" si="271"/>
        <v>0</v>
      </c>
      <c r="BQ118" s="709">
        <f t="shared" si="271"/>
        <v>0</v>
      </c>
      <c r="BR118" s="709">
        <f t="shared" si="271"/>
        <v>0</v>
      </c>
      <c r="BS118" s="709">
        <f t="shared" si="271"/>
        <v>0</v>
      </c>
      <c r="BT118" s="709">
        <f t="shared" si="271"/>
        <v>0</v>
      </c>
      <c r="BU118" s="685">
        <f>'Raw emissions'!G62</f>
        <v>0.40423070386530668</v>
      </c>
      <c r="BV118" s="703">
        <f>'Raw emissions'!BV62</f>
        <v>0</v>
      </c>
      <c r="BW118" s="703">
        <f>(1-'Tier3Phase-in'!$J$20)*BV118</f>
        <v>0</v>
      </c>
      <c r="BX118" s="685">
        <f>'Raw emissions'!V62</f>
        <v>2.7030404015916873E-3</v>
      </c>
      <c r="BY118" s="703">
        <f>'Raw emissions'!BW62</f>
        <v>0</v>
      </c>
      <c r="BZ118" s="685">
        <f>'Raw emissions'!S62</f>
        <v>8.6497292850933982E-4</v>
      </c>
      <c r="CA118" s="703">
        <f>'Raw emissions'!BY62</f>
        <v>0</v>
      </c>
    </row>
    <row r="119" spans="1:91" s="684" customFormat="1" x14ac:dyDescent="0.2">
      <c r="A119" s="684" t="str">
        <f>Technologies!C197</f>
        <v>TRFDSL</v>
      </c>
      <c r="B119" s="684" t="str">
        <f>Technologies!D197</f>
        <v>Rail Freight, Diesel</v>
      </c>
      <c r="C119" s="685"/>
      <c r="D119" s="710"/>
      <c r="F119" s="710"/>
      <c r="G119" s="710"/>
      <c r="H119" s="710"/>
      <c r="I119" s="710"/>
      <c r="J119" s="710"/>
      <c r="K119" s="710"/>
      <c r="L119" s="710"/>
      <c r="M119" s="685"/>
      <c r="N119" s="710"/>
      <c r="P119" s="710"/>
      <c r="Q119" s="710"/>
      <c r="R119" s="710"/>
      <c r="S119" s="710"/>
      <c r="T119" s="710"/>
      <c r="U119" s="710"/>
      <c r="V119" s="710"/>
      <c r="W119" s="685"/>
      <c r="X119" s="710"/>
      <c r="Z119" s="710"/>
      <c r="AA119" s="710"/>
      <c r="AB119" s="710"/>
      <c r="AC119" s="710"/>
      <c r="AD119" s="710"/>
      <c r="AE119" s="710"/>
      <c r="AF119" s="710"/>
      <c r="AG119" s="685"/>
      <c r="AH119" s="710"/>
      <c r="AJ119" s="710"/>
      <c r="AK119" s="710"/>
      <c r="AL119" s="710"/>
      <c r="AM119" s="710"/>
      <c r="AN119" s="710"/>
      <c r="AO119" s="710"/>
      <c r="AP119" s="710"/>
      <c r="AQ119" s="685"/>
      <c r="AR119" s="710"/>
      <c r="AT119" s="710"/>
      <c r="AU119" s="710"/>
      <c r="AV119" s="710"/>
      <c r="AW119" s="710"/>
      <c r="AX119" s="710"/>
      <c r="AY119" s="710"/>
      <c r="AZ119" s="710"/>
      <c r="BA119" s="685"/>
      <c r="BB119" s="710"/>
      <c r="BD119" s="710"/>
      <c r="BE119" s="710"/>
      <c r="BF119" s="710"/>
      <c r="BG119" s="710"/>
      <c r="BH119" s="710"/>
      <c r="BI119" s="710"/>
      <c r="BJ119" s="710"/>
      <c r="BK119" s="685"/>
      <c r="BL119" s="710"/>
      <c r="BN119" s="710"/>
      <c r="BO119" s="710"/>
      <c r="BP119" s="710"/>
      <c r="BQ119" s="710"/>
      <c r="BR119" s="710"/>
      <c r="BS119" s="710"/>
      <c r="BT119" s="710"/>
      <c r="BU119" s="685"/>
      <c r="BV119" s="710"/>
      <c r="BW119" s="710"/>
      <c r="BX119" s="685"/>
      <c r="BY119" s="710"/>
      <c r="BZ119" s="685"/>
      <c r="CA119" s="710"/>
      <c r="CB119" s="684">
        <f>CC119</f>
        <v>7.7053625570417061E-2</v>
      </c>
      <c r="CC119" s="684">
        <f>'Raw emissions'!E68/Freight!H5</f>
        <v>7.7053625570417061E-2</v>
      </c>
      <c r="CD119" s="695">
        <f>CE119</f>
        <v>1.2781640071652697E-3</v>
      </c>
      <c r="CE119" s="695">
        <f>'Raw emissions'!K$68/Freight!$H5</f>
        <v>1.2781640071652697E-3</v>
      </c>
      <c r="CF119" s="684">
        <f>CG119</f>
        <v>1.2398190869503116E-3</v>
      </c>
      <c r="CG119" s="684">
        <f>'Raw emissions'!N$68/Freight!$H5</f>
        <v>1.2398190869503116E-3</v>
      </c>
      <c r="CH119" s="695">
        <f>CI119</f>
        <v>1.9940125410182509E-3</v>
      </c>
      <c r="CI119" s="695">
        <f>'Raw emissions'!Q$68/Freight!$H5</f>
        <v>1.9940125410182509E-3</v>
      </c>
      <c r="CJ119" s="684">
        <f>CK119</f>
        <v>8.1828059738720568E-4</v>
      </c>
      <c r="CK119" s="684">
        <f>'Raw emissions'!Z$68/Freight!$H5</f>
        <v>8.1828059738720568E-4</v>
      </c>
      <c r="CL119" s="684">
        <f>CM119</f>
        <v>2.6036200825956543E-4</v>
      </c>
      <c r="CM119" s="684">
        <f>'Raw emissions'!AC$68/Freight!$H5</f>
        <v>2.6036200825956543E-4</v>
      </c>
    </row>
    <row r="120" spans="1:91" s="684" customFormat="1" x14ac:dyDescent="0.2">
      <c r="A120" s="684" t="str">
        <f>Technologies!C199</f>
        <v>TRF10DSL</v>
      </c>
      <c r="B120" s="684" t="str">
        <f>Technologies!D199</f>
        <v>Rail Freight Diesel, 10% improvement</v>
      </c>
      <c r="C120" s="685"/>
      <c r="D120" s="710"/>
      <c r="F120" s="710"/>
      <c r="G120" s="710"/>
      <c r="H120" s="710"/>
      <c r="I120" s="710"/>
      <c r="J120" s="710"/>
      <c r="K120" s="710"/>
      <c r="L120" s="710"/>
      <c r="M120" s="685"/>
      <c r="N120" s="710"/>
      <c r="P120" s="710"/>
      <c r="Q120" s="710"/>
      <c r="R120" s="710"/>
      <c r="S120" s="710"/>
      <c r="T120" s="710"/>
      <c r="U120" s="710"/>
      <c r="V120" s="710"/>
      <c r="W120" s="685"/>
      <c r="X120" s="710"/>
      <c r="Z120" s="710"/>
      <c r="AA120" s="710"/>
      <c r="AB120" s="710"/>
      <c r="AC120" s="710"/>
      <c r="AD120" s="710"/>
      <c r="AE120" s="710"/>
      <c r="AF120" s="710"/>
      <c r="AG120" s="685"/>
      <c r="AH120" s="710"/>
      <c r="AJ120" s="710"/>
      <c r="AK120" s="710"/>
      <c r="AL120" s="710"/>
      <c r="AM120" s="710"/>
      <c r="AN120" s="710"/>
      <c r="AO120" s="710"/>
      <c r="AP120" s="710"/>
      <c r="AQ120" s="685"/>
      <c r="AR120" s="710"/>
      <c r="AT120" s="710"/>
      <c r="AU120" s="710"/>
      <c r="AV120" s="710"/>
      <c r="AW120" s="710"/>
      <c r="AX120" s="710"/>
      <c r="AY120" s="710"/>
      <c r="AZ120" s="710"/>
      <c r="BA120" s="685"/>
      <c r="BB120" s="710"/>
      <c r="BD120" s="710"/>
      <c r="BE120" s="710"/>
      <c r="BF120" s="710"/>
      <c r="BG120" s="710"/>
      <c r="BH120" s="710"/>
      <c r="BI120" s="710"/>
      <c r="BJ120" s="710"/>
      <c r="BK120" s="685"/>
      <c r="BL120" s="710"/>
      <c r="BN120" s="710"/>
      <c r="BO120" s="710"/>
      <c r="BP120" s="710"/>
      <c r="BQ120" s="710"/>
      <c r="BR120" s="710"/>
      <c r="BS120" s="710"/>
      <c r="BT120" s="710"/>
      <c r="BU120" s="685"/>
      <c r="BV120" s="710"/>
      <c r="BW120" s="710"/>
      <c r="BX120" s="685"/>
      <c r="BY120" s="710"/>
      <c r="BZ120" s="685"/>
      <c r="CA120" s="710"/>
      <c r="CB120" s="684">
        <f>CC120</f>
        <v>6.9278403770661232E-2</v>
      </c>
      <c r="CC120" s="684">
        <f>'Raw emissions'!E68/Freight!H8</f>
        <v>6.9278403770661232E-2</v>
      </c>
      <c r="CD120" s="695">
        <f>CE120</f>
        <v>1.1491887827211895E-3</v>
      </c>
      <c r="CE120" s="695">
        <f>'Raw emissions'!K$68/Freight!$H8</f>
        <v>1.1491887827211895E-3</v>
      </c>
      <c r="CF120" s="684">
        <f>CG120</f>
        <v>1.1147131192395538E-3</v>
      </c>
      <c r="CG120" s="684">
        <f>'Raw emissions'!N$68/Freight!$H8</f>
        <v>1.1147131192395538E-3</v>
      </c>
      <c r="CH120" s="695">
        <f>CI120</f>
        <v>1.7928034523720189E-3</v>
      </c>
      <c r="CI120" s="695">
        <f>'Raw emissions'!Q$68/Freight!$H8</f>
        <v>1.7928034523720189E-3</v>
      </c>
      <c r="CJ120" s="684">
        <f>CK120</f>
        <v>7.3571065869810549E-4</v>
      </c>
      <c r="CK120" s="684">
        <f>'Raw emissions'!Z$68/Freight!$H8</f>
        <v>7.3571065869810549E-4</v>
      </c>
      <c r="CL120" s="684">
        <f>CM120</f>
        <v>2.3408975504030628E-4</v>
      </c>
      <c r="CM120" s="684">
        <f>'Raw emissions'!AC$68/Freight!$H8</f>
        <v>2.3408975504030628E-4</v>
      </c>
    </row>
    <row r="121" spans="1:91" s="684" customFormat="1" x14ac:dyDescent="0.2">
      <c r="A121" s="684" t="str">
        <f>Technologies!C201</f>
        <v>TRF25DSL</v>
      </c>
      <c r="B121" s="684" t="str">
        <f>Technologies!D201</f>
        <v>Rail Freight Dieseil, 25% improvement</v>
      </c>
      <c r="C121" s="685"/>
      <c r="D121" s="710"/>
      <c r="F121" s="710"/>
      <c r="G121" s="710"/>
      <c r="H121" s="710"/>
      <c r="I121" s="710"/>
      <c r="J121" s="710"/>
      <c r="K121" s="710"/>
      <c r="L121" s="710"/>
      <c r="M121" s="685"/>
      <c r="N121" s="710"/>
      <c r="P121" s="710"/>
      <c r="Q121" s="710"/>
      <c r="R121" s="710"/>
      <c r="S121" s="710"/>
      <c r="T121" s="710"/>
      <c r="U121" s="710"/>
      <c r="V121" s="710"/>
      <c r="W121" s="685"/>
      <c r="X121" s="710"/>
      <c r="Z121" s="710"/>
      <c r="AA121" s="710"/>
      <c r="AB121" s="710"/>
      <c r="AC121" s="710"/>
      <c r="AD121" s="710"/>
      <c r="AE121" s="710"/>
      <c r="AF121" s="710"/>
      <c r="AG121" s="685"/>
      <c r="AH121" s="710"/>
      <c r="AJ121" s="710"/>
      <c r="AK121" s="710"/>
      <c r="AL121" s="710"/>
      <c r="AM121" s="710"/>
      <c r="AN121" s="710"/>
      <c r="AO121" s="710"/>
      <c r="AP121" s="710"/>
      <c r="AQ121" s="685"/>
      <c r="AR121" s="710"/>
      <c r="AT121" s="710"/>
      <c r="AU121" s="710"/>
      <c r="AV121" s="710"/>
      <c r="AW121" s="710"/>
      <c r="AX121" s="710"/>
      <c r="AY121" s="710"/>
      <c r="AZ121" s="710"/>
      <c r="BA121" s="685"/>
      <c r="BB121" s="710"/>
      <c r="BD121" s="710"/>
      <c r="BE121" s="710"/>
      <c r="BF121" s="710"/>
      <c r="BG121" s="710"/>
      <c r="BH121" s="710"/>
      <c r="BI121" s="710"/>
      <c r="BJ121" s="710"/>
      <c r="BK121" s="685"/>
      <c r="BL121" s="710"/>
      <c r="BN121" s="710"/>
      <c r="BO121" s="710"/>
      <c r="BP121" s="710"/>
      <c r="BQ121" s="710"/>
      <c r="BR121" s="710"/>
      <c r="BS121" s="710"/>
      <c r="BT121" s="710"/>
      <c r="BU121" s="685"/>
      <c r="BV121" s="710"/>
      <c r="BW121" s="710"/>
      <c r="BX121" s="685"/>
      <c r="BY121" s="710"/>
      <c r="BZ121" s="685"/>
      <c r="CA121" s="710"/>
      <c r="CB121" s="684">
        <f>CC121</f>
        <v>5.7732003142217693E-2</v>
      </c>
      <c r="CC121" s="684">
        <f>'Raw emissions'!E68/Freight!H6</f>
        <v>5.7732003142217693E-2</v>
      </c>
      <c r="CD121" s="695">
        <f>CE121</f>
        <v>9.5765731893432448E-4</v>
      </c>
      <c r="CE121" s="695">
        <f>'Raw emissions'!K$68/Freight!$H6</f>
        <v>9.5765731893432448E-4</v>
      </c>
      <c r="CF121" s="684">
        <f>CG121</f>
        <v>9.2892759936629473E-4</v>
      </c>
      <c r="CG121" s="684">
        <f>'Raw emissions'!N$68/Freight!$H6</f>
        <v>9.2892759936629473E-4</v>
      </c>
      <c r="CH121" s="695">
        <f>CI121</f>
        <v>1.4940028769766822E-3</v>
      </c>
      <c r="CI121" s="695">
        <f>'Raw emissions'!Q$68/Freight!$H6</f>
        <v>1.4940028769766822E-3</v>
      </c>
      <c r="CJ121" s="684">
        <f>CK121</f>
        <v>6.1309221558175457E-4</v>
      </c>
      <c r="CK121" s="684">
        <f>'Raw emissions'!Z$68/Freight!$H6</f>
        <v>6.1309221558175457E-4</v>
      </c>
      <c r="CL121" s="684">
        <f>CM121</f>
        <v>1.950747958669219E-4</v>
      </c>
      <c r="CM121" s="684">
        <f>'Raw emissions'!AC$68/Freight!$H6</f>
        <v>1.950747958669219E-4</v>
      </c>
    </row>
    <row r="122" spans="1:91" s="684" customFormat="1" x14ac:dyDescent="0.2">
      <c r="A122" s="684" t="str">
        <f>Technologies!C203</f>
        <v>TRFAPU</v>
      </c>
      <c r="B122" s="684" t="str">
        <f>Technologies!D203</f>
        <v>Rail Freight Diesel with APU</v>
      </c>
      <c r="C122" s="685"/>
      <c r="D122" s="710"/>
      <c r="F122" s="710"/>
      <c r="G122" s="710"/>
      <c r="H122" s="710"/>
      <c r="I122" s="710"/>
      <c r="J122" s="710"/>
      <c r="K122" s="710"/>
      <c r="L122" s="710"/>
      <c r="M122" s="685"/>
      <c r="N122" s="710"/>
      <c r="P122" s="710"/>
      <c r="Q122" s="710"/>
      <c r="R122" s="710"/>
      <c r="S122" s="710"/>
      <c r="T122" s="710"/>
      <c r="U122" s="710"/>
      <c r="V122" s="710"/>
      <c r="W122" s="685"/>
      <c r="X122" s="710"/>
      <c r="Z122" s="710"/>
      <c r="AA122" s="710"/>
      <c r="AB122" s="710"/>
      <c r="AC122" s="710"/>
      <c r="AD122" s="710"/>
      <c r="AE122" s="710"/>
      <c r="AF122" s="710"/>
      <c r="AG122" s="685"/>
      <c r="AH122" s="710"/>
      <c r="AJ122" s="710"/>
      <c r="AK122" s="710"/>
      <c r="AL122" s="710"/>
      <c r="AM122" s="710"/>
      <c r="AN122" s="710"/>
      <c r="AO122" s="710"/>
      <c r="AP122" s="710"/>
      <c r="AQ122" s="685"/>
      <c r="AR122" s="710"/>
      <c r="AT122" s="710"/>
      <c r="AU122" s="710"/>
      <c r="AV122" s="710"/>
      <c r="AW122" s="710"/>
      <c r="AX122" s="710"/>
      <c r="AY122" s="710"/>
      <c r="AZ122" s="710"/>
      <c r="BA122" s="685"/>
      <c r="BB122" s="710"/>
      <c r="BD122" s="710"/>
      <c r="BE122" s="710"/>
      <c r="BF122" s="710"/>
      <c r="BG122" s="710"/>
      <c r="BH122" s="710"/>
      <c r="BI122" s="710"/>
      <c r="BJ122" s="710"/>
      <c r="BK122" s="685"/>
      <c r="BL122" s="710"/>
      <c r="BN122" s="710"/>
      <c r="BO122" s="710"/>
      <c r="BP122" s="710"/>
      <c r="BQ122" s="710"/>
      <c r="BR122" s="710"/>
      <c r="BS122" s="710"/>
      <c r="BT122" s="710"/>
      <c r="BU122" s="685"/>
      <c r="BV122" s="710"/>
      <c r="BW122" s="710"/>
      <c r="BX122" s="685"/>
      <c r="BY122" s="710"/>
      <c r="BZ122" s="685"/>
      <c r="CA122" s="710"/>
      <c r="CB122" s="684">
        <f>CC122</f>
        <v>6.6753590833241574E-2</v>
      </c>
      <c r="CC122" s="684">
        <f>'Raw emissions'!E68/Freight!H10</f>
        <v>6.6753590833241574E-2</v>
      </c>
      <c r="CD122" s="695">
        <f>CE122</f>
        <v>1.1073072359731283E-3</v>
      </c>
      <c r="CE122" s="695">
        <f>'Raw emissions'!K$68/Freight!$H10</f>
        <v>1.1073072359731283E-3</v>
      </c>
      <c r="CF122" s="684">
        <f>CG122</f>
        <v>1.0740880188939343E-3</v>
      </c>
      <c r="CG122" s="684">
        <f>'Raw emissions'!N$68/Freight!$H10</f>
        <v>1.0740880188939343E-3</v>
      </c>
      <c r="CH122" s="695">
        <f>CI122</f>
        <v>1.7274657265522384E-3</v>
      </c>
      <c r="CI122" s="695">
        <f>'Raw emissions'!Q$68/Freight!$H10</f>
        <v>1.7274657265522384E-3</v>
      </c>
      <c r="CJ122" s="684">
        <f>CK122</f>
        <v>7.0889809246999663E-4</v>
      </c>
      <c r="CK122" s="684">
        <f>'Raw emissions'!Z$68/Freight!$H10</f>
        <v>7.0889809246999663E-4</v>
      </c>
      <c r="CL122" s="684">
        <f>CM122</f>
        <v>2.2555848396772619E-4</v>
      </c>
      <c r="CM122" s="684">
        <f>'Raw emissions'!AC$68/Freight!$H10</f>
        <v>2.2555848396772619E-4</v>
      </c>
    </row>
    <row r="123" spans="1:91" s="684" customFormat="1" x14ac:dyDescent="0.2">
      <c r="A123" s="684" t="str">
        <f>Technologies!C204</f>
        <v>TRFB20</v>
      </c>
      <c r="B123" s="684" t="str">
        <f>Technologies!D204</f>
        <v>Rail Freight, Biodiesel</v>
      </c>
      <c r="C123" s="685"/>
      <c r="D123" s="710"/>
      <c r="F123" s="710"/>
      <c r="G123" s="710"/>
      <c r="H123" s="710"/>
      <c r="I123" s="710"/>
      <c r="J123" s="710"/>
      <c r="K123" s="710"/>
      <c r="L123" s="710"/>
      <c r="M123" s="685"/>
      <c r="N123" s="710"/>
      <c r="P123" s="710"/>
      <c r="Q123" s="710"/>
      <c r="R123" s="710"/>
      <c r="S123" s="710"/>
      <c r="T123" s="710"/>
      <c r="U123" s="710"/>
      <c r="V123" s="710"/>
      <c r="W123" s="685"/>
      <c r="X123" s="710"/>
      <c r="Z123" s="710"/>
      <c r="AA123" s="710"/>
      <c r="AB123" s="710"/>
      <c r="AC123" s="710"/>
      <c r="AD123" s="710"/>
      <c r="AE123" s="710"/>
      <c r="AF123" s="710"/>
      <c r="AG123" s="685"/>
      <c r="AH123" s="710"/>
      <c r="AJ123" s="710"/>
      <c r="AK123" s="710"/>
      <c r="AL123" s="710"/>
      <c r="AM123" s="710"/>
      <c r="AN123" s="710"/>
      <c r="AO123" s="710"/>
      <c r="AP123" s="710"/>
      <c r="AQ123" s="685"/>
      <c r="AR123" s="710"/>
      <c r="AT123" s="710"/>
      <c r="AU123" s="710"/>
      <c r="AV123" s="710"/>
      <c r="AW123" s="710"/>
      <c r="AX123" s="710"/>
      <c r="AY123" s="710"/>
      <c r="AZ123" s="710"/>
      <c r="BA123" s="685"/>
      <c r="BB123" s="710"/>
      <c r="BD123" s="710"/>
      <c r="BE123" s="710"/>
      <c r="BF123" s="710"/>
      <c r="BG123" s="710"/>
      <c r="BH123" s="710"/>
      <c r="BI123" s="710"/>
      <c r="BJ123" s="710"/>
      <c r="BK123" s="685"/>
      <c r="BL123" s="710"/>
      <c r="BN123" s="710"/>
      <c r="BO123" s="710"/>
      <c r="BP123" s="710"/>
      <c r="BQ123" s="710"/>
      <c r="BR123" s="710"/>
      <c r="BS123" s="710"/>
      <c r="BT123" s="710"/>
      <c r="BU123" s="685"/>
      <c r="BV123" s="710"/>
      <c r="BW123" s="710"/>
      <c r="BX123" s="685"/>
      <c r="BY123" s="710"/>
      <c r="BZ123" s="685"/>
      <c r="CA123" s="710"/>
      <c r="CB123" s="684">
        <f>CC123</f>
        <v>8.9886906909170047E-2</v>
      </c>
      <c r="CC123" s="684">
        <f>'Raw emissions'!E69/Freight!H11</f>
        <v>8.9886906909170047E-2</v>
      </c>
      <c r="CD123" s="695">
        <f>CE123</f>
        <v>1.4910422225586457E-3</v>
      </c>
      <c r="CE123" s="695">
        <f>'Raw emissions'!K69/Freight!H11</f>
        <v>1.4910422225586457E-3</v>
      </c>
      <c r="CF123" s="684">
        <f>CG123</f>
        <v>1.4463109558818864E-3</v>
      </c>
      <c r="CG123" s="684">
        <f>'Raw emissions'!N69/Freight!H11</f>
        <v>1.4463109558818864E-3</v>
      </c>
      <c r="CH123" s="695">
        <f>CI123</f>
        <v>2.3261153297248409E-3</v>
      </c>
      <c r="CI123" s="695">
        <f>'Raw emissions'!Q69/Freight!H11</f>
        <v>2.3261153297248409E-3</v>
      </c>
      <c r="CJ123" s="684">
        <f>CK123</f>
        <v>9.5456523088204492E-4</v>
      </c>
      <c r="CK123" s="684">
        <f>'Raw emissions'!Z69/Freight!H11</f>
        <v>9.5456523088204492E-4</v>
      </c>
      <c r="CL123" s="684">
        <f>CM123</f>
        <v>3.0372530073519616E-4</v>
      </c>
      <c r="CM123" s="711">
        <f>'Raw emissions'!AC69/Freight!H11</f>
        <v>3.0372530073519616E-4</v>
      </c>
    </row>
    <row r="124" spans="1:91" s="684" customFormat="1" x14ac:dyDescent="0.2">
      <c r="A124" s="684" t="str">
        <f>Technologies!C191</f>
        <v>TPDSLCR</v>
      </c>
      <c r="B124" s="684" t="str">
        <f>Technologies!D191</f>
        <v>Commuter Rail, Diesel</v>
      </c>
      <c r="C124" s="685"/>
      <c r="D124" s="710"/>
      <c r="F124" s="710"/>
      <c r="G124" s="710"/>
      <c r="H124" s="710"/>
      <c r="I124" s="710"/>
      <c r="J124" s="710"/>
      <c r="K124" s="710"/>
      <c r="L124" s="710"/>
      <c r="M124" s="685"/>
      <c r="N124" s="710"/>
      <c r="P124" s="710"/>
      <c r="Q124" s="710"/>
      <c r="R124" s="710"/>
      <c r="S124" s="710"/>
      <c r="T124" s="710"/>
      <c r="U124" s="710"/>
      <c r="V124" s="710"/>
      <c r="W124" s="685"/>
      <c r="X124" s="710"/>
      <c r="Z124" s="710"/>
      <c r="AA124" s="710"/>
      <c r="AB124" s="710"/>
      <c r="AC124" s="710"/>
      <c r="AD124" s="710"/>
      <c r="AE124" s="710"/>
      <c r="AF124" s="710"/>
      <c r="AG124" s="685"/>
      <c r="AH124" s="710"/>
      <c r="AJ124" s="710"/>
      <c r="AK124" s="710"/>
      <c r="AL124" s="710"/>
      <c r="AM124" s="710"/>
      <c r="AN124" s="710"/>
      <c r="AO124" s="710"/>
      <c r="AP124" s="710"/>
      <c r="AQ124" s="685"/>
      <c r="AR124" s="710"/>
      <c r="AT124" s="710"/>
      <c r="AU124" s="710"/>
      <c r="AV124" s="710"/>
      <c r="AW124" s="710"/>
      <c r="AX124" s="710"/>
      <c r="AY124" s="710"/>
      <c r="AZ124" s="710"/>
      <c r="BA124" s="685"/>
      <c r="BB124" s="710"/>
      <c r="BD124" s="710"/>
      <c r="BE124" s="710"/>
      <c r="BF124" s="710"/>
      <c r="BG124" s="710"/>
      <c r="BH124" s="710"/>
      <c r="BI124" s="710"/>
      <c r="BJ124" s="710"/>
      <c r="BK124" s="685"/>
      <c r="BL124" s="710"/>
      <c r="BN124" s="710"/>
      <c r="BO124" s="710"/>
      <c r="BP124" s="710"/>
      <c r="BQ124" s="710"/>
      <c r="BR124" s="710"/>
      <c r="BS124" s="710"/>
      <c r="BT124" s="710"/>
      <c r="BU124" s="685"/>
      <c r="BV124" s="710"/>
      <c r="BW124" s="710"/>
      <c r="BX124" s="685"/>
      <c r="BY124" s="710"/>
      <c r="BZ124" s="685"/>
      <c r="CA124" s="710"/>
      <c r="CB124" s="684">
        <f>'Raw emissions'!D70/'Rail&amp;Bus2'!$H61</f>
        <v>0.22110770244638311</v>
      </c>
      <c r="CC124" s="684">
        <f>'Raw emissions'!E70/'Rail&amp;Bus2'!$H61</f>
        <v>0.37289026556322452</v>
      </c>
      <c r="CD124" s="695">
        <f>'Raw emissions'!J70/'Rail&amp;Bus2'!$H61</f>
        <v>2.036455705768281E-3</v>
      </c>
      <c r="CE124" s="695">
        <f>'Raw emissions'!K70/'Rail&amp;Bus2'!$H61</f>
        <v>6.1854963025672061E-3</v>
      </c>
      <c r="CF124" s="684">
        <f>'Raw emissions'!M70/'Rail&amp;Bus2'!$H61</f>
        <v>1.9753620345952321E-3</v>
      </c>
      <c r="CG124" s="684">
        <f>'Raw emissions'!N70/'Rail&amp;Bus2'!$H61</f>
        <v>5.99993141349019E-3</v>
      </c>
      <c r="CH124" s="695">
        <f>'Raw emissions'!P70/'Rail&amp;Bus2'!$H61</f>
        <v>5.9020768619835705E-3</v>
      </c>
      <c r="CI124" s="695">
        <f>'Raw emissions'!Q70/'Rail&amp;Bus2'!$H61</f>
        <v>9.6497453617829954E-3</v>
      </c>
      <c r="CJ124" s="684">
        <f>'Raw emissions'!Y70/'Rail&amp;Bus2'!$H61</f>
        <v>1.3037389428328533E-3</v>
      </c>
      <c r="CK124" s="684">
        <f>'Raw emissions'!Z70/'Rail&amp;Bus2'!$H61</f>
        <v>3.9599547329035251E-3</v>
      </c>
      <c r="CL124" s="684">
        <f>'Raw emissions'!AB70/'Rail&amp;Bus2'!$H61</f>
        <v>4.1482602726499877E-4</v>
      </c>
      <c r="CM124" s="684">
        <f>'Raw emissions'!AC70/'Rail&amp;Bus2'!$H61</f>
        <v>1.2599855968329398E-3</v>
      </c>
    </row>
    <row r="125" spans="1:91" s="684" customFormat="1" x14ac:dyDescent="0.2">
      <c r="A125" s="684" t="str">
        <f>Technologies!C194</f>
        <v>TPDSLIR</v>
      </c>
      <c r="B125" s="684" t="str">
        <f>Technologies!D194</f>
        <v>Intercity Rail, Diesel</v>
      </c>
      <c r="C125" s="685"/>
      <c r="D125" s="710"/>
      <c r="F125" s="710"/>
      <c r="G125" s="710"/>
      <c r="H125" s="710"/>
      <c r="I125" s="710"/>
      <c r="J125" s="710"/>
      <c r="K125" s="710"/>
      <c r="L125" s="710"/>
      <c r="M125" s="685"/>
      <c r="N125" s="710"/>
      <c r="P125" s="710"/>
      <c r="Q125" s="710"/>
      <c r="R125" s="710"/>
      <c r="S125" s="710"/>
      <c r="T125" s="710"/>
      <c r="U125" s="710"/>
      <c r="V125" s="710"/>
      <c r="W125" s="685"/>
      <c r="X125" s="710"/>
      <c r="Z125" s="710"/>
      <c r="AA125" s="710"/>
      <c r="AB125" s="710"/>
      <c r="AC125" s="710"/>
      <c r="AD125" s="710"/>
      <c r="AE125" s="710"/>
      <c r="AF125" s="710"/>
      <c r="AG125" s="685"/>
      <c r="AH125" s="710"/>
      <c r="AJ125" s="710"/>
      <c r="AK125" s="710"/>
      <c r="AL125" s="710"/>
      <c r="AM125" s="710"/>
      <c r="AN125" s="710"/>
      <c r="AO125" s="710"/>
      <c r="AP125" s="710"/>
      <c r="AQ125" s="685"/>
      <c r="AR125" s="710"/>
      <c r="AT125" s="710"/>
      <c r="AU125" s="710"/>
      <c r="AV125" s="710"/>
      <c r="AW125" s="710"/>
      <c r="AX125" s="710"/>
      <c r="AY125" s="710"/>
      <c r="AZ125" s="710"/>
      <c r="BA125" s="685"/>
      <c r="BB125" s="710"/>
      <c r="BD125" s="710"/>
      <c r="BE125" s="710"/>
      <c r="BF125" s="710"/>
      <c r="BG125" s="710"/>
      <c r="BH125" s="710"/>
      <c r="BI125" s="710"/>
      <c r="BJ125" s="710"/>
      <c r="BK125" s="685"/>
      <c r="BL125" s="710"/>
      <c r="BN125" s="710"/>
      <c r="BO125" s="710"/>
      <c r="BP125" s="710"/>
      <c r="BQ125" s="710"/>
      <c r="BR125" s="710"/>
      <c r="BS125" s="710"/>
      <c r="BT125" s="710"/>
      <c r="BU125" s="685"/>
      <c r="BV125" s="710"/>
      <c r="BW125" s="710"/>
      <c r="BX125" s="685"/>
      <c r="BY125" s="710"/>
      <c r="BZ125" s="685"/>
      <c r="CA125" s="710"/>
      <c r="CB125" s="684">
        <f>'Raw emissions'!D71/'Rail&amp;Bus2'!$H62</f>
        <v>2.2047532427917327</v>
      </c>
      <c r="CC125" s="684">
        <f>'Raw emissions'!E71/'Rail&amp;Bus2'!$H62</f>
        <v>3.7182378230597815</v>
      </c>
      <c r="CD125" s="695">
        <f>'Raw emissions'!J71/'Rail&amp;Bus2'!$H62</f>
        <v>2.0306313490743744E-2</v>
      </c>
      <c r="CE125" s="695">
        <f>'Raw emissions'!K71/'Rail&amp;Bus2'!$H62</f>
        <v>6.167805499524967E-2</v>
      </c>
      <c r="CF125" s="684">
        <f>'Raw emissions'!M71/'Rail&amp;Bus2'!$H62</f>
        <v>1.9697124086021433E-2</v>
      </c>
      <c r="CG125" s="684">
        <f>'Raw emissions'!N71/'Rail&amp;Bus2'!$H62</f>
        <v>5.9827713345392185E-2</v>
      </c>
      <c r="CH125" s="695">
        <f>'Raw emissions'!P71/'Rail&amp;Bus2'!$H62</f>
        <v>5.8851966515367275E-2</v>
      </c>
      <c r="CI125" s="695">
        <f>'Raw emissions'!Q71/'Rail&amp;Bus2'!$H62</f>
        <v>9.6221466475889209E-2</v>
      </c>
      <c r="CJ125" s="684">
        <f>'Raw emissions'!Y71/'Rail&amp;Bus2'!$H62</f>
        <v>1.3000101896774145E-2</v>
      </c>
      <c r="CK125" s="684">
        <f>'Raw emissions'!Z71/'Rail&amp;Bus2'!$H62</f>
        <v>3.9486290807958839E-2</v>
      </c>
      <c r="CL125" s="684">
        <f>'Raw emissions'!AB71/'Rail&amp;Bus2'!$H62</f>
        <v>4.1363960580645008E-3</v>
      </c>
      <c r="CM125" s="684">
        <f>'Raw emissions'!AC71/'Rail&amp;Bus2'!$H62</f>
        <v>1.2563819802532359E-2</v>
      </c>
    </row>
    <row r="126" spans="1:91" s="684" customFormat="1" x14ac:dyDescent="0.2">
      <c r="C126" s="685"/>
      <c r="D126" s="710"/>
      <c r="E126" s="710"/>
      <c r="F126" s="710"/>
      <c r="G126" s="710"/>
      <c r="H126" s="710"/>
      <c r="I126" s="710"/>
      <c r="J126" s="710"/>
      <c r="K126" s="710"/>
      <c r="L126" s="710"/>
      <c r="M126" s="685"/>
      <c r="N126" s="710"/>
      <c r="O126" s="710"/>
      <c r="P126" s="710"/>
      <c r="Q126" s="710"/>
      <c r="R126" s="710"/>
      <c r="S126" s="710"/>
      <c r="T126" s="710"/>
      <c r="U126" s="710"/>
      <c r="V126" s="710"/>
      <c r="W126" s="685"/>
      <c r="X126" s="710"/>
      <c r="Y126" s="710"/>
      <c r="Z126" s="710"/>
      <c r="AA126" s="710"/>
      <c r="AB126" s="710"/>
      <c r="AC126" s="710"/>
      <c r="AD126" s="710"/>
      <c r="AE126" s="710"/>
      <c r="AF126" s="710"/>
      <c r="AG126" s="685"/>
      <c r="AH126" s="710"/>
      <c r="AI126" s="710"/>
      <c r="AJ126" s="710"/>
      <c r="AK126" s="710"/>
      <c r="AL126" s="710"/>
      <c r="AM126" s="710"/>
      <c r="AN126" s="710"/>
      <c r="AO126" s="710"/>
      <c r="AP126" s="710"/>
      <c r="AQ126" s="685"/>
      <c r="AR126" s="710"/>
      <c r="AS126" s="710"/>
      <c r="AT126" s="710"/>
      <c r="AU126" s="710"/>
      <c r="AV126" s="710"/>
      <c r="AW126" s="710"/>
      <c r="AX126" s="710"/>
      <c r="AY126" s="710"/>
      <c r="AZ126" s="710"/>
      <c r="BA126" s="685"/>
      <c r="BB126" s="710"/>
      <c r="BC126" s="710"/>
      <c r="BD126" s="710"/>
      <c r="BE126" s="710"/>
      <c r="BF126" s="710"/>
      <c r="BG126" s="710"/>
      <c r="BH126" s="710"/>
      <c r="BI126" s="710"/>
      <c r="BJ126" s="710"/>
      <c r="BK126" s="685"/>
      <c r="BL126" s="710"/>
      <c r="BM126" s="710"/>
      <c r="BN126" s="710"/>
      <c r="BO126" s="710"/>
      <c r="BP126" s="710"/>
      <c r="BQ126" s="710"/>
      <c r="BR126" s="710"/>
      <c r="BS126" s="710"/>
      <c r="BT126" s="710"/>
      <c r="BU126" s="710"/>
      <c r="BV126" s="710"/>
      <c r="BW126" s="710"/>
      <c r="BX126" s="710"/>
      <c r="BY126" s="710"/>
      <c r="BZ126" s="710"/>
      <c r="CA126" s="710"/>
    </row>
    <row r="127" spans="1:91" s="712" customFormat="1" x14ac:dyDescent="0.2">
      <c r="A127" s="712" t="s">
        <v>1536</v>
      </c>
      <c r="C127" s="713"/>
      <c r="D127" s="714"/>
      <c r="E127" s="714"/>
      <c r="F127" s="714"/>
      <c r="G127" s="714"/>
      <c r="H127" s="714"/>
      <c r="I127" s="714"/>
      <c r="J127" s="714"/>
      <c r="K127" s="714"/>
      <c r="L127" s="714"/>
      <c r="M127" s="713"/>
      <c r="N127" s="714"/>
      <c r="O127" s="714"/>
      <c r="P127" s="714"/>
      <c r="Q127" s="714"/>
      <c r="R127" s="714"/>
      <c r="S127" s="714"/>
      <c r="T127" s="714"/>
      <c r="U127" s="714"/>
      <c r="V127" s="714"/>
      <c r="W127" s="713"/>
      <c r="X127" s="714"/>
      <c r="Y127" s="714"/>
      <c r="Z127" s="714"/>
      <c r="AA127" s="714"/>
      <c r="AB127" s="714"/>
      <c r="AC127" s="714"/>
      <c r="AD127" s="714"/>
      <c r="AE127" s="714"/>
      <c r="AF127" s="714"/>
      <c r="AG127" s="713"/>
      <c r="AH127" s="714"/>
      <c r="AI127" s="714"/>
      <c r="AJ127" s="714"/>
      <c r="AK127" s="714"/>
      <c r="AL127" s="714"/>
      <c r="AM127" s="714"/>
      <c r="AN127" s="714"/>
      <c r="AO127" s="714"/>
      <c r="AP127" s="714"/>
      <c r="AQ127" s="713"/>
      <c r="AR127" s="714"/>
      <c r="AS127" s="714"/>
      <c r="AT127" s="714"/>
      <c r="AU127" s="714"/>
      <c r="AV127" s="714"/>
      <c r="AW127" s="714"/>
      <c r="AX127" s="714"/>
      <c r="AY127" s="714"/>
      <c r="AZ127" s="714"/>
      <c r="BA127" s="713"/>
      <c r="BB127" s="714"/>
      <c r="BC127" s="714"/>
      <c r="BD127" s="714"/>
      <c r="BE127" s="714"/>
      <c r="BF127" s="714"/>
      <c r="BG127" s="714"/>
      <c r="BH127" s="714"/>
      <c r="BI127" s="714"/>
      <c r="BJ127" s="714"/>
      <c r="BK127" s="713"/>
      <c r="BL127" s="714"/>
      <c r="BM127" s="714"/>
      <c r="BN127" s="714"/>
      <c r="BO127" s="714"/>
      <c r="BP127" s="714"/>
      <c r="BQ127" s="714"/>
      <c r="BR127" s="714"/>
      <c r="BS127" s="714"/>
      <c r="BT127" s="714"/>
      <c r="BU127" s="714"/>
      <c r="BV127" s="714"/>
      <c r="BW127" s="714"/>
      <c r="BX127" s="714"/>
      <c r="BY127" s="714"/>
      <c r="BZ127" s="714"/>
      <c r="CA127" s="714"/>
    </row>
    <row r="128" spans="1:91" s="712" customFormat="1" x14ac:dyDescent="0.2">
      <c r="A128" s="712" t="str">
        <f>Technologies!C216</f>
        <v>SETRB20</v>
      </c>
      <c r="B128" s="712" t="str">
        <f>Technologies!D216</f>
        <v>Emissions: B20 Rail fuel to TRB20X</v>
      </c>
      <c r="C128" s="713"/>
      <c r="D128" s="714"/>
      <c r="E128" s="714"/>
      <c r="F128" s="714"/>
      <c r="G128" s="714"/>
      <c r="H128" s="714"/>
      <c r="I128" s="714"/>
      <c r="J128" s="714"/>
      <c r="K128" s="714"/>
      <c r="L128" s="714"/>
      <c r="M128" s="713"/>
      <c r="N128" s="714"/>
      <c r="O128" s="714"/>
      <c r="P128" s="714"/>
      <c r="Q128" s="714"/>
      <c r="R128" s="714"/>
      <c r="S128" s="714"/>
      <c r="T128" s="714"/>
      <c r="U128" s="714"/>
      <c r="V128" s="714"/>
      <c r="W128" s="713"/>
      <c r="X128" s="714"/>
      <c r="Y128" s="714"/>
      <c r="Z128" s="714"/>
      <c r="AA128" s="714"/>
      <c r="AB128" s="714"/>
      <c r="AC128" s="714"/>
      <c r="AD128" s="714"/>
      <c r="AE128" s="714"/>
      <c r="AF128" s="714"/>
      <c r="AG128" s="713"/>
      <c r="AH128" s="714"/>
      <c r="AI128" s="714"/>
      <c r="AJ128" s="714"/>
      <c r="AK128" s="714"/>
      <c r="AL128" s="714"/>
      <c r="AM128" s="714"/>
      <c r="AN128" s="714"/>
      <c r="AO128" s="714"/>
      <c r="AP128" s="714"/>
      <c r="AQ128" s="713"/>
      <c r="AR128" s="714"/>
      <c r="AS128" s="714"/>
      <c r="AT128" s="714"/>
      <c r="AU128" s="714"/>
      <c r="AV128" s="714"/>
      <c r="AW128" s="714"/>
      <c r="AX128" s="714"/>
      <c r="AY128" s="714"/>
      <c r="AZ128" s="714"/>
      <c r="BA128" s="713"/>
      <c r="BB128" s="714"/>
      <c r="BC128" s="714"/>
      <c r="BD128" s="714"/>
      <c r="BE128" s="714"/>
      <c r="BF128" s="714"/>
      <c r="BG128" s="714"/>
      <c r="BH128" s="714"/>
      <c r="BI128" s="714"/>
      <c r="BJ128" s="714"/>
      <c r="BK128" s="713"/>
      <c r="BL128" s="714"/>
      <c r="BM128" s="714"/>
      <c r="BN128" s="714"/>
      <c r="BO128" s="714"/>
      <c r="BP128" s="714"/>
      <c r="BQ128" s="714"/>
      <c r="BR128" s="714"/>
      <c r="BS128" s="714"/>
      <c r="BT128" s="714"/>
      <c r="BU128" s="714"/>
      <c r="BV128" s="714"/>
      <c r="BW128" s="714"/>
      <c r="BX128" s="714"/>
      <c r="BY128" s="714"/>
      <c r="BZ128" s="714"/>
      <c r="CA128" s="714"/>
      <c r="CB128" s="712">
        <f>'Raw emissions'!D73</f>
        <v>0.80731566645417852</v>
      </c>
      <c r="CC128" s="712">
        <f>'Raw emissions'!E73</f>
        <v>0.15784840482044746</v>
      </c>
      <c r="CD128" s="712">
        <f>'Raw emissions'!J73</f>
        <v>2.8523206751054856E-2</v>
      </c>
      <c r="CE128" s="712">
        <f>'Raw emissions'!K73</f>
        <v>2.367726072306712E-3</v>
      </c>
      <c r="CF128" s="712">
        <f>'Raw emissions'!M73</f>
        <v>2.7667510548523209E-2</v>
      </c>
      <c r="CG128" s="712">
        <f>'Raw emissions'!N73</f>
        <v>2.2966942901375101E-3</v>
      </c>
      <c r="CH128" s="712">
        <f>'Raw emissions'!P73</f>
        <v>4.3215736271742106E-2</v>
      </c>
      <c r="CI128" s="712">
        <f>'Raw emissions'!Q73</f>
        <v>7.113975047809854E-3</v>
      </c>
      <c r="CJ128" s="712">
        <f>'Raw emissions'!Y73</f>
        <v>1.8260556962025318E-2</v>
      </c>
      <c r="CK128" s="712">
        <f>'Raw emissions'!Z73</f>
        <v>1.5158182314907571E-3</v>
      </c>
      <c r="CL128" s="712">
        <f>'Raw emissions'!AB73</f>
        <v>5.8101772151898734E-3</v>
      </c>
      <c r="CM128" s="712">
        <f>'Raw emissions'!AC73</f>
        <v>4.8230580092887708E-4</v>
      </c>
    </row>
    <row r="129" spans="1:91" s="712" customFormat="1" ht="12.75" x14ac:dyDescent="0.2">
      <c r="A129" s="712" t="str">
        <f>Technologies!C215</f>
        <v>SETRDSL</v>
      </c>
      <c r="B129" s="712" t="str">
        <f>Technologies!D215</f>
        <v>Emissions: DSL Rail fuel to TRDSL</v>
      </c>
      <c r="C129" s="715"/>
      <c r="D129" s="716"/>
      <c r="E129" s="716"/>
      <c r="F129" s="716"/>
      <c r="G129" s="716"/>
      <c r="H129" s="716"/>
      <c r="I129" s="716"/>
      <c r="J129" s="716"/>
      <c r="K129" s="716"/>
      <c r="L129" s="716"/>
      <c r="M129" s="715"/>
      <c r="N129" s="716"/>
      <c r="O129" s="716"/>
      <c r="P129" s="716"/>
      <c r="Q129" s="716"/>
      <c r="R129" s="716"/>
      <c r="S129" s="716"/>
      <c r="T129" s="716"/>
      <c r="U129" s="716"/>
      <c r="V129" s="716"/>
      <c r="W129" s="715"/>
      <c r="X129" s="716"/>
      <c r="Y129" s="716"/>
      <c r="Z129" s="716"/>
      <c r="AA129" s="716"/>
      <c r="AB129" s="716"/>
      <c r="AC129" s="716"/>
      <c r="AD129" s="716"/>
      <c r="AE129" s="716"/>
      <c r="AF129" s="716"/>
      <c r="AG129" s="715"/>
      <c r="AH129" s="716"/>
      <c r="AI129" s="716"/>
      <c r="AJ129" s="716"/>
      <c r="AK129" s="716"/>
      <c r="AL129" s="716"/>
      <c r="AM129" s="716"/>
      <c r="AN129" s="716"/>
      <c r="AO129" s="716"/>
      <c r="AP129" s="716"/>
      <c r="AQ129" s="715"/>
      <c r="AR129" s="716"/>
      <c r="AS129" s="716"/>
      <c r="AT129" s="716"/>
      <c r="AU129" s="716"/>
      <c r="AV129" s="716"/>
      <c r="AW129" s="716"/>
      <c r="AX129" s="716"/>
      <c r="AY129" s="716"/>
      <c r="AZ129" s="716"/>
      <c r="BA129" s="715"/>
      <c r="BB129" s="716"/>
      <c r="BC129" s="716"/>
      <c r="BD129" s="716"/>
      <c r="BE129" s="716"/>
      <c r="BF129" s="716"/>
      <c r="BG129" s="716"/>
      <c r="BH129" s="716"/>
      <c r="BI129" s="716"/>
      <c r="BJ129" s="716"/>
      <c r="BK129" s="715"/>
      <c r="BL129" s="716"/>
      <c r="BM129" s="716"/>
      <c r="BN129" s="716"/>
      <c r="BO129" s="716"/>
      <c r="BP129" s="716"/>
      <c r="BQ129" s="716"/>
      <c r="BR129" s="716"/>
      <c r="BS129" s="716"/>
      <c r="BT129" s="716"/>
      <c r="BU129" s="716"/>
      <c r="BV129" s="716"/>
      <c r="BW129" s="716"/>
      <c r="BX129" s="716"/>
      <c r="BY129" s="716"/>
      <c r="BZ129" s="716"/>
      <c r="CA129" s="716"/>
      <c r="CB129" s="712">
        <f>'Raw emissions'!D74</f>
        <v>0.8287804847646294</v>
      </c>
      <c r="CC129" s="712">
        <f>'Raw emissions'!E74</f>
        <v>0.16204526048775628</v>
      </c>
      <c r="CD129" s="712">
        <f>'Raw emissions'!J74</f>
        <v>2.9281578570137558E-2</v>
      </c>
      <c r="CE129" s="712">
        <f>'Raw emissions'!K74</f>
        <v>2.4306789073163439E-3</v>
      </c>
      <c r="CF129" s="712">
        <f>'Raw emissions'!M74</f>
        <v>2.8403131213033429E-2</v>
      </c>
      <c r="CG129" s="712">
        <f>'Raw emissions'!N74</f>
        <v>2.3577585400968533E-3</v>
      </c>
      <c r="CH129" s="712">
        <f>'Raw emissions'!P74</f>
        <v>4.4364751416337909E-2</v>
      </c>
      <c r="CI129" s="712">
        <f>'Raw emissions'!Q74</f>
        <v>7.3031206177663942E-3</v>
      </c>
      <c r="CJ129" s="712">
        <f>'Raw emissions'!Y74</f>
        <v>1.8746066600602063E-2</v>
      </c>
      <c r="CK129" s="712">
        <f>'Raw emissions'!Z74</f>
        <v>1.5561206364639235E-3</v>
      </c>
      <c r="CL129" s="712">
        <f>'Raw emissions'!AB74</f>
        <v>5.9646575547370202E-3</v>
      </c>
      <c r="CM129" s="712">
        <f>'Raw emissions'!AC74</f>
        <v>4.9512929342033921E-4</v>
      </c>
    </row>
    <row r="130" spans="1:91" ht="12.75" x14ac:dyDescent="0.2">
      <c r="A130" s="695"/>
      <c r="B130" s="695"/>
      <c r="C130" s="855"/>
      <c r="D130" s="697"/>
      <c r="E130" s="697"/>
      <c r="F130" s="697"/>
      <c r="G130" s="697"/>
      <c r="H130" s="697"/>
      <c r="I130" s="697"/>
      <c r="J130" s="697"/>
      <c r="K130" s="697"/>
      <c r="L130" s="697"/>
      <c r="M130" s="855"/>
      <c r="N130" s="697"/>
      <c r="O130" s="697"/>
      <c r="P130" s="697"/>
      <c r="Q130" s="697"/>
      <c r="R130" s="697"/>
      <c r="S130" s="697"/>
      <c r="T130" s="697"/>
      <c r="U130" s="697"/>
      <c r="V130" s="697"/>
      <c r="W130" s="855"/>
      <c r="X130" s="697"/>
      <c r="Y130" s="697"/>
      <c r="Z130" s="697"/>
      <c r="AA130" s="697"/>
      <c r="AB130" s="697"/>
      <c r="AC130" s="697"/>
      <c r="AD130" s="697"/>
      <c r="AE130" s="697"/>
      <c r="AF130" s="697"/>
      <c r="AG130" s="855"/>
      <c r="AH130" s="697"/>
      <c r="AI130" s="697"/>
      <c r="AJ130" s="697"/>
      <c r="AK130" s="697"/>
      <c r="AL130" s="697"/>
      <c r="AM130" s="697"/>
      <c r="AN130" s="697"/>
      <c r="AO130" s="697"/>
      <c r="AP130" s="697"/>
      <c r="AQ130" s="855"/>
      <c r="AR130" s="697"/>
      <c r="AS130" s="697"/>
      <c r="AT130" s="697"/>
      <c r="AU130" s="697"/>
      <c r="AV130" s="697"/>
      <c r="AW130" s="697"/>
      <c r="AX130" s="697"/>
      <c r="AY130" s="697"/>
      <c r="AZ130" s="697"/>
      <c r="BA130" s="855"/>
      <c r="BB130" s="697"/>
      <c r="BC130" s="697"/>
      <c r="BD130" s="697"/>
      <c r="BE130" s="697"/>
      <c r="BF130" s="697"/>
      <c r="BG130" s="697"/>
      <c r="BH130" s="697"/>
      <c r="BI130" s="697"/>
      <c r="BJ130" s="697"/>
      <c r="BK130" s="855"/>
      <c r="BL130" s="697"/>
      <c r="BM130" s="697"/>
      <c r="BN130" s="697"/>
      <c r="BO130" s="697"/>
      <c r="BP130" s="697"/>
      <c r="BQ130" s="697"/>
      <c r="BR130" s="697"/>
      <c r="BS130" s="697"/>
      <c r="BT130" s="697"/>
      <c r="BU130" s="697"/>
      <c r="BV130" s="697"/>
      <c r="BW130" s="697"/>
      <c r="BX130" s="697"/>
      <c r="BY130" s="697"/>
      <c r="BZ130" s="697"/>
      <c r="CA130" s="697"/>
      <c r="CB130" s="684"/>
      <c r="CC130" s="684"/>
    </row>
    <row r="131" spans="1:91" ht="12.75" x14ac:dyDescent="0.2">
      <c r="A131" s="858"/>
      <c r="B131" s="858"/>
      <c r="C131" s="864"/>
      <c r="D131" s="865"/>
      <c r="E131" s="865"/>
      <c r="F131" s="865"/>
      <c r="G131" s="865"/>
      <c r="H131" s="865"/>
      <c r="I131" s="865"/>
      <c r="J131" s="865"/>
      <c r="K131" s="865"/>
      <c r="L131" s="865"/>
      <c r="M131" s="864"/>
      <c r="N131" s="865"/>
      <c r="O131" s="865"/>
      <c r="P131" s="865"/>
      <c r="Q131" s="865"/>
      <c r="R131" s="865"/>
      <c r="S131" s="865"/>
      <c r="T131" s="865"/>
      <c r="U131" s="865"/>
      <c r="V131" s="865"/>
      <c r="W131" s="864"/>
      <c r="X131" s="865"/>
      <c r="Y131" s="865"/>
      <c r="Z131" s="865"/>
      <c r="AA131" s="865"/>
      <c r="AB131" s="865"/>
      <c r="AC131" s="865"/>
      <c r="AD131" s="865"/>
      <c r="AE131" s="865"/>
      <c r="AF131" s="865"/>
      <c r="AG131" s="864"/>
      <c r="AH131" s="865"/>
      <c r="AI131" s="865"/>
      <c r="AJ131" s="865"/>
      <c r="AK131" s="865"/>
      <c r="AL131" s="865"/>
      <c r="AM131" s="865"/>
      <c r="AN131" s="865"/>
      <c r="AO131" s="865"/>
      <c r="AP131" s="865"/>
      <c r="AQ131" s="864"/>
      <c r="AR131" s="865"/>
      <c r="AS131" s="865"/>
      <c r="AT131" s="865"/>
      <c r="AU131" s="865"/>
      <c r="AV131" s="865"/>
      <c r="AW131" s="865"/>
      <c r="AX131" s="865"/>
      <c r="AY131" s="865"/>
      <c r="AZ131" s="865"/>
      <c r="BA131" s="864"/>
      <c r="BB131" s="865"/>
      <c r="BC131" s="865"/>
      <c r="BD131" s="865"/>
      <c r="BE131" s="865"/>
      <c r="BF131" s="865"/>
      <c r="BG131" s="865"/>
      <c r="BH131" s="865"/>
      <c r="BI131" s="865"/>
      <c r="BJ131" s="865"/>
      <c r="BK131" s="864"/>
      <c r="BL131" s="865"/>
      <c r="BM131" s="865"/>
      <c r="BN131" s="865"/>
      <c r="BO131" s="865"/>
      <c r="BP131" s="865"/>
      <c r="BQ131" s="865"/>
      <c r="BR131" s="865"/>
      <c r="BS131" s="865"/>
      <c r="BT131" s="865"/>
      <c r="BU131" s="865"/>
      <c r="BV131" s="865"/>
      <c r="BW131" s="865"/>
      <c r="BX131" s="865"/>
      <c r="BY131" s="865"/>
      <c r="BZ131" s="865"/>
      <c r="CA131" s="865"/>
    </row>
    <row r="132" spans="1:91" ht="12.75" x14ac:dyDescent="0.2">
      <c r="A132" s="717" t="s">
        <v>115</v>
      </c>
      <c r="B132" s="718" t="s">
        <v>1537</v>
      </c>
      <c r="C132" s="859"/>
      <c r="D132" s="866"/>
      <c r="E132" s="866"/>
      <c r="F132" s="866"/>
      <c r="G132" s="866"/>
      <c r="H132" s="866"/>
      <c r="I132" s="866"/>
      <c r="J132" s="866"/>
      <c r="K132" s="866"/>
      <c r="L132" s="866"/>
      <c r="M132" s="859"/>
      <c r="N132" s="866"/>
      <c r="O132" s="866"/>
      <c r="P132" s="866"/>
      <c r="Q132" s="866"/>
      <c r="R132" s="866"/>
      <c r="S132" s="866"/>
      <c r="T132" s="866"/>
      <c r="U132" s="866"/>
      <c r="V132" s="866"/>
      <c r="W132" s="859"/>
      <c r="X132" s="866"/>
      <c r="Y132" s="866"/>
      <c r="Z132" s="866"/>
      <c r="AA132" s="866"/>
      <c r="AB132" s="866"/>
      <c r="AC132" s="866"/>
      <c r="AD132" s="866"/>
      <c r="AE132" s="866"/>
      <c r="AF132" s="866"/>
      <c r="AG132" s="859"/>
      <c r="AH132" s="866"/>
      <c r="AI132" s="866"/>
      <c r="AJ132" s="866"/>
      <c r="AK132" s="866"/>
      <c r="AL132" s="866"/>
      <c r="AM132" s="866"/>
      <c r="AN132" s="866"/>
      <c r="AO132" s="866"/>
      <c r="AP132" s="866"/>
      <c r="AQ132" s="859"/>
      <c r="AR132" s="866"/>
      <c r="AS132" s="866"/>
      <c r="AT132" s="866"/>
      <c r="AU132" s="866"/>
      <c r="AV132" s="866"/>
      <c r="AW132" s="866"/>
      <c r="AX132" s="866"/>
      <c r="AY132" s="866"/>
      <c r="AZ132" s="866"/>
      <c r="BA132" s="859"/>
      <c r="BB132" s="866"/>
      <c r="BC132" s="866"/>
      <c r="BD132" s="866"/>
      <c r="BE132" s="866"/>
      <c r="BF132" s="866"/>
      <c r="BG132" s="866"/>
      <c r="BH132" s="866"/>
      <c r="BI132" s="866"/>
      <c r="BJ132" s="866"/>
      <c r="BK132" s="859"/>
      <c r="BL132" s="866"/>
      <c r="BM132" s="866"/>
      <c r="BN132" s="866"/>
      <c r="BO132" s="866"/>
      <c r="BP132" s="866"/>
      <c r="BQ132" s="866"/>
      <c r="BR132" s="866"/>
      <c r="BS132" s="866"/>
      <c r="BT132" s="866"/>
      <c r="BU132" s="866"/>
      <c r="BV132" s="866"/>
      <c r="BW132" s="866"/>
      <c r="BX132" s="866"/>
      <c r="BY132" s="866"/>
      <c r="BZ132" s="866"/>
      <c r="CA132" s="866"/>
    </row>
    <row r="133" spans="1:91" ht="12.75" x14ac:dyDescent="0.2">
      <c r="A133" s="718"/>
      <c r="B133" s="718" t="s">
        <v>1538</v>
      </c>
      <c r="C133" s="859"/>
      <c r="D133" s="866"/>
      <c r="E133" s="866"/>
      <c r="F133" s="866"/>
      <c r="G133" s="866"/>
      <c r="H133" s="866"/>
      <c r="I133" s="866"/>
      <c r="J133" s="866"/>
      <c r="K133" s="866"/>
      <c r="L133" s="866"/>
      <c r="M133" s="859"/>
      <c r="N133" s="866"/>
      <c r="O133" s="866"/>
      <c r="P133" s="866"/>
      <c r="Q133" s="866"/>
      <c r="R133" s="866"/>
      <c r="S133" s="866"/>
      <c r="T133" s="866"/>
      <c r="U133" s="866"/>
      <c r="V133" s="866"/>
      <c r="W133" s="859"/>
      <c r="X133" s="866"/>
      <c r="Y133" s="866"/>
      <c r="Z133" s="866"/>
      <c r="AA133" s="866"/>
      <c r="AB133" s="866"/>
      <c r="AC133" s="866"/>
      <c r="AD133" s="866"/>
      <c r="AE133" s="866"/>
      <c r="AF133" s="866"/>
      <c r="AG133" s="859"/>
      <c r="AH133" s="866"/>
      <c r="AI133" s="866"/>
      <c r="AJ133" s="866"/>
      <c r="AK133" s="866"/>
      <c r="AL133" s="866"/>
      <c r="AM133" s="866"/>
      <c r="AN133" s="866"/>
      <c r="AO133" s="866"/>
      <c r="AP133" s="866"/>
      <c r="AQ133" s="859"/>
      <c r="AR133" s="866"/>
      <c r="AS133" s="866"/>
      <c r="AT133" s="866"/>
      <c r="AU133" s="866"/>
      <c r="AV133" s="866"/>
      <c r="AW133" s="866"/>
      <c r="AX133" s="866"/>
      <c r="AY133" s="866"/>
      <c r="AZ133" s="866"/>
      <c r="BA133" s="859"/>
      <c r="BB133" s="866"/>
      <c r="BC133" s="866"/>
      <c r="BD133" s="866"/>
      <c r="BE133" s="866"/>
      <c r="BF133" s="866"/>
      <c r="BG133" s="866"/>
      <c r="BH133" s="866"/>
      <c r="BI133" s="866"/>
      <c r="BJ133" s="866"/>
      <c r="BK133" s="859"/>
      <c r="BL133" s="866"/>
      <c r="BM133" s="866"/>
      <c r="BN133" s="866"/>
      <c r="BO133" s="866"/>
      <c r="BP133" s="866"/>
      <c r="BQ133" s="866"/>
      <c r="BR133" s="866"/>
      <c r="BS133" s="866"/>
      <c r="BT133" s="866"/>
      <c r="BU133" s="866"/>
      <c r="BV133" s="866"/>
      <c r="BW133" s="866"/>
      <c r="BX133" s="866"/>
      <c r="BY133" s="866"/>
      <c r="BZ133" s="866"/>
      <c r="CA133" s="866"/>
    </row>
    <row r="134" spans="1:91" ht="12.75" x14ac:dyDescent="0.2">
      <c r="A134" s="718"/>
      <c r="B134" s="718"/>
      <c r="C134" s="859"/>
      <c r="D134" s="866"/>
      <c r="E134" s="866"/>
      <c r="F134" s="866"/>
      <c r="G134" s="866"/>
      <c r="H134" s="866"/>
      <c r="I134" s="866"/>
      <c r="J134" s="866"/>
      <c r="K134" s="866"/>
      <c r="L134" s="866"/>
      <c r="M134" s="859"/>
      <c r="N134" s="866"/>
      <c r="O134" s="866"/>
      <c r="P134" s="866"/>
      <c r="Q134" s="866"/>
      <c r="R134" s="866"/>
      <c r="S134" s="866"/>
      <c r="T134" s="866"/>
      <c r="U134" s="866"/>
      <c r="V134" s="866"/>
      <c r="W134" s="859"/>
      <c r="X134" s="866"/>
      <c r="Y134" s="866"/>
      <c r="Z134" s="866"/>
      <c r="AA134" s="866"/>
      <c r="AB134" s="866"/>
      <c r="AC134" s="866"/>
      <c r="AD134" s="866"/>
      <c r="AE134" s="866"/>
      <c r="AF134" s="866"/>
      <c r="AG134" s="859"/>
      <c r="AH134" s="866"/>
      <c r="AI134" s="866"/>
      <c r="AJ134" s="866"/>
      <c r="AK134" s="866"/>
      <c r="AL134" s="866"/>
      <c r="AM134" s="866"/>
      <c r="AN134" s="866"/>
      <c r="AO134" s="866"/>
      <c r="AP134" s="866"/>
      <c r="AQ134" s="859"/>
      <c r="AR134" s="866"/>
      <c r="AS134" s="866"/>
      <c r="AT134" s="866"/>
      <c r="AU134" s="866"/>
      <c r="AV134" s="866"/>
      <c r="AW134" s="866"/>
      <c r="AX134" s="866"/>
      <c r="AY134" s="866"/>
      <c r="AZ134" s="866"/>
      <c r="BA134" s="859"/>
      <c r="BB134" s="866"/>
      <c r="BC134" s="866"/>
      <c r="BD134" s="866"/>
      <c r="BE134" s="866"/>
      <c r="BF134" s="866"/>
      <c r="BG134" s="866"/>
      <c r="BH134" s="866"/>
      <c r="BI134" s="866"/>
      <c r="BJ134" s="866"/>
      <c r="BK134" s="859"/>
      <c r="BL134" s="866"/>
      <c r="BM134" s="866"/>
      <c r="BN134" s="866"/>
      <c r="BO134" s="866"/>
      <c r="BP134" s="866"/>
      <c r="BQ134" s="866"/>
      <c r="BR134" s="866"/>
      <c r="BS134" s="866"/>
      <c r="BT134" s="866"/>
      <c r="BU134" s="866"/>
      <c r="BV134" s="866"/>
      <c r="BW134" s="866"/>
      <c r="BX134" s="866"/>
      <c r="BY134" s="866"/>
      <c r="BZ134" s="866"/>
      <c r="CA134" s="866"/>
    </row>
    <row r="135" spans="1:91" ht="12.75" x14ac:dyDescent="0.2">
      <c r="A135" s="718"/>
      <c r="B135" s="718"/>
      <c r="C135" s="859"/>
      <c r="D135" s="866"/>
      <c r="E135" s="866"/>
      <c r="F135" s="866"/>
      <c r="G135" s="866"/>
      <c r="H135" s="866"/>
      <c r="I135" s="866"/>
      <c r="J135" s="866"/>
      <c r="K135" s="866"/>
      <c r="L135" s="866"/>
      <c r="M135" s="859"/>
      <c r="N135" s="866"/>
      <c r="O135" s="866"/>
      <c r="P135" s="866"/>
      <c r="Q135" s="866"/>
      <c r="R135" s="866"/>
      <c r="S135" s="866"/>
      <c r="T135" s="866"/>
      <c r="U135" s="866"/>
      <c r="V135" s="866"/>
      <c r="W135" s="859"/>
      <c r="X135" s="866"/>
      <c r="Y135" s="866"/>
      <c r="Z135" s="866"/>
      <c r="AA135" s="866"/>
      <c r="AB135" s="866"/>
      <c r="AC135" s="866"/>
      <c r="AD135" s="866"/>
      <c r="AE135" s="866"/>
      <c r="AF135" s="866"/>
      <c r="AG135" s="859"/>
      <c r="AH135" s="866"/>
      <c r="AI135" s="866"/>
      <c r="AJ135" s="866"/>
      <c r="AK135" s="866"/>
      <c r="AL135" s="866"/>
      <c r="AM135" s="866"/>
      <c r="AN135" s="866"/>
      <c r="AO135" s="866"/>
      <c r="AP135" s="866"/>
      <c r="AQ135" s="859"/>
      <c r="AR135" s="866"/>
      <c r="AS135" s="866"/>
      <c r="AT135" s="866"/>
      <c r="AU135" s="866"/>
      <c r="AV135" s="866"/>
      <c r="AW135" s="866"/>
      <c r="AX135" s="866"/>
      <c r="AY135" s="866"/>
      <c r="AZ135" s="866"/>
      <c r="BA135" s="859"/>
      <c r="BB135" s="866"/>
      <c r="BC135" s="866"/>
      <c r="BD135" s="866"/>
      <c r="BE135" s="866"/>
      <c r="BF135" s="866"/>
      <c r="BG135" s="866"/>
      <c r="BH135" s="866"/>
      <c r="BI135" s="866"/>
      <c r="BJ135" s="866"/>
      <c r="BK135" s="859"/>
      <c r="BL135" s="866"/>
      <c r="BM135" s="866"/>
      <c r="BN135" s="866"/>
      <c r="BO135" s="866"/>
      <c r="BP135" s="866"/>
      <c r="BQ135" s="866"/>
      <c r="BR135" s="866"/>
      <c r="BS135" s="866"/>
      <c r="BT135" s="866"/>
      <c r="BU135" s="866"/>
      <c r="BV135" s="866"/>
      <c r="BW135" s="866"/>
      <c r="BX135" s="866"/>
      <c r="BY135" s="866"/>
      <c r="BZ135" s="866"/>
      <c r="CA135" s="866"/>
    </row>
    <row r="136" spans="1:91" ht="12.75" x14ac:dyDescent="0.2">
      <c r="A136" s="718"/>
      <c r="B136" s="718"/>
      <c r="C136" s="859"/>
      <c r="D136" s="866"/>
      <c r="E136" s="866"/>
      <c r="F136" s="866"/>
      <c r="G136" s="866"/>
      <c r="H136" s="866"/>
      <c r="I136" s="866"/>
      <c r="J136" s="866"/>
      <c r="K136" s="866"/>
      <c r="L136" s="866"/>
      <c r="M136" s="859"/>
      <c r="N136" s="866"/>
      <c r="O136" s="866"/>
      <c r="P136" s="866"/>
      <c r="Q136" s="866"/>
      <c r="R136" s="866"/>
      <c r="S136" s="866"/>
      <c r="T136" s="866"/>
      <c r="U136" s="866"/>
      <c r="V136" s="866"/>
      <c r="W136" s="859"/>
      <c r="X136" s="866"/>
      <c r="Y136" s="866"/>
      <c r="Z136" s="866"/>
      <c r="AA136" s="866"/>
      <c r="AB136" s="866"/>
      <c r="AC136" s="866"/>
      <c r="AD136" s="866"/>
      <c r="AE136" s="866"/>
      <c r="AF136" s="866"/>
      <c r="AG136" s="859"/>
      <c r="AH136" s="866"/>
      <c r="AI136" s="866"/>
      <c r="AJ136" s="866"/>
      <c r="AK136" s="866"/>
      <c r="AL136" s="866"/>
      <c r="AM136" s="866"/>
      <c r="AN136" s="866"/>
      <c r="AO136" s="866"/>
      <c r="AP136" s="866"/>
      <c r="AQ136" s="859"/>
      <c r="AR136" s="866"/>
      <c r="AS136" s="866"/>
      <c r="AT136" s="866"/>
      <c r="AU136" s="866"/>
      <c r="AV136" s="866"/>
      <c r="AW136" s="866"/>
      <c r="AX136" s="866"/>
      <c r="AY136" s="866"/>
      <c r="AZ136" s="866"/>
      <c r="BA136" s="859"/>
      <c r="BB136" s="866"/>
      <c r="BC136" s="866"/>
      <c r="BD136" s="866"/>
      <c r="BE136" s="866"/>
      <c r="BF136" s="866"/>
      <c r="BG136" s="866"/>
      <c r="BH136" s="866"/>
      <c r="BI136" s="866"/>
      <c r="BJ136" s="866"/>
      <c r="BK136" s="859"/>
      <c r="BL136" s="866"/>
      <c r="BM136" s="866"/>
      <c r="BN136" s="866"/>
      <c r="BO136" s="866"/>
      <c r="BP136" s="866"/>
      <c r="BQ136" s="866"/>
      <c r="BR136" s="866"/>
      <c r="BS136" s="866"/>
      <c r="BT136" s="866"/>
      <c r="BU136" s="866"/>
      <c r="BV136" s="866"/>
      <c r="BW136" s="866"/>
      <c r="BX136" s="866"/>
      <c r="BY136" s="866"/>
      <c r="BZ136" s="866"/>
      <c r="CA136" s="866"/>
    </row>
    <row r="137" spans="1:91" ht="12.75" x14ac:dyDescent="0.2">
      <c r="A137" s="718"/>
      <c r="B137" s="718"/>
      <c r="C137" s="861"/>
      <c r="D137" s="866"/>
      <c r="E137" s="866"/>
      <c r="F137" s="866"/>
      <c r="G137" s="866"/>
      <c r="H137" s="866"/>
      <c r="I137" s="866"/>
      <c r="J137" s="866"/>
      <c r="K137" s="866"/>
      <c r="L137" s="866"/>
      <c r="M137" s="861"/>
      <c r="N137" s="866"/>
      <c r="O137" s="866"/>
      <c r="P137" s="866"/>
      <c r="Q137" s="866"/>
      <c r="R137" s="866"/>
      <c r="S137" s="866"/>
      <c r="T137" s="866"/>
      <c r="U137" s="866"/>
      <c r="V137" s="866"/>
      <c r="W137" s="861"/>
      <c r="X137" s="866"/>
      <c r="Y137" s="866"/>
      <c r="Z137" s="866"/>
      <c r="AA137" s="866"/>
      <c r="AB137" s="866"/>
      <c r="AC137" s="866"/>
      <c r="AD137" s="866"/>
      <c r="AE137" s="866"/>
      <c r="AF137" s="866"/>
      <c r="AG137" s="861"/>
      <c r="AH137" s="866"/>
      <c r="AI137" s="866"/>
      <c r="AJ137" s="866"/>
      <c r="AK137" s="866"/>
      <c r="AL137" s="866"/>
      <c r="AM137" s="866"/>
      <c r="AN137" s="866"/>
      <c r="AO137" s="866"/>
      <c r="AP137" s="866"/>
      <c r="AQ137" s="861"/>
      <c r="AR137" s="866"/>
      <c r="AS137" s="866"/>
      <c r="AT137" s="866"/>
      <c r="AU137" s="866"/>
      <c r="AV137" s="866"/>
      <c r="AW137" s="866"/>
      <c r="AX137" s="866"/>
      <c r="AY137" s="866"/>
      <c r="AZ137" s="866"/>
      <c r="BA137" s="861"/>
      <c r="BB137" s="866"/>
      <c r="BC137" s="866"/>
      <c r="BD137" s="866"/>
      <c r="BE137" s="866"/>
      <c r="BF137" s="866"/>
      <c r="BG137" s="866"/>
      <c r="BH137" s="866"/>
      <c r="BI137" s="866"/>
      <c r="BJ137" s="866"/>
      <c r="BK137" s="861"/>
      <c r="BL137" s="866"/>
      <c r="BM137" s="866"/>
      <c r="BN137" s="866"/>
      <c r="BO137" s="866"/>
      <c r="BP137" s="866"/>
      <c r="BQ137" s="866"/>
      <c r="BR137" s="866"/>
      <c r="BS137" s="866"/>
      <c r="BT137" s="866"/>
      <c r="BU137" s="866"/>
      <c r="BV137" s="866"/>
      <c r="BW137" s="866"/>
      <c r="BX137" s="866"/>
      <c r="BY137" s="866"/>
      <c r="BZ137" s="866"/>
      <c r="CA137" s="866"/>
    </row>
    <row r="138" spans="1:91" ht="12.75" x14ac:dyDescent="0.2">
      <c r="A138" s="718"/>
      <c r="B138" s="718"/>
      <c r="C138" s="861"/>
      <c r="D138" s="866"/>
      <c r="E138" s="866"/>
      <c r="F138" s="866"/>
      <c r="G138" s="866"/>
      <c r="H138" s="866"/>
      <c r="I138" s="866"/>
      <c r="J138" s="866"/>
      <c r="K138" s="866"/>
      <c r="L138" s="866"/>
      <c r="M138" s="861"/>
      <c r="N138" s="866"/>
      <c r="O138" s="866"/>
      <c r="P138" s="866"/>
      <c r="Q138" s="866"/>
      <c r="R138" s="866"/>
      <c r="S138" s="866"/>
      <c r="T138" s="866"/>
      <c r="U138" s="866"/>
      <c r="V138" s="866"/>
      <c r="W138" s="861"/>
      <c r="X138" s="866"/>
      <c r="Y138" s="866"/>
      <c r="Z138" s="866"/>
      <c r="AA138" s="866"/>
      <c r="AB138" s="866"/>
      <c r="AC138" s="866"/>
      <c r="AD138" s="866"/>
      <c r="AE138" s="866"/>
      <c r="AF138" s="866"/>
      <c r="AG138" s="861"/>
      <c r="AH138" s="866"/>
      <c r="AI138" s="866"/>
      <c r="AJ138" s="866"/>
      <c r="AK138" s="866"/>
      <c r="AL138" s="866"/>
      <c r="AM138" s="866"/>
      <c r="AN138" s="866"/>
      <c r="AO138" s="866"/>
      <c r="AP138" s="866"/>
      <c r="AQ138" s="861"/>
      <c r="AR138" s="866"/>
      <c r="AS138" s="866"/>
      <c r="AT138" s="866"/>
      <c r="AU138" s="866"/>
      <c r="AV138" s="866"/>
      <c r="AW138" s="866"/>
      <c r="AX138" s="866"/>
      <c r="AY138" s="866"/>
      <c r="AZ138" s="866"/>
      <c r="BA138" s="861"/>
      <c r="BB138" s="866"/>
      <c r="BC138" s="866"/>
      <c r="BD138" s="866"/>
      <c r="BE138" s="866"/>
      <c r="BF138" s="866"/>
      <c r="BG138" s="866"/>
      <c r="BH138" s="866"/>
      <c r="BI138" s="866"/>
      <c r="BJ138" s="866"/>
      <c r="BK138" s="861"/>
      <c r="BL138" s="866"/>
      <c r="BM138" s="866"/>
      <c r="BN138" s="866"/>
      <c r="BO138" s="866"/>
      <c r="BP138" s="866"/>
      <c r="BQ138" s="866"/>
      <c r="BR138" s="866"/>
      <c r="BS138" s="866"/>
      <c r="BT138" s="866"/>
      <c r="BU138" s="866"/>
      <c r="BV138" s="866"/>
      <c r="BW138" s="866"/>
      <c r="BX138" s="866"/>
      <c r="BY138" s="866"/>
      <c r="BZ138" s="866"/>
      <c r="CA138" s="866"/>
    </row>
  </sheetData>
  <mergeCells count="1">
    <mergeCell ref="C2:AJ2"/>
  </mergeCells>
  <phoneticPr fontId="18" type="noConversion"/>
  <pageMargins left="0.25" right="0.25" top="1" bottom="1" header="0.5" footer="0.5"/>
  <pageSetup scale="16" orientation="landscape" r:id="rId1"/>
  <headerFooter alignWithMargins="0"/>
  <ignoredErrors>
    <ignoredError sqref="C32:C33 C27:C29 C24" unlockedFormula="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3:Q61"/>
  <sheetViews>
    <sheetView zoomScale="90" zoomScaleNormal="90" workbookViewId="0">
      <selection activeCell="D35" sqref="D35"/>
    </sheetView>
  </sheetViews>
  <sheetFormatPr defaultRowHeight="12.75" x14ac:dyDescent="0.2"/>
  <cols>
    <col min="3" max="4" width="13.5703125" customWidth="1"/>
  </cols>
  <sheetData>
    <row r="3" spans="2:17" x14ac:dyDescent="0.2">
      <c r="B3" t="s">
        <v>1539</v>
      </c>
    </row>
    <row r="4" spans="2:17" ht="13.5" thickBot="1" x14ac:dyDescent="0.25"/>
    <row r="5" spans="2:17" ht="16.5" thickBot="1" x14ac:dyDescent="0.3">
      <c r="B5" s="253" t="s">
        <v>1514</v>
      </c>
      <c r="C5" s="254" t="s">
        <v>1540</v>
      </c>
      <c r="D5" s="254" t="s">
        <v>1541</v>
      </c>
      <c r="E5" s="254" t="s">
        <v>1542</v>
      </c>
      <c r="F5" s="254" t="s">
        <v>1543</v>
      </c>
      <c r="G5" s="255" t="s">
        <v>1544</v>
      </c>
      <c r="J5" t="s">
        <v>1545</v>
      </c>
    </row>
    <row r="6" spans="2:17" ht="16.5" thickBot="1" x14ac:dyDescent="0.3">
      <c r="B6" s="256">
        <v>2017</v>
      </c>
      <c r="C6" s="257">
        <v>3452314</v>
      </c>
      <c r="D6" s="257">
        <v>3167934</v>
      </c>
      <c r="E6" s="257">
        <v>284381</v>
      </c>
      <c r="F6" s="258">
        <v>8.2000000000000003E-2</v>
      </c>
      <c r="G6" s="259">
        <f t="shared" ref="G6:G20" si="0">F6/F$20</f>
        <v>0.21866666666666668</v>
      </c>
      <c r="J6">
        <v>2015</v>
      </c>
      <c r="K6">
        <v>2020</v>
      </c>
      <c r="L6">
        <v>2025</v>
      </c>
      <c r="M6">
        <v>2030</v>
      </c>
      <c r="N6">
        <v>2035</v>
      </c>
      <c r="O6">
        <v>2040</v>
      </c>
      <c r="P6">
        <v>2045</v>
      </c>
      <c r="Q6">
        <v>2050</v>
      </c>
    </row>
    <row r="7" spans="2:17" ht="16.5" thickBot="1" x14ac:dyDescent="0.3">
      <c r="B7" s="256">
        <v>2018</v>
      </c>
      <c r="C7" s="257">
        <v>3179942</v>
      </c>
      <c r="D7" s="257">
        <v>2890474</v>
      </c>
      <c r="E7" s="257">
        <v>289469</v>
      </c>
      <c r="F7" s="258">
        <v>9.0999999999999998E-2</v>
      </c>
      <c r="G7" s="259">
        <f t="shared" si="0"/>
        <v>0.24266666666666667</v>
      </c>
      <c r="J7" s="261">
        <v>0</v>
      </c>
      <c r="K7" s="261">
        <f>F31</f>
        <v>0.35714285714285704</v>
      </c>
      <c r="L7" s="261">
        <f>F36</f>
        <v>0.63636363636363635</v>
      </c>
      <c r="M7" s="261">
        <f>F41</f>
        <v>0.75</v>
      </c>
      <c r="N7" s="261">
        <f>F46</f>
        <v>0.85</v>
      </c>
      <c r="O7" s="261">
        <f>F51</f>
        <v>0.99285714285714322</v>
      </c>
      <c r="P7" s="261">
        <f>(O7+Q7)/2</f>
        <v>0.99642857142857166</v>
      </c>
      <c r="Q7" s="261">
        <f>G20</f>
        <v>1</v>
      </c>
    </row>
    <row r="8" spans="2:17" ht="16.5" thickBot="1" x14ac:dyDescent="0.3">
      <c r="B8" s="256">
        <v>2019</v>
      </c>
      <c r="C8" s="257">
        <v>2942238</v>
      </c>
      <c r="D8" s="257">
        <v>2646150</v>
      </c>
      <c r="E8" s="257">
        <v>296088</v>
      </c>
      <c r="F8" s="258">
        <v>0.10100000000000001</v>
      </c>
      <c r="G8" s="259">
        <f t="shared" si="0"/>
        <v>0.26933333333333337</v>
      </c>
    </row>
    <row r="9" spans="2:17" ht="16.5" thickBot="1" x14ac:dyDescent="0.3">
      <c r="B9" s="256">
        <v>2020</v>
      </c>
      <c r="C9" s="257">
        <v>2732380</v>
      </c>
      <c r="D9" s="257">
        <v>2429517</v>
      </c>
      <c r="E9" s="257">
        <v>302863</v>
      </c>
      <c r="F9" s="258">
        <v>0.111</v>
      </c>
      <c r="G9" s="259">
        <f t="shared" si="0"/>
        <v>0.29599999999999999</v>
      </c>
    </row>
    <row r="10" spans="2:17" ht="16.5" thickBot="1" x14ac:dyDescent="0.3">
      <c r="B10" s="256">
        <v>2021</v>
      </c>
      <c r="C10" s="257">
        <v>2557573</v>
      </c>
      <c r="D10" s="257">
        <v>2241209</v>
      </c>
      <c r="E10" s="257">
        <v>316364</v>
      </c>
      <c r="F10" s="258">
        <v>0.124</v>
      </c>
      <c r="G10" s="259">
        <f t="shared" si="0"/>
        <v>0.33066666666666666</v>
      </c>
      <c r="J10" t="s">
        <v>1546</v>
      </c>
    </row>
    <row r="11" spans="2:17" ht="16.5" thickBot="1" x14ac:dyDescent="0.3">
      <c r="B11" s="256">
        <v>2022</v>
      </c>
      <c r="C11" s="257">
        <v>2427305</v>
      </c>
      <c r="D11" s="257">
        <v>2091971</v>
      </c>
      <c r="E11" s="257">
        <v>335335</v>
      </c>
      <c r="F11" s="258">
        <v>0.13800000000000001</v>
      </c>
      <c r="G11" s="259">
        <f t="shared" si="0"/>
        <v>0.36800000000000005</v>
      </c>
      <c r="J11">
        <v>2015</v>
      </c>
      <c r="K11">
        <v>2020</v>
      </c>
      <c r="L11">
        <v>2025</v>
      </c>
      <c r="M11">
        <v>2030</v>
      </c>
      <c r="N11">
        <v>2035</v>
      </c>
      <c r="O11">
        <v>2040</v>
      </c>
      <c r="P11">
        <v>2045</v>
      </c>
      <c r="Q11">
        <v>2050</v>
      </c>
    </row>
    <row r="12" spans="2:17" ht="16.5" thickBot="1" x14ac:dyDescent="0.3">
      <c r="B12" s="256">
        <v>2023</v>
      </c>
      <c r="C12" s="257">
        <v>2304619</v>
      </c>
      <c r="D12" s="257">
        <v>1950687</v>
      </c>
      <c r="E12" s="257">
        <v>353932</v>
      </c>
      <c r="F12" s="258">
        <v>0.154</v>
      </c>
      <c r="G12" s="259">
        <f t="shared" si="0"/>
        <v>0.41066666666666668</v>
      </c>
      <c r="I12" t="s">
        <v>1308</v>
      </c>
      <c r="J12" s="262">
        <f t="shared" ref="J12:J18" si="1">J$7*$Q12</f>
        <v>0</v>
      </c>
      <c r="K12" s="262">
        <f t="shared" ref="K12:P18" si="2">K$7*$Q12</f>
        <v>0.1339285714285714</v>
      </c>
      <c r="L12" s="262">
        <f t="shared" si="2"/>
        <v>0.23863636363636365</v>
      </c>
      <c r="M12" s="262">
        <f t="shared" si="2"/>
        <v>0.28125</v>
      </c>
      <c r="N12" s="262">
        <f t="shared" si="2"/>
        <v>0.31874999999999998</v>
      </c>
      <c r="O12" s="262">
        <f t="shared" si="2"/>
        <v>0.37232142857142869</v>
      </c>
      <c r="P12" s="262">
        <f t="shared" si="2"/>
        <v>0.37366071428571435</v>
      </c>
      <c r="Q12">
        <v>0.375</v>
      </c>
    </row>
    <row r="13" spans="2:17" ht="16.5" thickBot="1" x14ac:dyDescent="0.3">
      <c r="B13" s="256">
        <v>2024</v>
      </c>
      <c r="C13" s="257">
        <v>2196463</v>
      </c>
      <c r="D13" s="257">
        <v>1823335</v>
      </c>
      <c r="E13" s="257">
        <v>373128</v>
      </c>
      <c r="F13" s="258">
        <v>0.17</v>
      </c>
      <c r="G13" s="259">
        <f t="shared" si="0"/>
        <v>0.45333333333333337</v>
      </c>
      <c r="I13" t="s">
        <v>133</v>
      </c>
      <c r="J13" s="262">
        <f t="shared" si="1"/>
        <v>0</v>
      </c>
      <c r="K13" s="262">
        <f t="shared" si="2"/>
        <v>0.17857142857142852</v>
      </c>
      <c r="L13" s="262">
        <f t="shared" si="2"/>
        <v>0.31818181818181818</v>
      </c>
      <c r="M13" s="262">
        <f t="shared" si="2"/>
        <v>0.375</v>
      </c>
      <c r="N13" s="262">
        <f t="shared" si="2"/>
        <v>0.42499999999999999</v>
      </c>
      <c r="O13" s="262">
        <f t="shared" si="2"/>
        <v>0.49642857142857161</v>
      </c>
      <c r="P13" s="262">
        <f t="shared" si="2"/>
        <v>0.49821428571428583</v>
      </c>
      <c r="Q13">
        <v>0.5</v>
      </c>
    </row>
    <row r="14" spans="2:17" ht="16.5" thickBot="1" x14ac:dyDescent="0.3">
      <c r="B14" s="256">
        <v>2025</v>
      </c>
      <c r="C14" s="257">
        <v>2115326</v>
      </c>
      <c r="D14" s="257">
        <v>1717083</v>
      </c>
      <c r="E14" s="257">
        <v>398244</v>
      </c>
      <c r="F14" s="258">
        <v>0.188</v>
      </c>
      <c r="G14" s="259">
        <f t="shared" si="0"/>
        <v>0.5013333333333333</v>
      </c>
      <c r="I14" t="s">
        <v>1309</v>
      </c>
      <c r="J14" s="262">
        <f t="shared" si="1"/>
        <v>0</v>
      </c>
      <c r="K14" s="262">
        <f t="shared" si="2"/>
        <v>0.17857142857142852</v>
      </c>
      <c r="L14" s="262">
        <f t="shared" si="2"/>
        <v>0.31818181818181818</v>
      </c>
      <c r="M14" s="262">
        <f t="shared" si="2"/>
        <v>0.375</v>
      </c>
      <c r="N14" s="262">
        <f t="shared" si="2"/>
        <v>0.42499999999999999</v>
      </c>
      <c r="O14" s="262">
        <f t="shared" si="2"/>
        <v>0.49642857142857161</v>
      </c>
      <c r="P14" s="262">
        <f t="shared" si="2"/>
        <v>0.49821428571428583</v>
      </c>
      <c r="Q14">
        <v>0.5</v>
      </c>
    </row>
    <row r="15" spans="2:17" ht="16.5" thickBot="1" x14ac:dyDescent="0.3">
      <c r="B15" s="256">
        <v>2026</v>
      </c>
      <c r="C15" s="257">
        <v>2040468</v>
      </c>
      <c r="D15" s="257">
        <v>1617809</v>
      </c>
      <c r="E15" s="257">
        <v>422659</v>
      </c>
      <c r="F15" s="258">
        <v>0.20699999999999999</v>
      </c>
      <c r="G15" s="259">
        <f t="shared" si="0"/>
        <v>0.55199999999999994</v>
      </c>
      <c r="I15" t="s">
        <v>145</v>
      </c>
      <c r="J15" s="262">
        <f t="shared" si="1"/>
        <v>0</v>
      </c>
      <c r="K15" s="262">
        <f t="shared" si="2"/>
        <v>0.1339285714285714</v>
      </c>
      <c r="L15" s="262">
        <f t="shared" si="2"/>
        <v>0.23863636363636365</v>
      </c>
      <c r="M15" s="262">
        <f t="shared" si="2"/>
        <v>0.28125</v>
      </c>
      <c r="N15" s="262">
        <f t="shared" si="2"/>
        <v>0.31874999999999998</v>
      </c>
      <c r="O15" s="262">
        <f t="shared" si="2"/>
        <v>0.37232142857142869</v>
      </c>
      <c r="P15" s="262">
        <f t="shared" si="2"/>
        <v>0.37366071428571435</v>
      </c>
      <c r="Q15">
        <v>0.375</v>
      </c>
    </row>
    <row r="16" spans="2:17" ht="16.5" thickBot="1" x14ac:dyDescent="0.3">
      <c r="B16" s="256">
        <v>2027</v>
      </c>
      <c r="C16" s="257">
        <v>1989071</v>
      </c>
      <c r="D16" s="257">
        <v>1540270</v>
      </c>
      <c r="E16" s="257">
        <v>448801</v>
      </c>
      <c r="F16" s="258">
        <v>0.22600000000000001</v>
      </c>
      <c r="G16" s="259">
        <f t="shared" si="0"/>
        <v>0.60266666666666668</v>
      </c>
      <c r="I16" t="s">
        <v>137</v>
      </c>
      <c r="J16" s="262">
        <f t="shared" si="1"/>
        <v>0</v>
      </c>
      <c r="K16" s="262">
        <f t="shared" si="2"/>
        <v>7.1428571428571411E-2</v>
      </c>
      <c r="L16" s="262">
        <f t="shared" si="2"/>
        <v>0.12727272727272729</v>
      </c>
      <c r="M16" s="262">
        <f t="shared" si="2"/>
        <v>0.15000000000000002</v>
      </c>
      <c r="N16" s="262">
        <f t="shared" si="2"/>
        <v>0.17</v>
      </c>
      <c r="O16" s="262">
        <f t="shared" si="2"/>
        <v>0.19857142857142865</v>
      </c>
      <c r="P16" s="262">
        <f t="shared" si="2"/>
        <v>0.19928571428571434</v>
      </c>
      <c r="Q16">
        <v>0.2</v>
      </c>
    </row>
    <row r="17" spans="2:17" ht="16.5" thickBot="1" x14ac:dyDescent="0.3">
      <c r="B17" s="256">
        <v>2028</v>
      </c>
      <c r="C17" s="257">
        <v>1942891</v>
      </c>
      <c r="D17" s="257">
        <v>1469181</v>
      </c>
      <c r="E17" s="257">
        <v>473710</v>
      </c>
      <c r="F17" s="258">
        <v>0.24399999999999999</v>
      </c>
      <c r="G17" s="259">
        <f t="shared" si="0"/>
        <v>0.65066666666666662</v>
      </c>
      <c r="I17" t="s">
        <v>151</v>
      </c>
      <c r="J17" s="262">
        <f t="shared" si="1"/>
        <v>0</v>
      </c>
      <c r="K17" s="262">
        <f t="shared" si="2"/>
        <v>0.17857142857142852</v>
      </c>
      <c r="L17" s="262">
        <f t="shared" si="2"/>
        <v>0.31818181818181818</v>
      </c>
      <c r="M17" s="262">
        <f t="shared" si="2"/>
        <v>0.375</v>
      </c>
      <c r="N17" s="262">
        <f t="shared" si="2"/>
        <v>0.42499999999999999</v>
      </c>
      <c r="O17" s="262">
        <f t="shared" si="2"/>
        <v>0.49642857142857161</v>
      </c>
      <c r="P17" s="262">
        <f t="shared" si="2"/>
        <v>0.49821428571428583</v>
      </c>
      <c r="Q17">
        <v>0.5</v>
      </c>
    </row>
    <row r="18" spans="2:17" ht="16.5" thickBot="1" x14ac:dyDescent="0.3">
      <c r="B18" s="256">
        <v>2029</v>
      </c>
      <c r="C18" s="257">
        <v>1913717</v>
      </c>
      <c r="D18" s="257">
        <v>1413482</v>
      </c>
      <c r="E18" s="257">
        <v>500234</v>
      </c>
      <c r="F18" s="258">
        <v>0.26100000000000001</v>
      </c>
      <c r="G18" s="259">
        <f t="shared" si="0"/>
        <v>0.69600000000000006</v>
      </c>
      <c r="I18" t="s">
        <v>153</v>
      </c>
      <c r="J18" s="262">
        <f t="shared" si="1"/>
        <v>0</v>
      </c>
      <c r="K18" s="262">
        <f t="shared" si="2"/>
        <v>0.17857142857142852</v>
      </c>
      <c r="L18" s="262">
        <f t="shared" si="2"/>
        <v>0.31818181818181818</v>
      </c>
      <c r="M18" s="262">
        <f t="shared" si="2"/>
        <v>0.375</v>
      </c>
      <c r="N18" s="262">
        <f t="shared" si="2"/>
        <v>0.42499999999999999</v>
      </c>
      <c r="O18" s="262">
        <f t="shared" si="2"/>
        <v>0.49642857142857161</v>
      </c>
      <c r="P18" s="262">
        <f t="shared" si="2"/>
        <v>0.49821428571428583</v>
      </c>
      <c r="Q18">
        <v>0.5</v>
      </c>
    </row>
    <row r="19" spans="2:17" ht="16.5" thickBot="1" x14ac:dyDescent="0.3">
      <c r="B19" s="256">
        <v>2030</v>
      </c>
      <c r="C19" s="257">
        <v>1890403</v>
      </c>
      <c r="D19" s="257">
        <v>1365613</v>
      </c>
      <c r="E19" s="257">
        <v>524790</v>
      </c>
      <c r="F19" s="258">
        <v>0.27800000000000002</v>
      </c>
      <c r="G19" s="259">
        <f t="shared" si="0"/>
        <v>0.7413333333333334</v>
      </c>
    </row>
    <row r="20" spans="2:17" ht="16.5" thickBot="1" x14ac:dyDescent="0.3">
      <c r="B20" s="256">
        <v>2050</v>
      </c>
      <c r="C20" s="257">
        <v>2410373</v>
      </c>
      <c r="D20" s="257">
        <v>1507204</v>
      </c>
      <c r="E20" s="257">
        <v>903170</v>
      </c>
      <c r="F20" s="258">
        <v>0.375</v>
      </c>
      <c r="G20" s="259">
        <f t="shared" si="0"/>
        <v>1</v>
      </c>
      <c r="I20" t="s">
        <v>125</v>
      </c>
      <c r="J20">
        <v>0.66</v>
      </c>
    </row>
    <row r="21" spans="2:17" x14ac:dyDescent="0.2">
      <c r="B21" s="85"/>
      <c r="C21" s="85"/>
      <c r="D21" s="85"/>
      <c r="E21" s="85"/>
      <c r="F21" s="85"/>
      <c r="G21" s="85"/>
    </row>
    <row r="22" spans="2:17" x14ac:dyDescent="0.2">
      <c r="B22" s="260" t="s">
        <v>1547</v>
      </c>
      <c r="C22" s="85"/>
      <c r="D22" s="85"/>
      <c r="E22" s="85"/>
      <c r="F22" s="85"/>
      <c r="G22" s="85"/>
    </row>
    <row r="24" spans="2:17" x14ac:dyDescent="0.2">
      <c r="B24" t="s">
        <v>1548</v>
      </c>
    </row>
    <row r="25" spans="2:17" x14ac:dyDescent="0.2">
      <c r="B25" t="s">
        <v>1549</v>
      </c>
    </row>
    <row r="26" spans="2:17" x14ac:dyDescent="0.2">
      <c r="B26">
        <v>2015</v>
      </c>
      <c r="C26">
        <f>H30</f>
        <v>1000</v>
      </c>
    </row>
    <row r="27" spans="2:17" x14ac:dyDescent="0.2">
      <c r="B27">
        <v>2016</v>
      </c>
      <c r="C27">
        <f t="shared" ref="C27:C32" si="3">C26-($C$26-$C$33)/7</f>
        <v>946.42857142857144</v>
      </c>
      <c r="D27">
        <f>SUM($C$26:C27)/COUNT($C$26:C27)</f>
        <v>973.21428571428578</v>
      </c>
      <c r="E27">
        <f>1-D27/$C$26</f>
        <v>2.6785714285714191E-2</v>
      </c>
      <c r="F27" s="263">
        <f>E27/$E$61</f>
        <v>7.1428571428571175E-2</v>
      </c>
    </row>
    <row r="28" spans="2:17" x14ac:dyDescent="0.2">
      <c r="B28">
        <v>2017</v>
      </c>
      <c r="C28">
        <f t="shared" si="3"/>
        <v>892.85714285714289</v>
      </c>
      <c r="D28">
        <f>SUM($C$26:C28)/COUNT($C$26:C28)</f>
        <v>946.42857142857156</v>
      </c>
      <c r="E28">
        <f t="shared" ref="E28:E61" si="4">1-D28/$C$26</f>
        <v>5.3571428571428492E-2</v>
      </c>
      <c r="F28" s="263">
        <f t="shared" ref="F28:F61" si="5">E28/$E$61</f>
        <v>0.14285714285714265</v>
      </c>
      <c r="H28" t="s">
        <v>1550</v>
      </c>
    </row>
    <row r="29" spans="2:17" x14ac:dyDescent="0.2">
      <c r="B29">
        <v>2018</v>
      </c>
      <c r="C29">
        <f t="shared" si="3"/>
        <v>839.28571428571433</v>
      </c>
      <c r="D29">
        <f>SUM($C$26:C29)/COUNT($C$26:C29)</f>
        <v>919.64285714285722</v>
      </c>
      <c r="E29">
        <f t="shared" si="4"/>
        <v>8.0357142857142794E-2</v>
      </c>
      <c r="F29" s="263">
        <f t="shared" si="5"/>
        <v>0.21428571428571411</v>
      </c>
      <c r="H29" t="s">
        <v>1551</v>
      </c>
    </row>
    <row r="30" spans="2:17" x14ac:dyDescent="0.2">
      <c r="B30">
        <v>2019</v>
      </c>
      <c r="C30">
        <f t="shared" si="3"/>
        <v>785.71428571428578</v>
      </c>
      <c r="D30">
        <f>SUM($C$26:C30)/COUNT($C$26:C30)</f>
        <v>892.85714285714289</v>
      </c>
      <c r="E30">
        <f t="shared" si="4"/>
        <v>0.1071428571428571</v>
      </c>
      <c r="F30" s="263">
        <f t="shared" si="5"/>
        <v>0.28571428571428559</v>
      </c>
      <c r="H30">
        <v>1000</v>
      </c>
      <c r="I30" t="s">
        <v>1552</v>
      </c>
    </row>
    <row r="31" spans="2:17" x14ac:dyDescent="0.2">
      <c r="B31">
        <v>2020</v>
      </c>
      <c r="C31">
        <f t="shared" si="3"/>
        <v>732.14285714285722</v>
      </c>
      <c r="D31">
        <f>SUM($C$26:C31)/COUNT($C$26:C31)</f>
        <v>866.07142857142856</v>
      </c>
      <c r="E31">
        <f t="shared" si="4"/>
        <v>0.1339285714285714</v>
      </c>
      <c r="F31" s="263">
        <f t="shared" si="5"/>
        <v>0.35714285714285704</v>
      </c>
      <c r="H31">
        <v>625</v>
      </c>
      <c r="I31" t="s">
        <v>1553</v>
      </c>
    </row>
    <row r="32" spans="2:17" x14ac:dyDescent="0.2">
      <c r="B32">
        <v>2021</v>
      </c>
      <c r="C32">
        <f t="shared" si="3"/>
        <v>678.57142857142867</v>
      </c>
      <c r="D32">
        <f>SUM($C$26:C32)/COUNT($C$26:C32)</f>
        <v>839.28571428571433</v>
      </c>
      <c r="E32">
        <f t="shared" si="4"/>
        <v>0.1607142857142857</v>
      </c>
      <c r="F32" s="263">
        <f t="shared" si="5"/>
        <v>0.42857142857142855</v>
      </c>
    </row>
    <row r="33" spans="2:6" x14ac:dyDescent="0.2">
      <c r="B33">
        <v>2022</v>
      </c>
      <c r="C33">
        <v>625</v>
      </c>
      <c r="D33">
        <f>SUM($C$26:C33)/COUNT($C$26:C33)</f>
        <v>812.5</v>
      </c>
      <c r="E33">
        <f t="shared" si="4"/>
        <v>0.1875</v>
      </c>
      <c r="F33" s="263">
        <f t="shared" si="5"/>
        <v>0.5</v>
      </c>
    </row>
    <row r="34" spans="2:6" x14ac:dyDescent="0.2">
      <c r="B34">
        <v>2023</v>
      </c>
      <c r="C34">
        <v>625</v>
      </c>
      <c r="D34">
        <f>SUM($C$26:C34)/COUNT($C$26:C34)</f>
        <v>791.66666666666663</v>
      </c>
      <c r="E34">
        <f t="shared" si="4"/>
        <v>0.20833333333333337</v>
      </c>
      <c r="F34" s="263">
        <f t="shared" si="5"/>
        <v>0.55555555555555569</v>
      </c>
    </row>
    <row r="35" spans="2:6" x14ac:dyDescent="0.2">
      <c r="B35">
        <v>2024</v>
      </c>
      <c r="C35">
        <v>625</v>
      </c>
      <c r="D35">
        <f>SUM($C$26:C35)/COUNT($C$26:C35)</f>
        <v>775</v>
      </c>
      <c r="E35">
        <f t="shared" si="4"/>
        <v>0.22499999999999998</v>
      </c>
      <c r="F35" s="263">
        <f t="shared" si="5"/>
        <v>0.6</v>
      </c>
    </row>
    <row r="36" spans="2:6" x14ac:dyDescent="0.2">
      <c r="B36">
        <v>2025</v>
      </c>
      <c r="C36">
        <f>H31</f>
        <v>625</v>
      </c>
      <c r="D36">
        <f>SUM($C$26:C36)/COUNT($C$26:C36)</f>
        <v>761.36363636363637</v>
      </c>
      <c r="E36">
        <f t="shared" si="4"/>
        <v>0.23863636363636365</v>
      </c>
      <c r="F36" s="263">
        <f t="shared" si="5"/>
        <v>0.63636363636363635</v>
      </c>
    </row>
    <row r="37" spans="2:6" x14ac:dyDescent="0.2">
      <c r="B37">
        <v>2026</v>
      </c>
      <c r="C37">
        <f>C36</f>
        <v>625</v>
      </c>
      <c r="D37">
        <f>SUM($C$26:C37)/COUNT($C$26:C37)</f>
        <v>750</v>
      </c>
      <c r="E37">
        <f t="shared" si="4"/>
        <v>0.25</v>
      </c>
      <c r="F37" s="263">
        <f t="shared" si="5"/>
        <v>0.66666666666666663</v>
      </c>
    </row>
    <row r="38" spans="2:6" x14ac:dyDescent="0.2">
      <c r="B38">
        <v>2027</v>
      </c>
      <c r="C38">
        <f t="shared" ref="C38:C61" si="6">C37</f>
        <v>625</v>
      </c>
      <c r="D38">
        <f>SUM($C$26:C38)/COUNT($C$26:C38)</f>
        <v>740.38461538461536</v>
      </c>
      <c r="E38">
        <f t="shared" si="4"/>
        <v>0.25961538461538469</v>
      </c>
      <c r="F38" s="263">
        <f t="shared" si="5"/>
        <v>0.69230769230769251</v>
      </c>
    </row>
    <row r="39" spans="2:6" x14ac:dyDescent="0.2">
      <c r="B39">
        <v>2028</v>
      </c>
      <c r="C39">
        <f t="shared" si="6"/>
        <v>625</v>
      </c>
      <c r="D39">
        <f>SUM($C$26:C39)/COUNT($C$26:C39)</f>
        <v>732.14285714285711</v>
      </c>
      <c r="E39">
        <f t="shared" si="4"/>
        <v>0.2678571428571429</v>
      </c>
      <c r="F39" s="263">
        <f t="shared" si="5"/>
        <v>0.71428571428571441</v>
      </c>
    </row>
    <row r="40" spans="2:6" x14ac:dyDescent="0.2">
      <c r="B40">
        <v>2029</v>
      </c>
      <c r="C40">
        <f t="shared" si="6"/>
        <v>625</v>
      </c>
      <c r="D40">
        <f>SUM($C$26:C40)/COUNT($C$26:C40)</f>
        <v>725</v>
      </c>
      <c r="E40">
        <f t="shared" si="4"/>
        <v>0.27500000000000002</v>
      </c>
      <c r="F40" s="263">
        <f t="shared" si="5"/>
        <v>0.73333333333333339</v>
      </c>
    </row>
    <row r="41" spans="2:6" x14ac:dyDescent="0.2">
      <c r="B41">
        <v>2030</v>
      </c>
      <c r="C41">
        <f t="shared" si="6"/>
        <v>625</v>
      </c>
      <c r="D41">
        <f>SUM($C$26:C41)/COUNT($C$26:C41)</f>
        <v>718.75</v>
      </c>
      <c r="E41">
        <f t="shared" si="4"/>
        <v>0.28125</v>
      </c>
      <c r="F41" s="263">
        <f t="shared" si="5"/>
        <v>0.75</v>
      </c>
    </row>
    <row r="42" spans="2:6" x14ac:dyDescent="0.2">
      <c r="B42">
        <f>B41+1</f>
        <v>2031</v>
      </c>
      <c r="C42">
        <f t="shared" si="6"/>
        <v>625</v>
      </c>
      <c r="D42">
        <f>SUM($C$26:C42)/COUNT($C$26:C42)</f>
        <v>713.23529411764707</v>
      </c>
      <c r="E42">
        <f t="shared" si="4"/>
        <v>0.28676470588235292</v>
      </c>
      <c r="F42" s="263">
        <f t="shared" si="5"/>
        <v>0.76470588235294112</v>
      </c>
    </row>
    <row r="43" spans="2:6" x14ac:dyDescent="0.2">
      <c r="B43">
        <f t="shared" ref="B43:B61" si="7">B42+1</f>
        <v>2032</v>
      </c>
      <c r="C43">
        <f t="shared" si="6"/>
        <v>625</v>
      </c>
      <c r="D43">
        <f>SUM($C$26:C43)/COUNT($C$26:C43)</f>
        <v>708.33333333333337</v>
      </c>
      <c r="E43">
        <f t="shared" si="4"/>
        <v>0.29166666666666663</v>
      </c>
      <c r="F43" s="263">
        <f t="shared" si="5"/>
        <v>0.77777777777777768</v>
      </c>
    </row>
    <row r="44" spans="2:6" x14ac:dyDescent="0.2">
      <c r="B44">
        <f t="shared" si="7"/>
        <v>2033</v>
      </c>
      <c r="C44">
        <f t="shared" si="6"/>
        <v>625</v>
      </c>
      <c r="D44">
        <f>SUM($C$26:C44)/COUNT($C$26:C44)</f>
        <v>703.9473684210526</v>
      </c>
      <c r="E44">
        <f t="shared" si="4"/>
        <v>0.29605263157894735</v>
      </c>
      <c r="F44" s="263">
        <f t="shared" si="5"/>
        <v>0.78947368421052622</v>
      </c>
    </row>
    <row r="45" spans="2:6" x14ac:dyDescent="0.2">
      <c r="B45">
        <f t="shared" si="7"/>
        <v>2034</v>
      </c>
      <c r="C45">
        <f t="shared" si="6"/>
        <v>625</v>
      </c>
      <c r="D45">
        <f>SUM($C$26:C45)/COUNT($C$26:C45)</f>
        <v>700</v>
      </c>
      <c r="E45">
        <f t="shared" si="4"/>
        <v>0.30000000000000004</v>
      </c>
      <c r="F45" s="263">
        <f t="shared" si="5"/>
        <v>0.80000000000000016</v>
      </c>
    </row>
    <row r="46" spans="2:6" x14ac:dyDescent="0.2">
      <c r="B46">
        <f t="shared" si="7"/>
        <v>2035</v>
      </c>
      <c r="C46">
        <f t="shared" si="6"/>
        <v>625</v>
      </c>
      <c r="D46">
        <f t="shared" ref="D46:D61" si="8">AVERAGE(C27:C46)</f>
        <v>681.25</v>
      </c>
      <c r="E46">
        <f t="shared" si="4"/>
        <v>0.31874999999999998</v>
      </c>
      <c r="F46" s="263">
        <f t="shared" si="5"/>
        <v>0.85</v>
      </c>
    </row>
    <row r="47" spans="2:6" x14ac:dyDescent="0.2">
      <c r="B47">
        <f t="shared" si="7"/>
        <v>2036</v>
      </c>
      <c r="C47">
        <f t="shared" si="6"/>
        <v>625</v>
      </c>
      <c r="D47">
        <f t="shared" si="8"/>
        <v>665.17857142857144</v>
      </c>
      <c r="E47">
        <f t="shared" si="4"/>
        <v>0.3348214285714286</v>
      </c>
      <c r="F47" s="263">
        <f t="shared" si="5"/>
        <v>0.8928571428571429</v>
      </c>
    </row>
    <row r="48" spans="2:6" x14ac:dyDescent="0.2">
      <c r="B48">
        <f t="shared" si="7"/>
        <v>2037</v>
      </c>
      <c r="C48">
        <f t="shared" si="6"/>
        <v>625</v>
      </c>
      <c r="D48">
        <f t="shared" si="8"/>
        <v>651.78571428571433</v>
      </c>
      <c r="E48">
        <f t="shared" si="4"/>
        <v>0.3482142857142857</v>
      </c>
      <c r="F48" s="263">
        <f t="shared" si="5"/>
        <v>0.92857142857142849</v>
      </c>
    </row>
    <row r="49" spans="2:6" x14ac:dyDescent="0.2">
      <c r="B49">
        <f t="shared" si="7"/>
        <v>2038</v>
      </c>
      <c r="C49">
        <f t="shared" si="6"/>
        <v>625</v>
      </c>
      <c r="D49">
        <f t="shared" si="8"/>
        <v>641.07142857142867</v>
      </c>
      <c r="E49">
        <f t="shared" si="4"/>
        <v>0.35892857142857137</v>
      </c>
      <c r="F49" s="263">
        <f t="shared" si="5"/>
        <v>0.95714285714285696</v>
      </c>
    </row>
    <row r="50" spans="2:6" x14ac:dyDescent="0.2">
      <c r="B50">
        <f t="shared" si="7"/>
        <v>2039</v>
      </c>
      <c r="C50">
        <f t="shared" si="6"/>
        <v>625</v>
      </c>
      <c r="D50">
        <f t="shared" si="8"/>
        <v>633.03571428571433</v>
      </c>
      <c r="E50">
        <f t="shared" si="4"/>
        <v>0.36696428571428563</v>
      </c>
      <c r="F50" s="263">
        <f t="shared" si="5"/>
        <v>0.97857142857142831</v>
      </c>
    </row>
    <row r="51" spans="2:6" x14ac:dyDescent="0.2">
      <c r="B51">
        <f t="shared" si="7"/>
        <v>2040</v>
      </c>
      <c r="C51">
        <f t="shared" si="6"/>
        <v>625</v>
      </c>
      <c r="D51">
        <f t="shared" si="8"/>
        <v>627.67857142857133</v>
      </c>
      <c r="E51">
        <f t="shared" si="4"/>
        <v>0.37232142857142869</v>
      </c>
      <c r="F51" s="263">
        <f t="shared" si="5"/>
        <v>0.99285714285714322</v>
      </c>
    </row>
    <row r="52" spans="2:6" x14ac:dyDescent="0.2">
      <c r="B52">
        <f t="shared" si="7"/>
        <v>2041</v>
      </c>
      <c r="C52">
        <f t="shared" si="6"/>
        <v>625</v>
      </c>
      <c r="D52">
        <f t="shared" si="8"/>
        <v>625</v>
      </c>
      <c r="E52">
        <f t="shared" si="4"/>
        <v>0.375</v>
      </c>
      <c r="F52" s="263">
        <f t="shared" si="5"/>
        <v>1</v>
      </c>
    </row>
    <row r="53" spans="2:6" x14ac:dyDescent="0.2">
      <c r="B53">
        <f t="shared" si="7"/>
        <v>2042</v>
      </c>
      <c r="C53">
        <f t="shared" si="6"/>
        <v>625</v>
      </c>
      <c r="D53">
        <f t="shared" si="8"/>
        <v>625</v>
      </c>
      <c r="E53">
        <f t="shared" si="4"/>
        <v>0.375</v>
      </c>
      <c r="F53" s="263">
        <f t="shared" si="5"/>
        <v>1</v>
      </c>
    </row>
    <row r="54" spans="2:6" x14ac:dyDescent="0.2">
      <c r="B54">
        <f t="shared" si="7"/>
        <v>2043</v>
      </c>
      <c r="C54">
        <f t="shared" si="6"/>
        <v>625</v>
      </c>
      <c r="D54">
        <f t="shared" si="8"/>
        <v>625</v>
      </c>
      <c r="E54">
        <f t="shared" si="4"/>
        <v>0.375</v>
      </c>
      <c r="F54" s="263">
        <f t="shared" si="5"/>
        <v>1</v>
      </c>
    </row>
    <row r="55" spans="2:6" x14ac:dyDescent="0.2">
      <c r="B55">
        <f t="shared" si="7"/>
        <v>2044</v>
      </c>
      <c r="C55">
        <f t="shared" si="6"/>
        <v>625</v>
      </c>
      <c r="D55">
        <f t="shared" si="8"/>
        <v>625</v>
      </c>
      <c r="E55">
        <f t="shared" si="4"/>
        <v>0.375</v>
      </c>
      <c r="F55" s="263">
        <f t="shared" si="5"/>
        <v>1</v>
      </c>
    </row>
    <row r="56" spans="2:6" x14ac:dyDescent="0.2">
      <c r="B56">
        <f t="shared" si="7"/>
        <v>2045</v>
      </c>
      <c r="C56">
        <f t="shared" si="6"/>
        <v>625</v>
      </c>
      <c r="D56">
        <f t="shared" si="8"/>
        <v>625</v>
      </c>
      <c r="E56">
        <f t="shared" si="4"/>
        <v>0.375</v>
      </c>
      <c r="F56" s="263">
        <f t="shared" si="5"/>
        <v>1</v>
      </c>
    </row>
    <row r="57" spans="2:6" x14ac:dyDescent="0.2">
      <c r="B57">
        <f t="shared" si="7"/>
        <v>2046</v>
      </c>
      <c r="C57">
        <f t="shared" si="6"/>
        <v>625</v>
      </c>
      <c r="D57">
        <f t="shared" si="8"/>
        <v>625</v>
      </c>
      <c r="E57">
        <f t="shared" si="4"/>
        <v>0.375</v>
      </c>
      <c r="F57" s="263">
        <f t="shared" si="5"/>
        <v>1</v>
      </c>
    </row>
    <row r="58" spans="2:6" x14ac:dyDescent="0.2">
      <c r="B58">
        <f t="shared" si="7"/>
        <v>2047</v>
      </c>
      <c r="C58">
        <f t="shared" si="6"/>
        <v>625</v>
      </c>
      <c r="D58">
        <f t="shared" si="8"/>
        <v>625</v>
      </c>
      <c r="E58">
        <f t="shared" si="4"/>
        <v>0.375</v>
      </c>
      <c r="F58" s="263">
        <f t="shared" si="5"/>
        <v>1</v>
      </c>
    </row>
    <row r="59" spans="2:6" x14ac:dyDescent="0.2">
      <c r="B59">
        <f t="shared" si="7"/>
        <v>2048</v>
      </c>
      <c r="C59">
        <f t="shared" si="6"/>
        <v>625</v>
      </c>
      <c r="D59">
        <f t="shared" si="8"/>
        <v>625</v>
      </c>
      <c r="E59">
        <f t="shared" si="4"/>
        <v>0.375</v>
      </c>
      <c r="F59" s="263">
        <f t="shared" si="5"/>
        <v>1</v>
      </c>
    </row>
    <row r="60" spans="2:6" x14ac:dyDescent="0.2">
      <c r="B60">
        <f t="shared" si="7"/>
        <v>2049</v>
      </c>
      <c r="C60">
        <f t="shared" si="6"/>
        <v>625</v>
      </c>
      <c r="D60">
        <f t="shared" si="8"/>
        <v>625</v>
      </c>
      <c r="E60">
        <f t="shared" si="4"/>
        <v>0.375</v>
      </c>
      <c r="F60" s="263">
        <f t="shared" si="5"/>
        <v>1</v>
      </c>
    </row>
    <row r="61" spans="2:6" x14ac:dyDescent="0.2">
      <c r="B61">
        <f t="shared" si="7"/>
        <v>2050</v>
      </c>
      <c r="C61">
        <f t="shared" si="6"/>
        <v>625</v>
      </c>
      <c r="D61">
        <f t="shared" si="8"/>
        <v>625</v>
      </c>
      <c r="E61">
        <f t="shared" si="4"/>
        <v>0.375</v>
      </c>
      <c r="F61" s="263">
        <f t="shared" si="5"/>
        <v>1</v>
      </c>
    </row>
  </sheetData>
  <conditionalFormatting sqref="B3:G22">
    <cfRule type="cellIs" dxfId="3" priority="1" operator="equal">
      <formula>"N/A"</formula>
    </cfRule>
  </conditionalFormatting>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W67"/>
  <sheetViews>
    <sheetView zoomScale="70" zoomScaleNormal="70" workbookViewId="0">
      <selection activeCell="F6" sqref="F6"/>
    </sheetView>
  </sheetViews>
  <sheetFormatPr defaultRowHeight="12.75" x14ac:dyDescent="0.2"/>
  <cols>
    <col min="1" max="1" width="4.5703125" customWidth="1"/>
    <col min="2" max="2" width="26.140625" style="148" bestFit="1" customWidth="1"/>
    <col min="3" max="3" width="8.5703125" style="85" bestFit="1" customWidth="1"/>
    <col min="4" max="8" width="8.5703125" style="149" bestFit="1" customWidth="1"/>
    <col min="9" max="13" width="8.5703125" style="150" bestFit="1" customWidth="1"/>
    <col min="14" max="18" width="8.5703125" style="151" bestFit="1" customWidth="1"/>
    <col min="19" max="23" width="8.5703125" style="152" bestFit="1" customWidth="1"/>
    <col min="24" max="28" width="8.5703125" style="153" bestFit="1" customWidth="1"/>
    <col min="29" max="33" width="8.5703125" style="150" bestFit="1" customWidth="1"/>
    <col min="34" max="38" width="8.5703125" style="154" bestFit="1" customWidth="1"/>
    <col min="39" max="43" width="8.5703125" style="151" bestFit="1" customWidth="1"/>
    <col min="44" max="48" width="8.5703125" style="155" bestFit="1" customWidth="1"/>
  </cols>
  <sheetData>
    <row r="1" spans="2:49" x14ac:dyDescent="0.2">
      <c r="B1" s="148" t="s">
        <v>1554</v>
      </c>
    </row>
    <row r="2" spans="2:49" x14ac:dyDescent="0.2">
      <c r="B2" s="148" t="s">
        <v>1555</v>
      </c>
    </row>
    <row r="4" spans="2:49" x14ac:dyDescent="0.2">
      <c r="D4" s="149" t="s">
        <v>1308</v>
      </c>
      <c r="E4" s="149" t="s">
        <v>1308</v>
      </c>
      <c r="F4" s="149" t="s">
        <v>1308</v>
      </c>
      <c r="G4" s="149" t="s">
        <v>1308</v>
      </c>
      <c r="H4" s="149" t="s">
        <v>1308</v>
      </c>
      <c r="I4" s="150" t="s">
        <v>125</v>
      </c>
      <c r="J4" s="150" t="s">
        <v>125</v>
      </c>
      <c r="K4" s="150" t="s">
        <v>125</v>
      </c>
      <c r="L4" s="150" t="s">
        <v>125</v>
      </c>
      <c r="M4" s="150" t="s">
        <v>125</v>
      </c>
      <c r="N4" s="151" t="s">
        <v>133</v>
      </c>
      <c r="O4" s="151" t="s">
        <v>133</v>
      </c>
      <c r="P4" s="151" t="s">
        <v>133</v>
      </c>
      <c r="Q4" s="151" t="s">
        <v>133</v>
      </c>
      <c r="R4" s="151" t="s">
        <v>133</v>
      </c>
      <c r="S4" s="152" t="s">
        <v>1309</v>
      </c>
      <c r="T4" s="152" t="s">
        <v>1309</v>
      </c>
      <c r="U4" s="152" t="s">
        <v>1309</v>
      </c>
      <c r="V4" s="152" t="s">
        <v>1309</v>
      </c>
      <c r="W4" s="152" t="s">
        <v>1309</v>
      </c>
      <c r="X4" s="153" t="s">
        <v>145</v>
      </c>
      <c r="Y4" s="153" t="s">
        <v>145</v>
      </c>
      <c r="Z4" s="153" t="s">
        <v>145</v>
      </c>
      <c r="AA4" s="153" t="s">
        <v>145</v>
      </c>
      <c r="AB4" s="153" t="s">
        <v>145</v>
      </c>
      <c r="AC4" s="150" t="s">
        <v>147</v>
      </c>
      <c r="AD4" s="150" t="s">
        <v>147</v>
      </c>
      <c r="AE4" s="150" t="s">
        <v>147</v>
      </c>
      <c r="AF4" s="150" t="s">
        <v>147</v>
      </c>
      <c r="AG4" s="150" t="s">
        <v>147</v>
      </c>
      <c r="AH4" s="154" t="s">
        <v>149</v>
      </c>
      <c r="AI4" s="154" t="s">
        <v>149</v>
      </c>
      <c r="AJ4" s="154" t="s">
        <v>149</v>
      </c>
      <c r="AK4" s="154" t="s">
        <v>149</v>
      </c>
      <c r="AL4" s="154" t="s">
        <v>149</v>
      </c>
      <c r="AM4" s="151" t="s">
        <v>137</v>
      </c>
      <c r="AN4" s="151" t="s">
        <v>137</v>
      </c>
      <c r="AO4" s="151" t="s">
        <v>137</v>
      </c>
      <c r="AP4" s="151" t="s">
        <v>137</v>
      </c>
      <c r="AQ4" s="151" t="s">
        <v>137</v>
      </c>
      <c r="AR4" s="156" t="s">
        <v>1556</v>
      </c>
      <c r="AS4" s="156" t="s">
        <v>1556</v>
      </c>
      <c r="AT4" s="156" t="s">
        <v>1556</v>
      </c>
      <c r="AU4" s="156" t="s">
        <v>1556</v>
      </c>
      <c r="AV4" s="156" t="s">
        <v>1556</v>
      </c>
    </row>
    <row r="5" spans="2:49" ht="13.5" thickBot="1" x14ac:dyDescent="0.25">
      <c r="B5" s="157"/>
      <c r="C5" s="158"/>
      <c r="D5" s="159">
        <v>2005</v>
      </c>
      <c r="E5" s="159">
        <v>2010</v>
      </c>
      <c r="F5" s="159">
        <v>2015</v>
      </c>
      <c r="G5" s="159">
        <v>2020</v>
      </c>
      <c r="H5" s="159">
        <v>2025</v>
      </c>
      <c r="I5" s="160">
        <v>2005</v>
      </c>
      <c r="J5" s="160">
        <v>2010</v>
      </c>
      <c r="K5" s="160">
        <v>2015</v>
      </c>
      <c r="L5" s="160">
        <v>2020</v>
      </c>
      <c r="M5" s="160">
        <v>2025</v>
      </c>
      <c r="N5" s="161">
        <v>2005</v>
      </c>
      <c r="O5" s="161">
        <v>2010</v>
      </c>
      <c r="P5" s="161">
        <v>2015</v>
      </c>
      <c r="Q5" s="161">
        <v>2020</v>
      </c>
      <c r="R5" s="161">
        <v>2025</v>
      </c>
      <c r="S5" s="162">
        <v>2005</v>
      </c>
      <c r="T5" s="162">
        <v>2010</v>
      </c>
      <c r="U5" s="162">
        <v>2015</v>
      </c>
      <c r="V5" s="162">
        <v>2020</v>
      </c>
      <c r="W5" s="162">
        <v>2025</v>
      </c>
      <c r="X5" s="163">
        <v>2005</v>
      </c>
      <c r="Y5" s="163">
        <v>2010</v>
      </c>
      <c r="Z5" s="163">
        <v>2015</v>
      </c>
      <c r="AA5" s="163">
        <v>2020</v>
      </c>
      <c r="AB5" s="163">
        <v>2025</v>
      </c>
      <c r="AC5" s="160">
        <v>2005</v>
      </c>
      <c r="AD5" s="160">
        <v>2010</v>
      </c>
      <c r="AE5" s="160">
        <v>2015</v>
      </c>
      <c r="AF5" s="160">
        <v>2020</v>
      </c>
      <c r="AG5" s="160">
        <v>2025</v>
      </c>
      <c r="AH5" s="164">
        <v>2005</v>
      </c>
      <c r="AI5" s="164">
        <v>2010</v>
      </c>
      <c r="AJ5" s="164">
        <v>2015</v>
      </c>
      <c r="AK5" s="164">
        <v>2020</v>
      </c>
      <c r="AL5" s="164">
        <v>2025</v>
      </c>
      <c r="AM5" s="161">
        <v>2005</v>
      </c>
      <c r="AN5" s="161">
        <v>2010</v>
      </c>
      <c r="AO5" s="161">
        <v>2015</v>
      </c>
      <c r="AP5" s="161">
        <v>2020</v>
      </c>
      <c r="AQ5" s="161">
        <v>2025</v>
      </c>
      <c r="AR5" s="165">
        <v>2005</v>
      </c>
      <c r="AS5" s="165">
        <v>2010</v>
      </c>
      <c r="AT5" s="165">
        <v>2015</v>
      </c>
      <c r="AU5" s="165">
        <v>2020</v>
      </c>
      <c r="AV5" s="165">
        <v>2025</v>
      </c>
    </row>
    <row r="6" spans="2:49" s="35" customFormat="1" x14ac:dyDescent="0.2">
      <c r="B6" s="166" t="s">
        <v>1317</v>
      </c>
      <c r="C6" s="167" t="s">
        <v>922</v>
      </c>
      <c r="D6" s="168">
        <v>19.189104707518698</v>
      </c>
      <c r="E6" s="168">
        <v>16.60535036509917</v>
      </c>
      <c r="F6" s="168">
        <v>14.402347681026407</v>
      </c>
      <c r="G6" s="168">
        <v>13.75296870507842</v>
      </c>
      <c r="H6" s="168">
        <v>9.3767940610393179</v>
      </c>
      <c r="I6" s="169">
        <v>0.40431186991574936</v>
      </c>
      <c r="J6" s="169">
        <v>2.3868934783331672E-2</v>
      </c>
      <c r="K6" s="169">
        <v>1.1797714082972199E-2</v>
      </c>
      <c r="L6" s="169">
        <v>1.1796093921039188E-2</v>
      </c>
      <c r="M6" s="169">
        <v>1.1794360513286053E-2</v>
      </c>
      <c r="N6" s="170">
        <v>1.0594407325391513</v>
      </c>
      <c r="O6" s="170">
        <v>0.96646625645494033</v>
      </c>
      <c r="P6" s="170">
        <v>0.90744849069431921</v>
      </c>
      <c r="Q6" s="170">
        <v>0.86848550681633307</v>
      </c>
      <c r="R6" s="170">
        <v>0.73141182293098705</v>
      </c>
      <c r="S6" s="171">
        <v>0.95068024683727481</v>
      </c>
      <c r="T6" s="171">
        <v>0.86049246257182077</v>
      </c>
      <c r="U6" s="171">
        <v>0.80324358810294794</v>
      </c>
      <c r="V6" s="171">
        <v>0.76544864098452736</v>
      </c>
      <c r="W6" s="171">
        <v>0.63248276051690955</v>
      </c>
      <c r="X6" s="172">
        <v>5.1230603623074309</v>
      </c>
      <c r="Y6" s="172">
        <v>4.5933870386976654</v>
      </c>
      <c r="Z6" s="172">
        <v>3.6896037708971088</v>
      </c>
      <c r="AA6" s="172">
        <v>4.2008818269903641</v>
      </c>
      <c r="AB6" s="172">
        <v>1.8717019521583722</v>
      </c>
      <c r="AC6" s="169">
        <v>2.3761307932958979E-3</v>
      </c>
      <c r="AD6" s="169">
        <v>2.3878687852811171E-3</v>
      </c>
      <c r="AE6" s="169">
        <v>2.393694161330394E-3</v>
      </c>
      <c r="AF6" s="169">
        <v>2.404616956991631E-3</v>
      </c>
      <c r="AG6" s="169">
        <v>2.4046191916414629E-3</v>
      </c>
      <c r="AH6" s="173">
        <v>2.3341113425426126E-3</v>
      </c>
      <c r="AI6" s="173">
        <v>2.2196465424378971E-3</v>
      </c>
      <c r="AJ6" s="173">
        <v>2.198541631610569E-3</v>
      </c>
      <c r="AK6" s="173">
        <v>2.0754392367187372E-3</v>
      </c>
      <c r="AL6" s="173">
        <v>2.0754357987352212E-3</v>
      </c>
      <c r="AM6" s="170">
        <v>0.8257528141320587</v>
      </c>
      <c r="AN6" s="170">
        <v>0.76800157411001391</v>
      </c>
      <c r="AO6" s="170">
        <v>0.66910255162962495</v>
      </c>
      <c r="AP6" s="170">
        <v>0.72499446703226711</v>
      </c>
      <c r="AQ6" s="170">
        <v>0.47110530657135002</v>
      </c>
      <c r="AR6" s="174">
        <v>0.63044463287296681</v>
      </c>
      <c r="AS6" s="174">
        <v>0.58794819285013811</v>
      </c>
      <c r="AT6" s="174">
        <v>0.52155780729422729</v>
      </c>
      <c r="AU6" s="174">
        <v>0.52509196844292583</v>
      </c>
      <c r="AV6" s="174">
        <v>0.45242562551553478</v>
      </c>
      <c r="AW6" s="35">
        <f>'Raw emissions'!AM8</f>
        <v>3.5877057653221627</v>
      </c>
    </row>
    <row r="7" spans="2:49" s="35" customFormat="1" x14ac:dyDescent="0.2">
      <c r="B7" s="175" t="s">
        <v>1317</v>
      </c>
      <c r="C7" s="176" t="s">
        <v>1318</v>
      </c>
      <c r="D7" s="177">
        <v>19.189104707518698</v>
      </c>
      <c r="E7" s="177">
        <v>16.60535036509917</v>
      </c>
      <c r="F7" s="177">
        <v>14.402347681026407</v>
      </c>
      <c r="G7" s="177">
        <v>13.75296870507842</v>
      </c>
      <c r="H7" s="177">
        <v>9.3767940610393179</v>
      </c>
      <c r="I7" s="178">
        <v>0.32849166813492142</v>
      </c>
      <c r="J7" s="178">
        <v>2.308668047645419E-2</v>
      </c>
      <c r="K7" s="178">
        <v>1.1410984005105099E-2</v>
      </c>
      <c r="L7" s="178">
        <v>1.1409365646433814E-2</v>
      </c>
      <c r="M7" s="178">
        <v>1.1407689090302302E-2</v>
      </c>
      <c r="N7" s="179">
        <v>0.96337434460208149</v>
      </c>
      <c r="O7" s="179">
        <v>0.87979029191574354</v>
      </c>
      <c r="P7" s="179">
        <v>0.82673331716571241</v>
      </c>
      <c r="Q7" s="179">
        <v>0.79170559850680888</v>
      </c>
      <c r="R7" s="179">
        <v>0.66847635413802586</v>
      </c>
      <c r="S7" s="180">
        <v>0.85747909352099783</v>
      </c>
      <c r="T7" s="180">
        <v>0.77640027510469123</v>
      </c>
      <c r="U7" s="180">
        <v>0.72493353748460365</v>
      </c>
      <c r="V7" s="180">
        <v>0.69095587859475727</v>
      </c>
      <c r="W7" s="180">
        <v>0.57141955457794891</v>
      </c>
      <c r="X7" s="181">
        <v>4.5595237224536138</v>
      </c>
      <c r="Y7" s="181">
        <v>4.0881144644409222</v>
      </c>
      <c r="Z7" s="181">
        <v>3.2837473560984267</v>
      </c>
      <c r="AA7" s="181">
        <v>3.7387848260214245</v>
      </c>
      <c r="AB7" s="181">
        <v>1.6658147374209513</v>
      </c>
      <c r="AC7" s="178">
        <v>2.3761307932958979E-3</v>
      </c>
      <c r="AD7" s="178">
        <v>2.3878687852811171E-3</v>
      </c>
      <c r="AE7" s="178">
        <v>2.393694161330394E-3</v>
      </c>
      <c r="AF7" s="178">
        <v>2.404616956991631E-3</v>
      </c>
      <c r="AG7" s="178">
        <v>2.4046191916414629E-3</v>
      </c>
      <c r="AH7" s="182">
        <v>2.3341113425426126E-3</v>
      </c>
      <c r="AI7" s="182">
        <v>2.2196465424378971E-3</v>
      </c>
      <c r="AJ7" s="182">
        <v>2.198541631610569E-3</v>
      </c>
      <c r="AK7" s="182">
        <v>2.0754392367187372E-3</v>
      </c>
      <c r="AL7" s="182">
        <v>2.0754357987352212E-3</v>
      </c>
      <c r="AM7" s="179">
        <v>0.8257528141320587</v>
      </c>
      <c r="AN7" s="179">
        <v>0.76800157411001391</v>
      </c>
      <c r="AO7" s="179">
        <v>0.66910255162962495</v>
      </c>
      <c r="AP7" s="179">
        <v>0.72499446703226711</v>
      </c>
      <c r="AQ7" s="179">
        <v>0.47110530657135002</v>
      </c>
      <c r="AR7" s="183">
        <v>0.5667697249527972</v>
      </c>
      <c r="AS7" s="183">
        <v>0.52856542537227424</v>
      </c>
      <c r="AT7" s="183">
        <v>0.46888046875751033</v>
      </c>
      <c r="AU7" s="183">
        <v>0.47205767963019035</v>
      </c>
      <c r="AV7" s="183">
        <v>0.40673063733846576</v>
      </c>
      <c r="AW7" s="35">
        <f>'Raw emissions'!AM9</f>
        <v>3.5755804491229104</v>
      </c>
    </row>
    <row r="8" spans="2:49" s="35" customFormat="1" x14ac:dyDescent="0.2">
      <c r="B8" s="175" t="s">
        <v>1317</v>
      </c>
      <c r="C8" s="176" t="s">
        <v>501</v>
      </c>
      <c r="D8" s="184">
        <v>4.9216131187148209</v>
      </c>
      <c r="E8" s="184">
        <v>4.2904208049897656</v>
      </c>
      <c r="F8" s="184">
        <v>4.1129457606812236</v>
      </c>
      <c r="G8" s="184">
        <v>3.5101456626830685</v>
      </c>
      <c r="H8" s="184">
        <v>3.3530520297616269</v>
      </c>
      <c r="I8" s="185">
        <v>0</v>
      </c>
      <c r="J8" s="185">
        <v>0</v>
      </c>
      <c r="K8" s="185">
        <v>0</v>
      </c>
      <c r="L8" s="185">
        <v>0</v>
      </c>
      <c r="M8" s="185">
        <v>0</v>
      </c>
      <c r="N8" s="186">
        <v>0.11825972764121287</v>
      </c>
      <c r="O8" s="186">
        <v>0.11630882010231909</v>
      </c>
      <c r="P8" s="186">
        <v>0.11437597727966439</v>
      </c>
      <c r="Q8" s="186">
        <v>0.11351124603097995</v>
      </c>
      <c r="R8" s="186">
        <v>0.11185375082752569</v>
      </c>
      <c r="S8" s="187">
        <v>3.7867962861858215E-2</v>
      </c>
      <c r="T8" s="187">
        <v>3.5916994978025793E-2</v>
      </c>
      <c r="U8" s="187">
        <v>3.3984236775562122E-2</v>
      </c>
      <c r="V8" s="187">
        <v>3.3119351706598077E-2</v>
      </c>
      <c r="W8" s="187">
        <v>3.1462003047452967E-2</v>
      </c>
      <c r="X8" s="188">
        <v>52.136359134038578</v>
      </c>
      <c r="Y8" s="188">
        <v>34.70714784457234</v>
      </c>
      <c r="Z8" s="188">
        <v>30.562097707394692</v>
      </c>
      <c r="AA8" s="188">
        <v>12.955608368847686</v>
      </c>
      <c r="AB8" s="188">
        <v>10.629857969722048</v>
      </c>
      <c r="AC8" s="185">
        <v>9.6000669768013733E-2</v>
      </c>
      <c r="AD8" s="185">
        <v>9.4633402360403615E-2</v>
      </c>
      <c r="AE8" s="185">
        <v>9.4554688983560314E-2</v>
      </c>
      <c r="AF8" s="185">
        <v>9.392306303670539E-2</v>
      </c>
      <c r="AG8" s="185">
        <v>9.0892271801704574E-2</v>
      </c>
      <c r="AH8" s="189">
        <v>1.1815016635942208</v>
      </c>
      <c r="AI8" s="189">
        <v>1.1618461973568415</v>
      </c>
      <c r="AJ8" s="189">
        <v>1.1592019482789813</v>
      </c>
      <c r="AK8" s="189">
        <v>1.149802946591415</v>
      </c>
      <c r="AL8" s="189">
        <v>1.1096005488772775</v>
      </c>
      <c r="AM8" s="186">
        <v>0</v>
      </c>
      <c r="AN8" s="186">
        <v>0</v>
      </c>
      <c r="AO8" s="186">
        <v>0</v>
      </c>
      <c r="AP8" s="186">
        <v>0</v>
      </c>
      <c r="AQ8" s="186">
        <v>0</v>
      </c>
      <c r="AR8" s="190">
        <v>8.7782237222144583E-4</v>
      </c>
      <c r="AS8" s="190">
        <v>7.5914489967916071E-4</v>
      </c>
      <c r="AT8" s="190">
        <v>6.0477662275529721E-4</v>
      </c>
      <c r="AU8" s="190">
        <v>5.9986450534525379E-4</v>
      </c>
      <c r="AV8" s="190">
        <v>3.9814354590663262E-4</v>
      </c>
      <c r="AW8" s="35">
        <f>'Raw emissions'!AM10</f>
        <v>0.27198514461388273</v>
      </c>
    </row>
    <row r="9" spans="2:49" s="35" customFormat="1" x14ac:dyDescent="0.2">
      <c r="B9" s="191" t="s">
        <v>1319</v>
      </c>
      <c r="C9" s="192" t="s">
        <v>922</v>
      </c>
      <c r="D9" s="193">
        <v>16.303762895619514</v>
      </c>
      <c r="E9" s="193">
        <v>14.100848465470662</v>
      </c>
      <c r="F9" s="193">
        <v>12.420807249720161</v>
      </c>
      <c r="G9" s="193">
        <v>11.621133886815157</v>
      </c>
      <c r="H9" s="193">
        <v>8.3974812167798909</v>
      </c>
      <c r="I9" s="194">
        <v>0.30084520629479583</v>
      </c>
      <c r="J9" s="194">
        <v>1.7744033091099318E-2</v>
      </c>
      <c r="K9" s="194">
        <v>8.7688012795829502E-3</v>
      </c>
      <c r="L9" s="194">
        <v>8.7654627016048418E-3</v>
      </c>
      <c r="M9" s="194">
        <v>8.7619610227897948E-3</v>
      </c>
      <c r="N9" s="195">
        <v>0.80540026908805307</v>
      </c>
      <c r="O9" s="195">
        <v>0.70446636811768071</v>
      </c>
      <c r="P9" s="195">
        <v>0.6959815103352992</v>
      </c>
      <c r="Q9" s="195">
        <v>0.5960312191685021</v>
      </c>
      <c r="R9" s="195">
        <v>0.55217372791485375</v>
      </c>
      <c r="S9" s="196">
        <v>0.74614683782501634</v>
      </c>
      <c r="T9" s="196">
        <v>0.64823808658414772</v>
      </c>
      <c r="U9" s="196">
        <v>0.64000799954506959</v>
      </c>
      <c r="V9" s="196">
        <v>0.54305301320271304</v>
      </c>
      <c r="W9" s="196">
        <v>0.5005104890385691</v>
      </c>
      <c r="X9" s="197">
        <v>5.1654608301400966</v>
      </c>
      <c r="Y9" s="197">
        <v>4.1529676460571325</v>
      </c>
      <c r="Z9" s="197">
        <v>3.5428118949024352</v>
      </c>
      <c r="AA9" s="197">
        <v>3.0337567335475075</v>
      </c>
      <c r="AB9" s="197">
        <v>1.7705715626225167</v>
      </c>
      <c r="AC9" s="194">
        <v>2.7011117752049228E-3</v>
      </c>
      <c r="AD9" s="194">
        <v>2.6949884345685692E-3</v>
      </c>
      <c r="AE9" s="194">
        <v>2.6944321885629154E-3</v>
      </c>
      <c r="AF9" s="194">
        <v>2.6986860625385837E-3</v>
      </c>
      <c r="AG9" s="194">
        <v>2.6620755699237101E-3</v>
      </c>
      <c r="AH9" s="198">
        <v>2.3341036122138787E-3</v>
      </c>
      <c r="AI9" s="198">
        <v>2.2196377204561453E-3</v>
      </c>
      <c r="AJ9" s="198">
        <v>2.1985320998691772E-3</v>
      </c>
      <c r="AK9" s="198">
        <v>2.0754287737636983E-3</v>
      </c>
      <c r="AL9" s="198">
        <v>2.0754253138034976E-3</v>
      </c>
      <c r="AM9" s="195">
        <v>0.84070653354504754</v>
      </c>
      <c r="AN9" s="195">
        <v>0.6961010913582103</v>
      </c>
      <c r="AO9" s="195">
        <v>0.62456058800278325</v>
      </c>
      <c r="AP9" s="195">
        <v>0.5297273478599529</v>
      </c>
      <c r="AQ9" s="195">
        <v>0.3983814616526663</v>
      </c>
      <c r="AR9" s="199">
        <v>0.50106603709651176</v>
      </c>
      <c r="AS9" s="199">
        <v>0.44859948165037788</v>
      </c>
      <c r="AT9" s="199">
        <v>0.40068357538176913</v>
      </c>
      <c r="AU9" s="199">
        <v>0.36872819976852905</v>
      </c>
      <c r="AV9" s="199">
        <v>0.34660905836455835</v>
      </c>
      <c r="AW9" s="35">
        <f>'Raw emissions'!AM11</f>
        <v>3.4896259754951404</v>
      </c>
    </row>
    <row r="10" spans="2:49" s="35" customFormat="1" x14ac:dyDescent="0.2">
      <c r="B10" s="175" t="s">
        <v>1319</v>
      </c>
      <c r="C10" s="176" t="s">
        <v>1318</v>
      </c>
      <c r="D10" s="177">
        <v>16.303762895619514</v>
      </c>
      <c r="E10" s="177">
        <v>14.100848465470662</v>
      </c>
      <c r="F10" s="177">
        <v>12.420807249720161</v>
      </c>
      <c r="G10" s="177">
        <v>11.621133886815157</v>
      </c>
      <c r="H10" s="177">
        <v>8.3974812167798909</v>
      </c>
      <c r="I10" s="178">
        <v>0.24442800476465171</v>
      </c>
      <c r="J10" s="178">
        <v>1.7181867266653841E-2</v>
      </c>
      <c r="K10" s="178">
        <v>8.5012833697784042E-3</v>
      </c>
      <c r="L10" s="178">
        <v>8.5074802895658466E-3</v>
      </c>
      <c r="M10" s="178">
        <v>8.512830446639294E-3</v>
      </c>
      <c r="N10" s="179">
        <v>0.72904251406446385</v>
      </c>
      <c r="O10" s="179">
        <v>0.63830293718737685</v>
      </c>
      <c r="P10" s="179">
        <v>0.63067504350358194</v>
      </c>
      <c r="Q10" s="179">
        <v>0.54081973943327499</v>
      </c>
      <c r="R10" s="179">
        <v>0.50139183982364022</v>
      </c>
      <c r="S10" s="180">
        <v>0.67206719846096941</v>
      </c>
      <c r="T10" s="180">
        <v>0.58404723089260502</v>
      </c>
      <c r="U10" s="180">
        <v>0.57664838138752972</v>
      </c>
      <c r="V10" s="180">
        <v>0.48948584965296971</v>
      </c>
      <c r="W10" s="180">
        <v>0.45124011832303929</v>
      </c>
      <c r="X10" s="181">
        <v>4.5972601388246863</v>
      </c>
      <c r="Y10" s="181">
        <v>3.6961412049908478</v>
      </c>
      <c r="Z10" s="181">
        <v>3.1531025864631674</v>
      </c>
      <c r="AA10" s="181">
        <v>2.7000434928572821</v>
      </c>
      <c r="AB10" s="181">
        <v>1.5758086907340398</v>
      </c>
      <c r="AC10" s="178">
        <v>2.7011117752049228E-3</v>
      </c>
      <c r="AD10" s="178">
        <v>2.6949884345685692E-3</v>
      </c>
      <c r="AE10" s="178">
        <v>2.6944321885629154E-3</v>
      </c>
      <c r="AF10" s="178">
        <v>2.6986860625385837E-3</v>
      </c>
      <c r="AG10" s="178">
        <v>2.6620755699237101E-3</v>
      </c>
      <c r="AH10" s="182">
        <v>2.3341036122138787E-3</v>
      </c>
      <c r="AI10" s="182">
        <v>2.2196377204561453E-3</v>
      </c>
      <c r="AJ10" s="182">
        <v>2.1985320998691772E-3</v>
      </c>
      <c r="AK10" s="182">
        <v>2.0754287737636983E-3</v>
      </c>
      <c r="AL10" s="182">
        <v>2.0754253138034976E-3</v>
      </c>
      <c r="AM10" s="179">
        <v>0.84070653354504754</v>
      </c>
      <c r="AN10" s="179">
        <v>0.6961010913582103</v>
      </c>
      <c r="AO10" s="179">
        <v>0.62456058800278325</v>
      </c>
      <c r="AP10" s="179">
        <v>0.5297273478599529</v>
      </c>
      <c r="AQ10" s="179">
        <v>0.3983814616526663</v>
      </c>
      <c r="AR10" s="183">
        <v>0.45045836734976413</v>
      </c>
      <c r="AS10" s="183">
        <v>0.40329093400368971</v>
      </c>
      <c r="AT10" s="183">
        <v>0.36021453426821048</v>
      </c>
      <c r="AU10" s="183">
        <v>0.33148665159190766</v>
      </c>
      <c r="AV10" s="183">
        <v>0.31160154346973795</v>
      </c>
      <c r="AW10" s="35">
        <f>'Raw emissions'!AM12</f>
        <v>3.4829076953013733</v>
      </c>
    </row>
    <row r="11" spans="2:49" s="35" customFormat="1" x14ac:dyDescent="0.2">
      <c r="B11" s="200" t="s">
        <v>1319</v>
      </c>
      <c r="C11" s="201" t="s">
        <v>501</v>
      </c>
      <c r="D11" s="202">
        <v>4.2037242516050428</v>
      </c>
      <c r="E11" s="202">
        <v>3.6723323396776646</v>
      </c>
      <c r="F11" s="202">
        <v>3.5743596543594869</v>
      </c>
      <c r="G11" s="202">
        <v>3.0028624547744949</v>
      </c>
      <c r="H11" s="202">
        <v>3.0028591068030801</v>
      </c>
      <c r="I11" s="203">
        <v>0</v>
      </c>
      <c r="J11" s="203">
        <v>0</v>
      </c>
      <c r="K11" s="203">
        <v>0</v>
      </c>
      <c r="L11" s="203">
        <v>0</v>
      </c>
      <c r="M11" s="203">
        <v>0</v>
      </c>
      <c r="N11" s="204">
        <v>5.7650889821737245E-2</v>
      </c>
      <c r="O11" s="204">
        <v>5.5849450757346965E-2</v>
      </c>
      <c r="P11" s="204">
        <v>5.4690142119100824E-2</v>
      </c>
      <c r="Q11" s="204">
        <v>5.338733627127714E-2</v>
      </c>
      <c r="R11" s="204">
        <v>5.2561789581693746E-2</v>
      </c>
      <c r="S11" s="205">
        <v>2.076043880792014E-2</v>
      </c>
      <c r="T11" s="205">
        <v>1.8959023194268829E-2</v>
      </c>
      <c r="U11" s="205">
        <v>1.7799720226279368E-2</v>
      </c>
      <c r="V11" s="205">
        <v>1.6496949943006788E-2</v>
      </c>
      <c r="W11" s="205">
        <v>1.5671367091381835E-2</v>
      </c>
      <c r="X11" s="206">
        <v>62.465566063178741</v>
      </c>
      <c r="Y11" s="206">
        <v>39.273665294270792</v>
      </c>
      <c r="Z11" s="206">
        <v>34.997821276254761</v>
      </c>
      <c r="AA11" s="206">
        <v>10.055512520454407</v>
      </c>
      <c r="AB11" s="206">
        <v>10.055513493589425</v>
      </c>
      <c r="AC11" s="203">
        <v>0.10926517004643138</v>
      </c>
      <c r="AD11" s="203">
        <v>0.1069028875583017</v>
      </c>
      <c r="AE11" s="203">
        <v>0.1065850433020074</v>
      </c>
      <c r="AF11" s="203">
        <v>0.1054553948759573</v>
      </c>
      <c r="AG11" s="203">
        <v>0.10062387304370349</v>
      </c>
      <c r="AH11" s="207">
        <v>1.1814975151030414</v>
      </c>
      <c r="AI11" s="207">
        <v>1.1618413870923603</v>
      </c>
      <c r="AJ11" s="207">
        <v>1.1591968398854353</v>
      </c>
      <c r="AK11" s="207">
        <v>1.1497971504918953</v>
      </c>
      <c r="AL11" s="207">
        <v>1.109594943266156</v>
      </c>
      <c r="AM11" s="204">
        <v>0</v>
      </c>
      <c r="AN11" s="204">
        <v>0</v>
      </c>
      <c r="AO11" s="204">
        <v>0</v>
      </c>
      <c r="AP11" s="204">
        <v>0</v>
      </c>
      <c r="AQ11" s="204">
        <v>0</v>
      </c>
      <c r="AR11" s="208">
        <v>7.079398899624028E-4</v>
      </c>
      <c r="AS11" s="208">
        <v>5.8594356879251559E-4</v>
      </c>
      <c r="AT11" s="208">
        <v>4.6839936488993314E-4</v>
      </c>
      <c r="AU11" s="208">
        <v>4.1457181745327746E-4</v>
      </c>
      <c r="AV11" s="208">
        <v>3.0502286289238006E-4</v>
      </c>
      <c r="AW11" s="35">
        <f>'Raw emissions'!AM13</f>
        <v>0.39888694599181923</v>
      </c>
    </row>
    <row r="12" spans="2:49" s="35" customFormat="1" x14ac:dyDescent="0.2">
      <c r="B12" s="175" t="s">
        <v>1228</v>
      </c>
      <c r="C12" s="176" t="s">
        <v>922</v>
      </c>
      <c r="D12" s="184">
        <v>9.9632801049881259</v>
      </c>
      <c r="E12" s="184">
        <v>8.7241225063237096</v>
      </c>
      <c r="F12" s="184">
        <v>7.8270845653303924</v>
      </c>
      <c r="G12" s="184">
        <v>7.305827635286378</v>
      </c>
      <c r="H12" s="184">
        <v>5.654497907949791</v>
      </c>
      <c r="I12" s="185">
        <v>0.21912833759124778</v>
      </c>
      <c r="J12" s="185">
        <v>1.3006869138431854E-2</v>
      </c>
      <c r="K12" s="185">
        <v>6.4184961289638354E-3</v>
      </c>
      <c r="L12" s="185">
        <v>6.4031754294638209E-3</v>
      </c>
      <c r="M12" s="185">
        <v>6.3870812062165848E-3</v>
      </c>
      <c r="N12" s="186">
        <v>0.64274284385060176</v>
      </c>
      <c r="O12" s="186">
        <v>0.57664994350673648</v>
      </c>
      <c r="P12" s="186">
        <v>0.54179914132457974</v>
      </c>
      <c r="Q12" s="186">
        <v>0.50407013821656388</v>
      </c>
      <c r="R12" s="186">
        <v>0.42882238493723851</v>
      </c>
      <c r="S12" s="187">
        <v>0.56587384330998003</v>
      </c>
      <c r="T12" s="187">
        <v>0.50176186467125128</v>
      </c>
      <c r="U12" s="187">
        <v>0.46795625966021726</v>
      </c>
      <c r="V12" s="187">
        <v>0.43135754904355472</v>
      </c>
      <c r="W12" s="187">
        <v>0.35836578974895394</v>
      </c>
      <c r="X12" s="188">
        <v>5.0738560998564743</v>
      </c>
      <c r="Y12" s="188">
        <v>4.8511122251403282</v>
      </c>
      <c r="Z12" s="188">
        <v>4.4466387056852668</v>
      </c>
      <c r="AA12" s="188">
        <v>4.7406993939687485</v>
      </c>
      <c r="AB12" s="188">
        <v>3.5379654811715482</v>
      </c>
      <c r="AC12" s="185">
        <v>3.9986752011878235E-3</v>
      </c>
      <c r="AD12" s="185">
        <v>4.0346787400985448E-3</v>
      </c>
      <c r="AE12" s="185">
        <v>4.0845293304594896E-3</v>
      </c>
      <c r="AF12" s="185">
        <v>4.1031807258108391E-3</v>
      </c>
      <c r="AG12" s="185">
        <v>4.1031799163179913E-3</v>
      </c>
      <c r="AH12" s="189">
        <v>2.3341058621751515E-3</v>
      </c>
      <c r="AI12" s="189">
        <v>2.2196399644283122E-3</v>
      </c>
      <c r="AJ12" s="189">
        <v>2.1985351071046283E-3</v>
      </c>
      <c r="AK12" s="189">
        <v>2.0754310230207979E-3</v>
      </c>
      <c r="AL12" s="189">
        <v>2.0754288702928871E-3</v>
      </c>
      <c r="AM12" s="186">
        <v>0.8528972546016993</v>
      </c>
      <c r="AN12" s="186">
        <v>0.79969054933507711</v>
      </c>
      <c r="AO12" s="186">
        <v>0.69181817347584418</v>
      </c>
      <c r="AP12" s="186">
        <v>0.76786804760004101</v>
      </c>
      <c r="AQ12" s="186">
        <v>0.47865959205020919</v>
      </c>
      <c r="AR12" s="190">
        <v>0.26942205303710143</v>
      </c>
      <c r="AS12" s="190">
        <v>0.24910935223904121</v>
      </c>
      <c r="AT12" s="190">
        <v>0.21663122512731731</v>
      </c>
      <c r="AU12" s="190">
        <v>0.21732367823270579</v>
      </c>
      <c r="AV12" s="190">
        <v>0.18701621338912133</v>
      </c>
      <c r="AW12" s="35">
        <f>'Raw emissions'!AM14</f>
        <v>2.645813834602607</v>
      </c>
    </row>
    <row r="13" spans="2:49" s="35" customFormat="1" x14ac:dyDescent="0.2">
      <c r="B13" s="175" t="s">
        <v>1228</v>
      </c>
      <c r="C13" s="176" t="s">
        <v>1318</v>
      </c>
      <c r="D13" s="177">
        <v>9.9632801049881259</v>
      </c>
      <c r="E13" s="177">
        <v>8.7241225063237096</v>
      </c>
      <c r="F13" s="177">
        <v>7.8270845653303924</v>
      </c>
      <c r="G13" s="177">
        <v>7.305827635286378</v>
      </c>
      <c r="H13" s="177">
        <v>5.654497907949791</v>
      </c>
      <c r="I13" s="178">
        <v>0.17803541896007352</v>
      </c>
      <c r="J13" s="178">
        <v>1.2580615616845689E-2</v>
      </c>
      <c r="K13" s="178">
        <v>6.2081295385085101E-3</v>
      </c>
      <c r="L13" s="178">
        <v>6.1933045108599327E-3</v>
      </c>
      <c r="M13" s="178">
        <v>6.1777338803610136E-3</v>
      </c>
      <c r="N13" s="179">
        <v>0.58599939714551774</v>
      </c>
      <c r="O13" s="179">
        <v>0.52658188059224176</v>
      </c>
      <c r="P13" s="179">
        <v>0.49525100552419521</v>
      </c>
      <c r="Q13" s="179">
        <v>0.46133263774858435</v>
      </c>
      <c r="R13" s="179">
        <v>0.3936848969665272</v>
      </c>
      <c r="S13" s="180">
        <v>0.51082343935854457</v>
      </c>
      <c r="T13" s="180">
        <v>0.45318676999871527</v>
      </c>
      <c r="U13" s="180">
        <v>0.42279552840128337</v>
      </c>
      <c r="V13" s="180">
        <v>0.38989328924568478</v>
      </c>
      <c r="W13" s="180">
        <v>0.32427369403765688</v>
      </c>
      <c r="X13" s="181">
        <v>4.5157319288722624</v>
      </c>
      <c r="Y13" s="181">
        <v>4.3174898803748931</v>
      </c>
      <c r="Z13" s="181">
        <v>3.9575084480598881</v>
      </c>
      <c r="AA13" s="181">
        <v>4.219222460632186</v>
      </c>
      <c r="AB13" s="181">
        <v>3.1487892782426781</v>
      </c>
      <c r="AC13" s="178">
        <v>3.9986752011878235E-3</v>
      </c>
      <c r="AD13" s="178">
        <v>4.0346787400985448E-3</v>
      </c>
      <c r="AE13" s="178">
        <v>4.0845293304594896E-3</v>
      </c>
      <c r="AF13" s="178">
        <v>4.1031807258108391E-3</v>
      </c>
      <c r="AG13" s="178">
        <v>4.1031799163179913E-3</v>
      </c>
      <c r="AH13" s="182">
        <v>2.3341058621751515E-3</v>
      </c>
      <c r="AI13" s="182">
        <v>2.2196399644283122E-3</v>
      </c>
      <c r="AJ13" s="182">
        <v>2.1985351071046283E-3</v>
      </c>
      <c r="AK13" s="182">
        <v>2.0754310230207979E-3</v>
      </c>
      <c r="AL13" s="182">
        <v>2.0754288702928871E-3</v>
      </c>
      <c r="AM13" s="179">
        <v>0.8528972546016993</v>
      </c>
      <c r="AN13" s="179">
        <v>0.79969054933507711</v>
      </c>
      <c r="AO13" s="179">
        <v>0.69181817347584418</v>
      </c>
      <c r="AP13" s="179">
        <v>0.76786804760004101</v>
      </c>
      <c r="AQ13" s="179">
        <v>0.47865959205020919</v>
      </c>
      <c r="AR13" s="183">
        <v>0.24221042568035417</v>
      </c>
      <c r="AS13" s="183">
        <v>0.22394930766289806</v>
      </c>
      <c r="AT13" s="183">
        <v>0.19475147138945825</v>
      </c>
      <c r="AU13" s="183">
        <v>0.19537398673120254</v>
      </c>
      <c r="AV13" s="183">
        <v>0.16812757583682009</v>
      </c>
      <c r="AW13" s="35">
        <f>'Raw emissions'!AM15</f>
        <v>2.6345187452336574</v>
      </c>
    </row>
    <row r="14" spans="2:49" s="35" customFormat="1" ht="13.5" thickBot="1" x14ac:dyDescent="0.25">
      <c r="B14" s="209" t="s">
        <v>1228</v>
      </c>
      <c r="C14" s="210" t="s">
        <v>501</v>
      </c>
      <c r="D14" s="211">
        <v>2.5865113999013776</v>
      </c>
      <c r="E14" s="211">
        <v>2.2958305355069539</v>
      </c>
      <c r="F14" s="211">
        <v>2.2780714846647245</v>
      </c>
      <c r="G14" s="211">
        <v>1.9169429470359318</v>
      </c>
      <c r="H14" s="211">
        <v>2.0219944646446066</v>
      </c>
      <c r="I14" s="212">
        <v>0</v>
      </c>
      <c r="J14" s="212">
        <v>0</v>
      </c>
      <c r="K14" s="212">
        <v>0</v>
      </c>
      <c r="L14" s="212">
        <v>0</v>
      </c>
      <c r="M14" s="212">
        <v>0</v>
      </c>
      <c r="N14" s="213">
        <v>8.6920691256944252E-2</v>
      </c>
      <c r="O14" s="213">
        <v>8.5653798409213958E-2</v>
      </c>
      <c r="P14" s="213">
        <v>8.448147044795562E-2</v>
      </c>
      <c r="Q14" s="213">
        <v>8.3832708341998324E-2</v>
      </c>
      <c r="R14" s="213">
        <v>8.2917051693304614E-2</v>
      </c>
      <c r="S14" s="214">
        <v>2.6814459108847277E-2</v>
      </c>
      <c r="T14" s="214">
        <v>2.5547547976460114E-2</v>
      </c>
      <c r="U14" s="214">
        <v>2.4375280146117999E-2</v>
      </c>
      <c r="V14" s="214">
        <v>2.372642960918701E-2</v>
      </c>
      <c r="W14" s="214">
        <v>2.2810902430934366E-2</v>
      </c>
      <c r="X14" s="215">
        <v>48.238463207545138</v>
      </c>
      <c r="Y14" s="215">
        <v>34.398053644143616</v>
      </c>
      <c r="Z14" s="215">
        <v>33.671415701425168</v>
      </c>
      <c r="AA14" s="215">
        <v>17.000768778649071</v>
      </c>
      <c r="AB14" s="215">
        <v>20.092980361143908</v>
      </c>
      <c r="AC14" s="212">
        <v>0.16159143462212797</v>
      </c>
      <c r="AD14" s="212">
        <v>0.15989331827708461</v>
      </c>
      <c r="AE14" s="212">
        <v>0.16134529536180617</v>
      </c>
      <c r="AF14" s="212">
        <v>0.16026806882961897</v>
      </c>
      <c r="AG14" s="212">
        <v>0.15509621876996066</v>
      </c>
      <c r="AH14" s="216">
        <v>1.1814986699180978</v>
      </c>
      <c r="AI14" s="216">
        <v>1.1618425709545199</v>
      </c>
      <c r="AJ14" s="216">
        <v>1.1591984152173493</v>
      </c>
      <c r="AK14" s="216">
        <v>1.1497983712700628</v>
      </c>
      <c r="AL14" s="216">
        <v>1.109596844689742</v>
      </c>
      <c r="AM14" s="213">
        <v>0</v>
      </c>
      <c r="AN14" s="213">
        <v>0</v>
      </c>
      <c r="AO14" s="213">
        <v>0</v>
      </c>
      <c r="AP14" s="213">
        <v>0</v>
      </c>
      <c r="AQ14" s="213">
        <v>0</v>
      </c>
      <c r="AR14" s="217">
        <v>3.7753761605685511E-4</v>
      </c>
      <c r="AS14" s="217">
        <v>3.2390584375184062E-4</v>
      </c>
      <c r="AT14" s="217">
        <v>2.5162014228608345E-4</v>
      </c>
      <c r="AU14" s="217">
        <v>2.4832392822878003E-4</v>
      </c>
      <c r="AV14" s="217">
        <v>1.6457798617381709E-4</v>
      </c>
      <c r="AW14" s="35">
        <f>'Raw emissions'!AM16</f>
        <v>0.16795675210443564</v>
      </c>
    </row>
    <row r="15" spans="2:49" s="35" customFormat="1" x14ac:dyDescent="0.2">
      <c r="B15" s="166" t="s">
        <v>1320</v>
      </c>
      <c r="C15" s="167" t="s">
        <v>922</v>
      </c>
      <c r="D15" s="168">
        <v>5.5483297076586835</v>
      </c>
      <c r="E15" s="168">
        <v>5.2936238324083309</v>
      </c>
      <c r="F15" s="168">
        <v>5.1408902371623162</v>
      </c>
      <c r="G15" s="168">
        <v>4.8869385006275055</v>
      </c>
      <c r="H15" s="168">
        <v>4.983028437234819</v>
      </c>
      <c r="I15" s="169">
        <v>0.14727368939298702</v>
      </c>
      <c r="J15" s="169">
        <v>9.7143704289385253E-3</v>
      </c>
      <c r="K15" s="169">
        <v>4.79092160102203E-3</v>
      </c>
      <c r="L15" s="169">
        <v>4.785991384847265E-3</v>
      </c>
      <c r="M15" s="169">
        <v>4.7825888938573397E-3</v>
      </c>
      <c r="N15" s="170">
        <v>0.49718087828686636</v>
      </c>
      <c r="O15" s="170">
        <v>0.40287341246158354</v>
      </c>
      <c r="P15" s="170">
        <v>0.34077855951729086</v>
      </c>
      <c r="Q15" s="170">
        <v>0.28491660238373234</v>
      </c>
      <c r="R15" s="170">
        <v>0.20316190739315482</v>
      </c>
      <c r="S15" s="171">
        <v>0.460475737882452</v>
      </c>
      <c r="T15" s="171">
        <v>0.36929196140383919</v>
      </c>
      <c r="U15" s="171">
        <v>0.30982460647244975</v>
      </c>
      <c r="V15" s="171">
        <v>0.25538028208026958</v>
      </c>
      <c r="W15" s="171">
        <v>0.17688588926384202</v>
      </c>
      <c r="X15" s="172">
        <v>3.4738828491213969</v>
      </c>
      <c r="Y15" s="172">
        <v>3.1034360237257061</v>
      </c>
      <c r="Z15" s="172">
        <v>2.4852384166092452</v>
      </c>
      <c r="AA15" s="172">
        <v>2.7806209481832704</v>
      </c>
      <c r="AB15" s="172">
        <v>1.3353922864905046</v>
      </c>
      <c r="AC15" s="169">
        <v>2.9966056339890551E-3</v>
      </c>
      <c r="AD15" s="169">
        <v>2.9321561476067059E-3</v>
      </c>
      <c r="AE15" s="169">
        <v>2.8634128196189622E-3</v>
      </c>
      <c r="AF15" s="169">
        <v>2.8530429785469211E-3</v>
      </c>
      <c r="AG15" s="169">
        <v>2.7457850663403917E-3</v>
      </c>
      <c r="AH15" s="173">
        <v>2.0711519584601427E-3</v>
      </c>
      <c r="AI15" s="173">
        <v>2.0027559030556426E-3</v>
      </c>
      <c r="AJ15" s="173">
        <v>1.917544518650872E-3</v>
      </c>
      <c r="AK15" s="173">
        <v>1.8907844892469316E-3</v>
      </c>
      <c r="AL15" s="173">
        <v>1.8476670679322979E-3</v>
      </c>
      <c r="AM15" s="170">
        <v>0.8416911833770665</v>
      </c>
      <c r="AN15" s="170">
        <v>0.74912112756892124</v>
      </c>
      <c r="AO15" s="170">
        <v>0.59790395617351721</v>
      </c>
      <c r="AP15" s="170">
        <v>0.66516013527073115</v>
      </c>
      <c r="AQ15" s="170">
        <v>0.32063354580677417</v>
      </c>
      <c r="AR15" s="174">
        <v>0.21103732385305474</v>
      </c>
      <c r="AS15" s="174">
        <v>0.18349067587180876</v>
      </c>
      <c r="AT15" s="174">
        <v>0.14435678865754983</v>
      </c>
      <c r="AU15" s="174">
        <v>0.13863475935868741</v>
      </c>
      <c r="AV15" s="174">
        <v>0.1119744900308514</v>
      </c>
      <c r="AW15" s="35">
        <f>'Raw emissions'!AM17</f>
        <v>3.1208542727057584</v>
      </c>
    </row>
    <row r="16" spans="2:49" s="35" customFormat="1" ht="11.25" customHeight="1" x14ac:dyDescent="0.2">
      <c r="B16" s="175" t="s">
        <v>1320</v>
      </c>
      <c r="C16" s="176" t="s">
        <v>1321</v>
      </c>
      <c r="D16" s="184">
        <v>2.4555996106187621</v>
      </c>
      <c r="E16" s="184">
        <v>1.7540293644631779</v>
      </c>
      <c r="F16" s="184">
        <v>1.4883008345782998</v>
      </c>
      <c r="G16" s="184">
        <v>0.94941900221862174</v>
      </c>
      <c r="H16" s="184">
        <v>0.44734491195312753</v>
      </c>
      <c r="I16" s="185">
        <v>3.8493926976571891E-2</v>
      </c>
      <c r="J16" s="185">
        <v>1.0132910796301324E-2</v>
      </c>
      <c r="K16" s="185">
        <v>7.8303108507665666E-3</v>
      </c>
      <c r="L16" s="185">
        <v>7.8216249729070372E-3</v>
      </c>
      <c r="M16" s="185">
        <v>7.8156757046561158E-3</v>
      </c>
      <c r="N16" s="186">
        <v>4.7744106721079441E-2</v>
      </c>
      <c r="O16" s="186">
        <v>4.3009734531088209E-2</v>
      </c>
      <c r="P16" s="186">
        <v>3.8837182681598685E-2</v>
      </c>
      <c r="Q16" s="186">
        <v>3.627183613791532E-2</v>
      </c>
      <c r="R16" s="186">
        <v>3.2995484982133089E-2</v>
      </c>
      <c r="S16" s="187">
        <v>2.6388083296904161E-2</v>
      </c>
      <c r="T16" s="187">
        <v>2.2044930543619928E-2</v>
      </c>
      <c r="U16" s="187">
        <v>1.8219615444350228E-2</v>
      </c>
      <c r="V16" s="187">
        <v>1.5867131235339726E-2</v>
      </c>
      <c r="W16" s="187">
        <v>1.2854883623603644E-2</v>
      </c>
      <c r="X16" s="188">
        <v>18.588225857032132</v>
      </c>
      <c r="Y16" s="188">
        <v>13.277158266906788</v>
      </c>
      <c r="Z16" s="188">
        <v>11.887873371174811</v>
      </c>
      <c r="AA16" s="188">
        <v>6.8661844552370592</v>
      </c>
      <c r="AB16" s="188">
        <v>5.2186282715771171</v>
      </c>
      <c r="AC16" s="185">
        <v>6.0394261447408809E-2</v>
      </c>
      <c r="AD16" s="185">
        <v>4.8954582773010867E-2</v>
      </c>
      <c r="AE16" s="185">
        <v>3.7105751062380544E-2</v>
      </c>
      <c r="AF16" s="185">
        <v>3.5924173226871706E-2</v>
      </c>
      <c r="AG16" s="185">
        <v>1.4172930818015001E-2</v>
      </c>
      <c r="AH16" s="189">
        <v>4.5319603228106506E-2</v>
      </c>
      <c r="AI16" s="189">
        <v>3.572881829374084E-2</v>
      </c>
      <c r="AJ16" s="189">
        <v>3.1013976733268087E-2</v>
      </c>
      <c r="AK16" s="189">
        <v>2.3457345021724838E-2</v>
      </c>
      <c r="AL16" s="189">
        <v>1.8876678041399735E-2</v>
      </c>
      <c r="AM16" s="186">
        <v>1.7678657288132089</v>
      </c>
      <c r="AN16" s="186">
        <v>1.1475119598349708</v>
      </c>
      <c r="AO16" s="186">
        <v>1.0956716216835187</v>
      </c>
      <c r="AP16" s="186">
        <v>0.48360877300991989</v>
      </c>
      <c r="AQ16" s="186">
        <v>0.20617908766056078</v>
      </c>
      <c r="AR16" s="190">
        <v>1.7790943037230245E-3</v>
      </c>
      <c r="AS16" s="190">
        <v>1.4380518422965126E-3</v>
      </c>
      <c r="AT16" s="190">
        <v>1.1590228175550475E-3</v>
      </c>
      <c r="AU16" s="190">
        <v>9.6294224678748362E-4</v>
      </c>
      <c r="AV16" s="190">
        <v>7.3114718475356534E-4</v>
      </c>
      <c r="AW16" s="35">
        <f>'Raw emissions'!AM18</f>
        <v>0.25093997119367578</v>
      </c>
    </row>
    <row r="17" spans="2:49" s="35" customFormat="1" x14ac:dyDescent="0.2">
      <c r="B17" s="175" t="s">
        <v>1320</v>
      </c>
      <c r="C17" s="176" t="s">
        <v>1318</v>
      </c>
      <c r="D17" s="177">
        <v>5.4906757456942952</v>
      </c>
      <c r="E17" s="177">
        <v>5.214006456362271</v>
      </c>
      <c r="F17" s="177">
        <v>5.0237073876412017</v>
      </c>
      <c r="G17" s="177">
        <v>4.790848564020191</v>
      </c>
      <c r="H17" s="177">
        <v>4.790848564020191</v>
      </c>
      <c r="I17" s="218">
        <v>0.11049922196380356</v>
      </c>
      <c r="J17" s="218">
        <v>7.6659499015978901E-3</v>
      </c>
      <c r="K17" s="218">
        <v>3.81269319664519E-3</v>
      </c>
      <c r="L17" s="218">
        <v>3.8377180124049746E-3</v>
      </c>
      <c r="M17" s="218">
        <v>3.8637673523523046E-3</v>
      </c>
      <c r="N17" s="219">
        <v>0.45535467077901703</v>
      </c>
      <c r="O17" s="219">
        <v>0.37254798527563077</v>
      </c>
      <c r="P17" s="219">
        <v>0.32006732314587227</v>
      </c>
      <c r="Q17" s="219">
        <v>0.2679458551690635</v>
      </c>
      <c r="R17" s="219">
        <v>0.20316190739315482</v>
      </c>
      <c r="S17" s="220">
        <v>0.41989984586313245</v>
      </c>
      <c r="T17" s="220">
        <v>0.33987271674685765</v>
      </c>
      <c r="U17" s="220">
        <v>0.2897322534758881</v>
      </c>
      <c r="V17" s="220">
        <v>0.23891586821340502</v>
      </c>
      <c r="W17" s="220">
        <v>0.17688588926384202</v>
      </c>
      <c r="X17" s="221">
        <v>3.13582368117223</v>
      </c>
      <c r="Y17" s="221">
        <v>2.8229137953145176</v>
      </c>
      <c r="Z17" s="221">
        <v>2.3014311856078105</v>
      </c>
      <c r="AA17" s="221">
        <v>2.5481992196400882</v>
      </c>
      <c r="AB17" s="221">
        <v>1.3353922864905046</v>
      </c>
      <c r="AC17" s="218">
        <v>2.9966056339890551E-3</v>
      </c>
      <c r="AD17" s="218">
        <v>2.9321561476067059E-3</v>
      </c>
      <c r="AE17" s="218">
        <v>2.8634128196189622E-3</v>
      </c>
      <c r="AF17" s="218">
        <v>2.8530429785469211E-3</v>
      </c>
      <c r="AG17" s="218">
        <v>2.7457850663403917E-3</v>
      </c>
      <c r="AH17" s="222">
        <v>2.0711519584601427E-3</v>
      </c>
      <c r="AI17" s="222">
        <v>2.0027559030556426E-3</v>
      </c>
      <c r="AJ17" s="222">
        <v>1.917544518650872E-3</v>
      </c>
      <c r="AK17" s="222">
        <v>1.8907844892469316E-3</v>
      </c>
      <c r="AL17" s="222">
        <v>1.8476670679322979E-3</v>
      </c>
      <c r="AM17" s="219">
        <v>0.8416911833770665</v>
      </c>
      <c r="AN17" s="219">
        <v>0.74912112756892124</v>
      </c>
      <c r="AO17" s="219">
        <v>0.59790395617351721</v>
      </c>
      <c r="AP17" s="219">
        <v>0.66516013527073115</v>
      </c>
      <c r="AQ17" s="219">
        <v>0.32063354580677417</v>
      </c>
      <c r="AR17" s="223">
        <v>0.1979568725820593</v>
      </c>
      <c r="AS17" s="223">
        <v>0.17560587801923944</v>
      </c>
      <c r="AT17" s="223">
        <v>0.13993026447890827</v>
      </c>
      <c r="AU17" s="223">
        <v>0.13863475935868741</v>
      </c>
      <c r="AV17" s="223">
        <v>0.1119744900308514</v>
      </c>
      <c r="AW17" s="35">
        <f>'Raw emissions'!AM19</f>
        <v>3.114721672768705</v>
      </c>
    </row>
    <row r="18" spans="2:49" s="35" customFormat="1" x14ac:dyDescent="0.2">
      <c r="B18" s="175" t="s">
        <v>1320</v>
      </c>
      <c r="C18" s="176" t="s">
        <v>501</v>
      </c>
      <c r="D18" s="177">
        <v>2.4555996106187621</v>
      </c>
      <c r="E18" s="177">
        <v>1.7540293644631779</v>
      </c>
      <c r="F18" s="177">
        <v>1.4883008345782998</v>
      </c>
      <c r="G18" s="177">
        <v>0.94941900221862174</v>
      </c>
      <c r="H18" s="177">
        <v>0.44734491195312753</v>
      </c>
      <c r="I18" s="218">
        <v>8.6000239014443012E-3</v>
      </c>
      <c r="J18" s="218">
        <v>2.2956488609276703E-3</v>
      </c>
      <c r="K18" s="218">
        <v>1.7894574768154755E-3</v>
      </c>
      <c r="L18" s="218">
        <v>1.802106921054915E-3</v>
      </c>
      <c r="M18" s="218">
        <v>1.8152822357933643E-3</v>
      </c>
      <c r="N18" s="219">
        <v>3.1117002660448513E-2</v>
      </c>
      <c r="O18" s="219">
        <v>3.0299893216125272E-2</v>
      </c>
      <c r="P18" s="219">
        <v>2.9700610852835225E-2</v>
      </c>
      <c r="Q18" s="219">
        <v>2.9032196972853547E-2</v>
      </c>
      <c r="R18" s="219">
        <v>2.9025593930277468E-2</v>
      </c>
      <c r="S18" s="220">
        <v>1.1077566451701649E-2</v>
      </c>
      <c r="T18" s="220">
        <v>1.0341473177601208E-2</v>
      </c>
      <c r="U18" s="220">
        <v>9.8064856190263616E-3</v>
      </c>
      <c r="V18" s="220">
        <v>9.2007081668217961E-3</v>
      </c>
      <c r="W18" s="220">
        <v>9.1992826358770329E-3</v>
      </c>
      <c r="X18" s="221">
        <v>13.48143464436443</v>
      </c>
      <c r="Y18" s="221">
        <v>9.942611729159335</v>
      </c>
      <c r="Z18" s="221">
        <v>9.2761384826718398</v>
      </c>
      <c r="AA18" s="221">
        <v>5.5891233594025094</v>
      </c>
      <c r="AB18" s="221">
        <v>5.2186282715771171</v>
      </c>
      <c r="AC18" s="218">
        <v>6.0394261447408809E-2</v>
      </c>
      <c r="AD18" s="218">
        <v>4.8954582773010867E-2</v>
      </c>
      <c r="AE18" s="218">
        <v>3.7105751062380544E-2</v>
      </c>
      <c r="AF18" s="218">
        <v>3.5924173226871706E-2</v>
      </c>
      <c r="AG18" s="218">
        <v>1.4172930818015001E-2</v>
      </c>
      <c r="AH18" s="222">
        <v>0.20394600249085287</v>
      </c>
      <c r="AI18" s="222">
        <v>0.14736273928581323</v>
      </c>
      <c r="AJ18" s="222">
        <v>0.109029205516585</v>
      </c>
      <c r="AK18" s="222">
        <v>7.953336902582471E-2</v>
      </c>
      <c r="AL18" s="222">
        <v>1.8876678041399735E-2</v>
      </c>
      <c r="AM18" s="219">
        <v>1.5972645285617049</v>
      </c>
      <c r="AN18" s="219">
        <v>1.041302468911697</v>
      </c>
      <c r="AO18" s="219">
        <v>0.99867635510422559</v>
      </c>
      <c r="AP18" s="219">
        <v>0.44555685009195595</v>
      </c>
      <c r="AQ18" s="219">
        <v>0.20617908766056078</v>
      </c>
      <c r="AR18" s="223">
        <v>4.7523578431607179E-4</v>
      </c>
      <c r="AS18" s="223">
        <v>4.4155020618490495E-4</v>
      </c>
      <c r="AT18" s="223">
        <v>3.7470791232514837E-4</v>
      </c>
      <c r="AU18" s="223">
        <v>3.9583559654318142E-4</v>
      </c>
      <c r="AV18" s="223">
        <v>2.9958725732769781E-4</v>
      </c>
      <c r="AW18" s="35">
        <f>'Raw emissions'!AM20</f>
        <v>0.43858650662583021</v>
      </c>
    </row>
    <row r="19" spans="2:49" s="35" customFormat="1" x14ac:dyDescent="0.2">
      <c r="B19" s="175" t="s">
        <v>1320</v>
      </c>
      <c r="C19" s="176" t="s">
        <v>504</v>
      </c>
      <c r="D19" s="177">
        <v>1.759180769508915</v>
      </c>
      <c r="E19" s="177">
        <v>1.2834191370383989</v>
      </c>
      <c r="F19" s="177">
        <v>1.123641970537699</v>
      </c>
      <c r="G19" s="177">
        <v>0.73169503834600425</v>
      </c>
      <c r="H19" s="177">
        <v>0.44734491195312753</v>
      </c>
      <c r="I19" s="218">
        <v>0</v>
      </c>
      <c r="J19" s="218">
        <v>0</v>
      </c>
      <c r="K19" s="218">
        <v>0</v>
      </c>
      <c r="L19" s="218">
        <v>0</v>
      </c>
      <c r="M19" s="218">
        <v>0</v>
      </c>
      <c r="N19" s="219">
        <v>2.6469764428309863E-2</v>
      </c>
      <c r="O19" s="219">
        <v>2.6445127921077546E-2</v>
      </c>
      <c r="P19" s="219">
        <v>2.6419593470886394E-2</v>
      </c>
      <c r="Q19" s="219">
        <v>2.6404850153286571E-2</v>
      </c>
      <c r="R19" s="219">
        <v>2.6398247110710493E-2</v>
      </c>
      <c r="S19" s="220">
        <v>6.7983139282823254E-3</v>
      </c>
      <c r="T19" s="220">
        <v>6.7919385479326133E-3</v>
      </c>
      <c r="U19" s="220">
        <v>6.7852696014785285E-3</v>
      </c>
      <c r="V19" s="220">
        <v>6.7813968794944854E-3</v>
      </c>
      <c r="W19" s="220">
        <v>6.7799713485497213E-3</v>
      </c>
      <c r="X19" s="221">
        <v>15.183698381920331</v>
      </c>
      <c r="Y19" s="221">
        <v>11.054127241741821</v>
      </c>
      <c r="Z19" s="221">
        <v>10.146716778839499</v>
      </c>
      <c r="AA19" s="221">
        <v>6.0148103913473596</v>
      </c>
      <c r="AB19" s="221">
        <v>5.2186282715771171</v>
      </c>
      <c r="AC19" s="218">
        <v>6.0394261447408809E-2</v>
      </c>
      <c r="AD19" s="218">
        <v>4.8954582773010867E-2</v>
      </c>
      <c r="AE19" s="218">
        <v>3.7105751062380544E-2</v>
      </c>
      <c r="AF19" s="218">
        <v>3.5924173226871706E-2</v>
      </c>
      <c r="AG19" s="218">
        <v>1.4172930818015001E-2</v>
      </c>
      <c r="AH19" s="222">
        <v>4.5319603228106506E-2</v>
      </c>
      <c r="AI19" s="222">
        <v>3.572881829374084E-2</v>
      </c>
      <c r="AJ19" s="222">
        <v>3.1013976733268087E-2</v>
      </c>
      <c r="AK19" s="222">
        <v>2.3457345021724838E-2</v>
      </c>
      <c r="AL19" s="222">
        <v>1.8876678041399735E-2</v>
      </c>
      <c r="AM19" s="219">
        <v>1.5426721444812235</v>
      </c>
      <c r="AN19" s="219">
        <v>1.0073154318162494</v>
      </c>
      <c r="AO19" s="219">
        <v>0.96763786979885147</v>
      </c>
      <c r="AP19" s="219">
        <v>0.43338023475820747</v>
      </c>
      <c r="AQ19" s="219">
        <v>0.20617908766056078</v>
      </c>
      <c r="AR19" s="223">
        <v>0</v>
      </c>
      <c r="AS19" s="223">
        <v>0</v>
      </c>
      <c r="AT19" s="223">
        <v>0</v>
      </c>
      <c r="AU19" s="223">
        <v>0</v>
      </c>
      <c r="AV19" s="223">
        <v>0</v>
      </c>
      <c r="AW19" s="35">
        <f>'Raw emissions'!AM21</f>
        <v>0</v>
      </c>
    </row>
    <row r="20" spans="2:49" s="35" customFormat="1" x14ac:dyDescent="0.2">
      <c r="B20" s="200" t="s">
        <v>1320</v>
      </c>
      <c r="C20" s="201" t="s">
        <v>509</v>
      </c>
      <c r="D20" s="177">
        <v>2.0377483059528543</v>
      </c>
      <c r="E20" s="177">
        <v>1.4716632280083104</v>
      </c>
      <c r="F20" s="177">
        <v>1.2695055161539393</v>
      </c>
      <c r="G20" s="177">
        <v>0.81878462389505124</v>
      </c>
      <c r="H20" s="177">
        <v>0.44734491195312753</v>
      </c>
      <c r="I20" s="224">
        <v>1.1199142236103023E-2</v>
      </c>
      <c r="J20" s="224">
        <v>2.9894449611191434E-3</v>
      </c>
      <c r="K20" s="224">
        <v>2.9894449611191434E-3</v>
      </c>
      <c r="L20" s="224">
        <v>2.9894449611191434E-3</v>
      </c>
      <c r="M20" s="224">
        <v>2.9894449611191434E-3</v>
      </c>
      <c r="N20" s="225">
        <v>4.1183748604422886E-2</v>
      </c>
      <c r="O20" s="225">
        <v>3.8307036361002113E-2</v>
      </c>
      <c r="P20" s="225">
        <v>3.598292239647094E-2</v>
      </c>
      <c r="Q20" s="225">
        <v>3.403859134128339E-2</v>
      </c>
      <c r="R20" s="225">
        <v>3.2995484982133089E-2</v>
      </c>
      <c r="S20" s="226">
        <v>2.0347202763628235E-2</v>
      </c>
      <c r="T20" s="226">
        <v>1.7714608051258122E-2</v>
      </c>
      <c r="U20" s="226">
        <v>1.5591370890406983E-2</v>
      </c>
      <c r="V20" s="226">
        <v>1.381071664111151E-2</v>
      </c>
      <c r="W20" s="226">
        <v>1.2854883623603644E-2</v>
      </c>
      <c r="X20" s="227">
        <v>15.183698381920331</v>
      </c>
      <c r="Y20" s="227">
        <v>11.054127241741821</v>
      </c>
      <c r="Z20" s="227">
        <v>10.146716778839499</v>
      </c>
      <c r="AA20" s="227">
        <v>6.0148103913473596</v>
      </c>
      <c r="AB20" s="227">
        <v>5.2186282715771171</v>
      </c>
      <c r="AC20" s="224">
        <v>6.0394261447408809E-2</v>
      </c>
      <c r="AD20" s="224">
        <v>4.8954582773010867E-2</v>
      </c>
      <c r="AE20" s="224">
        <v>3.7105751062380544E-2</v>
      </c>
      <c r="AF20" s="224">
        <v>3.5924173226871706E-2</v>
      </c>
      <c r="AG20" s="224">
        <v>1.4172930818015001E-2</v>
      </c>
      <c r="AH20" s="228">
        <v>8.1803675058538167E-2</v>
      </c>
      <c r="AI20" s="228">
        <v>6.1404620121917483E-2</v>
      </c>
      <c r="AJ20" s="228">
        <v>4.8957479353430977E-2</v>
      </c>
      <c r="AK20" s="228">
        <v>3.6354830542667811E-2</v>
      </c>
      <c r="AL20" s="228">
        <v>1.8876678041399735E-2</v>
      </c>
      <c r="AM20" s="225">
        <v>1.6859771526924869</v>
      </c>
      <c r="AN20" s="225">
        <v>1.0965314041917995</v>
      </c>
      <c r="AO20" s="225">
        <v>1.049113893725458</v>
      </c>
      <c r="AP20" s="225">
        <v>0.46534385000929712</v>
      </c>
      <c r="AQ20" s="225">
        <v>0.20617908766056078</v>
      </c>
      <c r="AR20" s="229">
        <v>1.3665803519518501E-3</v>
      </c>
      <c r="AS20" s="229">
        <v>1.1971767640107278E-3</v>
      </c>
      <c r="AT20" s="229">
        <v>9.9579497544973437E-4</v>
      </c>
      <c r="AU20" s="229">
        <v>9.6294224678748362E-4</v>
      </c>
      <c r="AV20" s="229">
        <v>7.3114718475356534E-4</v>
      </c>
      <c r="AW20" s="35">
        <f>'Raw emissions'!AM22</f>
        <v>0.22117164358357999</v>
      </c>
    </row>
    <row r="21" spans="2:49" s="35" customFormat="1" x14ac:dyDescent="0.2">
      <c r="B21" s="191" t="s">
        <v>1322</v>
      </c>
      <c r="C21" s="192" t="s">
        <v>922</v>
      </c>
      <c r="D21" s="193">
        <v>9.9916010840631806</v>
      </c>
      <c r="E21" s="193">
        <v>8.646075386485208</v>
      </c>
      <c r="F21" s="193">
        <v>8.018799060229167</v>
      </c>
      <c r="G21" s="193">
        <v>6.9843233223070635</v>
      </c>
      <c r="H21" s="193">
        <v>6.2047139910529268</v>
      </c>
      <c r="I21" s="194">
        <v>0.23684699338548493</v>
      </c>
      <c r="J21" s="194">
        <v>1.393381343982739E-2</v>
      </c>
      <c r="K21" s="194">
        <v>6.8861302243331786E-3</v>
      </c>
      <c r="L21" s="194">
        <v>6.8846457605054546E-3</v>
      </c>
      <c r="M21" s="194">
        <v>6.8828176795580108E-3</v>
      </c>
      <c r="N21" s="195">
        <v>0.72155277716218347</v>
      </c>
      <c r="O21" s="195">
        <v>0.61463951609616452</v>
      </c>
      <c r="P21" s="195">
        <v>0.56446766016249073</v>
      </c>
      <c r="Q21" s="195">
        <v>0.48537868101852077</v>
      </c>
      <c r="R21" s="195">
        <v>0.41368821056950522</v>
      </c>
      <c r="S21" s="196">
        <v>0.64564396816218428</v>
      </c>
      <c r="T21" s="196">
        <v>0.54202852665356538</v>
      </c>
      <c r="U21" s="196">
        <v>0.4932276665243529</v>
      </c>
      <c r="V21" s="196">
        <v>0.41685069604756092</v>
      </c>
      <c r="W21" s="196">
        <v>0.34674378070288431</v>
      </c>
      <c r="X21" s="197">
        <v>3.6455773607814708</v>
      </c>
      <c r="Y21" s="197">
        <v>3.3459867062386972</v>
      </c>
      <c r="Z21" s="197">
        <v>2.8080133840322179</v>
      </c>
      <c r="AA21" s="197">
        <v>3.1202212770567694</v>
      </c>
      <c r="AB21" s="197">
        <v>1.7679136271904505</v>
      </c>
      <c r="AC21" s="194">
        <v>2.8359268869761305E-3</v>
      </c>
      <c r="AD21" s="194">
        <v>2.7714107431740355E-3</v>
      </c>
      <c r="AE21" s="194">
        <v>2.7189756249926741E-3</v>
      </c>
      <c r="AF21" s="194">
        <v>2.695615113652545E-3</v>
      </c>
      <c r="AG21" s="194">
        <v>2.6059582480530653E-3</v>
      </c>
      <c r="AH21" s="198">
        <v>2.4157825602538984E-3</v>
      </c>
      <c r="AI21" s="198">
        <v>2.2973130411667771E-3</v>
      </c>
      <c r="AJ21" s="198">
        <v>2.2754703146737969E-3</v>
      </c>
      <c r="AK21" s="198">
        <v>2.1480591348242107E-3</v>
      </c>
      <c r="AL21" s="198">
        <v>2.1480608579075681E-3</v>
      </c>
      <c r="AM21" s="195">
        <v>1.0557273967698739</v>
      </c>
      <c r="AN21" s="195">
        <v>0.97582416721463716</v>
      </c>
      <c r="AO21" s="195">
        <v>0.79841232365435644</v>
      </c>
      <c r="AP21" s="195">
        <v>0.9294602423506314</v>
      </c>
      <c r="AQ21" s="195">
        <v>0.46322670318013898</v>
      </c>
      <c r="AR21" s="199">
        <v>0.24376872881798695</v>
      </c>
      <c r="AS21" s="199">
        <v>0.22217910951772496</v>
      </c>
      <c r="AT21" s="199">
        <v>0.18536313824098238</v>
      </c>
      <c r="AU21" s="199">
        <v>0.18552761642360585</v>
      </c>
      <c r="AV21" s="199">
        <v>0.15871464944045013</v>
      </c>
      <c r="AW21" s="35">
        <f>'Raw emissions'!AM23</f>
        <v>2.2656101084371785</v>
      </c>
    </row>
    <row r="22" spans="2:49" s="35" customFormat="1" x14ac:dyDescent="0.2">
      <c r="B22" s="175" t="s">
        <v>1322</v>
      </c>
      <c r="C22" s="176" t="s">
        <v>1321</v>
      </c>
      <c r="D22" s="184">
        <v>4.5716386228589467</v>
      </c>
      <c r="E22" s="184">
        <v>4.0362378455816632</v>
      </c>
      <c r="F22" s="184">
        <v>3.8641065015027358</v>
      </c>
      <c r="G22" s="184">
        <v>3.3337820906612814</v>
      </c>
      <c r="H22" s="184">
        <v>3.2962458579014355</v>
      </c>
      <c r="I22" s="185">
        <v>6.7514682997578318E-2</v>
      </c>
      <c r="J22" s="185">
        <v>1.7776362953857931E-2</v>
      </c>
      <c r="K22" s="185">
        <v>1.3758716115018003E-2</v>
      </c>
      <c r="L22" s="185">
        <v>1.3752945638960984E-2</v>
      </c>
      <c r="M22" s="185">
        <v>1.3746081019759911E-2</v>
      </c>
      <c r="N22" s="186">
        <v>7.5206682090866311E-2</v>
      </c>
      <c r="O22" s="186">
        <v>7.2220317799899944E-2</v>
      </c>
      <c r="P22" s="186">
        <v>7.0607365130787178E-2</v>
      </c>
      <c r="Q22" s="186">
        <v>6.8157479249591826E-2</v>
      </c>
      <c r="R22" s="186">
        <v>6.7272430414599488E-2</v>
      </c>
      <c r="S22" s="187">
        <v>2.7780146795212523E-2</v>
      </c>
      <c r="T22" s="187">
        <v>2.491494662785709E-2</v>
      </c>
      <c r="U22" s="187">
        <v>2.3357999777124515E-2</v>
      </c>
      <c r="V22" s="187">
        <v>2.0986860819372091E-2</v>
      </c>
      <c r="W22" s="187">
        <v>2.0220246466460597E-2</v>
      </c>
      <c r="X22" s="188">
        <v>50.746477423086645</v>
      </c>
      <c r="Y22" s="188">
        <v>36.19366931021392</v>
      </c>
      <c r="Z22" s="188">
        <v>32.037917331399022</v>
      </c>
      <c r="AA22" s="188">
        <v>17.442418423124458</v>
      </c>
      <c r="AB22" s="188">
        <v>16.217025555774075</v>
      </c>
      <c r="AC22" s="185">
        <v>5.4207479723256596E-2</v>
      </c>
      <c r="AD22" s="185">
        <v>4.9110114823270677E-2</v>
      </c>
      <c r="AE22" s="185">
        <v>4.0147174239998772E-2</v>
      </c>
      <c r="AF22" s="185">
        <v>4.4864348650226281E-2</v>
      </c>
      <c r="AG22" s="185">
        <v>2.3525190267506279E-2</v>
      </c>
      <c r="AH22" s="189">
        <v>0.10547552096003099</v>
      </c>
      <c r="AI22" s="189">
        <v>6.9010399500869526E-2</v>
      </c>
      <c r="AJ22" s="189">
        <v>5.8047234937988496E-2</v>
      </c>
      <c r="AK22" s="189">
        <v>2.1634944137496451E-2</v>
      </c>
      <c r="AL22" s="189">
        <v>1.8879842962050399E-2</v>
      </c>
      <c r="AM22" s="186">
        <v>1.9895924256235769</v>
      </c>
      <c r="AN22" s="186">
        <v>1.475798581095088</v>
      </c>
      <c r="AO22" s="186">
        <v>1.3017021027278499</v>
      </c>
      <c r="AP22" s="186">
        <v>0.85356849277793756</v>
      </c>
      <c r="AQ22" s="186">
        <v>0.63079267799427807</v>
      </c>
      <c r="AR22" s="190">
        <v>1.0405159758049556E-3</v>
      </c>
      <c r="AS22" s="190">
        <v>8.2674689673951777E-4</v>
      </c>
      <c r="AT22" s="190">
        <v>6.2174377947501721E-4</v>
      </c>
      <c r="AU22" s="190">
        <v>5.1958057743009946E-4</v>
      </c>
      <c r="AV22" s="190">
        <v>3.5200249360827342E-4</v>
      </c>
      <c r="AW22" s="35">
        <f>'Raw emissions'!AM24</f>
        <v>0.12399197277338818</v>
      </c>
    </row>
    <row r="23" spans="2:49" s="35" customFormat="1" x14ac:dyDescent="0.2">
      <c r="B23" s="175" t="s">
        <v>1322</v>
      </c>
      <c r="C23" s="176" t="s">
        <v>1318</v>
      </c>
      <c r="D23" s="184">
        <v>9.9916010840631806</v>
      </c>
      <c r="E23" s="184">
        <v>8.646075386485208</v>
      </c>
      <c r="F23" s="184">
        <v>8.018799060229167</v>
      </c>
      <c r="G23" s="184">
        <v>6.9843233223070635</v>
      </c>
      <c r="H23" s="184">
        <v>6.2047139910529268</v>
      </c>
      <c r="I23" s="218">
        <v>0.19243131290246582</v>
      </c>
      <c r="J23" s="218">
        <v>1.3511269163195241E-2</v>
      </c>
      <c r="K23" s="218">
        <v>6.7021646412065471E-3</v>
      </c>
      <c r="L23" s="218">
        <v>6.7242278000437493E-3</v>
      </c>
      <c r="M23" s="218">
        <v>6.7440149481379158E-3</v>
      </c>
      <c r="N23" s="219">
        <v>0.65638894667534387</v>
      </c>
      <c r="O23" s="219">
        <v>0.5602607594819049</v>
      </c>
      <c r="P23" s="219">
        <v>0.51517514845036505</v>
      </c>
      <c r="Q23" s="219">
        <v>0.44402581605116948</v>
      </c>
      <c r="R23" s="219">
        <v>0.37965613087598937</v>
      </c>
      <c r="S23" s="220">
        <v>0.58242507940246446</v>
      </c>
      <c r="T23" s="220">
        <v>0.48927140904661043</v>
      </c>
      <c r="U23" s="220">
        <v>0.4454042996265305</v>
      </c>
      <c r="V23" s="220">
        <v>0.37672895711419485</v>
      </c>
      <c r="W23" s="220">
        <v>0.31372345338568625</v>
      </c>
      <c r="X23" s="221">
        <v>3.2445638510955086</v>
      </c>
      <c r="Y23" s="221">
        <v>2.9779281685524408</v>
      </c>
      <c r="Z23" s="221">
        <v>2.4991319117886737</v>
      </c>
      <c r="AA23" s="221">
        <v>2.7769969365805247</v>
      </c>
      <c r="AB23" s="221">
        <v>1.5734431281995009</v>
      </c>
      <c r="AC23" s="218">
        <v>2.8359268869761305E-3</v>
      </c>
      <c r="AD23" s="218">
        <v>2.7714107431740355E-3</v>
      </c>
      <c r="AE23" s="218">
        <v>2.7189756249926741E-3</v>
      </c>
      <c r="AF23" s="218">
        <v>2.695615113652545E-3</v>
      </c>
      <c r="AG23" s="218">
        <v>2.6059582480530653E-3</v>
      </c>
      <c r="AH23" s="222">
        <v>2.4157825602538984E-3</v>
      </c>
      <c r="AI23" s="222">
        <v>2.2973130411667771E-3</v>
      </c>
      <c r="AJ23" s="222">
        <v>2.2754703146737969E-3</v>
      </c>
      <c r="AK23" s="222">
        <v>2.1480591348242107E-3</v>
      </c>
      <c r="AL23" s="222">
        <v>2.1480608579075681E-3</v>
      </c>
      <c r="AM23" s="219">
        <v>1.0557273967698739</v>
      </c>
      <c r="AN23" s="219">
        <v>0.97582416721463716</v>
      </c>
      <c r="AO23" s="219">
        <v>0.79841232365435644</v>
      </c>
      <c r="AP23" s="219">
        <v>0.9294602423506314</v>
      </c>
      <c r="AQ23" s="219">
        <v>0.46322670318013898</v>
      </c>
      <c r="AR23" s="223">
        <v>0.21914808720737028</v>
      </c>
      <c r="AS23" s="223">
        <v>0.19973901945643474</v>
      </c>
      <c r="AT23" s="223">
        <v>0.16664146127864318</v>
      </c>
      <c r="AU23" s="223">
        <v>0.16678932716482167</v>
      </c>
      <c r="AV23" s="223">
        <v>0.14268446984696467</v>
      </c>
      <c r="AW23" s="35">
        <f>'Raw emissions'!AM25</f>
        <v>2.25725370954035</v>
      </c>
    </row>
    <row r="24" spans="2:49" s="35" customFormat="1" x14ac:dyDescent="0.2">
      <c r="B24" s="175" t="s">
        <v>1322</v>
      </c>
      <c r="C24" s="176" t="s">
        <v>501</v>
      </c>
      <c r="D24" s="184">
        <v>6.4945407046410661</v>
      </c>
      <c r="E24" s="184">
        <v>5.6199490012153843</v>
      </c>
      <c r="F24" s="184">
        <v>5.2122193891489585</v>
      </c>
      <c r="G24" s="184">
        <v>4.5398101594995905</v>
      </c>
      <c r="H24" s="184">
        <v>4.0330640941844029</v>
      </c>
      <c r="I24" s="218">
        <v>0.14750908242726701</v>
      </c>
      <c r="J24" s="218">
        <v>1.0357123727056477E-2</v>
      </c>
      <c r="K24" s="218">
        <v>5.1375742418903522E-3</v>
      </c>
      <c r="L24" s="218">
        <v>5.1544868548452525E-3</v>
      </c>
      <c r="M24" s="218">
        <v>5.1696547815989532E-3</v>
      </c>
      <c r="N24" s="219">
        <v>0.1408849807447991</v>
      </c>
      <c r="O24" s="219">
        <v>0.13007633834533563</v>
      </c>
      <c r="P24" s="219">
        <v>0.12522745678711203</v>
      </c>
      <c r="Q24" s="219">
        <v>0.11688780507182597</v>
      </c>
      <c r="R24" s="219">
        <v>0.11043205488471061</v>
      </c>
      <c r="S24" s="220">
        <v>8.2307335649830143E-2</v>
      </c>
      <c r="T24" s="220">
        <v>7.1915597482680491E-2</v>
      </c>
      <c r="U24" s="220">
        <v>6.7078852583361326E-2</v>
      </c>
      <c r="V24" s="220">
        <v>5.9330250106675031E-2</v>
      </c>
      <c r="W24" s="220">
        <v>5.250324025260452E-2</v>
      </c>
      <c r="X24" s="221">
        <v>0.3645577360781469</v>
      </c>
      <c r="Y24" s="221">
        <v>0.33459867062386967</v>
      </c>
      <c r="Z24" s="221">
        <v>0.28080133840322175</v>
      </c>
      <c r="AA24" s="221">
        <v>0.31202212770567689</v>
      </c>
      <c r="AB24" s="221">
        <v>0.17679136271904503</v>
      </c>
      <c r="AC24" s="218">
        <v>2.8359268869761305E-3</v>
      </c>
      <c r="AD24" s="218">
        <v>2.7714107431740355E-3</v>
      </c>
      <c r="AE24" s="218">
        <v>2.7189756249926741E-3</v>
      </c>
      <c r="AF24" s="218">
        <v>2.695615113652545E-3</v>
      </c>
      <c r="AG24" s="218">
        <v>2.6059582480530653E-3</v>
      </c>
      <c r="AH24" s="222">
        <v>0.13565548505862407</v>
      </c>
      <c r="AI24" s="222">
        <v>0.12900296577115297</v>
      </c>
      <c r="AJ24" s="222">
        <v>0.12777641264250691</v>
      </c>
      <c r="AK24" s="222">
        <v>0.1206217847017494</v>
      </c>
      <c r="AL24" s="222">
        <v>0.12062188145950919</v>
      </c>
      <c r="AM24" s="219">
        <v>1.0557273967698739</v>
      </c>
      <c r="AN24" s="219">
        <v>0.97582416721463716</v>
      </c>
      <c r="AO24" s="219">
        <v>0.79841232365435644</v>
      </c>
      <c r="AP24" s="219">
        <v>0.9294602423506314</v>
      </c>
      <c r="AQ24" s="219">
        <v>0.46322670318013898</v>
      </c>
      <c r="AR24" s="223">
        <v>2.437687288179869E-2</v>
      </c>
      <c r="AS24" s="223">
        <v>2.2217910951772491E-2</v>
      </c>
      <c r="AT24" s="223">
        <v>1.8536313824098236E-2</v>
      </c>
      <c r="AU24" s="223">
        <v>1.8552761642360586E-2</v>
      </c>
      <c r="AV24" s="223">
        <v>1.5871464944045011E-2</v>
      </c>
      <c r="AW24" s="35">
        <f>'Raw emissions'!AM26</f>
        <v>3.6695282763571861</v>
      </c>
    </row>
    <row r="25" spans="2:49" s="35" customFormat="1" x14ac:dyDescent="0.2">
      <c r="B25" s="175" t="s">
        <v>1322</v>
      </c>
      <c r="C25" s="176" t="s">
        <v>504</v>
      </c>
      <c r="D25" s="184">
        <v>3.9966404336252719</v>
      </c>
      <c r="E25" s="184">
        <v>3.4584301545940828</v>
      </c>
      <c r="F25" s="184">
        <v>3.2075196240916668</v>
      </c>
      <c r="G25" s="184">
        <v>2.7937293289228253</v>
      </c>
      <c r="H25" s="184">
        <v>2.4818855964211708</v>
      </c>
      <c r="I25" s="218">
        <v>0</v>
      </c>
      <c r="J25" s="218">
        <v>0</v>
      </c>
      <c r="K25" s="218">
        <v>0</v>
      </c>
      <c r="L25" s="218">
        <v>0</v>
      </c>
      <c r="M25" s="218">
        <v>0</v>
      </c>
      <c r="N25" s="219">
        <v>7.6366336698423076E-2</v>
      </c>
      <c r="O25" s="219">
        <v>7.6235985261910222E-2</v>
      </c>
      <c r="P25" s="219">
        <v>7.6422989745403291E-2</v>
      </c>
      <c r="Q25" s="219">
        <v>7.5944374411082136E-2</v>
      </c>
      <c r="R25" s="219">
        <v>7.6736926475289E-2</v>
      </c>
      <c r="S25" s="220">
        <v>1.9714376481790828E-2</v>
      </c>
      <c r="T25" s="220">
        <v>1.968082757480441E-2</v>
      </c>
      <c r="U25" s="220">
        <v>1.9728984367695591E-2</v>
      </c>
      <c r="V25" s="220">
        <v>1.9605756113243274E-2</v>
      </c>
      <c r="W25" s="220">
        <v>1.9809846869240103E-2</v>
      </c>
      <c r="X25" s="221">
        <v>0.3645577360781469</v>
      </c>
      <c r="Y25" s="221">
        <v>0.33459867062386967</v>
      </c>
      <c r="Z25" s="221">
        <v>0.28080133840322175</v>
      </c>
      <c r="AA25" s="221">
        <v>0.31202212770567689</v>
      </c>
      <c r="AB25" s="221">
        <v>0.17679136271904503</v>
      </c>
      <c r="AC25" s="218">
        <v>2.8359268869761305E-3</v>
      </c>
      <c r="AD25" s="218">
        <v>2.7714107431740355E-3</v>
      </c>
      <c r="AE25" s="218">
        <v>2.7189756249926741E-3</v>
      </c>
      <c r="AF25" s="218">
        <v>2.695615113652545E-3</v>
      </c>
      <c r="AG25" s="218">
        <v>2.6059582480530653E-3</v>
      </c>
      <c r="AH25" s="222">
        <v>1.3565548505862408E-2</v>
      </c>
      <c r="AI25" s="222">
        <v>1.2900296577115299E-2</v>
      </c>
      <c r="AJ25" s="222">
        <v>1.277764126425069E-2</v>
      </c>
      <c r="AK25" s="222">
        <v>1.206217847017494E-2</v>
      </c>
      <c r="AL25" s="222">
        <v>1.2062188145950919E-2</v>
      </c>
      <c r="AM25" s="219">
        <v>1.8739161116042695</v>
      </c>
      <c r="AN25" s="219">
        <v>1.7320878804805007</v>
      </c>
      <c r="AO25" s="219">
        <v>1.4171818611290916</v>
      </c>
      <c r="AP25" s="219">
        <v>1.6497919146225559</v>
      </c>
      <c r="AQ25" s="219">
        <v>0.82222739039499138</v>
      </c>
      <c r="AR25" s="223">
        <v>0</v>
      </c>
      <c r="AS25" s="223">
        <v>0</v>
      </c>
      <c r="AT25" s="223">
        <v>0</v>
      </c>
      <c r="AU25" s="223">
        <v>0</v>
      </c>
      <c r="AV25" s="223">
        <v>0</v>
      </c>
      <c r="AW25" s="35">
        <f>'Raw emissions'!AM27</f>
        <v>0</v>
      </c>
    </row>
    <row r="26" spans="2:49" s="35" customFormat="1" x14ac:dyDescent="0.2">
      <c r="B26" s="200" t="s">
        <v>1322</v>
      </c>
      <c r="C26" s="201" t="s">
        <v>509</v>
      </c>
      <c r="D26" s="202">
        <v>3.7487436707443362</v>
      </c>
      <c r="E26" s="202">
        <v>3.3097150333769636</v>
      </c>
      <c r="F26" s="202">
        <v>3.1685673312322438</v>
      </c>
      <c r="G26" s="202">
        <v>2.7337013143422508</v>
      </c>
      <c r="H26" s="202">
        <v>2.7029216034791772</v>
      </c>
      <c r="I26" s="224">
        <v>1.9781802118290445E-2</v>
      </c>
      <c r="J26" s="224">
        <v>5.2336295527746308E-3</v>
      </c>
      <c r="K26" s="224">
        <v>4.0794569610172081E-3</v>
      </c>
      <c r="L26" s="224">
        <v>4.1050301718173528E-3</v>
      </c>
      <c r="M26" s="224">
        <v>4.1279787149253152E-3</v>
      </c>
      <c r="N26" s="225">
        <v>7.0919479547947931E-2</v>
      </c>
      <c r="O26" s="225">
        <v>6.9007572561130243E-2</v>
      </c>
      <c r="P26" s="225">
        <v>6.7979762010481407E-2</v>
      </c>
      <c r="Q26" s="225">
        <v>6.6421898390714898E-2</v>
      </c>
      <c r="R26" s="225">
        <v>6.5813007581014438E-2</v>
      </c>
      <c r="S26" s="226">
        <v>2.3832367532334472E-2</v>
      </c>
      <c r="T26" s="226">
        <v>2.1956546089915326E-2</v>
      </c>
      <c r="U26" s="226">
        <v>2.0938417835669541E-2</v>
      </c>
      <c r="V26" s="226">
        <v>1.9388663976345571E-2</v>
      </c>
      <c r="W26" s="226">
        <v>1.8876340036142476E-2</v>
      </c>
      <c r="X26" s="227">
        <v>40.597181938469319</v>
      </c>
      <c r="Y26" s="227">
        <v>28.954935448171138</v>
      </c>
      <c r="Z26" s="227">
        <v>25.630333865119219</v>
      </c>
      <c r="AA26" s="227">
        <v>13.953934738499568</v>
      </c>
      <c r="AB26" s="227">
        <v>12.973620444619261</v>
      </c>
      <c r="AC26" s="224">
        <v>5.4207479723256596E-2</v>
      </c>
      <c r="AD26" s="224">
        <v>4.9110114823270677E-2</v>
      </c>
      <c r="AE26" s="224">
        <v>4.0147174239998772E-2</v>
      </c>
      <c r="AF26" s="224">
        <v>4.4864348650226281E-2</v>
      </c>
      <c r="AG26" s="224">
        <v>2.3525190267506279E-2</v>
      </c>
      <c r="AH26" s="228">
        <v>0.20251300024325952</v>
      </c>
      <c r="AI26" s="228">
        <v>0.13249996704166947</v>
      </c>
      <c r="AJ26" s="228">
        <v>0.11145069108093789</v>
      </c>
      <c r="AK26" s="228">
        <v>4.1539092743993186E-2</v>
      </c>
      <c r="AL26" s="228">
        <v>3.6249298487136761E-2</v>
      </c>
      <c r="AM26" s="225">
        <v>1.8940919891936447</v>
      </c>
      <c r="AN26" s="225">
        <v>1.4049602492025237</v>
      </c>
      <c r="AO26" s="225">
        <v>1.2392204017969133</v>
      </c>
      <c r="AP26" s="225">
        <v>0.81259720512459666</v>
      </c>
      <c r="AQ26" s="225">
        <v>0.60051462945055267</v>
      </c>
      <c r="AR26" s="229">
        <v>6.8674054403127058E-4</v>
      </c>
      <c r="AS26" s="229">
        <v>5.4565295184808168E-4</v>
      </c>
      <c r="AT26" s="229">
        <v>4.1035089445351134E-4</v>
      </c>
      <c r="AU26" s="229">
        <v>3.4292318110386565E-4</v>
      </c>
      <c r="AV26" s="229">
        <v>2.3232164578146044E-4</v>
      </c>
      <c r="AW26" s="35">
        <f>'Raw emissions'!AM28</f>
        <v>9.3458345306293336E-2</v>
      </c>
    </row>
    <row r="27" spans="2:49" s="35" customFormat="1" x14ac:dyDescent="0.2">
      <c r="B27" s="191" t="s">
        <v>1323</v>
      </c>
      <c r="C27" s="192" t="s">
        <v>922</v>
      </c>
      <c r="D27" s="193">
        <v>9.3238382063315797</v>
      </c>
      <c r="E27" s="193">
        <v>8.1020189584203841</v>
      </c>
      <c r="F27" s="193">
        <v>7.5526682645964316</v>
      </c>
      <c r="G27" s="193">
        <v>6.5846468820946491</v>
      </c>
      <c r="H27" s="193">
        <v>5.9401662899340675</v>
      </c>
      <c r="I27" s="194">
        <v>0.22357420062645841</v>
      </c>
      <c r="J27" s="194">
        <v>1.31626646390817E-2</v>
      </c>
      <c r="K27" s="194">
        <v>6.5047788507621371E-3</v>
      </c>
      <c r="L27" s="194">
        <v>6.503150037322717E-3</v>
      </c>
      <c r="M27" s="194">
        <v>6.5011770568423949E-3</v>
      </c>
      <c r="N27" s="195">
        <v>0.69349917626288327</v>
      </c>
      <c r="O27" s="195">
        <v>0.59254455067715306</v>
      </c>
      <c r="P27" s="195">
        <v>0.5423682701235667</v>
      </c>
      <c r="Q27" s="195">
        <v>0.46934202896040772</v>
      </c>
      <c r="R27" s="195">
        <v>0.40047977762059978</v>
      </c>
      <c r="S27" s="196">
        <v>0.61869212336599355</v>
      </c>
      <c r="T27" s="196">
        <v>0.52085575095640735</v>
      </c>
      <c r="U27" s="196">
        <v>0.4720513579513605</v>
      </c>
      <c r="V27" s="196">
        <v>0.40155226744031258</v>
      </c>
      <c r="W27" s="196">
        <v>0.33419428273245722</v>
      </c>
      <c r="X27" s="197">
        <v>3.5219797326735995</v>
      </c>
      <c r="Y27" s="197">
        <v>3.2517519344011654</v>
      </c>
      <c r="Z27" s="197">
        <v>2.7402285181298889</v>
      </c>
      <c r="AA27" s="197">
        <v>3.0574332880529331</v>
      </c>
      <c r="AB27" s="197">
        <v>1.7605489249518986</v>
      </c>
      <c r="AC27" s="194">
        <v>2.690093086979318E-3</v>
      </c>
      <c r="AD27" s="194">
        <v>2.6575643433571108E-3</v>
      </c>
      <c r="AE27" s="194">
        <v>2.6259567928639551E-3</v>
      </c>
      <c r="AF27" s="194">
        <v>2.6196764273185508E-3</v>
      </c>
      <c r="AG27" s="194">
        <v>2.5642629972746651E-3</v>
      </c>
      <c r="AH27" s="198">
        <v>2.4157936542477513E-3</v>
      </c>
      <c r="AI27" s="198">
        <v>2.2973229213302435E-3</v>
      </c>
      <c r="AJ27" s="198">
        <v>2.2754816392111625E-3</v>
      </c>
      <c r="AK27" s="198">
        <v>2.1480691739748691E-3</v>
      </c>
      <c r="AL27" s="198">
        <v>2.1480682768069562E-3</v>
      </c>
      <c r="AM27" s="195">
        <v>1.043647601387784</v>
      </c>
      <c r="AN27" s="195">
        <v>0.96689771157942028</v>
      </c>
      <c r="AO27" s="195">
        <v>0.79228357582157072</v>
      </c>
      <c r="AP27" s="195">
        <v>0.92389976596646606</v>
      </c>
      <c r="AQ27" s="195">
        <v>0.46357946255014171</v>
      </c>
      <c r="AR27" s="199">
        <v>0.22063335870156414</v>
      </c>
      <c r="AS27" s="199">
        <v>0.20139850790301647</v>
      </c>
      <c r="AT27" s="199">
        <v>0.16900421909162588</v>
      </c>
      <c r="AU27" s="199">
        <v>0.16912589147992219</v>
      </c>
      <c r="AV27" s="199">
        <v>0.14469746806016509</v>
      </c>
      <c r="AW27" s="35">
        <f>'Raw emissions'!AM29</f>
        <v>2.1365387872355259</v>
      </c>
    </row>
    <row r="28" spans="2:49" s="35" customFormat="1" x14ac:dyDescent="0.2">
      <c r="B28" s="175" t="s">
        <v>1323</v>
      </c>
      <c r="C28" s="176" t="s">
        <v>1321</v>
      </c>
      <c r="D28" s="184">
        <v>4.2449003276218749</v>
      </c>
      <c r="E28" s="184">
        <v>3.7819705206042507</v>
      </c>
      <c r="F28" s="184">
        <v>3.6360304958769993</v>
      </c>
      <c r="G28" s="184">
        <v>3.1724518856874044</v>
      </c>
      <c r="H28" s="184">
        <v>3.1521773628130147</v>
      </c>
      <c r="I28" s="185">
        <v>6.3460642954069404E-2</v>
      </c>
      <c r="J28" s="185">
        <v>1.6736105944498179E-2</v>
      </c>
      <c r="K28" s="185">
        <v>1.2952613299536493E-2</v>
      </c>
      <c r="L28" s="185">
        <v>1.2946498655383344E-2</v>
      </c>
      <c r="M28" s="185">
        <v>1.293894415242311E-2</v>
      </c>
      <c r="N28" s="186">
        <v>7.4345138647521611E-2</v>
      </c>
      <c r="O28" s="186">
        <v>7.1570905604660284E-2</v>
      </c>
      <c r="P28" s="186">
        <v>7.0096809904682908E-2</v>
      </c>
      <c r="Q28" s="186">
        <v>6.782176287148059E-2</v>
      </c>
      <c r="R28" s="186">
        <v>6.6959713089567177E-2</v>
      </c>
      <c r="S28" s="187">
        <v>2.7156545204105088E-2</v>
      </c>
      <c r="T28" s="187">
        <v>2.4487668874939441E-2</v>
      </c>
      <c r="U28" s="187">
        <v>2.305925775537853E-2</v>
      </c>
      <c r="V28" s="187">
        <v>2.0850109351563274E-2</v>
      </c>
      <c r="W28" s="187">
        <v>2.0104146409724487E-2</v>
      </c>
      <c r="X28" s="188">
        <v>43.80863954326928</v>
      </c>
      <c r="Y28" s="188">
        <v>31.907192883020887</v>
      </c>
      <c r="Z28" s="188">
        <v>28.549777105442434</v>
      </c>
      <c r="AA28" s="188">
        <v>16.53560494662344</v>
      </c>
      <c r="AB28" s="188">
        <v>15.726898430129058</v>
      </c>
      <c r="AC28" s="185">
        <v>4.5296581375124011E-2</v>
      </c>
      <c r="AD28" s="185">
        <v>4.2068102455911652E-2</v>
      </c>
      <c r="AE28" s="185">
        <v>3.4870163614567698E-2</v>
      </c>
      <c r="AF28" s="185">
        <v>3.9861683863555403E-2</v>
      </c>
      <c r="AG28" s="185">
        <v>2.2069338611438907E-2</v>
      </c>
      <c r="AH28" s="189">
        <v>9.0077218659583708E-2</v>
      </c>
      <c r="AI28" s="189">
        <v>5.9330572831947315E-2</v>
      </c>
      <c r="AJ28" s="189">
        <v>5.0325878928057531E-2</v>
      </c>
      <c r="AK28" s="189">
        <v>1.9324652835862263E-2</v>
      </c>
      <c r="AL28" s="189">
        <v>1.7621447882073579E-2</v>
      </c>
      <c r="AM28" s="186">
        <v>1.8696410061157183</v>
      </c>
      <c r="AN28" s="186">
        <v>1.4052753072832473</v>
      </c>
      <c r="AO28" s="186">
        <v>1.2590410003032866</v>
      </c>
      <c r="AP28" s="186">
        <v>0.83978595619841334</v>
      </c>
      <c r="AQ28" s="186">
        <v>0.66834645646572743</v>
      </c>
      <c r="AR28" s="190">
        <v>9.2888967351308148E-4</v>
      </c>
      <c r="AS28" s="190">
        <v>7.5312945187400409E-4</v>
      </c>
      <c r="AT28" s="190">
        <v>5.7296893126380704E-4</v>
      </c>
      <c r="AU28" s="190">
        <v>4.9755848038016614E-4</v>
      </c>
      <c r="AV28" s="190">
        <v>3.4923785809705442E-4</v>
      </c>
      <c r="AW28" s="35">
        <f>'Raw emissions'!AM30</f>
        <v>0.11329865177244793</v>
      </c>
    </row>
    <row r="29" spans="2:49" s="35" customFormat="1" x14ac:dyDescent="0.2">
      <c r="B29" s="175" t="s">
        <v>1323</v>
      </c>
      <c r="C29" s="176" t="s">
        <v>1318</v>
      </c>
      <c r="D29" s="184">
        <v>9.3238382063315797</v>
      </c>
      <c r="E29" s="184">
        <v>8.1020189584203841</v>
      </c>
      <c r="F29" s="184">
        <v>7.5526682645964316</v>
      </c>
      <c r="G29" s="184">
        <v>6.5846468820946491</v>
      </c>
      <c r="H29" s="184">
        <v>5.9401662899340675</v>
      </c>
      <c r="I29" s="218">
        <v>0.1816475537337571</v>
      </c>
      <c r="J29" s="218">
        <v>1.2758111287615871E-2</v>
      </c>
      <c r="K29" s="218">
        <v>6.3221151751647903E-3</v>
      </c>
      <c r="L29" s="218">
        <v>6.336857209670024E-3</v>
      </c>
      <c r="M29" s="218">
        <v>6.3498791576611256E-3</v>
      </c>
      <c r="N29" s="219">
        <v>0.63113103694595618</v>
      </c>
      <c r="O29" s="219">
        <v>0.54035977425931603</v>
      </c>
      <c r="P29" s="219">
        <v>0.49527003095374489</v>
      </c>
      <c r="Q29" s="219">
        <v>0.42957150664022831</v>
      </c>
      <c r="R29" s="219">
        <v>0.36774371219278157</v>
      </c>
      <c r="S29" s="220">
        <v>0.55818549539089524</v>
      </c>
      <c r="T29" s="220">
        <v>0.47022723642770353</v>
      </c>
      <c r="U29" s="220">
        <v>0.42635690863144426</v>
      </c>
      <c r="V29" s="220">
        <v>0.36296588847613631</v>
      </c>
      <c r="W29" s="220">
        <v>0.30243148948693471</v>
      </c>
      <c r="X29" s="221">
        <v>3.1345619620795038</v>
      </c>
      <c r="Y29" s="221">
        <v>2.8940592216170367</v>
      </c>
      <c r="Z29" s="221">
        <v>2.4388033811356018</v>
      </c>
      <c r="AA29" s="221">
        <v>2.7211156263671104</v>
      </c>
      <c r="AB29" s="221">
        <v>1.5668885432071897</v>
      </c>
      <c r="AC29" s="218">
        <v>2.690093086979318E-3</v>
      </c>
      <c r="AD29" s="218">
        <v>2.6575643433571108E-3</v>
      </c>
      <c r="AE29" s="218">
        <v>2.6259567928639551E-3</v>
      </c>
      <c r="AF29" s="218">
        <v>2.6196764273185508E-3</v>
      </c>
      <c r="AG29" s="218">
        <v>2.5642629972746651E-3</v>
      </c>
      <c r="AH29" s="222">
        <v>2.4157936542477513E-3</v>
      </c>
      <c r="AI29" s="222">
        <v>2.2973229213302435E-3</v>
      </c>
      <c r="AJ29" s="222">
        <v>2.2754816392111625E-3</v>
      </c>
      <c r="AK29" s="222">
        <v>2.1480691739748691E-3</v>
      </c>
      <c r="AL29" s="222">
        <v>2.1480682768069562E-3</v>
      </c>
      <c r="AM29" s="219">
        <v>1.043647601387784</v>
      </c>
      <c r="AN29" s="219">
        <v>0.96689771157942028</v>
      </c>
      <c r="AO29" s="219">
        <v>0.79228357582157072</v>
      </c>
      <c r="AP29" s="219">
        <v>0.92389976596646606</v>
      </c>
      <c r="AQ29" s="219">
        <v>0.46357946255014171</v>
      </c>
      <c r="AR29" s="223">
        <v>0.19834938947270617</v>
      </c>
      <c r="AS29" s="223">
        <v>0.18105725860481181</v>
      </c>
      <c r="AT29" s="223">
        <v>0.1519347929633717</v>
      </c>
      <c r="AU29" s="223">
        <v>0.15204417644045007</v>
      </c>
      <c r="AV29" s="223">
        <v>0.13008302378608841</v>
      </c>
      <c r="AW29" s="35">
        <f>'Raw emissions'!AM31</f>
        <v>2.1283231805154919</v>
      </c>
    </row>
    <row r="30" spans="2:49" s="35" customFormat="1" x14ac:dyDescent="0.2">
      <c r="B30" s="175" t="s">
        <v>1323</v>
      </c>
      <c r="C30" s="176" t="s">
        <v>501</v>
      </c>
      <c r="D30" s="184">
        <v>6.0604948341155254</v>
      </c>
      <c r="E30" s="184">
        <v>5.2663123229732491</v>
      </c>
      <c r="F30" s="184">
        <v>4.9092343719876794</v>
      </c>
      <c r="G30" s="184">
        <v>4.2800204733615219</v>
      </c>
      <c r="H30" s="184">
        <v>3.861108088457144</v>
      </c>
      <c r="I30" s="218">
        <v>0.13924274366929629</v>
      </c>
      <c r="J30" s="218">
        <v>9.7797871934441286E-3</v>
      </c>
      <c r="K30" s="218">
        <v>4.8462456261509435E-3</v>
      </c>
      <c r="L30" s="218">
        <v>4.8575461985483287E-3</v>
      </c>
      <c r="M30" s="218">
        <v>4.8675282309452936E-3</v>
      </c>
      <c r="N30" s="219">
        <v>0.13774347937937512</v>
      </c>
      <c r="O30" s="219">
        <v>0.12753169150830815</v>
      </c>
      <c r="P30" s="219">
        <v>0.12268099039248183</v>
      </c>
      <c r="Q30" s="219">
        <v>0.11495123600831431</v>
      </c>
      <c r="R30" s="219">
        <v>0.1087722639073683</v>
      </c>
      <c r="S30" s="220">
        <v>7.9524151310662372E-2</v>
      </c>
      <c r="T30" s="220">
        <v>6.9710571987759207E-2</v>
      </c>
      <c r="U30" s="220">
        <v>6.487309668478064E-2</v>
      </c>
      <c r="V30" s="220">
        <v>5.7713246967455299E-2</v>
      </c>
      <c r="W30" s="220">
        <v>5.1159491435722154E-2</v>
      </c>
      <c r="X30" s="221">
        <v>0.35219797326735991</v>
      </c>
      <c r="Y30" s="221">
        <v>0.32517519344011647</v>
      </c>
      <c r="Z30" s="221">
        <v>0.27402285181298885</v>
      </c>
      <c r="AA30" s="221">
        <v>0.30574332880529331</v>
      </c>
      <c r="AB30" s="221">
        <v>0.17605489249518982</v>
      </c>
      <c r="AC30" s="218">
        <v>2.690093086979318E-3</v>
      </c>
      <c r="AD30" s="218">
        <v>2.6575643433571108E-3</v>
      </c>
      <c r="AE30" s="218">
        <v>2.6259567928639551E-3</v>
      </c>
      <c r="AF30" s="218">
        <v>2.6196764273185508E-3</v>
      </c>
      <c r="AG30" s="218">
        <v>2.5642629972746651E-3</v>
      </c>
      <c r="AH30" s="222">
        <v>0.13565610802906114</v>
      </c>
      <c r="AI30" s="222">
        <v>0.12900352058034384</v>
      </c>
      <c r="AJ30" s="222">
        <v>0.12777704855884917</v>
      </c>
      <c r="AK30" s="222">
        <v>0.12062234843868277</v>
      </c>
      <c r="AL30" s="222">
        <v>0.12062229805925274</v>
      </c>
      <c r="AM30" s="219">
        <v>1.043647601387784</v>
      </c>
      <c r="AN30" s="219">
        <v>0.96689771157942028</v>
      </c>
      <c r="AO30" s="219">
        <v>0.79228357582157072</v>
      </c>
      <c r="AP30" s="219">
        <v>0.92389976596646606</v>
      </c>
      <c r="AQ30" s="219">
        <v>0.46357946255014171</v>
      </c>
      <c r="AR30" s="223">
        <v>2.2063335870156409E-2</v>
      </c>
      <c r="AS30" s="223">
        <v>2.0139850790301644E-2</v>
      </c>
      <c r="AT30" s="223">
        <v>1.6900421909162588E-2</v>
      </c>
      <c r="AU30" s="223">
        <v>1.6912589147992218E-2</v>
      </c>
      <c r="AV30" s="223">
        <v>1.4469746806016506E-2</v>
      </c>
      <c r="AW30" s="35">
        <f>'Raw emissions'!AM32</f>
        <v>3.4269978126638323</v>
      </c>
    </row>
    <row r="31" spans="2:49" s="35" customFormat="1" x14ac:dyDescent="0.2">
      <c r="B31" s="175" t="s">
        <v>1323</v>
      </c>
      <c r="C31" s="176" t="s">
        <v>504</v>
      </c>
      <c r="D31" s="184">
        <v>3.7295352825326318</v>
      </c>
      <c r="E31" s="184">
        <v>3.240807583368154</v>
      </c>
      <c r="F31" s="184">
        <v>3.0210673058385726</v>
      </c>
      <c r="G31" s="184">
        <v>2.6338587528378596</v>
      </c>
      <c r="H31" s="184">
        <v>2.3760665159736272</v>
      </c>
      <c r="I31" s="218">
        <v>0</v>
      </c>
      <c r="J31" s="218">
        <v>0</v>
      </c>
      <c r="K31" s="218">
        <v>0</v>
      </c>
      <c r="L31" s="218">
        <v>0</v>
      </c>
      <c r="M31" s="218">
        <v>0</v>
      </c>
      <c r="N31" s="219">
        <v>7.5992846392318666E-2</v>
      </c>
      <c r="O31" s="219">
        <v>7.5863596045103163E-2</v>
      </c>
      <c r="P31" s="219">
        <v>7.6049070422361295E-2</v>
      </c>
      <c r="Q31" s="219">
        <v>7.5574481235859484E-2</v>
      </c>
      <c r="R31" s="219">
        <v>7.6360317939231467E-2</v>
      </c>
      <c r="S31" s="220">
        <v>1.9616598860070042E-2</v>
      </c>
      <c r="T31" s="220">
        <v>1.9583329880131641E-2</v>
      </c>
      <c r="U31" s="220">
        <v>1.9631067655160674E-2</v>
      </c>
      <c r="V31" s="220">
        <v>1.9508911359360059E-2</v>
      </c>
      <c r="W31" s="220">
        <v>1.9711181291640494E-2</v>
      </c>
      <c r="X31" s="221">
        <v>0.35219797326735991</v>
      </c>
      <c r="Y31" s="221">
        <v>0.32517519344011647</v>
      </c>
      <c r="Z31" s="221">
        <v>0.27402285181298885</v>
      </c>
      <c r="AA31" s="221">
        <v>0.30574332880529331</v>
      </c>
      <c r="AB31" s="221">
        <v>0.17605489249518982</v>
      </c>
      <c r="AC31" s="218">
        <v>2.690093086979318E-3</v>
      </c>
      <c r="AD31" s="218">
        <v>2.6575643433571108E-3</v>
      </c>
      <c r="AE31" s="218">
        <v>2.6259567928639551E-3</v>
      </c>
      <c r="AF31" s="218">
        <v>2.6196764273185508E-3</v>
      </c>
      <c r="AG31" s="218">
        <v>2.5642629972746651E-3</v>
      </c>
      <c r="AH31" s="222">
        <v>1.3565610802906114E-2</v>
      </c>
      <c r="AI31" s="222">
        <v>1.2900352058034383E-2</v>
      </c>
      <c r="AJ31" s="222">
        <v>1.2777704855884916E-2</v>
      </c>
      <c r="AK31" s="222">
        <v>1.2062234843868277E-2</v>
      </c>
      <c r="AL31" s="222">
        <v>1.2062229805925275E-2</v>
      </c>
      <c r="AM31" s="219">
        <v>1.8524744750031539</v>
      </c>
      <c r="AN31" s="219">
        <v>1.7162434218773295</v>
      </c>
      <c r="AO31" s="219">
        <v>1.4063033338284308</v>
      </c>
      <c r="AP31" s="219">
        <v>1.6399220691336889</v>
      </c>
      <c r="AQ31" s="219">
        <v>0.82285353827084451</v>
      </c>
      <c r="AR31" s="223">
        <v>0</v>
      </c>
      <c r="AS31" s="223">
        <v>0</v>
      </c>
      <c r="AT31" s="223">
        <v>0</v>
      </c>
      <c r="AU31" s="223">
        <v>0</v>
      </c>
      <c r="AV31" s="223">
        <v>0</v>
      </c>
      <c r="AW31" s="35">
        <f>'Raw emissions'!AM33</f>
        <v>0</v>
      </c>
    </row>
    <row r="32" spans="2:49" s="35" customFormat="1" x14ac:dyDescent="0.2">
      <c r="B32" s="200" t="s">
        <v>1323</v>
      </c>
      <c r="C32" s="201" t="s">
        <v>509</v>
      </c>
      <c r="D32" s="202">
        <v>3.480818268649938</v>
      </c>
      <c r="E32" s="202">
        <v>3.1012158268954861</v>
      </c>
      <c r="F32" s="202">
        <v>2.9815450066191396</v>
      </c>
      <c r="G32" s="202">
        <v>2.6014105462636721</v>
      </c>
      <c r="H32" s="202">
        <v>2.5847854375066723</v>
      </c>
      <c r="I32" s="224">
        <v>1.8593968385542337E-2</v>
      </c>
      <c r="J32" s="224">
        <v>4.9234620400044199E-3</v>
      </c>
      <c r="K32" s="224">
        <v>3.8303833538335381E-3</v>
      </c>
      <c r="L32" s="224">
        <v>3.847477922145725E-3</v>
      </c>
      <c r="M32" s="224">
        <v>3.8625805738944459E-3</v>
      </c>
      <c r="N32" s="225">
        <v>7.0263295473274631E-2</v>
      </c>
      <c r="O32" s="225">
        <v>6.8490883954141518E-2</v>
      </c>
      <c r="P32" s="225">
        <v>6.7554372018800338E-2</v>
      </c>
      <c r="Q32" s="225">
        <v>6.6111393198570068E-2</v>
      </c>
      <c r="R32" s="225">
        <v>6.5517933921734384E-2</v>
      </c>
      <c r="S32" s="226">
        <v>2.3397863717141806E-2</v>
      </c>
      <c r="T32" s="226">
        <v>2.1651482660740195E-2</v>
      </c>
      <c r="U32" s="226">
        <v>2.0718092704699591E-2</v>
      </c>
      <c r="V32" s="226">
        <v>1.9275125634214543E-2</v>
      </c>
      <c r="W32" s="226">
        <v>1.8776485693429393E-2</v>
      </c>
      <c r="X32" s="227">
        <v>35.046911634615427</v>
      </c>
      <c r="Y32" s="227">
        <v>25.525754306416712</v>
      </c>
      <c r="Z32" s="227">
        <v>22.83982168435395</v>
      </c>
      <c r="AA32" s="227">
        <v>13.228483957298753</v>
      </c>
      <c r="AB32" s="227">
        <v>12.581518744103247</v>
      </c>
      <c r="AC32" s="224">
        <v>4.5296581375124011E-2</v>
      </c>
      <c r="AD32" s="224">
        <v>4.2068102455911652E-2</v>
      </c>
      <c r="AE32" s="224">
        <v>3.4870163614567698E-2</v>
      </c>
      <c r="AF32" s="224">
        <v>3.9861683863555403E-2</v>
      </c>
      <c r="AG32" s="224">
        <v>2.2069338611438907E-2</v>
      </c>
      <c r="AH32" s="228">
        <v>0.17294825982640072</v>
      </c>
      <c r="AI32" s="228">
        <v>0.11391469983733885</v>
      </c>
      <c r="AJ32" s="228">
        <v>9.6625687541870467E-2</v>
      </c>
      <c r="AK32" s="228">
        <v>3.710333344485555E-2</v>
      </c>
      <c r="AL32" s="228">
        <v>3.3833179933581273E-2</v>
      </c>
      <c r="AM32" s="225">
        <v>1.7798982378221637</v>
      </c>
      <c r="AN32" s="225">
        <v>1.3378220925336513</v>
      </c>
      <c r="AO32" s="225">
        <v>1.198607032288729</v>
      </c>
      <c r="AP32" s="225">
        <v>0.79947623030088943</v>
      </c>
      <c r="AQ32" s="225">
        <v>0.63626582655537245</v>
      </c>
      <c r="AR32" s="229">
        <v>6.1306718451863379E-4</v>
      </c>
      <c r="AS32" s="229">
        <v>4.9706543823684252E-4</v>
      </c>
      <c r="AT32" s="229">
        <v>3.7815949463411268E-4</v>
      </c>
      <c r="AU32" s="229">
        <v>3.2838859705090962E-4</v>
      </c>
      <c r="AV32" s="229">
        <v>2.3049698634405589E-4</v>
      </c>
      <c r="AW32" s="35">
        <f>'Raw emissions'!AM34</f>
        <v>8.5130789840366233E-2</v>
      </c>
    </row>
    <row r="33" spans="2:49" s="35" customFormat="1" x14ac:dyDescent="0.2">
      <c r="B33" s="175" t="s">
        <v>1324</v>
      </c>
      <c r="C33" s="176" t="s">
        <v>922</v>
      </c>
      <c r="D33" s="184">
        <v>21.509261956616896</v>
      </c>
      <c r="E33" s="184">
        <v>18.427577280084666</v>
      </c>
      <c r="F33" s="184">
        <v>15.943556176196831</v>
      </c>
      <c r="G33" s="184">
        <v>14.988045427859769</v>
      </c>
      <c r="H33" s="184">
        <v>10.145394316005977</v>
      </c>
      <c r="I33" s="185">
        <v>0.45757167318119002</v>
      </c>
      <c r="J33" s="185">
        <v>2.6995777347951253E-2</v>
      </c>
      <c r="K33" s="185">
        <v>1.3344160807092633E-2</v>
      </c>
      <c r="L33" s="185">
        <v>1.3343809820593865E-2</v>
      </c>
      <c r="M33" s="185">
        <v>1.3343551176724937E-2</v>
      </c>
      <c r="N33" s="186">
        <v>1.0904389634408216</v>
      </c>
      <c r="O33" s="186">
        <v>0.95573414617335029</v>
      </c>
      <c r="P33" s="186">
        <v>0.88886001370242873</v>
      </c>
      <c r="Q33" s="186">
        <v>0.80750737423567087</v>
      </c>
      <c r="R33" s="186">
        <v>0.66247310231851331</v>
      </c>
      <c r="S33" s="187">
        <v>1.0069165076746014</v>
      </c>
      <c r="T33" s="187">
        <v>0.87625667396673379</v>
      </c>
      <c r="U33" s="187">
        <v>0.81144171828355949</v>
      </c>
      <c r="V33" s="187">
        <v>0.73220589051172147</v>
      </c>
      <c r="W33" s="187">
        <v>0.59252361389506192</v>
      </c>
      <c r="X33" s="188">
        <v>4.7221474935763839</v>
      </c>
      <c r="Y33" s="188">
        <v>4.2151254779483818</v>
      </c>
      <c r="Z33" s="188">
        <v>3.3405215819102807</v>
      </c>
      <c r="AA33" s="188">
        <v>3.8643285295856193</v>
      </c>
      <c r="AB33" s="188">
        <v>1.5358722964826643</v>
      </c>
      <c r="AC33" s="185">
        <v>2.0382975314537904E-3</v>
      </c>
      <c r="AD33" s="185">
        <v>2.0254843281605778E-3</v>
      </c>
      <c r="AE33" s="185">
        <v>2.0131505970787094E-3</v>
      </c>
      <c r="AF33" s="185">
        <v>2.0113365214229077E-3</v>
      </c>
      <c r="AG33" s="185">
        <v>1.9871553225639378E-3</v>
      </c>
      <c r="AH33" s="189">
        <v>1.99911798117469E-3</v>
      </c>
      <c r="AI33" s="189">
        <v>1.9010811900355988E-3</v>
      </c>
      <c r="AJ33" s="189">
        <v>1.8830058844436172E-3</v>
      </c>
      <c r="AK33" s="189">
        <v>1.7775701272693173E-3</v>
      </c>
      <c r="AL33" s="189">
        <v>1.7775696563183789E-3</v>
      </c>
      <c r="AM33" s="186">
        <v>0.85347310146477884</v>
      </c>
      <c r="AN33" s="186">
        <v>0.78466201930572066</v>
      </c>
      <c r="AO33" s="186">
        <v>0.66063515065933709</v>
      </c>
      <c r="AP33" s="186">
        <v>0.73276771715608136</v>
      </c>
      <c r="AQ33" s="186">
        <v>0.42147773592804078</v>
      </c>
      <c r="AR33" s="190">
        <v>0.66762878907540646</v>
      </c>
      <c r="AS33" s="190">
        <v>0.6114860413691322</v>
      </c>
      <c r="AT33" s="190">
        <v>0.52304100889973348</v>
      </c>
      <c r="AU33" s="190">
        <v>0.52099967922806767</v>
      </c>
      <c r="AV33" s="190">
        <v>0.44824699199824009</v>
      </c>
      <c r="AW33" s="35">
        <f>'Raw emissions'!AM35</f>
        <v>3.8005684679898506</v>
      </c>
    </row>
    <row r="34" spans="2:49" s="35" customFormat="1" x14ac:dyDescent="0.2">
      <c r="B34" s="175" t="s">
        <v>1324</v>
      </c>
      <c r="C34" s="176" t="s">
        <v>1318</v>
      </c>
      <c r="D34" s="184">
        <v>21.509261956616896</v>
      </c>
      <c r="E34" s="184">
        <v>18.427577280084666</v>
      </c>
      <c r="F34" s="184">
        <v>15.943556176196831</v>
      </c>
      <c r="G34" s="184">
        <v>14.988045427859769</v>
      </c>
      <c r="H34" s="184">
        <v>10.145394316005977</v>
      </c>
      <c r="I34" s="218">
        <v>0.37176371360528565</v>
      </c>
      <c r="J34" s="218">
        <v>2.6118863966795615E-2</v>
      </c>
      <c r="K34" s="218">
        <v>1.291678260325535E-2</v>
      </c>
      <c r="L34" s="218">
        <v>1.2922107631698742E-2</v>
      </c>
      <c r="M34" s="218">
        <v>1.292694080270761E-2</v>
      </c>
      <c r="N34" s="219">
        <v>0.9875257338530874</v>
      </c>
      <c r="O34" s="219">
        <v>0.8664250521152348</v>
      </c>
      <c r="P34" s="219">
        <v>0.80629748689424519</v>
      </c>
      <c r="Q34" s="219">
        <v>0.73320696526908291</v>
      </c>
      <c r="R34" s="219">
        <v>0.60267895034167385</v>
      </c>
      <c r="S34" s="220">
        <v>0.90707179061937804</v>
      </c>
      <c r="T34" s="220">
        <v>0.78960833118446949</v>
      </c>
      <c r="U34" s="220">
        <v>0.73133770725206459</v>
      </c>
      <c r="V34" s="220">
        <v>0.66011635725157591</v>
      </c>
      <c r="W34" s="220">
        <v>0.53450555467157335</v>
      </c>
      <c r="X34" s="221">
        <v>4.2027112692829824</v>
      </c>
      <c r="Y34" s="221">
        <v>3.7514616753740606</v>
      </c>
      <c r="Z34" s="221">
        <v>2.9730642079001499</v>
      </c>
      <c r="AA34" s="221">
        <v>3.4392523913312019</v>
      </c>
      <c r="AB34" s="221">
        <v>1.3669263438695713</v>
      </c>
      <c r="AC34" s="218">
        <v>2.0382975314537904E-3</v>
      </c>
      <c r="AD34" s="218">
        <v>2.0254843281605778E-3</v>
      </c>
      <c r="AE34" s="218">
        <v>2.0131505970787094E-3</v>
      </c>
      <c r="AF34" s="218">
        <v>2.0113365214229077E-3</v>
      </c>
      <c r="AG34" s="218">
        <v>1.9871553225639378E-3</v>
      </c>
      <c r="AH34" s="222">
        <v>1.99911798117469E-3</v>
      </c>
      <c r="AI34" s="222">
        <v>1.9010811900355988E-3</v>
      </c>
      <c r="AJ34" s="222">
        <v>1.8830058844436172E-3</v>
      </c>
      <c r="AK34" s="222">
        <v>1.7775701272693173E-3</v>
      </c>
      <c r="AL34" s="222">
        <v>1.7775696563183789E-3</v>
      </c>
      <c r="AM34" s="219">
        <v>0.85347310146477884</v>
      </c>
      <c r="AN34" s="219">
        <v>0.78466201930572066</v>
      </c>
      <c r="AO34" s="219">
        <v>0.66063515065933709</v>
      </c>
      <c r="AP34" s="219">
        <v>0.73276771715608136</v>
      </c>
      <c r="AQ34" s="219">
        <v>0.42147773592804078</v>
      </c>
      <c r="AR34" s="223">
        <v>0.6001982813787905</v>
      </c>
      <c r="AS34" s="223">
        <v>0.54972595119084999</v>
      </c>
      <c r="AT34" s="223">
        <v>0.47021386700086043</v>
      </c>
      <c r="AU34" s="223">
        <v>0.46837871162603278</v>
      </c>
      <c r="AV34" s="223">
        <v>0.40297404580641782</v>
      </c>
      <c r="AW34" s="35">
        <f>'Raw emissions'!AM36</f>
        <v>3.7924102626391982</v>
      </c>
    </row>
    <row r="35" spans="2:49" s="35" customFormat="1" x14ac:dyDescent="0.2">
      <c r="B35" s="175" t="s">
        <v>1324</v>
      </c>
      <c r="C35" s="176" t="s">
        <v>501</v>
      </c>
      <c r="D35" s="184">
        <v>13.981020271800984</v>
      </c>
      <c r="E35" s="184">
        <v>11.977925232055032</v>
      </c>
      <c r="F35" s="184">
        <v>10.363311514527942</v>
      </c>
      <c r="G35" s="184">
        <v>9.7422295281088509</v>
      </c>
      <c r="H35" s="184">
        <v>6.5945063054038853</v>
      </c>
      <c r="I35" s="218">
        <v>0.28497713519973739</v>
      </c>
      <c r="J35" s="218">
        <v>2.0021531837375199E-2</v>
      </c>
      <c r="K35" s="218">
        <v>9.9014173991756153E-3</v>
      </c>
      <c r="L35" s="218">
        <v>9.9054993235138961E-3</v>
      </c>
      <c r="M35" s="218">
        <v>9.9092042123387902E-3</v>
      </c>
      <c r="N35" s="219">
        <v>0.17339038295605988</v>
      </c>
      <c r="O35" s="219">
        <v>0.15991053575449832</v>
      </c>
      <c r="P35" s="219">
        <v>0.15315432927307052</v>
      </c>
      <c r="Q35" s="219">
        <v>0.14542452205815337</v>
      </c>
      <c r="R35" s="219">
        <v>0.12965392628727096</v>
      </c>
      <c r="S35" s="220">
        <v>0.11721110817261013</v>
      </c>
      <c r="T35" s="220">
        <v>0.10414272838219923</v>
      </c>
      <c r="U35" s="220">
        <v>9.7643600181128637E-2</v>
      </c>
      <c r="V35" s="220">
        <v>8.9823910965868697E-2</v>
      </c>
      <c r="W35" s="220">
        <v>7.5531006953084026E-2</v>
      </c>
      <c r="X35" s="221">
        <v>0.4722147493576383</v>
      </c>
      <c r="Y35" s="221">
        <v>0.42151254779483804</v>
      </c>
      <c r="Z35" s="221">
        <v>0.33405215819102801</v>
      </c>
      <c r="AA35" s="221">
        <v>0.38643285295856183</v>
      </c>
      <c r="AB35" s="221">
        <v>0.1535872296482664</v>
      </c>
      <c r="AC35" s="218">
        <v>2.0382975314537904E-3</v>
      </c>
      <c r="AD35" s="218">
        <v>2.0254843281605778E-3</v>
      </c>
      <c r="AE35" s="218">
        <v>2.0131505970787094E-3</v>
      </c>
      <c r="AF35" s="218">
        <v>2.0113365214229077E-3</v>
      </c>
      <c r="AG35" s="218">
        <v>1.9871553225639378E-3</v>
      </c>
      <c r="AH35" s="222">
        <v>0.11225816589932155</v>
      </c>
      <c r="AI35" s="222">
        <v>0.1067530228974751</v>
      </c>
      <c r="AJ35" s="222">
        <v>0.1057380249469123</v>
      </c>
      <c r="AK35" s="222">
        <v>9.9817401535962733E-2</v>
      </c>
      <c r="AL35" s="222">
        <v>9.9817375090255608E-2</v>
      </c>
      <c r="AM35" s="219">
        <v>0.85347310146477884</v>
      </c>
      <c r="AN35" s="219">
        <v>0.78466201930572066</v>
      </c>
      <c r="AO35" s="219">
        <v>0.66063515065933709</v>
      </c>
      <c r="AP35" s="219">
        <v>0.73276771715608136</v>
      </c>
      <c r="AQ35" s="219">
        <v>0.42147773592804078</v>
      </c>
      <c r="AR35" s="223">
        <v>6.6762878907540624E-2</v>
      </c>
      <c r="AS35" s="223">
        <v>6.1148604136913205E-2</v>
      </c>
      <c r="AT35" s="223">
        <v>5.2304100889973344E-2</v>
      </c>
      <c r="AU35" s="223">
        <v>5.2099967922806752E-2</v>
      </c>
      <c r="AV35" s="223">
        <v>4.4824699199824E-2</v>
      </c>
      <c r="AW35" s="35">
        <f>'Raw emissions'!AM37</f>
        <v>6.8079770922428278</v>
      </c>
    </row>
    <row r="36" spans="2:49" s="35" customFormat="1" x14ac:dyDescent="0.2">
      <c r="B36" s="175" t="s">
        <v>1324</v>
      </c>
      <c r="C36" s="176" t="s">
        <v>504</v>
      </c>
      <c r="D36" s="184">
        <v>8.6037047826467585</v>
      </c>
      <c r="E36" s="184">
        <v>7.3710309120338673</v>
      </c>
      <c r="F36" s="184">
        <v>6.3774224704787335</v>
      </c>
      <c r="G36" s="184">
        <v>5.9952181711439092</v>
      </c>
      <c r="H36" s="184">
        <v>4.0581577264023911</v>
      </c>
      <c r="I36" s="218">
        <v>0</v>
      </c>
      <c r="J36" s="218">
        <v>0</v>
      </c>
      <c r="K36" s="218">
        <v>0</v>
      </c>
      <c r="L36" s="218">
        <v>0</v>
      </c>
      <c r="M36" s="218">
        <v>0</v>
      </c>
      <c r="N36" s="219">
        <v>7.1496096235530812E-2</v>
      </c>
      <c r="O36" s="219">
        <v>7.1485690152403678E-2</v>
      </c>
      <c r="P36" s="219">
        <v>7.1409253225364039E-2</v>
      </c>
      <c r="Q36" s="219">
        <v>7.1859760705095879E-2</v>
      </c>
      <c r="R36" s="219">
        <v>7.0451795617132926E-2</v>
      </c>
      <c r="S36" s="220">
        <v>1.8354952672388892E-2</v>
      </c>
      <c r="T36" s="220">
        <v>1.8352289983917643E-2</v>
      </c>
      <c r="U36" s="220">
        <v>1.833269816974744E-2</v>
      </c>
      <c r="V36" s="220">
        <v>1.8448135460773941E-2</v>
      </c>
      <c r="W36" s="220">
        <v>1.8087383959530936E-2</v>
      </c>
      <c r="X36" s="221">
        <v>0.4722147493576383</v>
      </c>
      <c r="Y36" s="221">
        <v>0.42151254779483804</v>
      </c>
      <c r="Z36" s="221">
        <v>0.33405215819102801</v>
      </c>
      <c r="AA36" s="221">
        <v>0.38643285295856183</v>
      </c>
      <c r="AB36" s="221">
        <v>0.1535872296482664</v>
      </c>
      <c r="AC36" s="218">
        <v>2.0382975314537904E-3</v>
      </c>
      <c r="AD36" s="218">
        <v>2.0254843281605778E-3</v>
      </c>
      <c r="AE36" s="218">
        <v>2.0131505970787094E-3</v>
      </c>
      <c r="AF36" s="218">
        <v>2.0113365214229077E-3</v>
      </c>
      <c r="AG36" s="218">
        <v>1.9871553225639378E-3</v>
      </c>
      <c r="AH36" s="222">
        <v>1.1225816589932157E-2</v>
      </c>
      <c r="AI36" s="222">
        <v>1.067530228974751E-2</v>
      </c>
      <c r="AJ36" s="222">
        <v>1.0573802494691227E-2</v>
      </c>
      <c r="AK36" s="222">
        <v>9.9817401535962722E-3</v>
      </c>
      <c r="AL36" s="222">
        <v>9.9817375090255605E-3</v>
      </c>
      <c r="AM36" s="219">
        <v>1.5149147408214279</v>
      </c>
      <c r="AN36" s="219">
        <v>1.3927750711403051</v>
      </c>
      <c r="AO36" s="219">
        <v>1.1726273813679362</v>
      </c>
      <c r="AP36" s="219">
        <v>1.3006626856928838</v>
      </c>
      <c r="AQ36" s="219">
        <v>0.74812297422097473</v>
      </c>
      <c r="AR36" s="223">
        <v>0</v>
      </c>
      <c r="AS36" s="223">
        <v>0</v>
      </c>
      <c r="AT36" s="223">
        <v>0</v>
      </c>
      <c r="AU36" s="223">
        <v>0</v>
      </c>
      <c r="AV36" s="223">
        <v>0</v>
      </c>
      <c r="AW36" s="35">
        <f>'Raw emissions'!AM38</f>
        <v>0</v>
      </c>
    </row>
    <row r="37" spans="2:49" s="35" customFormat="1" x14ac:dyDescent="0.2">
      <c r="B37" s="191" t="s">
        <v>1325</v>
      </c>
      <c r="C37" s="192" t="s">
        <v>922</v>
      </c>
      <c r="D37" s="193">
        <v>25.716775675477635</v>
      </c>
      <c r="E37" s="193">
        <v>22.634311783713049</v>
      </c>
      <c r="F37" s="193">
        <v>20.143870477471271</v>
      </c>
      <c r="G37" s="193">
        <v>19.361211641770577</v>
      </c>
      <c r="H37" s="193">
        <v>13.955575480925987</v>
      </c>
      <c r="I37" s="194">
        <v>0.50692375036505777</v>
      </c>
      <c r="J37" s="194">
        <v>2.9836385236164026E-2</v>
      </c>
      <c r="K37" s="194">
        <v>1.4748306363987719E-2</v>
      </c>
      <c r="L37" s="194">
        <v>1.4747933996629152E-2</v>
      </c>
      <c r="M37" s="194">
        <v>1.4747428908206866E-2</v>
      </c>
      <c r="N37" s="195">
        <v>1.2396286464534796</v>
      </c>
      <c r="O37" s="195">
        <v>1.1041829442371014</v>
      </c>
      <c r="P37" s="195">
        <v>1.0315458962213153</v>
      </c>
      <c r="Q37" s="195">
        <v>0.95424979682455136</v>
      </c>
      <c r="R37" s="195">
        <v>0.80183020867297039</v>
      </c>
      <c r="S37" s="196">
        <v>1.1481896748582034</v>
      </c>
      <c r="T37" s="196">
        <v>1.0164873717118816</v>
      </c>
      <c r="U37" s="196">
        <v>0.94570495395420373</v>
      </c>
      <c r="V37" s="196">
        <v>0.87038089735287438</v>
      </c>
      <c r="W37" s="196">
        <v>0.72294934789696774</v>
      </c>
      <c r="X37" s="197">
        <v>6.226110547714236</v>
      </c>
      <c r="Y37" s="197">
        <v>5.6886327367949079</v>
      </c>
      <c r="Z37" s="197">
        <v>4.7560082070463636</v>
      </c>
      <c r="AA37" s="197">
        <v>5.3456080401800508</v>
      </c>
      <c r="AB37" s="197">
        <v>2.7725138571894359</v>
      </c>
      <c r="AC37" s="194">
        <v>2.0024141528826832E-3</v>
      </c>
      <c r="AD37" s="194">
        <v>1.997670574268676E-3</v>
      </c>
      <c r="AE37" s="194">
        <v>1.990190032333116E-3</v>
      </c>
      <c r="AF37" s="194">
        <v>1.9929800414934884E-3</v>
      </c>
      <c r="AG37" s="194">
        <v>1.9770785784153895E-3</v>
      </c>
      <c r="AH37" s="198">
        <v>1.9991180965676356E-3</v>
      </c>
      <c r="AI37" s="198">
        <v>1.9010825436332765E-3</v>
      </c>
      <c r="AJ37" s="198">
        <v>1.8830098707052247E-3</v>
      </c>
      <c r="AK37" s="198">
        <v>1.7775734796814412E-3</v>
      </c>
      <c r="AL37" s="198">
        <v>1.7775758069775024E-3</v>
      </c>
      <c r="AM37" s="195">
        <v>1.7407805399207308</v>
      </c>
      <c r="AN37" s="195">
        <v>1.6450014255692993</v>
      </c>
      <c r="AO37" s="195">
        <v>1.4550676703412337</v>
      </c>
      <c r="AP37" s="195">
        <v>1.5214865067109915</v>
      </c>
      <c r="AQ37" s="195">
        <v>1.2267158461036844</v>
      </c>
      <c r="AR37" s="199">
        <v>0.763516125812295</v>
      </c>
      <c r="AS37" s="199">
        <v>0.70580135743445072</v>
      </c>
      <c r="AT37" s="199">
        <v>0.61194226244984695</v>
      </c>
      <c r="AU37" s="199">
        <v>0.61369999126121944</v>
      </c>
      <c r="AV37" s="199">
        <v>0.53069530485816763</v>
      </c>
      <c r="AW37" s="35">
        <f>'Raw emissions'!AM39</f>
        <v>3.7469739087099527</v>
      </c>
    </row>
    <row r="38" spans="2:49" s="35" customFormat="1" x14ac:dyDescent="0.2">
      <c r="B38" s="175" t="s">
        <v>1325</v>
      </c>
      <c r="C38" s="176" t="s">
        <v>1318</v>
      </c>
      <c r="D38" s="184">
        <v>25.716775675477635</v>
      </c>
      <c r="E38" s="184">
        <v>22.634311783713049</v>
      </c>
      <c r="F38" s="184">
        <v>20.143870477471271</v>
      </c>
      <c r="G38" s="184">
        <v>19.361211641770577</v>
      </c>
      <c r="H38" s="184">
        <v>13.955575480925987</v>
      </c>
      <c r="I38" s="218">
        <v>0.41186084496932479</v>
      </c>
      <c r="J38" s="218">
        <v>2.8865781877358537E-2</v>
      </c>
      <c r="K38" s="218">
        <v>1.4273473351025271E-2</v>
      </c>
      <c r="L38" s="218">
        <v>1.4277780666539492E-2</v>
      </c>
      <c r="M38" s="218">
        <v>1.4281646704509996E-2</v>
      </c>
      <c r="N38" s="219">
        <v>1.1221370059780806</v>
      </c>
      <c r="O38" s="219">
        <v>1.0004161027061509</v>
      </c>
      <c r="P38" s="219">
        <v>0.93516113900051745</v>
      </c>
      <c r="Q38" s="219">
        <v>0.86572069221416237</v>
      </c>
      <c r="R38" s="219">
        <v>0.72863616400391273</v>
      </c>
      <c r="S38" s="220">
        <v>1.0342018826169701</v>
      </c>
      <c r="T38" s="220">
        <v>0.91581298544493239</v>
      </c>
      <c r="U38" s="220">
        <v>0.85219131323662412</v>
      </c>
      <c r="V38" s="220">
        <v>0.78448747374018768</v>
      </c>
      <c r="W38" s="220">
        <v>0.65193131480273891</v>
      </c>
      <c r="X38" s="221">
        <v>5.5412383874656701</v>
      </c>
      <c r="Y38" s="221">
        <v>5.0628831357474686</v>
      </c>
      <c r="Z38" s="221">
        <v>4.2328473042712638</v>
      </c>
      <c r="AA38" s="221">
        <v>4.7575911557602453</v>
      </c>
      <c r="AB38" s="221">
        <v>2.4675373328985981</v>
      </c>
      <c r="AC38" s="218">
        <v>2.0024141528826832E-3</v>
      </c>
      <c r="AD38" s="218">
        <v>1.997670574268676E-3</v>
      </c>
      <c r="AE38" s="218">
        <v>1.990190032333116E-3</v>
      </c>
      <c r="AF38" s="218">
        <v>1.9929800414934884E-3</v>
      </c>
      <c r="AG38" s="218">
        <v>1.9770785784153895E-3</v>
      </c>
      <c r="AH38" s="222">
        <v>1.9991180965676356E-3</v>
      </c>
      <c r="AI38" s="222">
        <v>1.9010825436332765E-3</v>
      </c>
      <c r="AJ38" s="222">
        <v>1.8830098707052247E-3</v>
      </c>
      <c r="AK38" s="222">
        <v>1.7775734796814412E-3</v>
      </c>
      <c r="AL38" s="222">
        <v>1.7775758069775024E-3</v>
      </c>
      <c r="AM38" s="219">
        <v>1.7407805399207308</v>
      </c>
      <c r="AN38" s="219">
        <v>1.6450014255692993</v>
      </c>
      <c r="AO38" s="219">
        <v>1.4550676703412337</v>
      </c>
      <c r="AP38" s="219">
        <v>1.5214865067109915</v>
      </c>
      <c r="AQ38" s="219">
        <v>1.2267158461036844</v>
      </c>
      <c r="AR38" s="223">
        <v>0.68640099710525326</v>
      </c>
      <c r="AS38" s="223">
        <v>0.63451542033357111</v>
      </c>
      <c r="AT38" s="223">
        <v>0.55013609394241236</v>
      </c>
      <c r="AU38" s="223">
        <v>0.55171629214383622</v>
      </c>
      <c r="AV38" s="223">
        <v>0.47709507906749271</v>
      </c>
      <c r="AW38" s="35">
        <f>'Raw emissions'!AM40</f>
        <v>3.7394181651155018</v>
      </c>
    </row>
    <row r="39" spans="2:49" s="35" customFormat="1" x14ac:dyDescent="0.2">
      <c r="B39" s="175" t="s">
        <v>1325</v>
      </c>
      <c r="C39" s="176" t="s">
        <v>501</v>
      </c>
      <c r="D39" s="184">
        <v>16.715904189060467</v>
      </c>
      <c r="E39" s="184">
        <v>14.712302659413483</v>
      </c>
      <c r="F39" s="184">
        <v>13.093515810356326</v>
      </c>
      <c r="G39" s="184">
        <v>12.584787567150876</v>
      </c>
      <c r="H39" s="184">
        <v>9.071124062601891</v>
      </c>
      <c r="I39" s="218">
        <v>0.31571377034639286</v>
      </c>
      <c r="J39" s="218">
        <v>2.2127194031217511E-2</v>
      </c>
      <c r="K39" s="218">
        <v>1.0941394751731209E-2</v>
      </c>
      <c r="L39" s="218">
        <v>1.0944696543677874E-2</v>
      </c>
      <c r="M39" s="218">
        <v>1.0947660072352374E-2</v>
      </c>
      <c r="N39" s="219">
        <v>0.1926734342964577</v>
      </c>
      <c r="O39" s="219">
        <v>0.17952792069397766</v>
      </c>
      <c r="P39" s="219">
        <v>0.17267182197658104</v>
      </c>
      <c r="Q39" s="219">
        <v>0.16537658742504535</v>
      </c>
      <c r="R39" s="219">
        <v>0.1496060482556244</v>
      </c>
      <c r="S39" s="220">
        <v>0.13245687270860196</v>
      </c>
      <c r="T39" s="220">
        <v>0.11938888022421663</v>
      </c>
      <c r="U39" s="220">
        <v>0.11241508617379033</v>
      </c>
      <c r="V39" s="220">
        <v>0.10499395426952769</v>
      </c>
      <c r="W39" s="220">
        <v>9.0115389631561765E-2</v>
      </c>
      <c r="X39" s="221">
        <v>0.62261105477142342</v>
      </c>
      <c r="Y39" s="221">
        <v>0.56886327367949063</v>
      </c>
      <c r="Z39" s="221">
        <v>0.47560082070463622</v>
      </c>
      <c r="AA39" s="221">
        <v>0.53456080401800499</v>
      </c>
      <c r="AB39" s="221">
        <v>0.27725138571894353</v>
      </c>
      <c r="AC39" s="218">
        <v>2.0024141528826832E-3</v>
      </c>
      <c r="AD39" s="218">
        <v>1.997670574268676E-3</v>
      </c>
      <c r="AE39" s="218">
        <v>1.990190032333116E-3</v>
      </c>
      <c r="AF39" s="218">
        <v>1.9929800414934884E-3</v>
      </c>
      <c r="AG39" s="218">
        <v>1.9770785784153895E-3</v>
      </c>
      <c r="AH39" s="222">
        <v>0.1122581723790794</v>
      </c>
      <c r="AI39" s="222">
        <v>0.10675309890719248</v>
      </c>
      <c r="AJ39" s="222">
        <v>0.105738248790838</v>
      </c>
      <c r="AK39" s="222">
        <v>9.9817589786801275E-2</v>
      </c>
      <c r="AL39" s="222">
        <v>9.9817720473428975E-2</v>
      </c>
      <c r="AM39" s="219">
        <v>1.7407805399207308</v>
      </c>
      <c r="AN39" s="219">
        <v>1.6450014255692993</v>
      </c>
      <c r="AO39" s="219">
        <v>1.4550676703412337</v>
      </c>
      <c r="AP39" s="219">
        <v>1.5214865067109915</v>
      </c>
      <c r="AQ39" s="219">
        <v>1.2267158461036844</v>
      </c>
      <c r="AR39" s="223">
        <v>7.6351612581229494E-2</v>
      </c>
      <c r="AS39" s="223">
        <v>7.0580135743445058E-2</v>
      </c>
      <c r="AT39" s="223">
        <v>6.1194226244984676E-2</v>
      </c>
      <c r="AU39" s="223">
        <v>6.1369999126121927E-2</v>
      </c>
      <c r="AV39" s="223">
        <v>5.3069530485816752E-2</v>
      </c>
      <c r="AW39" s="35">
        <f>'Raw emissions'!AM41</f>
        <v>6.7724241179047961</v>
      </c>
    </row>
    <row r="40" spans="2:49" s="35" customFormat="1" x14ac:dyDescent="0.2">
      <c r="B40" s="200" t="s">
        <v>1325</v>
      </c>
      <c r="C40" s="201" t="s">
        <v>504</v>
      </c>
      <c r="D40" s="202">
        <v>10.286710270191056</v>
      </c>
      <c r="E40" s="202">
        <v>9.0537247134852201</v>
      </c>
      <c r="F40" s="202">
        <v>8.0575481909885092</v>
      </c>
      <c r="G40" s="202">
        <v>7.7444846567082308</v>
      </c>
      <c r="H40" s="202">
        <v>5.5822301923703952</v>
      </c>
      <c r="I40" s="224">
        <v>0</v>
      </c>
      <c r="J40" s="224">
        <v>0</v>
      </c>
      <c r="K40" s="224">
        <v>0</v>
      </c>
      <c r="L40" s="224">
        <v>0</v>
      </c>
      <c r="M40" s="224">
        <v>0</v>
      </c>
      <c r="N40" s="225">
        <v>7.6345077390121932E-2</v>
      </c>
      <c r="O40" s="225">
        <v>7.6788473633630602E-2</v>
      </c>
      <c r="P40" s="225">
        <v>7.7241369282721697E-2</v>
      </c>
      <c r="Q40" s="225">
        <v>7.772400860287805E-2</v>
      </c>
      <c r="R40" s="225">
        <v>7.7136697098141513E-2</v>
      </c>
      <c r="S40" s="226">
        <v>1.9597672469757403E-2</v>
      </c>
      <c r="T40" s="226">
        <v>1.9711270058920569E-2</v>
      </c>
      <c r="U40" s="226">
        <v>1.9827323087077735E-2</v>
      </c>
      <c r="V40" s="226">
        <v>1.9950960593600315E-2</v>
      </c>
      <c r="W40" s="226">
        <v>1.9800505379850016E-2</v>
      </c>
      <c r="X40" s="227">
        <v>0.62261105477142342</v>
      </c>
      <c r="Y40" s="227">
        <v>0.56886327367949063</v>
      </c>
      <c r="Z40" s="227">
        <v>0.47560082070463622</v>
      </c>
      <c r="AA40" s="227">
        <v>0.53456080401800499</v>
      </c>
      <c r="AB40" s="227">
        <v>0.27725138571894353</v>
      </c>
      <c r="AC40" s="224">
        <v>2.0024141528826832E-3</v>
      </c>
      <c r="AD40" s="224">
        <v>1.997670574268676E-3</v>
      </c>
      <c r="AE40" s="224">
        <v>1.990190032333116E-3</v>
      </c>
      <c r="AF40" s="224">
        <v>1.9929800414934884E-3</v>
      </c>
      <c r="AG40" s="224">
        <v>1.9770785784153895E-3</v>
      </c>
      <c r="AH40" s="228">
        <v>1.1225817237907942E-2</v>
      </c>
      <c r="AI40" s="228">
        <v>1.0675309890719246E-2</v>
      </c>
      <c r="AJ40" s="228">
        <v>1.05738248790838E-2</v>
      </c>
      <c r="AK40" s="228">
        <v>9.9817589786801286E-3</v>
      </c>
      <c r="AL40" s="228">
        <v>9.9817720473428986E-3</v>
      </c>
      <c r="AM40" s="225">
        <v>3.0898854292361415</v>
      </c>
      <c r="AN40" s="225">
        <v>2.9198775028647304</v>
      </c>
      <c r="AO40" s="225">
        <v>2.5827450905124945</v>
      </c>
      <c r="AP40" s="225">
        <v>2.7006385239576312</v>
      </c>
      <c r="AQ40" s="225">
        <v>2.1774206063111565</v>
      </c>
      <c r="AR40" s="229">
        <v>0</v>
      </c>
      <c r="AS40" s="229">
        <v>0</v>
      </c>
      <c r="AT40" s="229">
        <v>0</v>
      </c>
      <c r="AU40" s="229">
        <v>0</v>
      </c>
      <c r="AV40" s="229">
        <v>0</v>
      </c>
      <c r="AW40" s="35">
        <f>'Raw emissions'!AM42</f>
        <v>0</v>
      </c>
    </row>
    <row r="41" spans="2:49" s="35" customFormat="1" x14ac:dyDescent="0.2">
      <c r="B41" s="175" t="s">
        <v>1326</v>
      </c>
      <c r="C41" s="176" t="s">
        <v>922</v>
      </c>
      <c r="D41" s="184">
        <v>18.246097955429711</v>
      </c>
      <c r="E41" s="184">
        <v>15.699586577917282</v>
      </c>
      <c r="F41" s="184">
        <v>13.763554299945536</v>
      </c>
      <c r="G41" s="184">
        <v>12.812699519330694</v>
      </c>
      <c r="H41" s="184">
        <v>9.1641835900706248</v>
      </c>
      <c r="I41" s="185">
        <v>0.39167857147306689</v>
      </c>
      <c r="J41" s="185">
        <v>2.3095732268066344E-2</v>
      </c>
      <c r="K41" s="185">
        <v>1.1416045665619511E-2</v>
      </c>
      <c r="L41" s="185">
        <v>1.1415477834023623E-2</v>
      </c>
      <c r="M41" s="185">
        <v>1.141478370924574E-2</v>
      </c>
      <c r="N41" s="186">
        <v>1.0359151092870649</v>
      </c>
      <c r="O41" s="186">
        <v>0.92940293879028457</v>
      </c>
      <c r="P41" s="186">
        <v>0.88139488744398031</v>
      </c>
      <c r="Q41" s="186">
        <v>0.81018530961866864</v>
      </c>
      <c r="R41" s="186">
        <v>0.71074147782456842</v>
      </c>
      <c r="S41" s="187">
        <v>0.93604797878834711</v>
      </c>
      <c r="T41" s="187">
        <v>0.83211361956619401</v>
      </c>
      <c r="U41" s="187">
        <v>0.78414744634900124</v>
      </c>
      <c r="V41" s="187">
        <v>0.71604325893892407</v>
      </c>
      <c r="W41" s="187">
        <v>0.61616514017013202</v>
      </c>
      <c r="X41" s="188">
        <v>4.780881371749591</v>
      </c>
      <c r="Y41" s="188">
        <v>4.2754967986519246</v>
      </c>
      <c r="Z41" s="188">
        <v>3.4367814257653335</v>
      </c>
      <c r="AA41" s="188">
        <v>3.8895817789865985</v>
      </c>
      <c r="AB41" s="188">
        <v>1.7465282740876755</v>
      </c>
      <c r="AC41" s="185">
        <v>2.4865467084144608E-3</v>
      </c>
      <c r="AD41" s="185">
        <v>2.4671080285919539E-3</v>
      </c>
      <c r="AE41" s="185">
        <v>2.448624470533066E-3</v>
      </c>
      <c r="AF41" s="185">
        <v>2.4447033478335592E-3</v>
      </c>
      <c r="AG41" s="185">
        <v>2.4115236744402541E-3</v>
      </c>
      <c r="AH41" s="189">
        <v>2.4157820337662762E-3</v>
      </c>
      <c r="AI41" s="189">
        <v>2.2973115581261081E-3</v>
      </c>
      <c r="AJ41" s="189">
        <v>2.2754698476961711E-3</v>
      </c>
      <c r="AK41" s="189">
        <v>2.1480561304854798E-3</v>
      </c>
      <c r="AL41" s="189">
        <v>2.1480610012204644E-3</v>
      </c>
      <c r="AM41" s="186">
        <v>0.91500548000027782</v>
      </c>
      <c r="AN41" s="186">
        <v>0.8495739323754985</v>
      </c>
      <c r="AO41" s="186">
        <v>0.72233107535710717</v>
      </c>
      <c r="AP41" s="186">
        <v>0.80454450835006597</v>
      </c>
      <c r="AQ41" s="186">
        <v>0.47788145004343091</v>
      </c>
      <c r="AR41" s="190">
        <v>0.58623699659625506</v>
      </c>
      <c r="AS41" s="190">
        <v>0.55140222907462688</v>
      </c>
      <c r="AT41" s="190">
        <v>0.48184519508233914</v>
      </c>
      <c r="AU41" s="190">
        <v>0.4945029747324492</v>
      </c>
      <c r="AV41" s="190">
        <v>0.42593468134155771</v>
      </c>
      <c r="AW41" s="35">
        <f>'Raw emissions'!AM43</f>
        <v>3.4119398254165292</v>
      </c>
    </row>
    <row r="42" spans="2:49" s="35" customFormat="1" x14ac:dyDescent="0.2">
      <c r="B42" s="175" t="s">
        <v>1326</v>
      </c>
      <c r="C42" s="176" t="s">
        <v>1321</v>
      </c>
      <c r="D42" s="184">
        <v>6.8966037811984071</v>
      </c>
      <c r="E42" s="184">
        <v>6.0049421782422403</v>
      </c>
      <c r="F42" s="184">
        <v>5.7743833049326199</v>
      </c>
      <c r="G42" s="184">
        <v>4.8309512913960679</v>
      </c>
      <c r="H42" s="184">
        <v>4.8810671498689375</v>
      </c>
      <c r="I42" s="185">
        <v>0.10843777301983465</v>
      </c>
      <c r="J42" s="185">
        <v>2.8680624618337258E-2</v>
      </c>
      <c r="K42" s="185">
        <v>2.2205885810572513E-2</v>
      </c>
      <c r="L42" s="185">
        <v>2.2203759425112393E-2</v>
      </c>
      <c r="M42" s="185">
        <v>2.2201001093991604E-2</v>
      </c>
      <c r="N42" s="186">
        <v>6.8511032883684528E-2</v>
      </c>
      <c r="O42" s="186">
        <v>6.5039136096321781E-2</v>
      </c>
      <c r="P42" s="186">
        <v>6.251877489797926E-2</v>
      </c>
      <c r="Q42" s="186">
        <v>6.0056528404817358E-2</v>
      </c>
      <c r="R42" s="186">
        <v>5.8743064229544534E-2</v>
      </c>
      <c r="S42" s="187">
        <v>2.7764505768934938E-2</v>
      </c>
      <c r="T42" s="187">
        <v>2.4574597877759341E-2</v>
      </c>
      <c r="U42" s="187">
        <v>2.2271443613904776E-2</v>
      </c>
      <c r="V42" s="187">
        <v>2.0004192104966435E-2</v>
      </c>
      <c r="W42" s="187">
        <v>1.8794715268370777E-2</v>
      </c>
      <c r="X42" s="188">
        <v>92.641437053280669</v>
      </c>
      <c r="Y42" s="188">
        <v>60.50178459409269</v>
      </c>
      <c r="Z42" s="188">
        <v>52.527820014700595</v>
      </c>
      <c r="AA42" s="188">
        <v>18.771583891905209</v>
      </c>
      <c r="AB42" s="188">
        <v>19.240451770666574</v>
      </c>
      <c r="AC42" s="185">
        <v>3.3314016533041127E-2</v>
      </c>
      <c r="AD42" s="185">
        <v>3.1036295952666826E-2</v>
      </c>
      <c r="AE42" s="185">
        <v>2.5934298216942132E-2</v>
      </c>
      <c r="AF42" s="185">
        <v>2.954409589447211E-2</v>
      </c>
      <c r="AG42" s="185">
        <v>1.6736977288320461E-2</v>
      </c>
      <c r="AH42" s="189">
        <v>7.3020509911200543E-2</v>
      </c>
      <c r="AI42" s="189">
        <v>4.7380302337227495E-2</v>
      </c>
      <c r="AJ42" s="189">
        <v>4.0095773285537865E-2</v>
      </c>
      <c r="AK42" s="189">
        <v>1.4011104930125307E-2</v>
      </c>
      <c r="AL42" s="189">
        <v>1.3012156290132471E-2</v>
      </c>
      <c r="AM42" s="186">
        <v>2.6773603863729063</v>
      </c>
      <c r="AN42" s="186">
        <v>2.0772036411202381</v>
      </c>
      <c r="AO42" s="186">
        <v>1.9553481928668901</v>
      </c>
      <c r="AP42" s="186">
        <v>1.3238782268374178</v>
      </c>
      <c r="AQ42" s="186">
        <v>1.2949363791495874</v>
      </c>
      <c r="AR42" s="190">
        <v>8.6177639111597476E-4</v>
      </c>
      <c r="AS42" s="190">
        <v>7.0624841739407615E-4</v>
      </c>
      <c r="AT42" s="190">
        <v>5.5134335882842458E-4</v>
      </c>
      <c r="AU42" s="190">
        <v>4.8233185469884242E-4</v>
      </c>
      <c r="AV42" s="190">
        <v>3.5169150115229664E-4</v>
      </c>
      <c r="AW42" s="35">
        <f>'Raw emissions'!AM44</f>
        <v>0.10601571988815618</v>
      </c>
    </row>
    <row r="43" spans="2:49" s="35" customFormat="1" x14ac:dyDescent="0.2">
      <c r="B43" s="175" t="s">
        <v>1326</v>
      </c>
      <c r="C43" s="176" t="s">
        <v>1318</v>
      </c>
      <c r="D43" s="184">
        <v>18.246097955429711</v>
      </c>
      <c r="E43" s="184">
        <v>15.699586577917282</v>
      </c>
      <c r="F43" s="184">
        <v>13.763554299945536</v>
      </c>
      <c r="G43" s="184">
        <v>12.812699519330694</v>
      </c>
      <c r="H43" s="184">
        <v>9.1641835900706248</v>
      </c>
      <c r="I43" s="218">
        <v>0.31822747955112379</v>
      </c>
      <c r="J43" s="218">
        <v>2.2354483306370146E-2</v>
      </c>
      <c r="K43" s="218">
        <v>1.1062272383096755E-2</v>
      </c>
      <c r="L43" s="218">
        <v>1.1073566680074564E-2</v>
      </c>
      <c r="M43" s="218">
        <v>1.1083769206331771E-2</v>
      </c>
      <c r="N43" s="219">
        <v>0.94106131343899313</v>
      </c>
      <c r="O43" s="219">
        <v>0.84539395940191342</v>
      </c>
      <c r="P43" s="219">
        <v>0.80243254592541058</v>
      </c>
      <c r="Q43" s="219">
        <v>0.73827769956069356</v>
      </c>
      <c r="R43" s="219">
        <v>0.64936123175259408</v>
      </c>
      <c r="S43" s="220">
        <v>0.84402343719497708</v>
      </c>
      <c r="T43" s="220">
        <v>0.75060883274244561</v>
      </c>
      <c r="U43" s="220">
        <v>0.70753808629753978</v>
      </c>
      <c r="V43" s="220">
        <v>0.64627710183193532</v>
      </c>
      <c r="W43" s="220">
        <v>0.5566109467943573</v>
      </c>
      <c r="X43" s="221">
        <v>4.2549844208571361</v>
      </c>
      <c r="Y43" s="221">
        <v>3.8051921508002122</v>
      </c>
      <c r="Z43" s="221">
        <v>3.0587354689311472</v>
      </c>
      <c r="AA43" s="221">
        <v>3.4617277832980728</v>
      </c>
      <c r="AB43" s="221">
        <v>1.5544101639380312</v>
      </c>
      <c r="AC43" s="218">
        <v>2.4865467084144608E-3</v>
      </c>
      <c r="AD43" s="218">
        <v>2.4671080285919539E-3</v>
      </c>
      <c r="AE43" s="218">
        <v>2.448624470533066E-3</v>
      </c>
      <c r="AF43" s="218">
        <v>2.4447033478335592E-3</v>
      </c>
      <c r="AG43" s="218">
        <v>2.4115236744402541E-3</v>
      </c>
      <c r="AH43" s="222">
        <v>2.4157820337662762E-3</v>
      </c>
      <c r="AI43" s="222">
        <v>2.2973115581261081E-3</v>
      </c>
      <c r="AJ43" s="222">
        <v>2.2754698476961711E-3</v>
      </c>
      <c r="AK43" s="222">
        <v>2.1480561304854798E-3</v>
      </c>
      <c r="AL43" s="222">
        <v>2.1480610012204644E-3</v>
      </c>
      <c r="AM43" s="219">
        <v>0.91500548000027782</v>
      </c>
      <c r="AN43" s="219">
        <v>0.8495739323754985</v>
      </c>
      <c r="AO43" s="219">
        <v>0.72233107535710717</v>
      </c>
      <c r="AP43" s="219">
        <v>0.80454450835006597</v>
      </c>
      <c r="AQ43" s="219">
        <v>0.47788145004343091</v>
      </c>
      <c r="AR43" s="223">
        <v>0.5270270599400334</v>
      </c>
      <c r="AS43" s="223">
        <v>0.49571060393808958</v>
      </c>
      <c r="AT43" s="223">
        <v>0.43317883037902288</v>
      </c>
      <c r="AU43" s="223">
        <v>0.44455817428447192</v>
      </c>
      <c r="AV43" s="223">
        <v>0.38291527852606039</v>
      </c>
      <c r="AW43" s="35">
        <f>'Raw emissions'!AM45</f>
        <v>3.4013555049640143</v>
      </c>
    </row>
    <row r="44" spans="2:49" s="35" customFormat="1" x14ac:dyDescent="0.2">
      <c r="B44" s="175" t="s">
        <v>1326</v>
      </c>
      <c r="C44" s="176" t="s">
        <v>501</v>
      </c>
      <c r="D44" s="184">
        <v>11.859963671029313</v>
      </c>
      <c r="E44" s="184">
        <v>10.204731275646235</v>
      </c>
      <c r="F44" s="184">
        <v>8.946310294964599</v>
      </c>
      <c r="G44" s="184">
        <v>8.3282546875649501</v>
      </c>
      <c r="H44" s="184">
        <v>5.9567193335459061</v>
      </c>
      <c r="I44" s="218">
        <v>0.24393869585830094</v>
      </c>
      <c r="J44" s="218">
        <v>1.7135929027983388E-2</v>
      </c>
      <c r="K44" s="218">
        <v>8.4798343064788652E-3</v>
      </c>
      <c r="L44" s="218">
        <v>8.4884920002747926E-3</v>
      </c>
      <c r="M44" s="218">
        <v>8.4963127923482935E-3</v>
      </c>
      <c r="N44" s="219">
        <v>0.1906832650963268</v>
      </c>
      <c r="O44" s="219">
        <v>0.18080807295331294</v>
      </c>
      <c r="P44" s="219">
        <v>0.17777006203098256</v>
      </c>
      <c r="Q44" s="219">
        <v>0.16942442791394008</v>
      </c>
      <c r="R44" s="219">
        <v>0.16378879005449939</v>
      </c>
      <c r="S44" s="220">
        <v>0.11602731112465361</v>
      </c>
      <c r="T44" s="220">
        <v>0.10583334093873276</v>
      </c>
      <c r="U44" s="220">
        <v>0.10148978252409586</v>
      </c>
      <c r="V44" s="220">
        <v>9.4364631252885148E-2</v>
      </c>
      <c r="W44" s="220">
        <v>8.5484209098872249E-2</v>
      </c>
      <c r="X44" s="221">
        <v>0.47808813717495896</v>
      </c>
      <c r="Y44" s="221">
        <v>0.42754967986519243</v>
      </c>
      <c r="Z44" s="221">
        <v>0.34367814257653334</v>
      </c>
      <c r="AA44" s="221">
        <v>0.38895817789865977</v>
      </c>
      <c r="AB44" s="221">
        <v>0.1746528274087675</v>
      </c>
      <c r="AC44" s="218">
        <v>2.4865467084144608E-3</v>
      </c>
      <c r="AD44" s="218">
        <v>2.4671080285919539E-3</v>
      </c>
      <c r="AE44" s="218">
        <v>2.448624470533066E-3</v>
      </c>
      <c r="AF44" s="218">
        <v>2.4447033478335592E-3</v>
      </c>
      <c r="AG44" s="218">
        <v>2.4115236744402541E-3</v>
      </c>
      <c r="AH44" s="222">
        <v>0.13565545549431857</v>
      </c>
      <c r="AI44" s="222">
        <v>0.12900288249271369</v>
      </c>
      <c r="AJ44" s="222">
        <v>0.12777638641991659</v>
      </c>
      <c r="AK44" s="222">
        <v>0.12062161599657104</v>
      </c>
      <c r="AL44" s="222">
        <v>0.12062188950707969</v>
      </c>
      <c r="AM44" s="219">
        <v>0.91500548000027782</v>
      </c>
      <c r="AN44" s="219">
        <v>0.8495739323754985</v>
      </c>
      <c r="AO44" s="219">
        <v>0.72233107535710717</v>
      </c>
      <c r="AP44" s="219">
        <v>0.80454450835006597</v>
      </c>
      <c r="AQ44" s="219">
        <v>0.47788145004343091</v>
      </c>
      <c r="AR44" s="223">
        <v>5.8623699659625501E-2</v>
      </c>
      <c r="AS44" s="223">
        <v>5.5140222907462684E-2</v>
      </c>
      <c r="AT44" s="223">
        <v>4.8184519508233901E-2</v>
      </c>
      <c r="AU44" s="223">
        <v>4.945029747324492E-2</v>
      </c>
      <c r="AV44" s="223">
        <v>4.2593468134155758E-2</v>
      </c>
      <c r="AW44" s="35">
        <f>'Raw emissions'!AM46</f>
        <v>5.7353510247529815</v>
      </c>
    </row>
    <row r="45" spans="2:49" s="35" customFormat="1" x14ac:dyDescent="0.2">
      <c r="B45" s="175" t="s">
        <v>1326</v>
      </c>
      <c r="C45" s="176" t="s">
        <v>504</v>
      </c>
      <c r="D45" s="184">
        <v>7.2984391821718848</v>
      </c>
      <c r="E45" s="184">
        <v>6.2798346311669135</v>
      </c>
      <c r="F45" s="184">
        <v>5.5054217199782141</v>
      </c>
      <c r="G45" s="184">
        <v>5.1250798077322788</v>
      </c>
      <c r="H45" s="184">
        <v>3.6656734360282499</v>
      </c>
      <c r="I45" s="218">
        <v>0</v>
      </c>
      <c r="J45" s="218">
        <v>0</v>
      </c>
      <c r="K45" s="218">
        <v>0</v>
      </c>
      <c r="L45" s="218">
        <v>0</v>
      </c>
      <c r="M45" s="218">
        <v>0</v>
      </c>
      <c r="N45" s="219">
        <v>9.6768615741800387E-2</v>
      </c>
      <c r="O45" s="219">
        <v>9.7630865638093867E-2</v>
      </c>
      <c r="P45" s="219">
        <v>9.9589525873982829E-2</v>
      </c>
      <c r="Q45" s="219">
        <v>9.8228774391192514E-2</v>
      </c>
      <c r="R45" s="219">
        <v>0.10301626919115842</v>
      </c>
      <c r="S45" s="220">
        <v>2.491390360646548E-2</v>
      </c>
      <c r="T45" s="220">
        <v>2.5135532202348189E-2</v>
      </c>
      <c r="U45" s="220">
        <v>2.5638930987995294E-2</v>
      </c>
      <c r="V45" s="220">
        <v>2.5289228176658615E-2</v>
      </c>
      <c r="W45" s="220">
        <v>2.6519661202065628E-2</v>
      </c>
      <c r="X45" s="221">
        <v>0.47808813717495896</v>
      </c>
      <c r="Y45" s="221">
        <v>0.42754967986519243</v>
      </c>
      <c r="Z45" s="221">
        <v>0.34367814257653334</v>
      </c>
      <c r="AA45" s="221">
        <v>0.38895817789865977</v>
      </c>
      <c r="AB45" s="221">
        <v>0.1746528274087675</v>
      </c>
      <c r="AC45" s="218">
        <v>2.4865467084144608E-3</v>
      </c>
      <c r="AD45" s="218">
        <v>2.4671080285919539E-3</v>
      </c>
      <c r="AE45" s="218">
        <v>2.448624470533066E-3</v>
      </c>
      <c r="AF45" s="218">
        <v>2.4447033478335592E-3</v>
      </c>
      <c r="AG45" s="218">
        <v>2.4115236744402541E-3</v>
      </c>
      <c r="AH45" s="222">
        <v>1.3565545549431854E-2</v>
      </c>
      <c r="AI45" s="222">
        <v>1.290028824927137E-2</v>
      </c>
      <c r="AJ45" s="222">
        <v>1.277763864199166E-2</v>
      </c>
      <c r="AK45" s="222">
        <v>1.2062161599657104E-2</v>
      </c>
      <c r="AL45" s="222">
        <v>1.2062188950707969E-2</v>
      </c>
      <c r="AM45" s="219">
        <v>1.6241347116925056</v>
      </c>
      <c r="AN45" s="219">
        <v>1.5079937157531882</v>
      </c>
      <c r="AO45" s="219">
        <v>1.2821376466743091</v>
      </c>
      <c r="AP45" s="219">
        <v>1.428066488861385</v>
      </c>
      <c r="AQ45" s="219">
        <v>0.84823956583216142</v>
      </c>
      <c r="AR45" s="223">
        <v>0</v>
      </c>
      <c r="AS45" s="223">
        <v>0</v>
      </c>
      <c r="AT45" s="223">
        <v>0</v>
      </c>
      <c r="AU45" s="223">
        <v>0</v>
      </c>
      <c r="AV45" s="223">
        <v>0</v>
      </c>
      <c r="AW45" s="35">
        <f>'Raw emissions'!AM47</f>
        <v>0</v>
      </c>
    </row>
    <row r="46" spans="2:49" s="35" customFormat="1" ht="13.5" thickBot="1" x14ac:dyDescent="0.25">
      <c r="B46" s="209" t="s">
        <v>1326</v>
      </c>
      <c r="C46" s="210" t="s">
        <v>509</v>
      </c>
      <c r="D46" s="211">
        <v>5.6552151005826943</v>
      </c>
      <c r="E46" s="211">
        <v>4.9240525861586377</v>
      </c>
      <c r="F46" s="211">
        <v>4.7349943100447485</v>
      </c>
      <c r="G46" s="211">
        <v>3.9613800589447772</v>
      </c>
      <c r="H46" s="211">
        <v>4.002475062892529</v>
      </c>
      <c r="I46" s="230">
        <v>3.1772267494811546E-2</v>
      </c>
      <c r="J46" s="230">
        <v>8.4152944501440889E-3</v>
      </c>
      <c r="K46" s="230">
        <v>6.5303565696342132E-3</v>
      </c>
      <c r="L46" s="230">
        <v>6.5437227990547998E-3</v>
      </c>
      <c r="M46" s="230">
        <v>6.5557745961043511E-3</v>
      </c>
      <c r="N46" s="231">
        <v>6.3331126599512927E-2</v>
      </c>
      <c r="O46" s="231">
        <v>6.1036050091215759E-2</v>
      </c>
      <c r="P46" s="231">
        <v>5.936354975480148E-2</v>
      </c>
      <c r="Q46" s="231">
        <v>5.7738460750190554E-2</v>
      </c>
      <c r="R46" s="231">
        <v>5.6871595798955017E-2</v>
      </c>
      <c r="S46" s="232">
        <v>2.2994664007648095E-2</v>
      </c>
      <c r="T46" s="232">
        <v>2.0888392112086148E-2</v>
      </c>
      <c r="U46" s="232">
        <v>1.9365976386216118E-2</v>
      </c>
      <c r="V46" s="232">
        <v>1.7869587363384638E-2</v>
      </c>
      <c r="W46" s="232">
        <v>1.707134598807241E-2</v>
      </c>
      <c r="X46" s="233">
        <v>74.113149642624535</v>
      </c>
      <c r="Y46" s="233">
        <v>48.401427675274149</v>
      </c>
      <c r="Z46" s="233">
        <v>42.022256011760476</v>
      </c>
      <c r="AA46" s="233">
        <v>15.017267113524166</v>
      </c>
      <c r="AB46" s="233">
        <v>15.392361416533261</v>
      </c>
      <c r="AC46" s="230">
        <v>3.3314016533041127E-2</v>
      </c>
      <c r="AD46" s="230">
        <v>3.1036295952666826E-2</v>
      </c>
      <c r="AE46" s="230">
        <v>2.5934298216942132E-2</v>
      </c>
      <c r="AF46" s="230">
        <v>2.954409589447211E-2</v>
      </c>
      <c r="AG46" s="230">
        <v>1.6736977288320461E-2</v>
      </c>
      <c r="AH46" s="234">
        <v>0.14019937902950502</v>
      </c>
      <c r="AI46" s="234">
        <v>9.0970180487476765E-2</v>
      </c>
      <c r="AJ46" s="234">
        <v>7.6983884708232697E-2</v>
      </c>
      <c r="AK46" s="234">
        <v>2.6901321465840587E-2</v>
      </c>
      <c r="AL46" s="234">
        <v>2.4983340077054342E-2</v>
      </c>
      <c r="AM46" s="231">
        <v>2.5488470878270073</v>
      </c>
      <c r="AN46" s="231">
        <v>1.9774978663464668</v>
      </c>
      <c r="AO46" s="231">
        <v>1.8614914796092794</v>
      </c>
      <c r="AP46" s="231">
        <v>1.2603320719492217</v>
      </c>
      <c r="AQ46" s="231">
        <v>1.2327794329504072</v>
      </c>
      <c r="AR46" s="235">
        <v>5.6877241813654323E-4</v>
      </c>
      <c r="AS46" s="235">
        <v>4.6612395548009032E-4</v>
      </c>
      <c r="AT46" s="235">
        <v>3.6388661682676019E-4</v>
      </c>
      <c r="AU46" s="235">
        <v>3.1833902410123593E-4</v>
      </c>
      <c r="AV46" s="235">
        <v>2.3211639076051575E-4</v>
      </c>
      <c r="AW46" s="35">
        <f>'Raw emissions'!AM48</f>
        <v>8.244619554041327E-2</v>
      </c>
    </row>
    <row r="47" spans="2:49" s="35" customFormat="1" x14ac:dyDescent="0.2">
      <c r="B47" s="175" t="s">
        <v>1327</v>
      </c>
      <c r="C47" s="176" t="s">
        <v>922</v>
      </c>
      <c r="D47" s="184">
        <v>10.289716049842578</v>
      </c>
      <c r="E47" s="184">
        <v>8.8019983192171924</v>
      </c>
      <c r="F47" s="184">
        <v>8.2690621625862732</v>
      </c>
      <c r="G47" s="184">
        <v>6.915900658242129</v>
      </c>
      <c r="H47" s="184">
        <v>6.4981669841498038</v>
      </c>
      <c r="I47" s="185">
        <v>0.24645331783774968</v>
      </c>
      <c r="J47" s="185">
        <v>1.4546809077934096E-2</v>
      </c>
      <c r="K47" s="185">
        <v>7.1872622234747073E-3</v>
      </c>
      <c r="L47" s="185">
        <v>7.1839618138424821E-3</v>
      </c>
      <c r="M47" s="185">
        <v>7.1799886823758216E-3</v>
      </c>
      <c r="N47" s="186">
        <v>0.72348095931547418</v>
      </c>
      <c r="O47" s="186">
        <v>0.59592747180967076</v>
      </c>
      <c r="P47" s="186">
        <v>0.54418216676985731</v>
      </c>
      <c r="Q47" s="186">
        <v>0.44095690063976639</v>
      </c>
      <c r="R47" s="186">
        <v>0.37223879524134712</v>
      </c>
      <c r="S47" s="187">
        <v>0.65972913230959729</v>
      </c>
      <c r="T47" s="187">
        <v>0.5359663917818297</v>
      </c>
      <c r="U47" s="187">
        <v>0.48573497797007598</v>
      </c>
      <c r="V47" s="187">
        <v>0.38558331138971358</v>
      </c>
      <c r="W47" s="187">
        <v>0.31892473852568021</v>
      </c>
      <c r="X47" s="188">
        <v>3.4284190169116258</v>
      </c>
      <c r="Y47" s="188">
        <v>3.2609210025372541</v>
      </c>
      <c r="Z47" s="188">
        <v>2.8271867683614449</v>
      </c>
      <c r="AA47" s="188">
        <v>3.1799286415696257</v>
      </c>
      <c r="AB47" s="188">
        <v>2.0400118606907953</v>
      </c>
      <c r="AC47" s="185">
        <v>2.5722463656821697E-3</v>
      </c>
      <c r="AD47" s="185">
        <v>2.5817767154371909E-3</v>
      </c>
      <c r="AE47" s="185">
        <v>2.5802550417997807E-3</v>
      </c>
      <c r="AF47" s="185">
        <v>2.5920271873743771E-3</v>
      </c>
      <c r="AG47" s="185">
        <v>2.592028178126011E-3</v>
      </c>
      <c r="AH47" s="189">
        <v>2.4157770972440245E-3</v>
      </c>
      <c r="AI47" s="189">
        <v>2.2973085978099978E-3</v>
      </c>
      <c r="AJ47" s="189">
        <v>2.2754689935697158E-3</v>
      </c>
      <c r="AK47" s="189">
        <v>2.1480568133663822E-3</v>
      </c>
      <c r="AL47" s="189">
        <v>2.1480609567623909E-3</v>
      </c>
      <c r="AM47" s="186">
        <v>1.1335725584517957</v>
      </c>
      <c r="AN47" s="186">
        <v>1.0502667607966043</v>
      </c>
      <c r="AO47" s="186">
        <v>0.85013502411319208</v>
      </c>
      <c r="AP47" s="186">
        <v>1.0065372817816596</v>
      </c>
      <c r="AQ47" s="186">
        <v>0.47848159795852352</v>
      </c>
      <c r="AR47" s="190">
        <v>0.23535685243453447</v>
      </c>
      <c r="AS47" s="190">
        <v>0.21135171761498978</v>
      </c>
      <c r="AT47" s="190">
        <v>0.16951741448719126</v>
      </c>
      <c r="AU47" s="190">
        <v>0.16856640798279157</v>
      </c>
      <c r="AV47" s="190">
        <v>0.14386838227365847</v>
      </c>
      <c r="AW47" s="35">
        <f>'Raw emissions'!AM49</f>
        <v>2.2415871604524176</v>
      </c>
    </row>
    <row r="48" spans="2:49" s="35" customFormat="1" x14ac:dyDescent="0.2">
      <c r="B48" s="175" t="s">
        <v>1327</v>
      </c>
      <c r="C48" s="176" t="s">
        <v>1321</v>
      </c>
      <c r="D48" s="184">
        <v>4.5265172342640883</v>
      </c>
      <c r="E48" s="184">
        <v>4.0282410721288233</v>
      </c>
      <c r="F48" s="184">
        <v>3.8808777927421381</v>
      </c>
      <c r="G48" s="184">
        <v>3.3712712722380256</v>
      </c>
      <c r="H48" s="184">
        <v>3.3696167857445425</v>
      </c>
      <c r="I48" s="185">
        <v>6.9020252749317335E-2</v>
      </c>
      <c r="J48" s="185">
        <v>1.8294750545021096E-2</v>
      </c>
      <c r="K48" s="185">
        <v>1.4152529237706072E-2</v>
      </c>
      <c r="L48" s="185">
        <v>1.4139824980111376E-2</v>
      </c>
      <c r="M48" s="185">
        <v>1.4124285094249438E-2</v>
      </c>
      <c r="N48" s="186">
        <v>6.9743127764533744E-2</v>
      </c>
      <c r="O48" s="186">
        <v>6.6906034143808954E-2</v>
      </c>
      <c r="P48" s="186">
        <v>6.5258730042040775E-2</v>
      </c>
      <c r="Q48" s="186">
        <v>6.2995038161451022E-2</v>
      </c>
      <c r="R48" s="186">
        <v>6.2120139222275564E-2</v>
      </c>
      <c r="S48" s="187">
        <v>2.6190351956237586E-2</v>
      </c>
      <c r="T48" s="187">
        <v>2.3585525459293787E-2</v>
      </c>
      <c r="U48" s="187">
        <v>2.2087633545691598E-2</v>
      </c>
      <c r="V48" s="187">
        <v>2.0003252799529598E-2</v>
      </c>
      <c r="W48" s="187">
        <v>1.9197523368444831E-2</v>
      </c>
      <c r="X48" s="188">
        <v>51.93988631582198</v>
      </c>
      <c r="Y48" s="188">
        <v>38.568884405414742</v>
      </c>
      <c r="Z48" s="188">
        <v>35.229597473397874</v>
      </c>
      <c r="AA48" s="188">
        <v>21.114316848945975</v>
      </c>
      <c r="AB48" s="188">
        <v>21.579382112902771</v>
      </c>
      <c r="AC48" s="185">
        <v>3.7681432350510323E-2</v>
      </c>
      <c r="AD48" s="185">
        <v>3.6758581016282758E-2</v>
      </c>
      <c r="AE48" s="185">
        <v>3.1463529672419145E-2</v>
      </c>
      <c r="AF48" s="185">
        <v>3.7123708513741353E-2</v>
      </c>
      <c r="AG48" s="185">
        <v>2.3038886221795486E-2</v>
      </c>
      <c r="AH48" s="189">
        <v>7.5449617736084024E-2</v>
      </c>
      <c r="AI48" s="189">
        <v>5.0759109487966914E-2</v>
      </c>
      <c r="AJ48" s="189">
        <v>4.4000429317473451E-2</v>
      </c>
      <c r="AK48" s="189">
        <v>1.8476338127680177E-2</v>
      </c>
      <c r="AL48" s="189">
        <v>1.8459447629267742E-2</v>
      </c>
      <c r="AM48" s="186">
        <v>2.1975414106789843</v>
      </c>
      <c r="AN48" s="186">
        <v>1.7123963411810275</v>
      </c>
      <c r="AO48" s="186">
        <v>1.5855435398148905</v>
      </c>
      <c r="AP48" s="186">
        <v>1.1141277758935562</v>
      </c>
      <c r="AQ48" s="186">
        <v>1.0054306571404366</v>
      </c>
      <c r="AR48" s="190">
        <v>9.2993426276294291E-4</v>
      </c>
      <c r="AS48" s="190">
        <v>7.9343497457900732E-4</v>
      </c>
      <c r="AT48" s="190">
        <v>6.3433661141884708E-4</v>
      </c>
      <c r="AU48" s="190">
        <v>5.8986818130089206E-4</v>
      </c>
      <c r="AV48" s="190">
        <v>4.575753296998108E-4</v>
      </c>
      <c r="AW48" s="35">
        <f>'Raw emissions'!AM50</f>
        <v>0.1190813161570025</v>
      </c>
    </row>
    <row r="49" spans="2:49" s="35" customFormat="1" x14ac:dyDescent="0.2">
      <c r="B49" s="175" t="s">
        <v>1327</v>
      </c>
      <c r="C49" s="176" t="s">
        <v>1318</v>
      </c>
      <c r="D49" s="184">
        <v>10.289716049842578</v>
      </c>
      <c r="E49" s="184">
        <v>8.8019983192171924</v>
      </c>
      <c r="F49" s="184">
        <v>8.2690621625862732</v>
      </c>
      <c r="G49" s="184">
        <v>6.915900658242129</v>
      </c>
      <c r="H49" s="184">
        <v>6.4981669841498038</v>
      </c>
      <c r="I49" s="218">
        <v>0.20023617290973519</v>
      </c>
      <c r="J49" s="218">
        <v>1.407013357232422E-2</v>
      </c>
      <c r="K49" s="218">
        <v>6.9517236691216946E-3</v>
      </c>
      <c r="L49" s="218">
        <v>6.9485294943713626E-3</v>
      </c>
      <c r="M49" s="218">
        <v>6.9446885270692069E-3</v>
      </c>
      <c r="N49" s="219">
        <v>0.65638928604584668</v>
      </c>
      <c r="O49" s="219">
        <v>0.54172328058349928</v>
      </c>
      <c r="P49" s="219">
        <v>0.49520956307451963</v>
      </c>
      <c r="Q49" s="219">
        <v>0.40241290038821631</v>
      </c>
      <c r="R49" s="219">
        <v>0.34063532059806639</v>
      </c>
      <c r="S49" s="220">
        <v>0.59463978877271606</v>
      </c>
      <c r="T49" s="220">
        <v>0.48337826393585459</v>
      </c>
      <c r="U49" s="220">
        <v>0.43822158786631105</v>
      </c>
      <c r="V49" s="220">
        <v>0.3481859758138911</v>
      </c>
      <c r="W49" s="220">
        <v>0.28825991445926036</v>
      </c>
      <c r="X49" s="221">
        <v>3.0512929250513472</v>
      </c>
      <c r="Y49" s="221">
        <v>2.9022196922581562</v>
      </c>
      <c r="Z49" s="221">
        <v>2.5161962238416855</v>
      </c>
      <c r="AA49" s="221">
        <v>2.8301364909969671</v>
      </c>
      <c r="AB49" s="221">
        <v>1.8156105560148079</v>
      </c>
      <c r="AC49" s="218">
        <v>2.5722463656821697E-3</v>
      </c>
      <c r="AD49" s="218">
        <v>2.5817767154371909E-3</v>
      </c>
      <c r="AE49" s="218">
        <v>2.5802550417997807E-3</v>
      </c>
      <c r="AF49" s="218">
        <v>2.5920271873743771E-3</v>
      </c>
      <c r="AG49" s="218">
        <v>2.592028178126011E-3</v>
      </c>
      <c r="AH49" s="222">
        <v>2.4157770972440245E-3</v>
      </c>
      <c r="AI49" s="222">
        <v>2.2973085978099978E-3</v>
      </c>
      <c r="AJ49" s="222">
        <v>2.2754689935697158E-3</v>
      </c>
      <c r="AK49" s="222">
        <v>2.1480568133663822E-3</v>
      </c>
      <c r="AL49" s="222">
        <v>2.1480609567623909E-3</v>
      </c>
      <c r="AM49" s="219">
        <v>1.1335725584517957</v>
      </c>
      <c r="AN49" s="219">
        <v>1.0502667607966043</v>
      </c>
      <c r="AO49" s="219">
        <v>0.85013502411319208</v>
      </c>
      <c r="AP49" s="219">
        <v>1.0065372817816596</v>
      </c>
      <c r="AQ49" s="219">
        <v>0.47848159795852352</v>
      </c>
      <c r="AR49" s="223">
        <v>0.21158581033864649</v>
      </c>
      <c r="AS49" s="223">
        <v>0.19000519413587577</v>
      </c>
      <c r="AT49" s="223">
        <v>0.15239615562398495</v>
      </c>
      <c r="AU49" s="223">
        <v>0.15154120077652961</v>
      </c>
      <c r="AV49" s="223">
        <v>0.12933767566401896</v>
      </c>
      <c r="AW49" s="35">
        <f>'Raw emissions'!AM51</f>
        <v>2.2352247498922648</v>
      </c>
    </row>
    <row r="50" spans="2:49" s="35" customFormat="1" x14ac:dyDescent="0.2">
      <c r="B50" s="175" t="s">
        <v>1327</v>
      </c>
      <c r="C50" s="176" t="s">
        <v>501</v>
      </c>
      <c r="D50" s="184">
        <v>6.6883154323976761</v>
      </c>
      <c r="E50" s="184">
        <v>5.7212989074911764</v>
      </c>
      <c r="F50" s="184">
        <v>5.3748904056810796</v>
      </c>
      <c r="G50" s="184">
        <v>4.495335427857384</v>
      </c>
      <c r="H50" s="184">
        <v>4.223808539697373</v>
      </c>
      <c r="I50" s="218">
        <v>0.15349193272735884</v>
      </c>
      <c r="J50" s="218">
        <v>1.078552373612182E-2</v>
      </c>
      <c r="K50" s="218">
        <v>5.3288748294296707E-3</v>
      </c>
      <c r="L50" s="218">
        <v>5.3264263205075671E-3</v>
      </c>
      <c r="M50" s="218">
        <v>5.323482009865872E-3</v>
      </c>
      <c r="N50" s="219">
        <v>0.12563436582374421</v>
      </c>
      <c r="O50" s="219">
        <v>0.1129198272200236</v>
      </c>
      <c r="P50" s="219">
        <v>0.10779262889061114</v>
      </c>
      <c r="Q50" s="219">
        <v>9.7495512259617098E-2</v>
      </c>
      <c r="R50" s="219">
        <v>9.0623674657657333E-2</v>
      </c>
      <c r="S50" s="220">
        <v>7.9725080990854097E-2</v>
      </c>
      <c r="T50" s="220">
        <v>6.7359311966208965E-2</v>
      </c>
      <c r="U50" s="220">
        <v>6.2348333481081819E-2</v>
      </c>
      <c r="V50" s="220">
        <v>5.2339727050700932E-2</v>
      </c>
      <c r="W50" s="220">
        <v>4.5673831003126907E-2</v>
      </c>
      <c r="X50" s="221">
        <v>0.34284190169116252</v>
      </c>
      <c r="Y50" s="221">
        <v>0.32609210025372531</v>
      </c>
      <c r="Z50" s="221">
        <v>0.28271867683614443</v>
      </c>
      <c r="AA50" s="221">
        <v>0.31799286415696254</v>
      </c>
      <c r="AB50" s="221">
        <v>0.20400118606907949</v>
      </c>
      <c r="AC50" s="218">
        <v>2.5722463656821697E-3</v>
      </c>
      <c r="AD50" s="218">
        <v>2.5817767154371909E-3</v>
      </c>
      <c r="AE50" s="218">
        <v>2.5802550417997807E-3</v>
      </c>
      <c r="AF50" s="218">
        <v>2.5920271873743771E-3</v>
      </c>
      <c r="AG50" s="218">
        <v>2.592028178126011E-3</v>
      </c>
      <c r="AH50" s="222">
        <v>0.13565517828960166</v>
      </c>
      <c r="AI50" s="222">
        <v>0.12900271625957477</v>
      </c>
      <c r="AJ50" s="222">
        <v>0.12777633845743003</v>
      </c>
      <c r="AK50" s="222">
        <v>0.12062165434296095</v>
      </c>
      <c r="AL50" s="222">
        <v>0.12062188701058782</v>
      </c>
      <c r="AM50" s="219">
        <v>1.1335725584517957</v>
      </c>
      <c r="AN50" s="219">
        <v>1.0502667607966043</v>
      </c>
      <c r="AO50" s="219">
        <v>0.85013502411319208</v>
      </c>
      <c r="AP50" s="219">
        <v>1.0065372817816596</v>
      </c>
      <c r="AQ50" s="219">
        <v>0.47848159795852352</v>
      </c>
      <c r="AR50" s="223">
        <v>2.3535685243453439E-2</v>
      </c>
      <c r="AS50" s="223">
        <v>2.1135171761498973E-2</v>
      </c>
      <c r="AT50" s="223">
        <v>1.695174144871912E-2</v>
      </c>
      <c r="AU50" s="223">
        <v>1.6856640798279154E-2</v>
      </c>
      <c r="AV50" s="223">
        <v>1.4386838227365844E-2</v>
      </c>
      <c r="AW50" s="35">
        <f>'Raw emissions'!AM52</f>
        <v>3.8332569288620255</v>
      </c>
    </row>
    <row r="51" spans="2:49" s="35" customFormat="1" x14ac:dyDescent="0.2">
      <c r="B51" s="175" t="s">
        <v>1327</v>
      </c>
      <c r="C51" s="176" t="s">
        <v>504</v>
      </c>
      <c r="D51" s="184">
        <v>4.1158864199370315</v>
      </c>
      <c r="E51" s="184">
        <v>3.520799327686877</v>
      </c>
      <c r="F51" s="184">
        <v>3.3076248650345104</v>
      </c>
      <c r="G51" s="184">
        <v>2.7663602632968516</v>
      </c>
      <c r="H51" s="184">
        <v>2.5992667936599219</v>
      </c>
      <c r="I51" s="218">
        <v>0</v>
      </c>
      <c r="J51" s="218">
        <v>0</v>
      </c>
      <c r="K51" s="218">
        <v>0</v>
      </c>
      <c r="L51" s="218">
        <v>0</v>
      </c>
      <c r="M51" s="218">
        <v>0</v>
      </c>
      <c r="N51" s="219">
        <v>5.9206966546885356E-2</v>
      </c>
      <c r="O51" s="219">
        <v>5.9252311154507277E-2</v>
      </c>
      <c r="P51" s="219">
        <v>5.9304902459583808E-2</v>
      </c>
      <c r="Q51" s="219">
        <v>5.9333135772933858E-2</v>
      </c>
      <c r="R51" s="219">
        <v>5.9333105703914028E-2</v>
      </c>
      <c r="S51" s="220">
        <v>1.5280186399882658E-2</v>
      </c>
      <c r="T51" s="220">
        <v>1.5291858653362226E-2</v>
      </c>
      <c r="U51" s="220">
        <v>1.5305372982304704E-2</v>
      </c>
      <c r="V51" s="220">
        <v>1.5312662124143971E-2</v>
      </c>
      <c r="W51" s="220">
        <v>1.5312619056176544E-2</v>
      </c>
      <c r="X51" s="221">
        <v>0.34284190169116252</v>
      </c>
      <c r="Y51" s="221">
        <v>0.32609210025372531</v>
      </c>
      <c r="Z51" s="221">
        <v>0.28271867683614443</v>
      </c>
      <c r="AA51" s="221">
        <v>0.31799286415696254</v>
      </c>
      <c r="AB51" s="221">
        <v>0.20400118606907949</v>
      </c>
      <c r="AC51" s="218">
        <v>2.5722463656821697E-3</v>
      </c>
      <c r="AD51" s="218">
        <v>2.5817767154371909E-3</v>
      </c>
      <c r="AE51" s="218">
        <v>2.5802550417997807E-3</v>
      </c>
      <c r="AF51" s="218">
        <v>2.5920271873743771E-3</v>
      </c>
      <c r="AG51" s="218">
        <v>2.592028178126011E-3</v>
      </c>
      <c r="AH51" s="222">
        <v>1.3565517828960167E-2</v>
      </c>
      <c r="AI51" s="222">
        <v>1.2900271625957478E-2</v>
      </c>
      <c r="AJ51" s="222">
        <v>1.2777633845743003E-2</v>
      </c>
      <c r="AK51" s="222">
        <v>1.2062165434296095E-2</v>
      </c>
      <c r="AL51" s="222">
        <v>1.2062188701058782E-2</v>
      </c>
      <c r="AM51" s="219">
        <v>2.0120912722873356</v>
      </c>
      <c r="AN51" s="219">
        <v>1.8642234828430715</v>
      </c>
      <c r="AO51" s="219">
        <v>1.5089896535782072</v>
      </c>
      <c r="AP51" s="219">
        <v>1.7866036583231364</v>
      </c>
      <c r="AQ51" s="219">
        <v>0.84930482837141041</v>
      </c>
      <c r="AR51" s="223">
        <v>0</v>
      </c>
      <c r="AS51" s="223">
        <v>0</v>
      </c>
      <c r="AT51" s="223">
        <v>0</v>
      </c>
      <c r="AU51" s="223">
        <v>0</v>
      </c>
      <c r="AV51" s="223">
        <v>0</v>
      </c>
      <c r="AW51" s="35">
        <f>'Raw emissions'!AM53</f>
        <v>0</v>
      </c>
    </row>
    <row r="52" spans="2:49" s="35" customFormat="1" ht="13.5" thickBot="1" x14ac:dyDescent="0.25">
      <c r="B52" s="175" t="s">
        <v>1327</v>
      </c>
      <c r="C52" s="210" t="s">
        <v>509</v>
      </c>
      <c r="D52" s="184">
        <v>3.7117441320965523</v>
      </c>
      <c r="E52" s="184">
        <v>3.3031576791456358</v>
      </c>
      <c r="F52" s="184">
        <v>3.1823197900485534</v>
      </c>
      <c r="G52" s="184">
        <v>2.7644424432351808</v>
      </c>
      <c r="H52" s="184">
        <v>2.7630857643105249</v>
      </c>
      <c r="I52" s="230">
        <v>2.0222934055549979E-2</v>
      </c>
      <c r="J52" s="230">
        <v>5.360379660866805E-3</v>
      </c>
      <c r="K52" s="230">
        <v>4.1466810606244388E-3</v>
      </c>
      <c r="L52" s="230">
        <v>4.1429300942719283E-3</v>
      </c>
      <c r="M52" s="230">
        <v>4.1383938714375564E-3</v>
      </c>
      <c r="N52" s="231">
        <v>6.5541659689040715E-2</v>
      </c>
      <c r="O52" s="231">
        <v>6.3665269913258216E-2</v>
      </c>
      <c r="P52" s="231">
        <v>6.2568297507157228E-2</v>
      </c>
      <c r="Q52" s="231">
        <v>6.1074241752731635E-2</v>
      </c>
      <c r="R52" s="231">
        <v>6.0496843494959193E-2</v>
      </c>
      <c r="S52" s="232">
        <v>2.2321519999706434E-2</v>
      </c>
      <c r="T52" s="232">
        <v>2.0601323300148102E-2</v>
      </c>
      <c r="U52" s="232">
        <v>1.9610191835606531E-2</v>
      </c>
      <c r="V52" s="232">
        <v>1.8234500768070004E-2</v>
      </c>
      <c r="W52" s="232">
        <v>1.7702710598401627E-2</v>
      </c>
      <c r="X52" s="233">
        <v>41.551909052657585</v>
      </c>
      <c r="Y52" s="233">
        <v>30.855107524331796</v>
      </c>
      <c r="Z52" s="233">
        <v>28.1836779787183</v>
      </c>
      <c r="AA52" s="233">
        <v>16.89145347915678</v>
      </c>
      <c r="AB52" s="233">
        <v>17.263505690322216</v>
      </c>
      <c r="AC52" s="230">
        <v>3.7681432350510323E-2</v>
      </c>
      <c r="AD52" s="230">
        <v>3.6758581016282758E-2</v>
      </c>
      <c r="AE52" s="230">
        <v>3.1463529672419145E-2</v>
      </c>
      <c r="AF52" s="230">
        <v>3.7123708513741353E-2</v>
      </c>
      <c r="AG52" s="230">
        <v>2.3038886221795486E-2</v>
      </c>
      <c r="AH52" s="234">
        <v>0.14486326605328131</v>
      </c>
      <c r="AI52" s="234">
        <v>9.7457490216896467E-2</v>
      </c>
      <c r="AJ52" s="234">
        <v>8.448082428954902E-2</v>
      </c>
      <c r="AK52" s="234">
        <v>3.5474569205145939E-2</v>
      </c>
      <c r="AL52" s="234">
        <v>3.5442139448194063E-2</v>
      </c>
      <c r="AM52" s="231">
        <v>2.0920594229663934</v>
      </c>
      <c r="AN52" s="231">
        <v>1.6302013168043379</v>
      </c>
      <c r="AO52" s="231">
        <v>1.5094374499037759</v>
      </c>
      <c r="AP52" s="231">
        <v>1.0606496426506653</v>
      </c>
      <c r="AQ52" s="231">
        <v>0.95716998559769551</v>
      </c>
      <c r="AR52" s="235">
        <v>6.1375661342354224E-4</v>
      </c>
      <c r="AS52" s="235">
        <v>5.2366708322214479E-4</v>
      </c>
      <c r="AT52" s="235">
        <v>4.1866216353643904E-4</v>
      </c>
      <c r="AU52" s="235">
        <v>3.8931299965858866E-4</v>
      </c>
      <c r="AV52" s="235">
        <v>3.0199971760187506E-4</v>
      </c>
      <c r="AW52" s="35">
        <f>'Raw emissions'!AM54</f>
        <v>9.049247275800136E-2</v>
      </c>
    </row>
    <row r="53" spans="2:49" s="35" customFormat="1" x14ac:dyDescent="0.2">
      <c r="B53" s="166" t="s">
        <v>1557</v>
      </c>
      <c r="C53" s="176" t="s">
        <v>922</v>
      </c>
      <c r="D53" s="168">
        <v>2.5951790500876126</v>
      </c>
      <c r="E53" s="168">
        <v>2.5951790500876126</v>
      </c>
      <c r="F53" s="168">
        <v>2.5951790500876126</v>
      </c>
      <c r="G53" s="168">
        <v>2.5951790500876126</v>
      </c>
      <c r="H53" s="168">
        <v>2.5951790500876126</v>
      </c>
      <c r="I53" s="236">
        <v>5.7394428350413772E-3</v>
      </c>
      <c r="J53" s="169">
        <v>5.7394428350413772E-3</v>
      </c>
      <c r="K53" s="169">
        <v>2.8376420710314234E-3</v>
      </c>
      <c r="L53" s="169">
        <v>2.8378272872832642E-3</v>
      </c>
      <c r="M53" s="169">
        <v>2.8366012916310589E-3</v>
      </c>
      <c r="N53" s="237">
        <v>2.863855461966729E-2</v>
      </c>
      <c r="O53" s="186">
        <v>2.863855461966729E-2</v>
      </c>
      <c r="P53" s="186">
        <v>2.863855461966729E-2</v>
      </c>
      <c r="Q53" s="186">
        <v>2.863855461966729E-2</v>
      </c>
      <c r="R53" s="186">
        <v>2.863855461966729E-2</v>
      </c>
      <c r="S53" s="171">
        <v>1.4660572795085047E-2</v>
      </c>
      <c r="T53" s="171">
        <v>1.4660572795085047E-2</v>
      </c>
      <c r="U53" s="171">
        <v>1.4660572795085047E-2</v>
      </c>
      <c r="V53" s="171">
        <v>1.4660572795085047E-2</v>
      </c>
      <c r="W53" s="171">
        <v>1.4660572795085047E-2</v>
      </c>
      <c r="X53" s="172">
        <v>0.28318016712259264</v>
      </c>
      <c r="Y53" s="172">
        <v>0.28318016712259264</v>
      </c>
      <c r="Z53" s="172">
        <v>0.28318016712259264</v>
      </c>
      <c r="AA53" s="172">
        <v>0.28318016712259264</v>
      </c>
      <c r="AB53" s="172">
        <v>0.28318016712259264</v>
      </c>
      <c r="AC53" s="169">
        <v>6.3385638627384269E-4</v>
      </c>
      <c r="AD53" s="169">
        <v>6.3385638627384269E-4</v>
      </c>
      <c r="AE53" s="169">
        <v>6.3385638627384269E-4</v>
      </c>
      <c r="AF53" s="169">
        <v>6.3385638627384269E-4</v>
      </c>
      <c r="AG53" s="169">
        <v>6.3385638627384269E-4</v>
      </c>
      <c r="AH53" s="173">
        <v>2.9704280721903523E-4</v>
      </c>
      <c r="AI53" s="173">
        <v>2.9704280721903523E-4</v>
      </c>
      <c r="AJ53" s="173">
        <v>2.9704280721903523E-4</v>
      </c>
      <c r="AK53" s="173">
        <v>2.9704280721903523E-4</v>
      </c>
      <c r="AL53" s="173">
        <v>2.9704280721903523E-4</v>
      </c>
      <c r="AM53" s="170">
        <v>0.14742891979964168</v>
      </c>
      <c r="AN53" s="170">
        <v>0.14742891979964168</v>
      </c>
      <c r="AO53" s="170">
        <v>0.14742891979964168</v>
      </c>
      <c r="AP53" s="170">
        <v>0.14742891979964168</v>
      </c>
      <c r="AQ53" s="170">
        <v>0.14742891979964168</v>
      </c>
      <c r="AR53" s="174">
        <v>7.372853501296145E-4</v>
      </c>
      <c r="AS53" s="174">
        <v>7.372853501296145E-4</v>
      </c>
      <c r="AT53" s="174">
        <v>7.372853501296145E-4</v>
      </c>
      <c r="AU53" s="174">
        <v>7.372853501296145E-4</v>
      </c>
      <c r="AV53" s="174">
        <v>6.4056252937624999E-4</v>
      </c>
    </row>
    <row r="54" spans="2:49" s="35" customFormat="1" x14ac:dyDescent="0.2">
      <c r="B54" s="175" t="s">
        <v>1557</v>
      </c>
      <c r="C54" s="176" t="s">
        <v>1321</v>
      </c>
      <c r="D54" s="184">
        <v>1.1548740946107265</v>
      </c>
      <c r="E54" s="184">
        <v>0.83989437468893602</v>
      </c>
      <c r="F54" s="184">
        <v>0.61910466998015712</v>
      </c>
      <c r="G54" s="184">
        <v>0.45874282733455418</v>
      </c>
      <c r="H54" s="184">
        <v>0.11978703380439898</v>
      </c>
      <c r="I54" s="238">
        <v>2.5739343862244708E-2</v>
      </c>
      <c r="J54" s="185">
        <v>6.8220651407321919E-3</v>
      </c>
      <c r="K54" s="185">
        <v>5.283805552923339E-3</v>
      </c>
      <c r="L54" s="185">
        <v>5.2842183255124723E-3</v>
      </c>
      <c r="M54" s="185">
        <v>5.2814155064468569E-3</v>
      </c>
      <c r="N54" s="237">
        <v>3.1916974377521133E-2</v>
      </c>
      <c r="O54" s="186">
        <v>2.881482580815967E-2</v>
      </c>
      <c r="P54" s="186">
        <v>2.607754634326304E-2</v>
      </c>
      <c r="Q54" s="186">
        <v>2.4217284633868439E-2</v>
      </c>
      <c r="R54" s="186">
        <v>2.2666714734589168E-2</v>
      </c>
      <c r="S54" s="187">
        <v>1.722825080436622E-2</v>
      </c>
      <c r="T54" s="187">
        <v>1.4374195789161746E-2</v>
      </c>
      <c r="U54" s="187">
        <v>1.1859781360888069E-2</v>
      </c>
      <c r="V54" s="187">
        <v>1.014681810319871E-2</v>
      </c>
      <c r="W54" s="187">
        <v>8.7190682918684252E-3</v>
      </c>
      <c r="X54" s="188">
        <v>8.1520886620649833</v>
      </c>
      <c r="Y54" s="188">
        <v>6.2467888140437182</v>
      </c>
      <c r="Z54" s="188">
        <v>5.2578678987298364</v>
      </c>
      <c r="AA54" s="188">
        <v>3.8125968916923867</v>
      </c>
      <c r="AB54" s="188">
        <v>2.7982741085930267</v>
      </c>
      <c r="AC54" s="185">
        <v>2.0867645131645046E-2</v>
      </c>
      <c r="AD54" s="185">
        <v>1.6479063822764217E-2</v>
      </c>
      <c r="AE54" s="185">
        <v>1.2186095593667155E-2</v>
      </c>
      <c r="AF54" s="185">
        <v>1.0595968390071292E-2</v>
      </c>
      <c r="AG54" s="185">
        <v>5.6126307320997588E-3</v>
      </c>
      <c r="AH54" s="189">
        <v>1.9962495527136775E-2</v>
      </c>
      <c r="AI54" s="189">
        <v>1.605762859528093E-2</v>
      </c>
      <c r="AJ54" s="189">
        <v>1.1794266613488912E-2</v>
      </c>
      <c r="AK54" s="189">
        <v>9.6525397118524883E-3</v>
      </c>
      <c r="AL54" s="189">
        <v>8.2938417401599903E-3</v>
      </c>
      <c r="AM54" s="186">
        <v>0.79562187056066902</v>
      </c>
      <c r="AN54" s="186">
        <v>0.5243409751020397</v>
      </c>
      <c r="AO54" s="186">
        <v>0.44556507860834932</v>
      </c>
      <c r="AP54" s="186">
        <v>0.19000819510317088</v>
      </c>
      <c r="AQ54" s="186">
        <v>0.11470801924740813</v>
      </c>
      <c r="AR54" s="190">
        <v>1.7944489653912204E-3</v>
      </c>
      <c r="AS54" s="190">
        <v>1.4343891661603395E-3</v>
      </c>
      <c r="AT54" s="190">
        <v>1.2181272163285083E-3</v>
      </c>
      <c r="AU54" s="190">
        <v>9.3838405746236506E-4</v>
      </c>
      <c r="AV54" s="190">
        <v>8.1349899057362742E-4</v>
      </c>
    </row>
    <row r="55" spans="2:49" s="35" customFormat="1" x14ac:dyDescent="0.2">
      <c r="B55" s="175" t="s">
        <v>1557</v>
      </c>
      <c r="C55" s="176" t="s">
        <v>1318</v>
      </c>
      <c r="D55" s="177">
        <v>2.5951790500876126</v>
      </c>
      <c r="E55" s="177">
        <v>2.5951790500876126</v>
      </c>
      <c r="F55" s="177">
        <v>2.5951790500876126</v>
      </c>
      <c r="G55" s="177">
        <v>2.5951790500876126</v>
      </c>
      <c r="H55" s="177">
        <v>2.5951790500876126</v>
      </c>
      <c r="I55" s="239">
        <v>5.5679222801179465E-3</v>
      </c>
      <c r="J55" s="218">
        <v>5.5679222801179465E-3</v>
      </c>
      <c r="K55" s="218">
        <v>2.7660999997702034E-3</v>
      </c>
      <c r="L55" s="218">
        <v>2.7796056972196137E-3</v>
      </c>
      <c r="M55" s="218">
        <v>2.7913894706534602E-3</v>
      </c>
      <c r="N55" s="237">
        <v>2.7460263346693069E-2</v>
      </c>
      <c r="O55" s="186">
        <v>2.7460263346693069E-2</v>
      </c>
      <c r="P55" s="186">
        <v>2.7460263346693069E-2</v>
      </c>
      <c r="Q55" s="186">
        <v>2.7460263346693069E-2</v>
      </c>
      <c r="R55" s="186">
        <v>2.7460263346693069E-2</v>
      </c>
      <c r="S55" s="220">
        <v>1.3616786214795045E-2</v>
      </c>
      <c r="T55" s="220">
        <v>1.3616786214795045E-2</v>
      </c>
      <c r="U55" s="220">
        <v>1.3616786214795045E-2</v>
      </c>
      <c r="V55" s="220">
        <v>1.3616786214795045E-2</v>
      </c>
      <c r="W55" s="220">
        <v>1.3616786214795045E-2</v>
      </c>
      <c r="X55" s="221">
        <v>0.25203034873910746</v>
      </c>
      <c r="Y55" s="221">
        <v>0.25203034873910746</v>
      </c>
      <c r="Z55" s="221">
        <v>0.25203034873910746</v>
      </c>
      <c r="AA55" s="221">
        <v>0.25203034873910746</v>
      </c>
      <c r="AB55" s="221">
        <v>0.25203034873910746</v>
      </c>
      <c r="AC55" s="218">
        <v>6.3385638627384269E-4</v>
      </c>
      <c r="AD55" s="218">
        <v>6.3385638627384269E-4</v>
      </c>
      <c r="AE55" s="218">
        <v>6.3385638627384269E-4</v>
      </c>
      <c r="AF55" s="218">
        <v>6.3385638627384269E-4</v>
      </c>
      <c r="AG55" s="218">
        <v>6.3385638627384269E-4</v>
      </c>
      <c r="AH55" s="222">
        <v>2.9704280721903523E-4</v>
      </c>
      <c r="AI55" s="222">
        <v>2.9704280721903523E-4</v>
      </c>
      <c r="AJ55" s="222">
        <v>2.9704280721903523E-4</v>
      </c>
      <c r="AK55" s="222">
        <v>2.9704280721903523E-4</v>
      </c>
      <c r="AL55" s="222">
        <v>2.9704280721903523E-4</v>
      </c>
      <c r="AM55" s="219">
        <v>0.14742891979964168</v>
      </c>
      <c r="AN55" s="219">
        <v>0.14742891979964168</v>
      </c>
      <c r="AO55" s="219">
        <v>0.14742891979964168</v>
      </c>
      <c r="AP55" s="219">
        <v>0.14742891979964168</v>
      </c>
      <c r="AQ55" s="219">
        <v>0.14742891979964168</v>
      </c>
      <c r="AR55" s="223">
        <v>6.6281952976652333E-4</v>
      </c>
      <c r="AS55" s="223">
        <v>6.6281952976652333E-4</v>
      </c>
      <c r="AT55" s="223">
        <v>6.6281952976652333E-4</v>
      </c>
      <c r="AU55" s="223">
        <v>6.6281952976652333E-4</v>
      </c>
      <c r="AV55" s="223">
        <v>5.7586571390924872E-4</v>
      </c>
    </row>
    <row r="56" spans="2:49" s="35" customFormat="1" x14ac:dyDescent="0.2">
      <c r="B56" s="175" t="s">
        <v>1557</v>
      </c>
      <c r="C56" s="176" t="s">
        <v>501</v>
      </c>
      <c r="D56" s="177">
        <v>1.1548740946107265</v>
      </c>
      <c r="E56" s="177">
        <v>0.83989437468893602</v>
      </c>
      <c r="F56" s="177">
        <v>0.61910466998015712</v>
      </c>
      <c r="G56" s="177">
        <v>0.45874282733455418</v>
      </c>
      <c r="H56" s="177">
        <v>0.11978703380439898</v>
      </c>
      <c r="I56" s="238">
        <v>5.7729291082124264E-3</v>
      </c>
      <c r="J56" s="185">
        <v>1.5234200389070596E-3</v>
      </c>
      <c r="K56" s="185">
        <v>1.1869465229772745E-3</v>
      </c>
      <c r="L56" s="185">
        <v>1.19411948263537E-3</v>
      </c>
      <c r="M56" s="185">
        <v>1.2003936902776284E-3</v>
      </c>
      <c r="N56" s="237">
        <v>2.1179331421207211E-2</v>
      </c>
      <c r="O56" s="186">
        <v>2.0626852029154829E-2</v>
      </c>
      <c r="P56" s="186">
        <v>2.0193305145169236E-2</v>
      </c>
      <c r="Q56" s="186">
        <v>1.9753186443797591E-2</v>
      </c>
      <c r="R56" s="186">
        <v>1.9753154264269109E-2</v>
      </c>
      <c r="S56" s="220">
        <v>7.3408556194551559E-3</v>
      </c>
      <c r="T56" s="220">
        <v>6.8345650650108013E-3</v>
      </c>
      <c r="U56" s="220">
        <v>6.4414492652630382E-3</v>
      </c>
      <c r="V56" s="220">
        <v>6.0361736427096916E-3</v>
      </c>
      <c r="W56" s="220">
        <v>6.0361713283702554E-3</v>
      </c>
      <c r="X56" s="221">
        <v>5.9583067332188611</v>
      </c>
      <c r="Y56" s="221">
        <v>4.720537666184307</v>
      </c>
      <c r="Z56" s="221">
        <v>4.1923869392193653</v>
      </c>
      <c r="AA56" s="221">
        <v>3.0885589404736242</v>
      </c>
      <c r="AB56" s="221">
        <v>2.7982741085930267</v>
      </c>
      <c r="AC56" s="218">
        <v>2.0867645131645046E-2</v>
      </c>
      <c r="AD56" s="218">
        <v>1.6479063822764217E-2</v>
      </c>
      <c r="AE56" s="218">
        <v>1.2186095593667155E-2</v>
      </c>
      <c r="AF56" s="218">
        <v>1.0595968390071292E-2</v>
      </c>
      <c r="AG56" s="218">
        <v>5.6126307320997588E-3</v>
      </c>
      <c r="AH56" s="222">
        <v>8.9859867547491895E-2</v>
      </c>
      <c r="AI56" s="222">
        <v>6.6544062378425251E-2</v>
      </c>
      <c r="AJ56" s="222">
        <v>3.8742450774371412E-2</v>
      </c>
      <c r="AK56" s="222">
        <v>3.1675015078942458E-2</v>
      </c>
      <c r="AL56" s="222">
        <v>8.2938417401599903E-3</v>
      </c>
      <c r="AM56" s="219">
        <v>0.71950092408202426</v>
      </c>
      <c r="AN56" s="219">
        <v>0.47665906696065696</v>
      </c>
      <c r="AO56" s="219">
        <v>0.40800296216503934</v>
      </c>
      <c r="AP56" s="219">
        <v>0.17674277655522419</v>
      </c>
      <c r="AQ56" s="219">
        <v>0.11470801924740813</v>
      </c>
      <c r="AR56" s="223">
        <v>4.851396904090498E-4</v>
      </c>
      <c r="AS56" s="223">
        <v>4.4758004150423467E-4</v>
      </c>
      <c r="AT56" s="223">
        <v>3.760883233888314E-4</v>
      </c>
      <c r="AU56" s="223">
        <v>4.0334057167527881E-4</v>
      </c>
      <c r="AV56" s="223">
        <v>2.7919144059257428E-4</v>
      </c>
    </row>
    <row r="57" spans="2:49" s="35" customFormat="1" x14ac:dyDescent="0.2">
      <c r="B57" s="175" t="s">
        <v>1557</v>
      </c>
      <c r="C57" s="176" t="s">
        <v>509</v>
      </c>
      <c r="D57" s="177">
        <v>0.95346525740623334</v>
      </c>
      <c r="E57" s="177">
        <v>0.69764607748005569</v>
      </c>
      <c r="F57" s="177">
        <v>0.52081318675250443</v>
      </c>
      <c r="G57" s="177">
        <v>0.38694995145673033</v>
      </c>
      <c r="H57" s="177">
        <v>0.11978703380439898</v>
      </c>
      <c r="I57" s="238">
        <v>7.5176365720277371E-3</v>
      </c>
      <c r="J57" s="185">
        <v>1.9838314284434154E-3</v>
      </c>
      <c r="K57" s="185">
        <v>1.5456681388104064E-3</v>
      </c>
      <c r="L57" s="185">
        <v>1.5550089262762819E-3</v>
      </c>
      <c r="M57" s="185">
        <v>1.5631793388948671E-3</v>
      </c>
      <c r="N57" s="237">
        <v>2.7724955081053524E-2</v>
      </c>
      <c r="O57" s="186">
        <v>2.5847931706321107E-2</v>
      </c>
      <c r="P57" s="186">
        <v>2.4331782370589042E-2</v>
      </c>
      <c r="Q57" s="186">
        <v>2.2939174503031338E-2</v>
      </c>
      <c r="R57" s="186">
        <v>2.2666714734589168E-2</v>
      </c>
      <c r="S57" s="220">
        <v>1.3368177213625033E-2</v>
      </c>
      <c r="T57" s="220">
        <v>1.1642234232470664E-2</v>
      </c>
      <c r="U57" s="220">
        <v>1.0252253152861285E-2</v>
      </c>
      <c r="V57" s="220">
        <v>8.9699098122342381E-3</v>
      </c>
      <c r="W57" s="220">
        <v>8.7190682918684252E-3</v>
      </c>
      <c r="X57" s="221">
        <v>6.6895673761675685</v>
      </c>
      <c r="Y57" s="221">
        <v>5.2292880488041122</v>
      </c>
      <c r="Z57" s="221">
        <v>4.5475472590561896</v>
      </c>
      <c r="AA57" s="221">
        <v>3.3299049242132117</v>
      </c>
      <c r="AB57" s="221">
        <v>2.7982741085930267</v>
      </c>
      <c r="AC57" s="218">
        <v>2.0867645131645046E-2</v>
      </c>
      <c r="AD57" s="218">
        <v>1.6479063822764217E-2</v>
      </c>
      <c r="AE57" s="218">
        <v>1.2186095593667155E-2</v>
      </c>
      <c r="AF57" s="218">
        <v>1.0595968390071292E-2</v>
      </c>
      <c r="AG57" s="218">
        <v>5.6126307320997588E-3</v>
      </c>
      <c r="AH57" s="222">
        <v>3.6038891091818459E-2</v>
      </c>
      <c r="AI57" s="222">
        <v>2.7669508365404123E-2</v>
      </c>
      <c r="AJ57" s="222">
        <v>1.7992348970491887E-2</v>
      </c>
      <c r="AK57" s="222">
        <v>1.4717709046283179E-2</v>
      </c>
      <c r="AL57" s="222">
        <v>8.2938417401599903E-3</v>
      </c>
      <c r="AM57" s="219">
        <v>0.75908381625091947</v>
      </c>
      <c r="AN57" s="219">
        <v>0.50145365919417595</v>
      </c>
      <c r="AO57" s="219">
        <v>0.42753526271556053</v>
      </c>
      <c r="AP57" s="219">
        <v>0.18364079420015647</v>
      </c>
      <c r="AQ57" s="219">
        <v>0.11470801924740813</v>
      </c>
      <c r="AR57" s="223">
        <v>1.3721515498577341E-3</v>
      </c>
      <c r="AS57" s="223">
        <v>1.1903952440092574E-3</v>
      </c>
      <c r="AT57" s="223">
        <v>1.0431550222429332E-3</v>
      </c>
      <c r="AU57" s="223">
        <v>9.3838405746236506E-4</v>
      </c>
      <c r="AV57" s="223">
        <v>8.1349899057362742E-4</v>
      </c>
    </row>
    <row r="58" spans="2:49" s="35" customFormat="1" ht="13.5" thickBot="1" x14ac:dyDescent="0.25">
      <c r="B58" s="209" t="s">
        <v>1557</v>
      </c>
      <c r="C58" s="210" t="s">
        <v>1558</v>
      </c>
      <c r="D58" s="211">
        <v>0</v>
      </c>
      <c r="E58" s="211">
        <v>0</v>
      </c>
      <c r="F58" s="211">
        <v>0</v>
      </c>
      <c r="G58" s="211">
        <v>0</v>
      </c>
      <c r="H58" s="211">
        <v>0</v>
      </c>
      <c r="I58" s="240">
        <v>0</v>
      </c>
      <c r="J58" s="212">
        <v>0</v>
      </c>
      <c r="K58" s="212">
        <v>0</v>
      </c>
      <c r="L58" s="212">
        <v>0</v>
      </c>
      <c r="M58" s="212">
        <v>0</v>
      </c>
      <c r="N58" s="241">
        <v>1.8262340024166115E-2</v>
      </c>
      <c r="O58" s="213">
        <v>1.8258675771026672E-2</v>
      </c>
      <c r="P58" s="213">
        <v>1.8249519931087619E-2</v>
      </c>
      <c r="Q58" s="213">
        <v>1.8249527466342185E-2</v>
      </c>
      <c r="R58" s="213">
        <v>1.8249495286813702E-2</v>
      </c>
      <c r="S58" s="214">
        <v>4.6548446986787633E-3</v>
      </c>
      <c r="T58" s="214">
        <v>4.6539096881678182E-3</v>
      </c>
      <c r="U58" s="214">
        <v>4.6515773703229863E-3</v>
      </c>
      <c r="V58" s="214">
        <v>4.6515756533397241E-3</v>
      </c>
      <c r="W58" s="214">
        <v>4.6515733390002888E-3</v>
      </c>
      <c r="X58" s="215">
        <v>0</v>
      </c>
      <c r="Y58" s="215">
        <v>0</v>
      </c>
      <c r="Z58" s="215">
        <v>0</v>
      </c>
      <c r="AA58" s="215">
        <v>0</v>
      </c>
      <c r="AB58" s="215">
        <v>0</v>
      </c>
      <c r="AC58" s="212">
        <v>0</v>
      </c>
      <c r="AD58" s="212">
        <v>0</v>
      </c>
      <c r="AE58" s="212">
        <v>0</v>
      </c>
      <c r="AF58" s="212">
        <v>0</v>
      </c>
      <c r="AG58" s="212">
        <v>0</v>
      </c>
      <c r="AH58" s="216">
        <v>0</v>
      </c>
      <c r="AI58" s="216">
        <v>0</v>
      </c>
      <c r="AJ58" s="216">
        <v>0</v>
      </c>
      <c r="AK58" s="216">
        <v>0</v>
      </c>
      <c r="AL58" s="216">
        <v>0</v>
      </c>
      <c r="AM58" s="213">
        <v>0</v>
      </c>
      <c r="AN58" s="213">
        <v>0</v>
      </c>
      <c r="AO58" s="213">
        <v>0</v>
      </c>
      <c r="AP58" s="213">
        <v>0</v>
      </c>
      <c r="AQ58" s="213">
        <v>0</v>
      </c>
      <c r="AR58" s="217">
        <v>1.5816934432810257E-3</v>
      </c>
      <c r="AS58" s="217">
        <v>1.5816728971366724E-3</v>
      </c>
      <c r="AT58" s="217">
        <v>1.5816488934857196E-3</v>
      </c>
      <c r="AU58" s="217">
        <v>1.5816802716565057E-3</v>
      </c>
      <c r="AV58" s="217">
        <v>1.5815349352600982E-3</v>
      </c>
    </row>
    <row r="59" spans="2:49" s="35" customFormat="1" x14ac:dyDescent="0.2">
      <c r="B59" s="175" t="s">
        <v>1559</v>
      </c>
      <c r="C59" s="176" t="s">
        <v>922</v>
      </c>
      <c r="D59" s="184">
        <v>5.1058386032385146</v>
      </c>
      <c r="E59" s="184">
        <v>4.9398566733356564</v>
      </c>
      <c r="F59" s="184">
        <v>4.9649697385077012</v>
      </c>
      <c r="G59" s="184">
        <v>4.6477688655817362</v>
      </c>
      <c r="H59" s="184">
        <v>5.0196811941398689</v>
      </c>
      <c r="I59" s="236">
        <v>0.15426589793538192</v>
      </c>
      <c r="J59" s="169">
        <v>1.0599036165253328E-2</v>
      </c>
      <c r="K59" s="169">
        <v>5.2203805096625016E-3</v>
      </c>
      <c r="L59" s="169">
        <v>5.2152052718200921E-3</v>
      </c>
      <c r="M59" s="169">
        <v>5.2117049114331722E-3</v>
      </c>
      <c r="N59" s="242">
        <v>0.45405630426161459</v>
      </c>
      <c r="O59" s="170">
        <v>0.37125021432809929</v>
      </c>
      <c r="P59" s="170">
        <v>0.31828129605738609</v>
      </c>
      <c r="Q59" s="170">
        <v>0.26708098885274673</v>
      </c>
      <c r="R59" s="170">
        <v>0.20001014466046255</v>
      </c>
      <c r="S59" s="187">
        <v>0.42139636366773126</v>
      </c>
      <c r="T59" s="187">
        <v>0.34108118859356634</v>
      </c>
      <c r="U59" s="187">
        <v>0.28970771718089205</v>
      </c>
      <c r="V59" s="187">
        <v>0.24003636694312255</v>
      </c>
      <c r="W59" s="187">
        <v>0.17501689855339539</v>
      </c>
      <c r="X59" s="188">
        <v>3.0904011733770922</v>
      </c>
      <c r="Y59" s="188">
        <v>2.7737359287653938</v>
      </c>
      <c r="Z59" s="188">
        <v>2.3025702241282726</v>
      </c>
      <c r="AA59" s="188">
        <v>2.5139468415833033</v>
      </c>
      <c r="AB59" s="188">
        <v>1.3263982309038975</v>
      </c>
      <c r="AC59" s="185">
        <v>2.705248090681716E-3</v>
      </c>
      <c r="AD59" s="185">
        <v>2.6686012297962563E-3</v>
      </c>
      <c r="AE59" s="185">
        <v>2.6745020088367122E-3</v>
      </c>
      <c r="AF59" s="185">
        <v>2.6182469446781576E-3</v>
      </c>
      <c r="AG59" s="185">
        <v>2.6543904911084494E-3</v>
      </c>
      <c r="AH59" s="189">
        <v>1.7702007580737231E-3</v>
      </c>
      <c r="AI59" s="189">
        <v>1.7657861002267933E-3</v>
      </c>
      <c r="AJ59" s="189">
        <v>1.7771808612910387E-3</v>
      </c>
      <c r="AK59" s="189">
        <v>1.7494101791890842E-3</v>
      </c>
      <c r="AL59" s="189">
        <v>1.8066156822998248E-3</v>
      </c>
      <c r="AM59" s="186">
        <v>0.73656999463182671</v>
      </c>
      <c r="AN59" s="186">
        <v>0.65787112548970628</v>
      </c>
      <c r="AO59" s="186">
        <v>0.54277655698288096</v>
      </c>
      <c r="AP59" s="186">
        <v>0.58773994198114898</v>
      </c>
      <c r="AQ59" s="186">
        <v>0.31449302497005438</v>
      </c>
      <c r="AR59" s="190">
        <v>0.19796629282542466</v>
      </c>
      <c r="AS59" s="190">
        <v>0.1749277796736789</v>
      </c>
      <c r="AT59" s="190">
        <v>0.13904289763523933</v>
      </c>
      <c r="AU59" s="190">
        <v>0.13695160952267249</v>
      </c>
      <c r="AV59" s="190">
        <v>0.11060351976412051</v>
      </c>
    </row>
    <row r="60" spans="2:49" s="35" customFormat="1" x14ac:dyDescent="0.2">
      <c r="B60" s="175" t="s">
        <v>1559</v>
      </c>
      <c r="C60" s="176" t="s">
        <v>1321</v>
      </c>
      <c r="D60" s="184">
        <v>2.4079425936346954</v>
      </c>
      <c r="E60" s="184">
        <v>1.6762360122614928</v>
      </c>
      <c r="F60" s="184">
        <v>1.4059021203081858</v>
      </c>
      <c r="G60" s="184">
        <v>0.8385561308109043</v>
      </c>
      <c r="H60" s="184">
        <v>0.32201530349091922</v>
      </c>
      <c r="I60" s="238">
        <v>3.4166829318858165E-2</v>
      </c>
      <c r="J60" s="185">
        <v>8.8008482908735839E-3</v>
      </c>
      <c r="K60" s="185">
        <v>6.7980746834220528E-3</v>
      </c>
      <c r="L60" s="185">
        <v>6.7906954505984997E-3</v>
      </c>
      <c r="M60" s="185">
        <v>6.7856823279564757E-3</v>
      </c>
      <c r="N60" s="237">
        <v>4.8583345486705828E-2</v>
      </c>
      <c r="O60" s="186">
        <v>4.3657175064486554E-2</v>
      </c>
      <c r="P60" s="186">
        <v>3.9221874026914058E-2</v>
      </c>
      <c r="Q60" s="186">
        <v>3.6690757040011006E-2</v>
      </c>
      <c r="R60" s="186">
        <v>3.2969702486058773E-2</v>
      </c>
      <c r="S60" s="187">
        <v>2.7332024308261947E-2</v>
      </c>
      <c r="T60" s="187">
        <v>2.279933464188539E-2</v>
      </c>
      <c r="U60" s="187">
        <v>1.8724530413549156E-2</v>
      </c>
      <c r="V60" s="187">
        <v>1.639311384571418E-2</v>
      </c>
      <c r="W60" s="187">
        <v>1.296790635865509E-2</v>
      </c>
      <c r="X60" s="188">
        <v>17.661111869219411</v>
      </c>
      <c r="Y60" s="188">
        <v>12.397280169540421</v>
      </c>
      <c r="Z60" s="188">
        <v>10.882259084971903</v>
      </c>
      <c r="AA60" s="188">
        <v>5.9809117696071246</v>
      </c>
      <c r="AB60" s="188">
        <v>4.3099533370954921</v>
      </c>
      <c r="AC60" s="185">
        <v>5.6784019856122962E-2</v>
      </c>
      <c r="AD60" s="185">
        <v>4.5358761297991164E-2</v>
      </c>
      <c r="AE60" s="185">
        <v>3.3963664101157184E-2</v>
      </c>
      <c r="AF60" s="185">
        <v>3.2130052072350701E-2</v>
      </c>
      <c r="AG60" s="185">
        <v>1.1888822140911049E-2</v>
      </c>
      <c r="AH60" s="189">
        <v>3.8154703457624478E-2</v>
      </c>
      <c r="AI60" s="189">
        <v>3.1123793055446661E-2</v>
      </c>
      <c r="AJ60" s="189">
        <v>2.6086438671590263E-2</v>
      </c>
      <c r="AK60" s="189">
        <v>2.1650387766731435E-2</v>
      </c>
      <c r="AL60" s="189">
        <v>1.7074618171226769E-2</v>
      </c>
      <c r="AM60" s="186">
        <v>1.7077933039747863</v>
      </c>
      <c r="AN60" s="186">
        <v>1.0935301771983978</v>
      </c>
      <c r="AO60" s="186">
        <v>1.0491460087846807</v>
      </c>
      <c r="AP60" s="186">
        <v>0.43601881112130153</v>
      </c>
      <c r="AQ60" s="186">
        <v>0.17399523055358346</v>
      </c>
      <c r="AR60" s="190">
        <v>1.7859473314658812E-3</v>
      </c>
      <c r="AS60" s="190">
        <v>1.4379972390748195E-3</v>
      </c>
      <c r="AT60" s="190">
        <v>1.1629502735124603E-3</v>
      </c>
      <c r="AU60" s="190">
        <v>9.5626480545922034E-4</v>
      </c>
      <c r="AV60" s="190">
        <v>7.2689276027160363E-4</v>
      </c>
    </row>
    <row r="61" spans="2:49" s="35" customFormat="1" x14ac:dyDescent="0.2">
      <c r="B61" s="175" t="s">
        <v>1559</v>
      </c>
      <c r="C61" s="176" t="s">
        <v>1318</v>
      </c>
      <c r="D61" s="177">
        <v>4.8826912061036349</v>
      </c>
      <c r="E61" s="177">
        <v>4.631700743958918</v>
      </c>
      <c r="F61" s="177">
        <v>4.5114181183148565</v>
      </c>
      <c r="G61" s="177">
        <v>4.2758565370236035</v>
      </c>
      <c r="H61" s="177">
        <v>4.2758565370236035</v>
      </c>
      <c r="I61" s="239">
        <v>0.11640115686373774</v>
      </c>
      <c r="J61" s="218">
        <v>8.9231239327146935E-3</v>
      </c>
      <c r="K61" s="218">
        <v>4.4361225007296884E-3</v>
      </c>
      <c r="L61" s="218">
        <v>4.4639781242248322E-3</v>
      </c>
      <c r="M61" s="218">
        <v>4.4929861162045018E-3</v>
      </c>
      <c r="N61" s="243">
        <v>0.41614970540104118</v>
      </c>
      <c r="O61" s="219">
        <v>0.34370682818689519</v>
      </c>
      <c r="P61" s="219">
        <v>0.29950886427444856</v>
      </c>
      <c r="Q61" s="219">
        <v>0.25155944569109284</v>
      </c>
      <c r="R61" s="219">
        <v>0.20001014466046255</v>
      </c>
      <c r="S61" s="220">
        <v>0.38462256570469516</v>
      </c>
      <c r="T61" s="220">
        <v>0.3143604295099735</v>
      </c>
      <c r="U61" s="220">
        <v>0.27149597481766224</v>
      </c>
      <c r="V61" s="220">
        <v>0.22497731541140001</v>
      </c>
      <c r="W61" s="220">
        <v>0.17501689855339539</v>
      </c>
      <c r="X61" s="221">
        <v>2.7942281859254412</v>
      </c>
      <c r="Y61" s="221">
        <v>2.5290708388381069</v>
      </c>
      <c r="Z61" s="221">
        <v>2.1382532344738143</v>
      </c>
      <c r="AA61" s="221">
        <v>2.3103645917088542</v>
      </c>
      <c r="AB61" s="221">
        <v>1.3263982309038975</v>
      </c>
      <c r="AC61" s="218">
        <v>2.6835619628235411E-3</v>
      </c>
      <c r="AD61" s="218">
        <v>2.6386537198968712E-3</v>
      </c>
      <c r="AE61" s="218">
        <v>2.6304245131900154E-3</v>
      </c>
      <c r="AF61" s="218">
        <v>2.5821033982478658E-3</v>
      </c>
      <c r="AG61" s="218">
        <v>2.5821033982478658E-3</v>
      </c>
      <c r="AH61" s="222">
        <v>1.7358774562072788E-3</v>
      </c>
      <c r="AI61" s="222">
        <v>1.7183872547921796E-3</v>
      </c>
      <c r="AJ61" s="222">
        <v>1.7074180526194041E-3</v>
      </c>
      <c r="AK61" s="222">
        <v>1.6922046760783438E-3</v>
      </c>
      <c r="AL61" s="222">
        <v>1.6922046760783438E-3</v>
      </c>
      <c r="AM61" s="219">
        <v>0.73656999463182671</v>
      </c>
      <c r="AN61" s="219">
        <v>0.65787112548970628</v>
      </c>
      <c r="AO61" s="219">
        <v>0.54277655698288096</v>
      </c>
      <c r="AP61" s="219">
        <v>0.58773994198114898</v>
      </c>
      <c r="AQ61" s="219">
        <v>0.31449302497005438</v>
      </c>
      <c r="AR61" s="223">
        <v>0.18610603209085669</v>
      </c>
      <c r="AS61" s="223">
        <v>0.16777849464198305</v>
      </c>
      <c r="AT61" s="223">
        <v>0.1350293221551444</v>
      </c>
      <c r="AU61" s="223">
        <v>0.13695160952267249</v>
      </c>
      <c r="AV61" s="223">
        <v>0.11060351976412051</v>
      </c>
    </row>
    <row r="62" spans="2:49" s="35" customFormat="1" x14ac:dyDescent="0.2">
      <c r="B62" s="175" t="s">
        <v>1559</v>
      </c>
      <c r="C62" s="176" t="s">
        <v>501</v>
      </c>
      <c r="D62" s="177">
        <v>2.4079425936346954</v>
      </c>
      <c r="E62" s="177">
        <v>1.6762360122614928</v>
      </c>
      <c r="F62" s="177">
        <v>1.4059021203081858</v>
      </c>
      <c r="G62" s="177">
        <v>0.8385561308109043</v>
      </c>
      <c r="H62" s="177">
        <v>0.32201530349091922</v>
      </c>
      <c r="I62" s="238">
        <v>7.6409329466869663E-3</v>
      </c>
      <c r="J62" s="185">
        <v>2.0953294525463562E-3</v>
      </c>
      <c r="K62" s="185">
        <v>1.6325451930894307E-3</v>
      </c>
      <c r="L62" s="185">
        <v>1.6437711292358978E-3</v>
      </c>
      <c r="M62" s="185">
        <v>1.6554653864231943E-3</v>
      </c>
      <c r="N62" s="237">
        <v>3.1134383769797179E-2</v>
      </c>
      <c r="O62" s="186">
        <v>3.0315054605365141E-2</v>
      </c>
      <c r="P62" s="186">
        <v>2.9707637901812946E-2</v>
      </c>
      <c r="Q62" s="186">
        <v>2.9038888400073539E-2</v>
      </c>
      <c r="R62" s="186">
        <v>2.9037349741171788E-2</v>
      </c>
      <c r="S62" s="220">
        <v>1.1264732629341205E-2</v>
      </c>
      <c r="T62" s="220">
        <v>1.0513672365775883E-2</v>
      </c>
      <c r="U62" s="220">
        <v>9.9636535813025402E-3</v>
      </c>
      <c r="V62" s="220">
        <v>9.3471162774358286E-3</v>
      </c>
      <c r="W62" s="220">
        <v>9.3468866245333369E-3</v>
      </c>
      <c r="X62" s="221">
        <v>12.750674108792182</v>
      </c>
      <c r="Y62" s="221">
        <v>9.2137617477173066</v>
      </c>
      <c r="Z62" s="221">
        <v>8.4059874577295073</v>
      </c>
      <c r="AA62" s="221">
        <v>4.8331312392893118</v>
      </c>
      <c r="AB62" s="221">
        <v>4.3099533370954921</v>
      </c>
      <c r="AC62" s="218">
        <v>5.6784019856122962E-2</v>
      </c>
      <c r="AD62" s="218">
        <v>4.5358761297991164E-2</v>
      </c>
      <c r="AE62" s="218">
        <v>3.3963664101157184E-2</v>
      </c>
      <c r="AF62" s="218">
        <v>3.2130052072350701E-2</v>
      </c>
      <c r="AG62" s="218">
        <v>1.1888822140911049E-2</v>
      </c>
      <c r="AH62" s="222">
        <v>0.17028397548265028</v>
      </c>
      <c r="AI62" s="222">
        <v>0.12732388373634324</v>
      </c>
      <c r="AJ62" s="222">
        <v>8.8786783184227488E-2</v>
      </c>
      <c r="AK62" s="222">
        <v>7.4102702491203654E-2</v>
      </c>
      <c r="AL62" s="222">
        <v>1.7074618171226769E-2</v>
      </c>
      <c r="AM62" s="219">
        <v>1.5422338304939152</v>
      </c>
      <c r="AN62" s="219">
        <v>0.99138553331577783</v>
      </c>
      <c r="AO62" s="219">
        <v>0.95484087318387023</v>
      </c>
      <c r="AP62" s="219">
        <v>0.40111669153685048</v>
      </c>
      <c r="AQ62" s="219">
        <v>0.17399523055358346</v>
      </c>
      <c r="AR62" s="223">
        <v>4.8190650780369275E-4</v>
      </c>
      <c r="AS62" s="223">
        <v>4.484110862543046E-4</v>
      </c>
      <c r="AT62" s="223">
        <v>3.821948238400741E-4</v>
      </c>
      <c r="AU62" s="223">
        <v>4.0350571885806814E-4</v>
      </c>
      <c r="AV62" s="223">
        <v>3.064227526649842E-4</v>
      </c>
    </row>
    <row r="63" spans="2:49" s="35" customFormat="1" x14ac:dyDescent="0.2">
      <c r="B63" s="175" t="s">
        <v>1559</v>
      </c>
      <c r="C63" s="176" t="s">
        <v>509</v>
      </c>
      <c r="D63" s="177">
        <v>1.99190175316896</v>
      </c>
      <c r="E63" s="177">
        <v>1.3985266712576039</v>
      </c>
      <c r="F63" s="177">
        <v>1.1881828817187887</v>
      </c>
      <c r="G63" s="177">
        <v>0.71659740457912424</v>
      </c>
      <c r="H63" s="177">
        <v>0.32201530349091922</v>
      </c>
      <c r="I63" s="238">
        <v>9.9501926816856941E-3</v>
      </c>
      <c r="J63" s="185">
        <v>2.7285845759825881E-3</v>
      </c>
      <c r="K63" s="185">
        <v>2.1259366292231251E-3</v>
      </c>
      <c r="L63" s="185">
        <v>2.1405552927383025E-3</v>
      </c>
      <c r="M63" s="185">
        <v>2.1557838143199818E-3</v>
      </c>
      <c r="N63" s="237">
        <v>4.166891173199274E-2</v>
      </c>
      <c r="O63" s="186">
        <v>3.8679148834798983E-2</v>
      </c>
      <c r="P63" s="186">
        <v>3.619737850092717E-2</v>
      </c>
      <c r="Q63" s="186">
        <v>3.4274337826326058E-2</v>
      </c>
      <c r="R63" s="186">
        <v>3.2969702486058773E-2</v>
      </c>
      <c r="S63" s="220">
        <v>2.0965105360821155E-2</v>
      </c>
      <c r="T63" s="220">
        <v>1.8215486292011002E-2</v>
      </c>
      <c r="U63" s="220">
        <v>1.5939531776308826E-2</v>
      </c>
      <c r="V63" s="220">
        <v>1.4168031572696752E-2</v>
      </c>
      <c r="W63" s="220">
        <v>1.296790635865509E-2</v>
      </c>
      <c r="X63" s="221">
        <v>14.387486695601261</v>
      </c>
      <c r="Y63" s="221">
        <v>10.274934554991679</v>
      </c>
      <c r="Z63" s="221">
        <v>9.2314113334769736</v>
      </c>
      <c r="AA63" s="221">
        <v>5.2157247493952497</v>
      </c>
      <c r="AB63" s="221">
        <v>4.3099533370954921</v>
      </c>
      <c r="AC63" s="218">
        <v>5.6784019856122962E-2</v>
      </c>
      <c r="AD63" s="218">
        <v>4.5358761297991164E-2</v>
      </c>
      <c r="AE63" s="218">
        <v>3.3963664101157184E-2</v>
      </c>
      <c r="AF63" s="218">
        <v>3.2130052072350701E-2</v>
      </c>
      <c r="AG63" s="218">
        <v>1.1888822140911049E-2</v>
      </c>
      <c r="AH63" s="222">
        <v>6.8544436023380409E-2</v>
      </c>
      <c r="AI63" s="222">
        <v>5.3249813912052871E-2</v>
      </c>
      <c r="AJ63" s="222">
        <v>4.0507517909496818E-2</v>
      </c>
      <c r="AK63" s="222">
        <v>3.3714420153360042E-2</v>
      </c>
      <c r="AL63" s="222">
        <v>1.7074618171226769E-2</v>
      </c>
      <c r="AM63" s="219">
        <v>1.6283247567039683</v>
      </c>
      <c r="AN63" s="219">
        <v>1.0445007481347401</v>
      </c>
      <c r="AO63" s="219">
        <v>1.0038795436962917</v>
      </c>
      <c r="AP63" s="219">
        <v>0.41926579372076506</v>
      </c>
      <c r="AQ63" s="219">
        <v>0.17399523055358346</v>
      </c>
      <c r="AR63" s="223">
        <v>1.3697720937889631E-3</v>
      </c>
      <c r="AS63" s="223">
        <v>1.1954364041718969E-3</v>
      </c>
      <c r="AT63" s="223">
        <v>9.9690134383695643E-4</v>
      </c>
      <c r="AU63" s="223">
        <v>9.5626480545922034E-4</v>
      </c>
      <c r="AV63" s="223">
        <v>7.2689276027160363E-4</v>
      </c>
    </row>
    <row r="64" spans="2:49" s="35" customFormat="1" ht="13.5" thickBot="1" x14ac:dyDescent="0.25">
      <c r="B64" s="175" t="s">
        <v>1559</v>
      </c>
      <c r="C64" s="176" t="s">
        <v>1558</v>
      </c>
      <c r="D64" s="211">
        <v>0</v>
      </c>
      <c r="E64" s="211">
        <v>0</v>
      </c>
      <c r="F64" s="211">
        <v>0</v>
      </c>
      <c r="G64" s="211">
        <v>0</v>
      </c>
      <c r="H64" s="211">
        <v>0</v>
      </c>
      <c r="I64" s="240">
        <v>0</v>
      </c>
      <c r="J64" s="212">
        <v>0</v>
      </c>
      <c r="K64" s="212">
        <v>0</v>
      </c>
      <c r="L64" s="212">
        <v>0</v>
      </c>
      <c r="M64" s="212">
        <v>0</v>
      </c>
      <c r="N64" s="241">
        <v>2.6214215956312438E-2</v>
      </c>
      <c r="O64" s="213">
        <v>2.6209053340895759E-2</v>
      </c>
      <c r="P64" s="213">
        <v>2.6195080122046674E-2</v>
      </c>
      <c r="Q64" s="213">
        <v>2.6196042266326547E-2</v>
      </c>
      <c r="R64" s="213">
        <v>2.6194503607424802E-2</v>
      </c>
      <c r="S64" s="187">
        <v>6.7341630344875305E-3</v>
      </c>
      <c r="T64" s="187">
        <v>6.7327971025303562E-3</v>
      </c>
      <c r="U64" s="187">
        <v>6.7292338140468007E-3</v>
      </c>
      <c r="V64" s="187">
        <v>6.729372426827091E-3</v>
      </c>
      <c r="W64" s="187">
        <v>6.7291427739245993E-3</v>
      </c>
      <c r="X64" s="188">
        <v>0</v>
      </c>
      <c r="Y64" s="188">
        <v>0</v>
      </c>
      <c r="Z64" s="188">
        <v>0</v>
      </c>
      <c r="AA64" s="188">
        <v>0</v>
      </c>
      <c r="AB64" s="188">
        <v>0</v>
      </c>
      <c r="AC64" s="185">
        <v>0</v>
      </c>
      <c r="AD64" s="185">
        <v>0</v>
      </c>
      <c r="AE64" s="185">
        <v>0</v>
      </c>
      <c r="AF64" s="185">
        <v>0</v>
      </c>
      <c r="AG64" s="185">
        <v>0</v>
      </c>
      <c r="AH64" s="189">
        <v>0</v>
      </c>
      <c r="AI64" s="189">
        <v>0</v>
      </c>
      <c r="AJ64" s="189">
        <v>0</v>
      </c>
      <c r="AK64" s="189">
        <v>0</v>
      </c>
      <c r="AL64" s="189">
        <v>0</v>
      </c>
      <c r="AM64" s="186">
        <v>0</v>
      </c>
      <c r="AN64" s="186">
        <v>0</v>
      </c>
      <c r="AO64" s="186">
        <v>0</v>
      </c>
      <c r="AP64" s="186">
        <v>0</v>
      </c>
      <c r="AQ64" s="186">
        <v>0</v>
      </c>
      <c r="AR64" s="190">
        <v>2.2881744192316446E-3</v>
      </c>
      <c r="AS64" s="190">
        <v>2.2881247005156545E-3</v>
      </c>
      <c r="AT64" s="190">
        <v>2.2881026083851289E-3</v>
      </c>
      <c r="AU64" s="190">
        <v>2.2881189711901006E-3</v>
      </c>
      <c r="AV64" s="190">
        <v>2.2879085431343638E-3</v>
      </c>
    </row>
    <row r="65" spans="1:48" s="35" customFormat="1" ht="13.5" thickBot="1" x14ac:dyDescent="0.25">
      <c r="B65" s="244" t="s">
        <v>1560</v>
      </c>
      <c r="C65" s="245" t="s">
        <v>1321</v>
      </c>
      <c r="D65" s="246">
        <v>0.99588367092195651</v>
      </c>
      <c r="E65" s="246">
        <v>0.98034456438479245</v>
      </c>
      <c r="F65" s="246">
        <v>0.95786712355718751</v>
      </c>
      <c r="G65" s="246">
        <v>0.96185549305997065</v>
      </c>
      <c r="H65" s="246">
        <v>0.9236426186469795</v>
      </c>
      <c r="I65" s="247">
        <v>2.5632185078919463E-2</v>
      </c>
      <c r="J65" s="247">
        <v>6.9685293038071394E-3</v>
      </c>
      <c r="K65" s="247">
        <v>5.3964774606117686E-3</v>
      </c>
      <c r="L65" s="247">
        <v>5.39465488274035E-3</v>
      </c>
      <c r="M65" s="247">
        <v>5.3941868506014439E-3</v>
      </c>
      <c r="N65" s="248">
        <v>4.3558223395880565E-2</v>
      </c>
      <c r="O65" s="248">
        <v>4.3369155852877775E-2</v>
      </c>
      <c r="P65" s="248">
        <v>4.3199141771374017E-2</v>
      </c>
      <c r="Q65" s="248">
        <v>4.3187293986637586E-2</v>
      </c>
      <c r="R65" s="248">
        <v>4.2762957122342724E-2</v>
      </c>
      <c r="S65" s="249">
        <v>3.7514055607074576E-2</v>
      </c>
      <c r="T65" s="249">
        <v>3.7340498257270309E-2</v>
      </c>
      <c r="U65" s="249">
        <v>3.7185262987176823E-2</v>
      </c>
      <c r="V65" s="249">
        <v>3.7174369794276942E-2</v>
      </c>
      <c r="W65" s="249">
        <v>3.6783627289466034E-2</v>
      </c>
      <c r="X65" s="250">
        <v>26.993275095703108</v>
      </c>
      <c r="Y65" s="250">
        <v>26.335720296683917</v>
      </c>
      <c r="Z65" s="250">
        <v>25.478226849121373</v>
      </c>
      <c r="AA65" s="250">
        <v>25.619535471441363</v>
      </c>
      <c r="AB65" s="250">
        <v>23.949642759604966</v>
      </c>
      <c r="AC65" s="247">
        <v>7.4853855453290499E-3</v>
      </c>
      <c r="AD65" s="247">
        <v>6.3820488878606812E-3</v>
      </c>
      <c r="AE65" s="247">
        <v>5.8390914262609391E-3</v>
      </c>
      <c r="AF65" s="247">
        <v>5.3205250166912174E-3</v>
      </c>
      <c r="AG65" s="247">
        <v>3.6380815618144817E-3</v>
      </c>
      <c r="AH65" s="251">
        <v>6.3355867203560651E-2</v>
      </c>
      <c r="AI65" s="251">
        <v>5.5851227285423966E-2</v>
      </c>
      <c r="AJ65" s="251">
        <v>5.303362679366326E-2</v>
      </c>
      <c r="AK65" s="251">
        <v>4.7644008474371148E-2</v>
      </c>
      <c r="AL65" s="251">
        <v>4.099983261239197E-2</v>
      </c>
      <c r="AM65" s="248">
        <v>5.664821346530525</v>
      </c>
      <c r="AN65" s="248">
        <v>4.9449461996772639</v>
      </c>
      <c r="AO65" s="248">
        <v>4.6253629415723747</v>
      </c>
      <c r="AP65" s="248">
        <v>4.322747664370084</v>
      </c>
      <c r="AQ65" s="248">
        <v>3.0541756600798173</v>
      </c>
      <c r="AR65" s="252">
        <v>6.6374158493234638E-3</v>
      </c>
      <c r="AS65" s="252">
        <v>6.5878155636496247E-3</v>
      </c>
      <c r="AT65" s="252">
        <v>6.5334990068189325E-3</v>
      </c>
      <c r="AU65" s="252">
        <v>6.5279283108172223E-3</v>
      </c>
      <c r="AV65" s="252">
        <v>6.4395995031231003E-3</v>
      </c>
    </row>
    <row r="67" spans="1:48" s="85" customFormat="1" x14ac:dyDescent="0.2">
      <c r="A67"/>
      <c r="B67" s="1189" t="s">
        <v>1561</v>
      </c>
      <c r="C67" s="1189"/>
      <c r="D67" s="1189"/>
      <c r="E67" s="1189"/>
      <c r="F67" s="1189"/>
      <c r="G67" s="1189"/>
      <c r="H67" s="1189"/>
      <c r="I67" s="150"/>
      <c r="J67" s="150"/>
      <c r="K67" s="150"/>
      <c r="L67" s="150"/>
      <c r="M67" s="150"/>
      <c r="N67" s="151"/>
      <c r="O67" s="151"/>
      <c r="P67" s="151"/>
      <c r="Q67" s="151"/>
      <c r="R67" s="151"/>
      <c r="S67" s="152"/>
      <c r="T67" s="152"/>
      <c r="U67" s="152"/>
      <c r="V67" s="152"/>
      <c r="W67" s="152"/>
      <c r="X67" s="153"/>
      <c r="Y67" s="153"/>
      <c r="Z67" s="153"/>
      <c r="AA67" s="153"/>
      <c r="AB67" s="153"/>
      <c r="AC67" s="150"/>
      <c r="AD67" s="150"/>
      <c r="AE67" s="150"/>
      <c r="AF67" s="150"/>
      <c r="AG67" s="150"/>
      <c r="AH67" s="154"/>
      <c r="AI67" s="154"/>
      <c r="AJ67" s="154"/>
      <c r="AK67" s="154"/>
      <c r="AL67" s="154"/>
      <c r="AM67" s="151"/>
      <c r="AN67" s="151"/>
      <c r="AO67" s="151"/>
      <c r="AP67" s="151"/>
      <c r="AQ67" s="151"/>
      <c r="AR67" s="155"/>
      <c r="AS67" s="155"/>
      <c r="AT67" s="155"/>
      <c r="AU67" s="155"/>
      <c r="AV67" s="155"/>
    </row>
  </sheetData>
  <mergeCells count="1">
    <mergeCell ref="B67:H67"/>
  </mergeCells>
  <conditionalFormatting sqref="D6:AV65">
    <cfRule type="containsErrors" dxfId="2" priority="1">
      <formula>ISERROR(D6)</formula>
    </cfRule>
    <cfRule type="cellIs" dxfId="1" priority="3" operator="equal">
      <formula>"N/A"</formula>
    </cfRule>
  </conditionalFormatting>
  <conditionalFormatting sqref="I1:IV1048576 C5:H66 A1:B1048576 C68:H65536">
    <cfRule type="cellIs" dxfId="0" priority="2" operator="equal">
      <formula>"N/A"</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0" tint="-0.34998626667073579"/>
  </sheetPr>
  <dimension ref="A1:X73"/>
  <sheetViews>
    <sheetView workbookViewId="0">
      <selection activeCell="R6" sqref="R6"/>
    </sheetView>
  </sheetViews>
  <sheetFormatPr defaultRowHeight="12.75" x14ac:dyDescent="0.2"/>
  <cols>
    <col min="1" max="1" width="9.140625" style="12"/>
    <col min="2" max="2" width="23.42578125" style="12" customWidth="1"/>
    <col min="3" max="3" width="31.85546875" customWidth="1"/>
    <col min="8" max="8" width="11.42578125" customWidth="1"/>
    <col min="9" max="9" width="11.5703125" customWidth="1"/>
    <col min="15" max="15" width="12.140625" customWidth="1"/>
    <col min="16" max="16" width="12" customWidth="1"/>
    <col min="19" max="19" width="12" customWidth="1"/>
  </cols>
  <sheetData>
    <row r="1" spans="1:24" x14ac:dyDescent="0.2">
      <c r="A1" s="69"/>
      <c r="B1" s="69"/>
      <c r="C1" s="127" t="s">
        <v>1562</v>
      </c>
      <c r="D1" s="70"/>
      <c r="E1" s="70"/>
      <c r="F1" s="70"/>
      <c r="G1" s="70"/>
      <c r="H1" s="70"/>
      <c r="I1" s="70"/>
      <c r="J1" s="70"/>
      <c r="K1" s="70"/>
      <c r="L1" s="70"/>
      <c r="M1" s="66"/>
      <c r="N1" s="66" t="s">
        <v>1563</v>
      </c>
      <c r="O1" s="66"/>
      <c r="P1" s="66"/>
      <c r="Q1" s="66"/>
      <c r="R1" s="66"/>
      <c r="S1" s="66"/>
      <c r="T1" s="66"/>
      <c r="U1" s="66"/>
      <c r="V1" s="66"/>
      <c r="W1" s="66"/>
      <c r="X1" s="66"/>
    </row>
    <row r="3" spans="1:24" x14ac:dyDescent="0.2">
      <c r="C3" s="44" t="s">
        <v>1564</v>
      </c>
      <c r="D3" s="46"/>
      <c r="E3" s="31" t="s">
        <v>1565</v>
      </c>
      <c r="F3" s="80" t="s">
        <v>1566</v>
      </c>
      <c r="G3" s="46"/>
      <c r="H3" s="12"/>
      <c r="I3" s="12"/>
      <c r="J3" s="12"/>
    </row>
    <row r="4" spans="1:24" x14ac:dyDescent="0.2">
      <c r="C4" s="44" t="s">
        <v>710</v>
      </c>
      <c r="D4" s="44" t="s">
        <v>497</v>
      </c>
      <c r="E4" s="28" t="s">
        <v>1567</v>
      </c>
      <c r="F4" s="73" t="s">
        <v>1214</v>
      </c>
      <c r="G4" s="73" t="s">
        <v>474</v>
      </c>
      <c r="H4" s="28" t="s">
        <v>476</v>
      </c>
      <c r="I4" s="28" t="s">
        <v>477</v>
      </c>
      <c r="J4" s="28" t="s">
        <v>475</v>
      </c>
    </row>
    <row r="5" spans="1:24" ht="23.25" customHeight="1" x14ac:dyDescent="0.2">
      <c r="C5" s="88"/>
      <c r="D5" s="34"/>
      <c r="E5" s="89"/>
      <c r="F5" s="75"/>
      <c r="G5" s="75"/>
      <c r="H5" s="76" t="s">
        <v>1568</v>
      </c>
      <c r="I5" s="76" t="s">
        <v>1568</v>
      </c>
      <c r="J5" s="76" t="s">
        <v>1569</v>
      </c>
      <c r="N5" s="37" t="s">
        <v>956</v>
      </c>
      <c r="O5" s="37"/>
      <c r="Q5" s="37" t="s">
        <v>718</v>
      </c>
      <c r="R5" s="42">
        <f>ROUND((S26+S38+S40+S50+S59+S66)/S71,4)</f>
        <v>3.3399999999999999E-2</v>
      </c>
      <c r="S5" s="867"/>
    </row>
    <row r="6" spans="1:24" x14ac:dyDescent="0.2">
      <c r="A6" s="12" t="str">
        <f>Technologies!C47</f>
        <v>TAJE</v>
      </c>
      <c r="B6" s="12" t="s">
        <v>1385</v>
      </c>
      <c r="C6" s="12" t="s">
        <v>1570</v>
      </c>
      <c r="D6" s="12" t="s">
        <v>1571</v>
      </c>
      <c r="E6" s="12"/>
      <c r="F6" s="15"/>
      <c r="G6" s="77">
        <v>12.5</v>
      </c>
      <c r="H6" s="12"/>
      <c r="I6" s="53">
        <v>7.4625760131172711</v>
      </c>
      <c r="J6" s="27">
        <v>0.4376230344297341</v>
      </c>
      <c r="N6" s="37" t="s">
        <v>957</v>
      </c>
      <c r="O6" s="37"/>
      <c r="Q6" s="37" t="s">
        <v>723</v>
      </c>
      <c r="R6" s="42">
        <f>ROUND((S51+S54+S58)/S71,4)</f>
        <v>0.1115</v>
      </c>
      <c r="S6" s="867"/>
    </row>
    <row r="7" spans="1:24" x14ac:dyDescent="0.2">
      <c r="A7" s="12" t="str">
        <f>Technologies!C49</f>
        <v>TAJ10</v>
      </c>
      <c r="B7" s="12" t="s">
        <v>1572</v>
      </c>
      <c r="C7" s="12" t="s">
        <v>1573</v>
      </c>
      <c r="D7" s="12" t="s">
        <v>1571</v>
      </c>
      <c r="E7" s="12"/>
      <c r="F7" s="15">
        <v>2010</v>
      </c>
      <c r="G7" s="33">
        <v>25</v>
      </c>
      <c r="H7" s="53">
        <v>814.53238577880768</v>
      </c>
      <c r="I7" s="53">
        <v>7.4625760131172711</v>
      </c>
      <c r="J7" s="27">
        <v>0.451476368560703</v>
      </c>
      <c r="K7" s="105">
        <f>J7/J$6-1</f>
        <v>3.1655861417398068E-2</v>
      </c>
      <c r="L7" t="s">
        <v>1574</v>
      </c>
      <c r="N7" s="37" t="s">
        <v>958</v>
      </c>
      <c r="O7" s="37"/>
      <c r="Q7" s="37" t="s">
        <v>724</v>
      </c>
      <c r="R7" s="42">
        <f>ROUND((S27+S29+S28+S39+S46+S60+S65+S69)/S71+0.0001,4)</f>
        <v>0.23580000000000001</v>
      </c>
      <c r="S7" s="867"/>
    </row>
    <row r="8" spans="1:24" x14ac:dyDescent="0.2">
      <c r="A8" s="12" t="str">
        <f>Technologies!C50</f>
        <v>TAJSYN10</v>
      </c>
      <c r="B8" s="12" t="s">
        <v>1575</v>
      </c>
      <c r="C8" s="12" t="s">
        <v>1576</v>
      </c>
      <c r="D8" s="12" t="s">
        <v>1577</v>
      </c>
      <c r="E8" s="12"/>
      <c r="F8" s="15">
        <v>2010</v>
      </c>
      <c r="G8" s="12">
        <v>25</v>
      </c>
      <c r="H8" s="53">
        <v>814.53238577880768</v>
      </c>
      <c r="I8" s="53">
        <v>7.4625760131172711</v>
      </c>
      <c r="J8" s="27">
        <v>0.42712996079536708</v>
      </c>
      <c r="K8" s="105">
        <f>J8/J$7-1</f>
        <v>-5.392620624408706E-2</v>
      </c>
      <c r="L8" t="s">
        <v>1578</v>
      </c>
      <c r="N8" s="37" t="s">
        <v>959</v>
      </c>
      <c r="O8" s="37"/>
      <c r="Q8" s="37" t="s">
        <v>725</v>
      </c>
      <c r="R8" s="42">
        <f>ROUND((S21+S36+S44+S62)/S71,4)</f>
        <v>4.0300000000000002E-2</v>
      </c>
      <c r="S8" s="867"/>
    </row>
    <row r="9" spans="1:24" x14ac:dyDescent="0.2">
      <c r="A9" s="12" t="str">
        <f>Technologies!C51</f>
        <v>TAJWT10</v>
      </c>
      <c r="B9" s="12" t="s">
        <v>1579</v>
      </c>
      <c r="C9" s="12" t="s">
        <v>1580</v>
      </c>
      <c r="D9" s="12" t="s">
        <v>1571</v>
      </c>
      <c r="E9" s="12"/>
      <c r="F9" s="15">
        <v>2010</v>
      </c>
      <c r="G9" s="33">
        <v>25</v>
      </c>
      <c r="H9" s="53">
        <v>820.68444307320954</v>
      </c>
      <c r="I9" s="53">
        <v>7.4625760131172711</v>
      </c>
      <c r="J9" s="27">
        <v>0.47275012414733303</v>
      </c>
      <c r="K9" s="105">
        <f t="shared" ref="K9:K16" si="0">J9/J$7-1</f>
        <v>4.7120418848167533E-2</v>
      </c>
      <c r="N9" s="37" t="s">
        <v>960</v>
      </c>
      <c r="O9" s="37"/>
      <c r="Q9" s="37" t="s">
        <v>726</v>
      </c>
      <c r="R9" s="42">
        <f>ROUND((S33+S34+S41+S55+S68)/S71,4)</f>
        <v>0.1215</v>
      </c>
      <c r="S9" s="867"/>
    </row>
    <row r="10" spans="1:24" x14ac:dyDescent="0.2">
      <c r="C10" s="12" t="s">
        <v>1581</v>
      </c>
      <c r="D10" s="12" t="s">
        <v>1582</v>
      </c>
      <c r="E10" s="12"/>
      <c r="F10" s="12">
        <v>2015</v>
      </c>
      <c r="G10" s="33">
        <v>25</v>
      </c>
      <c r="H10" s="53">
        <v>1231.6418703392544</v>
      </c>
      <c r="I10" s="53">
        <v>7.7610790536419625</v>
      </c>
      <c r="J10" s="27">
        <v>0.44262389074578729</v>
      </c>
      <c r="K10" s="105">
        <f t="shared" si="0"/>
        <v>-1.9607843137254832E-2</v>
      </c>
      <c r="N10" s="37" t="s">
        <v>961</v>
      </c>
      <c r="O10" s="37"/>
      <c r="Q10" s="37" t="s">
        <v>727</v>
      </c>
      <c r="R10" s="42">
        <f>ROUND((S22+S37+S56+S63)/S71,4)</f>
        <v>0.10580000000000001</v>
      </c>
      <c r="S10" s="867"/>
    </row>
    <row r="11" spans="1:24" x14ac:dyDescent="0.2">
      <c r="A11" s="12" t="str">
        <f>Technologies!C52</f>
        <v>TAJAPU15</v>
      </c>
      <c r="B11" s="12" t="s">
        <v>1583</v>
      </c>
      <c r="C11" s="12" t="s">
        <v>1584</v>
      </c>
      <c r="D11" s="12" t="s">
        <v>1571</v>
      </c>
      <c r="E11" s="12"/>
      <c r="F11" s="15">
        <v>2015</v>
      </c>
      <c r="G11" s="15">
        <v>25</v>
      </c>
      <c r="H11" s="53">
        <v>815.46191019484638</v>
      </c>
      <c r="I11" s="53">
        <v>7.5083155288151495</v>
      </c>
      <c r="J11" s="27">
        <v>0.45358554132787771</v>
      </c>
      <c r="K11" s="105">
        <f t="shared" si="0"/>
        <v>4.6717235143418634E-3</v>
      </c>
      <c r="N11" s="37" t="s">
        <v>962</v>
      </c>
      <c r="O11" s="37"/>
      <c r="Q11" s="37" t="s">
        <v>728</v>
      </c>
      <c r="R11" s="42">
        <f>ROUND((S31+S35+S42+S43+S48+S47+S61)/S71,4)</f>
        <v>5.04E-2</v>
      </c>
      <c r="S11" s="867"/>
    </row>
    <row r="12" spans="1:24" x14ac:dyDescent="0.2">
      <c r="A12" s="12" t="str">
        <f>Technologies!C53</f>
        <v>TAJBW30</v>
      </c>
      <c r="B12" s="12" t="s">
        <v>1585</v>
      </c>
      <c r="C12" s="12" t="s">
        <v>1586</v>
      </c>
      <c r="D12" s="12" t="s">
        <v>1571</v>
      </c>
      <c r="E12" s="12"/>
      <c r="F12" s="15">
        <v>2030</v>
      </c>
      <c r="G12" s="33">
        <v>25</v>
      </c>
      <c r="H12" s="53">
        <v>1127.6930582784942</v>
      </c>
      <c r="I12" s="53">
        <v>7.4625760131172711</v>
      </c>
      <c r="J12" s="27">
        <v>0.6449662408010044</v>
      </c>
      <c r="K12" s="105">
        <f t="shared" si="0"/>
        <v>0.42857142857142883</v>
      </c>
      <c r="N12" s="37" t="s">
        <v>963</v>
      </c>
      <c r="O12" s="37"/>
      <c r="Q12" s="37" t="s">
        <v>729</v>
      </c>
      <c r="R12" s="42">
        <f>ROUND((S23+S25+S32+S45+S53+S52+S64+S70)/S71,4)</f>
        <v>0.1208</v>
      </c>
      <c r="S12" s="867"/>
    </row>
    <row r="13" spans="1:24" x14ac:dyDescent="0.2">
      <c r="A13" s="12" t="str">
        <f>Technologies!C54</f>
        <v>TAJAE30</v>
      </c>
      <c r="B13" s="12" t="s">
        <v>1587</v>
      </c>
      <c r="C13" s="12" t="s">
        <v>1588</v>
      </c>
      <c r="D13" s="12" t="s">
        <v>1571</v>
      </c>
      <c r="E13" s="12"/>
      <c r="F13" s="15">
        <v>2030</v>
      </c>
      <c r="G13" s="33">
        <v>25</v>
      </c>
      <c r="H13" s="53">
        <v>895.98562435668828</v>
      </c>
      <c r="I13" s="53">
        <v>7.4625760131172711</v>
      </c>
      <c r="J13" s="27">
        <v>0.50164040951189226</v>
      </c>
      <c r="K13" s="105">
        <f t="shared" si="0"/>
        <v>0.11111111111111116</v>
      </c>
      <c r="N13" s="37" t="s">
        <v>964</v>
      </c>
      <c r="O13" s="37"/>
      <c r="Q13" s="37" t="s">
        <v>730</v>
      </c>
      <c r="R13" s="42">
        <f>ROUND((S20+S24+S30+S57+S67)/S71,4)</f>
        <v>0.18049999999999999</v>
      </c>
      <c r="S13" s="867"/>
    </row>
    <row r="14" spans="1:24" x14ac:dyDescent="0.2">
      <c r="C14" s="12" t="s">
        <v>1589</v>
      </c>
      <c r="D14" s="12" t="s">
        <v>1571</v>
      </c>
      <c r="E14" s="12"/>
      <c r="F14" s="15">
        <v>2010</v>
      </c>
      <c r="G14" s="33">
        <v>25</v>
      </c>
      <c r="H14" s="53">
        <v>1208.2640526205273</v>
      </c>
      <c r="I14" s="53">
        <v>11.069863511905075</v>
      </c>
      <c r="J14" s="27">
        <v>0.51597299264080343</v>
      </c>
      <c r="K14" s="105">
        <f t="shared" si="0"/>
        <v>0.14285714285714279</v>
      </c>
      <c r="R14" s="42"/>
    </row>
    <row r="15" spans="1:24" x14ac:dyDescent="0.2">
      <c r="A15" s="12" t="str">
        <f>Technologies!C55</f>
        <v>TAJGE15</v>
      </c>
      <c r="B15" s="12" t="s">
        <v>1590</v>
      </c>
      <c r="C15" s="12" t="s">
        <v>1591</v>
      </c>
      <c r="D15" s="12" t="s">
        <v>1571</v>
      </c>
      <c r="E15" s="12"/>
      <c r="F15" s="15">
        <v>2015</v>
      </c>
      <c r="G15" s="33">
        <v>25</v>
      </c>
      <c r="H15" s="53">
        <v>929.61720101077276</v>
      </c>
      <c r="I15" s="53">
        <v>8.516959112695238</v>
      </c>
      <c r="J15" s="27">
        <v>0.51597299264080343</v>
      </c>
      <c r="K15" s="105">
        <f t="shared" si="0"/>
        <v>0.14285714285714279</v>
      </c>
    </row>
    <row r="16" spans="1:24" ht="15.75" customHeight="1" x14ac:dyDescent="0.2">
      <c r="C16" s="12" t="s">
        <v>1592</v>
      </c>
      <c r="D16" s="12" t="s">
        <v>1571</v>
      </c>
      <c r="E16" s="12"/>
      <c r="F16" s="15">
        <v>2015</v>
      </c>
      <c r="G16" s="33">
        <v>25</v>
      </c>
      <c r="H16" s="53">
        <v>1700.4286361726772</v>
      </c>
      <c r="I16" s="53">
        <v>15.578972885389833</v>
      </c>
      <c r="J16" s="27">
        <v>0.53114866889494472</v>
      </c>
      <c r="K16" s="105">
        <f t="shared" si="0"/>
        <v>0.17647058823529416</v>
      </c>
    </row>
    <row r="17" spans="1:19" ht="12" customHeight="1" x14ac:dyDescent="0.2">
      <c r="A17" s="12" t="str">
        <f>TechData!B9</f>
        <v>TAPE</v>
      </c>
      <c r="B17" s="12" t="str">
        <f>TechData!C9</f>
        <v>Airplane, General Aviation, exisiting</v>
      </c>
      <c r="C17" s="12" t="s">
        <v>1593</v>
      </c>
      <c r="D17" s="12" t="s">
        <v>1594</v>
      </c>
      <c r="G17" s="59">
        <v>20</v>
      </c>
      <c r="H17" s="59">
        <v>17.510999999999999</v>
      </c>
      <c r="I17" s="53">
        <f>H17*0.1</f>
        <v>1.7511000000000001</v>
      </c>
      <c r="J17" s="106" t="e">
        <f>'AEO Data'!D150*#REF!/'AEO Data'!D151/('AEO Data'!D195*1.055)</f>
        <v>#REF!</v>
      </c>
      <c r="K17" s="105"/>
    </row>
    <row r="18" spans="1:19" ht="12" customHeight="1" x14ac:dyDescent="0.2">
      <c r="A18" s="12" t="str">
        <f>NewTech!B15</f>
        <v>TAP10</v>
      </c>
      <c r="B18" s="12" t="str">
        <f>NewTech!C15</f>
        <v>Airplane, General Aviation - 2010</v>
      </c>
      <c r="C18" s="12" t="s">
        <v>1595</v>
      </c>
      <c r="D18" s="12" t="s">
        <v>1594</v>
      </c>
      <c r="E18" s="12"/>
      <c r="F18" s="15">
        <v>2010</v>
      </c>
      <c r="G18" s="33">
        <f>G17</f>
        <v>20</v>
      </c>
      <c r="H18" s="53">
        <f>H17</f>
        <v>17.510999999999999</v>
      </c>
      <c r="I18" s="53">
        <f>I17</f>
        <v>1.7511000000000001</v>
      </c>
      <c r="J18" s="27" t="e">
        <f>J17/(1-K7)</f>
        <v>#REF!</v>
      </c>
      <c r="K18" s="105"/>
      <c r="N18" s="37" t="s">
        <v>1596</v>
      </c>
    </row>
    <row r="19" spans="1:19" ht="22.5" x14ac:dyDescent="0.2">
      <c r="A19" s="107"/>
      <c r="B19" s="107"/>
      <c r="C19" s="104" t="s">
        <v>1597</v>
      </c>
      <c r="D19" s="104"/>
      <c r="E19" s="104"/>
      <c r="F19" s="104"/>
      <c r="G19" s="104"/>
      <c r="H19" s="104"/>
      <c r="I19" s="104"/>
      <c r="J19" s="104"/>
      <c r="N19" s="91" t="s">
        <v>1598</v>
      </c>
      <c r="O19" s="92" t="s">
        <v>1599</v>
      </c>
      <c r="P19" s="93" t="s">
        <v>1600</v>
      </c>
      <c r="Q19" s="92" t="s">
        <v>1601</v>
      </c>
      <c r="R19" s="92" t="s">
        <v>1602</v>
      </c>
      <c r="S19" s="94" t="s">
        <v>631</v>
      </c>
    </row>
    <row r="20" spans="1:19" x14ac:dyDescent="0.2">
      <c r="C20" s="12" t="s">
        <v>1603</v>
      </c>
      <c r="D20" s="12" t="s">
        <v>1571</v>
      </c>
      <c r="E20" s="12"/>
      <c r="F20" s="15"/>
      <c r="G20" s="77">
        <v>12.5</v>
      </c>
      <c r="H20" s="33"/>
      <c r="I20" s="77"/>
      <c r="J20" s="16"/>
      <c r="N20" s="95" t="s">
        <v>1604</v>
      </c>
      <c r="O20" s="96">
        <v>2892339</v>
      </c>
      <c r="P20" s="97">
        <v>1207785</v>
      </c>
      <c r="Q20" s="96">
        <v>154109</v>
      </c>
      <c r="R20" s="96">
        <v>270329</v>
      </c>
      <c r="S20" s="98">
        <v>4524562</v>
      </c>
    </row>
    <row r="21" spans="1:19" x14ac:dyDescent="0.2">
      <c r="C21" s="12" t="s">
        <v>1605</v>
      </c>
      <c r="D21" s="12" t="s">
        <v>1571</v>
      </c>
      <c r="E21" s="12"/>
      <c r="F21" s="15">
        <v>2007</v>
      </c>
      <c r="G21" s="33"/>
      <c r="H21" s="33"/>
      <c r="I21" s="77"/>
      <c r="J21" s="16"/>
      <c r="N21" s="24" t="s">
        <v>1606</v>
      </c>
      <c r="O21" s="33">
        <v>2812468</v>
      </c>
      <c r="P21" s="12">
        <v>2691</v>
      </c>
      <c r="Q21" s="33">
        <v>559</v>
      </c>
      <c r="R21" s="33">
        <v>477</v>
      </c>
      <c r="S21" s="99">
        <v>2816195</v>
      </c>
    </row>
    <row r="22" spans="1:19" x14ac:dyDescent="0.2">
      <c r="C22" s="12" t="s">
        <v>1607</v>
      </c>
      <c r="D22" s="12" t="s">
        <v>1577</v>
      </c>
      <c r="E22" s="12"/>
      <c r="F22" s="15">
        <v>1979</v>
      </c>
      <c r="G22" s="12" t="e">
        <v>#N/A</v>
      </c>
      <c r="H22" s="33"/>
      <c r="I22" s="90"/>
      <c r="J22" s="16"/>
      <c r="N22" s="24" t="s">
        <v>1608</v>
      </c>
      <c r="O22" s="33">
        <v>1945934</v>
      </c>
      <c r="P22" s="33">
        <v>23995</v>
      </c>
      <c r="Q22" s="33">
        <v>1607</v>
      </c>
      <c r="R22" s="33">
        <v>0</v>
      </c>
      <c r="S22" s="99">
        <v>1971536</v>
      </c>
    </row>
    <row r="23" spans="1:19" x14ac:dyDescent="0.2">
      <c r="C23" s="12" t="s">
        <v>1609</v>
      </c>
      <c r="D23" s="12" t="s">
        <v>1571</v>
      </c>
      <c r="E23" s="12"/>
      <c r="F23" s="15">
        <v>1985</v>
      </c>
      <c r="G23" s="33">
        <v>25</v>
      </c>
      <c r="H23" s="33"/>
      <c r="I23" s="77"/>
      <c r="J23" s="16"/>
      <c r="N23" s="24" t="s">
        <v>1610</v>
      </c>
      <c r="O23" s="33">
        <v>22287353</v>
      </c>
      <c r="P23" s="12">
        <v>188787</v>
      </c>
      <c r="Q23" s="33">
        <v>303204</v>
      </c>
      <c r="R23" s="33">
        <v>242003</v>
      </c>
      <c r="S23" s="99">
        <v>23021347</v>
      </c>
    </row>
    <row r="24" spans="1:19" x14ac:dyDescent="0.2">
      <c r="C24" s="12" t="s">
        <v>1611</v>
      </c>
      <c r="D24" s="12" t="s">
        <v>1582</v>
      </c>
      <c r="E24" s="12"/>
      <c r="F24" s="15">
        <v>2015</v>
      </c>
      <c r="G24" s="12">
        <v>25</v>
      </c>
      <c r="H24" s="33"/>
      <c r="I24" s="77"/>
      <c r="J24" s="16"/>
      <c r="N24" s="24" t="s">
        <v>1612</v>
      </c>
      <c r="O24" s="33">
        <v>77598191</v>
      </c>
      <c r="P24" s="33">
        <v>12861</v>
      </c>
      <c r="Q24" s="33">
        <v>15763</v>
      </c>
      <c r="R24" s="33">
        <v>9052069</v>
      </c>
      <c r="S24" s="99">
        <v>86678884</v>
      </c>
    </row>
    <row r="25" spans="1:19" x14ac:dyDescent="0.2">
      <c r="C25" s="12" t="s">
        <v>1613</v>
      </c>
      <c r="D25" s="12" t="s">
        <v>1571</v>
      </c>
      <c r="E25" s="12"/>
      <c r="F25" s="12">
        <v>2015</v>
      </c>
      <c r="G25" s="15">
        <v>11.845174528896468</v>
      </c>
      <c r="H25" s="33"/>
      <c r="I25" s="77"/>
      <c r="J25" s="16"/>
      <c r="N25" s="24" t="s">
        <v>1614</v>
      </c>
      <c r="O25" s="33">
        <v>22231819</v>
      </c>
      <c r="P25" s="33">
        <v>264658</v>
      </c>
      <c r="Q25" s="33">
        <v>1486</v>
      </c>
      <c r="R25" s="33">
        <v>316928</v>
      </c>
      <c r="S25" s="99">
        <v>22814891</v>
      </c>
    </row>
    <row r="26" spans="1:19" x14ac:dyDescent="0.2">
      <c r="C26" s="12" t="s">
        <v>1615</v>
      </c>
      <c r="D26" s="12" t="s">
        <v>1571</v>
      </c>
      <c r="E26" s="12"/>
      <c r="F26" s="15">
        <v>2030</v>
      </c>
      <c r="G26" s="33">
        <v>25</v>
      </c>
      <c r="H26" s="33"/>
      <c r="I26" s="77"/>
      <c r="J26" s="16"/>
      <c r="N26" s="24" t="s">
        <v>1616</v>
      </c>
      <c r="O26" s="33">
        <v>3567752</v>
      </c>
      <c r="P26" s="33">
        <v>80703</v>
      </c>
      <c r="Q26" s="33">
        <v>86</v>
      </c>
      <c r="R26" s="33">
        <v>34054</v>
      </c>
      <c r="S26" s="99">
        <v>3682595</v>
      </c>
    </row>
    <row r="27" spans="1:19" x14ac:dyDescent="0.2">
      <c r="C27" s="12" t="s">
        <v>1617</v>
      </c>
      <c r="D27" s="12" t="s">
        <v>1571</v>
      </c>
      <c r="E27" s="12"/>
      <c r="F27" s="15">
        <v>2030</v>
      </c>
      <c r="G27" s="33">
        <v>25</v>
      </c>
      <c r="H27" s="33"/>
      <c r="I27" s="77"/>
      <c r="J27" s="16"/>
      <c r="N27" s="24" t="s">
        <v>994</v>
      </c>
      <c r="O27" s="33">
        <v>8507707</v>
      </c>
      <c r="P27" s="33">
        <v>14584</v>
      </c>
      <c r="Q27" s="33">
        <v>0</v>
      </c>
      <c r="R27" s="33">
        <v>101616</v>
      </c>
      <c r="S27" s="99">
        <v>8623907</v>
      </c>
    </row>
    <row r="28" spans="1:19" x14ac:dyDescent="0.2">
      <c r="C28" s="12" t="s">
        <v>1618</v>
      </c>
      <c r="D28" s="12" t="s">
        <v>1571</v>
      </c>
      <c r="E28" s="12"/>
      <c r="F28" s="15">
        <v>2007</v>
      </c>
      <c r="G28" s="33">
        <v>25</v>
      </c>
      <c r="H28" s="33"/>
      <c r="I28" s="77"/>
      <c r="J28" s="16"/>
      <c r="N28" s="24" t="s">
        <v>1619</v>
      </c>
      <c r="O28" s="33">
        <v>60753910</v>
      </c>
      <c r="P28" s="33">
        <v>805145</v>
      </c>
      <c r="Q28" s="33">
        <v>6088</v>
      </c>
      <c r="R28" s="33">
        <v>4987969</v>
      </c>
      <c r="S28" s="99">
        <v>66553112</v>
      </c>
    </row>
    <row r="29" spans="1:19" x14ac:dyDescent="0.2">
      <c r="C29" s="12" t="s">
        <v>1620</v>
      </c>
      <c r="D29" s="12" t="s">
        <v>1571</v>
      </c>
      <c r="E29" s="12"/>
      <c r="F29" s="15">
        <v>2013</v>
      </c>
      <c r="G29" s="33">
        <v>25</v>
      </c>
      <c r="H29" s="33"/>
      <c r="I29" s="77"/>
      <c r="J29" s="16"/>
      <c r="N29" s="24" t="s">
        <v>1621</v>
      </c>
      <c r="O29" s="33">
        <v>42995981</v>
      </c>
      <c r="P29" s="33">
        <v>56386</v>
      </c>
      <c r="Q29" s="33">
        <v>1283</v>
      </c>
      <c r="R29" s="33">
        <v>731368</v>
      </c>
      <c r="S29" s="99">
        <v>43785018</v>
      </c>
    </row>
    <row r="30" spans="1:19" x14ac:dyDescent="0.2">
      <c r="C30" s="12" t="s">
        <v>1622</v>
      </c>
      <c r="D30" s="12" t="s">
        <v>1571</v>
      </c>
      <c r="E30" s="12"/>
      <c r="F30" s="15">
        <v>2015</v>
      </c>
      <c r="G30" s="33">
        <v>25</v>
      </c>
      <c r="H30" s="33"/>
      <c r="I30" s="77"/>
      <c r="J30" s="16"/>
      <c r="N30" s="24" t="s">
        <v>1623</v>
      </c>
      <c r="O30" s="33">
        <v>13778778</v>
      </c>
      <c r="P30" s="33">
        <v>590989</v>
      </c>
      <c r="Q30" s="33">
        <v>72141</v>
      </c>
      <c r="R30" s="33">
        <v>1552609</v>
      </c>
      <c r="S30" s="99">
        <v>15994517</v>
      </c>
    </row>
    <row r="31" spans="1:19" ht="20.25" customHeight="1" x14ac:dyDescent="0.2">
      <c r="A31" s="107"/>
      <c r="B31" s="107"/>
      <c r="C31" s="104" t="s">
        <v>1624</v>
      </c>
      <c r="D31" s="108"/>
      <c r="E31" s="108"/>
      <c r="F31" s="108"/>
      <c r="G31" s="108"/>
      <c r="H31" s="108"/>
      <c r="I31" s="108"/>
      <c r="J31" s="108"/>
      <c r="N31" s="24" t="s">
        <v>1625</v>
      </c>
      <c r="O31" s="33">
        <v>1544603</v>
      </c>
      <c r="P31" s="33">
        <v>28756</v>
      </c>
      <c r="Q31" s="33">
        <v>825</v>
      </c>
      <c r="R31" s="33">
        <v>0</v>
      </c>
      <c r="S31" s="99">
        <v>1574184</v>
      </c>
    </row>
    <row r="32" spans="1:19" x14ac:dyDescent="0.2">
      <c r="A32" s="12" t="str">
        <f>Technologies!C210</f>
        <v>TSDSLE</v>
      </c>
      <c r="B32" s="12" t="str">
        <f>Technologies!D210</f>
        <v>Water Shipping, Diesel exisiting</v>
      </c>
      <c r="C32" s="12" t="s">
        <v>1626</v>
      </c>
      <c r="D32" s="12" t="s">
        <v>1627</v>
      </c>
      <c r="E32" s="12"/>
      <c r="F32" s="12">
        <v>2005</v>
      </c>
      <c r="G32" s="12">
        <v>30</v>
      </c>
      <c r="H32" s="53">
        <v>20.108902754128071</v>
      </c>
      <c r="I32" s="53">
        <v>1.0054451377064035</v>
      </c>
      <c r="J32" s="16">
        <v>1.9172146697629859</v>
      </c>
      <c r="N32" s="24" t="s">
        <v>1628</v>
      </c>
      <c r="O32" s="33">
        <v>1924140</v>
      </c>
      <c r="P32" s="12">
        <v>10340</v>
      </c>
      <c r="Q32" s="33">
        <v>1068</v>
      </c>
      <c r="R32" s="33">
        <v>0</v>
      </c>
      <c r="S32" s="99">
        <v>1935548</v>
      </c>
    </row>
    <row r="33" spans="1:19" x14ac:dyDescent="0.2">
      <c r="A33" s="12" t="str">
        <f>Technologies!C211</f>
        <v>TSDSL10</v>
      </c>
      <c r="B33" s="12" t="str">
        <f>Technologies!D212</f>
        <v>Water Shipping, Diesel Fuel Inj, 2015</v>
      </c>
      <c r="C33" s="12" t="s">
        <v>1629</v>
      </c>
      <c r="D33" s="12" t="s">
        <v>922</v>
      </c>
      <c r="E33" s="12"/>
      <c r="F33" s="12">
        <v>2015</v>
      </c>
      <c r="G33" s="12">
        <v>30</v>
      </c>
      <c r="H33" s="53">
        <v>20.720414164558093</v>
      </c>
      <c r="I33" s="53">
        <v>1.027903765563994</v>
      </c>
      <c r="J33" s="16">
        <v>2.178653033821575</v>
      </c>
      <c r="N33" s="24" t="s">
        <v>1630</v>
      </c>
      <c r="O33" s="33">
        <v>44117993</v>
      </c>
      <c r="P33" s="33">
        <v>65633</v>
      </c>
      <c r="Q33" s="33">
        <v>2627</v>
      </c>
      <c r="R33" s="33">
        <v>2191469</v>
      </c>
      <c r="S33" s="99">
        <v>46377722</v>
      </c>
    </row>
    <row r="34" spans="1:19" x14ac:dyDescent="0.2">
      <c r="A34" s="12" t="str">
        <f>Technologies!C212</f>
        <v>TSDSLFI15</v>
      </c>
      <c r="B34" s="12" t="str">
        <f>Technologies!D211</f>
        <v>Water Shipping, Diesel,2010</v>
      </c>
      <c r="C34" s="12" t="s">
        <v>1631</v>
      </c>
      <c r="D34" s="12" t="s">
        <v>922</v>
      </c>
      <c r="E34" s="12"/>
      <c r="F34" s="12">
        <v>2010</v>
      </c>
      <c r="G34" s="12">
        <v>30</v>
      </c>
      <c r="H34" s="53">
        <v>20.327834233585889</v>
      </c>
      <c r="I34" s="53">
        <v>1.0163917116792944</v>
      </c>
      <c r="J34" s="16">
        <v>2.1302385219588733</v>
      </c>
      <c r="N34" s="24" t="s">
        <v>1632</v>
      </c>
      <c r="O34" s="33">
        <v>5026548</v>
      </c>
      <c r="P34" s="12">
        <v>99213</v>
      </c>
      <c r="Q34" s="33">
        <v>3827</v>
      </c>
      <c r="R34" s="33">
        <v>11313</v>
      </c>
      <c r="S34" s="99">
        <v>5140901</v>
      </c>
    </row>
    <row r="35" spans="1:19" x14ac:dyDescent="0.2">
      <c r="A35" s="12" t="str">
        <f>Technologies!C213</f>
        <v>TSDSLHE15</v>
      </c>
      <c r="B35" s="12" t="str">
        <f>Technologies!D213</f>
        <v>Water Shipping, Diesel, Hybrid Electric, 2015</v>
      </c>
      <c r="C35" s="12" t="s">
        <v>1633</v>
      </c>
      <c r="D35" s="12" t="s">
        <v>922</v>
      </c>
      <c r="E35" s="12"/>
      <c r="F35" s="12">
        <v>2015</v>
      </c>
      <c r="G35" s="12">
        <v>30</v>
      </c>
      <c r="H35" s="53">
        <v>23.870342449190009</v>
      </c>
      <c r="I35" s="53">
        <v>1.1935171224595005</v>
      </c>
      <c r="J35" s="16">
        <v>2.3965183372037324</v>
      </c>
      <c r="N35" s="24" t="s">
        <v>1634</v>
      </c>
      <c r="O35" s="33">
        <v>732098</v>
      </c>
      <c r="P35" s="33">
        <v>37370</v>
      </c>
      <c r="Q35" s="33">
        <v>3687</v>
      </c>
      <c r="R35" s="33">
        <v>1</v>
      </c>
      <c r="S35" s="99">
        <v>773156</v>
      </c>
    </row>
    <row r="36" spans="1:19" ht="8.25" customHeight="1" x14ac:dyDescent="0.2">
      <c r="C36" s="12"/>
      <c r="D36" s="12"/>
      <c r="E36" s="12"/>
      <c r="F36" s="12"/>
      <c r="G36" s="12"/>
      <c r="H36" s="53"/>
      <c r="I36" s="53"/>
      <c r="J36" s="16"/>
      <c r="N36" s="24" t="s">
        <v>1635</v>
      </c>
      <c r="O36" s="100">
        <v>13637278</v>
      </c>
      <c r="P36" s="33">
        <v>34719</v>
      </c>
      <c r="Q36" s="100">
        <v>1336</v>
      </c>
      <c r="R36" s="100">
        <v>39344</v>
      </c>
      <c r="S36" s="99">
        <v>13712677</v>
      </c>
    </row>
    <row r="37" spans="1:19" x14ac:dyDescent="0.2">
      <c r="A37" s="12" t="str">
        <f>Technologies!C206</f>
        <v>TSDSHE</v>
      </c>
      <c r="B37" s="12" t="str">
        <f>Technologies!D206</f>
        <v>Water Shipping, Residual Oil exisiting</v>
      </c>
      <c r="C37" s="12" t="s">
        <v>1636</v>
      </c>
      <c r="D37" s="12" t="s">
        <v>1637</v>
      </c>
      <c r="E37" s="12"/>
      <c r="F37" s="12">
        <v>2005</v>
      </c>
      <c r="G37" s="12">
        <v>30</v>
      </c>
      <c r="H37" s="53">
        <v>116.69461084272677</v>
      </c>
      <c r="I37" s="53">
        <v>5.8347305421363389</v>
      </c>
      <c r="J37" s="16">
        <v>2.4581977639536889</v>
      </c>
      <c r="N37" s="24" t="s">
        <v>1638</v>
      </c>
      <c r="O37" s="33">
        <v>5160376</v>
      </c>
      <c r="P37" s="33">
        <v>37992</v>
      </c>
      <c r="Q37" s="33">
        <v>663</v>
      </c>
      <c r="R37" s="33">
        <v>23231</v>
      </c>
      <c r="S37" s="99">
        <v>5222262</v>
      </c>
    </row>
    <row r="38" spans="1:19" x14ac:dyDescent="0.2">
      <c r="A38" s="12" t="str">
        <f>Technologies!C207</f>
        <v>TSDSH10</v>
      </c>
      <c r="B38" s="12" t="str">
        <f>Technologies!D208</f>
        <v>Water Shipping, Resid Fuel Inject, 2015</v>
      </c>
      <c r="C38" s="12" t="s">
        <v>1629</v>
      </c>
      <c r="D38" s="12" t="s">
        <v>1639</v>
      </c>
      <c r="E38" s="12"/>
      <c r="F38" s="12">
        <v>2015</v>
      </c>
      <c r="G38" s="12">
        <v>30</v>
      </c>
      <c r="H38" s="53">
        <v>120.72361650800623</v>
      </c>
      <c r="I38" s="53">
        <v>6.0361808254003115</v>
      </c>
      <c r="J38" s="16">
        <v>2.7934065499473739</v>
      </c>
      <c r="N38" s="24" t="s">
        <v>1640</v>
      </c>
      <c r="O38" s="33">
        <v>11731321</v>
      </c>
      <c r="P38" s="33">
        <v>512124</v>
      </c>
      <c r="Q38" s="33">
        <v>179167</v>
      </c>
      <c r="R38" s="33">
        <v>1313889</v>
      </c>
      <c r="S38" s="99">
        <v>13736501</v>
      </c>
    </row>
    <row r="39" spans="1:19" x14ac:dyDescent="0.2">
      <c r="A39" s="12" t="str">
        <f>Technologies!C208</f>
        <v>TSDSHFI15</v>
      </c>
      <c r="B39" s="12" t="str">
        <f>Technologies!D207</f>
        <v>Water Shipping, Residual Oil, 2010</v>
      </c>
      <c r="C39" s="12" t="s">
        <v>1631</v>
      </c>
      <c r="D39" s="12" t="s">
        <v>1639</v>
      </c>
      <c r="E39" s="12"/>
      <c r="F39" s="12">
        <v>2010</v>
      </c>
      <c r="G39" s="12">
        <v>30</v>
      </c>
      <c r="H39" s="53">
        <v>116.82165966338562</v>
      </c>
      <c r="I39" s="53">
        <v>5.8410829831692812</v>
      </c>
      <c r="J39" s="16">
        <v>2.7313308488374322</v>
      </c>
      <c r="N39" s="24" t="s">
        <v>1641</v>
      </c>
      <c r="O39" s="33">
        <v>9565762</v>
      </c>
      <c r="P39" s="33">
        <v>145627</v>
      </c>
      <c r="Q39" s="33">
        <v>256</v>
      </c>
      <c r="R39" s="33">
        <v>187414</v>
      </c>
      <c r="S39" s="99">
        <v>9899059</v>
      </c>
    </row>
    <row r="40" spans="1:19" x14ac:dyDescent="0.2">
      <c r="A40" s="12" t="str">
        <f>Technologies!C209</f>
        <v>TSDSHBL15</v>
      </c>
      <c r="B40" s="12" t="str">
        <f>Technologies!D209</f>
        <v>Water Shipping, Resid Bubble Lub, 2015</v>
      </c>
      <c r="C40" s="12" t="s">
        <v>1642</v>
      </c>
      <c r="D40" s="12" t="s">
        <v>1639</v>
      </c>
      <c r="E40" s="12"/>
      <c r="F40" s="12">
        <v>2015</v>
      </c>
      <c r="G40" s="12">
        <v>30</v>
      </c>
      <c r="H40" s="53">
        <v>121.07065874932904</v>
      </c>
      <c r="I40" s="53">
        <v>6.0535329374664526</v>
      </c>
      <c r="J40" s="16">
        <v>2.8093688730899302</v>
      </c>
      <c r="N40" s="24" t="s">
        <v>1643</v>
      </c>
      <c r="O40" s="33">
        <v>1039336</v>
      </c>
      <c r="P40" s="33">
        <v>47922</v>
      </c>
      <c r="Q40" s="33">
        <v>7939</v>
      </c>
      <c r="R40" s="33">
        <v>117892</v>
      </c>
      <c r="S40" s="99">
        <v>1213089</v>
      </c>
    </row>
    <row r="41" spans="1:19" x14ac:dyDescent="0.2">
      <c r="N41" s="24" t="s">
        <v>1644</v>
      </c>
      <c r="O41" s="33">
        <v>20040973</v>
      </c>
      <c r="P41" s="33">
        <v>139519</v>
      </c>
      <c r="Q41" s="33">
        <v>18597</v>
      </c>
      <c r="R41" s="33">
        <v>191136</v>
      </c>
      <c r="S41" s="99">
        <v>20390225</v>
      </c>
    </row>
    <row r="42" spans="1:19" x14ac:dyDescent="0.2">
      <c r="N42" s="24" t="s">
        <v>1645</v>
      </c>
      <c r="O42" s="33">
        <v>18290139</v>
      </c>
      <c r="P42" s="12">
        <v>17358</v>
      </c>
      <c r="Q42" s="33">
        <v>1861</v>
      </c>
      <c r="R42" s="33">
        <v>63138</v>
      </c>
      <c r="S42" s="99">
        <v>18372496</v>
      </c>
    </row>
    <row r="43" spans="1:19" x14ac:dyDescent="0.2">
      <c r="D43" s="12"/>
      <c r="E43" s="12"/>
      <c r="F43" s="12"/>
      <c r="G43" s="12"/>
      <c r="H43" s="12"/>
      <c r="I43" s="12"/>
      <c r="J43" s="12"/>
      <c r="K43" s="12"/>
      <c r="L43" s="12"/>
      <c r="M43" s="12"/>
      <c r="N43" s="24" t="s">
        <v>1646</v>
      </c>
      <c r="O43" s="33">
        <v>12241043</v>
      </c>
      <c r="P43" s="33">
        <v>119456</v>
      </c>
      <c r="Q43" s="33">
        <v>487</v>
      </c>
      <c r="R43" s="33">
        <v>31020</v>
      </c>
      <c r="S43" s="99">
        <v>12392006</v>
      </c>
    </row>
    <row r="44" spans="1:19" x14ac:dyDescent="0.2">
      <c r="C44" s="12" t="s">
        <v>1647</v>
      </c>
      <c r="D44" s="12"/>
      <c r="E44" s="12"/>
      <c r="F44" s="12"/>
      <c r="G44" s="12"/>
      <c r="H44" s="12"/>
      <c r="I44" s="12"/>
      <c r="J44" s="12"/>
      <c r="K44" s="12"/>
      <c r="L44" s="12">
        <v>2010</v>
      </c>
      <c r="M44" s="12" t="s">
        <v>1648</v>
      </c>
      <c r="N44" s="24" t="s">
        <v>1649</v>
      </c>
      <c r="O44" s="33">
        <v>1229561</v>
      </c>
      <c r="P44" s="12">
        <v>2390</v>
      </c>
      <c r="Q44" s="33">
        <v>393</v>
      </c>
      <c r="R44" s="33">
        <v>0</v>
      </c>
      <c r="S44" s="99">
        <v>1232344</v>
      </c>
    </row>
    <row r="45" spans="1:19" x14ac:dyDescent="0.2">
      <c r="C45" s="12" t="s">
        <v>1650</v>
      </c>
      <c r="D45" s="12" t="s">
        <v>1651</v>
      </c>
      <c r="E45" s="12" t="s">
        <v>149</v>
      </c>
      <c r="F45" s="12" t="s">
        <v>137</v>
      </c>
      <c r="G45" s="12" t="s">
        <v>129</v>
      </c>
      <c r="H45" s="12" t="s">
        <v>145</v>
      </c>
      <c r="I45" s="12" t="s">
        <v>125</v>
      </c>
      <c r="J45" s="12" t="s">
        <v>133</v>
      </c>
      <c r="K45" s="12" t="s">
        <v>1309</v>
      </c>
      <c r="L45" s="12" t="s">
        <v>125</v>
      </c>
      <c r="M45" s="12" t="s">
        <v>125</v>
      </c>
      <c r="N45" s="24" t="s">
        <v>1652</v>
      </c>
      <c r="O45" s="33">
        <v>1446955</v>
      </c>
      <c r="P45" s="12">
        <v>55667</v>
      </c>
      <c r="Q45" s="33">
        <v>12992</v>
      </c>
      <c r="R45" s="33">
        <v>0</v>
      </c>
      <c r="S45" s="99">
        <v>1515614</v>
      </c>
    </row>
    <row r="46" spans="1:19" x14ac:dyDescent="0.2">
      <c r="C46" s="12" t="str">
        <f>B32</f>
        <v>Water Shipping, Diesel exisiting</v>
      </c>
      <c r="D46" s="27">
        <v>8.9145194197183053E-4</v>
      </c>
      <c r="E46" s="27">
        <v>2.7857873186619706E-3</v>
      </c>
      <c r="F46" s="27">
        <v>1.3258786622609422E-2</v>
      </c>
      <c r="G46" s="27">
        <v>0.82814272231156594</v>
      </c>
      <c r="H46" s="27">
        <v>7.2936953132083177E-2</v>
      </c>
      <c r="I46" s="27">
        <v>0.10901366185084826</v>
      </c>
      <c r="J46" s="27">
        <v>1.329966674580349E-2</v>
      </c>
      <c r="K46" s="27">
        <v>1.329966674580349E-2</v>
      </c>
      <c r="L46" s="27">
        <v>3.5974508410779926E-2</v>
      </c>
      <c r="M46" s="27">
        <v>3.5974508410779927E-3</v>
      </c>
      <c r="N46" s="24" t="s">
        <v>1653</v>
      </c>
      <c r="O46" s="33">
        <v>20100029</v>
      </c>
      <c r="P46" s="12">
        <v>914238</v>
      </c>
      <c r="Q46" s="33">
        <v>1311</v>
      </c>
      <c r="R46" s="33">
        <v>107856</v>
      </c>
      <c r="S46" s="99">
        <v>21123434</v>
      </c>
    </row>
    <row r="47" spans="1:19" x14ac:dyDescent="0.2">
      <c r="C47" s="12" t="str">
        <f>B37</f>
        <v>Water Shipping, Residual Oil exisiting</v>
      </c>
      <c r="D47" s="27">
        <v>7.7091027770749673E-4</v>
      </c>
      <c r="E47" s="27">
        <v>2.217651898871899E-3</v>
      </c>
      <c r="F47" s="27">
        <v>1.3499665637468579E-2</v>
      </c>
      <c r="G47" s="27">
        <v>0.82187223780518093</v>
      </c>
      <c r="H47" s="27">
        <v>4.2023509071137867E-2</v>
      </c>
      <c r="I47" s="27">
        <v>0.50817071957737692</v>
      </c>
      <c r="J47" s="27">
        <v>4.9673687838688592E-2</v>
      </c>
      <c r="K47" s="27">
        <v>4.9673687838688592E-2</v>
      </c>
      <c r="L47" s="27">
        <v>0.16769633746053439</v>
      </c>
      <c r="M47" s="27">
        <v>1.676963374605344E-2</v>
      </c>
      <c r="N47" s="24" t="s">
        <v>1654</v>
      </c>
      <c r="O47" s="33">
        <v>626882</v>
      </c>
      <c r="P47" s="12">
        <v>10464</v>
      </c>
      <c r="Q47" s="33">
        <v>924</v>
      </c>
      <c r="R47" s="33">
        <v>33</v>
      </c>
      <c r="S47" s="99">
        <v>638303</v>
      </c>
    </row>
    <row r="48" spans="1:19" x14ac:dyDescent="0.2">
      <c r="C48" s="12" t="s">
        <v>1655</v>
      </c>
      <c r="F48" s="27">
        <v>1.1932907960348481E-2</v>
      </c>
      <c r="G48" s="27">
        <v>0.74532845008040938</v>
      </c>
      <c r="H48" s="27">
        <v>6.5643257818874867E-2</v>
      </c>
      <c r="N48" s="24" t="s">
        <v>1656</v>
      </c>
      <c r="O48" s="33">
        <v>2240054</v>
      </c>
      <c r="P48" s="33">
        <v>47277</v>
      </c>
      <c r="Q48" s="33">
        <v>700</v>
      </c>
      <c r="R48" s="33">
        <v>179</v>
      </c>
      <c r="S48" s="99">
        <v>2288210</v>
      </c>
    </row>
    <row r="49" spans="1:19" x14ac:dyDescent="0.2">
      <c r="C49" s="12" t="s">
        <v>1657</v>
      </c>
      <c r="F49" s="27">
        <v>1.2149699073721721E-2</v>
      </c>
      <c r="G49" s="27">
        <v>0.7396850140246628</v>
      </c>
      <c r="H49" s="27">
        <v>3.782115816402408E-2</v>
      </c>
      <c r="N49" s="24"/>
      <c r="O49" s="33"/>
      <c r="P49" s="33"/>
      <c r="Q49" s="33"/>
      <c r="R49" s="33"/>
      <c r="S49" s="99"/>
    </row>
    <row r="50" spans="1:19" x14ac:dyDescent="0.2">
      <c r="A50" s="12" t="s">
        <v>1658</v>
      </c>
      <c r="K50" s="53" t="s">
        <v>1659</v>
      </c>
      <c r="L50" s="12" t="s">
        <v>1660</v>
      </c>
      <c r="N50" s="24" t="s">
        <v>1661</v>
      </c>
      <c r="O50" s="33">
        <v>2106144</v>
      </c>
      <c r="P50" s="12">
        <v>49867</v>
      </c>
      <c r="Q50" s="33">
        <v>2637</v>
      </c>
      <c r="R50" s="33">
        <v>9066</v>
      </c>
      <c r="S50" s="99">
        <v>2167714</v>
      </c>
    </row>
    <row r="51" spans="1:19" x14ac:dyDescent="0.2">
      <c r="A51" s="12" t="s">
        <v>1662</v>
      </c>
      <c r="K51" s="27">
        <f>K46*0.43</f>
        <v>5.7188567006955003E-3</v>
      </c>
      <c r="L51" s="27">
        <f>K46*0.21</f>
        <v>2.7929300166187328E-3</v>
      </c>
      <c r="N51" s="24" t="s">
        <v>1663</v>
      </c>
      <c r="O51" s="33">
        <v>15357185</v>
      </c>
      <c r="P51" s="12">
        <v>1624</v>
      </c>
      <c r="Q51" s="33">
        <v>2045</v>
      </c>
      <c r="R51" s="33">
        <v>1560508</v>
      </c>
      <c r="S51" s="99">
        <v>16921362</v>
      </c>
    </row>
    <row r="52" spans="1:19" x14ac:dyDescent="0.2">
      <c r="B52" s="12" t="s">
        <v>1664</v>
      </c>
      <c r="K52" s="27">
        <f>K47*0.43</f>
        <v>2.1359685770636093E-2</v>
      </c>
      <c r="L52" s="27">
        <f>K47*0.21</f>
        <v>1.0431474446124604E-2</v>
      </c>
      <c r="N52" s="24" t="s">
        <v>1665</v>
      </c>
      <c r="O52" s="33">
        <v>3139047</v>
      </c>
      <c r="P52" s="33">
        <v>81737</v>
      </c>
      <c r="Q52" s="33">
        <v>2668</v>
      </c>
      <c r="R52" s="33">
        <v>0</v>
      </c>
      <c r="S52" s="99">
        <v>3223452</v>
      </c>
    </row>
    <row r="53" spans="1:19" x14ac:dyDescent="0.2">
      <c r="A53" s="12" t="s">
        <v>1666</v>
      </c>
      <c r="N53" s="24" t="s">
        <v>1667</v>
      </c>
      <c r="O53" s="33">
        <v>23281923</v>
      </c>
      <c r="P53" s="33">
        <v>180068</v>
      </c>
      <c r="Q53" s="33">
        <v>172172</v>
      </c>
      <c r="R53" s="33">
        <v>626377</v>
      </c>
      <c r="S53" s="99">
        <v>24260540</v>
      </c>
    </row>
    <row r="54" spans="1:19" x14ac:dyDescent="0.2">
      <c r="B54" s="12" t="s">
        <v>1668</v>
      </c>
      <c r="N54" s="24" t="s">
        <v>1669</v>
      </c>
      <c r="O54" s="33">
        <v>34674105</v>
      </c>
      <c r="P54" s="33">
        <v>985088</v>
      </c>
      <c r="Q54" s="33">
        <v>6798</v>
      </c>
      <c r="R54" s="33">
        <v>6276521</v>
      </c>
      <c r="S54" s="99">
        <v>41942512</v>
      </c>
    </row>
    <row r="55" spans="1:19" x14ac:dyDescent="0.2">
      <c r="A55" s="12" t="s">
        <v>1670</v>
      </c>
      <c r="N55" s="24" t="s">
        <v>1671</v>
      </c>
      <c r="O55" s="33">
        <v>10765202</v>
      </c>
      <c r="P55" s="12">
        <v>209838</v>
      </c>
      <c r="Q55" s="33">
        <v>1515</v>
      </c>
      <c r="R55" s="33">
        <v>35479</v>
      </c>
      <c r="S55" s="99">
        <v>11012034</v>
      </c>
    </row>
    <row r="56" spans="1:19" x14ac:dyDescent="0.2">
      <c r="N56" s="24" t="s">
        <v>1672</v>
      </c>
      <c r="O56" s="33">
        <v>3387812</v>
      </c>
      <c r="P56" s="12">
        <v>0</v>
      </c>
      <c r="Q56" s="33">
        <v>248</v>
      </c>
      <c r="R56" s="33">
        <v>52</v>
      </c>
      <c r="S56" s="99">
        <v>3388112</v>
      </c>
    </row>
    <row r="57" spans="1:19" x14ac:dyDescent="0.2">
      <c r="N57" s="24" t="s">
        <v>1673</v>
      </c>
      <c r="O57" s="33">
        <v>7565369</v>
      </c>
      <c r="P57" s="12">
        <v>2521</v>
      </c>
      <c r="Q57" s="33">
        <v>1713</v>
      </c>
      <c r="R57" s="33">
        <v>128172</v>
      </c>
      <c r="S57" s="99">
        <v>7697775</v>
      </c>
    </row>
    <row r="58" spans="1:19" x14ac:dyDescent="0.2">
      <c r="N58" s="24" t="s">
        <v>1674</v>
      </c>
      <c r="O58" s="33">
        <v>20507207</v>
      </c>
      <c r="P58" s="33">
        <v>1378768</v>
      </c>
      <c r="Q58" s="33">
        <v>3090</v>
      </c>
      <c r="R58" s="33">
        <v>397549</v>
      </c>
      <c r="S58" s="99">
        <v>22286614</v>
      </c>
    </row>
    <row r="59" spans="1:19" x14ac:dyDescent="0.2">
      <c r="N59" s="24" t="s">
        <v>1675</v>
      </c>
      <c r="O59" s="33">
        <v>2798944</v>
      </c>
      <c r="P59" s="33">
        <v>37352</v>
      </c>
      <c r="Q59" s="33">
        <v>93</v>
      </c>
      <c r="R59" s="33">
        <v>9613</v>
      </c>
      <c r="S59" s="99">
        <v>2846002</v>
      </c>
    </row>
    <row r="60" spans="1:19" x14ac:dyDescent="0.2">
      <c r="N60" s="24" t="s">
        <v>1676</v>
      </c>
      <c r="O60" s="33">
        <v>3443639</v>
      </c>
      <c r="P60" s="33">
        <v>144234</v>
      </c>
      <c r="Q60" s="33">
        <v>696</v>
      </c>
      <c r="R60" s="33">
        <v>58</v>
      </c>
      <c r="S60" s="99">
        <v>3588627</v>
      </c>
    </row>
    <row r="61" spans="1:19" x14ac:dyDescent="0.2">
      <c r="N61" s="24" t="s">
        <v>1677</v>
      </c>
      <c r="O61" s="33">
        <v>647171</v>
      </c>
      <c r="P61" s="12">
        <v>6382</v>
      </c>
      <c r="Q61" s="33">
        <v>1303</v>
      </c>
      <c r="R61" s="33">
        <v>0</v>
      </c>
      <c r="S61" s="99">
        <v>654856</v>
      </c>
    </row>
    <row r="62" spans="1:19" x14ac:dyDescent="0.2">
      <c r="N62" s="24" t="s">
        <v>1678</v>
      </c>
      <c r="O62" s="33">
        <v>11468758</v>
      </c>
      <c r="P62" s="33">
        <v>114121</v>
      </c>
      <c r="Q62" s="33">
        <v>959</v>
      </c>
      <c r="R62" s="33">
        <v>10636</v>
      </c>
      <c r="S62" s="99">
        <v>11594474</v>
      </c>
    </row>
    <row r="63" spans="1:19" x14ac:dyDescent="0.2">
      <c r="N63" s="24" t="s">
        <v>1679</v>
      </c>
      <c r="O63" s="33">
        <v>65169364</v>
      </c>
      <c r="P63" s="33">
        <v>288851</v>
      </c>
      <c r="Q63" s="33">
        <v>3920</v>
      </c>
      <c r="R63" s="33">
        <v>983303</v>
      </c>
      <c r="S63" s="99">
        <v>66445438</v>
      </c>
    </row>
    <row r="64" spans="1:19" x14ac:dyDescent="0.2">
      <c r="N64" s="24" t="s">
        <v>1680</v>
      </c>
      <c r="O64" s="33">
        <v>10673649</v>
      </c>
      <c r="P64" s="33">
        <v>5843</v>
      </c>
      <c r="Q64" s="33">
        <v>1958</v>
      </c>
      <c r="R64" s="33">
        <v>10101</v>
      </c>
      <c r="S64" s="99">
        <v>10691551</v>
      </c>
    </row>
    <row r="65" spans="14:19" x14ac:dyDescent="0.2">
      <c r="N65" s="24" t="s">
        <v>1681</v>
      </c>
      <c r="O65" s="33">
        <f>24282670-O27</f>
        <v>15774963</v>
      </c>
      <c r="P65" s="33">
        <f>507598-P27</f>
        <v>493014</v>
      </c>
      <c r="Q65" s="33">
        <v>4448</v>
      </c>
      <c r="R65" s="33">
        <f>1376660-R27</f>
        <v>1275044</v>
      </c>
      <c r="S65" s="99">
        <f>26171376-S27</f>
        <v>17547469</v>
      </c>
    </row>
    <row r="66" spans="14:19" x14ac:dyDescent="0.2">
      <c r="N66" s="24" t="s">
        <v>1682</v>
      </c>
      <c r="O66" s="33">
        <v>645302</v>
      </c>
      <c r="P66" s="33">
        <v>45239</v>
      </c>
      <c r="Q66" s="33">
        <v>99</v>
      </c>
      <c r="R66" s="33">
        <v>1</v>
      </c>
      <c r="S66" s="99">
        <v>690641</v>
      </c>
    </row>
    <row r="67" spans="14:19" x14ac:dyDescent="0.2">
      <c r="N67" s="24" t="s">
        <v>1683</v>
      </c>
      <c r="O67" s="33">
        <v>16032335</v>
      </c>
      <c r="P67" s="33">
        <v>68446</v>
      </c>
      <c r="Q67" s="33">
        <v>4224</v>
      </c>
      <c r="R67" s="33">
        <v>396331</v>
      </c>
      <c r="S67" s="99">
        <v>16501336</v>
      </c>
    </row>
    <row r="68" spans="14:19" x14ac:dyDescent="0.2">
      <c r="N68" s="24" t="s">
        <v>1684</v>
      </c>
      <c r="O68" s="33">
        <v>4895530</v>
      </c>
      <c r="P68" s="12">
        <v>568126</v>
      </c>
      <c r="Q68" s="33">
        <v>1890</v>
      </c>
      <c r="R68" s="33">
        <v>14391</v>
      </c>
      <c r="S68" s="99">
        <v>5479937</v>
      </c>
    </row>
    <row r="69" spans="14:19" x14ac:dyDescent="0.2">
      <c r="N69" s="24" t="s">
        <v>1685</v>
      </c>
      <c r="O69" s="33">
        <v>299923</v>
      </c>
      <c r="P69" s="33">
        <v>115807</v>
      </c>
      <c r="Q69" s="33">
        <v>464</v>
      </c>
      <c r="R69" s="33">
        <v>27</v>
      </c>
      <c r="S69" s="99">
        <v>416221</v>
      </c>
    </row>
    <row r="70" spans="14:19" x14ac:dyDescent="0.2">
      <c r="N70" s="24" t="s">
        <v>1686</v>
      </c>
      <c r="O70" s="33">
        <v>366357</v>
      </c>
      <c r="P70" s="33">
        <v>78229</v>
      </c>
      <c r="Q70" s="33">
        <v>609</v>
      </c>
      <c r="R70" s="33">
        <v>0</v>
      </c>
      <c r="S70" s="99">
        <v>445195</v>
      </c>
    </row>
    <row r="71" spans="14:19" x14ac:dyDescent="0.2">
      <c r="N71" s="101"/>
      <c r="O71" s="102"/>
      <c r="P71" s="102"/>
      <c r="Q71" s="102" t="s">
        <v>1687</v>
      </c>
      <c r="R71" s="102"/>
      <c r="S71" s="103">
        <f>SUM(S20:S70)</f>
        <v>727806157</v>
      </c>
    </row>
    <row r="73" spans="14:19" x14ac:dyDescent="0.2">
      <c r="N73" s="52" t="s">
        <v>1688</v>
      </c>
    </row>
  </sheetData>
  <phoneticPr fontId="18" type="noConversion"/>
  <hyperlinks>
    <hyperlink ref="N73" r:id="rId1" xr:uid="{00000000-0004-0000-2300-000000000000}"/>
  </hyperlinks>
  <pageMargins left="0.75" right="0.75" top="1" bottom="1" header="0.5" footer="0.5"/>
  <pageSetup orientation="portrait" r:id="rId2"/>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0" tint="-0.34998626667073579"/>
  </sheetPr>
  <dimension ref="A1:Z100"/>
  <sheetViews>
    <sheetView showFormulas="1" topLeftCell="K43" zoomScale="82" zoomScaleNormal="82" workbookViewId="0">
      <selection activeCell="N36" sqref="N36"/>
    </sheetView>
  </sheetViews>
  <sheetFormatPr defaultColWidth="9.140625" defaultRowHeight="12.75" x14ac:dyDescent="0.2"/>
  <cols>
    <col min="1" max="1" width="25.140625" style="268" customWidth="1"/>
    <col min="2" max="2" width="16.85546875" style="268" customWidth="1"/>
    <col min="3" max="3" width="23" style="268" customWidth="1"/>
    <col min="4" max="4" width="18.140625" style="268" customWidth="1"/>
    <col min="5" max="5" width="26.5703125" style="268" customWidth="1"/>
    <col min="6" max="6" width="13.85546875" style="268" customWidth="1"/>
    <col min="7" max="7" width="11.140625" style="268" customWidth="1"/>
    <col min="8" max="8" width="6.5703125" style="268" customWidth="1"/>
    <col min="9" max="9" width="5.140625" style="268" customWidth="1"/>
    <col min="10" max="10" width="20.140625" style="268" customWidth="1"/>
    <col min="11" max="14" width="12.5703125" style="268" customWidth="1"/>
    <col min="15" max="15" width="21.5703125" style="268" customWidth="1"/>
    <col min="16" max="16" width="7.140625" style="268" customWidth="1"/>
    <col min="17" max="24" width="9.140625" style="268"/>
    <col min="25" max="25" width="9.5703125" style="268" customWidth="1"/>
    <col min="26" max="16384" width="9.140625" style="268"/>
  </cols>
  <sheetData>
    <row r="1" spans="1:26" x14ac:dyDescent="0.2">
      <c r="A1" s="266"/>
      <c r="B1" s="264" t="s">
        <v>1689</v>
      </c>
      <c r="C1" s="266"/>
      <c r="D1" s="266"/>
      <c r="E1" s="266"/>
      <c r="F1" s="266"/>
      <c r="G1" s="266"/>
      <c r="H1" s="267"/>
      <c r="I1" s="868"/>
      <c r="J1" s="868"/>
      <c r="K1" s="868"/>
      <c r="L1" s="868"/>
      <c r="M1" s="868"/>
      <c r="N1" s="868"/>
      <c r="O1" s="868"/>
      <c r="P1" s="868"/>
      <c r="Q1" s="868"/>
      <c r="R1" s="868"/>
      <c r="S1" s="868"/>
      <c r="T1" s="868"/>
      <c r="U1" s="868"/>
      <c r="V1" s="868"/>
      <c r="W1" s="868"/>
      <c r="X1" s="868"/>
      <c r="Y1" s="868"/>
      <c r="Z1" s="868"/>
    </row>
    <row r="2" spans="1:26" x14ac:dyDescent="0.2">
      <c r="A2" s="269"/>
      <c r="B2" s="269"/>
      <c r="C2" s="269"/>
      <c r="D2" s="269"/>
      <c r="E2" s="269"/>
      <c r="F2" s="269"/>
      <c r="G2" s="269"/>
      <c r="H2" s="269"/>
      <c r="I2" s="265"/>
      <c r="J2" s="265"/>
      <c r="K2" s="265"/>
      <c r="L2" s="265"/>
      <c r="M2" s="265"/>
      <c r="N2" s="265"/>
      <c r="O2" s="265"/>
      <c r="P2" s="265"/>
      <c r="Q2" s="265"/>
      <c r="R2" s="265"/>
      <c r="S2" s="265"/>
      <c r="T2" s="265"/>
      <c r="U2" s="265"/>
      <c r="V2" s="265"/>
      <c r="W2" s="265"/>
      <c r="X2" s="265"/>
      <c r="Y2" s="265"/>
      <c r="Z2" s="265"/>
    </row>
    <row r="3" spans="1:26" ht="13.5" thickBot="1" x14ac:dyDescent="0.25">
      <c r="A3" s="270" t="s">
        <v>710</v>
      </c>
      <c r="B3" s="270" t="s">
        <v>496</v>
      </c>
      <c r="C3" s="270" t="s">
        <v>497</v>
      </c>
      <c r="D3" s="271" t="s">
        <v>1214</v>
      </c>
      <c r="E3" s="271" t="s">
        <v>474</v>
      </c>
      <c r="F3" s="272" t="s">
        <v>476</v>
      </c>
      <c r="G3" s="272" t="s">
        <v>477</v>
      </c>
      <c r="H3" s="272" t="s">
        <v>475</v>
      </c>
      <c r="I3" s="265"/>
      <c r="J3" s="265">
        <v>2010</v>
      </c>
      <c r="K3" s="265">
        <v>2015</v>
      </c>
      <c r="L3" s="265">
        <v>2020</v>
      </c>
      <c r="M3" s="265">
        <v>2025</v>
      </c>
      <c r="N3" s="265">
        <v>2030</v>
      </c>
      <c r="O3" s="265">
        <v>2035</v>
      </c>
      <c r="P3" s="265"/>
      <c r="Q3" s="265"/>
      <c r="R3" s="265"/>
      <c r="S3" s="265"/>
      <c r="T3" s="265"/>
      <c r="U3" s="265"/>
      <c r="V3" s="265"/>
      <c r="W3" s="265"/>
      <c r="X3" s="265"/>
      <c r="Y3" s="265"/>
      <c r="Z3" s="265"/>
    </row>
    <row r="4" spans="1:26" ht="33.75" x14ac:dyDescent="0.2">
      <c r="A4" s="273"/>
      <c r="B4" s="273"/>
      <c r="C4" s="67"/>
      <c r="D4" s="272"/>
      <c r="E4" s="272"/>
      <c r="F4" s="274" t="s">
        <v>1690</v>
      </c>
      <c r="G4" s="274" t="s">
        <v>1690</v>
      </c>
      <c r="H4" s="274" t="s">
        <v>1569</v>
      </c>
      <c r="I4" s="265"/>
      <c r="J4" s="265"/>
      <c r="K4" s="265"/>
      <c r="L4" s="265"/>
      <c r="M4" s="265"/>
      <c r="N4" s="265"/>
      <c r="O4" s="265"/>
      <c r="P4" s="869"/>
      <c r="Q4" s="275" t="s">
        <v>1691</v>
      </c>
      <c r="R4" s="275"/>
      <c r="S4" s="275"/>
      <c r="T4" s="275"/>
      <c r="U4" s="275"/>
      <c r="V4" s="275"/>
      <c r="W4" s="275"/>
      <c r="X4" s="275"/>
      <c r="Y4" s="870"/>
      <c r="Z4" s="265"/>
    </row>
    <row r="5" spans="1:26" x14ac:dyDescent="0.2">
      <c r="A5" s="67" t="s">
        <v>1692</v>
      </c>
      <c r="B5" s="67" t="s">
        <v>703</v>
      </c>
      <c r="C5" s="67" t="s">
        <v>922</v>
      </c>
      <c r="D5" s="272">
        <v>1980</v>
      </c>
      <c r="E5" s="272">
        <v>30</v>
      </c>
      <c r="F5" s="276">
        <v>23.842986507042003</v>
      </c>
      <c r="G5" s="277">
        <f>0.06*F5</f>
        <v>1.43057919042252</v>
      </c>
      <c r="H5" s="278">
        <f>'AEO Data'!B111/'AEO Data'!B114/'Conv Factors'!B13</f>
        <v>2.7635668727577114</v>
      </c>
      <c r="I5" s="265"/>
      <c r="J5" s="871">
        <f>'AEO Data'!G111/'AEO Data'!G114/'Conv Factors'!B13</f>
        <v>3.2636303439067462</v>
      </c>
      <c r="K5" s="871">
        <f>'AEO Data'!L111/'AEO Data'!L114/'Conv Factors'!B13</f>
        <v>3.2794059114590817</v>
      </c>
      <c r="L5" s="871">
        <f>'AEO Data'!Q111/'AEO Data'!Q114/'Conv Factors'!B13</f>
        <v>3.2957703819082056</v>
      </c>
      <c r="M5" s="871">
        <f>'AEO Data'!V111/'AEO Data'!V114/'Conv Factors'!B13</f>
        <v>3.3125113242451758</v>
      </c>
      <c r="N5" s="871">
        <f>'AEO Data'!AA111/'AEO Data'!AA114/'Conv Factors'!B13</f>
        <v>3.3292965208679206</v>
      </c>
      <c r="O5" s="871">
        <f>'AEO Data'!AF111/'AEO Data'!AF114/'Conv Factors'!B13</f>
        <v>3.3463433124975226</v>
      </c>
      <c r="P5" s="294" t="s">
        <v>717</v>
      </c>
      <c r="Q5" s="279" t="s">
        <v>1194</v>
      </c>
      <c r="R5" s="279" t="s">
        <v>182</v>
      </c>
      <c r="S5" s="279" t="s">
        <v>184</v>
      </c>
      <c r="T5" s="279" t="s">
        <v>186</v>
      </c>
      <c r="U5" s="279" t="s">
        <v>188</v>
      </c>
      <c r="V5" s="279" t="s">
        <v>190</v>
      </c>
      <c r="W5" s="279" t="s">
        <v>1296</v>
      </c>
      <c r="X5" s="279" t="s">
        <v>1297</v>
      </c>
      <c r="Y5" s="280" t="s">
        <v>1298</v>
      </c>
      <c r="Z5" s="265"/>
    </row>
    <row r="6" spans="1:26" x14ac:dyDescent="0.2">
      <c r="A6" s="123" t="s">
        <v>1693</v>
      </c>
      <c r="B6" s="281" t="s">
        <v>703</v>
      </c>
      <c r="C6" s="67" t="s">
        <v>922</v>
      </c>
      <c r="D6" s="67" t="s">
        <v>1694</v>
      </c>
      <c r="E6" s="272">
        <v>30</v>
      </c>
      <c r="F6" s="276">
        <v>31.239056487930078</v>
      </c>
      <c r="G6" s="282">
        <f>0.0153508877090566+G5</f>
        <v>1.4459300781315767</v>
      </c>
      <c r="H6" s="283">
        <v>3.6884714796352243</v>
      </c>
      <c r="I6" s="265"/>
      <c r="J6" s="265"/>
      <c r="K6" s="265"/>
      <c r="L6" s="265"/>
      <c r="M6" s="265"/>
      <c r="N6" s="265"/>
      <c r="O6" s="265"/>
      <c r="P6" s="294" t="s">
        <v>11</v>
      </c>
      <c r="Q6" s="279">
        <v>0</v>
      </c>
      <c r="R6" s="279">
        <v>0</v>
      </c>
      <c r="S6" s="279">
        <v>0</v>
      </c>
      <c r="T6" s="279">
        <v>0</v>
      </c>
      <c r="U6" s="279">
        <v>0</v>
      </c>
      <c r="V6" s="279">
        <v>0</v>
      </c>
      <c r="W6" s="279">
        <v>0</v>
      </c>
      <c r="X6" s="279">
        <v>0</v>
      </c>
      <c r="Y6" s="280">
        <v>0</v>
      </c>
      <c r="Z6" s="265"/>
    </row>
    <row r="7" spans="1:26" ht="23.25" thickBot="1" x14ac:dyDescent="0.25">
      <c r="A7" s="123" t="s">
        <v>1695</v>
      </c>
      <c r="B7" s="281" t="s">
        <v>703</v>
      </c>
      <c r="C7" s="67" t="s">
        <v>922</v>
      </c>
      <c r="D7" s="67">
        <v>2020</v>
      </c>
      <c r="E7" s="272">
        <v>30</v>
      </c>
      <c r="F7" s="276">
        <v>31.162302049384802</v>
      </c>
      <c r="G7" s="282">
        <f>0.0153508877090566+G5</f>
        <v>1.4459300781315767</v>
      </c>
      <c r="H7" s="283">
        <v>3.6884714796352243</v>
      </c>
      <c r="I7" s="265"/>
      <c r="J7" s="265"/>
      <c r="K7" s="265"/>
      <c r="L7" s="265"/>
      <c r="M7" s="265"/>
      <c r="N7" s="265"/>
      <c r="O7" s="265"/>
      <c r="P7" s="872"/>
      <c r="Q7" s="284" t="s">
        <v>1696</v>
      </c>
      <c r="R7" s="284"/>
      <c r="S7" s="284"/>
      <c r="T7" s="284"/>
      <c r="U7" s="284"/>
      <c r="V7" s="284"/>
      <c r="W7" s="284"/>
      <c r="X7" s="284"/>
      <c r="Y7" s="873"/>
      <c r="Z7" s="265"/>
    </row>
    <row r="8" spans="1:26" x14ac:dyDescent="0.2">
      <c r="A8" s="123" t="s">
        <v>1697</v>
      </c>
      <c r="B8" s="281" t="s">
        <v>703</v>
      </c>
      <c r="C8" s="67" t="s">
        <v>922</v>
      </c>
      <c r="D8" s="67" t="s">
        <v>1694</v>
      </c>
      <c r="E8" s="285">
        <v>30</v>
      </c>
      <c r="F8" s="276">
        <v>27.462224962102798</v>
      </c>
      <c r="G8" s="282">
        <f>G5+0.00368421305017357</f>
        <v>1.4342634034726935</v>
      </c>
      <c r="H8" s="283">
        <v>3.0737262330293533</v>
      </c>
      <c r="I8" s="265"/>
      <c r="J8" s="265"/>
      <c r="K8" s="265"/>
      <c r="L8" s="265"/>
      <c r="M8" s="265"/>
      <c r="N8" s="265"/>
      <c r="O8" s="265"/>
      <c r="P8" s="295" t="s">
        <v>1698</v>
      </c>
      <c r="Q8" s="275"/>
      <c r="R8" s="275"/>
      <c r="S8" s="275"/>
      <c r="T8" s="275"/>
      <c r="U8" s="275"/>
      <c r="V8" s="275"/>
      <c r="W8" s="275"/>
      <c r="X8" s="275"/>
      <c r="Y8" s="870"/>
      <c r="Z8" s="265"/>
    </row>
    <row r="9" spans="1:26" ht="22.5" x14ac:dyDescent="0.2">
      <c r="A9" s="123" t="s">
        <v>1699</v>
      </c>
      <c r="B9" s="281" t="s">
        <v>703</v>
      </c>
      <c r="C9" s="67" t="s">
        <v>922</v>
      </c>
      <c r="D9" s="67">
        <v>2020</v>
      </c>
      <c r="E9" s="285">
        <v>30</v>
      </c>
      <c r="F9" s="276">
        <v>27.443036352466475</v>
      </c>
      <c r="G9" s="282">
        <f>G5+0.00368421305017357</f>
        <v>1.4342634034726935</v>
      </c>
      <c r="H9" s="283">
        <v>3.0737262330293533</v>
      </c>
      <c r="I9" s="265"/>
      <c r="J9" s="265"/>
      <c r="K9" s="265"/>
      <c r="L9" s="265"/>
      <c r="M9" s="265"/>
      <c r="N9" s="265"/>
      <c r="O9" s="265"/>
      <c r="P9" s="294" t="s">
        <v>717</v>
      </c>
      <c r="Q9" s="279" t="s">
        <v>1194</v>
      </c>
      <c r="R9" s="279" t="s">
        <v>182</v>
      </c>
      <c r="S9" s="279" t="s">
        <v>184</v>
      </c>
      <c r="T9" s="279" t="s">
        <v>186</v>
      </c>
      <c r="U9" s="279" t="s">
        <v>188</v>
      </c>
      <c r="V9" s="279" t="s">
        <v>190</v>
      </c>
      <c r="W9" s="279" t="s">
        <v>1296</v>
      </c>
      <c r="X9" s="279" t="s">
        <v>1297</v>
      </c>
      <c r="Y9" s="280" t="s">
        <v>1298</v>
      </c>
      <c r="Z9" s="265"/>
    </row>
    <row r="10" spans="1:26" x14ac:dyDescent="0.2">
      <c r="A10" s="67" t="s">
        <v>1700</v>
      </c>
      <c r="B10" s="67" t="s">
        <v>703</v>
      </c>
      <c r="C10" s="67" t="s">
        <v>922</v>
      </c>
      <c r="D10" s="67" t="s">
        <v>1694</v>
      </c>
      <c r="E10" s="67">
        <v>30</v>
      </c>
      <c r="F10" s="276">
        <v>24.192367247674138</v>
      </c>
      <c r="G10" s="282">
        <f>G5+0.0120098371800735</f>
        <v>1.4425890276025934</v>
      </c>
      <c r="H10" s="283">
        <v>3.1899834060498367</v>
      </c>
      <c r="I10" s="265"/>
      <c r="J10" s="265"/>
      <c r="K10" s="265"/>
      <c r="L10" s="265"/>
      <c r="M10" s="265"/>
      <c r="N10" s="265"/>
      <c r="O10" s="265"/>
      <c r="P10" s="294" t="s">
        <v>11</v>
      </c>
      <c r="Q10" s="279">
        <v>0</v>
      </c>
      <c r="R10" s="279">
        <v>0.54</v>
      </c>
      <c r="S10" s="279">
        <v>22.44</v>
      </c>
      <c r="T10" s="279">
        <v>23.67</v>
      </c>
      <c r="U10" s="279">
        <v>2.37</v>
      </c>
      <c r="V10" s="279">
        <v>2.4300000000000002</v>
      </c>
      <c r="W10" s="279">
        <v>2.44</v>
      </c>
      <c r="X10" s="279">
        <v>0</v>
      </c>
      <c r="Y10" s="280">
        <v>0</v>
      </c>
      <c r="Z10" s="265"/>
    </row>
    <row r="11" spans="1:26" ht="13.5" thickBot="1" x14ac:dyDescent="0.25">
      <c r="A11" s="67" t="s">
        <v>1701</v>
      </c>
      <c r="B11" s="67" t="s">
        <v>703</v>
      </c>
      <c r="C11" s="67" t="s">
        <v>1318</v>
      </c>
      <c r="D11" s="67" t="s">
        <v>1694</v>
      </c>
      <c r="E11" s="67">
        <v>30</v>
      </c>
      <c r="F11" s="276">
        <f>F5</f>
        <v>23.842986507042003</v>
      </c>
      <c r="G11" s="282">
        <f>G5</f>
        <v>1.43057919042252</v>
      </c>
      <c r="H11" s="283">
        <f>H5/1.01</f>
        <v>2.7362048245125856</v>
      </c>
      <c r="I11" s="265"/>
      <c r="J11" s="871">
        <f t="shared" ref="J11:O11" si="0">J5/1.01</f>
        <v>3.2313171721848972</v>
      </c>
      <c r="K11" s="871">
        <f t="shared" si="0"/>
        <v>3.2469365459990907</v>
      </c>
      <c r="L11" s="871">
        <f t="shared" si="0"/>
        <v>3.2631389919883222</v>
      </c>
      <c r="M11" s="871">
        <f t="shared" si="0"/>
        <v>3.2797141824209661</v>
      </c>
      <c r="N11" s="871">
        <f t="shared" si="0"/>
        <v>3.2963331889781391</v>
      </c>
      <c r="O11" s="871">
        <f t="shared" si="0"/>
        <v>3.3132112004925967</v>
      </c>
      <c r="P11" s="872"/>
      <c r="Q11" s="284"/>
      <c r="R11" s="284"/>
      <c r="S11" s="284"/>
      <c r="T11" s="284"/>
      <c r="U11" s="284"/>
      <c r="V11" s="284"/>
      <c r="W11" s="284"/>
      <c r="X11" s="284"/>
      <c r="Y11" s="873"/>
      <c r="Z11" s="265"/>
    </row>
    <row r="12" spans="1:26" x14ac:dyDescent="0.2">
      <c r="A12" s="67" t="s">
        <v>1408</v>
      </c>
      <c r="B12" s="67" t="s">
        <v>703</v>
      </c>
      <c r="C12" s="67" t="s">
        <v>1408</v>
      </c>
      <c r="D12" s="67" t="s">
        <v>1694</v>
      </c>
      <c r="E12" s="67">
        <v>30</v>
      </c>
      <c r="F12" s="276">
        <v>25.343813499419113</v>
      </c>
      <c r="G12" s="282">
        <f>G8</f>
        <v>1.4342634034726935</v>
      </c>
      <c r="H12" s="283">
        <f>H5</f>
        <v>2.7635668727577114</v>
      </c>
      <c r="I12" s="265"/>
      <c r="J12" s="265"/>
      <c r="K12" s="265"/>
      <c r="L12" s="265"/>
      <c r="M12" s="265"/>
      <c r="N12" s="265"/>
      <c r="O12" s="265"/>
      <c r="P12" s="265"/>
      <c r="Q12" s="265"/>
      <c r="R12" s="265"/>
      <c r="S12" s="265"/>
      <c r="T12" s="265"/>
      <c r="U12" s="265"/>
      <c r="V12" s="265"/>
      <c r="W12" s="265"/>
      <c r="X12" s="265"/>
      <c r="Y12" s="265"/>
      <c r="Z12" s="265"/>
    </row>
    <row r="13" spans="1:26" x14ac:dyDescent="0.2">
      <c r="A13" s="269"/>
      <c r="B13" s="269"/>
      <c r="C13" s="269"/>
      <c r="D13" s="269"/>
      <c r="E13" s="269"/>
      <c r="F13" s="269"/>
      <c r="G13" s="286" t="s">
        <v>1702</v>
      </c>
      <c r="H13" s="269"/>
      <c r="I13" s="265"/>
      <c r="J13" s="265"/>
      <c r="K13" s="265"/>
      <c r="L13" s="265"/>
      <c r="M13" s="265"/>
      <c r="N13" s="265"/>
      <c r="O13" s="265"/>
      <c r="P13" s="265"/>
      <c r="Q13" s="265"/>
      <c r="R13" s="265"/>
      <c r="S13" s="265"/>
      <c r="T13" s="265"/>
      <c r="U13" s="265"/>
      <c r="V13" s="265"/>
      <c r="W13" s="265"/>
      <c r="X13" s="265"/>
      <c r="Y13" s="265"/>
      <c r="Z13" s="265"/>
    </row>
    <row r="14" spans="1:26" x14ac:dyDescent="0.2">
      <c r="A14" s="265"/>
      <c r="B14" s="265"/>
      <c r="C14" s="874" t="s">
        <v>780</v>
      </c>
      <c r="D14" s="874" t="s">
        <v>1703</v>
      </c>
      <c r="E14" s="874" t="s">
        <v>781</v>
      </c>
      <c r="F14" s="265"/>
      <c r="G14" s="286" t="s">
        <v>1704</v>
      </c>
      <c r="H14" s="265"/>
      <c r="I14" s="265"/>
      <c r="J14" s="265"/>
      <c r="K14" s="265"/>
      <c r="L14" s="265"/>
      <c r="M14" s="265"/>
      <c r="N14" s="265"/>
      <c r="O14" s="265"/>
      <c r="P14" s="265"/>
      <c r="Q14" s="265"/>
      <c r="R14" s="265"/>
      <c r="S14" s="265"/>
      <c r="T14" s="265"/>
      <c r="U14" s="265"/>
      <c r="V14" s="265"/>
      <c r="W14" s="265"/>
      <c r="X14" s="265"/>
      <c r="Y14" s="265"/>
      <c r="Z14" s="265"/>
    </row>
    <row r="15" spans="1:26" x14ac:dyDescent="0.2">
      <c r="A15" s="67" t="s">
        <v>956</v>
      </c>
      <c r="B15" s="875" t="s">
        <v>718</v>
      </c>
      <c r="C15" s="265">
        <f>ROUND((G35+G48+G50+G58+G68+G74)/G80,4)</f>
        <v>5.3E-3</v>
      </c>
      <c r="D15" s="265">
        <f>ROUND((N35+N48+N50+N58+N68+N74)/N80,4)</f>
        <v>2.2700000000000001E-2</v>
      </c>
      <c r="E15" s="265">
        <f>ROUND((Y35+Y48+Y50+Y58+Y68+Y74)/Y80,4)</f>
        <v>8.8999999999999999E-3</v>
      </c>
      <c r="F15" s="265"/>
      <c r="G15" s="265"/>
      <c r="H15" s="265"/>
      <c r="I15" s="265"/>
      <c r="J15" s="265"/>
      <c r="K15" s="265"/>
      <c r="L15" s="265"/>
      <c r="M15" s="265"/>
      <c r="N15" s="265"/>
      <c r="O15" s="265"/>
      <c r="P15" s="265"/>
      <c r="Q15" s="265"/>
      <c r="R15" s="265"/>
      <c r="S15" s="265"/>
      <c r="T15" s="265"/>
      <c r="U15" s="265"/>
      <c r="V15" s="265"/>
      <c r="W15" s="265"/>
      <c r="X15" s="265"/>
      <c r="Y15" s="265"/>
      <c r="Z15" s="265"/>
    </row>
    <row r="16" spans="1:26" x14ac:dyDescent="0.2">
      <c r="A16" s="876" t="s">
        <v>957</v>
      </c>
      <c r="B16" s="877" t="s">
        <v>723</v>
      </c>
      <c r="C16" s="265">
        <f>ROUND((G59+G61+G67)/G80,4)</f>
        <v>4.5199999999999997E-2</v>
      </c>
      <c r="D16" s="265">
        <f>ROUND((N59+N61+N67)/N80,4)</f>
        <v>7.7499999999999999E-2</v>
      </c>
      <c r="E16" s="265">
        <f>ROUND((Y59+Y61+Y67)/Y80,4)</f>
        <v>0.10100000000000001</v>
      </c>
      <c r="F16" s="265"/>
      <c r="G16" s="265"/>
      <c r="H16" s="265"/>
      <c r="I16" s="265"/>
      <c r="J16" s="265"/>
      <c r="K16" s="265"/>
      <c r="L16" s="265"/>
      <c r="M16" s="265"/>
      <c r="N16" s="265"/>
      <c r="O16" s="265"/>
      <c r="P16" s="265"/>
      <c r="Q16" s="265"/>
      <c r="R16" s="265"/>
      <c r="S16" s="265"/>
      <c r="T16" s="265"/>
      <c r="U16" s="265"/>
      <c r="V16" s="265"/>
      <c r="W16" s="265"/>
      <c r="X16" s="265"/>
      <c r="Y16" s="265"/>
      <c r="Z16" s="265"/>
    </row>
    <row r="17" spans="1:25" x14ac:dyDescent="0.2">
      <c r="A17" s="878" t="s">
        <v>958</v>
      </c>
      <c r="B17" s="879" t="s">
        <v>724</v>
      </c>
      <c r="C17" s="265">
        <f>ROUND((G36+G37+G38+G39+G49+G62+G69+G75+G77)/G80,4)</f>
        <v>0.15920000000000001</v>
      </c>
      <c r="D17" s="265">
        <f>ROUND((N36+N37+N38+N39+N49+N62+N69+N75+N77)/N80,4)</f>
        <v>0.16569999999999999</v>
      </c>
      <c r="E17" s="265">
        <f>ROUND((Y36+Y37+Y38+Y39+Y49+Y62+Y69+Y75+Y77)/Y80,4)</f>
        <v>0.1111</v>
      </c>
      <c r="F17" s="265"/>
      <c r="G17" s="265"/>
      <c r="H17" s="265"/>
      <c r="I17" s="265"/>
      <c r="J17" s="265"/>
      <c r="K17" s="265"/>
      <c r="L17" s="265"/>
      <c r="M17" s="265"/>
      <c r="N17" s="265"/>
      <c r="O17" s="265"/>
      <c r="P17" s="265"/>
      <c r="Q17" s="265"/>
      <c r="R17" s="265"/>
      <c r="S17" s="265"/>
      <c r="T17" s="265"/>
      <c r="U17" s="265"/>
      <c r="V17" s="265"/>
      <c r="W17" s="265"/>
      <c r="X17" s="265"/>
      <c r="Y17" s="265"/>
    </row>
    <row r="18" spans="1:25" x14ac:dyDescent="0.2">
      <c r="A18" s="880" t="s">
        <v>959</v>
      </c>
      <c r="B18" s="881" t="s">
        <v>725</v>
      </c>
      <c r="C18" s="265">
        <f>ROUND((G29+G46+G53+G71)/G80,4)</f>
        <v>8.3900000000000002E-2</v>
      </c>
      <c r="D18" s="265">
        <f>ROUND((N29+N46+N53+N71)/N80,4)</f>
        <v>7.4999999999999997E-2</v>
      </c>
      <c r="E18" s="265">
        <f>ROUND((Y29+Y46+Y53+Y71)/Y80,4)</f>
        <v>0.12909999999999999</v>
      </c>
      <c r="F18" s="265"/>
      <c r="G18" s="265"/>
      <c r="H18" s="265"/>
      <c r="I18" s="265"/>
      <c r="J18" s="265"/>
      <c r="K18" s="265"/>
      <c r="L18" s="265"/>
      <c r="M18" s="265"/>
      <c r="N18" s="265"/>
      <c r="O18" s="265"/>
      <c r="P18" s="265"/>
      <c r="Q18" s="265"/>
      <c r="R18" s="265"/>
      <c r="S18" s="265"/>
      <c r="T18" s="265"/>
      <c r="U18" s="265"/>
      <c r="V18" s="265"/>
      <c r="W18" s="265"/>
      <c r="X18" s="265"/>
      <c r="Y18" s="265"/>
    </row>
    <row r="19" spans="1:25" x14ac:dyDescent="0.2">
      <c r="A19" s="882" t="s">
        <v>960</v>
      </c>
      <c r="B19" s="883" t="s">
        <v>726</v>
      </c>
      <c r="C19" s="265">
        <f>ROUND((G42+G43+G51+G64+G78)/G80,4)</f>
        <v>0.14219999999999999</v>
      </c>
      <c r="D19" s="265">
        <f>ROUND((N42+N43+N51+N64+N78)/N80,4)</f>
        <v>0.1792</v>
      </c>
      <c r="E19" s="265">
        <f>ROUND((Y42+Y43+Y51+Y64+Y78)/Y80,4)</f>
        <v>0.20910000000000001</v>
      </c>
      <c r="F19" s="265"/>
      <c r="G19" s="265"/>
      <c r="H19" s="265"/>
      <c r="I19" s="265"/>
      <c r="J19" s="265"/>
      <c r="K19" s="265"/>
      <c r="L19" s="265"/>
      <c r="M19" s="265"/>
      <c r="N19" s="265"/>
      <c r="O19" s="265"/>
      <c r="P19" s="265"/>
      <c r="Q19" s="265"/>
      <c r="R19" s="265"/>
      <c r="S19" s="265"/>
      <c r="T19" s="265"/>
      <c r="U19" s="265"/>
      <c r="V19" s="265"/>
      <c r="W19" s="265"/>
      <c r="X19" s="265"/>
      <c r="Y19" s="265"/>
    </row>
    <row r="20" spans="1:25" x14ac:dyDescent="0.2">
      <c r="A20" s="884" t="s">
        <v>961</v>
      </c>
      <c r="B20" s="885" t="s">
        <v>727</v>
      </c>
      <c r="C20" s="265">
        <f>ROUND((G32+G47+G65+G72)/G80,4)</f>
        <v>0.1055</v>
      </c>
      <c r="D20" s="265">
        <f>ROUND((N32+N47+N65+N72)/N80,4)</f>
        <v>0.1472</v>
      </c>
      <c r="E20" s="265">
        <f>ROUND((Y32+Y47+Y65+Y72)/Y80,4)</f>
        <v>0.26290000000000002</v>
      </c>
      <c r="F20" s="265"/>
      <c r="G20" s="265"/>
      <c r="H20" s="265"/>
      <c r="I20" s="265"/>
      <c r="J20" s="265"/>
      <c r="K20" s="265"/>
      <c r="L20" s="265"/>
      <c r="M20" s="265"/>
      <c r="N20" s="265"/>
      <c r="O20" s="265"/>
      <c r="P20" s="265"/>
      <c r="Q20" s="265"/>
      <c r="R20" s="265"/>
      <c r="S20" s="265"/>
      <c r="T20" s="265"/>
      <c r="U20" s="265"/>
      <c r="V20" s="265"/>
      <c r="W20" s="265"/>
      <c r="X20" s="265"/>
      <c r="Y20" s="265"/>
    </row>
    <row r="21" spans="1:25" x14ac:dyDescent="0.2">
      <c r="A21" s="886" t="s">
        <v>962</v>
      </c>
      <c r="B21" s="887" t="s">
        <v>728</v>
      </c>
      <c r="C21" s="265">
        <f>ROUND((G44+G45+G52+G54+G56+G63+G70)/G80,4)</f>
        <v>0.1153</v>
      </c>
      <c r="D21" s="265">
        <f>ROUND((N44+N45+N52+N54+N56+N63+N70)/N80,4)</f>
        <v>0.1089</v>
      </c>
      <c r="E21" s="265">
        <f>ROUND((Y44+Y45+Y52+Y54+Y56+Y63+Y70)/Y80,4)</f>
        <v>6.8599999999999994E-2</v>
      </c>
      <c r="F21" s="265"/>
      <c r="G21" s="265"/>
      <c r="H21" s="265"/>
      <c r="I21" s="265"/>
      <c r="J21" s="265"/>
      <c r="K21" s="265"/>
      <c r="L21" s="265"/>
      <c r="M21" s="265"/>
      <c r="N21" s="265"/>
      <c r="O21" s="265"/>
      <c r="P21" s="265"/>
      <c r="Q21" s="265"/>
      <c r="R21" s="265"/>
      <c r="S21" s="265"/>
      <c r="T21" s="265"/>
      <c r="U21" s="265"/>
      <c r="V21" s="265"/>
      <c r="W21" s="265"/>
      <c r="X21" s="265"/>
      <c r="Y21" s="265"/>
    </row>
    <row r="22" spans="1:25" x14ac:dyDescent="0.2">
      <c r="A22" s="888" t="s">
        <v>963</v>
      </c>
      <c r="B22" s="889" t="s">
        <v>729</v>
      </c>
      <c r="C22" s="265">
        <f>ROUND((G31+G34+G41+G55+G57+G60+G73+G79)/G80,4)</f>
        <v>0.28249999999999997</v>
      </c>
      <c r="D22" s="265">
        <f>ROUND((N31+N34+N41+N55+N57+N60+N73+N79)/N80,4)</f>
        <v>9.7900000000000001E-2</v>
      </c>
      <c r="E22" s="265">
        <f>ROUND((Y31+Y34+Y41+Y55+Y57+Y60+Y73+Y79)/Y80,4)</f>
        <v>8.9999999999999998E-4</v>
      </c>
      <c r="F22" s="265"/>
      <c r="G22" s="265"/>
      <c r="H22" s="265"/>
      <c r="I22" s="265"/>
      <c r="J22" s="265"/>
      <c r="K22" s="265"/>
      <c r="L22" s="265"/>
      <c r="M22" s="265"/>
      <c r="N22" s="265"/>
      <c r="O22" s="265"/>
      <c r="P22" s="265"/>
      <c r="Q22" s="265"/>
      <c r="R22" s="265"/>
      <c r="S22" s="265"/>
      <c r="T22" s="265"/>
      <c r="U22" s="265"/>
      <c r="V22" s="265"/>
      <c r="W22" s="265"/>
      <c r="X22" s="265"/>
      <c r="Y22" s="265"/>
    </row>
    <row r="23" spans="1:25" x14ac:dyDescent="0.2">
      <c r="A23" s="890" t="s">
        <v>964</v>
      </c>
      <c r="B23" s="891" t="s">
        <v>730</v>
      </c>
      <c r="C23" s="265">
        <f>ROUND((G30+G33+G40+G66+G76)/G80,4)</f>
        <v>6.0900000000000003E-2</v>
      </c>
      <c r="D23" s="265">
        <f>ROUND((N30+N33+N40+N66+N76)/N80,4)+0.0001</f>
        <v>0.12589999999999998</v>
      </c>
      <c r="E23" s="265">
        <f>ROUND((Y30+Y33+Y40+Y66+Y76)/Y80,4)</f>
        <v>0.1084</v>
      </c>
      <c r="F23" s="265"/>
      <c r="G23" s="265"/>
      <c r="H23" s="265"/>
      <c r="I23" s="265"/>
      <c r="J23" s="265"/>
      <c r="K23" s="265"/>
      <c r="L23" s="265"/>
      <c r="M23" s="265"/>
      <c r="N23" s="265"/>
      <c r="O23" s="265"/>
      <c r="P23" s="265"/>
      <c r="Q23" s="265"/>
      <c r="R23" s="265"/>
      <c r="S23" s="265"/>
      <c r="T23" s="265"/>
      <c r="U23" s="265"/>
      <c r="V23" s="265"/>
      <c r="W23" s="265"/>
      <c r="X23" s="265"/>
      <c r="Y23" s="265"/>
    </row>
    <row r="24" spans="1:25" x14ac:dyDescent="0.2">
      <c r="A24" s="265"/>
      <c r="B24" s="265"/>
      <c r="C24" s="892"/>
      <c r="D24" s="265"/>
      <c r="E24" s="265"/>
      <c r="F24" s="265"/>
      <c r="G24" s="265"/>
      <c r="H24" s="265"/>
      <c r="I24" s="265"/>
      <c r="J24" s="265"/>
      <c r="K24" s="265"/>
      <c r="L24" s="265"/>
      <c r="M24" s="265"/>
      <c r="N24" s="265"/>
      <c r="O24" s="265"/>
      <c r="P24" s="265"/>
      <c r="Q24" s="265"/>
      <c r="R24" s="265"/>
      <c r="S24" s="265"/>
      <c r="T24" s="265"/>
      <c r="U24" s="265"/>
      <c r="V24" s="265"/>
      <c r="W24" s="265"/>
      <c r="X24" s="265"/>
      <c r="Y24" s="265"/>
    </row>
    <row r="25" spans="1:25" x14ac:dyDescent="0.2">
      <c r="A25" s="1191" t="s">
        <v>1705</v>
      </c>
      <c r="B25" s="1191"/>
      <c r="C25" s="1191"/>
      <c r="D25" s="1191"/>
      <c r="E25" s="1191"/>
      <c r="F25" s="856"/>
      <c r="G25" s="856"/>
      <c r="H25" s="856"/>
      <c r="I25" s="893"/>
      <c r="J25" s="269" t="s">
        <v>1706</v>
      </c>
      <c r="K25" s="265"/>
      <c r="L25" s="265"/>
      <c r="M25" s="265"/>
      <c r="N25" s="265"/>
      <c r="O25" s="265"/>
      <c r="P25" s="893"/>
      <c r="Q25" s="1191" t="s">
        <v>1707</v>
      </c>
      <c r="R25" s="1191"/>
      <c r="S25" s="1191"/>
      <c r="T25" s="1191"/>
      <c r="U25" s="1191"/>
      <c r="V25" s="1191"/>
      <c r="W25" s="1191"/>
      <c r="X25" s="265"/>
      <c r="Y25" s="265"/>
    </row>
    <row r="26" spans="1:25" ht="13.5" thickBot="1" x14ac:dyDescent="0.25">
      <c r="A26" s="1196"/>
      <c r="B26" s="1196"/>
      <c r="C26" s="1196"/>
      <c r="D26" s="1196"/>
      <c r="E26" s="894"/>
      <c r="F26" s="894"/>
      <c r="G26" s="894"/>
      <c r="H26" s="894"/>
      <c r="I26" s="893"/>
      <c r="J26" s="1197" t="s">
        <v>1708</v>
      </c>
      <c r="K26" s="1197"/>
      <c r="L26" s="1197"/>
      <c r="M26" s="1197"/>
      <c r="N26" s="857"/>
      <c r="O26" s="857"/>
      <c r="P26" s="893"/>
      <c r="Q26" s="1192" t="s">
        <v>1709</v>
      </c>
      <c r="R26" s="1192"/>
      <c r="S26" s="1192"/>
      <c r="T26" s="1192"/>
      <c r="U26" s="1192"/>
      <c r="V26" s="1192"/>
      <c r="W26" s="1192"/>
      <c r="X26" s="265"/>
      <c r="Y26" s="265"/>
    </row>
    <row r="27" spans="1:25" ht="13.5" customHeight="1" thickBot="1" x14ac:dyDescent="0.25">
      <c r="A27" s="895"/>
      <c r="B27" s="1195" t="s">
        <v>1710</v>
      </c>
      <c r="C27" s="1195"/>
      <c r="D27" s="1193" t="s">
        <v>1711</v>
      </c>
      <c r="E27" s="1195"/>
      <c r="F27" s="896"/>
      <c r="G27" s="896"/>
      <c r="H27" s="896"/>
      <c r="I27" s="893"/>
      <c r="J27" s="1198"/>
      <c r="K27" s="1198"/>
      <c r="L27" s="1199"/>
      <c r="M27" s="1199"/>
      <c r="N27" s="897"/>
      <c r="O27" s="897"/>
      <c r="P27" s="893"/>
      <c r="Q27" s="898"/>
      <c r="R27" s="899"/>
      <c r="S27" s="1193" t="s">
        <v>1712</v>
      </c>
      <c r="T27" s="1194"/>
      <c r="U27" s="1195" t="s">
        <v>1713</v>
      </c>
      <c r="V27" s="1195"/>
      <c r="W27" s="900"/>
      <c r="X27" s="265"/>
      <c r="Y27" s="265"/>
    </row>
    <row r="28" spans="1:25" ht="38.25" x14ac:dyDescent="0.2">
      <c r="A28" s="901" t="s">
        <v>974</v>
      </c>
      <c r="B28" s="902" t="s">
        <v>1714</v>
      </c>
      <c r="C28" s="903" t="s">
        <v>1715</v>
      </c>
      <c r="D28" s="904" t="s">
        <v>1714</v>
      </c>
      <c r="E28" s="903" t="s">
        <v>1715</v>
      </c>
      <c r="F28" s="905" t="s">
        <v>1716</v>
      </c>
      <c r="G28" s="905" t="s">
        <v>1717</v>
      </c>
      <c r="H28" s="905"/>
      <c r="I28" s="893"/>
      <c r="J28" s="901" t="s">
        <v>974</v>
      </c>
      <c r="K28" s="906" t="s">
        <v>1718</v>
      </c>
      <c r="L28" s="906" t="s">
        <v>1719</v>
      </c>
      <c r="M28" s="902" t="s">
        <v>1720</v>
      </c>
      <c r="N28" s="907" t="s">
        <v>1721</v>
      </c>
      <c r="O28" s="907"/>
      <c r="P28" s="893"/>
      <c r="Q28" s="901" t="s">
        <v>974</v>
      </c>
      <c r="R28" s="902" t="s">
        <v>1722</v>
      </c>
      <c r="S28" s="904" t="s">
        <v>1723</v>
      </c>
      <c r="T28" s="908" t="s">
        <v>1724</v>
      </c>
      <c r="U28" s="902" t="s">
        <v>1723</v>
      </c>
      <c r="V28" s="902" t="s">
        <v>1724</v>
      </c>
      <c r="W28" s="909" t="s">
        <v>631</v>
      </c>
      <c r="X28" s="910" t="s">
        <v>1725</v>
      </c>
      <c r="Y28" s="907" t="s">
        <v>1726</v>
      </c>
    </row>
    <row r="29" spans="1:25" x14ac:dyDescent="0.2">
      <c r="A29" s="911" t="s">
        <v>978</v>
      </c>
      <c r="B29" s="912">
        <v>53305771</v>
      </c>
      <c r="C29" s="913" t="s">
        <v>1727</v>
      </c>
      <c r="D29" s="914">
        <v>44871050</v>
      </c>
      <c r="E29" s="913" t="s">
        <v>1727</v>
      </c>
      <c r="F29" s="915">
        <f>D29/(L29*1000*(1+$K$95/2))</f>
        <v>0.1998733949491277</v>
      </c>
      <c r="G29" s="916">
        <f t="shared" ref="G29:G60" si="1">D29*C$91/1000000</f>
        <v>33412.67018093777</v>
      </c>
      <c r="H29" s="917"/>
      <c r="I29" s="893"/>
      <c r="J29" s="911" t="s">
        <v>978</v>
      </c>
      <c r="K29" s="918">
        <v>127727</v>
      </c>
      <c r="L29" s="918">
        <v>216383</v>
      </c>
      <c r="M29" s="918">
        <v>60813</v>
      </c>
      <c r="N29" s="918">
        <f>L29*(1+K$95)-B29/1000-X29</f>
        <v>150861.95399999997</v>
      </c>
      <c r="O29" s="919"/>
      <c r="P29" s="893"/>
      <c r="Q29" s="911" t="s">
        <v>978</v>
      </c>
      <c r="R29" s="912">
        <v>15827</v>
      </c>
      <c r="S29" s="920">
        <v>17862</v>
      </c>
      <c r="T29" s="921">
        <v>24469</v>
      </c>
      <c r="U29" s="912">
        <v>12617</v>
      </c>
      <c r="V29" s="912">
        <v>9871</v>
      </c>
      <c r="W29" s="922">
        <v>80646</v>
      </c>
      <c r="X29" s="923">
        <f>R29+U29</f>
        <v>28444</v>
      </c>
      <c r="Y29" s="924">
        <f>X29*V$93/1000</f>
        <v>9213.0166080106919</v>
      </c>
    </row>
    <row r="30" spans="1:25" x14ac:dyDescent="0.2">
      <c r="A30" s="925" t="s">
        <v>980</v>
      </c>
      <c r="B30" s="926">
        <v>8156643</v>
      </c>
      <c r="C30" s="927" t="s">
        <v>1728</v>
      </c>
      <c r="D30" s="928">
        <v>8156643</v>
      </c>
      <c r="E30" s="927" t="s">
        <v>1728</v>
      </c>
      <c r="F30" s="929">
        <f t="shared" ref="F30:F80" si="2">D30/(L30*1000*(1+$K$95/2))</f>
        <v>0.2154042571733589</v>
      </c>
      <c r="G30" s="930">
        <f t="shared" si="1"/>
        <v>6073.7429220545273</v>
      </c>
      <c r="H30" s="917"/>
      <c r="I30" s="893"/>
      <c r="J30" s="925" t="s">
        <v>980</v>
      </c>
      <c r="K30" s="931">
        <v>8032</v>
      </c>
      <c r="L30" s="931">
        <v>36498</v>
      </c>
      <c r="M30" s="931">
        <v>7690</v>
      </c>
      <c r="N30" s="931">
        <f>L30*(1+K$95)-U30</f>
        <v>2669.3499999999985</v>
      </c>
      <c r="O30" s="919" t="s">
        <v>1729</v>
      </c>
      <c r="P30" s="893"/>
      <c r="Q30" s="925" t="s">
        <v>980</v>
      </c>
      <c r="R30" s="926">
        <v>3912</v>
      </c>
      <c r="S30" s="928">
        <v>2615</v>
      </c>
      <c r="T30" s="932">
        <v>1892</v>
      </c>
      <c r="U30" s="926">
        <v>36566</v>
      </c>
      <c r="V30" s="926">
        <v>5989</v>
      </c>
      <c r="W30" s="933">
        <v>50974</v>
      </c>
      <c r="X30" s="934">
        <f t="shared" ref="X30:X80" si="3">R30+U30</f>
        <v>40478</v>
      </c>
      <c r="Y30" s="935">
        <f t="shared" ref="Y30:Y79" si="4">X30*V$93/1000</f>
        <v>13110.831326784448</v>
      </c>
    </row>
    <row r="31" spans="1:25" x14ac:dyDescent="0.2">
      <c r="A31" s="936" t="s">
        <v>982</v>
      </c>
      <c r="B31" s="937">
        <v>31288939</v>
      </c>
      <c r="C31" s="938" t="s">
        <v>1727</v>
      </c>
      <c r="D31" s="939">
        <v>5498417</v>
      </c>
      <c r="E31" s="938" t="s">
        <v>1730</v>
      </c>
      <c r="F31" s="940">
        <f t="shared" si="2"/>
        <v>5.253865330462941E-2</v>
      </c>
      <c r="G31" s="941">
        <f t="shared" si="1"/>
        <v>4094.3279405822086</v>
      </c>
      <c r="H31" s="917"/>
      <c r="I31" s="893"/>
      <c r="J31" s="936" t="s">
        <v>982</v>
      </c>
      <c r="K31" s="942">
        <v>111273</v>
      </c>
      <c r="L31" s="942">
        <v>100872</v>
      </c>
      <c r="M31" s="942">
        <v>16122</v>
      </c>
      <c r="N31" s="942">
        <f t="shared" ref="N31:N62" si="5">L31*(1+K$95)-B31/1000-X31</f>
        <v>77148.460999999996</v>
      </c>
      <c r="O31" s="919"/>
      <c r="P31" s="893"/>
      <c r="Q31" s="936"/>
      <c r="R31" s="937"/>
      <c r="S31" s="939"/>
      <c r="T31" s="943"/>
      <c r="U31" s="937"/>
      <c r="V31" s="937"/>
      <c r="W31" s="944"/>
      <c r="X31" s="945">
        <f t="shared" si="3"/>
        <v>0</v>
      </c>
      <c r="Y31" s="946">
        <f t="shared" si="4"/>
        <v>0</v>
      </c>
    </row>
    <row r="32" spans="1:25" x14ac:dyDescent="0.2">
      <c r="A32" s="947" t="s">
        <v>984</v>
      </c>
      <c r="B32" s="948">
        <v>28713782</v>
      </c>
      <c r="C32" s="949" t="s">
        <v>1727</v>
      </c>
      <c r="D32" s="950">
        <v>24094078</v>
      </c>
      <c r="E32" s="949" t="s">
        <v>1731</v>
      </c>
      <c r="F32" s="951">
        <f t="shared" si="2"/>
        <v>0.19332213166767981</v>
      </c>
      <c r="G32" s="952">
        <f t="shared" si="1"/>
        <v>17941.355986271523</v>
      </c>
      <c r="H32" s="917"/>
      <c r="I32" s="893"/>
      <c r="J32" s="947" t="s">
        <v>984</v>
      </c>
      <c r="K32" s="953">
        <v>91967</v>
      </c>
      <c r="L32" s="953">
        <v>120127</v>
      </c>
      <c r="M32" s="953">
        <v>37916</v>
      </c>
      <c r="N32" s="953">
        <f t="shared" si="5"/>
        <v>92336.742999999988</v>
      </c>
      <c r="O32" s="919"/>
      <c r="P32" s="893"/>
      <c r="Q32" s="947" t="s">
        <v>984</v>
      </c>
      <c r="R32" s="948">
        <v>3543</v>
      </c>
      <c r="S32" s="950">
        <v>6699</v>
      </c>
      <c r="T32" s="954">
        <v>0</v>
      </c>
      <c r="U32" s="948">
        <v>4543</v>
      </c>
      <c r="V32" s="955">
        <v>0</v>
      </c>
      <c r="W32" s="956">
        <v>14785</v>
      </c>
      <c r="X32" s="957">
        <f t="shared" si="3"/>
        <v>8086</v>
      </c>
      <c r="Y32" s="958">
        <f t="shared" si="4"/>
        <v>2619.0568236666595</v>
      </c>
    </row>
    <row r="33" spans="1:25" x14ac:dyDescent="0.2">
      <c r="A33" s="925" t="s">
        <v>986</v>
      </c>
      <c r="B33" s="926">
        <v>108494845</v>
      </c>
      <c r="C33" s="927" t="s">
        <v>1732</v>
      </c>
      <c r="D33" s="928">
        <v>67772776</v>
      </c>
      <c r="E33" s="927" t="s">
        <v>1733</v>
      </c>
      <c r="F33" s="929">
        <f t="shared" si="2"/>
        <v>7.2263807218466244E-2</v>
      </c>
      <c r="G33" s="930">
        <f t="shared" si="1"/>
        <v>50466.156056846783</v>
      </c>
      <c r="H33" s="917"/>
      <c r="I33" s="893"/>
      <c r="J33" s="925" t="s">
        <v>986</v>
      </c>
      <c r="K33" s="931">
        <v>923669</v>
      </c>
      <c r="L33" s="931">
        <v>903954</v>
      </c>
      <c r="M33" s="931">
        <v>166862</v>
      </c>
      <c r="N33" s="931">
        <f t="shared" si="5"/>
        <v>841301.70499999996</v>
      </c>
      <c r="O33" s="919"/>
      <c r="P33" s="893"/>
      <c r="Q33" s="925" t="s">
        <v>986</v>
      </c>
      <c r="R33" s="926">
        <v>15602</v>
      </c>
      <c r="S33" s="928">
        <v>21652</v>
      </c>
      <c r="T33" s="932">
        <v>146987</v>
      </c>
      <c r="U33" s="926">
        <v>6352</v>
      </c>
      <c r="V33" s="926">
        <v>47362</v>
      </c>
      <c r="W33" s="933">
        <v>237954</v>
      </c>
      <c r="X33" s="934">
        <f t="shared" si="3"/>
        <v>21954</v>
      </c>
      <c r="Y33" s="935">
        <f t="shared" si="4"/>
        <v>7110.9044653447745</v>
      </c>
    </row>
    <row r="34" spans="1:25" x14ac:dyDescent="0.2">
      <c r="A34" s="936" t="s">
        <v>988</v>
      </c>
      <c r="B34" s="937">
        <v>31246871</v>
      </c>
      <c r="C34" s="938" t="s">
        <v>1727</v>
      </c>
      <c r="D34" s="939">
        <v>41238447</v>
      </c>
      <c r="E34" s="938" t="s">
        <v>1727</v>
      </c>
      <c r="F34" s="940">
        <f t="shared" si="2"/>
        <v>0.26414777587716026</v>
      </c>
      <c r="G34" s="941">
        <f t="shared" si="1"/>
        <v>30707.697466074063</v>
      </c>
      <c r="H34" s="917"/>
      <c r="I34" s="893"/>
      <c r="J34" s="936" t="s">
        <v>988</v>
      </c>
      <c r="K34" s="942">
        <v>93184</v>
      </c>
      <c r="L34" s="942">
        <v>150476</v>
      </c>
      <c r="M34" s="942">
        <v>60908</v>
      </c>
      <c r="N34" s="942">
        <f t="shared" si="5"/>
        <v>130514.82899999998</v>
      </c>
      <c r="O34" s="919"/>
      <c r="P34" s="893"/>
      <c r="Q34" s="936"/>
      <c r="R34" s="937"/>
      <c r="S34" s="939"/>
      <c r="T34" s="943"/>
      <c r="U34" s="937"/>
      <c r="V34" s="937"/>
      <c r="W34" s="944"/>
      <c r="X34" s="945">
        <f t="shared" si="3"/>
        <v>0</v>
      </c>
      <c r="Y34" s="946">
        <f t="shared" si="4"/>
        <v>0</v>
      </c>
    </row>
    <row r="35" spans="1:25" x14ac:dyDescent="0.2">
      <c r="A35" s="959" t="s">
        <v>989</v>
      </c>
      <c r="B35" s="960">
        <v>1998822</v>
      </c>
      <c r="C35" s="961" t="s">
        <v>1731</v>
      </c>
      <c r="D35" s="962">
        <v>2022338</v>
      </c>
      <c r="E35" s="961" t="s">
        <v>1734</v>
      </c>
      <c r="F35" s="963">
        <f t="shared" si="2"/>
        <v>3.9866679874486284E-2</v>
      </c>
      <c r="G35" s="917">
        <f t="shared" si="1"/>
        <v>1505.9088786283658</v>
      </c>
      <c r="H35" s="917"/>
      <c r="I35" s="893"/>
      <c r="J35" s="959" t="s">
        <v>989</v>
      </c>
      <c r="K35" s="919">
        <v>82477</v>
      </c>
      <c r="L35" s="919">
        <v>48894</v>
      </c>
      <c r="M35" s="919">
        <v>5255</v>
      </c>
      <c r="N35" s="919">
        <f t="shared" si="5"/>
        <v>47481.227999999996</v>
      </c>
      <c r="O35" s="919"/>
      <c r="P35" s="893"/>
      <c r="Q35" s="959" t="s">
        <v>989</v>
      </c>
      <c r="R35" s="960">
        <v>1894</v>
      </c>
      <c r="S35" s="962">
        <v>10344</v>
      </c>
      <c r="T35" s="964">
        <v>5701</v>
      </c>
      <c r="U35" s="960">
        <v>1187</v>
      </c>
      <c r="V35" s="960">
        <v>213</v>
      </c>
      <c r="W35" s="965">
        <v>19340</v>
      </c>
      <c r="X35" s="966">
        <f t="shared" si="3"/>
        <v>3081</v>
      </c>
      <c r="Y35" s="967">
        <f t="shared" si="4"/>
        <v>997.93644245819667</v>
      </c>
    </row>
    <row r="36" spans="1:25" x14ac:dyDescent="0.2">
      <c r="A36" s="968" t="s">
        <v>991</v>
      </c>
      <c r="B36" s="969">
        <v>6064364</v>
      </c>
      <c r="C36" s="970" t="s">
        <v>1727</v>
      </c>
      <c r="D36" s="971">
        <v>1286712</v>
      </c>
      <c r="E36" s="970" t="s">
        <v>1735</v>
      </c>
      <c r="F36" s="972">
        <f t="shared" si="2"/>
        <v>4.0022083946992304E-2</v>
      </c>
      <c r="G36" s="973">
        <f t="shared" si="1"/>
        <v>958.13411261503347</v>
      </c>
      <c r="H36" s="917"/>
      <c r="I36" s="893"/>
      <c r="J36" s="968" t="s">
        <v>991</v>
      </c>
      <c r="K36" s="974">
        <v>20348</v>
      </c>
      <c r="L36" s="974">
        <v>30988</v>
      </c>
      <c r="M36" s="974">
        <v>3623</v>
      </c>
      <c r="N36" s="974">
        <f t="shared" si="5"/>
        <v>10178.735999999997</v>
      </c>
      <c r="O36" s="919"/>
      <c r="P36" s="893"/>
      <c r="Q36" s="968" t="s">
        <v>991</v>
      </c>
      <c r="R36" s="969">
        <v>1921</v>
      </c>
      <c r="S36" s="971">
        <v>2155</v>
      </c>
      <c r="T36" s="975">
        <v>14911</v>
      </c>
      <c r="U36" s="969">
        <v>15148</v>
      </c>
      <c r="V36" s="969">
        <v>1047</v>
      </c>
      <c r="W36" s="976">
        <v>35182</v>
      </c>
      <c r="X36" s="977">
        <f t="shared" si="3"/>
        <v>17069</v>
      </c>
      <c r="Y36" s="978">
        <f t="shared" si="4"/>
        <v>5528.6521052641865</v>
      </c>
    </row>
    <row r="37" spans="1:25" x14ac:dyDescent="0.2">
      <c r="A37" s="968" t="s">
        <v>993</v>
      </c>
      <c r="B37" s="969">
        <v>97940</v>
      </c>
      <c r="C37" s="970" t="s">
        <v>1736</v>
      </c>
      <c r="D37" s="971">
        <v>196820</v>
      </c>
      <c r="E37" s="970" t="s">
        <v>1736</v>
      </c>
      <c r="F37" s="972">
        <f t="shared" si="2"/>
        <v>0.13483015216516384</v>
      </c>
      <c r="G37" s="973">
        <f t="shared" si="1"/>
        <v>146.55956892054391</v>
      </c>
      <c r="H37" s="917"/>
      <c r="I37" s="893"/>
      <c r="J37" s="968" t="s">
        <v>993</v>
      </c>
      <c r="K37" s="974">
        <v>3707</v>
      </c>
      <c r="L37" s="974">
        <v>1407</v>
      </c>
      <c r="M37" s="974">
        <v>34</v>
      </c>
      <c r="N37" s="974">
        <f t="shared" si="5"/>
        <v>1414.5849999999998</v>
      </c>
      <c r="O37" s="919"/>
      <c r="P37" s="893"/>
      <c r="Q37" s="968" t="s">
        <v>993</v>
      </c>
      <c r="R37" s="979">
        <v>0</v>
      </c>
      <c r="S37" s="971">
        <v>651</v>
      </c>
      <c r="T37" s="980">
        <v>0</v>
      </c>
      <c r="U37" s="979">
        <v>0</v>
      </c>
      <c r="V37" s="979">
        <v>0</v>
      </c>
      <c r="W37" s="981">
        <v>651</v>
      </c>
      <c r="X37" s="977">
        <f t="shared" si="3"/>
        <v>0</v>
      </c>
      <c r="Y37" s="978">
        <f t="shared" si="4"/>
        <v>0</v>
      </c>
    </row>
    <row r="38" spans="1:25" x14ac:dyDescent="0.2">
      <c r="A38" s="968" t="s">
        <v>995</v>
      </c>
      <c r="B38" s="969">
        <v>100552798</v>
      </c>
      <c r="C38" s="970" t="s">
        <v>1731</v>
      </c>
      <c r="D38" s="971">
        <v>68572937</v>
      </c>
      <c r="E38" s="970" t="s">
        <v>1731</v>
      </c>
      <c r="F38" s="972">
        <f t="shared" si="2"/>
        <v>0.14523559850144968</v>
      </c>
      <c r="G38" s="973">
        <f t="shared" si="1"/>
        <v>51061.986009224747</v>
      </c>
      <c r="H38" s="917"/>
      <c r="I38" s="893"/>
      <c r="J38" s="968" t="s">
        <v>995</v>
      </c>
      <c r="K38" s="974">
        <v>296989</v>
      </c>
      <c r="L38" s="974">
        <v>455084</v>
      </c>
      <c r="M38" s="974">
        <v>61074</v>
      </c>
      <c r="N38" s="974">
        <f t="shared" si="5"/>
        <v>378201.50199999998</v>
      </c>
      <c r="O38" s="919"/>
      <c r="P38" s="893"/>
      <c r="Q38" s="968" t="s">
        <v>995</v>
      </c>
      <c r="R38" s="969">
        <v>1499</v>
      </c>
      <c r="S38" s="971">
        <v>51461</v>
      </c>
      <c r="T38" s="975">
        <v>49712</v>
      </c>
      <c r="U38" s="969">
        <v>8962</v>
      </c>
      <c r="V38" s="969">
        <v>17103</v>
      </c>
      <c r="W38" s="976">
        <v>128737</v>
      </c>
      <c r="X38" s="977">
        <f t="shared" si="3"/>
        <v>10461</v>
      </c>
      <c r="Y38" s="978">
        <f t="shared" si="4"/>
        <v>3388.3197418225236</v>
      </c>
    </row>
    <row r="39" spans="1:25" x14ac:dyDescent="0.2">
      <c r="A39" s="968" t="s">
        <v>997</v>
      </c>
      <c r="B39" s="969">
        <v>89763143</v>
      </c>
      <c r="C39" s="970" t="s">
        <v>1727</v>
      </c>
      <c r="D39" s="971">
        <v>38878307</v>
      </c>
      <c r="E39" s="970" t="s">
        <v>1731</v>
      </c>
      <c r="F39" s="972">
        <f t="shared" si="2"/>
        <v>0.11026484639499008</v>
      </c>
      <c r="G39" s="973">
        <f t="shared" si="1"/>
        <v>28950.248522917205</v>
      </c>
      <c r="H39" s="917"/>
      <c r="I39" s="893"/>
      <c r="J39" s="968" t="s">
        <v>997</v>
      </c>
      <c r="K39" s="974">
        <v>270703</v>
      </c>
      <c r="L39" s="974">
        <v>339846</v>
      </c>
      <c r="M39" s="974">
        <v>68310</v>
      </c>
      <c r="N39" s="974">
        <f t="shared" si="5"/>
        <v>274289.30700000003</v>
      </c>
      <c r="O39" s="919"/>
      <c r="P39" s="893"/>
      <c r="Q39" s="968" t="s">
        <v>997</v>
      </c>
      <c r="R39" s="979">
        <v>860</v>
      </c>
      <c r="S39" s="971">
        <v>499</v>
      </c>
      <c r="T39" s="975">
        <v>23266</v>
      </c>
      <c r="U39" s="969">
        <v>422</v>
      </c>
      <c r="V39" s="969">
        <v>11427</v>
      </c>
      <c r="W39" s="976">
        <v>36472</v>
      </c>
      <c r="X39" s="977">
        <f t="shared" si="3"/>
        <v>1282</v>
      </c>
      <c r="Y39" s="978">
        <f t="shared" si="4"/>
        <v>415.24002571613374</v>
      </c>
    </row>
    <row r="40" spans="1:25" x14ac:dyDescent="0.2">
      <c r="A40" s="925" t="s">
        <v>999</v>
      </c>
      <c r="B40" s="982">
        <v>0</v>
      </c>
      <c r="C40" s="927" t="s">
        <v>1737</v>
      </c>
      <c r="D40" s="983">
        <v>0</v>
      </c>
      <c r="E40" s="927" t="s">
        <v>1737</v>
      </c>
      <c r="F40" s="929">
        <f t="shared" si="2"/>
        <v>0</v>
      </c>
      <c r="G40" s="930">
        <f t="shared" si="1"/>
        <v>0</v>
      </c>
      <c r="H40" s="917"/>
      <c r="I40" s="893"/>
      <c r="J40" s="925" t="s">
        <v>999</v>
      </c>
      <c r="K40" s="931">
        <v>13480</v>
      </c>
      <c r="L40" s="931">
        <v>23659</v>
      </c>
      <c r="M40" s="287">
        <f>M80-M81</f>
        <v>4612</v>
      </c>
      <c r="N40" s="931">
        <f t="shared" si="5"/>
        <v>12275.424999999999</v>
      </c>
      <c r="O40" s="288"/>
      <c r="P40" s="893"/>
      <c r="Q40" s="925" t="s">
        <v>999</v>
      </c>
      <c r="R40" s="926">
        <v>11873</v>
      </c>
      <c r="S40" s="928">
        <v>4236</v>
      </c>
      <c r="T40" s="932">
        <v>9624</v>
      </c>
      <c r="U40" s="926">
        <v>1285</v>
      </c>
      <c r="V40" s="926">
        <v>753</v>
      </c>
      <c r="W40" s="933">
        <v>27770</v>
      </c>
      <c r="X40" s="934">
        <f t="shared" si="3"/>
        <v>13158</v>
      </c>
      <c r="Y40" s="935">
        <f t="shared" si="4"/>
        <v>4261.8785166715197</v>
      </c>
    </row>
    <row r="41" spans="1:25" x14ac:dyDescent="0.2">
      <c r="A41" s="936" t="s">
        <v>1001</v>
      </c>
      <c r="B41" s="937">
        <v>10873300</v>
      </c>
      <c r="C41" s="938" t="s">
        <v>1731</v>
      </c>
      <c r="D41" s="939">
        <v>11464829</v>
      </c>
      <c r="E41" s="938" t="s">
        <v>1738</v>
      </c>
      <c r="F41" s="940">
        <f t="shared" si="2"/>
        <v>0.31598860742791013</v>
      </c>
      <c r="G41" s="941">
        <f t="shared" si="1"/>
        <v>8537.1425464269414</v>
      </c>
      <c r="H41" s="917"/>
      <c r="I41" s="893"/>
      <c r="J41" s="936" t="s">
        <v>1001</v>
      </c>
      <c r="K41" s="942">
        <v>28471</v>
      </c>
      <c r="L41" s="942">
        <v>34971</v>
      </c>
      <c r="M41" s="942">
        <v>20561</v>
      </c>
      <c r="N41" s="942">
        <f t="shared" si="5"/>
        <v>25829.524999999998</v>
      </c>
      <c r="O41" s="919"/>
      <c r="P41" s="893"/>
      <c r="Q41" s="936" t="s">
        <v>1001</v>
      </c>
      <c r="R41" s="984">
        <v>3</v>
      </c>
      <c r="S41" s="939">
        <v>84</v>
      </c>
      <c r="T41" s="985">
        <v>0</v>
      </c>
      <c r="U41" s="937">
        <v>888</v>
      </c>
      <c r="V41" s="937">
        <v>0</v>
      </c>
      <c r="W41" s="944">
        <v>975</v>
      </c>
      <c r="X41" s="945">
        <f t="shared" si="3"/>
        <v>891</v>
      </c>
      <c r="Y41" s="946">
        <f t="shared" si="4"/>
        <v>288.59505687447364</v>
      </c>
    </row>
    <row r="42" spans="1:25" x14ac:dyDescent="0.2">
      <c r="A42" s="986" t="s">
        <v>1003</v>
      </c>
      <c r="B42" s="987">
        <v>183539112</v>
      </c>
      <c r="C42" s="988" t="s">
        <v>1727</v>
      </c>
      <c r="D42" s="989">
        <v>109118683</v>
      </c>
      <c r="E42" s="988" t="s">
        <v>1732</v>
      </c>
      <c r="F42" s="990">
        <f t="shared" si="2"/>
        <v>0.14641120318182541</v>
      </c>
      <c r="G42" s="991">
        <f t="shared" si="1"/>
        <v>81253.872277499671</v>
      </c>
      <c r="H42" s="917"/>
      <c r="I42" s="893"/>
      <c r="J42" s="986" t="s">
        <v>1003</v>
      </c>
      <c r="K42" s="992">
        <v>442130</v>
      </c>
      <c r="L42" s="992">
        <v>718351</v>
      </c>
      <c r="M42" s="992">
        <v>167342</v>
      </c>
      <c r="N42" s="992">
        <f t="shared" si="5"/>
        <v>490655.21299999999</v>
      </c>
      <c r="O42" s="919"/>
      <c r="P42" s="893"/>
      <c r="Q42" s="986" t="s">
        <v>1003</v>
      </c>
      <c r="R42" s="987">
        <v>15214</v>
      </c>
      <c r="S42" s="989">
        <v>19153</v>
      </c>
      <c r="T42" s="993">
        <v>1548</v>
      </c>
      <c r="U42" s="987">
        <v>82819</v>
      </c>
      <c r="V42" s="987">
        <v>1617</v>
      </c>
      <c r="W42" s="994">
        <v>120350</v>
      </c>
      <c r="X42" s="995">
        <f t="shared" si="3"/>
        <v>98033</v>
      </c>
      <c r="Y42" s="996">
        <f t="shared" si="4"/>
        <v>31752.905960241609</v>
      </c>
    </row>
    <row r="43" spans="1:25" x14ac:dyDescent="0.2">
      <c r="A43" s="986" t="s">
        <v>1005</v>
      </c>
      <c r="B43" s="987">
        <v>67418274</v>
      </c>
      <c r="C43" s="988" t="s">
        <v>1727</v>
      </c>
      <c r="D43" s="989">
        <v>54830352</v>
      </c>
      <c r="E43" s="988" t="s">
        <v>1727</v>
      </c>
      <c r="F43" s="990">
        <f t="shared" si="2"/>
        <v>0.13284233187674294</v>
      </c>
      <c r="G43" s="991">
        <f t="shared" si="1"/>
        <v>40828.740742209542</v>
      </c>
      <c r="H43" s="917"/>
      <c r="I43" s="893"/>
      <c r="J43" s="986" t="s">
        <v>1005</v>
      </c>
      <c r="K43" s="992">
        <v>291458</v>
      </c>
      <c r="L43" s="992">
        <v>397829</v>
      </c>
      <c r="M43" s="992">
        <v>82601</v>
      </c>
      <c r="N43" s="992">
        <f t="shared" si="5"/>
        <v>343318.90099999995</v>
      </c>
      <c r="O43" s="919"/>
      <c r="P43" s="893"/>
      <c r="Q43" s="986" t="s">
        <v>1005</v>
      </c>
      <c r="R43" s="987">
        <v>3288</v>
      </c>
      <c r="S43" s="989">
        <v>52519</v>
      </c>
      <c r="T43" s="993">
        <v>3685</v>
      </c>
      <c r="U43" s="987">
        <v>13641</v>
      </c>
      <c r="V43" s="987">
        <v>386</v>
      </c>
      <c r="W43" s="994">
        <v>73520</v>
      </c>
      <c r="X43" s="995">
        <f t="shared" si="3"/>
        <v>16929</v>
      </c>
      <c r="Y43" s="996">
        <f t="shared" si="4"/>
        <v>5483.3060806149988</v>
      </c>
    </row>
    <row r="44" spans="1:25" x14ac:dyDescent="0.2">
      <c r="A44" s="997" t="s">
        <v>1007</v>
      </c>
      <c r="B44" s="998">
        <v>41317792</v>
      </c>
      <c r="C44" s="999" t="s">
        <v>1727</v>
      </c>
      <c r="D44" s="1000">
        <v>43463589</v>
      </c>
      <c r="E44" s="999" t="s">
        <v>1738</v>
      </c>
      <c r="F44" s="1001">
        <f t="shared" si="2"/>
        <v>0.18014920145699073</v>
      </c>
      <c r="G44" s="1002">
        <f t="shared" si="1"/>
        <v>32364.621824914611</v>
      </c>
      <c r="H44" s="917"/>
      <c r="I44" s="893"/>
      <c r="J44" s="997" t="s">
        <v>1007</v>
      </c>
      <c r="K44" s="1003">
        <v>115396</v>
      </c>
      <c r="L44" s="1003">
        <v>232544</v>
      </c>
      <c r="M44" s="1003">
        <v>107728</v>
      </c>
      <c r="N44" s="1003">
        <f t="shared" si="5"/>
        <v>198726.00799999997</v>
      </c>
      <c r="O44" s="919"/>
      <c r="P44" s="893"/>
      <c r="Q44" s="997" t="s">
        <v>1007</v>
      </c>
      <c r="R44" s="1004">
        <v>1447</v>
      </c>
      <c r="S44" s="1000">
        <v>3906</v>
      </c>
      <c r="T44" s="1005">
        <v>0</v>
      </c>
      <c r="U44" s="998">
        <v>8494</v>
      </c>
      <c r="V44" s="1004">
        <v>0</v>
      </c>
      <c r="W44" s="1006">
        <v>13847</v>
      </c>
      <c r="X44" s="1007">
        <f t="shared" si="3"/>
        <v>9941</v>
      </c>
      <c r="Y44" s="1008">
        <f t="shared" si="4"/>
        <v>3219.8916502683978</v>
      </c>
    </row>
    <row r="45" spans="1:25" x14ac:dyDescent="0.2">
      <c r="A45" s="997" t="s">
        <v>1009</v>
      </c>
      <c r="B45" s="998">
        <v>26830707</v>
      </c>
      <c r="C45" s="999" t="s">
        <v>1727</v>
      </c>
      <c r="D45" s="1000">
        <v>24078304</v>
      </c>
      <c r="E45" s="999" t="s">
        <v>1738</v>
      </c>
      <c r="F45" s="1001">
        <f t="shared" si="2"/>
        <v>0.12033975886121979</v>
      </c>
      <c r="G45" s="1002">
        <f t="shared" si="1"/>
        <v>17929.610073050546</v>
      </c>
      <c r="H45" s="917"/>
      <c r="I45" s="893"/>
      <c r="J45" s="997" t="s">
        <v>1009</v>
      </c>
      <c r="K45" s="1003">
        <v>95285</v>
      </c>
      <c r="L45" s="1003">
        <v>192854</v>
      </c>
      <c r="M45" s="1003">
        <v>44857</v>
      </c>
      <c r="N45" s="1003">
        <f t="shared" si="5"/>
        <v>180110.34299999999</v>
      </c>
      <c r="O45" s="919"/>
      <c r="P45" s="893"/>
      <c r="Q45" s="997" t="s">
        <v>1009</v>
      </c>
      <c r="R45" s="1004">
        <v>304</v>
      </c>
      <c r="S45" s="1000">
        <v>1626</v>
      </c>
      <c r="T45" s="1005">
        <v>0</v>
      </c>
      <c r="U45" s="998">
        <v>73</v>
      </c>
      <c r="V45" s="1004">
        <v>0</v>
      </c>
      <c r="W45" s="1006">
        <v>2002</v>
      </c>
      <c r="X45" s="1007">
        <f t="shared" si="3"/>
        <v>377</v>
      </c>
      <c r="Y45" s="1008">
        <f t="shared" si="4"/>
        <v>122.11036637674137</v>
      </c>
    </row>
    <row r="46" spans="1:25" x14ac:dyDescent="0.2">
      <c r="A46" s="911" t="s">
        <v>1011</v>
      </c>
      <c r="B46" s="912">
        <v>40187828</v>
      </c>
      <c r="C46" s="913" t="s">
        <v>1727</v>
      </c>
      <c r="D46" s="914">
        <v>92682057</v>
      </c>
      <c r="E46" s="913" t="s">
        <v>1727</v>
      </c>
      <c r="F46" s="915">
        <f t="shared" si="2"/>
        <v>0.26559980238070918</v>
      </c>
      <c r="G46" s="916">
        <f t="shared" si="1"/>
        <v>69014.542834007108</v>
      </c>
      <c r="H46" s="917"/>
      <c r="I46" s="893"/>
      <c r="J46" s="911" t="s">
        <v>1011</v>
      </c>
      <c r="K46" s="918">
        <v>189390</v>
      </c>
      <c r="L46" s="918">
        <v>336341</v>
      </c>
      <c r="M46" s="918">
        <v>99630</v>
      </c>
      <c r="N46" s="918">
        <f t="shared" si="5"/>
        <v>245738.74700000003</v>
      </c>
      <c r="O46" s="919"/>
      <c r="P46" s="893"/>
      <c r="Q46" s="911" t="s">
        <v>1011</v>
      </c>
      <c r="R46" s="912">
        <v>17982</v>
      </c>
      <c r="S46" s="914">
        <v>33021</v>
      </c>
      <c r="T46" s="1009">
        <v>0</v>
      </c>
      <c r="U46" s="912">
        <v>57658</v>
      </c>
      <c r="V46" s="1010">
        <v>0</v>
      </c>
      <c r="W46" s="1011">
        <v>108661</v>
      </c>
      <c r="X46" s="923">
        <f t="shared" si="3"/>
        <v>75640</v>
      </c>
      <c r="Y46" s="924">
        <f t="shared" si="4"/>
        <v>24499.809317604024</v>
      </c>
    </row>
    <row r="47" spans="1:25" x14ac:dyDescent="0.2">
      <c r="A47" s="947" t="s">
        <v>1252</v>
      </c>
      <c r="B47" s="948">
        <v>31321465</v>
      </c>
      <c r="C47" s="949" t="s">
        <v>1735</v>
      </c>
      <c r="D47" s="950">
        <v>38340982</v>
      </c>
      <c r="E47" s="949" t="s">
        <v>1735</v>
      </c>
      <c r="F47" s="951">
        <f t="shared" si="2"/>
        <v>7.4551018197376195E-2</v>
      </c>
      <c r="G47" s="952">
        <f t="shared" si="1"/>
        <v>28550.136134083594</v>
      </c>
      <c r="H47" s="917"/>
      <c r="I47" s="893"/>
      <c r="J47" s="947" t="s">
        <v>1252</v>
      </c>
      <c r="K47" s="953">
        <v>139843</v>
      </c>
      <c r="L47" s="953">
        <v>495703</v>
      </c>
      <c r="M47" s="953">
        <v>131293</v>
      </c>
      <c r="N47" s="953">
        <f t="shared" si="5"/>
        <v>347157.25999999995</v>
      </c>
      <c r="O47" s="919"/>
      <c r="P47" s="893"/>
      <c r="Q47" s="947" t="s">
        <v>1252</v>
      </c>
      <c r="R47" s="948">
        <v>47916</v>
      </c>
      <c r="S47" s="950">
        <v>115607</v>
      </c>
      <c r="T47" s="1012">
        <v>121465</v>
      </c>
      <c r="U47" s="948">
        <v>106486</v>
      </c>
      <c r="V47" s="948">
        <v>98460</v>
      </c>
      <c r="W47" s="956">
        <v>489935</v>
      </c>
      <c r="X47" s="957">
        <f t="shared" si="3"/>
        <v>154402</v>
      </c>
      <c r="Y47" s="958">
        <f t="shared" si="4"/>
        <v>50010.834984884932</v>
      </c>
    </row>
    <row r="48" spans="1:25" x14ac:dyDescent="0.2">
      <c r="A48" s="959" t="s">
        <v>1015</v>
      </c>
      <c r="B48" s="960">
        <v>3711740</v>
      </c>
      <c r="C48" s="961" t="s">
        <v>1739</v>
      </c>
      <c r="D48" s="962">
        <v>3947124</v>
      </c>
      <c r="E48" s="961" t="s">
        <v>1739</v>
      </c>
      <c r="F48" s="963">
        <f t="shared" si="2"/>
        <v>0.11844142048721644</v>
      </c>
      <c r="G48" s="917">
        <f t="shared" si="1"/>
        <v>2939.1768718419517</v>
      </c>
      <c r="H48" s="917"/>
      <c r="I48" s="893"/>
      <c r="J48" s="959" t="s">
        <v>1015</v>
      </c>
      <c r="K48" s="919">
        <v>32355</v>
      </c>
      <c r="L48" s="919">
        <v>32121</v>
      </c>
      <c r="M48" s="919">
        <v>10590</v>
      </c>
      <c r="N48" s="919">
        <f t="shared" si="5"/>
        <v>30450.334999999999</v>
      </c>
      <c r="O48" s="919"/>
      <c r="P48" s="893"/>
      <c r="Q48" s="959" t="s">
        <v>1015</v>
      </c>
      <c r="R48" s="898">
        <v>115</v>
      </c>
      <c r="S48" s="962">
        <v>1249</v>
      </c>
      <c r="T48" s="964">
        <v>26041</v>
      </c>
      <c r="U48" s="960">
        <v>253</v>
      </c>
      <c r="V48" s="960">
        <v>444</v>
      </c>
      <c r="W48" s="965">
        <v>28103</v>
      </c>
      <c r="X48" s="966">
        <f t="shared" si="3"/>
        <v>368</v>
      </c>
      <c r="Y48" s="967">
        <f t="shared" si="4"/>
        <v>119.19526479215072</v>
      </c>
    </row>
    <row r="49" spans="1:25" x14ac:dyDescent="0.2">
      <c r="A49" s="968" t="s">
        <v>1017</v>
      </c>
      <c r="B49" s="969">
        <v>27326049</v>
      </c>
      <c r="C49" s="970" t="s">
        <v>1727</v>
      </c>
      <c r="D49" s="971">
        <v>8194805</v>
      </c>
      <c r="E49" s="970" t="s">
        <v>1734</v>
      </c>
      <c r="F49" s="972">
        <f t="shared" si="2"/>
        <v>4.7754866891067435E-2</v>
      </c>
      <c r="G49" s="973">
        <f t="shared" si="1"/>
        <v>6102.1597814648812</v>
      </c>
      <c r="H49" s="917"/>
      <c r="I49" s="893"/>
      <c r="J49" s="968" t="s">
        <v>1017</v>
      </c>
      <c r="K49" s="974">
        <v>121356</v>
      </c>
      <c r="L49" s="974">
        <v>165399</v>
      </c>
      <c r="M49" s="974">
        <v>15140</v>
      </c>
      <c r="N49" s="974">
        <f t="shared" si="5"/>
        <v>141304.87599999999</v>
      </c>
      <c r="O49" s="919"/>
      <c r="P49" s="893"/>
      <c r="Q49" s="968" t="s">
        <v>1017</v>
      </c>
      <c r="R49" s="969">
        <v>3055</v>
      </c>
      <c r="S49" s="971">
        <v>11779</v>
      </c>
      <c r="T49" s="975">
        <v>22938</v>
      </c>
      <c r="U49" s="969">
        <v>6118</v>
      </c>
      <c r="V49" s="969">
        <v>10518</v>
      </c>
      <c r="W49" s="976">
        <v>54407</v>
      </c>
      <c r="X49" s="977">
        <f t="shared" si="3"/>
        <v>9173</v>
      </c>
      <c r="Y49" s="978">
        <f t="shared" si="4"/>
        <v>2971.136315049996</v>
      </c>
    </row>
    <row r="50" spans="1:25" x14ac:dyDescent="0.2">
      <c r="A50" s="959" t="s">
        <v>1019</v>
      </c>
      <c r="B50" s="960">
        <v>9178015</v>
      </c>
      <c r="C50" s="961" t="s">
        <v>1732</v>
      </c>
      <c r="D50" s="962">
        <v>2632415</v>
      </c>
      <c r="E50" s="961" t="s">
        <v>1732</v>
      </c>
      <c r="F50" s="963">
        <f t="shared" si="2"/>
        <v>3.3774842190534428E-2</v>
      </c>
      <c r="G50" s="917">
        <f t="shared" si="1"/>
        <v>1960.1951408392115</v>
      </c>
      <c r="H50" s="917"/>
      <c r="I50" s="893"/>
      <c r="J50" s="959" t="s">
        <v>1019</v>
      </c>
      <c r="K50" s="919">
        <v>200813</v>
      </c>
      <c r="L50" s="919">
        <v>75123</v>
      </c>
      <c r="M50" s="919">
        <v>14077</v>
      </c>
      <c r="N50" s="919">
        <f t="shared" si="5"/>
        <v>70616.209999999992</v>
      </c>
      <c r="O50" s="919"/>
      <c r="P50" s="893"/>
      <c r="Q50" s="959" t="s">
        <v>1019</v>
      </c>
      <c r="R50" s="960">
        <v>449</v>
      </c>
      <c r="S50" s="962">
        <v>8951</v>
      </c>
      <c r="T50" s="964">
        <v>16103</v>
      </c>
      <c r="U50" s="960">
        <v>514</v>
      </c>
      <c r="V50" s="960">
        <v>1393</v>
      </c>
      <c r="W50" s="965">
        <v>27411</v>
      </c>
      <c r="X50" s="966">
        <f t="shared" si="3"/>
        <v>963</v>
      </c>
      <c r="Y50" s="967">
        <f t="shared" si="4"/>
        <v>311.9158695511988</v>
      </c>
    </row>
    <row r="51" spans="1:25" x14ac:dyDescent="0.2">
      <c r="A51" s="986" t="s">
        <v>1020</v>
      </c>
      <c r="B51" s="987">
        <v>54103686</v>
      </c>
      <c r="C51" s="988" t="s">
        <v>1727</v>
      </c>
      <c r="D51" s="989">
        <v>36128191</v>
      </c>
      <c r="E51" s="988" t="s">
        <v>1740</v>
      </c>
      <c r="F51" s="990">
        <f t="shared" si="2"/>
        <v>0.10514312863034614</v>
      </c>
      <c r="G51" s="991">
        <f t="shared" si="1"/>
        <v>26902.408794020295</v>
      </c>
      <c r="H51" s="917"/>
      <c r="I51" s="893"/>
      <c r="J51" s="986" t="s">
        <v>1020</v>
      </c>
      <c r="K51" s="992">
        <v>388571</v>
      </c>
      <c r="L51" s="992">
        <v>331190</v>
      </c>
      <c r="M51" s="992">
        <v>68679</v>
      </c>
      <c r="N51" s="992">
        <f t="shared" si="5"/>
        <v>267128.56400000001</v>
      </c>
      <c r="O51" s="919"/>
      <c r="P51" s="893"/>
      <c r="Q51" s="986" t="s">
        <v>1020</v>
      </c>
      <c r="R51" s="987">
        <v>13028</v>
      </c>
      <c r="S51" s="989">
        <v>23217</v>
      </c>
      <c r="T51" s="993">
        <v>7066</v>
      </c>
      <c r="U51" s="987">
        <v>21769</v>
      </c>
      <c r="V51" s="987">
        <v>6171</v>
      </c>
      <c r="W51" s="994">
        <v>71251</v>
      </c>
      <c r="X51" s="995">
        <f t="shared" si="3"/>
        <v>34797</v>
      </c>
      <c r="Y51" s="996">
        <f t="shared" si="4"/>
        <v>11270.754426555623</v>
      </c>
    </row>
    <row r="52" spans="1:25" x14ac:dyDescent="0.2">
      <c r="A52" s="997" t="s">
        <v>1022</v>
      </c>
      <c r="B52" s="998">
        <v>63925147</v>
      </c>
      <c r="C52" s="999" t="s">
        <v>1740</v>
      </c>
      <c r="D52" s="1000">
        <v>77406510</v>
      </c>
      <c r="E52" s="999" t="s">
        <v>1740</v>
      </c>
      <c r="F52" s="1001">
        <f t="shared" si="2"/>
        <v>0.22189314185336351</v>
      </c>
      <c r="G52" s="1002">
        <f t="shared" si="1"/>
        <v>57639.796449770205</v>
      </c>
      <c r="H52" s="917"/>
      <c r="I52" s="893"/>
      <c r="J52" s="997" t="s">
        <v>1022</v>
      </c>
      <c r="K52" s="1003">
        <v>166430</v>
      </c>
      <c r="L52" s="1003">
        <v>336237</v>
      </c>
      <c r="M52" s="1003">
        <v>154321</v>
      </c>
      <c r="N52" s="1003">
        <f t="shared" si="5"/>
        <v>265231.62799999997</v>
      </c>
      <c r="O52" s="919"/>
      <c r="P52" s="893"/>
      <c r="Q52" s="997" t="s">
        <v>1022</v>
      </c>
      <c r="R52" s="998">
        <v>2366</v>
      </c>
      <c r="S52" s="1000">
        <v>6887</v>
      </c>
      <c r="T52" s="1013">
        <v>298</v>
      </c>
      <c r="U52" s="998">
        <v>29932</v>
      </c>
      <c r="V52" s="998">
        <v>3525</v>
      </c>
      <c r="W52" s="1006">
        <v>43008</v>
      </c>
      <c r="X52" s="1007">
        <f t="shared" si="3"/>
        <v>32298</v>
      </c>
      <c r="Y52" s="1008">
        <f t="shared" si="4"/>
        <v>10461.32788656762</v>
      </c>
    </row>
    <row r="53" spans="1:25" x14ac:dyDescent="0.2">
      <c r="A53" s="911" t="s">
        <v>1023</v>
      </c>
      <c r="B53" s="912">
        <v>18289329</v>
      </c>
      <c r="C53" s="913" t="s">
        <v>1727</v>
      </c>
      <c r="D53" s="914">
        <v>12075570</v>
      </c>
      <c r="E53" s="913" t="s">
        <v>1735</v>
      </c>
      <c r="F53" s="915">
        <f t="shared" si="2"/>
        <v>0.11790015816914333</v>
      </c>
      <c r="G53" s="916">
        <f t="shared" si="1"/>
        <v>8991.9232479923394</v>
      </c>
      <c r="H53" s="917"/>
      <c r="I53" s="893"/>
      <c r="J53" s="911" t="s">
        <v>1023</v>
      </c>
      <c r="K53" s="918">
        <v>94897</v>
      </c>
      <c r="L53" s="918">
        <v>98720</v>
      </c>
      <c r="M53" s="918">
        <v>38333</v>
      </c>
      <c r="N53" s="918">
        <f t="shared" si="5"/>
        <v>73788.671000000002</v>
      </c>
      <c r="O53" s="919"/>
      <c r="P53" s="893"/>
      <c r="Q53" s="911" t="s">
        <v>1023</v>
      </c>
      <c r="R53" s="912">
        <v>531</v>
      </c>
      <c r="S53" s="914">
        <v>8511</v>
      </c>
      <c r="T53" s="1014">
        <v>21807</v>
      </c>
      <c r="U53" s="912">
        <v>13515</v>
      </c>
      <c r="V53" s="912">
        <v>6313</v>
      </c>
      <c r="W53" s="1011">
        <v>50677</v>
      </c>
      <c r="X53" s="923">
        <f t="shared" si="3"/>
        <v>14046</v>
      </c>
      <c r="Y53" s="924">
        <f t="shared" si="4"/>
        <v>4549.5018730177962</v>
      </c>
    </row>
    <row r="54" spans="1:25" x14ac:dyDescent="0.2">
      <c r="A54" s="997" t="s">
        <v>1025</v>
      </c>
      <c r="B54" s="998">
        <v>83733139</v>
      </c>
      <c r="C54" s="999" t="s">
        <v>1727</v>
      </c>
      <c r="D54" s="1000">
        <v>19185067</v>
      </c>
      <c r="E54" s="999" t="s">
        <v>1741</v>
      </c>
      <c r="F54" s="1001">
        <f t="shared" si="2"/>
        <v>7.2565430050086893E-2</v>
      </c>
      <c r="G54" s="1002">
        <f t="shared" si="1"/>
        <v>14285.921904439349</v>
      </c>
      <c r="H54" s="917"/>
      <c r="I54" s="893"/>
      <c r="J54" s="997" t="s">
        <v>1025</v>
      </c>
      <c r="K54" s="1003">
        <v>185392</v>
      </c>
      <c r="L54" s="1003">
        <v>254827</v>
      </c>
      <c r="M54" s="1003">
        <v>72910</v>
      </c>
      <c r="N54" s="1003">
        <f t="shared" si="5"/>
        <v>165029.88599999997</v>
      </c>
      <c r="O54" s="919"/>
      <c r="P54" s="893"/>
      <c r="Q54" s="997" t="s">
        <v>1025</v>
      </c>
      <c r="R54" s="998">
        <v>8568</v>
      </c>
      <c r="S54" s="1000">
        <v>5562</v>
      </c>
      <c r="T54" s="1005">
        <v>0</v>
      </c>
      <c r="U54" s="998">
        <v>16608</v>
      </c>
      <c r="V54" s="1004">
        <v>0</v>
      </c>
      <c r="W54" s="1006">
        <v>30738</v>
      </c>
      <c r="X54" s="1007">
        <f t="shared" si="3"/>
        <v>25176</v>
      </c>
      <c r="Y54" s="1008">
        <f t="shared" si="4"/>
        <v>8154.5108326282243</v>
      </c>
    </row>
    <row r="55" spans="1:25" x14ac:dyDescent="0.2">
      <c r="A55" s="936" t="s">
        <v>1027</v>
      </c>
      <c r="B55" s="937">
        <v>4838553</v>
      </c>
      <c r="C55" s="938" t="s">
        <v>1728</v>
      </c>
      <c r="D55" s="939">
        <v>44035468</v>
      </c>
      <c r="E55" s="938" t="s">
        <v>1727</v>
      </c>
      <c r="F55" s="940">
        <f t="shared" si="2"/>
        <v>0.47398376917499463</v>
      </c>
      <c r="G55" s="941">
        <f t="shared" si="1"/>
        <v>32790.464420762146</v>
      </c>
      <c r="H55" s="917"/>
      <c r="I55" s="893"/>
      <c r="J55" s="936" t="s">
        <v>1027</v>
      </c>
      <c r="K55" s="942">
        <v>12447</v>
      </c>
      <c r="L55" s="942">
        <v>89547</v>
      </c>
      <c r="M55" s="942">
        <v>61984</v>
      </c>
      <c r="N55" s="942">
        <f t="shared" si="5"/>
        <v>91424.471999999994</v>
      </c>
      <c r="O55" s="919"/>
      <c r="P55" s="893"/>
      <c r="Q55" s="936"/>
      <c r="R55" s="937"/>
      <c r="S55" s="939"/>
      <c r="T55" s="985"/>
      <c r="U55" s="937"/>
      <c r="V55" s="984"/>
      <c r="W55" s="944"/>
      <c r="X55" s="945">
        <f t="shared" si="3"/>
        <v>0</v>
      </c>
      <c r="Y55" s="946">
        <f t="shared" si="4"/>
        <v>0</v>
      </c>
    </row>
    <row r="56" spans="1:25" x14ac:dyDescent="0.2">
      <c r="A56" s="997" t="s">
        <v>1029</v>
      </c>
      <c r="B56" s="998">
        <v>19643083</v>
      </c>
      <c r="C56" s="999" t="s">
        <v>1727</v>
      </c>
      <c r="D56" s="1000">
        <v>25855972</v>
      </c>
      <c r="E56" s="999" t="s">
        <v>1738</v>
      </c>
      <c r="F56" s="1001">
        <f t="shared" si="2"/>
        <v>0.24508692414913574</v>
      </c>
      <c r="G56" s="1002">
        <f t="shared" si="1"/>
        <v>19253.328474452057</v>
      </c>
      <c r="H56" s="917"/>
      <c r="I56" s="893"/>
      <c r="J56" s="997" t="s">
        <v>1029</v>
      </c>
      <c r="K56" s="1003">
        <v>61797</v>
      </c>
      <c r="L56" s="1003">
        <v>101684</v>
      </c>
      <c r="M56" s="1003">
        <v>33226</v>
      </c>
      <c r="N56" s="1003">
        <f t="shared" si="5"/>
        <v>89646.21699999999</v>
      </c>
      <c r="O56" s="919"/>
      <c r="P56" s="893"/>
      <c r="Q56" s="997" t="s">
        <v>1029</v>
      </c>
      <c r="R56" s="1004">
        <v>0</v>
      </c>
      <c r="S56" s="1000">
        <v>1</v>
      </c>
      <c r="T56" s="1005">
        <v>0</v>
      </c>
      <c r="U56" s="998">
        <v>21</v>
      </c>
      <c r="V56" s="1004">
        <v>0</v>
      </c>
      <c r="W56" s="1015">
        <v>22</v>
      </c>
      <c r="X56" s="1007">
        <f t="shared" si="3"/>
        <v>21</v>
      </c>
      <c r="Y56" s="1008">
        <f t="shared" si="4"/>
        <v>6.8019036973781661</v>
      </c>
    </row>
    <row r="57" spans="1:25" x14ac:dyDescent="0.2">
      <c r="A57" s="936" t="s">
        <v>1030</v>
      </c>
      <c r="B57" s="937">
        <v>9513936</v>
      </c>
      <c r="C57" s="938" t="s">
        <v>1727</v>
      </c>
      <c r="D57" s="939">
        <v>2516416</v>
      </c>
      <c r="E57" s="938" t="s">
        <v>1731</v>
      </c>
      <c r="F57" s="940">
        <f t="shared" si="2"/>
        <v>5.4862275612288548E-2</v>
      </c>
      <c r="G57" s="941">
        <f t="shared" si="1"/>
        <v>1873.8179259463438</v>
      </c>
      <c r="H57" s="917"/>
      <c r="I57" s="893"/>
      <c r="J57" s="936" t="s">
        <v>1030</v>
      </c>
      <c r="K57" s="942">
        <v>40756</v>
      </c>
      <c r="L57" s="942">
        <v>44210</v>
      </c>
      <c r="M57" s="942">
        <v>8695</v>
      </c>
      <c r="N57" s="942">
        <f t="shared" si="5"/>
        <v>38011.813999999998</v>
      </c>
      <c r="O57" s="919"/>
      <c r="P57" s="893"/>
      <c r="Q57" s="936"/>
      <c r="R57" s="984"/>
      <c r="S57" s="939"/>
      <c r="T57" s="985"/>
      <c r="U57" s="937"/>
      <c r="V57" s="984"/>
      <c r="W57" s="1016"/>
      <c r="X57" s="945">
        <f t="shared" si="3"/>
        <v>0</v>
      </c>
      <c r="Y57" s="946">
        <f t="shared" si="4"/>
        <v>0</v>
      </c>
    </row>
    <row r="58" spans="1:25" x14ac:dyDescent="0.2">
      <c r="A58" s="959" t="s">
        <v>1032</v>
      </c>
      <c r="B58" s="960">
        <v>1565545</v>
      </c>
      <c r="C58" s="961" t="s">
        <v>1742</v>
      </c>
      <c r="D58" s="962">
        <v>647236</v>
      </c>
      <c r="E58" s="961" t="s">
        <v>1739</v>
      </c>
      <c r="F58" s="963">
        <f t="shared" si="2"/>
        <v>1.8483657601577535E-2</v>
      </c>
      <c r="G58" s="917">
        <f t="shared" si="1"/>
        <v>481.95625012629381</v>
      </c>
      <c r="H58" s="917"/>
      <c r="I58" s="893"/>
      <c r="J58" s="959" t="s">
        <v>1032</v>
      </c>
      <c r="K58" s="919">
        <v>31191</v>
      </c>
      <c r="L58" s="919">
        <v>33751</v>
      </c>
      <c r="M58" s="919">
        <v>4773</v>
      </c>
      <c r="N58" s="919">
        <f t="shared" si="5"/>
        <v>34645.78</v>
      </c>
      <c r="O58" s="919"/>
      <c r="P58" s="893"/>
      <c r="Q58" s="959" t="s">
        <v>1032</v>
      </c>
      <c r="R58" s="960">
        <v>45</v>
      </c>
      <c r="S58" s="962">
        <v>734</v>
      </c>
      <c r="T58" s="964">
        <v>3706</v>
      </c>
      <c r="U58" s="960">
        <v>26</v>
      </c>
      <c r="V58" s="960">
        <v>311</v>
      </c>
      <c r="W58" s="965">
        <v>4823</v>
      </c>
      <c r="X58" s="966">
        <f t="shared" si="3"/>
        <v>71</v>
      </c>
      <c r="Y58" s="967">
        <f t="shared" si="4"/>
        <v>22.996912500659512</v>
      </c>
    </row>
    <row r="59" spans="1:25" x14ac:dyDescent="0.2">
      <c r="A59" s="1017" t="s">
        <v>1034</v>
      </c>
      <c r="B59" s="1018">
        <v>22801472</v>
      </c>
      <c r="C59" s="1019" t="s">
        <v>1732</v>
      </c>
      <c r="D59" s="1020">
        <v>13258008</v>
      </c>
      <c r="E59" s="1019" t="s">
        <v>1732</v>
      </c>
      <c r="F59" s="1021">
        <f t="shared" si="2"/>
        <v>5.3726987902165103E-2</v>
      </c>
      <c r="G59" s="1022">
        <f t="shared" si="1"/>
        <v>9872.4110213653203</v>
      </c>
      <c r="H59" s="917"/>
      <c r="I59" s="893"/>
      <c r="J59" s="1017" t="s">
        <v>1034</v>
      </c>
      <c r="K59" s="1023">
        <v>286580</v>
      </c>
      <c r="L59" s="1023">
        <v>237847</v>
      </c>
      <c r="M59" s="1023">
        <v>41341</v>
      </c>
      <c r="N59" s="1023">
        <f t="shared" si="5"/>
        <v>200509.05299999999</v>
      </c>
      <c r="O59" s="919"/>
      <c r="P59" s="893"/>
      <c r="Q59" s="1017" t="s">
        <v>1034</v>
      </c>
      <c r="R59" s="1018">
        <v>4867</v>
      </c>
      <c r="S59" s="1020">
        <v>23777</v>
      </c>
      <c r="T59" s="1024">
        <v>67218</v>
      </c>
      <c r="U59" s="1018">
        <v>27508</v>
      </c>
      <c r="V59" s="1018">
        <v>11297</v>
      </c>
      <c r="W59" s="1025">
        <v>134666</v>
      </c>
      <c r="X59" s="1026">
        <f t="shared" si="3"/>
        <v>32375</v>
      </c>
      <c r="Y59" s="1027">
        <f t="shared" si="4"/>
        <v>10486.268200124674</v>
      </c>
    </row>
    <row r="60" spans="1:25" x14ac:dyDescent="0.2">
      <c r="A60" s="936" t="s">
        <v>1036</v>
      </c>
      <c r="B60" s="937">
        <v>3987500</v>
      </c>
      <c r="C60" s="938" t="s">
        <v>1741</v>
      </c>
      <c r="D60" s="939">
        <v>14646549</v>
      </c>
      <c r="E60" s="938" t="s">
        <v>1727</v>
      </c>
      <c r="F60" s="940">
        <f t="shared" si="2"/>
        <v>0.28904313307775437</v>
      </c>
      <c r="G60" s="941">
        <f t="shared" si="1"/>
        <v>10906.370834334028</v>
      </c>
      <c r="H60" s="917"/>
      <c r="I60" s="893"/>
      <c r="J60" s="936" t="s">
        <v>1036</v>
      </c>
      <c r="K60" s="942">
        <v>14907</v>
      </c>
      <c r="L60" s="942">
        <v>48841</v>
      </c>
      <c r="M60" s="942">
        <v>10453</v>
      </c>
      <c r="N60" s="942">
        <f t="shared" si="5"/>
        <v>48516.574999999997</v>
      </c>
      <c r="O60" s="919"/>
      <c r="P60" s="893"/>
      <c r="Q60" s="936"/>
      <c r="R60" s="937"/>
      <c r="S60" s="939"/>
      <c r="T60" s="943"/>
      <c r="U60" s="937"/>
      <c r="V60" s="937"/>
      <c r="W60" s="944"/>
      <c r="X60" s="945">
        <f t="shared" si="3"/>
        <v>0</v>
      </c>
      <c r="Y60" s="946">
        <f t="shared" si="4"/>
        <v>0</v>
      </c>
    </row>
    <row r="61" spans="1:25" x14ac:dyDescent="0.2">
      <c r="A61" s="1017" t="s">
        <v>1038</v>
      </c>
      <c r="B61" s="1018">
        <v>25295698</v>
      </c>
      <c r="C61" s="1019" t="s">
        <v>1727</v>
      </c>
      <c r="D61" s="1020">
        <v>10479116</v>
      </c>
      <c r="E61" s="1019" t="s">
        <v>1735</v>
      </c>
      <c r="F61" s="1021">
        <f t="shared" si="2"/>
        <v>4.0474102572557659E-2</v>
      </c>
      <c r="G61" s="1022">
        <f t="shared" ref="G61:G80" si="6">D61*C$91/1000000</f>
        <v>7803.1436014041983</v>
      </c>
      <c r="H61" s="917"/>
      <c r="I61" s="893"/>
      <c r="J61" s="1017" t="s">
        <v>1038</v>
      </c>
      <c r="K61" s="1023">
        <v>318775</v>
      </c>
      <c r="L61" s="1023">
        <v>249551</v>
      </c>
      <c r="M61" s="1023">
        <v>55284</v>
      </c>
      <c r="N61" s="1023">
        <f t="shared" si="5"/>
        <v>208513.62700000001</v>
      </c>
      <c r="O61" s="919"/>
      <c r="P61" s="893"/>
      <c r="Q61" s="1017" t="s">
        <v>1038</v>
      </c>
      <c r="R61" s="1018">
        <v>15893</v>
      </c>
      <c r="S61" s="1020">
        <v>18412</v>
      </c>
      <c r="T61" s="1024">
        <v>43390</v>
      </c>
      <c r="U61" s="1018">
        <v>18565</v>
      </c>
      <c r="V61" s="1018">
        <v>5925</v>
      </c>
      <c r="W61" s="1025">
        <v>102185</v>
      </c>
      <c r="X61" s="1026">
        <f t="shared" si="3"/>
        <v>34458</v>
      </c>
      <c r="Y61" s="1027">
        <f t="shared" si="4"/>
        <v>11160.952266869373</v>
      </c>
    </row>
    <row r="62" spans="1:25" x14ac:dyDescent="0.2">
      <c r="A62" s="968" t="s">
        <v>1040</v>
      </c>
      <c r="B62" s="969">
        <v>62421949</v>
      </c>
      <c r="C62" s="970" t="s">
        <v>1727</v>
      </c>
      <c r="D62" s="971">
        <v>15669609</v>
      </c>
      <c r="E62" s="970" t="s">
        <v>1731</v>
      </c>
      <c r="F62" s="972">
        <f t="shared" si="2"/>
        <v>5.4721082268233232E-2</v>
      </c>
      <c r="G62" s="973">
        <f t="shared" si="6"/>
        <v>11668.179759137665</v>
      </c>
      <c r="H62" s="917"/>
      <c r="I62" s="893"/>
      <c r="J62" s="968" t="s">
        <v>1040</v>
      </c>
      <c r="K62" s="974">
        <v>293604</v>
      </c>
      <c r="L62" s="974">
        <v>276004</v>
      </c>
      <c r="M62" s="974">
        <v>47088</v>
      </c>
      <c r="N62" s="974">
        <f t="shared" si="5"/>
        <v>231425.351</v>
      </c>
      <c r="O62" s="919"/>
      <c r="P62" s="893"/>
      <c r="Q62" s="968" t="s">
        <v>1040</v>
      </c>
      <c r="R62" s="969">
        <v>2693</v>
      </c>
      <c r="S62" s="971">
        <v>2468</v>
      </c>
      <c r="T62" s="975">
        <v>5837</v>
      </c>
      <c r="U62" s="969">
        <v>164</v>
      </c>
      <c r="V62" s="969">
        <v>2207</v>
      </c>
      <c r="W62" s="976">
        <v>13369</v>
      </c>
      <c r="X62" s="977">
        <f t="shared" si="3"/>
        <v>2857</v>
      </c>
      <c r="Y62" s="978">
        <f t="shared" si="4"/>
        <v>925.38280301949624</v>
      </c>
    </row>
    <row r="63" spans="1:25" x14ac:dyDescent="0.2">
      <c r="A63" s="997" t="s">
        <v>1042</v>
      </c>
      <c r="B63" s="998">
        <v>11840708</v>
      </c>
      <c r="C63" s="999" t="s">
        <v>1727</v>
      </c>
      <c r="D63" s="1000">
        <v>26030646</v>
      </c>
      <c r="E63" s="999" t="s">
        <v>1743</v>
      </c>
      <c r="F63" s="1001">
        <f t="shared" si="2"/>
        <v>0.2841360249723498</v>
      </c>
      <c r="G63" s="1002">
        <f t="shared" si="6"/>
        <v>19383.397299478103</v>
      </c>
      <c r="H63" s="917"/>
      <c r="I63" s="893"/>
      <c r="J63" s="997" t="s">
        <v>1042</v>
      </c>
      <c r="K63" s="1003">
        <v>18921</v>
      </c>
      <c r="L63" s="1003">
        <v>88302</v>
      </c>
      <c r="M63" s="1003">
        <v>20709</v>
      </c>
      <c r="N63" s="1003">
        <f t="shared" ref="N63:N79" si="7">L63*(1+K$95)-B63/1000-X63</f>
        <v>83083.941999999995</v>
      </c>
      <c r="O63" s="919"/>
      <c r="P63" s="893"/>
      <c r="Q63" s="997"/>
      <c r="R63" s="998"/>
      <c r="S63" s="1000"/>
      <c r="T63" s="1013"/>
      <c r="U63" s="998"/>
      <c r="V63" s="998"/>
      <c r="W63" s="1006"/>
      <c r="X63" s="1007">
        <f t="shared" si="3"/>
        <v>0</v>
      </c>
      <c r="Y63" s="1008">
        <f t="shared" si="4"/>
        <v>0</v>
      </c>
    </row>
    <row r="64" spans="1:25" x14ac:dyDescent="0.2">
      <c r="A64" s="986" t="s">
        <v>1044</v>
      </c>
      <c r="B64" s="987">
        <v>98088452</v>
      </c>
      <c r="C64" s="988" t="s">
        <v>1727</v>
      </c>
      <c r="D64" s="989">
        <v>68935561</v>
      </c>
      <c r="E64" s="988" t="s">
        <v>1744</v>
      </c>
      <c r="F64" s="990">
        <f t="shared" si="2"/>
        <v>0.12167098072106039</v>
      </c>
      <c r="G64" s="991">
        <f t="shared" si="6"/>
        <v>51332.009467817596</v>
      </c>
      <c r="H64" s="917"/>
      <c r="I64" s="893"/>
      <c r="J64" s="986" t="s">
        <v>1044</v>
      </c>
      <c r="K64" s="992">
        <v>494278</v>
      </c>
      <c r="L64" s="992">
        <v>546095</v>
      </c>
      <c r="M64" s="992">
        <v>127152</v>
      </c>
      <c r="N64" s="992">
        <f t="shared" si="7"/>
        <v>455065.67300000001</v>
      </c>
      <c r="O64" s="919"/>
      <c r="P64" s="893"/>
      <c r="Q64" s="986" t="s">
        <v>1044</v>
      </c>
      <c r="R64" s="987">
        <v>14970</v>
      </c>
      <c r="S64" s="989">
        <v>58823</v>
      </c>
      <c r="T64" s="993">
        <v>10278</v>
      </c>
      <c r="U64" s="987">
        <v>18928</v>
      </c>
      <c r="V64" s="987">
        <v>14002</v>
      </c>
      <c r="W64" s="994">
        <v>117000</v>
      </c>
      <c r="X64" s="995">
        <f t="shared" si="3"/>
        <v>33898</v>
      </c>
      <c r="Y64" s="996">
        <f t="shared" si="4"/>
        <v>10979.568168272624</v>
      </c>
    </row>
    <row r="65" spans="1:25" x14ac:dyDescent="0.2">
      <c r="A65" s="947" t="s">
        <v>1046</v>
      </c>
      <c r="B65" s="948">
        <v>34385332</v>
      </c>
      <c r="C65" s="949" t="s">
        <v>1727</v>
      </c>
      <c r="D65" s="950">
        <v>26322954</v>
      </c>
      <c r="E65" s="949" t="s">
        <v>1731</v>
      </c>
      <c r="F65" s="951">
        <f t="shared" si="2"/>
        <v>0.18651005217638988</v>
      </c>
      <c r="G65" s="952">
        <f t="shared" si="6"/>
        <v>19601.060821843854</v>
      </c>
      <c r="H65" s="917"/>
      <c r="I65" s="893"/>
      <c r="J65" s="947" t="s">
        <v>1046</v>
      </c>
      <c r="K65" s="953">
        <v>77576</v>
      </c>
      <c r="L65" s="953">
        <v>136033</v>
      </c>
      <c r="M65" s="953">
        <v>26981</v>
      </c>
      <c r="N65" s="953">
        <f t="shared" si="7"/>
        <v>109965.14300000001</v>
      </c>
      <c r="O65" s="919"/>
      <c r="P65" s="893"/>
      <c r="Q65" s="947" t="s">
        <v>1046</v>
      </c>
      <c r="R65" s="948">
        <v>27</v>
      </c>
      <c r="S65" s="950">
        <v>2596</v>
      </c>
      <c r="T65" s="954">
        <v>0</v>
      </c>
      <c r="U65" s="948">
        <v>1858</v>
      </c>
      <c r="V65" s="955">
        <v>0</v>
      </c>
      <c r="W65" s="956">
        <v>4480</v>
      </c>
      <c r="X65" s="957">
        <f t="shared" si="3"/>
        <v>1885</v>
      </c>
      <c r="Y65" s="958">
        <f t="shared" si="4"/>
        <v>610.55183188370688</v>
      </c>
    </row>
    <row r="66" spans="1:25" x14ac:dyDescent="0.2">
      <c r="A66" s="925" t="s">
        <v>1048</v>
      </c>
      <c r="B66" s="926">
        <v>26857309</v>
      </c>
      <c r="C66" s="927" t="s">
        <v>1735</v>
      </c>
      <c r="D66" s="928">
        <v>18270226</v>
      </c>
      <c r="E66" s="927" t="s">
        <v>1745</v>
      </c>
      <c r="F66" s="929">
        <f t="shared" si="2"/>
        <v>0.11141741305474853</v>
      </c>
      <c r="G66" s="930">
        <f t="shared" si="6"/>
        <v>13604.696914139382</v>
      </c>
      <c r="H66" s="917"/>
      <c r="I66" s="893"/>
      <c r="J66" s="925" t="s">
        <v>1048</v>
      </c>
      <c r="K66" s="931">
        <v>102600</v>
      </c>
      <c r="L66" s="931">
        <v>158053</v>
      </c>
      <c r="M66" s="931">
        <v>48620</v>
      </c>
      <c r="N66" s="931">
        <f t="shared" si="7"/>
        <v>136097.666</v>
      </c>
      <c r="O66" s="919"/>
      <c r="P66" s="893"/>
      <c r="Q66" s="925" t="s">
        <v>1048</v>
      </c>
      <c r="R66" s="926">
        <v>3615</v>
      </c>
      <c r="S66" s="928">
        <v>8897</v>
      </c>
      <c r="T66" s="932">
        <v>6122</v>
      </c>
      <c r="U66" s="926">
        <v>3337</v>
      </c>
      <c r="V66" s="926">
        <v>12927</v>
      </c>
      <c r="W66" s="933">
        <v>34898</v>
      </c>
      <c r="X66" s="934">
        <f t="shared" si="3"/>
        <v>6952</v>
      </c>
      <c r="Y66" s="935">
        <f t="shared" si="4"/>
        <v>2251.7540240082385</v>
      </c>
    </row>
    <row r="67" spans="1:25" x14ac:dyDescent="0.2">
      <c r="A67" s="1017" t="s">
        <v>1050</v>
      </c>
      <c r="B67" s="1018">
        <v>69428758</v>
      </c>
      <c r="C67" s="1019" t="s">
        <v>1727</v>
      </c>
      <c r="D67" s="1020">
        <v>66978943</v>
      </c>
      <c r="E67" s="1019" t="s">
        <v>1727</v>
      </c>
      <c r="F67" s="1021">
        <f t="shared" si="2"/>
        <v>0.16149032266386562</v>
      </c>
      <c r="G67" s="1022">
        <f t="shared" si="6"/>
        <v>49875.038171088723</v>
      </c>
      <c r="H67" s="917"/>
      <c r="I67" s="893"/>
      <c r="J67" s="1017" t="s">
        <v>1050</v>
      </c>
      <c r="K67" s="1023">
        <v>354399</v>
      </c>
      <c r="L67" s="1023">
        <v>399764</v>
      </c>
      <c r="M67" s="1023">
        <v>90300</v>
      </c>
      <c r="N67" s="1023">
        <f t="shared" si="7"/>
        <v>326464.54200000002</v>
      </c>
      <c r="O67" s="919"/>
      <c r="P67" s="893"/>
      <c r="Q67" s="1017" t="s">
        <v>1050</v>
      </c>
      <c r="R67" s="1018">
        <v>15293</v>
      </c>
      <c r="S67" s="1020">
        <v>32518</v>
      </c>
      <c r="T67" s="1024">
        <v>37544</v>
      </c>
      <c r="U67" s="1018">
        <v>18560</v>
      </c>
      <c r="V67" s="1018">
        <v>1096</v>
      </c>
      <c r="W67" s="1025">
        <v>105011</v>
      </c>
      <c r="X67" s="1026">
        <f t="shared" si="3"/>
        <v>33853</v>
      </c>
      <c r="Y67" s="1027">
        <f t="shared" si="4"/>
        <v>10964.99266034967</v>
      </c>
    </row>
    <row r="68" spans="1:25" x14ac:dyDescent="0.2">
      <c r="A68" s="959" t="s">
        <v>1052</v>
      </c>
      <c r="B68" s="960">
        <v>461560</v>
      </c>
      <c r="C68" s="961" t="s">
        <v>1735</v>
      </c>
      <c r="D68" s="962">
        <v>464259</v>
      </c>
      <c r="E68" s="961" t="s">
        <v>1734</v>
      </c>
      <c r="F68" s="963">
        <f t="shared" si="2"/>
        <v>2.3078990882297565E-2</v>
      </c>
      <c r="G68" s="917">
        <f t="shared" si="6"/>
        <v>345.70469925557768</v>
      </c>
      <c r="H68" s="917"/>
      <c r="I68" s="893"/>
      <c r="J68" s="959" t="s">
        <v>1052</v>
      </c>
      <c r="K68" s="919">
        <v>21035</v>
      </c>
      <c r="L68" s="919">
        <v>19389</v>
      </c>
      <c r="M68" s="919">
        <v>2815</v>
      </c>
      <c r="N68" s="919">
        <f t="shared" si="7"/>
        <v>15964.614999999998</v>
      </c>
      <c r="O68" s="919"/>
      <c r="P68" s="893"/>
      <c r="Q68" s="959" t="s">
        <v>1746</v>
      </c>
      <c r="R68" s="960">
        <v>2739</v>
      </c>
      <c r="S68" s="962">
        <v>7444</v>
      </c>
      <c r="T68" s="964">
        <v>15824</v>
      </c>
      <c r="U68" s="960">
        <v>1678</v>
      </c>
      <c r="V68" s="960">
        <v>1903</v>
      </c>
      <c r="W68" s="1028">
        <v>29588</v>
      </c>
      <c r="X68" s="966">
        <f t="shared" si="3"/>
        <v>4417</v>
      </c>
      <c r="Y68" s="967">
        <f t="shared" si="4"/>
        <v>1430.6670776818744</v>
      </c>
    </row>
    <row r="69" spans="1:25" x14ac:dyDescent="0.2">
      <c r="A69" s="968" t="s">
        <v>1054</v>
      </c>
      <c r="B69" s="969">
        <v>36513758</v>
      </c>
      <c r="C69" s="970" t="s">
        <v>1727</v>
      </c>
      <c r="D69" s="971">
        <v>17572841</v>
      </c>
      <c r="E69" s="970" t="s">
        <v>1735</v>
      </c>
      <c r="F69" s="972">
        <f t="shared" si="2"/>
        <v>0.11868765641932587</v>
      </c>
      <c r="G69" s="973">
        <f t="shared" si="6"/>
        <v>13085.397833905394</v>
      </c>
      <c r="H69" s="917"/>
      <c r="I69" s="893"/>
      <c r="J69" s="968" t="s">
        <v>1054</v>
      </c>
      <c r="K69" s="974">
        <v>143194</v>
      </c>
      <c r="L69" s="974">
        <v>142708</v>
      </c>
      <c r="M69" s="974">
        <v>32484</v>
      </c>
      <c r="N69" s="974">
        <f t="shared" si="7"/>
        <v>116358.342</v>
      </c>
      <c r="O69" s="919"/>
      <c r="P69" s="893"/>
      <c r="Q69" s="968" t="s">
        <v>1052</v>
      </c>
      <c r="R69" s="969">
        <v>42</v>
      </c>
      <c r="S69" s="971">
        <v>3117</v>
      </c>
      <c r="T69" s="975">
        <v>6819</v>
      </c>
      <c r="U69" s="969">
        <v>497</v>
      </c>
      <c r="V69" s="969">
        <v>541</v>
      </c>
      <c r="W69" s="1029">
        <v>11016</v>
      </c>
      <c r="X69" s="977">
        <f t="shared" si="3"/>
        <v>539</v>
      </c>
      <c r="Y69" s="978">
        <f t="shared" si="4"/>
        <v>174.58219489937292</v>
      </c>
    </row>
    <row r="70" spans="1:25" x14ac:dyDescent="0.2">
      <c r="A70" s="997" t="s">
        <v>1056</v>
      </c>
      <c r="B70" s="998">
        <v>3891587</v>
      </c>
      <c r="C70" s="999" t="s">
        <v>1742</v>
      </c>
      <c r="D70" s="1000">
        <v>15326288</v>
      </c>
      <c r="E70" s="999" t="s">
        <v>1738</v>
      </c>
      <c r="F70" s="1001">
        <f t="shared" si="2"/>
        <v>0.28252927711304227</v>
      </c>
      <c r="G70" s="1002">
        <f t="shared" si="6"/>
        <v>11412.530039793237</v>
      </c>
      <c r="H70" s="917"/>
      <c r="I70" s="893"/>
      <c r="J70" s="997" t="s">
        <v>1056</v>
      </c>
      <c r="K70" s="1003">
        <v>26430</v>
      </c>
      <c r="L70" s="1003">
        <v>52286</v>
      </c>
      <c r="M70" s="1003">
        <v>17776</v>
      </c>
      <c r="N70" s="1003">
        <f t="shared" si="7"/>
        <v>51750.862999999998</v>
      </c>
      <c r="O70" s="919"/>
      <c r="P70" s="893"/>
      <c r="Q70" s="997" t="s">
        <v>1054</v>
      </c>
      <c r="R70" s="998">
        <v>242</v>
      </c>
      <c r="S70" s="1000">
        <v>2509</v>
      </c>
      <c r="T70" s="1013">
        <v>18157</v>
      </c>
      <c r="U70" s="998">
        <v>323</v>
      </c>
      <c r="V70" s="998">
        <v>6315</v>
      </c>
      <c r="W70" s="1030">
        <v>27546</v>
      </c>
      <c r="X70" s="1007">
        <f t="shared" si="3"/>
        <v>565</v>
      </c>
      <c r="Y70" s="1008">
        <f t="shared" si="4"/>
        <v>183.00359947707923</v>
      </c>
    </row>
    <row r="71" spans="1:25" x14ac:dyDescent="0.2">
      <c r="A71" s="911" t="s">
        <v>1058</v>
      </c>
      <c r="B71" s="912">
        <v>38773137</v>
      </c>
      <c r="C71" s="913" t="s">
        <v>1727</v>
      </c>
      <c r="D71" s="914">
        <v>18719071</v>
      </c>
      <c r="E71" s="913" t="s">
        <v>1732</v>
      </c>
      <c r="F71" s="915">
        <f t="shared" si="2"/>
        <v>6.67584706576477E-2</v>
      </c>
      <c r="G71" s="916">
        <f t="shared" si="6"/>
        <v>13938.923769703561</v>
      </c>
      <c r="H71" s="917"/>
      <c r="I71" s="893"/>
      <c r="J71" s="911" t="s">
        <v>1058</v>
      </c>
      <c r="K71" s="918">
        <v>286576</v>
      </c>
      <c r="L71" s="918">
        <v>270265</v>
      </c>
      <c r="M71" s="918">
        <v>54491</v>
      </c>
      <c r="N71" s="918">
        <f t="shared" si="7"/>
        <v>241233.73800000001</v>
      </c>
      <c r="O71" s="919"/>
      <c r="P71" s="893"/>
      <c r="Q71" s="911" t="s">
        <v>1058</v>
      </c>
      <c r="R71" s="912">
        <v>4458</v>
      </c>
      <c r="S71" s="914">
        <v>40578</v>
      </c>
      <c r="T71" s="1009">
        <v>0</v>
      </c>
      <c r="U71" s="912">
        <v>6070</v>
      </c>
      <c r="V71" s="1010">
        <v>0</v>
      </c>
      <c r="W71" s="1031">
        <v>51106</v>
      </c>
      <c r="X71" s="923">
        <f t="shared" si="3"/>
        <v>10528</v>
      </c>
      <c r="Y71" s="924">
        <f t="shared" si="4"/>
        <v>3410.0210536189206</v>
      </c>
    </row>
    <row r="72" spans="1:25" x14ac:dyDescent="0.2">
      <c r="A72" s="947" t="s">
        <v>1060</v>
      </c>
      <c r="B72" s="948">
        <v>219173834</v>
      </c>
      <c r="C72" s="949" t="s">
        <v>1727</v>
      </c>
      <c r="D72" s="950">
        <v>122900676</v>
      </c>
      <c r="E72" s="949" t="s">
        <v>1735</v>
      </c>
      <c r="F72" s="951">
        <f t="shared" si="2"/>
        <v>0.10942076535620514</v>
      </c>
      <c r="G72" s="952">
        <f t="shared" si="6"/>
        <v>91516.46222235258</v>
      </c>
      <c r="H72" s="917"/>
      <c r="I72" s="893"/>
      <c r="J72" s="947" t="s">
        <v>1060</v>
      </c>
      <c r="K72" s="953">
        <v>589064</v>
      </c>
      <c r="L72" s="953">
        <v>1082596</v>
      </c>
      <c r="M72" s="953">
        <v>229846</v>
      </c>
      <c r="N72" s="953">
        <f t="shared" si="7"/>
        <v>846948.86599999992</v>
      </c>
      <c r="O72" s="919"/>
      <c r="P72" s="893"/>
      <c r="Q72" s="947" t="s">
        <v>1060</v>
      </c>
      <c r="R72" s="948">
        <v>58320</v>
      </c>
      <c r="S72" s="950">
        <v>27052</v>
      </c>
      <c r="T72" s="1012">
        <v>285614</v>
      </c>
      <c r="U72" s="948">
        <v>39348</v>
      </c>
      <c r="V72" s="948">
        <v>78023</v>
      </c>
      <c r="W72" s="1032">
        <v>488357</v>
      </c>
      <c r="X72" s="957">
        <f t="shared" si="3"/>
        <v>97668</v>
      </c>
      <c r="Y72" s="958">
        <f t="shared" si="4"/>
        <v>31634.682395977652</v>
      </c>
    </row>
    <row r="73" spans="1:25" x14ac:dyDescent="0.2">
      <c r="A73" s="936" t="s">
        <v>1062</v>
      </c>
      <c r="B73" s="937">
        <v>15297258</v>
      </c>
      <c r="C73" s="938" t="s">
        <v>1742</v>
      </c>
      <c r="D73" s="939">
        <v>23064314</v>
      </c>
      <c r="E73" s="938" t="s">
        <v>1727</v>
      </c>
      <c r="F73" s="940">
        <f t="shared" si="2"/>
        <v>0.20270136494625374</v>
      </c>
      <c r="G73" s="941">
        <f t="shared" si="6"/>
        <v>17174.555011117089</v>
      </c>
      <c r="H73" s="917"/>
      <c r="I73" s="893"/>
      <c r="J73" s="936" t="s">
        <v>1062</v>
      </c>
      <c r="K73" s="942">
        <v>61515</v>
      </c>
      <c r="L73" s="942">
        <v>109672</v>
      </c>
      <c r="M73" s="942">
        <v>38046</v>
      </c>
      <c r="N73" s="942">
        <f t="shared" si="7"/>
        <v>102600.14199999999</v>
      </c>
      <c r="O73" s="919"/>
      <c r="P73" s="893"/>
      <c r="Q73" s="936"/>
      <c r="R73" s="937"/>
      <c r="S73" s="939"/>
      <c r="T73" s="943"/>
      <c r="U73" s="937"/>
      <c r="V73" s="937"/>
      <c r="W73" s="1033"/>
      <c r="X73" s="945">
        <f t="shared" si="3"/>
        <v>0</v>
      </c>
      <c r="Y73" s="946">
        <f t="shared" si="4"/>
        <v>0</v>
      </c>
    </row>
    <row r="74" spans="1:25" x14ac:dyDescent="0.2">
      <c r="A74" s="959" t="s">
        <v>1064</v>
      </c>
      <c r="B74" s="960">
        <v>1333916</v>
      </c>
      <c r="C74" s="961" t="s">
        <v>1728</v>
      </c>
      <c r="D74" s="962">
        <v>830160</v>
      </c>
      <c r="E74" s="961" t="s">
        <v>1745</v>
      </c>
      <c r="F74" s="963">
        <f t="shared" si="2"/>
        <v>4.933741625770563E-2</v>
      </c>
      <c r="G74" s="917">
        <f t="shared" si="6"/>
        <v>618.16833520515559</v>
      </c>
      <c r="H74" s="917"/>
      <c r="I74" s="893"/>
      <c r="J74" s="959" t="s">
        <v>1064</v>
      </c>
      <c r="K74" s="919">
        <v>16238</v>
      </c>
      <c r="L74" s="919">
        <v>16218</v>
      </c>
      <c r="M74" s="919">
        <v>3296</v>
      </c>
      <c r="N74" s="919">
        <f t="shared" si="7"/>
        <v>16100.433999999999</v>
      </c>
      <c r="O74" s="919"/>
      <c r="P74" s="893"/>
      <c r="Q74" s="959" t="s">
        <v>1064</v>
      </c>
      <c r="R74" s="960">
        <v>0</v>
      </c>
      <c r="S74" s="962">
        <v>0</v>
      </c>
      <c r="T74" s="964">
        <v>0</v>
      </c>
      <c r="U74" s="960">
        <v>0</v>
      </c>
      <c r="V74" s="960">
        <v>0</v>
      </c>
      <c r="W74" s="1028">
        <v>0</v>
      </c>
      <c r="X74" s="966">
        <f t="shared" si="3"/>
        <v>0</v>
      </c>
      <c r="Y74" s="967">
        <f t="shared" si="4"/>
        <v>0</v>
      </c>
    </row>
    <row r="75" spans="1:25" x14ac:dyDescent="0.2">
      <c r="A75" s="1034" t="s">
        <v>1066</v>
      </c>
      <c r="B75" s="1035">
        <v>66396085</v>
      </c>
      <c r="C75" s="1036" t="s">
        <v>1727</v>
      </c>
      <c r="D75" s="1037">
        <v>49704569</v>
      </c>
      <c r="E75" s="1036" t="s">
        <v>1727</v>
      </c>
      <c r="F75" s="1038">
        <f t="shared" si="2"/>
        <v>0.17813976727927944</v>
      </c>
      <c r="G75" s="1039">
        <f t="shared" si="6"/>
        <v>37011.890082417587</v>
      </c>
      <c r="H75" s="917"/>
      <c r="I75" s="893"/>
      <c r="J75" s="1034" t="s">
        <v>1066</v>
      </c>
      <c r="K75" s="1040">
        <v>164557</v>
      </c>
      <c r="L75" s="1040">
        <v>268935</v>
      </c>
      <c r="M75" s="1040">
        <v>44113</v>
      </c>
      <c r="N75" s="1040">
        <f t="shared" si="7"/>
        <v>207808.03999999998</v>
      </c>
      <c r="O75" s="919"/>
      <c r="P75" s="893"/>
      <c r="Q75" s="1034" t="s">
        <v>1066</v>
      </c>
      <c r="R75" s="1035">
        <v>5614</v>
      </c>
      <c r="S75" s="1037">
        <v>4424</v>
      </c>
      <c r="T75" s="1041">
        <v>13381</v>
      </c>
      <c r="U75" s="1035">
        <v>9287</v>
      </c>
      <c r="V75" s="1035">
        <v>22731</v>
      </c>
      <c r="W75" s="1042">
        <v>55437</v>
      </c>
      <c r="X75" s="1043">
        <f t="shared" si="3"/>
        <v>14901</v>
      </c>
      <c r="Y75" s="1044">
        <f t="shared" si="4"/>
        <v>4826.436523553908</v>
      </c>
    </row>
    <row r="76" spans="1:25" x14ac:dyDescent="0.2">
      <c r="A76" s="925" t="s">
        <v>1068</v>
      </c>
      <c r="B76" s="926">
        <v>51861629</v>
      </c>
      <c r="C76" s="927" t="s">
        <v>1738</v>
      </c>
      <c r="D76" s="928">
        <v>27870086</v>
      </c>
      <c r="E76" s="927" t="s">
        <v>1732</v>
      </c>
      <c r="F76" s="929">
        <f t="shared" si="2"/>
        <v>0.103479793423484</v>
      </c>
      <c r="G76" s="930">
        <f t="shared" si="6"/>
        <v>20753.113453604743</v>
      </c>
      <c r="H76" s="917"/>
      <c r="I76" s="893"/>
      <c r="J76" s="925" t="s">
        <v>1068</v>
      </c>
      <c r="K76" s="931">
        <v>177395</v>
      </c>
      <c r="L76" s="931">
        <v>259594</v>
      </c>
      <c r="M76" s="931">
        <v>46724</v>
      </c>
      <c r="N76" s="931">
        <f t="shared" si="7"/>
        <v>201642.92099999997</v>
      </c>
      <c r="O76" s="919"/>
      <c r="P76" s="893"/>
      <c r="Q76" s="925" t="s">
        <v>1068</v>
      </c>
      <c r="R76" s="926">
        <v>10877</v>
      </c>
      <c r="S76" s="928">
        <v>25394</v>
      </c>
      <c r="T76" s="932">
        <v>28280</v>
      </c>
      <c r="U76" s="926">
        <v>14682</v>
      </c>
      <c r="V76" s="926">
        <v>41999</v>
      </c>
      <c r="W76" s="1045">
        <v>121233</v>
      </c>
      <c r="X76" s="934">
        <f t="shared" si="3"/>
        <v>25559</v>
      </c>
      <c r="Y76" s="935">
        <f t="shared" si="4"/>
        <v>8278.5646000613597</v>
      </c>
    </row>
    <row r="77" spans="1:25" x14ac:dyDescent="0.2">
      <c r="A77" s="1034" t="s">
        <v>1070</v>
      </c>
      <c r="B77" s="1035">
        <v>30527120</v>
      </c>
      <c r="C77" s="1036" t="s">
        <v>1727</v>
      </c>
      <c r="D77" s="1037">
        <v>119317981</v>
      </c>
      <c r="E77" s="1036" t="s">
        <v>1727</v>
      </c>
      <c r="F77" s="1038">
        <f t="shared" si="2"/>
        <v>0.41731631810222786</v>
      </c>
      <c r="G77" s="1039">
        <f t="shared" si="6"/>
        <v>88848.652879939269</v>
      </c>
      <c r="H77" s="917"/>
      <c r="I77" s="893"/>
      <c r="J77" s="1034" t="s">
        <v>1070</v>
      </c>
      <c r="K77" s="1040">
        <v>38479</v>
      </c>
      <c r="L77" s="1040">
        <v>275583</v>
      </c>
      <c r="M77" s="1040">
        <v>78437</v>
      </c>
      <c r="N77" s="1040">
        <f t="shared" si="7"/>
        <v>211276.60499999998</v>
      </c>
      <c r="O77" s="919"/>
      <c r="P77" s="893"/>
      <c r="Q77" s="1034" t="s">
        <v>1070</v>
      </c>
      <c r="R77" s="1035">
        <v>7792</v>
      </c>
      <c r="S77" s="1037">
        <v>16930</v>
      </c>
      <c r="T77" s="1046">
        <v>0</v>
      </c>
      <c r="U77" s="1035">
        <v>46656</v>
      </c>
      <c r="V77" s="1047">
        <v>0</v>
      </c>
      <c r="W77" s="1042">
        <v>71379</v>
      </c>
      <c r="X77" s="1043">
        <f t="shared" si="3"/>
        <v>54448</v>
      </c>
      <c r="Y77" s="1044">
        <f t="shared" si="4"/>
        <v>17635.716786421257</v>
      </c>
    </row>
    <row r="78" spans="1:25" x14ac:dyDescent="0.2">
      <c r="A78" s="986" t="s">
        <v>1072</v>
      </c>
      <c r="B78" s="987">
        <v>77889055</v>
      </c>
      <c r="C78" s="988" t="s">
        <v>1727</v>
      </c>
      <c r="D78" s="989">
        <v>16115174</v>
      </c>
      <c r="E78" s="988" t="s">
        <v>1731</v>
      </c>
      <c r="F78" s="990">
        <f t="shared" si="2"/>
        <v>6.7680010768208121E-2</v>
      </c>
      <c r="G78" s="991">
        <f t="shared" si="6"/>
        <v>11999.964203432362</v>
      </c>
      <c r="H78" s="917"/>
      <c r="I78" s="893"/>
      <c r="J78" s="986" t="s">
        <v>1072</v>
      </c>
      <c r="K78" s="992">
        <v>217451</v>
      </c>
      <c r="L78" s="992">
        <v>229502</v>
      </c>
      <c r="M78" s="992">
        <v>70753</v>
      </c>
      <c r="N78" s="992">
        <f t="shared" si="7"/>
        <v>144016.595</v>
      </c>
      <c r="O78" s="919"/>
      <c r="P78" s="893"/>
      <c r="Q78" s="986" t="s">
        <v>1072</v>
      </c>
      <c r="R78" s="987">
        <v>415</v>
      </c>
      <c r="S78" s="989">
        <v>9026</v>
      </c>
      <c r="T78" s="993">
        <v>1848</v>
      </c>
      <c r="U78" s="987">
        <v>24394</v>
      </c>
      <c r="V78" s="987">
        <v>10966</v>
      </c>
      <c r="W78" s="1048">
        <v>46649</v>
      </c>
      <c r="X78" s="995">
        <f t="shared" si="3"/>
        <v>24809</v>
      </c>
      <c r="Y78" s="996">
        <f t="shared" si="4"/>
        <v>8035.6394680121393</v>
      </c>
    </row>
    <row r="79" spans="1:25" x14ac:dyDescent="0.2">
      <c r="A79" s="1049" t="s">
        <v>1074</v>
      </c>
      <c r="B79" s="937">
        <v>15888145</v>
      </c>
      <c r="C79" s="938" t="s">
        <v>1727</v>
      </c>
      <c r="D79" s="939">
        <v>424070245</v>
      </c>
      <c r="E79" s="938" t="s">
        <v>1727</v>
      </c>
      <c r="F79" s="940">
        <f t="shared" si="2"/>
        <v>1.0190739401914699</v>
      </c>
      <c r="G79" s="941">
        <f t="shared" si="6"/>
        <v>315778.64190239529</v>
      </c>
      <c r="H79" s="917"/>
      <c r="I79" s="893"/>
      <c r="J79" s="1049" t="s">
        <v>1074</v>
      </c>
      <c r="K79" s="942">
        <v>12106</v>
      </c>
      <c r="L79" s="942">
        <v>401092</v>
      </c>
      <c r="M79" s="942">
        <v>421230</v>
      </c>
      <c r="N79" s="942">
        <f t="shared" si="7"/>
        <v>415285.75499999995</v>
      </c>
      <c r="O79" s="919"/>
      <c r="P79" s="893"/>
      <c r="Q79" s="936"/>
      <c r="R79" s="937"/>
      <c r="S79" s="939"/>
      <c r="T79" s="943"/>
      <c r="U79" s="937"/>
      <c r="V79" s="937"/>
      <c r="W79" s="1033"/>
      <c r="X79" s="945">
        <f t="shared" si="3"/>
        <v>0</v>
      </c>
      <c r="Y79" s="946">
        <f t="shared" si="4"/>
        <v>0</v>
      </c>
    </row>
    <row r="80" spans="1:25" x14ac:dyDescent="0.2">
      <c r="A80" s="1050" t="s">
        <v>1747</v>
      </c>
      <c r="B80" s="1051">
        <f>SUM(B29:B79)</f>
        <v>2070114880</v>
      </c>
      <c r="C80" s="1052"/>
      <c r="D80" s="1052">
        <f>SUM(D29:D79)</f>
        <v>2005739371</v>
      </c>
      <c r="E80" s="1052"/>
      <c r="F80" s="963">
        <f t="shared" si="2"/>
        <v>0.16568873740286638</v>
      </c>
      <c r="G80" s="917">
        <f t="shared" si="6"/>
        <v>1493548.9156626507</v>
      </c>
      <c r="H80" s="1053"/>
      <c r="I80" s="893"/>
      <c r="J80" s="1050" t="s">
        <v>1747</v>
      </c>
      <c r="K80" s="1054">
        <v>8397210</v>
      </c>
      <c r="L80" s="1054">
        <v>11667919</v>
      </c>
      <c r="M80" s="1054">
        <v>3137898</v>
      </c>
      <c r="N80" s="919">
        <f>SUM(N29:N79)</f>
        <v>9488116.763000004</v>
      </c>
      <c r="O80" s="919"/>
      <c r="P80" s="893"/>
      <c r="Q80" s="1050" t="s">
        <v>1747</v>
      </c>
      <c r="R80" s="1051">
        <v>319682</v>
      </c>
      <c r="S80" s="1052">
        <v>703814</v>
      </c>
      <c r="T80" s="1055">
        <v>1130895</v>
      </c>
      <c r="U80" s="1051">
        <v>703800</v>
      </c>
      <c r="V80" s="1051">
        <v>434049</v>
      </c>
      <c r="W80" s="1052">
        <v>2588440</v>
      </c>
      <c r="X80" s="966">
        <f t="shared" si="3"/>
        <v>1023482</v>
      </c>
      <c r="Y80" s="967">
        <f>SUM(Y29:Y79)</f>
        <v>322880.21441119624</v>
      </c>
    </row>
    <row r="81" spans="1:25" x14ac:dyDescent="0.2">
      <c r="A81" s="1056"/>
      <c r="B81" s="960"/>
      <c r="C81" s="960"/>
      <c r="D81" s="960"/>
      <c r="E81" s="960"/>
      <c r="F81" s="960" t="s">
        <v>1748</v>
      </c>
      <c r="G81" s="960">
        <f>'AEO Data'!B266*1000</f>
        <v>1587571.8994140599</v>
      </c>
      <c r="H81" s="960"/>
      <c r="I81" s="893"/>
      <c r="J81" s="289" t="s">
        <v>1749</v>
      </c>
      <c r="K81" s="1057"/>
      <c r="L81" s="1057"/>
      <c r="M81" s="290">
        <f>SUM(M29:M39,M41:M79)</f>
        <v>3133286</v>
      </c>
      <c r="N81" s="291"/>
      <c r="O81" s="291"/>
      <c r="P81" s="893"/>
      <c r="Q81" s="898"/>
      <c r="R81" s="896"/>
      <c r="S81" s="898"/>
      <c r="T81" s="898"/>
      <c r="U81" s="898"/>
      <c r="V81" s="898"/>
      <c r="W81" s="898"/>
      <c r="X81" s="265" t="s">
        <v>1748</v>
      </c>
      <c r="Y81" s="967">
        <f>'AEO Data'!B267*1000</f>
        <v>609668.27392578102</v>
      </c>
    </row>
    <row r="82" spans="1:25" x14ac:dyDescent="0.2">
      <c r="A82" s="898" t="s">
        <v>1750</v>
      </c>
      <c r="B82" s="898"/>
      <c r="C82" s="898"/>
      <c r="D82" s="898"/>
      <c r="E82" s="898"/>
      <c r="F82" s="898"/>
      <c r="G82" s="898"/>
      <c r="H82" s="898"/>
      <c r="I82" s="893"/>
      <c r="J82" s="1200" t="s">
        <v>1751</v>
      </c>
      <c r="K82" s="1200"/>
      <c r="L82" s="1200"/>
      <c r="M82" s="1200"/>
      <c r="N82" s="959"/>
      <c r="O82" s="959"/>
      <c r="P82" s="893"/>
      <c r="Q82" s="1190" t="s">
        <v>1752</v>
      </c>
      <c r="R82" s="1190"/>
      <c r="S82" s="1190"/>
      <c r="T82" s="1190"/>
      <c r="U82" s="1190"/>
      <c r="V82" s="1190"/>
      <c r="W82" s="1190"/>
      <c r="X82" s="265"/>
      <c r="Y82" s="265"/>
    </row>
    <row r="83" spans="1:25" x14ac:dyDescent="0.2">
      <c r="A83" s="898"/>
      <c r="B83" s="898"/>
      <c r="C83" s="898"/>
      <c r="D83" s="898"/>
      <c r="E83" s="898"/>
      <c r="F83" s="898"/>
      <c r="G83" s="898"/>
      <c r="H83" s="898"/>
      <c r="I83" s="893"/>
      <c r="J83" s="959"/>
      <c r="K83" s="959"/>
      <c r="L83" s="959"/>
      <c r="M83" s="959"/>
      <c r="N83" s="959"/>
      <c r="O83" s="959"/>
      <c r="P83" s="893"/>
      <c r="Q83" s="898"/>
      <c r="R83" s="896"/>
      <c r="S83" s="898"/>
      <c r="T83" s="898"/>
      <c r="U83" s="898"/>
      <c r="V83" s="898"/>
      <c r="W83" s="898"/>
      <c r="X83" s="265"/>
      <c r="Y83" s="265"/>
    </row>
    <row r="84" spans="1:25" x14ac:dyDescent="0.2">
      <c r="A84" s="1190" t="s">
        <v>1753</v>
      </c>
      <c r="B84" s="1190"/>
      <c r="C84" s="1190"/>
      <c r="D84" s="1190"/>
      <c r="E84" s="1190"/>
      <c r="F84" s="905"/>
      <c r="G84" s="905"/>
      <c r="H84" s="905"/>
      <c r="I84" s="893"/>
      <c r="J84" s="1201" t="s">
        <v>1754</v>
      </c>
      <c r="K84" s="1202"/>
      <c r="L84" s="1202"/>
      <c r="M84" s="1202"/>
      <c r="N84" s="897"/>
      <c r="O84" s="897"/>
      <c r="P84" s="893"/>
      <c r="Q84" s="1190" t="s">
        <v>1755</v>
      </c>
      <c r="R84" s="1190"/>
      <c r="S84" s="1190"/>
      <c r="T84" s="1190"/>
      <c r="U84" s="1190"/>
      <c r="V84" s="1190"/>
      <c r="W84" s="1190"/>
      <c r="X84" s="265"/>
      <c r="Y84" s="265"/>
    </row>
    <row r="85" spans="1:25" x14ac:dyDescent="0.2">
      <c r="A85" s="898" t="s">
        <v>1756</v>
      </c>
      <c r="B85" s="898"/>
      <c r="C85" s="898"/>
      <c r="D85" s="898"/>
      <c r="E85" s="898"/>
      <c r="F85" s="898"/>
      <c r="G85" s="898"/>
      <c r="H85" s="898"/>
      <c r="I85" s="893"/>
      <c r="J85" s="1201"/>
      <c r="K85" s="1202"/>
      <c r="L85" s="1202"/>
      <c r="M85" s="1202"/>
      <c r="N85" s="897"/>
      <c r="O85" s="897"/>
      <c r="P85" s="893"/>
      <c r="Q85" s="265" t="s">
        <v>1757</v>
      </c>
      <c r="R85" s="265"/>
      <c r="S85" s="265"/>
      <c r="T85" s="265"/>
      <c r="U85" s="265"/>
      <c r="V85" s="265"/>
      <c r="W85" s="265"/>
      <c r="X85" s="265"/>
      <c r="Y85" s="265"/>
    </row>
    <row r="86" spans="1:25" x14ac:dyDescent="0.2">
      <c r="A86" s="898"/>
      <c r="B86" s="898"/>
      <c r="C86" s="898"/>
      <c r="D86" s="898"/>
      <c r="E86" s="898"/>
      <c r="F86" s="898"/>
      <c r="G86" s="898"/>
      <c r="H86" s="905"/>
      <c r="I86" s="893"/>
      <c r="J86" s="1190" t="s">
        <v>1758</v>
      </c>
      <c r="K86" s="1190"/>
      <c r="L86" s="1190"/>
      <c r="M86" s="1190"/>
      <c r="N86" s="905"/>
      <c r="O86" s="905"/>
      <c r="P86" s="893"/>
      <c r="Q86" s="292" t="s">
        <v>1759</v>
      </c>
      <c r="R86" s="265"/>
      <c r="S86" s="265"/>
      <c r="T86" s="265"/>
      <c r="U86" s="265"/>
      <c r="V86" s="265"/>
      <c r="W86" s="265"/>
      <c r="X86" s="265"/>
      <c r="Y86" s="265"/>
    </row>
    <row r="87" spans="1:25" x14ac:dyDescent="0.2">
      <c r="A87" s="1190" t="s">
        <v>1760</v>
      </c>
      <c r="B87" s="1190"/>
      <c r="C87" s="1190"/>
      <c r="D87" s="1190"/>
      <c r="E87" s="1190"/>
      <c r="F87" s="905"/>
      <c r="G87" s="905"/>
      <c r="H87" s="265"/>
      <c r="I87" s="893"/>
      <c r="J87" s="265" t="s">
        <v>1761</v>
      </c>
      <c r="K87" s="265"/>
      <c r="L87" s="265"/>
      <c r="M87" s="265"/>
      <c r="N87" s="265"/>
      <c r="O87" s="265"/>
      <c r="P87" s="265"/>
      <c r="Q87" s="265" t="s">
        <v>1762</v>
      </c>
      <c r="R87" s="265"/>
      <c r="S87" s="265"/>
      <c r="T87" s="265"/>
      <c r="U87" s="265"/>
      <c r="V87" s="265"/>
      <c r="W87" s="265"/>
      <c r="X87" s="265"/>
      <c r="Y87" s="265"/>
    </row>
    <row r="88" spans="1:25" x14ac:dyDescent="0.2">
      <c r="A88" s="292" t="s">
        <v>1763</v>
      </c>
      <c r="B88" s="265"/>
      <c r="C88" s="265"/>
      <c r="D88" s="265"/>
      <c r="E88" s="265"/>
      <c r="F88" s="265"/>
      <c r="G88" s="265"/>
      <c r="H88" s="265"/>
      <c r="I88" s="893"/>
      <c r="J88" s="265" t="s">
        <v>1764</v>
      </c>
      <c r="K88" s="265"/>
      <c r="L88" s="265"/>
      <c r="M88" s="265"/>
      <c r="N88" s="265"/>
      <c r="O88" s="265"/>
      <c r="P88" s="265"/>
      <c r="Q88" s="265"/>
      <c r="R88" s="265"/>
      <c r="S88" s="265"/>
      <c r="T88" s="265"/>
      <c r="U88" s="265"/>
      <c r="V88" s="265"/>
      <c r="W88" s="265"/>
      <c r="X88" s="265"/>
      <c r="Y88" s="265"/>
    </row>
    <row r="89" spans="1:25" x14ac:dyDescent="0.2">
      <c r="A89" s="265" t="s">
        <v>1765</v>
      </c>
      <c r="B89" s="265"/>
      <c r="C89" s="265"/>
      <c r="D89" s="265"/>
      <c r="E89" s="265"/>
      <c r="F89" s="265"/>
      <c r="G89" s="265"/>
      <c r="H89" s="265"/>
      <c r="I89" s="265"/>
      <c r="J89" s="265" t="s">
        <v>1766</v>
      </c>
      <c r="K89" s="265"/>
      <c r="L89" s="265"/>
      <c r="M89" s="265"/>
      <c r="N89" s="265"/>
      <c r="O89" s="265"/>
      <c r="P89" s="265"/>
      <c r="Q89" s="265" t="s">
        <v>1767</v>
      </c>
      <c r="R89" s="265"/>
      <c r="S89" s="265"/>
      <c r="T89" s="265"/>
      <c r="U89" s="265"/>
      <c r="V89" s="265"/>
      <c r="W89" s="265"/>
      <c r="X89" s="265"/>
      <c r="Y89" s="265"/>
    </row>
    <row r="90" spans="1:25" x14ac:dyDescent="0.2">
      <c r="A90" s="265"/>
      <c r="B90" s="265"/>
      <c r="C90" s="265"/>
      <c r="D90" s="265"/>
      <c r="E90" s="265"/>
      <c r="F90" s="265"/>
      <c r="G90" s="265"/>
      <c r="H90" s="265"/>
      <c r="I90" s="265"/>
      <c r="J90" s="292" t="s">
        <v>1768</v>
      </c>
      <c r="K90" s="265"/>
      <c r="L90" s="265"/>
      <c r="M90" s="265"/>
      <c r="N90" s="265"/>
      <c r="O90" s="265"/>
      <c r="P90" s="265"/>
      <c r="Q90" s="265" t="s">
        <v>1769</v>
      </c>
      <c r="R90" s="265"/>
      <c r="S90" s="265"/>
      <c r="T90" s="265"/>
      <c r="U90" s="265"/>
      <c r="V90" s="265"/>
      <c r="W90" s="265"/>
      <c r="X90" s="265"/>
      <c r="Y90" s="265"/>
    </row>
    <row r="91" spans="1:25" x14ac:dyDescent="0.2">
      <c r="A91" s="265" t="s">
        <v>1770</v>
      </c>
      <c r="B91" s="265"/>
      <c r="C91" s="1058">
        <f>K98*1000000/(D80*(1+K95/2))</f>
        <v>744.63758215904841</v>
      </c>
      <c r="D91" s="265"/>
      <c r="E91" s="265"/>
      <c r="F91" s="265"/>
      <c r="G91" s="265"/>
      <c r="H91" s="265"/>
      <c r="I91" s="265"/>
      <c r="J91" s="265" t="s">
        <v>1771</v>
      </c>
      <c r="K91" s="265"/>
      <c r="L91" s="265"/>
      <c r="M91" s="265"/>
      <c r="N91" s="265"/>
      <c r="O91" s="265"/>
      <c r="P91" s="265"/>
      <c r="Q91" s="265"/>
      <c r="R91" s="265"/>
      <c r="S91" s="265"/>
      <c r="T91" s="265"/>
      <c r="U91" s="265"/>
      <c r="V91" s="265"/>
      <c r="W91" s="265"/>
      <c r="X91" s="265"/>
      <c r="Y91" s="265"/>
    </row>
    <row r="93" spans="1:25" x14ac:dyDescent="0.2">
      <c r="A93" s="265"/>
      <c r="B93" s="265"/>
      <c r="C93" s="265"/>
      <c r="D93" s="265"/>
      <c r="E93" s="265"/>
      <c r="F93" s="265"/>
      <c r="G93" s="265"/>
      <c r="H93" s="265"/>
      <c r="I93" s="265"/>
      <c r="J93" s="1059" t="s">
        <v>1772</v>
      </c>
      <c r="K93" s="1059"/>
      <c r="L93" s="1059"/>
      <c r="M93" s="265"/>
      <c r="N93" s="265"/>
      <c r="O93" s="265"/>
      <c r="P93" s="265"/>
      <c r="Q93" s="265"/>
      <c r="R93" s="265" t="s">
        <v>1770</v>
      </c>
      <c r="S93" s="265"/>
      <c r="T93" s="265"/>
      <c r="U93" s="265"/>
      <c r="V93" s="1058">
        <f>K99*1000/X80</f>
        <v>323.90017606562697</v>
      </c>
      <c r="W93" s="265"/>
      <c r="X93" s="265"/>
      <c r="Y93" s="265"/>
    </row>
    <row r="94" spans="1:25" x14ac:dyDescent="0.2">
      <c r="A94" s="265"/>
      <c r="B94" s="265"/>
      <c r="C94" s="265"/>
      <c r="D94" s="265"/>
      <c r="E94" s="265"/>
      <c r="F94" s="265"/>
      <c r="G94" s="265"/>
      <c r="H94" s="265"/>
      <c r="I94" s="265"/>
      <c r="J94" s="1059"/>
      <c r="K94" s="1059"/>
      <c r="L94" s="1059"/>
      <c r="M94" s="265"/>
      <c r="N94" s="265"/>
      <c r="O94" s="265"/>
      <c r="P94" s="265"/>
      <c r="Q94" s="265"/>
      <c r="R94" s="265"/>
      <c r="S94" s="265"/>
      <c r="T94" s="265"/>
      <c r="U94" s="265"/>
      <c r="V94" s="265"/>
      <c r="W94" s="265"/>
      <c r="X94" s="265"/>
      <c r="Y94" s="265"/>
    </row>
    <row r="95" spans="1:25" x14ac:dyDescent="0.2">
      <c r="A95" s="265"/>
      <c r="B95" s="265"/>
      <c r="C95" s="265"/>
      <c r="D95" s="265"/>
      <c r="E95" s="265"/>
      <c r="F95" s="265"/>
      <c r="G95" s="265"/>
      <c r="H95" s="265"/>
      <c r="I95" s="265"/>
      <c r="J95" s="1059" t="s">
        <v>1773</v>
      </c>
      <c r="K95" s="1060">
        <v>7.4999999999999997E-2</v>
      </c>
      <c r="L95" s="1059" t="s">
        <v>1774</v>
      </c>
      <c r="M95" s="265"/>
      <c r="N95" s="265"/>
      <c r="O95" s="265"/>
      <c r="P95" s="265"/>
      <c r="Q95" s="265"/>
      <c r="R95" s="265"/>
      <c r="S95" s="265"/>
      <c r="T95" s="265"/>
      <c r="U95" s="265"/>
      <c r="V95" s="265"/>
      <c r="W95" s="265"/>
      <c r="X95" s="265"/>
      <c r="Y95" s="265"/>
    </row>
    <row r="96" spans="1:25" x14ac:dyDescent="0.2">
      <c r="A96" s="265"/>
      <c r="B96" s="265"/>
      <c r="C96" s="265"/>
      <c r="D96" s="265"/>
      <c r="E96" s="265"/>
      <c r="F96" s="265"/>
      <c r="G96" s="265"/>
      <c r="H96" s="265"/>
      <c r="I96" s="265"/>
      <c r="J96" s="1059" t="s">
        <v>1775</v>
      </c>
      <c r="K96" s="1060">
        <v>6.6000000000000003E-2</v>
      </c>
      <c r="L96" s="1059" t="s">
        <v>1774</v>
      </c>
      <c r="M96" s="265"/>
      <c r="N96" s="265"/>
      <c r="O96" s="265"/>
      <c r="P96" s="265"/>
      <c r="Q96" s="265"/>
      <c r="R96" s="265"/>
      <c r="S96" s="265"/>
      <c r="T96" s="265"/>
      <c r="U96" s="265"/>
      <c r="V96" s="265"/>
      <c r="W96" s="265"/>
      <c r="X96" s="265"/>
      <c r="Y96" s="265"/>
    </row>
    <row r="97" spans="10:14" x14ac:dyDescent="0.2">
      <c r="J97" s="1059"/>
      <c r="K97" s="1059"/>
      <c r="L97" s="1059"/>
      <c r="M97" s="265"/>
      <c r="N97" s="265"/>
    </row>
    <row r="98" spans="10:14" x14ac:dyDescent="0.2">
      <c r="J98" s="1059" t="s">
        <v>1776</v>
      </c>
      <c r="K98" s="293">
        <v>1549557</v>
      </c>
      <c r="L98" s="1059" t="s">
        <v>1777</v>
      </c>
      <c r="M98" s="265"/>
      <c r="N98" s="265"/>
    </row>
    <row r="99" spans="10:14" x14ac:dyDescent="0.2">
      <c r="J99" s="1059" t="s">
        <v>1778</v>
      </c>
      <c r="K99" s="1061">
        <v>331506</v>
      </c>
      <c r="L99" s="1059" t="s">
        <v>1777</v>
      </c>
      <c r="M99" s="265"/>
      <c r="N99" s="265"/>
    </row>
    <row r="100" spans="10:14" x14ac:dyDescent="0.2">
      <c r="J100" s="1059" t="s">
        <v>1779</v>
      </c>
      <c r="K100" s="1059"/>
      <c r="L100" s="1059"/>
      <c r="M100" s="1059"/>
      <c r="N100" s="1059"/>
    </row>
  </sheetData>
  <mergeCells count="18">
    <mergeCell ref="A87:E87"/>
    <mergeCell ref="J86:M86"/>
    <mergeCell ref="A25:E25"/>
    <mergeCell ref="A26:D26"/>
    <mergeCell ref="B27:C27"/>
    <mergeCell ref="D27:E27"/>
    <mergeCell ref="A84:E84"/>
    <mergeCell ref="J26:M26"/>
    <mergeCell ref="J27:M27"/>
    <mergeCell ref="J82:M82"/>
    <mergeCell ref="J84:M84"/>
    <mergeCell ref="J85:M85"/>
    <mergeCell ref="Q82:W82"/>
    <mergeCell ref="Q84:W84"/>
    <mergeCell ref="Q25:W25"/>
    <mergeCell ref="Q26:W26"/>
    <mergeCell ref="S27:T27"/>
    <mergeCell ref="U27:V27"/>
  </mergeCells>
  <phoneticPr fontId="18" type="noConversion"/>
  <hyperlinks>
    <hyperlink ref="J90" r:id="rId1" xr:uid="{00000000-0004-0000-2400-000000000000}"/>
    <hyperlink ref="A88" r:id="rId2" xr:uid="{00000000-0004-0000-2400-000001000000}"/>
    <hyperlink ref="Q86" r:id="rId3" xr:uid="{00000000-0004-0000-2400-000002000000}"/>
  </hyperlinks>
  <pageMargins left="0.75" right="0.75" top="1" bottom="1" header="0.5" footer="0.5"/>
  <pageSetup orientation="portrait" r:id="rId4"/>
  <headerFooter alignWithMargins="0"/>
  <drawing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0" tint="-0.34998626667073579"/>
    <pageSetUpPr fitToPage="1"/>
  </sheetPr>
  <dimension ref="A1:AD231"/>
  <sheetViews>
    <sheetView showFormulas="1" workbookViewId="0">
      <selection activeCell="J160" sqref="J160"/>
    </sheetView>
  </sheetViews>
  <sheetFormatPr defaultRowHeight="12.75" x14ac:dyDescent="0.2"/>
  <cols>
    <col min="1" max="1" width="40.42578125" customWidth="1"/>
    <col min="7" max="16" width="9.140625" customWidth="1"/>
  </cols>
  <sheetData>
    <row r="1" spans="1:30" x14ac:dyDescent="0.2">
      <c r="A1" s="68"/>
      <c r="B1" s="128" t="s">
        <v>1780</v>
      </c>
      <c r="C1" s="68"/>
      <c r="D1" s="68"/>
      <c r="E1" s="69"/>
      <c r="F1" s="68"/>
      <c r="G1" s="70"/>
      <c r="H1" s="70"/>
      <c r="I1" s="70"/>
      <c r="J1" s="70"/>
      <c r="K1" s="70"/>
      <c r="L1" s="70"/>
      <c r="M1" s="70"/>
      <c r="N1" s="70"/>
      <c r="O1" s="70"/>
      <c r="P1" s="70"/>
      <c r="Q1" s="70"/>
      <c r="R1" s="70"/>
      <c r="S1" s="70"/>
      <c r="T1" s="70"/>
      <c r="U1" s="70"/>
      <c r="V1" s="70"/>
      <c r="W1" s="70"/>
      <c r="X1" s="70"/>
      <c r="Y1" s="70"/>
      <c r="Z1" s="70"/>
      <c r="AA1" s="70"/>
    </row>
    <row r="2" spans="1:30" x14ac:dyDescent="0.2">
      <c r="A2" s="12"/>
    </row>
    <row r="3" spans="1:30" s="12" customFormat="1" ht="11.25" x14ac:dyDescent="0.2">
      <c r="A3" s="71" t="s">
        <v>1781</v>
      </c>
      <c r="B3" s="71"/>
      <c r="C3" s="71"/>
      <c r="D3" s="71"/>
      <c r="E3" s="71"/>
      <c r="F3" s="71"/>
      <c r="G3" s="71"/>
      <c r="H3" s="71"/>
      <c r="I3" s="71"/>
      <c r="J3" s="71"/>
      <c r="K3" s="71"/>
      <c r="L3" s="71"/>
      <c r="M3" s="71"/>
      <c r="N3" s="71"/>
      <c r="O3" s="71"/>
      <c r="P3" s="71"/>
      <c r="Q3" s="71"/>
      <c r="R3" s="71"/>
      <c r="S3" s="71"/>
      <c r="T3" s="71"/>
      <c r="U3" s="71"/>
      <c r="V3" s="71"/>
      <c r="W3" s="71"/>
      <c r="X3" s="71"/>
      <c r="Y3" s="71"/>
      <c r="Z3" s="71"/>
      <c r="AA3" s="71"/>
    </row>
    <row r="4" spans="1:30" s="12" customFormat="1" ht="11.25" x14ac:dyDescent="0.2">
      <c r="A4" s="71" t="s">
        <v>1782</v>
      </c>
      <c r="B4" s="71"/>
      <c r="C4" s="71"/>
      <c r="D4" s="71"/>
      <c r="E4" s="71"/>
      <c r="F4" s="71"/>
      <c r="G4" s="71"/>
      <c r="H4" s="71"/>
      <c r="I4" s="71"/>
      <c r="J4" s="71"/>
      <c r="K4" s="71"/>
      <c r="L4" s="71"/>
      <c r="M4" s="71"/>
      <c r="N4" s="71"/>
      <c r="O4" s="71"/>
      <c r="P4" s="71"/>
      <c r="Q4" s="71"/>
      <c r="R4" s="71"/>
      <c r="S4" s="71"/>
      <c r="T4" s="71"/>
      <c r="U4" s="71"/>
      <c r="V4" s="71"/>
      <c r="W4" s="71"/>
      <c r="X4" s="71"/>
      <c r="Y4" s="71"/>
      <c r="Z4" s="71"/>
      <c r="AA4" s="71"/>
    </row>
    <row r="5" spans="1:30" ht="13.5" customHeight="1" x14ac:dyDescent="0.2">
      <c r="A5" s="12"/>
      <c r="D5" s="73"/>
      <c r="E5" s="73"/>
      <c r="F5" s="28" t="s">
        <v>476</v>
      </c>
      <c r="G5" s="28" t="s">
        <v>477</v>
      </c>
      <c r="H5" s="28" t="s">
        <v>475</v>
      </c>
      <c r="I5" s="28"/>
    </row>
    <row r="6" spans="1:30" ht="21" customHeight="1" x14ac:dyDescent="0.2">
      <c r="C6" s="37" t="s">
        <v>1783</v>
      </c>
      <c r="D6" s="74" t="s">
        <v>1784</v>
      </c>
      <c r="E6" s="75" t="s">
        <v>1785</v>
      </c>
      <c r="F6" s="76" t="s">
        <v>1786</v>
      </c>
      <c r="G6" s="76" t="s">
        <v>1786</v>
      </c>
      <c r="H6" s="76" t="s">
        <v>1787</v>
      </c>
    </row>
    <row r="7" spans="1:30" x14ac:dyDescent="0.2">
      <c r="A7" s="12" t="s">
        <v>1788</v>
      </c>
      <c r="B7" s="12" t="s">
        <v>1321</v>
      </c>
      <c r="C7" s="12"/>
      <c r="D7" s="15">
        <v>2010</v>
      </c>
      <c r="E7" s="77">
        <v>15.5</v>
      </c>
      <c r="F7" s="33">
        <v>1113.4942710231383</v>
      </c>
      <c r="G7" s="33">
        <v>56.323060573857596</v>
      </c>
      <c r="H7" s="78">
        <v>0.11893076184220376</v>
      </c>
      <c r="I7" s="15"/>
    </row>
    <row r="8" spans="1:30" x14ac:dyDescent="0.2">
      <c r="A8" s="12" t="s">
        <v>1789</v>
      </c>
      <c r="B8" s="12" t="s">
        <v>1321</v>
      </c>
      <c r="C8" s="12"/>
      <c r="D8" s="15">
        <v>2015</v>
      </c>
      <c r="E8" s="77">
        <v>15.5</v>
      </c>
      <c r="F8" s="33">
        <v>1122.3649389096922</v>
      </c>
      <c r="G8" s="33">
        <v>56.323060573857596</v>
      </c>
      <c r="H8" s="78">
        <v>0.12946583429191386</v>
      </c>
      <c r="I8" s="15"/>
      <c r="M8" s="35" t="s">
        <v>475</v>
      </c>
      <c r="Q8" s="37"/>
      <c r="R8" s="37" t="s">
        <v>1790</v>
      </c>
      <c r="S8" s="37"/>
      <c r="T8" s="37"/>
      <c r="AC8" s="12"/>
      <c r="AD8" s="12"/>
    </row>
    <row r="9" spans="1:30" x14ac:dyDescent="0.2">
      <c r="A9" s="12"/>
      <c r="B9" s="12" t="s">
        <v>1321</v>
      </c>
      <c r="C9" s="12"/>
      <c r="D9" s="15">
        <v>2020</v>
      </c>
      <c r="E9" s="77">
        <v>15.5</v>
      </c>
      <c r="F9" s="33">
        <v>1130.9319679636928</v>
      </c>
      <c r="G9" s="33">
        <v>56.323060573857596</v>
      </c>
      <c r="H9" s="78">
        <v>0.13360732394187996</v>
      </c>
      <c r="I9" s="15"/>
      <c r="Q9" s="37"/>
      <c r="R9" s="37"/>
      <c r="S9" s="37"/>
      <c r="T9" s="37"/>
      <c r="AC9" s="12"/>
      <c r="AD9" s="12"/>
    </row>
    <row r="10" spans="1:30" ht="10.5" customHeight="1" x14ac:dyDescent="0.2">
      <c r="A10" s="12" t="s">
        <v>1791</v>
      </c>
      <c r="B10" s="12" t="s">
        <v>1321</v>
      </c>
      <c r="C10" s="12"/>
      <c r="D10" s="15">
        <v>2025</v>
      </c>
      <c r="E10" s="77">
        <v>15.5</v>
      </c>
      <c r="F10" s="33">
        <v>1170.8328130291713</v>
      </c>
      <c r="G10" s="33">
        <v>56.323060573857596</v>
      </c>
      <c r="H10" s="78">
        <v>0.1437290909071739</v>
      </c>
      <c r="I10" s="15"/>
      <c r="K10" s="37"/>
      <c r="L10" s="37">
        <v>2010</v>
      </c>
      <c r="M10" s="37">
        <v>2015</v>
      </c>
      <c r="N10" s="37">
        <v>2025</v>
      </c>
      <c r="O10" s="37">
        <v>2040</v>
      </c>
      <c r="Q10" s="37">
        <v>2010</v>
      </c>
      <c r="R10" s="37">
        <v>2015</v>
      </c>
      <c r="S10" s="37">
        <v>2025</v>
      </c>
      <c r="T10" s="37">
        <v>2040</v>
      </c>
      <c r="AC10" s="12"/>
      <c r="AD10" s="12"/>
    </row>
    <row r="11" spans="1:30" x14ac:dyDescent="0.2">
      <c r="A11" s="12"/>
      <c r="B11" s="12" t="s">
        <v>1321</v>
      </c>
      <c r="C11" s="12"/>
      <c r="D11" s="15">
        <v>2040</v>
      </c>
      <c r="E11" s="77">
        <v>15.5</v>
      </c>
      <c r="F11" s="33">
        <v>1207.5097080019957</v>
      </c>
      <c r="G11" s="33">
        <v>56.323060573857596</v>
      </c>
      <c r="H11" s="78">
        <v>0.15823695689076192</v>
      </c>
      <c r="I11" s="15"/>
      <c r="K11" s="37" t="s">
        <v>1792</v>
      </c>
      <c r="L11" s="79">
        <f>H7</f>
        <v>0.11893076184220376</v>
      </c>
      <c r="M11" s="79">
        <f>H8</f>
        <v>0.12946583429191386</v>
      </c>
      <c r="N11" s="79">
        <f>H10</f>
        <v>0.1437290909071739</v>
      </c>
      <c r="O11" s="79">
        <f>H11</f>
        <v>0.15823695689076192</v>
      </c>
      <c r="Q11" s="40">
        <f>F7</f>
        <v>1113.4942710231383</v>
      </c>
      <c r="R11" s="40">
        <f>F8</f>
        <v>1122.3649389096922</v>
      </c>
      <c r="S11" s="40">
        <f>F10</f>
        <v>1170.8328130291713</v>
      </c>
      <c r="T11" s="40">
        <f>F11</f>
        <v>1207.5097080019957</v>
      </c>
      <c r="AD11" s="12"/>
    </row>
    <row r="12" spans="1:30" x14ac:dyDescent="0.2">
      <c r="A12" s="12" t="s">
        <v>1793</v>
      </c>
      <c r="B12" s="12" t="s">
        <v>1321</v>
      </c>
      <c r="C12" s="12" t="s">
        <v>1794</v>
      </c>
      <c r="D12" s="15">
        <v>2015</v>
      </c>
      <c r="E12" s="77">
        <v>15.5</v>
      </c>
      <c r="F12" s="33">
        <v>1215.2079015640816</v>
      </c>
      <c r="G12" s="33">
        <v>56.323060573857596</v>
      </c>
      <c r="H12" s="78">
        <v>0.18885530196077607</v>
      </c>
      <c r="I12" s="15"/>
      <c r="K12" s="37" t="s">
        <v>1795</v>
      </c>
      <c r="L12" s="37"/>
      <c r="M12" s="79">
        <f>H12</f>
        <v>0.18885530196077607</v>
      </c>
      <c r="N12" s="79">
        <f>H13</f>
        <v>0.23592151834939284</v>
      </c>
      <c r="O12" s="37"/>
      <c r="Q12" s="37"/>
      <c r="R12" s="40">
        <f>F12</f>
        <v>1215.2079015640816</v>
      </c>
      <c r="S12" s="40">
        <f>F13</f>
        <v>1256.5737052392271</v>
      </c>
      <c r="T12" s="40"/>
      <c r="AD12" s="12"/>
    </row>
    <row r="13" spans="1:30" x14ac:dyDescent="0.2">
      <c r="A13" s="12"/>
      <c r="B13" s="12" t="s">
        <v>1321</v>
      </c>
      <c r="C13" s="12" t="s">
        <v>1796</v>
      </c>
      <c r="D13" s="15">
        <v>2025</v>
      </c>
      <c r="E13" s="77">
        <v>15.5</v>
      </c>
      <c r="F13" s="33">
        <v>1256.5737052392271</v>
      </c>
      <c r="G13" s="33">
        <v>56.323060573857596</v>
      </c>
      <c r="H13" s="78">
        <v>0.23592151834939284</v>
      </c>
      <c r="I13" s="15"/>
      <c r="K13" s="37" t="s">
        <v>1797</v>
      </c>
      <c r="L13" s="37"/>
      <c r="M13" s="79">
        <f>H14</f>
        <v>0.23111367904087821</v>
      </c>
      <c r="N13" s="79">
        <f>H15</f>
        <v>0.28872340268500951</v>
      </c>
      <c r="O13" s="79">
        <f>H16</f>
        <v>0.29184428083264186</v>
      </c>
      <c r="Q13" s="37"/>
      <c r="R13" s="40">
        <f>F14</f>
        <v>1476.4571278768453</v>
      </c>
      <c r="S13" s="40">
        <f>F15</f>
        <v>1517.8298517208536</v>
      </c>
      <c r="T13" s="40">
        <f>F16</f>
        <v>1524.4040121405108</v>
      </c>
      <c r="AD13" s="12"/>
    </row>
    <row r="14" spans="1:30" x14ac:dyDescent="0.2">
      <c r="A14" s="12" t="s">
        <v>1798</v>
      </c>
      <c r="B14" s="12" t="s">
        <v>1321</v>
      </c>
      <c r="C14" s="12"/>
      <c r="D14" s="15">
        <v>2015</v>
      </c>
      <c r="E14" s="77">
        <v>15.5</v>
      </c>
      <c r="F14" s="33">
        <v>1476.4571278768453</v>
      </c>
      <c r="G14" s="33">
        <v>56.323060573857596</v>
      </c>
      <c r="H14" s="78">
        <v>0.23111367904087821</v>
      </c>
      <c r="I14" s="15"/>
      <c r="K14" s="37" t="s">
        <v>1799</v>
      </c>
      <c r="L14" s="79">
        <f>H17</f>
        <v>0.13584460549894523</v>
      </c>
      <c r="M14" s="79">
        <f>H18</f>
        <v>0.14846916917561373</v>
      </c>
      <c r="N14" s="124">
        <f>H19</f>
        <v>0.15596404396176247</v>
      </c>
      <c r="O14" s="124">
        <f>N14</f>
        <v>0.15596404396176247</v>
      </c>
      <c r="Q14" s="40">
        <f>F17</f>
        <v>1393.1309012934623</v>
      </c>
      <c r="R14" s="40">
        <f>F18</f>
        <v>1403.6762500448133</v>
      </c>
      <c r="S14" s="125">
        <f>F19</f>
        <v>1413.3892013415248</v>
      </c>
      <c r="T14" s="125">
        <f>S14</f>
        <v>1413.3892013415248</v>
      </c>
      <c r="AD14" s="12"/>
    </row>
    <row r="15" spans="1:30" x14ac:dyDescent="0.2">
      <c r="A15" s="12"/>
      <c r="B15" s="12" t="s">
        <v>1321</v>
      </c>
      <c r="C15" s="12"/>
      <c r="D15" s="15">
        <v>2025</v>
      </c>
      <c r="E15" s="77">
        <v>15.5</v>
      </c>
      <c r="F15" s="33">
        <v>1517.8298517208536</v>
      </c>
      <c r="G15" s="33">
        <v>56.323060573857596</v>
      </c>
      <c r="H15" s="78">
        <v>0.28872340268500951</v>
      </c>
      <c r="I15" s="15"/>
      <c r="K15" s="37" t="s">
        <v>1800</v>
      </c>
      <c r="O15" s="79">
        <f>H20</f>
        <v>0.17744269639706767</v>
      </c>
      <c r="S15" s="40">
        <f>F20</f>
        <v>1460.5130798082935</v>
      </c>
      <c r="T15" s="40" t="e">
        <f>#REF!</f>
        <v>#REF!</v>
      </c>
      <c r="AC15" s="12"/>
      <c r="AD15" s="12"/>
    </row>
    <row r="16" spans="1:30" x14ac:dyDescent="0.2">
      <c r="A16" s="12"/>
      <c r="B16" s="12" t="s">
        <v>1321</v>
      </c>
      <c r="C16" s="12"/>
      <c r="D16" s="15">
        <v>2040</v>
      </c>
      <c r="E16" s="77">
        <v>15.5</v>
      </c>
      <c r="F16" s="33">
        <v>1524.4040121405108</v>
      </c>
      <c r="G16" s="33">
        <v>56.323060573857596</v>
      </c>
      <c r="H16" s="78">
        <v>0.29184428083264186</v>
      </c>
      <c r="I16" s="15"/>
      <c r="K16" s="37" t="s">
        <v>1801</v>
      </c>
      <c r="L16" s="37"/>
      <c r="M16" s="79">
        <f>H21</f>
        <v>0.21639147192508634</v>
      </c>
      <c r="N16" s="79">
        <f>H22</f>
        <v>0.25348956628152525</v>
      </c>
      <c r="O16" s="79">
        <f>H23</f>
        <v>0.25348956628152525</v>
      </c>
      <c r="Q16" s="37"/>
      <c r="R16" s="40">
        <f>F21</f>
        <v>1905.381078130963</v>
      </c>
      <c r="S16" s="40">
        <f>F22</f>
        <v>1905.381078130963</v>
      </c>
      <c r="T16" s="40">
        <f>F23</f>
        <v>1905.381078130963</v>
      </c>
      <c r="AC16" s="12"/>
      <c r="AD16" s="12"/>
    </row>
    <row r="17" spans="1:30" x14ac:dyDescent="0.2">
      <c r="A17" s="137" t="s">
        <v>1802</v>
      </c>
      <c r="B17" s="137" t="s">
        <v>922</v>
      </c>
      <c r="C17" s="137"/>
      <c r="D17" s="138">
        <v>2010</v>
      </c>
      <c r="E17" s="139">
        <v>15.5</v>
      </c>
      <c r="F17" s="140">
        <v>1393.1309012934623</v>
      </c>
      <c r="G17" s="140">
        <v>30.977683315621682</v>
      </c>
      <c r="H17" s="141">
        <v>0.13584460549894523</v>
      </c>
      <c r="I17" s="15"/>
      <c r="K17" s="37" t="s">
        <v>1803</v>
      </c>
      <c r="L17" s="79">
        <f>H24</f>
        <v>0.13574870146367959</v>
      </c>
      <c r="M17" s="79">
        <f>H25</f>
        <v>0.14836435240807125</v>
      </c>
      <c r="N17" s="79">
        <f>H27</f>
        <v>0.1774483830167711</v>
      </c>
      <c r="O17" s="79" t="e">
        <f>#REF!</f>
        <v>#REF!</v>
      </c>
      <c r="Q17" s="40">
        <f>F24</f>
        <v>1393.1309012934623</v>
      </c>
      <c r="R17" s="40">
        <f>F25</f>
        <v>1403.6762500448133</v>
      </c>
      <c r="S17" s="40">
        <f>F27</f>
        <v>1460.5130798082935</v>
      </c>
      <c r="T17" s="40" t="e">
        <f>#REF!</f>
        <v>#REF!</v>
      </c>
      <c r="AC17" s="12"/>
      <c r="AD17" s="12"/>
    </row>
    <row r="18" spans="1:30" x14ac:dyDescent="0.2">
      <c r="A18" s="12" t="s">
        <v>1804</v>
      </c>
      <c r="B18" s="12" t="s">
        <v>922</v>
      </c>
      <c r="C18" s="12"/>
      <c r="D18" s="15">
        <v>2015</v>
      </c>
      <c r="E18" s="77">
        <v>15.5</v>
      </c>
      <c r="F18" s="33">
        <v>1403.6762500448133</v>
      </c>
      <c r="G18" s="33">
        <v>30.977683315621682</v>
      </c>
      <c r="H18" s="78">
        <v>0.14846916917561373</v>
      </c>
      <c r="I18" s="15"/>
      <c r="K18" s="37" t="s">
        <v>501</v>
      </c>
      <c r="L18" s="79">
        <f>H31</f>
        <v>0.12808843050405344</v>
      </c>
      <c r="M18" s="79">
        <f>H32</f>
        <v>0.13943470353239121</v>
      </c>
      <c r="N18" s="79">
        <f>H34</f>
        <v>0.18738156425582345</v>
      </c>
      <c r="O18" s="79">
        <f>H35</f>
        <v>0.2132990317897287</v>
      </c>
      <c r="Q18" s="40">
        <f>F31</f>
        <v>1441.6321043366597</v>
      </c>
      <c r="R18" s="40">
        <f>F32</f>
        <v>1453.1168869214987</v>
      </c>
      <c r="S18" s="40">
        <f>F34</f>
        <v>1503.8621421472997</v>
      </c>
      <c r="T18" s="40">
        <f>F35</f>
        <v>1581.2055548338762</v>
      </c>
      <c r="AC18" s="12"/>
      <c r="AD18" s="12"/>
    </row>
    <row r="19" spans="1:30" x14ac:dyDescent="0.2">
      <c r="A19" s="12"/>
      <c r="B19" s="12" t="s">
        <v>922</v>
      </c>
      <c r="C19" s="12"/>
      <c r="D19" s="15">
        <v>2020</v>
      </c>
      <c r="E19" s="77">
        <v>15.5</v>
      </c>
      <c r="F19" s="33">
        <v>1413.3892013415248</v>
      </c>
      <c r="G19" s="33">
        <v>30.977683315621682</v>
      </c>
      <c r="H19" s="78">
        <v>0.15596404396176247</v>
      </c>
      <c r="I19" s="15"/>
      <c r="K19" s="37" t="s">
        <v>509</v>
      </c>
      <c r="L19" s="79">
        <f>H42</f>
        <v>0.10181147998156995</v>
      </c>
      <c r="M19" s="79">
        <f>H43</f>
        <v>0.11083009973312889</v>
      </c>
      <c r="N19" s="79">
        <f>H45</f>
        <v>0.12304025665857815</v>
      </c>
      <c r="O19" s="79">
        <f>H46</f>
        <v>0.13545981308186189</v>
      </c>
      <c r="Q19" s="40">
        <f>F42</f>
        <v>1154.5363837997265</v>
      </c>
      <c r="R19" s="40">
        <f>F43</f>
        <v>1163.4070516862803</v>
      </c>
      <c r="S19" s="40">
        <f>F45</f>
        <v>1176.1861320869871</v>
      </c>
      <c r="T19" s="40">
        <f>F46</f>
        <v>1212.8630270598117</v>
      </c>
      <c r="AC19" s="12"/>
      <c r="AD19" s="12"/>
    </row>
    <row r="20" spans="1:30" x14ac:dyDescent="0.2">
      <c r="A20" s="12" t="s">
        <v>1805</v>
      </c>
      <c r="B20" s="12" t="s">
        <v>922</v>
      </c>
      <c r="C20" s="12"/>
      <c r="D20" s="15">
        <v>2025</v>
      </c>
      <c r="E20" s="77">
        <v>15.5</v>
      </c>
      <c r="F20" s="33">
        <v>1460.5130798082935</v>
      </c>
      <c r="G20" s="33">
        <v>30.977683315621682</v>
      </c>
      <c r="H20" s="78">
        <v>0.17744269639706767</v>
      </c>
      <c r="I20" s="15"/>
      <c r="K20" s="37" t="s">
        <v>504</v>
      </c>
      <c r="L20" s="79">
        <f>H53</f>
        <v>0.11401158309707092</v>
      </c>
      <c r="M20" s="79">
        <f>H54</f>
        <v>0.1241109070182228</v>
      </c>
      <c r="N20" s="79">
        <f>H56</f>
        <v>0.16678843436477175</v>
      </c>
      <c r="O20" s="79">
        <f>H57</f>
        <v>0.18985758660420035</v>
      </c>
      <c r="Q20" s="40">
        <f>F53</f>
        <v>1397.7832628029082</v>
      </c>
      <c r="R20" s="40">
        <f>F54</f>
        <v>1408.9187229704</v>
      </c>
      <c r="S20" s="40">
        <f>F56</f>
        <v>1458.1205049006962</v>
      </c>
      <c r="T20" s="40">
        <f>F57</f>
        <v>1533.111431792616</v>
      </c>
      <c r="AC20" s="12"/>
      <c r="AD20" s="12"/>
    </row>
    <row r="21" spans="1:30" x14ac:dyDescent="0.2">
      <c r="A21" s="12" t="s">
        <v>1806</v>
      </c>
      <c r="B21" s="12" t="s">
        <v>922</v>
      </c>
      <c r="C21" s="12" t="s">
        <v>1807</v>
      </c>
      <c r="D21" s="15">
        <v>2015</v>
      </c>
      <c r="E21" s="77">
        <v>15.5</v>
      </c>
      <c r="F21" s="33">
        <v>1905.381078130963</v>
      </c>
      <c r="G21" s="33">
        <v>30.977683315621682</v>
      </c>
      <c r="H21" s="78">
        <v>0.21639147192508634</v>
      </c>
      <c r="I21" s="15"/>
      <c r="K21" s="37" t="s">
        <v>1808</v>
      </c>
      <c r="L21" s="37"/>
      <c r="M21" s="37"/>
      <c r="N21" s="79">
        <f>H64</f>
        <v>0.34109858000744459</v>
      </c>
      <c r="O21" s="79">
        <f>H65</f>
        <v>0.34109858000744459</v>
      </c>
      <c r="Q21" s="37"/>
      <c r="R21" s="37"/>
      <c r="S21" s="40">
        <f>F64</f>
        <v>2696.3939005076909</v>
      </c>
      <c r="T21" s="40">
        <f xml:space="preserve"> F65</f>
        <v>2696.3939005076909</v>
      </c>
      <c r="AC21" s="12"/>
      <c r="AD21" s="12"/>
    </row>
    <row r="22" spans="1:30" x14ac:dyDescent="0.2">
      <c r="A22" s="12"/>
      <c r="B22" s="12" t="s">
        <v>922</v>
      </c>
      <c r="C22" s="12" t="s">
        <v>1809</v>
      </c>
      <c r="D22" s="15">
        <v>2025</v>
      </c>
      <c r="E22" s="77">
        <v>15.5</v>
      </c>
      <c r="F22" s="33">
        <v>1905.381078130963</v>
      </c>
      <c r="G22" s="33">
        <v>30.977683315621682</v>
      </c>
      <c r="H22" s="78">
        <v>0.25348956628152525</v>
      </c>
      <c r="I22" s="15"/>
      <c r="W22" s="12"/>
      <c r="X22" s="12"/>
      <c r="Y22" s="12"/>
      <c r="Z22" s="12"/>
      <c r="AA22" s="12"/>
      <c r="AB22" s="12"/>
      <c r="AC22" s="12"/>
      <c r="AD22" s="12"/>
    </row>
    <row r="23" spans="1:30" x14ac:dyDescent="0.2">
      <c r="A23" s="12"/>
      <c r="B23" s="12" t="s">
        <v>922</v>
      </c>
      <c r="C23" s="12" t="s">
        <v>1810</v>
      </c>
      <c r="D23" s="15">
        <v>2040</v>
      </c>
      <c r="E23" s="77">
        <v>15.5</v>
      </c>
      <c r="F23" s="33">
        <v>1905.381078130963</v>
      </c>
      <c r="G23" s="33">
        <v>30.977683315621682</v>
      </c>
      <c r="H23" s="78">
        <v>0.25348956628152525</v>
      </c>
      <c r="I23" s="15"/>
    </row>
    <row r="24" spans="1:30" x14ac:dyDescent="0.2">
      <c r="A24" s="137" t="s">
        <v>1811</v>
      </c>
      <c r="B24" s="137" t="s">
        <v>1318</v>
      </c>
      <c r="C24" s="137"/>
      <c r="D24" s="138">
        <v>2010</v>
      </c>
      <c r="E24" s="139">
        <v>15.5</v>
      </c>
      <c r="F24" s="140">
        <v>1393.1309012934623</v>
      </c>
      <c r="G24" s="140">
        <v>30.977683315621682</v>
      </c>
      <c r="H24" s="141">
        <v>0.13574870146367959</v>
      </c>
      <c r="I24" s="15"/>
    </row>
    <row r="25" spans="1:30" x14ac:dyDescent="0.2">
      <c r="A25" s="12" t="s">
        <v>1812</v>
      </c>
      <c r="B25" s="12" t="s">
        <v>1318</v>
      </c>
      <c r="C25" s="12"/>
      <c r="D25" s="15">
        <v>2015</v>
      </c>
      <c r="E25" s="77">
        <v>15.5</v>
      </c>
      <c r="F25" s="33">
        <v>1403.6762500448133</v>
      </c>
      <c r="G25" s="33">
        <v>30.977683315621682</v>
      </c>
      <c r="H25" s="78">
        <v>0.14836435240807125</v>
      </c>
      <c r="I25" s="15"/>
    </row>
    <row r="26" spans="1:30" x14ac:dyDescent="0.2">
      <c r="A26" s="12"/>
      <c r="B26" s="12" t="s">
        <v>1318</v>
      </c>
      <c r="C26" s="12"/>
      <c r="D26" s="15">
        <v>2020</v>
      </c>
      <c r="E26" s="77">
        <v>15.5</v>
      </c>
      <c r="F26" s="33">
        <v>1413.3892013415248</v>
      </c>
      <c r="G26" s="33">
        <v>30.977683315621682</v>
      </c>
      <c r="H26" s="78">
        <v>0.15585393593710184</v>
      </c>
      <c r="I26" s="15"/>
    </row>
    <row r="27" spans="1:30" x14ac:dyDescent="0.2">
      <c r="A27" s="12" t="s">
        <v>1813</v>
      </c>
      <c r="B27" s="12" t="s">
        <v>1318</v>
      </c>
      <c r="C27" s="12"/>
      <c r="D27" s="15">
        <v>2025</v>
      </c>
      <c r="E27" s="77">
        <v>15.5</v>
      </c>
      <c r="F27" s="33">
        <v>1460.5130798082935</v>
      </c>
      <c r="G27" s="33">
        <v>30.977683315621682</v>
      </c>
      <c r="H27" s="78">
        <v>0.1774483830167711</v>
      </c>
      <c r="I27" s="15"/>
    </row>
    <row r="28" spans="1:30" x14ac:dyDescent="0.2">
      <c r="A28" s="12" t="s">
        <v>1814</v>
      </c>
      <c r="B28" s="12" t="s">
        <v>1318</v>
      </c>
      <c r="C28" s="12"/>
      <c r="D28" s="15">
        <v>2015</v>
      </c>
      <c r="E28" s="77">
        <v>15.5</v>
      </c>
      <c r="F28" s="33">
        <v>1905.381078130963</v>
      </c>
      <c r="G28" s="33">
        <v>30.977683315621682</v>
      </c>
      <c r="H28" s="78">
        <v>0.21639840676113697</v>
      </c>
      <c r="I28" s="15"/>
    </row>
    <row r="29" spans="1:30" x14ac:dyDescent="0.2">
      <c r="A29" s="12"/>
      <c r="B29" s="12" t="s">
        <v>1318</v>
      </c>
      <c r="C29" s="12"/>
      <c r="D29" s="15">
        <v>2025</v>
      </c>
      <c r="E29" s="77">
        <v>15.5</v>
      </c>
      <c r="F29" s="33">
        <v>1905.381078130963</v>
      </c>
      <c r="G29" s="33">
        <v>30.977683315621682</v>
      </c>
      <c r="H29" s="78">
        <v>0.25349769002395872</v>
      </c>
      <c r="I29" s="15"/>
    </row>
    <row r="30" spans="1:30" x14ac:dyDescent="0.2">
      <c r="A30" s="12"/>
      <c r="B30" s="12" t="s">
        <v>1318</v>
      </c>
      <c r="C30" s="12"/>
      <c r="D30" s="15">
        <v>2040</v>
      </c>
      <c r="E30" s="77">
        <v>15.5</v>
      </c>
      <c r="F30" s="33">
        <v>1905.381078130963</v>
      </c>
      <c r="G30" s="33">
        <v>30.977683315621682</v>
      </c>
      <c r="H30" s="78">
        <v>0.25349769002395872</v>
      </c>
      <c r="I30" s="15"/>
    </row>
    <row r="31" spans="1:30" x14ac:dyDescent="0.2">
      <c r="A31" s="137" t="s">
        <v>1815</v>
      </c>
      <c r="B31" s="137" t="s">
        <v>501</v>
      </c>
      <c r="C31" s="137"/>
      <c r="D31" s="138">
        <v>2010</v>
      </c>
      <c r="E31" s="139">
        <v>15.5</v>
      </c>
      <c r="F31" s="140">
        <v>1441.6321043366597</v>
      </c>
      <c r="G31" s="140">
        <v>56.323060573857596</v>
      </c>
      <c r="H31" s="141">
        <v>0.12808843050405344</v>
      </c>
      <c r="I31" s="15"/>
    </row>
    <row r="32" spans="1:30" x14ac:dyDescent="0.2">
      <c r="A32" s="12" t="s">
        <v>1816</v>
      </c>
      <c r="B32" s="12" t="s">
        <v>501</v>
      </c>
      <c r="C32" s="12"/>
      <c r="D32" s="15">
        <v>2015</v>
      </c>
      <c r="E32" s="77">
        <v>15.5</v>
      </c>
      <c r="F32" s="33">
        <v>1453.1168869214987</v>
      </c>
      <c r="G32" s="33">
        <v>56.323060573857596</v>
      </c>
      <c r="H32" s="78">
        <v>0.13943470353239121</v>
      </c>
      <c r="I32" s="15"/>
    </row>
    <row r="33" spans="1:9" x14ac:dyDescent="0.2">
      <c r="A33" s="12"/>
      <c r="B33" s="12" t="s">
        <v>501</v>
      </c>
      <c r="C33" s="12"/>
      <c r="D33" s="15">
        <v>2020</v>
      </c>
      <c r="E33" s="77">
        <v>15.5</v>
      </c>
      <c r="F33" s="33">
        <v>1464.2085507445051</v>
      </c>
      <c r="G33" s="33">
        <v>56.323060573857596</v>
      </c>
      <c r="H33" s="78">
        <v>0.14271413072472905</v>
      </c>
      <c r="I33" s="15"/>
    </row>
    <row r="34" spans="1:9" x14ac:dyDescent="0.2">
      <c r="A34" s="12" t="s">
        <v>1817</v>
      </c>
      <c r="B34" s="12" t="s">
        <v>501</v>
      </c>
      <c r="C34" s="12"/>
      <c r="D34" s="15">
        <v>2025</v>
      </c>
      <c r="E34" s="77">
        <v>15.5</v>
      </c>
      <c r="F34" s="33">
        <v>1503.8621421472997</v>
      </c>
      <c r="G34" s="33">
        <v>56.323060573857596</v>
      </c>
      <c r="H34" s="78">
        <v>0.18738156425582345</v>
      </c>
      <c r="I34" s="15"/>
    </row>
    <row r="35" spans="1:9" x14ac:dyDescent="0.2">
      <c r="A35" s="12"/>
      <c r="B35" s="12" t="s">
        <v>501</v>
      </c>
      <c r="C35" s="12"/>
      <c r="D35" s="15">
        <v>2040</v>
      </c>
      <c r="E35" s="77">
        <v>15.5</v>
      </c>
      <c r="F35" s="33">
        <v>1581.2055548338762</v>
      </c>
      <c r="G35" s="33">
        <v>56.323060573857596</v>
      </c>
      <c r="H35" s="78">
        <v>0.2132990317897287</v>
      </c>
      <c r="I35" s="15"/>
    </row>
    <row r="36" spans="1:9" x14ac:dyDescent="0.2">
      <c r="A36" s="12" t="s">
        <v>1818</v>
      </c>
      <c r="B36" s="12" t="s">
        <v>501</v>
      </c>
      <c r="C36" s="12"/>
      <c r="D36" s="15">
        <v>2015</v>
      </c>
      <c r="E36" s="77">
        <v>15.5</v>
      </c>
      <c r="F36" s="33">
        <v>1508.0082519534519</v>
      </c>
      <c r="G36" s="33">
        <v>56.323060573857596</v>
      </c>
      <c r="H36" s="78">
        <v>0.22501753094629065</v>
      </c>
      <c r="I36" s="15"/>
    </row>
    <row r="37" spans="1:9" x14ac:dyDescent="0.2">
      <c r="A37" s="12"/>
      <c r="B37" s="12" t="s">
        <v>501</v>
      </c>
      <c r="C37" s="12"/>
      <c r="D37" s="15">
        <v>2025</v>
      </c>
      <c r="E37" s="77">
        <v>15.5</v>
      </c>
      <c r="F37" s="33">
        <v>1549.3742860803538</v>
      </c>
      <c r="G37" s="33">
        <v>56.323060573857596</v>
      </c>
      <c r="H37" s="78">
        <v>0.28110086598032419</v>
      </c>
      <c r="I37" s="15"/>
    </row>
    <row r="38" spans="1:9" x14ac:dyDescent="0.2">
      <c r="A38" s="12"/>
      <c r="B38" s="12" t="s">
        <v>501</v>
      </c>
      <c r="C38" s="12"/>
      <c r="D38" s="15">
        <v>2040</v>
      </c>
      <c r="E38" s="77">
        <v>15.5</v>
      </c>
      <c r="F38" s="33">
        <v>1555.9665294317299</v>
      </c>
      <c r="G38" s="33">
        <v>56.323060573857596</v>
      </c>
      <c r="H38" s="78">
        <v>0.28415430914129758</v>
      </c>
      <c r="I38" s="15"/>
    </row>
    <row r="39" spans="1:9" x14ac:dyDescent="0.2">
      <c r="A39" s="12" t="s">
        <v>1819</v>
      </c>
      <c r="B39" s="12" t="s">
        <v>501</v>
      </c>
      <c r="C39" s="12"/>
      <c r="D39" s="15">
        <v>2015</v>
      </c>
      <c r="E39" s="77">
        <v>15.5</v>
      </c>
      <c r="F39" s="33">
        <v>1804.5869175018988</v>
      </c>
      <c r="G39" s="33">
        <v>56.323060573857596</v>
      </c>
      <c r="H39" s="78">
        <v>0.31614963097953835</v>
      </c>
      <c r="I39" s="15"/>
    </row>
    <row r="40" spans="1:9" x14ac:dyDescent="0.2">
      <c r="A40" s="12"/>
      <c r="B40" s="12" t="s">
        <v>501</v>
      </c>
      <c r="C40" s="12"/>
      <c r="D40" s="15">
        <v>2025</v>
      </c>
      <c r="E40" s="77">
        <v>15.5</v>
      </c>
      <c r="F40" s="33">
        <v>1845.9529516287998</v>
      </c>
      <c r="G40" s="33">
        <v>56.323060573857596</v>
      </c>
      <c r="H40" s="78">
        <v>0.39494671670235554</v>
      </c>
      <c r="I40" s="15"/>
    </row>
    <row r="41" spans="1:9" x14ac:dyDescent="0.2">
      <c r="A41" s="12"/>
      <c r="B41" s="12" t="s">
        <v>501</v>
      </c>
      <c r="C41" s="12"/>
      <c r="D41" s="15">
        <v>2040</v>
      </c>
      <c r="E41" s="77">
        <v>15.5</v>
      </c>
      <c r="F41" s="33">
        <v>1852.5451949801766</v>
      </c>
      <c r="G41" s="33">
        <v>56.323060573857596</v>
      </c>
      <c r="H41" s="78">
        <v>0.39923680434352293</v>
      </c>
      <c r="I41" s="15"/>
    </row>
    <row r="42" spans="1:9" x14ac:dyDescent="0.2">
      <c r="A42" s="137" t="s">
        <v>1820</v>
      </c>
      <c r="B42" s="137" t="s">
        <v>509</v>
      </c>
      <c r="C42" s="137"/>
      <c r="D42" s="138">
        <v>2010</v>
      </c>
      <c r="E42" s="139">
        <v>15.5</v>
      </c>
      <c r="F42" s="142">
        <v>1154.5363837997265</v>
      </c>
      <c r="G42" s="140">
        <v>56.323060573857596</v>
      </c>
      <c r="H42" s="141">
        <v>0.10181147998156995</v>
      </c>
      <c r="I42" s="15"/>
    </row>
    <row r="43" spans="1:9" x14ac:dyDescent="0.2">
      <c r="A43" s="12" t="s">
        <v>1821</v>
      </c>
      <c r="B43" s="12" t="s">
        <v>509</v>
      </c>
      <c r="C43" s="12"/>
      <c r="D43" s="15">
        <v>2015</v>
      </c>
      <c r="E43" s="77">
        <v>15.5</v>
      </c>
      <c r="F43" s="86">
        <v>1163.4070516862803</v>
      </c>
      <c r="G43" s="33">
        <v>56.323060573857596</v>
      </c>
      <c r="H43" s="78">
        <v>0.11083009973312889</v>
      </c>
      <c r="I43" s="15"/>
    </row>
    <row r="44" spans="1:9" x14ac:dyDescent="0.2">
      <c r="A44" s="12"/>
      <c r="B44" s="12" t="s">
        <v>509</v>
      </c>
      <c r="C44" s="12"/>
      <c r="D44" s="15">
        <v>2020</v>
      </c>
      <c r="E44" s="77">
        <v>15.5</v>
      </c>
      <c r="F44" s="86">
        <v>1136.2852870215088</v>
      </c>
      <c r="G44" s="33">
        <v>56.323060573857596</v>
      </c>
      <c r="H44" s="78">
        <v>0.11437544985163602</v>
      </c>
      <c r="I44" s="15"/>
    </row>
    <row r="45" spans="1:9" x14ac:dyDescent="0.2">
      <c r="A45" s="12" t="s">
        <v>1822</v>
      </c>
      <c r="B45" s="12" t="s">
        <v>509</v>
      </c>
      <c r="C45" s="12"/>
      <c r="D45" s="15">
        <v>2025</v>
      </c>
      <c r="E45" s="77">
        <v>15.5</v>
      </c>
      <c r="F45" s="86">
        <v>1176.1861320869871</v>
      </c>
      <c r="G45" s="33">
        <v>56.323060573857596</v>
      </c>
      <c r="H45" s="78">
        <v>0.12304025665857815</v>
      </c>
      <c r="I45" s="15"/>
    </row>
    <row r="46" spans="1:9" x14ac:dyDescent="0.2">
      <c r="A46" s="12"/>
      <c r="B46" s="12" t="s">
        <v>509</v>
      </c>
      <c r="C46" s="12"/>
      <c r="D46" s="15">
        <v>2040</v>
      </c>
      <c r="E46" s="77">
        <v>15.5</v>
      </c>
      <c r="F46" s="86">
        <v>1212.8630270598117</v>
      </c>
      <c r="G46" s="33">
        <v>56.323060573857596</v>
      </c>
      <c r="H46" s="78">
        <v>0.13545981308186189</v>
      </c>
      <c r="I46" s="15"/>
    </row>
    <row r="47" spans="1:9" x14ac:dyDescent="0.2">
      <c r="A47" s="12" t="s">
        <v>1823</v>
      </c>
      <c r="B47" s="12" t="s">
        <v>509</v>
      </c>
      <c r="C47" s="12"/>
      <c r="D47" s="15">
        <v>2015</v>
      </c>
      <c r="E47" s="77">
        <v>15.5</v>
      </c>
      <c r="F47" s="86">
        <v>1184.7541654426634</v>
      </c>
      <c r="G47" s="33">
        <v>56.323060573857596</v>
      </c>
      <c r="H47" s="78">
        <v>0.17885587134831493</v>
      </c>
      <c r="I47" s="15"/>
    </row>
    <row r="48" spans="1:9" x14ac:dyDescent="0.2">
      <c r="A48" s="12"/>
      <c r="B48" s="12" t="s">
        <v>509</v>
      </c>
      <c r="C48" s="12"/>
      <c r="D48" s="15">
        <v>2025</v>
      </c>
      <c r="E48" s="77">
        <v>15.5</v>
      </c>
      <c r="F48" s="86">
        <v>1226.1201995695651</v>
      </c>
      <c r="G48" s="33">
        <v>56.323060573857596</v>
      </c>
      <c r="H48" s="78">
        <v>0.22343388139690007</v>
      </c>
      <c r="I48" s="15"/>
    </row>
    <row r="49" spans="1:10" x14ac:dyDescent="0.2">
      <c r="A49" s="12"/>
      <c r="B49" s="12" t="s">
        <v>509</v>
      </c>
      <c r="C49" s="12"/>
      <c r="D49" s="15">
        <v>2040</v>
      </c>
      <c r="E49" s="77">
        <v>15.5</v>
      </c>
      <c r="F49" s="86">
        <v>1232.7124429209412</v>
      </c>
      <c r="G49" s="33">
        <v>56.323060573857596</v>
      </c>
      <c r="H49" s="78">
        <v>0.22586092001416583</v>
      </c>
      <c r="I49" s="15"/>
    </row>
    <row r="50" spans="1:10" x14ac:dyDescent="0.2">
      <c r="A50" s="12" t="s">
        <v>1824</v>
      </c>
      <c r="B50" s="12" t="s">
        <v>509</v>
      </c>
      <c r="C50" s="12"/>
      <c r="D50" s="15">
        <v>2015</v>
      </c>
      <c r="E50" s="77">
        <v>15.5</v>
      </c>
      <c r="F50" s="86">
        <v>1481.3328309911099</v>
      </c>
      <c r="G50" s="33">
        <v>56.323060573857596</v>
      </c>
      <c r="H50" s="78">
        <v>0.25129249924438246</v>
      </c>
      <c r="I50" s="15"/>
    </row>
    <row r="51" spans="1:10" x14ac:dyDescent="0.2">
      <c r="A51" s="12"/>
      <c r="B51" s="12" t="s">
        <v>509</v>
      </c>
      <c r="C51" s="12"/>
      <c r="D51" s="15">
        <v>2025</v>
      </c>
      <c r="E51" s="77">
        <v>15.5</v>
      </c>
      <c r="F51" s="86">
        <v>1522.6988651180116</v>
      </c>
      <c r="G51" s="33">
        <v>56.323060573857596</v>
      </c>
      <c r="H51" s="78">
        <v>0.31392460336264466</v>
      </c>
      <c r="I51" s="15"/>
    </row>
    <row r="52" spans="1:10" x14ac:dyDescent="0.2">
      <c r="A52" s="12"/>
      <c r="B52" s="12" t="s">
        <v>509</v>
      </c>
      <c r="C52" s="12"/>
      <c r="D52" s="15">
        <v>2040</v>
      </c>
      <c r="E52" s="77">
        <v>15.5</v>
      </c>
      <c r="F52" s="86">
        <v>1529.2911084693878</v>
      </c>
      <c r="G52" s="33">
        <v>56.323060573857596</v>
      </c>
      <c r="H52" s="78">
        <v>0.31733459261990316</v>
      </c>
      <c r="I52" s="15"/>
    </row>
    <row r="53" spans="1:10" x14ac:dyDescent="0.2">
      <c r="A53" s="137" t="s">
        <v>1825</v>
      </c>
      <c r="B53" s="137" t="s">
        <v>504</v>
      </c>
      <c r="C53" s="137"/>
      <c r="D53" s="138">
        <v>2010</v>
      </c>
      <c r="E53" s="139">
        <v>15.5</v>
      </c>
      <c r="F53" s="140">
        <v>1397.7832628029082</v>
      </c>
      <c r="G53" s="140">
        <v>56.323060573857596</v>
      </c>
      <c r="H53" s="141">
        <v>0.11401158309707092</v>
      </c>
      <c r="I53" s="15"/>
    </row>
    <row r="54" spans="1:10" x14ac:dyDescent="0.2">
      <c r="A54" s="12" t="s">
        <v>1826</v>
      </c>
      <c r="B54" s="12" t="s">
        <v>504</v>
      </c>
      <c r="C54" s="12"/>
      <c r="D54" s="15">
        <v>2015</v>
      </c>
      <c r="E54" s="77">
        <v>15.5</v>
      </c>
      <c r="F54" s="33">
        <v>1408.9187229704</v>
      </c>
      <c r="G54" s="33">
        <v>56.323060573857596</v>
      </c>
      <c r="H54" s="78">
        <v>0.1241109070182228</v>
      </c>
      <c r="I54" s="15"/>
    </row>
    <row r="55" spans="1:10" x14ac:dyDescent="0.2">
      <c r="A55" s="12"/>
      <c r="B55" s="12" t="s">
        <v>504</v>
      </c>
      <c r="C55" s="12"/>
      <c r="D55" s="15">
        <v>2020</v>
      </c>
      <c r="E55" s="77">
        <v>15.5</v>
      </c>
      <c r="F55" s="33">
        <v>1419.6730215197992</v>
      </c>
      <c r="G55" s="33">
        <v>56.323060573857596</v>
      </c>
      <c r="H55" s="78">
        <v>0.12808109760692224</v>
      </c>
      <c r="I55" s="15"/>
    </row>
    <row r="56" spans="1:10" x14ac:dyDescent="0.2">
      <c r="A56" s="12" t="s">
        <v>1827</v>
      </c>
      <c r="B56" s="12" t="s">
        <v>504</v>
      </c>
      <c r="C56" s="12"/>
      <c r="D56" s="15">
        <v>2025</v>
      </c>
      <c r="E56" s="77">
        <v>15.5</v>
      </c>
      <c r="F56" s="33">
        <v>1458.1205049006962</v>
      </c>
      <c r="G56" s="33">
        <v>56.323060573857596</v>
      </c>
      <c r="H56" s="78">
        <v>0.16678843436477175</v>
      </c>
      <c r="I56" s="15"/>
      <c r="J56" s="12"/>
    </row>
    <row r="57" spans="1:10" x14ac:dyDescent="0.2">
      <c r="A57" s="12"/>
      <c r="B57" s="12" t="s">
        <v>504</v>
      </c>
      <c r="C57" s="12"/>
      <c r="D57" s="15">
        <v>2040</v>
      </c>
      <c r="E57" s="77">
        <v>15.5</v>
      </c>
      <c r="F57" s="33">
        <v>1533.111431792616</v>
      </c>
      <c r="G57" s="33">
        <v>56.323060573857596</v>
      </c>
      <c r="H57" s="78">
        <v>0.18985758660420035</v>
      </c>
      <c r="I57" s="15"/>
    </row>
    <row r="58" spans="1:10" x14ac:dyDescent="0.2">
      <c r="A58" s="12" t="s">
        <v>1828</v>
      </c>
      <c r="B58" s="12" t="s">
        <v>504</v>
      </c>
      <c r="C58" s="12"/>
      <c r="D58" s="15">
        <v>2015</v>
      </c>
      <c r="E58" s="77">
        <v>15.5</v>
      </c>
      <c r="F58" s="33">
        <v>1464.1594104197002</v>
      </c>
      <c r="G58" s="33">
        <v>56.323060573857596</v>
      </c>
      <c r="H58" s="78">
        <v>0.20028822920871756</v>
      </c>
      <c r="I58" s="15"/>
    </row>
    <row r="59" spans="1:10" x14ac:dyDescent="0.2">
      <c r="A59" s="12"/>
      <c r="B59" s="12" t="s">
        <v>504</v>
      </c>
      <c r="C59" s="12"/>
      <c r="D59" s="15">
        <v>2025</v>
      </c>
      <c r="E59" s="77">
        <v>15.5</v>
      </c>
      <c r="F59" s="33">
        <v>1505.5254445466021</v>
      </c>
      <c r="G59" s="33">
        <v>56.323060573857596</v>
      </c>
      <c r="H59" s="78">
        <v>0.25020803685591358</v>
      </c>
      <c r="I59" s="15"/>
    </row>
    <row r="60" spans="1:10" x14ac:dyDescent="0.2">
      <c r="A60" s="12"/>
      <c r="B60" s="12" t="s">
        <v>504</v>
      </c>
      <c r="C60" s="12"/>
      <c r="D60" s="15">
        <v>2040</v>
      </c>
      <c r="E60" s="77">
        <v>15.5</v>
      </c>
      <c r="F60" s="33">
        <v>1512.1176878979782</v>
      </c>
      <c r="G60" s="33">
        <v>56.323060573857596</v>
      </c>
      <c r="H60" s="78">
        <v>0.25292590830854622</v>
      </c>
      <c r="I60" s="15"/>
    </row>
    <row r="61" spans="1:10" x14ac:dyDescent="0.2">
      <c r="A61" s="12" t="s">
        <v>1829</v>
      </c>
      <c r="B61" s="12" t="s">
        <v>504</v>
      </c>
      <c r="C61" s="12"/>
      <c r="D61" s="15">
        <v>2015</v>
      </c>
      <c r="E61" s="77">
        <v>15.5</v>
      </c>
      <c r="F61" s="33">
        <v>1760.7380759681469</v>
      </c>
      <c r="G61" s="33">
        <v>56.323060573857596</v>
      </c>
      <c r="H61" s="78">
        <v>0.28140496203824811</v>
      </c>
      <c r="I61" s="15"/>
    </row>
    <row r="62" spans="1:10" ht="13.5" customHeight="1" x14ac:dyDescent="0.2">
      <c r="A62" s="12"/>
      <c r="B62" s="12" t="s">
        <v>504</v>
      </c>
      <c r="C62" s="12"/>
      <c r="D62" s="15">
        <v>2025</v>
      </c>
      <c r="E62" s="77">
        <v>15.5</v>
      </c>
      <c r="F62" s="33">
        <v>1802.1041100950483</v>
      </c>
      <c r="G62" s="33">
        <v>56.323060573857596</v>
      </c>
      <c r="H62" s="78">
        <v>0.35154229178255858</v>
      </c>
      <c r="I62" s="15"/>
    </row>
    <row r="63" spans="1:10" x14ac:dyDescent="0.2">
      <c r="A63" s="12"/>
      <c r="B63" s="12" t="s">
        <v>504</v>
      </c>
      <c r="C63" s="12"/>
      <c r="D63" s="15">
        <v>2040</v>
      </c>
      <c r="E63" s="77">
        <v>15.5</v>
      </c>
      <c r="F63" s="33">
        <v>1808.6963534464248</v>
      </c>
      <c r="G63" s="33">
        <v>56.323060573857596</v>
      </c>
      <c r="H63" s="78">
        <v>0.35536090117350749</v>
      </c>
      <c r="I63" s="15"/>
    </row>
    <row r="64" spans="1:10" x14ac:dyDescent="0.2">
      <c r="A64" s="137" t="s">
        <v>1830</v>
      </c>
      <c r="B64" s="137" t="s">
        <v>1808</v>
      </c>
      <c r="C64" s="137"/>
      <c r="D64" s="138">
        <v>2025</v>
      </c>
      <c r="E64" s="139">
        <v>15.5</v>
      </c>
      <c r="F64" s="140">
        <v>2696.3939005076909</v>
      </c>
      <c r="G64" s="140">
        <v>15.488841657810841</v>
      </c>
      <c r="H64" s="141">
        <v>0.34109858000744459</v>
      </c>
      <c r="I64" s="15"/>
    </row>
    <row r="65" spans="1:26" s="12" customFormat="1" ht="12.75" customHeight="1" x14ac:dyDescent="0.2">
      <c r="B65" s="12" t="s">
        <v>1808</v>
      </c>
      <c r="D65" s="15">
        <v>2040</v>
      </c>
      <c r="E65" s="77">
        <v>15.5</v>
      </c>
      <c r="F65" s="33">
        <v>2696.3939005076909</v>
      </c>
      <c r="G65" s="33">
        <v>15.488841657810841</v>
      </c>
      <c r="H65" s="78">
        <v>0.34109858000744459</v>
      </c>
      <c r="I65" s="15"/>
    </row>
    <row r="66" spans="1:26" x14ac:dyDescent="0.2">
      <c r="A66" s="137" t="s">
        <v>240</v>
      </c>
      <c r="B66" s="137"/>
      <c r="C66" s="137"/>
      <c r="D66" s="137">
        <v>2005</v>
      </c>
      <c r="E66" s="137">
        <v>15.5</v>
      </c>
      <c r="F66" s="143"/>
      <c r="G66" s="138">
        <v>55.312877943174676</v>
      </c>
      <c r="H66" s="144">
        <v>9.715370018975332E-2</v>
      </c>
    </row>
    <row r="67" spans="1:26" x14ac:dyDescent="0.2">
      <c r="A67" s="137" t="s">
        <v>242</v>
      </c>
      <c r="B67" s="137"/>
      <c r="C67" s="137"/>
      <c r="D67" s="137">
        <v>2005</v>
      </c>
      <c r="E67" s="137">
        <v>15.5</v>
      </c>
      <c r="F67" s="143"/>
      <c r="G67" s="138">
        <v>55.312877943174676</v>
      </c>
      <c r="H67" s="144">
        <v>0.11740133509890378</v>
      </c>
    </row>
    <row r="68" spans="1:26" x14ac:dyDescent="0.2">
      <c r="A68" s="12"/>
      <c r="B68" s="12"/>
      <c r="C68" s="12"/>
      <c r="D68" s="12"/>
      <c r="E68" s="12"/>
      <c r="F68" s="12"/>
    </row>
    <row r="69" spans="1:26" x14ac:dyDescent="0.2">
      <c r="A69" s="12" t="s">
        <v>1831</v>
      </c>
      <c r="B69" s="12"/>
      <c r="C69" s="12"/>
      <c r="D69" s="80"/>
      <c r="E69" s="46"/>
      <c r="F69" s="12"/>
      <c r="G69" s="12"/>
      <c r="H69" s="12"/>
    </row>
    <row r="70" spans="1:26" x14ac:dyDescent="0.2">
      <c r="A70" s="12" t="s">
        <v>1832</v>
      </c>
    </row>
    <row r="71" spans="1:26" x14ac:dyDescent="0.2">
      <c r="A71" s="12" t="s">
        <v>1833</v>
      </c>
    </row>
    <row r="72" spans="1:26" x14ac:dyDescent="0.2">
      <c r="A72" s="12" t="s">
        <v>1834</v>
      </c>
      <c r="E72" s="37"/>
    </row>
    <row r="73" spans="1:26" x14ac:dyDescent="0.2">
      <c r="A73" s="136" t="s">
        <v>1835</v>
      </c>
      <c r="B73" s="72"/>
      <c r="C73" s="72"/>
      <c r="D73" s="72"/>
      <c r="E73" s="72"/>
      <c r="F73" s="72"/>
      <c r="G73" s="72"/>
      <c r="H73" s="72"/>
      <c r="I73" s="71"/>
      <c r="J73" s="135"/>
      <c r="K73" s="135"/>
      <c r="L73" s="135"/>
      <c r="M73" s="135"/>
      <c r="N73" s="135"/>
      <c r="O73" s="135"/>
      <c r="P73" s="135"/>
      <c r="Q73" s="135"/>
      <c r="R73" s="135"/>
      <c r="S73" s="135"/>
      <c r="T73" s="71"/>
      <c r="U73" s="71"/>
      <c r="V73" s="71"/>
      <c r="W73" s="71"/>
      <c r="X73" s="71"/>
      <c r="Y73" s="71"/>
      <c r="Z73" s="71"/>
    </row>
    <row r="74" spans="1:26" s="12" customFormat="1" x14ac:dyDescent="0.2">
      <c r="A74"/>
      <c r="B74"/>
      <c r="C74"/>
      <c r="D74"/>
      <c r="E74"/>
      <c r="F74"/>
      <c r="G74"/>
      <c r="H74"/>
      <c r="J74" s="27"/>
      <c r="K74" s="27"/>
      <c r="L74" s="27"/>
      <c r="M74" s="27"/>
      <c r="N74" s="27"/>
      <c r="O74" s="27"/>
      <c r="P74" s="27"/>
      <c r="Q74" s="27"/>
      <c r="R74" s="27"/>
      <c r="S74" s="27"/>
    </row>
    <row r="75" spans="1:26" s="12" customFormat="1" x14ac:dyDescent="0.2">
      <c r="A75"/>
      <c r="B75"/>
      <c r="C75"/>
      <c r="D75"/>
      <c r="E75"/>
      <c r="F75"/>
      <c r="G75"/>
      <c r="H75"/>
      <c r="J75" s="27"/>
      <c r="K75" s="15">
        <v>2010</v>
      </c>
      <c r="L75" s="15">
        <v>2015</v>
      </c>
      <c r="M75" s="15">
        <v>2025</v>
      </c>
      <c r="N75" s="15">
        <v>2040</v>
      </c>
      <c r="O75" s="27"/>
      <c r="P75" s="27"/>
      <c r="Q75" s="27"/>
      <c r="R75" s="15">
        <v>2010</v>
      </c>
      <c r="S75" s="15">
        <v>2015</v>
      </c>
      <c r="T75" s="15">
        <v>2025</v>
      </c>
      <c r="U75" s="15">
        <v>2040</v>
      </c>
    </row>
    <row r="76" spans="1:26" s="12" customFormat="1" ht="11.25" x14ac:dyDescent="0.2">
      <c r="A76" s="44"/>
      <c r="B76" s="44"/>
      <c r="C76" s="28"/>
      <c r="D76" s="73"/>
      <c r="E76" s="73"/>
      <c r="F76" s="28" t="s">
        <v>476</v>
      </c>
      <c r="G76" s="28" t="s">
        <v>477</v>
      </c>
      <c r="H76" s="28" t="s">
        <v>475</v>
      </c>
      <c r="J76" s="27"/>
      <c r="K76" s="15"/>
      <c r="L76" s="15"/>
      <c r="M76" s="15"/>
      <c r="N76" s="15"/>
      <c r="O76" s="27"/>
      <c r="P76" s="27"/>
      <c r="Q76" s="27"/>
      <c r="R76" s="15"/>
      <c r="S76" s="15"/>
      <c r="T76" s="15"/>
      <c r="U76" s="15"/>
    </row>
    <row r="77" spans="1:26" s="12" customFormat="1" ht="33.75" x14ac:dyDescent="0.2">
      <c r="A77" s="88"/>
      <c r="B77" s="34" t="s">
        <v>497</v>
      </c>
      <c r="C77" s="89"/>
      <c r="D77" s="74" t="s">
        <v>1784</v>
      </c>
      <c r="E77" s="75" t="s">
        <v>474</v>
      </c>
      <c r="F77" s="76" t="s">
        <v>1786</v>
      </c>
      <c r="G77" s="76" t="s">
        <v>1786</v>
      </c>
      <c r="H77" s="76" t="s">
        <v>1836</v>
      </c>
      <c r="J77" s="27" t="s">
        <v>1627</v>
      </c>
      <c r="K77" s="27">
        <f>H78</f>
        <v>7.1554552517759842E-2</v>
      </c>
      <c r="L77" s="27">
        <f>H79</f>
        <v>7.5263594035905171E-2</v>
      </c>
      <c r="M77" s="27">
        <f>H80</f>
        <v>8.2850618921883556E-2</v>
      </c>
      <c r="N77" s="27">
        <f>H81</f>
        <v>8.4286624644229674E-2</v>
      </c>
      <c r="O77" s="27"/>
      <c r="P77" s="27"/>
      <c r="Q77" s="27" t="s">
        <v>1627</v>
      </c>
      <c r="R77" s="15">
        <f>F78</f>
        <v>6276.5914442142484</v>
      </c>
      <c r="S77" s="15">
        <f>F79</f>
        <v>6295.5716205961326</v>
      </c>
      <c r="T77" s="15">
        <f>F81</f>
        <v>6691.9683084070857</v>
      </c>
      <c r="U77" s="15" t="e">
        <f>#REF!</f>
        <v>#REF!</v>
      </c>
    </row>
    <row r="78" spans="1:26" s="12" customFormat="1" ht="11.25" x14ac:dyDescent="0.2">
      <c r="A78" s="12" t="s">
        <v>1837</v>
      </c>
      <c r="B78" s="12" t="s">
        <v>922</v>
      </c>
      <c r="D78" s="15">
        <v>2010</v>
      </c>
      <c r="E78" s="77">
        <v>19</v>
      </c>
      <c r="F78" s="33">
        <v>6276.5914442142484</v>
      </c>
      <c r="G78" s="33">
        <v>136.84258541258041</v>
      </c>
      <c r="H78" s="27">
        <v>7.1554552517759842E-2</v>
      </c>
      <c r="J78" s="27" t="s">
        <v>1838</v>
      </c>
      <c r="K78" s="27"/>
      <c r="L78" s="27">
        <f>H85</f>
        <v>0.12040946377747096</v>
      </c>
      <c r="M78" s="27">
        <f>H86</f>
        <v>0.12438727642011957</v>
      </c>
      <c r="N78" s="27">
        <f>H87</f>
        <v>0.12438727642011957</v>
      </c>
      <c r="O78" s="27"/>
      <c r="P78" s="27"/>
      <c r="Q78" s="27" t="s">
        <v>1838</v>
      </c>
      <c r="R78" s="15"/>
      <c r="S78" s="15">
        <f>F85</f>
        <v>8334.222211770475</v>
      </c>
      <c r="T78" s="15">
        <f>F86</f>
        <v>7963.0152642194289</v>
      </c>
      <c r="U78" s="15">
        <f>F87</f>
        <v>7963.0152642194289</v>
      </c>
    </row>
    <row r="79" spans="1:26" s="12" customFormat="1" ht="11.25" x14ac:dyDescent="0.2">
      <c r="A79" s="12" t="s">
        <v>1839</v>
      </c>
      <c r="B79" s="12" t="s">
        <v>922</v>
      </c>
      <c r="D79" s="15">
        <v>2015</v>
      </c>
      <c r="E79" s="77">
        <v>19</v>
      </c>
      <c r="F79" s="33">
        <v>6295.5716205961326</v>
      </c>
      <c r="G79" s="33">
        <v>136.84258541258041</v>
      </c>
      <c r="H79" s="27">
        <v>7.5263594035905171E-2</v>
      </c>
      <c r="J79" s="27" t="s">
        <v>1840</v>
      </c>
      <c r="K79" s="27">
        <f>H88</f>
        <v>6.2417562952645951E-2</v>
      </c>
      <c r="L79" s="27">
        <f>H89</f>
        <v>6.4948004693969427E-2</v>
      </c>
      <c r="M79" s="27">
        <f>H90</f>
        <v>6.9730539585070805E-2</v>
      </c>
      <c r="N79" s="27">
        <f>H91</f>
        <v>7.5246902581156003E-2</v>
      </c>
      <c r="O79" s="27"/>
      <c r="P79" s="27"/>
      <c r="Q79" s="27" t="s">
        <v>1840</v>
      </c>
      <c r="R79" s="15">
        <f>F88</f>
        <v>5812.2033972904501</v>
      </c>
      <c r="S79" s="15">
        <f>F89</f>
        <v>5834.9327443156681</v>
      </c>
      <c r="T79" s="15">
        <f>F91</f>
        <v>6443.5418634659982</v>
      </c>
      <c r="U79" s="15" t="e">
        <f>#REF!</f>
        <v>#REF!</v>
      </c>
    </row>
    <row r="80" spans="1:26" s="12" customFormat="1" ht="11.25" x14ac:dyDescent="0.2">
      <c r="B80" s="12" t="s">
        <v>922</v>
      </c>
      <c r="D80" s="15">
        <v>2020</v>
      </c>
      <c r="E80" s="77">
        <f>E79</f>
        <v>19</v>
      </c>
      <c r="F80" s="33">
        <v>6469.2831937373276</v>
      </c>
      <c r="G80" s="33">
        <v>136.84258541258041</v>
      </c>
      <c r="H80" s="27">
        <v>8.2850618921883556E-2</v>
      </c>
      <c r="J80" s="27" t="s">
        <v>1841</v>
      </c>
      <c r="K80" s="27"/>
      <c r="L80" s="27">
        <f>H92</f>
        <v>7.8865434271248591E-2</v>
      </c>
      <c r="M80" s="27">
        <f>H93</f>
        <v>9.961505655010118E-2</v>
      </c>
      <c r="N80" s="27">
        <f>H94</f>
        <v>0.10749316517142161</v>
      </c>
      <c r="O80" s="27"/>
      <c r="P80" s="27"/>
      <c r="Q80" s="27" t="s">
        <v>1841</v>
      </c>
      <c r="R80" s="15"/>
      <c r="S80" s="15">
        <f>F92</f>
        <v>6616.0099616771531</v>
      </c>
      <c r="T80" s="15">
        <f>F93</f>
        <v>6935.0018972475837</v>
      </c>
      <c r="U80" s="15">
        <f>F94</f>
        <v>7469.8773270789898</v>
      </c>
    </row>
    <row r="81" spans="1:21" s="12" customFormat="1" ht="11.25" x14ac:dyDescent="0.2">
      <c r="A81" s="12" t="s">
        <v>1842</v>
      </c>
      <c r="B81" s="12" t="s">
        <v>922</v>
      </c>
      <c r="D81" s="15">
        <v>2025</v>
      </c>
      <c r="E81" s="77">
        <v>19</v>
      </c>
      <c r="F81" s="33">
        <v>6691.9683084070857</v>
      </c>
      <c r="G81" s="33">
        <v>136.84258541258041</v>
      </c>
      <c r="H81" s="27">
        <v>8.4286624644229674E-2</v>
      </c>
      <c r="J81" s="27" t="s">
        <v>1843</v>
      </c>
      <c r="K81" s="27">
        <f>H95</f>
        <v>7.1504036192117926E-2</v>
      </c>
      <c r="L81" s="27">
        <f>H96</f>
        <v>7.5210459188554166E-2</v>
      </c>
      <c r="M81" s="27">
        <f>H97</f>
        <v>7.7965336736629975E-2</v>
      </c>
      <c r="N81" s="27">
        <f>H98</f>
        <v>8.3060709137527847E-2</v>
      </c>
      <c r="O81" s="27"/>
      <c r="P81" s="27"/>
      <c r="Q81" s="27" t="s">
        <v>1843</v>
      </c>
      <c r="R81" s="15">
        <f>F95</f>
        <v>6276.5914442142484</v>
      </c>
      <c r="S81" s="15">
        <f>F96</f>
        <v>6295.5716205961326</v>
      </c>
      <c r="T81" s="15">
        <f>F98</f>
        <v>6469.2831937373276</v>
      </c>
      <c r="U81" s="15">
        <f>F99</f>
        <v>6772.0677770475058</v>
      </c>
    </row>
    <row r="82" spans="1:21" s="12" customFormat="1" ht="11.25" x14ac:dyDescent="0.2">
      <c r="A82" s="12" t="s">
        <v>1844</v>
      </c>
      <c r="B82" s="12" t="s">
        <v>922</v>
      </c>
      <c r="D82" s="15">
        <v>2015</v>
      </c>
      <c r="E82" s="77">
        <v>19</v>
      </c>
      <c r="F82" s="33">
        <v>6767.5657068244345</v>
      </c>
      <c r="G82" s="33">
        <v>136.84258541258041</v>
      </c>
      <c r="H82" s="27">
        <v>8.4286624644229674E-2</v>
      </c>
      <c r="J82" s="27" t="s">
        <v>501</v>
      </c>
      <c r="K82" s="27">
        <f>H105</f>
        <v>5.2445274618984843E-2</v>
      </c>
      <c r="L82" s="27">
        <f>H106</f>
        <v>5.5163783702583222E-2</v>
      </c>
      <c r="M82" s="27">
        <f>H107</f>
        <v>6.0921619711943757E-2</v>
      </c>
      <c r="N82" s="27">
        <f>H108</f>
        <v>6.3820237057809537E-2</v>
      </c>
      <c r="O82" s="27"/>
      <c r="P82" s="27"/>
      <c r="Q82" s="27" t="s">
        <v>501</v>
      </c>
      <c r="R82" s="15">
        <f>F105</f>
        <v>6575.7618337437334</v>
      </c>
      <c r="S82" s="15">
        <f>F106</f>
        <v>6601.4771713632026</v>
      </c>
      <c r="T82" s="15">
        <f>F108</f>
        <v>7290.0402418233361</v>
      </c>
      <c r="U82" s="15" t="e">
        <f>#REF!</f>
        <v>#REF!</v>
      </c>
    </row>
    <row r="83" spans="1:21" s="12" customFormat="1" ht="11.25" x14ac:dyDescent="0.2">
      <c r="B83" s="12" t="s">
        <v>922</v>
      </c>
      <c r="D83" s="15">
        <v>2025</v>
      </c>
      <c r="E83" s="77">
        <v>19</v>
      </c>
      <c r="F83" s="33">
        <v>6936.7579083281753</v>
      </c>
      <c r="G83" s="33">
        <v>136.84258541258041</v>
      </c>
      <c r="H83" s="27">
        <v>8.707416516407801E-2</v>
      </c>
      <c r="J83" s="27" t="s">
        <v>504</v>
      </c>
      <c r="K83" s="27">
        <f>H112</f>
        <v>6.7978151294823944E-2</v>
      </c>
      <c r="L83" s="27">
        <f>H113</f>
        <v>7.1501809491368279E-2</v>
      </c>
      <c r="M83" s="27">
        <f>H115</f>
        <v>8.2722070995064262E-2</v>
      </c>
      <c r="N83" s="27">
        <f>H116</f>
        <v>8.6127576547247009E-2</v>
      </c>
      <c r="O83" s="27"/>
      <c r="P83" s="27"/>
      <c r="Q83" s="27" t="s">
        <v>504</v>
      </c>
      <c r="R83" s="15">
        <f>F112</f>
        <v>6193.9826155170922</v>
      </c>
      <c r="S83" s="15">
        <f>F113</f>
        <v>6218.2049578394353</v>
      </c>
      <c r="T83" s="15">
        <f>F115</f>
        <v>6866.7910526446676</v>
      </c>
      <c r="U83" s="15">
        <f>F116</f>
        <v>6997.7891799037952</v>
      </c>
    </row>
    <row r="84" spans="1:21" s="12" customFormat="1" ht="11.25" x14ac:dyDescent="0.2">
      <c r="B84" s="12" t="s">
        <v>922</v>
      </c>
      <c r="D84" s="15">
        <v>2040</v>
      </c>
      <c r="E84" s="77">
        <v>19</v>
      </c>
      <c r="F84" s="33">
        <v>6936.7579083281753</v>
      </c>
      <c r="G84" s="33">
        <v>136.84258541258041</v>
      </c>
      <c r="H84" s="27">
        <v>8.707416516407801E-2</v>
      </c>
      <c r="J84" s="27"/>
      <c r="K84" s="27"/>
      <c r="L84" s="27"/>
      <c r="M84" s="27"/>
      <c r="N84" s="27"/>
      <c r="O84" s="27"/>
      <c r="P84" s="27"/>
      <c r="Q84" s="27"/>
      <c r="R84" s="15"/>
      <c r="S84" s="15"/>
      <c r="T84" s="15"/>
      <c r="U84" s="15"/>
    </row>
    <row r="85" spans="1:21" s="12" customFormat="1" ht="11.25" x14ac:dyDescent="0.2">
      <c r="A85" s="12" t="s">
        <v>1845</v>
      </c>
      <c r="B85" s="12" t="s">
        <v>922</v>
      </c>
      <c r="D85" s="15">
        <v>2015</v>
      </c>
      <c r="E85" s="77">
        <v>19</v>
      </c>
      <c r="F85" s="33">
        <v>8334.222211770475</v>
      </c>
      <c r="G85" s="33">
        <v>125.89517857957398</v>
      </c>
      <c r="H85" s="27">
        <v>0.12040946377747096</v>
      </c>
      <c r="J85" s="27"/>
      <c r="K85" s="27"/>
      <c r="L85" s="27"/>
      <c r="M85" s="27"/>
      <c r="N85" s="27"/>
      <c r="O85" s="27"/>
      <c r="P85" s="27"/>
      <c r="Q85" s="27"/>
      <c r="R85" s="15"/>
      <c r="S85" s="15"/>
      <c r="T85" s="15"/>
      <c r="U85" s="15"/>
    </row>
    <row r="86" spans="1:21" s="12" customFormat="1" ht="11.25" x14ac:dyDescent="0.2">
      <c r="B86" s="12" t="s">
        <v>922</v>
      </c>
      <c r="D86" s="15">
        <v>2025</v>
      </c>
      <c r="E86" s="77">
        <v>19</v>
      </c>
      <c r="F86" s="33">
        <v>7963.0152642194289</v>
      </c>
      <c r="G86" s="33">
        <v>125.89517857957398</v>
      </c>
      <c r="H86" s="27">
        <v>0.12438727642011957</v>
      </c>
    </row>
    <row r="87" spans="1:21" s="12" customFormat="1" ht="11.25" x14ac:dyDescent="0.2">
      <c r="B87" s="12" t="s">
        <v>922</v>
      </c>
      <c r="D87" s="15">
        <v>2040</v>
      </c>
      <c r="E87" s="77">
        <v>19</v>
      </c>
      <c r="F87" s="33">
        <v>7963.0152642194289</v>
      </c>
      <c r="G87" s="33">
        <v>125.89517857957398</v>
      </c>
      <c r="H87" s="27">
        <v>0.12438727642011957</v>
      </c>
      <c r="J87" s="27"/>
      <c r="K87" s="27"/>
      <c r="L87" s="27"/>
      <c r="M87" s="27"/>
      <c r="N87" s="27"/>
      <c r="O87" s="27"/>
      <c r="P87" s="27"/>
      <c r="Q87" s="27"/>
      <c r="R87" s="27"/>
      <c r="S87" s="27"/>
    </row>
    <row r="88" spans="1:21" s="12" customFormat="1" ht="11.25" x14ac:dyDescent="0.2">
      <c r="A88" s="81" t="s">
        <v>1846</v>
      </c>
      <c r="B88" s="81" t="s">
        <v>1321</v>
      </c>
      <c r="C88" s="81"/>
      <c r="D88" s="82">
        <v>2010</v>
      </c>
      <c r="E88" s="83">
        <v>19</v>
      </c>
      <c r="F88" s="84">
        <v>5812.2033972904501</v>
      </c>
      <c r="G88" s="84">
        <v>248.80470075014617</v>
      </c>
      <c r="H88" s="109">
        <v>6.2417562952645951E-2</v>
      </c>
      <c r="J88" s="27"/>
      <c r="K88" s="27"/>
      <c r="L88" s="27"/>
      <c r="M88" s="27"/>
      <c r="N88" s="27"/>
      <c r="O88" s="27"/>
      <c r="P88" s="27"/>
      <c r="Q88" s="27"/>
      <c r="R88" s="27"/>
      <c r="S88" s="27"/>
    </row>
    <row r="89" spans="1:21" s="12" customFormat="1" ht="11.25" x14ac:dyDescent="0.2">
      <c r="A89" s="12" t="s">
        <v>1847</v>
      </c>
      <c r="B89" s="12" t="s">
        <v>1321</v>
      </c>
      <c r="D89" s="15">
        <v>2015</v>
      </c>
      <c r="E89" s="77">
        <v>19</v>
      </c>
      <c r="F89" s="33">
        <v>5834.9327443156681</v>
      </c>
      <c r="G89" s="33">
        <v>248.80470075014617</v>
      </c>
      <c r="H89" s="27">
        <v>6.4948004693969427E-2</v>
      </c>
      <c r="J89" s="27"/>
      <c r="K89" s="27"/>
      <c r="L89" s="27"/>
      <c r="M89" s="27"/>
      <c r="N89" s="27"/>
      <c r="O89" s="27"/>
      <c r="P89" s="27"/>
      <c r="Q89" s="27"/>
      <c r="R89" s="27"/>
      <c r="S89" s="27"/>
    </row>
    <row r="90" spans="1:21" s="12" customFormat="1" ht="11.25" x14ac:dyDescent="0.2">
      <c r="B90" s="12" t="s">
        <v>1321</v>
      </c>
      <c r="D90" s="15">
        <v>2020</v>
      </c>
      <c r="E90" s="77">
        <v>19</v>
      </c>
      <c r="F90" s="33">
        <v>5908.666433634593</v>
      </c>
      <c r="G90" s="33">
        <v>248.80470075014617</v>
      </c>
      <c r="H90" s="27">
        <v>6.9730539585070805E-2</v>
      </c>
      <c r="J90" s="27"/>
      <c r="K90" s="27"/>
      <c r="L90" s="27"/>
      <c r="M90" s="27"/>
      <c r="N90" s="27"/>
      <c r="O90" s="27"/>
      <c r="P90" s="27"/>
      <c r="Q90" s="27"/>
      <c r="R90" s="27"/>
      <c r="S90" s="27"/>
    </row>
    <row r="91" spans="1:21" s="12" customFormat="1" ht="11.25" x14ac:dyDescent="0.2">
      <c r="A91" s="12" t="s">
        <v>1848</v>
      </c>
      <c r="B91" s="12" t="s">
        <v>1321</v>
      </c>
      <c r="D91" s="15">
        <v>2025</v>
      </c>
      <c r="E91" s="77">
        <v>19</v>
      </c>
      <c r="F91" s="33">
        <v>6443.5418634659982</v>
      </c>
      <c r="G91" s="33">
        <v>248.80470075014617</v>
      </c>
      <c r="H91" s="27">
        <v>7.5246902581156003E-2</v>
      </c>
      <c r="J91" s="27"/>
      <c r="K91" s="27"/>
      <c r="L91" s="27"/>
      <c r="M91" s="27"/>
      <c r="N91" s="27"/>
      <c r="O91" s="27"/>
      <c r="P91" s="27"/>
      <c r="Q91" s="27"/>
      <c r="R91" s="27"/>
      <c r="S91" s="27"/>
    </row>
    <row r="92" spans="1:21" s="12" customFormat="1" ht="11.25" x14ac:dyDescent="0.2">
      <c r="A92" s="12" t="s">
        <v>1849</v>
      </c>
      <c r="B92" s="12" t="s">
        <v>1321</v>
      </c>
      <c r="D92" s="15">
        <v>2015</v>
      </c>
      <c r="E92" s="77">
        <v>19</v>
      </c>
      <c r="F92" s="33">
        <v>6616.0099616771531</v>
      </c>
      <c r="G92" s="33">
        <v>237.85729391713974</v>
      </c>
      <c r="H92" s="27">
        <v>7.8865434271248591E-2</v>
      </c>
      <c r="J92" s="27"/>
      <c r="K92" s="27"/>
      <c r="L92" s="27"/>
      <c r="M92" s="27"/>
      <c r="N92" s="27"/>
      <c r="O92" s="27"/>
      <c r="P92" s="27"/>
      <c r="Q92" s="27"/>
      <c r="R92" s="27"/>
      <c r="S92" s="27"/>
    </row>
    <row r="93" spans="1:21" s="12" customFormat="1" ht="11.25" x14ac:dyDescent="0.2">
      <c r="B93" s="12" t="s">
        <v>1321</v>
      </c>
      <c r="D93" s="15">
        <v>2025</v>
      </c>
      <c r="E93" s="77">
        <v>19</v>
      </c>
      <c r="F93" s="33">
        <v>6935.0018972475837</v>
      </c>
      <c r="G93" s="33">
        <v>237.85729391713974</v>
      </c>
      <c r="H93" s="27">
        <v>9.961505655010118E-2</v>
      </c>
      <c r="J93" s="27"/>
      <c r="K93" s="27"/>
      <c r="L93" s="27"/>
      <c r="M93" s="27"/>
      <c r="N93" s="27"/>
      <c r="O93" s="27"/>
      <c r="P93" s="27"/>
      <c r="Q93" s="27"/>
      <c r="R93" s="27"/>
      <c r="S93" s="27"/>
    </row>
    <row r="94" spans="1:21" s="12" customFormat="1" ht="11.25" x14ac:dyDescent="0.2">
      <c r="B94" s="12" t="s">
        <v>1321</v>
      </c>
      <c r="D94" s="15">
        <v>2040</v>
      </c>
      <c r="E94" s="77">
        <v>19</v>
      </c>
      <c r="F94" s="33">
        <v>7469.8773270789898</v>
      </c>
      <c r="G94" s="33">
        <v>237.85729391713974</v>
      </c>
      <c r="H94" s="27">
        <v>0.10749316517142161</v>
      </c>
      <c r="J94" s="27"/>
      <c r="K94" s="27"/>
      <c r="L94" s="27"/>
      <c r="M94" s="27"/>
      <c r="N94" s="27"/>
      <c r="O94" s="27"/>
      <c r="P94" s="27"/>
      <c r="Q94" s="27"/>
      <c r="R94" s="27"/>
      <c r="S94" s="27"/>
    </row>
    <row r="95" spans="1:21" s="12" customFormat="1" ht="11.25" x14ac:dyDescent="0.2">
      <c r="A95" s="81" t="s">
        <v>1850</v>
      </c>
      <c r="B95" s="81" t="s">
        <v>1318</v>
      </c>
      <c r="C95" s="81"/>
      <c r="D95" s="82">
        <v>2010</v>
      </c>
      <c r="E95" s="83">
        <v>19</v>
      </c>
      <c r="F95" s="84">
        <v>6276.5914442142484</v>
      </c>
      <c r="G95" s="84">
        <v>136.84258541258041</v>
      </c>
      <c r="H95" s="109">
        <v>7.1504036192117926E-2</v>
      </c>
      <c r="J95" s="27"/>
      <c r="K95" s="27"/>
      <c r="L95" s="27"/>
      <c r="M95" s="27"/>
      <c r="N95" s="27"/>
      <c r="O95" s="27"/>
      <c r="P95" s="27"/>
      <c r="Q95" s="27"/>
      <c r="R95" s="27"/>
      <c r="S95" s="27"/>
    </row>
    <row r="96" spans="1:21" s="12" customFormat="1" ht="11.25" x14ac:dyDescent="0.2">
      <c r="A96" s="12" t="s">
        <v>1851</v>
      </c>
      <c r="B96" s="12" t="s">
        <v>1318</v>
      </c>
      <c r="D96" s="15">
        <v>2015</v>
      </c>
      <c r="E96" s="77">
        <v>19</v>
      </c>
      <c r="F96" s="33">
        <v>6295.5716205961326</v>
      </c>
      <c r="G96" s="33">
        <v>136.84258541258041</v>
      </c>
      <c r="H96" s="27">
        <v>7.5210459188554166E-2</v>
      </c>
      <c r="J96" s="27"/>
      <c r="K96" s="27"/>
      <c r="L96" s="27"/>
      <c r="M96" s="27"/>
      <c r="N96" s="27"/>
      <c r="O96" s="27"/>
      <c r="P96" s="27"/>
      <c r="Q96" s="27"/>
      <c r="R96" s="27"/>
      <c r="S96" s="27"/>
    </row>
    <row r="97" spans="1:19" s="12" customFormat="1" ht="11.25" x14ac:dyDescent="0.2">
      <c r="B97" s="12" t="s">
        <v>1318</v>
      </c>
      <c r="D97" s="15">
        <v>2020</v>
      </c>
      <c r="E97" s="77">
        <v>19</v>
      </c>
      <c r="F97" s="33">
        <v>6347.8256864376162</v>
      </c>
      <c r="G97" s="33">
        <v>136.84258541258041</v>
      </c>
      <c r="H97" s="27">
        <v>7.7965336736629975E-2</v>
      </c>
      <c r="J97" s="27"/>
      <c r="K97" s="27"/>
      <c r="L97" s="27"/>
      <c r="M97" s="27"/>
      <c r="N97" s="27"/>
      <c r="O97" s="27"/>
      <c r="P97" s="27"/>
      <c r="Q97" s="27"/>
      <c r="R97" s="27"/>
      <c r="S97" s="27"/>
    </row>
    <row r="98" spans="1:19" s="12" customFormat="1" ht="11.25" x14ac:dyDescent="0.2">
      <c r="A98" s="12" t="s">
        <v>1852</v>
      </c>
      <c r="B98" s="12" t="s">
        <v>1318</v>
      </c>
      <c r="D98" s="15">
        <v>2025</v>
      </c>
      <c r="E98" s="77">
        <v>19</v>
      </c>
      <c r="F98" s="33">
        <v>6469.2831937373276</v>
      </c>
      <c r="G98" s="33">
        <v>136.84258541258041</v>
      </c>
      <c r="H98" s="27">
        <v>8.3060709137527847E-2</v>
      </c>
      <c r="J98" s="27"/>
      <c r="K98" s="27"/>
      <c r="L98" s="27"/>
      <c r="M98" s="27"/>
      <c r="N98" s="27"/>
      <c r="O98" s="27"/>
      <c r="P98" s="27"/>
      <c r="Q98" s="27"/>
      <c r="R98" s="27"/>
      <c r="S98" s="27"/>
    </row>
    <row r="99" spans="1:19" s="12" customFormat="1" ht="11.25" x14ac:dyDescent="0.2">
      <c r="A99" s="12" t="s">
        <v>1853</v>
      </c>
      <c r="B99" s="12" t="s">
        <v>1318</v>
      </c>
      <c r="D99" s="15">
        <v>2015</v>
      </c>
      <c r="E99" s="77">
        <v>19</v>
      </c>
      <c r="F99" s="33">
        <v>6772.0677770475058</v>
      </c>
      <c r="G99" s="33">
        <v>136.84258541258041</v>
      </c>
      <c r="H99" s="27">
        <v>8.4287693955702889E-2</v>
      </c>
      <c r="J99" s="27"/>
      <c r="K99" s="27"/>
      <c r="L99" s="27"/>
      <c r="M99" s="27"/>
      <c r="N99" s="27"/>
      <c r="O99" s="27"/>
      <c r="P99" s="27"/>
      <c r="Q99" s="27"/>
      <c r="R99" s="27"/>
      <c r="S99" s="27"/>
    </row>
    <row r="100" spans="1:19" s="12" customFormat="1" ht="11.25" x14ac:dyDescent="0.2">
      <c r="B100" s="12" t="s">
        <v>1318</v>
      </c>
      <c r="D100" s="15">
        <v>2025</v>
      </c>
      <c r="E100" s="77">
        <v>19</v>
      </c>
      <c r="F100" s="33">
        <v>6936.7571272509576</v>
      </c>
      <c r="G100" s="33">
        <v>136.84258541258041</v>
      </c>
      <c r="H100" s="27">
        <v>8.7074064003825294E-2</v>
      </c>
      <c r="J100" s="27"/>
      <c r="K100" s="27"/>
      <c r="L100" s="27"/>
      <c r="M100" s="27"/>
      <c r="N100" s="27"/>
      <c r="O100" s="27"/>
      <c r="P100" s="27"/>
      <c r="Q100" s="27"/>
      <c r="R100" s="27"/>
      <c r="S100" s="27"/>
    </row>
    <row r="101" spans="1:19" s="12" customFormat="1" ht="11.25" x14ac:dyDescent="0.2">
      <c r="B101" s="12" t="s">
        <v>1318</v>
      </c>
      <c r="D101" s="15">
        <v>2040</v>
      </c>
      <c r="E101" s="77">
        <v>19</v>
      </c>
      <c r="F101" s="33">
        <v>6936.7571272509576</v>
      </c>
      <c r="G101" s="33">
        <v>136.84258541258041</v>
      </c>
      <c r="H101" s="27">
        <v>8.7074064003825294E-2</v>
      </c>
      <c r="J101" s="27"/>
      <c r="K101" s="27"/>
      <c r="L101" s="27"/>
      <c r="M101" s="27"/>
      <c r="N101" s="27"/>
      <c r="O101" s="27"/>
      <c r="P101" s="27"/>
      <c r="Q101" s="27"/>
      <c r="R101" s="27"/>
      <c r="S101" s="27"/>
    </row>
    <row r="102" spans="1:19" s="12" customFormat="1" ht="11.25" x14ac:dyDescent="0.2">
      <c r="A102" s="12" t="s">
        <v>1854</v>
      </c>
      <c r="B102" s="12" t="s">
        <v>1318</v>
      </c>
      <c r="D102" s="15">
        <v>2015</v>
      </c>
      <c r="E102" s="77">
        <v>19</v>
      </c>
      <c r="F102" s="33">
        <v>8334.222211770475</v>
      </c>
      <c r="G102" s="33">
        <v>125.89517857957398</v>
      </c>
      <c r="H102" s="27">
        <v>0.12041099136528984</v>
      </c>
      <c r="J102" s="27"/>
      <c r="K102" s="27"/>
      <c r="L102" s="27"/>
      <c r="M102" s="27"/>
      <c r="N102" s="27"/>
      <c r="O102" s="27"/>
      <c r="P102" s="27"/>
      <c r="Q102" s="27"/>
      <c r="R102" s="27"/>
      <c r="S102" s="27"/>
    </row>
    <row r="103" spans="1:19" s="12" customFormat="1" ht="11.25" x14ac:dyDescent="0.2">
      <c r="B103" s="12" t="s">
        <v>1318</v>
      </c>
      <c r="D103" s="15">
        <v>2025</v>
      </c>
      <c r="E103" s="77">
        <v>19</v>
      </c>
      <c r="F103" s="33">
        <v>7963.0925908639483</v>
      </c>
      <c r="G103" s="33">
        <v>125.89517857957398</v>
      </c>
      <c r="H103" s="27">
        <v>0.1243915200054647</v>
      </c>
      <c r="J103" s="27"/>
      <c r="K103" s="27"/>
      <c r="L103" s="27"/>
      <c r="M103" s="27"/>
      <c r="N103" s="27"/>
      <c r="O103" s="27"/>
      <c r="P103" s="27"/>
      <c r="Q103" s="27"/>
      <c r="R103" s="27"/>
      <c r="S103" s="27"/>
    </row>
    <row r="104" spans="1:19" s="12" customFormat="1" ht="11.25" x14ac:dyDescent="0.2">
      <c r="B104" s="12" t="s">
        <v>1318</v>
      </c>
      <c r="D104" s="15">
        <v>2040</v>
      </c>
      <c r="E104" s="77">
        <v>19</v>
      </c>
      <c r="F104" s="33">
        <v>7963.0925908639483</v>
      </c>
      <c r="G104" s="33">
        <v>125.89517857957398</v>
      </c>
      <c r="H104" s="27">
        <v>0.1243915200054647</v>
      </c>
      <c r="J104" s="27"/>
      <c r="K104" s="27"/>
      <c r="L104" s="27"/>
      <c r="M104" s="27"/>
      <c r="N104" s="27"/>
      <c r="O104" s="27"/>
      <c r="P104" s="27"/>
      <c r="Q104" s="27"/>
      <c r="R104" s="27"/>
      <c r="S104" s="27"/>
    </row>
    <row r="105" spans="1:19" s="12" customFormat="1" ht="11.25" x14ac:dyDescent="0.2">
      <c r="A105" s="81" t="s">
        <v>1855</v>
      </c>
      <c r="B105" s="81" t="s">
        <v>501</v>
      </c>
      <c r="C105" s="81"/>
      <c r="D105" s="82">
        <v>2010</v>
      </c>
      <c r="E105" s="83">
        <v>19</v>
      </c>
      <c r="F105" s="84">
        <v>6575.7618337437334</v>
      </c>
      <c r="G105" s="84">
        <v>248.80470075014617</v>
      </c>
      <c r="H105" s="109">
        <v>5.2445274618984843E-2</v>
      </c>
      <c r="J105" s="27"/>
      <c r="K105" s="27"/>
      <c r="L105" s="27"/>
      <c r="M105" s="27"/>
      <c r="N105" s="27"/>
      <c r="O105" s="27"/>
      <c r="P105" s="27"/>
      <c r="Q105" s="27"/>
      <c r="R105" s="27"/>
      <c r="S105" s="27"/>
    </row>
    <row r="106" spans="1:19" s="12" customFormat="1" ht="11.25" x14ac:dyDescent="0.2">
      <c r="A106" s="12" t="s">
        <v>1856</v>
      </c>
      <c r="B106" s="12" t="s">
        <v>501</v>
      </c>
      <c r="D106" s="15">
        <v>2015</v>
      </c>
      <c r="E106" s="77">
        <v>19</v>
      </c>
      <c r="F106" s="33">
        <v>6601.4771713632026</v>
      </c>
      <c r="G106" s="33">
        <v>248.80470075014617</v>
      </c>
      <c r="H106" s="27">
        <v>5.5163783702583222E-2</v>
      </c>
      <c r="J106" s="27"/>
      <c r="K106" s="27"/>
      <c r="L106" s="27"/>
      <c r="M106" s="27"/>
      <c r="N106" s="27"/>
      <c r="O106" s="27"/>
      <c r="P106" s="27"/>
      <c r="Q106" s="27"/>
      <c r="R106" s="27"/>
      <c r="S106" s="27"/>
    </row>
    <row r="107" spans="1:19" s="12" customFormat="1" x14ac:dyDescent="0.2">
      <c r="B107" s="12" t="s">
        <v>501</v>
      </c>
      <c r="D107" s="15">
        <v>2020</v>
      </c>
      <c r="E107" s="77">
        <v>19</v>
      </c>
      <c r="F107" s="33">
        <v>6684.8973731253309</v>
      </c>
      <c r="G107" s="33">
        <v>248.80470075014617</v>
      </c>
      <c r="H107" s="27">
        <v>6.0921619711943757E-2</v>
      </c>
      <c r="I107"/>
      <c r="J107" s="27"/>
      <c r="K107" s="27"/>
      <c r="L107" s="27"/>
      <c r="M107" s="27"/>
      <c r="N107" s="27"/>
      <c r="O107" s="27"/>
      <c r="P107" s="27"/>
      <c r="Q107" s="27"/>
      <c r="R107" s="27"/>
      <c r="S107" s="27"/>
    </row>
    <row r="108" spans="1:19" x14ac:dyDescent="0.2">
      <c r="A108" s="12" t="s">
        <v>1857</v>
      </c>
      <c r="B108" s="12" t="s">
        <v>501</v>
      </c>
      <c r="C108" s="12"/>
      <c r="D108" s="15">
        <v>2025</v>
      </c>
      <c r="E108" s="77">
        <v>19</v>
      </c>
      <c r="F108" s="33">
        <v>7290.0402418233361</v>
      </c>
      <c r="G108" s="33">
        <v>248.80470075014617</v>
      </c>
      <c r="H108" s="27">
        <v>6.3820237057809537E-2</v>
      </c>
    </row>
    <row r="109" spans="1:19" x14ac:dyDescent="0.2">
      <c r="A109" s="12" t="s">
        <v>1858</v>
      </c>
      <c r="B109" s="12" t="s">
        <v>501</v>
      </c>
      <c r="C109" s="12"/>
      <c r="D109" s="15">
        <v>2015</v>
      </c>
      <c r="E109" s="77">
        <v>19</v>
      </c>
      <c r="F109" s="33">
        <v>7843.9564450542357</v>
      </c>
      <c r="G109" s="33">
        <v>237.85729391713974</v>
      </c>
      <c r="H109" s="27">
        <v>6.644759114877466E-2</v>
      </c>
    </row>
    <row r="110" spans="1:19" x14ac:dyDescent="0.2">
      <c r="A110" s="12"/>
      <c r="B110" s="12" t="s">
        <v>501</v>
      </c>
      <c r="C110" s="12"/>
      <c r="D110" s="15">
        <v>2025</v>
      </c>
      <c r="E110" s="77">
        <v>19</v>
      </c>
      <c r="F110" s="33">
        <v>8162.9154191660937</v>
      </c>
      <c r="G110" s="33">
        <v>237.85729391713974</v>
      </c>
      <c r="H110" s="27">
        <v>8.3923482870590704E-2</v>
      </c>
    </row>
    <row r="111" spans="1:19" x14ac:dyDescent="0.2">
      <c r="A111" s="12"/>
      <c r="B111" s="12" t="s">
        <v>501</v>
      </c>
      <c r="C111" s="12"/>
      <c r="D111" s="15">
        <v>2040</v>
      </c>
      <c r="E111" s="77">
        <v>19</v>
      </c>
      <c r="F111" s="33">
        <v>8697.8236542406285</v>
      </c>
      <c r="G111" s="33">
        <v>237.85729391713974</v>
      </c>
      <c r="H111" s="27">
        <v>9.0561009715803234E-2</v>
      </c>
    </row>
    <row r="112" spans="1:19" x14ac:dyDescent="0.2">
      <c r="A112" s="81" t="s">
        <v>1859</v>
      </c>
      <c r="B112" s="81" t="s">
        <v>504</v>
      </c>
      <c r="C112" s="81"/>
      <c r="D112" s="82">
        <v>2010</v>
      </c>
      <c r="E112" s="83">
        <v>19</v>
      </c>
      <c r="F112" s="84">
        <v>6193.9826155170922</v>
      </c>
      <c r="G112" s="84">
        <v>248.80470075014617</v>
      </c>
      <c r="H112" s="109">
        <v>6.7978151294823944E-2</v>
      </c>
    </row>
    <row r="113" spans="1:26" x14ac:dyDescent="0.2">
      <c r="A113" s="12" t="s">
        <v>1860</v>
      </c>
      <c r="B113" s="12" t="s">
        <v>504</v>
      </c>
      <c r="C113" s="12"/>
      <c r="D113" s="15">
        <v>2015</v>
      </c>
      <c r="E113" s="77">
        <v>19</v>
      </c>
      <c r="F113" s="33">
        <v>6218.2049578394353</v>
      </c>
      <c r="G113" s="33">
        <v>248.80470075014617</v>
      </c>
      <c r="H113" s="27">
        <v>7.1501809491368279E-2</v>
      </c>
    </row>
    <row r="114" spans="1:26" x14ac:dyDescent="0.2">
      <c r="A114" s="12"/>
      <c r="B114" s="12" t="s">
        <v>504</v>
      </c>
      <c r="C114" s="12"/>
      <c r="D114" s="15">
        <v>2020</v>
      </c>
      <c r="E114" s="77">
        <v>19</v>
      </c>
      <c r="F114" s="33">
        <v>6296.7819033799624</v>
      </c>
      <c r="G114" s="33">
        <v>248.80470075014617</v>
      </c>
      <c r="H114" s="27">
        <v>7.8964961323800653E-2</v>
      </c>
    </row>
    <row r="115" spans="1:26" x14ac:dyDescent="0.2">
      <c r="A115" s="12" t="s">
        <v>1861</v>
      </c>
      <c r="B115" s="12" t="s">
        <v>504</v>
      </c>
      <c r="C115" s="12"/>
      <c r="D115" s="15">
        <v>2025</v>
      </c>
      <c r="E115" s="77">
        <v>19</v>
      </c>
      <c r="F115" s="33">
        <v>6866.7910526446676</v>
      </c>
      <c r="G115" s="33">
        <v>248.80470075014617</v>
      </c>
      <c r="H115" s="27">
        <v>8.2722070995064262E-2</v>
      </c>
    </row>
    <row r="116" spans="1:26" x14ac:dyDescent="0.2">
      <c r="A116" s="12" t="s">
        <v>1862</v>
      </c>
      <c r="B116" s="12" t="s">
        <v>504</v>
      </c>
      <c r="C116" s="12"/>
      <c r="D116" s="15">
        <v>2015</v>
      </c>
      <c r="E116" s="77">
        <v>19</v>
      </c>
      <c r="F116" s="33">
        <v>6997.7891799037952</v>
      </c>
      <c r="G116" s="33">
        <v>237.85729391713974</v>
      </c>
      <c r="H116" s="27">
        <v>8.6127576547247009E-2</v>
      </c>
    </row>
    <row r="117" spans="1:26" ht="14.25" customHeight="1" x14ac:dyDescent="0.2">
      <c r="A117" s="12"/>
      <c r="B117" s="12" t="s">
        <v>504</v>
      </c>
      <c r="C117" s="12"/>
      <c r="D117" s="15">
        <v>2025</v>
      </c>
      <c r="E117" s="77">
        <v>19</v>
      </c>
      <c r="F117" s="33">
        <v>7316.7481540156523</v>
      </c>
      <c r="G117" s="33">
        <v>237.85729391713974</v>
      </c>
      <c r="H117" s="27">
        <v>0.10877935633309516</v>
      </c>
    </row>
    <row r="118" spans="1:26" ht="14.25" customHeight="1" x14ac:dyDescent="0.2">
      <c r="A118" s="12"/>
      <c r="B118" s="12" t="s">
        <v>504</v>
      </c>
      <c r="C118" s="12"/>
      <c r="D118" s="15">
        <v>2040</v>
      </c>
      <c r="E118" s="77">
        <v>19</v>
      </c>
      <c r="F118" s="33">
        <v>7851.6563890901871</v>
      </c>
      <c r="G118" s="33">
        <v>237.85729391713974</v>
      </c>
      <c r="H118" s="27">
        <v>0.1173827397148265</v>
      </c>
    </row>
    <row r="119" spans="1:26" x14ac:dyDescent="0.2">
      <c r="A119" s="81" t="s">
        <v>1863</v>
      </c>
      <c r="B119" s="81" t="s">
        <v>1321</v>
      </c>
      <c r="C119" s="110"/>
      <c r="D119" s="82">
        <v>2005</v>
      </c>
      <c r="E119" s="83">
        <v>19</v>
      </c>
      <c r="F119" s="110"/>
      <c r="G119" s="84">
        <f>G88</f>
        <v>248.80470075014617</v>
      </c>
      <c r="H119" s="109">
        <f>'AEO Data'!D15/('AEO Data'!D30*'Conv Factors'!B13)</f>
        <v>5.9575136530156454E-2</v>
      </c>
    </row>
    <row r="120" spans="1:26" x14ac:dyDescent="0.2">
      <c r="A120" s="81" t="s">
        <v>1864</v>
      </c>
      <c r="B120" s="81" t="s">
        <v>922</v>
      </c>
      <c r="C120" s="110"/>
      <c r="D120" s="82">
        <v>2005</v>
      </c>
      <c r="E120" s="83">
        <v>19</v>
      </c>
      <c r="F120" s="110"/>
      <c r="G120" s="84">
        <f>G78</f>
        <v>136.84258541258041</v>
      </c>
      <c r="H120" s="109">
        <f>'AEO Data'!D14/('AEO Data'!D29*'Conv Factors'!B13)</f>
        <v>6.0890110280658251E-2</v>
      </c>
    </row>
    <row r="121" spans="1:26" x14ac:dyDescent="0.2">
      <c r="A121" s="81" t="s">
        <v>1865</v>
      </c>
      <c r="B121" s="81" t="s">
        <v>504</v>
      </c>
      <c r="C121" s="1062"/>
      <c r="D121" s="82">
        <v>2005</v>
      </c>
      <c r="E121" s="83">
        <v>19</v>
      </c>
      <c r="F121" s="110"/>
      <c r="G121" s="84">
        <f>G105</f>
        <v>248.80470075014617</v>
      </c>
      <c r="H121" s="109">
        <f>'AEO Data'!D16/('AEO Data'!D31*'Conv Factors'!B13)</f>
        <v>5.3551660595109893E-2</v>
      </c>
    </row>
    <row r="122" spans="1:26" x14ac:dyDescent="0.2">
      <c r="A122" s="81" t="s">
        <v>1866</v>
      </c>
      <c r="B122" s="81" t="s">
        <v>501</v>
      </c>
      <c r="C122" s="110"/>
      <c r="D122" s="82">
        <v>2005</v>
      </c>
      <c r="E122" s="83">
        <v>19</v>
      </c>
      <c r="F122" s="110"/>
      <c r="G122" s="84">
        <f>G112</f>
        <v>248.80470075014617</v>
      </c>
      <c r="H122" s="109">
        <f>'AEO Data'!D17/('AEO Data'!D32*'Conv Factors'!B13)</f>
        <v>4.8739793512911696E-2</v>
      </c>
    </row>
    <row r="124" spans="1:26" x14ac:dyDescent="0.2">
      <c r="A124" s="12" t="s">
        <v>1867</v>
      </c>
      <c r="B124" s="12"/>
      <c r="C124" s="12"/>
      <c r="D124" s="80"/>
      <c r="E124" s="46"/>
      <c r="F124" s="12"/>
      <c r="G124" s="12"/>
    </row>
    <row r="125" spans="1:26" x14ac:dyDescent="0.2">
      <c r="A125" s="12" t="s">
        <v>1868</v>
      </c>
    </row>
    <row r="127" spans="1:26" x14ac:dyDescent="0.2">
      <c r="A127" s="136" t="s">
        <v>1869</v>
      </c>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9" spans="1:14" x14ac:dyDescent="0.2">
      <c r="A129" s="44"/>
      <c r="B129" s="44"/>
      <c r="C129" s="28"/>
      <c r="D129" s="73"/>
      <c r="E129" s="73"/>
      <c r="F129" s="28" t="s">
        <v>476</v>
      </c>
      <c r="G129" s="28" t="s">
        <v>477</v>
      </c>
      <c r="H129" s="28" t="s">
        <v>475</v>
      </c>
      <c r="I129" t="s">
        <v>475</v>
      </c>
      <c r="J129" s="27"/>
      <c r="K129" s="15">
        <v>2010</v>
      </c>
      <c r="L129" s="15">
        <v>2015</v>
      </c>
      <c r="M129" s="15">
        <v>2025</v>
      </c>
      <c r="N129" s="15">
        <v>2040</v>
      </c>
    </row>
    <row r="130" spans="1:14" ht="33.75" x14ac:dyDescent="0.2">
      <c r="A130" s="55" t="s">
        <v>1870</v>
      </c>
      <c r="B130" s="34" t="s">
        <v>497</v>
      </c>
      <c r="C130" s="89"/>
      <c r="D130" s="74" t="s">
        <v>1784</v>
      </c>
      <c r="E130" s="75" t="s">
        <v>474</v>
      </c>
      <c r="F130" s="76" t="s">
        <v>1786</v>
      </c>
      <c r="G130" s="76" t="s">
        <v>1786</v>
      </c>
      <c r="H130" s="76" t="s">
        <v>1836</v>
      </c>
      <c r="I130" t="s">
        <v>1836</v>
      </c>
      <c r="J130" s="27" t="s">
        <v>1627</v>
      </c>
      <c r="K130" s="27">
        <f>H131</f>
        <v>3.038743284803256E-2</v>
      </c>
      <c r="L130" s="27">
        <f>H132</f>
        <v>3.32457527364899E-2</v>
      </c>
      <c r="M130" s="27">
        <f>H134</f>
        <v>3.4398179039330415E-2</v>
      </c>
      <c r="N130" s="27">
        <f>H135</f>
        <v>3.5096619222870114E-2</v>
      </c>
    </row>
    <row r="131" spans="1:14" x14ac:dyDescent="0.2">
      <c r="A131" s="81" t="str">
        <f>Technologies!D145</f>
        <v>Heavy Truck, Short Haul, Conventional Diesel 2010</v>
      </c>
      <c r="B131" s="81" t="s">
        <v>922</v>
      </c>
      <c r="C131" s="81"/>
      <c r="D131" s="82">
        <v>2010</v>
      </c>
      <c r="E131" s="84">
        <v>19</v>
      </c>
      <c r="F131" s="84">
        <v>4606.0861228089634</v>
      </c>
      <c r="G131" s="84">
        <v>165.78108395324125</v>
      </c>
      <c r="H131" s="109">
        <f>THS!G5</f>
        <v>3.038743284803256E-2</v>
      </c>
      <c r="I131" s="27">
        <v>4.0092266116805372E-2</v>
      </c>
      <c r="J131" s="27" t="s">
        <v>1838</v>
      </c>
      <c r="K131" s="27"/>
      <c r="L131" s="27">
        <f>H136</f>
        <v>3.4863805828356888E-2</v>
      </c>
      <c r="M131" s="27">
        <f>H137</f>
        <v>3.538763596601166E-2</v>
      </c>
      <c r="N131" s="27">
        <f>H140</f>
        <v>6.2047733885329429E-2</v>
      </c>
    </row>
    <row r="132" spans="1:14" x14ac:dyDescent="0.2">
      <c r="A132" s="12" t="str">
        <f>Technologies!D146</f>
        <v>Heavy Truck, Short Haul, Conv. Diesel</v>
      </c>
      <c r="B132" s="12" t="s">
        <v>922</v>
      </c>
      <c r="C132" s="12"/>
      <c r="D132" s="15">
        <v>2015</v>
      </c>
      <c r="E132" s="33">
        <v>19</v>
      </c>
      <c r="F132" s="33">
        <v>4701.3380799369525</v>
      </c>
      <c r="G132" s="33">
        <v>165.78108395324125</v>
      </c>
      <c r="H132" s="27">
        <f>I132*$H$131/$I$131</f>
        <v>3.32457527364899E-2</v>
      </c>
      <c r="I132" s="27">
        <v>4.3863447518935846E-2</v>
      </c>
      <c r="J132" s="27" t="s">
        <v>1843</v>
      </c>
      <c r="K132" s="27">
        <f>H141</f>
        <v>4.0063961642811542E-2</v>
      </c>
      <c r="L132" s="27">
        <f>H142</f>
        <v>4.3832480653506929E-2</v>
      </c>
      <c r="M132" s="27">
        <f>H144</f>
        <v>4.5385378613801756E-2</v>
      </c>
      <c r="N132" s="27">
        <f>H145</f>
        <v>4.6306909144031239E-2</v>
      </c>
    </row>
    <row r="133" spans="1:14" x14ac:dyDescent="0.2">
      <c r="A133" s="12"/>
      <c r="B133" s="12" t="s">
        <v>922</v>
      </c>
      <c r="C133" s="12"/>
      <c r="D133" s="15">
        <v>2020</v>
      </c>
      <c r="E133" s="33">
        <v>19</v>
      </c>
      <c r="F133" s="33">
        <v>4701.3380799369525</v>
      </c>
      <c r="G133" s="33">
        <v>165.78108395324125</v>
      </c>
      <c r="H133" s="27">
        <f t="shared" ref="H133:H166" si="0">I133*$H$131/$I$131</f>
        <v>3.32457527364899E-2</v>
      </c>
      <c r="I133" s="27">
        <v>4.3863447518935846E-2</v>
      </c>
      <c r="J133" s="27" t="s">
        <v>501</v>
      </c>
      <c r="K133" s="27">
        <f>H151</f>
        <v>3.0116116483317988E-2</v>
      </c>
      <c r="L133" s="27">
        <f>H152</f>
        <v>3.2948915658485532E-2</v>
      </c>
      <c r="M133" s="27">
        <f>H154</f>
        <v>3.4091052440764963E-2</v>
      </c>
      <c r="N133" s="27">
        <f>H155</f>
        <v>3.4783256551237353E-2</v>
      </c>
    </row>
    <row r="134" spans="1:14" x14ac:dyDescent="0.2">
      <c r="A134" s="12" t="str">
        <f>Technologies!D147</f>
        <v>Heavy Truck, Short Haul, Improved Diesel</v>
      </c>
      <c r="B134" s="12" t="s">
        <v>922</v>
      </c>
      <c r="C134" s="12"/>
      <c r="D134" s="15">
        <v>2025</v>
      </c>
      <c r="E134" s="33">
        <v>19</v>
      </c>
      <c r="F134" s="33">
        <v>4729.3691781178795</v>
      </c>
      <c r="G134" s="33">
        <v>165.78108395324125</v>
      </c>
      <c r="H134" s="27">
        <f t="shared" si="0"/>
        <v>3.4398179039330415E-2</v>
      </c>
      <c r="I134" s="27">
        <v>4.5383924166125855E-2</v>
      </c>
      <c r="J134" s="27"/>
      <c r="L134" s="27"/>
      <c r="M134" s="27"/>
      <c r="N134" s="27"/>
    </row>
    <row r="135" spans="1:14" x14ac:dyDescent="0.2">
      <c r="A135" s="12"/>
      <c r="B135" s="12" t="s">
        <v>922</v>
      </c>
      <c r="C135" s="12"/>
      <c r="D135" s="15">
        <v>2040</v>
      </c>
      <c r="E135" s="33">
        <v>19</v>
      </c>
      <c r="F135" s="33">
        <v>4767.6178468587577</v>
      </c>
      <c r="G135" s="33">
        <v>165.78108395324125</v>
      </c>
      <c r="H135" s="27">
        <f t="shared" si="0"/>
        <v>3.5096619222870114E-2</v>
      </c>
      <c r="I135" s="27">
        <v>4.6305425164422827E-2</v>
      </c>
      <c r="K135" s="27"/>
      <c r="L135" s="27"/>
      <c r="M135" s="27"/>
      <c r="N135" s="27"/>
    </row>
    <row r="136" spans="1:14" x14ac:dyDescent="0.2">
      <c r="A136" s="81" t="str">
        <f>Technologies!D148</f>
        <v>Heavy Truck, Short Haul, Advanced Diesel</v>
      </c>
      <c r="B136" s="81" t="s">
        <v>922</v>
      </c>
      <c r="C136" s="81"/>
      <c r="D136" s="82">
        <v>2015</v>
      </c>
      <c r="E136" s="84">
        <v>19</v>
      </c>
      <c r="F136" s="84">
        <v>4831.9482088710984</v>
      </c>
      <c r="G136" s="84">
        <v>165.78108395324125</v>
      </c>
      <c r="H136" s="27">
        <f t="shared" si="0"/>
        <v>3.4863805828356888E-2</v>
      </c>
      <c r="I136" s="27">
        <v>4.5998258164990508E-2</v>
      </c>
      <c r="J136" s="27"/>
      <c r="K136" s="27"/>
      <c r="L136" s="27"/>
      <c r="M136" s="27"/>
      <c r="N136" s="27"/>
    </row>
    <row r="137" spans="1:14" x14ac:dyDescent="0.2">
      <c r="A137" s="12"/>
      <c r="B137" s="12" t="s">
        <v>922</v>
      </c>
      <c r="C137" s="12"/>
      <c r="D137" s="15">
        <v>2025</v>
      </c>
      <c r="E137" s="33">
        <v>19</v>
      </c>
      <c r="F137" s="33">
        <v>5078.3126569120868</v>
      </c>
      <c r="G137" s="33">
        <v>165.78108395324125</v>
      </c>
      <c r="H137" s="27">
        <f t="shared" si="0"/>
        <v>3.538763596601166E-2</v>
      </c>
      <c r="I137" s="27">
        <v>4.6689383913713231E-2</v>
      </c>
    </row>
    <row r="138" spans="1:14" x14ac:dyDescent="0.2">
      <c r="A138" s="12" t="str">
        <f>Technologies!D149</f>
        <v>Heavy Truck, Short Haul, Hybrid Diesel</v>
      </c>
      <c r="B138" s="12" t="s">
        <v>922</v>
      </c>
      <c r="C138" s="12"/>
      <c r="D138" s="15">
        <v>2015</v>
      </c>
      <c r="E138" s="33">
        <v>19</v>
      </c>
      <c r="F138" s="33">
        <v>5813.3727494982322</v>
      </c>
      <c r="G138" s="33">
        <v>153.02869287991498</v>
      </c>
      <c r="H138" s="27">
        <f>I138</f>
        <v>6.1126232887032457E-2</v>
      </c>
      <c r="I138" s="27">
        <v>6.1126232887032457E-2</v>
      </c>
    </row>
    <row r="139" spans="1:14" x14ac:dyDescent="0.2">
      <c r="A139" s="12"/>
      <c r="B139" s="12" t="s">
        <v>922</v>
      </c>
      <c r="C139" s="12"/>
      <c r="D139" s="15">
        <v>2025</v>
      </c>
      <c r="E139" s="33">
        <v>19</v>
      </c>
      <c r="F139" s="33">
        <v>5399.9644669737891</v>
      </c>
      <c r="G139" s="33">
        <v>153.02869287991498</v>
      </c>
      <c r="H139" s="27">
        <f t="shared" ref="H139:H150" si="1">I139</f>
        <v>6.1126232887032457E-2</v>
      </c>
      <c r="I139" s="27">
        <v>6.1126232887032457E-2</v>
      </c>
    </row>
    <row r="140" spans="1:14" x14ac:dyDescent="0.2">
      <c r="A140" s="12"/>
      <c r="B140" s="12" t="s">
        <v>922</v>
      </c>
      <c r="C140" s="12"/>
      <c r="D140" s="15">
        <v>2040</v>
      </c>
      <c r="E140" s="33">
        <v>19</v>
      </c>
      <c r="F140" s="33">
        <v>5723.2631880796935</v>
      </c>
      <c r="G140" s="33">
        <v>153.02869287991498</v>
      </c>
      <c r="H140" s="27">
        <f t="shared" si="1"/>
        <v>6.2047733885329429E-2</v>
      </c>
      <c r="I140" s="27">
        <v>6.2047733885329429E-2</v>
      </c>
    </row>
    <row r="141" spans="1:14" x14ac:dyDescent="0.2">
      <c r="A141" s="81" t="str">
        <f>Technologies!D156</f>
        <v>Heavy Truck, Short Haul, Conventional B20 2010</v>
      </c>
      <c r="B141" s="81" t="s">
        <v>1318</v>
      </c>
      <c r="C141" s="81"/>
      <c r="D141" s="82">
        <v>2010</v>
      </c>
      <c r="E141" s="84">
        <v>19</v>
      </c>
      <c r="F141" s="84">
        <v>4606.0861228089634</v>
      </c>
      <c r="G141" s="84">
        <v>165.78108395324125</v>
      </c>
      <c r="H141" s="27">
        <f t="shared" si="1"/>
        <v>4.0063961642811542E-2</v>
      </c>
      <c r="I141" s="27">
        <v>4.0063961642811542E-2</v>
      </c>
    </row>
    <row r="142" spans="1:14" x14ac:dyDescent="0.2">
      <c r="A142" s="12" t="str">
        <f>Technologies!D157</f>
        <v>Heavy Truck, Short Haul, Conventional B20</v>
      </c>
      <c r="B142" s="12" t="s">
        <v>1318</v>
      </c>
      <c r="C142" s="12"/>
      <c r="D142" s="15">
        <v>2015</v>
      </c>
      <c r="E142" s="33">
        <v>19</v>
      </c>
      <c r="F142" s="33">
        <v>4701.3380799369525</v>
      </c>
      <c r="G142" s="33">
        <v>165.78108395324125</v>
      </c>
      <c r="H142" s="27">
        <f t="shared" si="1"/>
        <v>4.3832480653506929E-2</v>
      </c>
      <c r="I142" s="27">
        <v>4.3832480653506929E-2</v>
      </c>
    </row>
    <row r="143" spans="1:14" x14ac:dyDescent="0.2">
      <c r="A143" s="12"/>
      <c r="B143" s="12" t="s">
        <v>1318</v>
      </c>
      <c r="C143" s="12"/>
      <c r="D143" s="15">
        <v>2020</v>
      </c>
      <c r="E143" s="33">
        <v>19</v>
      </c>
      <c r="F143" s="33">
        <v>4701.3380799369525</v>
      </c>
      <c r="G143" s="33">
        <v>165.78108395324125</v>
      </c>
      <c r="H143" s="27">
        <f t="shared" si="1"/>
        <v>4.3832480653506929E-2</v>
      </c>
      <c r="I143" s="27">
        <v>4.3832480653506929E-2</v>
      </c>
    </row>
    <row r="144" spans="1:14" x14ac:dyDescent="0.2">
      <c r="A144" s="12" t="str">
        <f>Technologies!D158</f>
        <v>Heavy Truck, Short Haul, Improved B20</v>
      </c>
      <c r="B144" s="12" t="s">
        <v>1318</v>
      </c>
      <c r="C144" s="12"/>
      <c r="D144" s="15">
        <v>2025</v>
      </c>
      <c r="E144" s="33">
        <v>19</v>
      </c>
      <c r="F144" s="33">
        <v>4729.3691781178795</v>
      </c>
      <c r="G144" s="33">
        <v>165.78108395324125</v>
      </c>
      <c r="H144" s="27">
        <f t="shared" si="1"/>
        <v>4.5385378613801756E-2</v>
      </c>
      <c r="I144" s="27">
        <v>4.5385378613801756E-2</v>
      </c>
    </row>
    <row r="145" spans="1:9" x14ac:dyDescent="0.2">
      <c r="A145" s="12"/>
      <c r="B145" s="12" t="s">
        <v>1318</v>
      </c>
      <c r="C145" s="12"/>
      <c r="D145" s="15">
        <v>2040</v>
      </c>
      <c r="E145" s="33">
        <v>19</v>
      </c>
      <c r="F145" s="33">
        <v>4767.6178468587577</v>
      </c>
      <c r="G145" s="33">
        <v>165.78108395324125</v>
      </c>
      <c r="H145" s="27">
        <f t="shared" si="1"/>
        <v>4.6306909144031239E-2</v>
      </c>
      <c r="I145" s="27">
        <v>4.6306909144031239E-2</v>
      </c>
    </row>
    <row r="146" spans="1:9" x14ac:dyDescent="0.2">
      <c r="A146" s="12" t="s">
        <v>1871</v>
      </c>
      <c r="B146" s="12" t="s">
        <v>1318</v>
      </c>
      <c r="C146" s="12"/>
      <c r="D146" s="15">
        <v>2015</v>
      </c>
      <c r="E146" s="33">
        <v>19</v>
      </c>
      <c r="F146" s="33">
        <v>4831.9482088710984</v>
      </c>
      <c r="G146" s="33">
        <v>165.78108395324125</v>
      </c>
      <c r="H146" s="27">
        <f t="shared" si="1"/>
        <v>4.603052755709499E-2</v>
      </c>
      <c r="I146" s="27">
        <v>4.603052755709499E-2</v>
      </c>
    </row>
    <row r="147" spans="1:9" x14ac:dyDescent="0.2">
      <c r="A147" s="12"/>
      <c r="B147" s="12" t="s">
        <v>1318</v>
      </c>
      <c r="C147" s="12"/>
      <c r="D147" s="15">
        <v>2025</v>
      </c>
      <c r="E147" s="33">
        <v>19</v>
      </c>
      <c r="F147" s="33">
        <v>5078.3160179550359</v>
      </c>
      <c r="G147" s="33">
        <v>165.78108395324125</v>
      </c>
      <c r="H147" s="27">
        <f t="shared" si="1"/>
        <v>4.6706368712362882E-2</v>
      </c>
      <c r="I147" s="27">
        <v>4.6706368712362882E-2</v>
      </c>
    </row>
    <row r="148" spans="1:9" x14ac:dyDescent="0.2">
      <c r="A148" s="12" t="s">
        <v>1872</v>
      </c>
      <c r="B148" s="12" t="s">
        <v>1318</v>
      </c>
      <c r="C148" s="12"/>
      <c r="D148" s="15">
        <v>2015</v>
      </c>
      <c r="E148" s="33">
        <v>19</v>
      </c>
      <c r="F148" s="33">
        <v>5813.3727494982331</v>
      </c>
      <c r="G148" s="33">
        <v>153.02869287991498</v>
      </c>
      <c r="H148" s="27">
        <f t="shared" si="1"/>
        <v>6.1154843754426196E-2</v>
      </c>
      <c r="I148" s="27">
        <v>6.1154843754426196E-2</v>
      </c>
    </row>
    <row r="149" spans="1:9" x14ac:dyDescent="0.2">
      <c r="A149" s="12"/>
      <c r="B149" s="12" t="s">
        <v>1318</v>
      </c>
      <c r="C149" s="12"/>
      <c r="D149" s="15">
        <v>2025</v>
      </c>
      <c r="E149" s="33">
        <v>19</v>
      </c>
      <c r="F149" s="33">
        <v>5399.9644669737891</v>
      </c>
      <c r="G149" s="33">
        <v>153.02869287991498</v>
      </c>
      <c r="H149" s="27">
        <f t="shared" si="1"/>
        <v>6.1154843754426196E-2</v>
      </c>
      <c r="I149" s="27">
        <v>6.1154843754426196E-2</v>
      </c>
    </row>
    <row r="150" spans="1:9" x14ac:dyDescent="0.2">
      <c r="A150" s="12"/>
      <c r="B150" s="12" t="s">
        <v>1318</v>
      </c>
      <c r="C150" s="12"/>
      <c r="D150" s="15">
        <v>2040</v>
      </c>
      <c r="E150" s="33">
        <v>19</v>
      </c>
      <c r="F150" s="33">
        <v>5723.279993294429</v>
      </c>
      <c r="G150" s="33">
        <v>153.02869287991498</v>
      </c>
      <c r="H150" s="27">
        <f t="shared" si="1"/>
        <v>6.2052747003567818E-2</v>
      </c>
      <c r="I150" s="27">
        <v>6.2052747003567818E-2</v>
      </c>
    </row>
    <row r="151" spans="1:9" x14ac:dyDescent="0.2">
      <c r="A151" s="81" t="str">
        <f>Technologies!D161</f>
        <v>Heavy Truck, Short Haul, Conventional CNG 2010</v>
      </c>
      <c r="B151" s="81" t="s">
        <v>501</v>
      </c>
      <c r="C151" s="81"/>
      <c r="D151" s="82">
        <v>2010</v>
      </c>
      <c r="E151" s="84">
        <v>19</v>
      </c>
      <c r="F151" s="84">
        <v>4952.9055905125924</v>
      </c>
      <c r="G151" s="84">
        <v>248.80470075014617</v>
      </c>
      <c r="H151" s="27">
        <f t="shared" si="0"/>
        <v>3.0116116483317988E-2</v>
      </c>
      <c r="I151" s="27">
        <v>3.9734299455048187E-2</v>
      </c>
    </row>
    <row r="152" spans="1:9" x14ac:dyDescent="0.2">
      <c r="A152" s="12" t="str">
        <f>Technologies!D162</f>
        <v>Heavy Truck, Short Haul, Conventional CNG</v>
      </c>
      <c r="B152" s="12" t="s">
        <v>501</v>
      </c>
      <c r="C152" s="12"/>
      <c r="D152" s="15">
        <v>2015</v>
      </c>
      <c r="E152" s="33">
        <v>19</v>
      </c>
      <c r="F152" s="33">
        <v>5048.1575476405824</v>
      </c>
      <c r="G152" s="33">
        <v>248.80470075014617</v>
      </c>
      <c r="H152" s="27">
        <f t="shared" si="0"/>
        <v>3.2948915658485532E-2</v>
      </c>
      <c r="I152" s="27">
        <v>4.3471809594659641E-2</v>
      </c>
    </row>
    <row r="153" spans="1:9" x14ac:dyDescent="0.2">
      <c r="A153" s="12"/>
      <c r="B153" s="12" t="s">
        <v>501</v>
      </c>
      <c r="C153" s="12"/>
      <c r="D153" s="15">
        <v>2020</v>
      </c>
      <c r="E153" s="33">
        <v>19</v>
      </c>
      <c r="F153" s="33">
        <f>0.5*(F152+F154)</f>
        <v>5062.173096731045</v>
      </c>
      <c r="G153" s="33">
        <v>248.80470075014617</v>
      </c>
      <c r="H153" s="27">
        <f t="shared" si="0"/>
        <v>3.2948915658485532E-2</v>
      </c>
      <c r="I153" s="27">
        <v>4.3471809594659641E-2</v>
      </c>
    </row>
    <row r="154" spans="1:9" x14ac:dyDescent="0.2">
      <c r="A154" s="12" t="str">
        <f>Technologies!D164</f>
        <v>Heavy Truck, Short Haul, Improved CNG</v>
      </c>
      <c r="B154" s="12" t="s">
        <v>501</v>
      </c>
      <c r="C154" s="12"/>
      <c r="D154" s="15">
        <v>2025</v>
      </c>
      <c r="E154" s="33">
        <v>19</v>
      </c>
      <c r="F154" s="33">
        <v>5076.1886458215085</v>
      </c>
      <c r="G154" s="33">
        <v>248.80470075014617</v>
      </c>
      <c r="H154" s="27">
        <f t="shared" si="0"/>
        <v>3.4091052440764963E-2</v>
      </c>
      <c r="I154" s="27">
        <v>4.4978710557499732E-2</v>
      </c>
    </row>
    <row r="155" spans="1:9" x14ac:dyDescent="0.2">
      <c r="A155" s="12"/>
      <c r="B155" s="12" t="s">
        <v>501</v>
      </c>
      <c r="C155" s="12"/>
      <c r="D155" s="15">
        <v>2040</v>
      </c>
      <c r="E155" s="33">
        <v>19</v>
      </c>
      <c r="F155" s="33">
        <v>5114.4373145623867</v>
      </c>
      <c r="G155" s="33">
        <v>248.80470075014617</v>
      </c>
      <c r="H155" s="27">
        <f t="shared" si="0"/>
        <v>3.4783256551237353E-2</v>
      </c>
      <c r="I155" s="27">
        <v>4.589198386831192E-2</v>
      </c>
    </row>
    <row r="156" spans="1:9" x14ac:dyDescent="0.2">
      <c r="A156" s="12" t="str">
        <f>Technologies!D166</f>
        <v>Heavy Truck, Short Haul, Advanced CNG</v>
      </c>
      <c r="B156" s="12" t="s">
        <v>501</v>
      </c>
      <c r="C156" s="12"/>
      <c r="D156" s="15">
        <v>2015</v>
      </c>
      <c r="E156" s="33">
        <v>19</v>
      </c>
      <c r="F156" s="33">
        <v>5203.9040663373789</v>
      </c>
      <c r="G156" s="33">
        <v>248.80470075014617</v>
      </c>
      <c r="H156" s="27">
        <f t="shared" si="0"/>
        <v>3.5324559443131398E-2</v>
      </c>
      <c r="I156" s="27">
        <v>4.6606162644128361E-2</v>
      </c>
    </row>
    <row r="157" spans="1:9" x14ac:dyDescent="0.2">
      <c r="A157" s="12"/>
      <c r="B157" s="12" t="s">
        <v>501</v>
      </c>
      <c r="C157" s="12"/>
      <c r="D157" s="15">
        <v>2025</v>
      </c>
      <c r="E157" s="33">
        <v>19</v>
      </c>
      <c r="F157" s="33">
        <v>5568.5301715239375</v>
      </c>
      <c r="G157" s="33">
        <v>248.80470075014617</v>
      </c>
      <c r="H157" s="27">
        <f t="shared" si="0"/>
        <v>3.6124895326253972E-2</v>
      </c>
      <c r="I157" s="27">
        <v>4.766210176769458E-2</v>
      </c>
    </row>
    <row r="158" spans="1:9" x14ac:dyDescent="0.2">
      <c r="A158" s="12"/>
      <c r="B158" s="12" t="s">
        <v>501</v>
      </c>
      <c r="C158" s="12"/>
      <c r="D158" s="15">
        <v>2040</v>
      </c>
      <c r="E158" s="33">
        <v>19</v>
      </c>
      <c r="F158" s="33">
        <v>5412.8970778467474</v>
      </c>
      <c r="G158" s="33">
        <v>248.80470075014617</v>
      </c>
      <c r="H158" s="27">
        <f t="shared" si="0"/>
        <v>3.6124895326253972E-2</v>
      </c>
      <c r="I158" s="27">
        <v>4.766210176769458E-2</v>
      </c>
    </row>
    <row r="159" spans="1:9" x14ac:dyDescent="0.2">
      <c r="A159" s="12" t="str">
        <f>Technologies!D168</f>
        <v>Heavy Truck, Short Haul, Hybrid CNG</v>
      </c>
      <c r="B159" s="12" t="s">
        <v>501</v>
      </c>
      <c r="C159" s="12"/>
      <c r="D159" s="15">
        <v>2015</v>
      </c>
      <c r="E159" s="33">
        <v>19</v>
      </c>
      <c r="F159" s="33">
        <v>6185.328606964511</v>
      </c>
      <c r="G159" s="33">
        <v>237.85729391713974</v>
      </c>
      <c r="H159" s="27">
        <f t="shared" si="0"/>
        <v>4.6931200403017417E-2</v>
      </c>
      <c r="I159" s="27">
        <v>6.1919616084341954E-2</v>
      </c>
    </row>
    <row r="160" spans="1:9" x14ac:dyDescent="0.2">
      <c r="A160" s="12"/>
      <c r="B160" s="12" t="s">
        <v>501</v>
      </c>
      <c r="C160" s="12"/>
      <c r="D160" s="15">
        <v>2025</v>
      </c>
      <c r="E160" s="33">
        <v>19</v>
      </c>
      <c r="F160" s="33">
        <v>6213.4941468633324</v>
      </c>
      <c r="G160" s="33">
        <v>237.85729391713974</v>
      </c>
      <c r="H160" s="27">
        <f t="shared" si="0"/>
        <v>4.7994503790594556E-2</v>
      </c>
      <c r="I160" s="27">
        <v>6.3322506634222786E-2</v>
      </c>
    </row>
    <row r="161" spans="1:14" x14ac:dyDescent="0.2">
      <c r="A161" s="12"/>
      <c r="B161" s="12" t="s">
        <v>501</v>
      </c>
      <c r="C161" s="12"/>
      <c r="D161" s="15">
        <v>2040</v>
      </c>
      <c r="E161" s="33">
        <v>19</v>
      </c>
      <c r="F161" s="33">
        <v>6057.8610531861414</v>
      </c>
      <c r="G161" s="33">
        <v>237.85729391713974</v>
      </c>
      <c r="H161" s="27">
        <f t="shared" si="0"/>
        <v>4.7994503790594556E-2</v>
      </c>
      <c r="I161" s="27">
        <v>6.3322506634222786E-2</v>
      </c>
    </row>
    <row r="162" spans="1:14" x14ac:dyDescent="0.2">
      <c r="A162" s="81" t="str">
        <f>Technologies!D136</f>
        <v>Heavy Truck, Short Haul, Gasoline exisiting</v>
      </c>
      <c r="B162" s="81" t="s">
        <v>1321</v>
      </c>
      <c r="C162" s="110"/>
      <c r="D162" s="82">
        <v>2005</v>
      </c>
      <c r="E162" s="84">
        <v>19</v>
      </c>
      <c r="F162" s="110"/>
      <c r="G162" s="84">
        <f>G131*(G88/G78)</f>
        <v>301.42015264225682</v>
      </c>
      <c r="H162" s="27">
        <f t="shared" si="0"/>
        <v>2.9418718190266393E-2</v>
      </c>
      <c r="I162" s="27">
        <f>H163*'AEO Data'!B56/'AEO Data'!B55</f>
        <v>3.8814173095764744E-2</v>
      </c>
    </row>
    <row r="163" spans="1:14" x14ac:dyDescent="0.2">
      <c r="A163" s="81" t="str">
        <f>Technologies!D137</f>
        <v>Heavy Truck, Short Haul, Diesel exisiting</v>
      </c>
      <c r="B163" s="81" t="s">
        <v>1627</v>
      </c>
      <c r="C163" s="110"/>
      <c r="D163" s="82">
        <v>2005</v>
      </c>
      <c r="E163" s="84">
        <v>19</v>
      </c>
      <c r="F163" s="110"/>
      <c r="G163" s="84">
        <f>G131</f>
        <v>165.78108395324125</v>
      </c>
      <c r="H163" s="27">
        <f t="shared" si="0"/>
        <v>2.9892526138400329E-2</v>
      </c>
      <c r="I163" s="27">
        <f>'AEO Data'!D55*0.938/'Conv Factors'!C53*10^6/'Conv Factors'!B13/10^9</f>
        <v>3.9439301070208731E-2</v>
      </c>
    </row>
    <row r="164" spans="1:14" x14ac:dyDescent="0.2">
      <c r="A164" s="81" t="str">
        <f>Technologies!D139</f>
        <v>Heavy Truck, Short Haul, CNG exisiting</v>
      </c>
      <c r="B164" s="81" t="s">
        <v>501</v>
      </c>
      <c r="C164" s="110"/>
      <c r="D164" s="82">
        <v>2005</v>
      </c>
      <c r="E164" s="84">
        <v>19</v>
      </c>
      <c r="F164" s="110"/>
      <c r="G164" s="84">
        <f>G151</f>
        <v>248.80470075014617</v>
      </c>
      <c r="H164" s="27">
        <f t="shared" si="0"/>
        <v>2.9974418414148992E-2</v>
      </c>
      <c r="I164" s="27">
        <f>'AEO Data'!D58*0.938/'Conv Factors'!C53*10^6/'Conv Factors'!B13/10^9</f>
        <v>3.9547347278937377E-2</v>
      </c>
    </row>
    <row r="165" spans="1:14" x14ac:dyDescent="0.2">
      <c r="A165" s="81" t="str">
        <f>Technologies!D141</f>
        <v>Heavy Truck, Short Haul, LPG exisiting</v>
      </c>
      <c r="B165" s="81" t="s">
        <v>504</v>
      </c>
      <c r="C165" s="110"/>
      <c r="D165" s="82">
        <v>2005</v>
      </c>
      <c r="E165" s="84">
        <v>19</v>
      </c>
      <c r="F165" s="110"/>
      <c r="G165" s="84">
        <f>G152</f>
        <v>248.80470075014617</v>
      </c>
      <c r="H165" s="27">
        <f t="shared" si="0"/>
        <v>2.8246818403753399E-2</v>
      </c>
      <c r="I165" s="27">
        <f>'AEO Data'!D57*0.938/'Conv Factors'!C53*10^6/'Conv Factors'!B13/10^9</f>
        <v>3.726800371916509E-2</v>
      </c>
    </row>
    <row r="166" spans="1:14" x14ac:dyDescent="0.2">
      <c r="A166" s="81" t="str">
        <f>Technologies!D143</f>
        <v>Heavy Truck, Short Haul, Gasoline, 2010</v>
      </c>
      <c r="B166" s="81" t="s">
        <v>1594</v>
      </c>
      <c r="C166" s="110"/>
      <c r="D166" s="82">
        <v>2010</v>
      </c>
      <c r="E166" s="84">
        <v>19</v>
      </c>
      <c r="F166" s="82">
        <f>F131*(F88/F78)</f>
        <v>4265.2942523255333</v>
      </c>
      <c r="G166" s="84">
        <f>G162</f>
        <v>301.42015264225682</v>
      </c>
      <c r="H166" s="27">
        <f t="shared" si="0"/>
        <v>2.1878197859652251E-2</v>
      </c>
      <c r="I166" s="27">
        <f>H131*'AEO Data'!G89/'AEO Data'!G88</f>
        <v>2.8865437074987753E-2</v>
      </c>
    </row>
    <row r="167" spans="1:14" x14ac:dyDescent="0.2">
      <c r="I167" s="27"/>
    </row>
    <row r="168" spans="1:14" x14ac:dyDescent="0.2">
      <c r="B168" s="87" t="s">
        <v>1873</v>
      </c>
      <c r="C168" s="112"/>
      <c r="D168" s="112"/>
      <c r="E168" s="112"/>
      <c r="F168" s="112"/>
    </row>
    <row r="169" spans="1:14" x14ac:dyDescent="0.2">
      <c r="B169" s="12"/>
      <c r="J169" s="27"/>
      <c r="K169" s="15">
        <v>2010</v>
      </c>
      <c r="L169" s="15">
        <v>2015</v>
      </c>
      <c r="M169" s="15">
        <v>2025</v>
      </c>
      <c r="N169" s="15">
        <v>2040</v>
      </c>
    </row>
    <row r="170" spans="1:14" x14ac:dyDescent="0.2">
      <c r="B170" s="44"/>
      <c r="C170" s="28"/>
      <c r="D170" s="73"/>
      <c r="E170" s="73"/>
      <c r="F170" s="28" t="s">
        <v>476</v>
      </c>
      <c r="G170" s="28" t="s">
        <v>477</v>
      </c>
      <c r="H170" s="28" t="s">
        <v>475</v>
      </c>
      <c r="J170" s="27" t="s">
        <v>1627</v>
      </c>
      <c r="K170" s="27">
        <f>H172</f>
        <v>4.2741355933938345E-2</v>
      </c>
      <c r="L170" s="27">
        <f>H173</f>
        <v>4.6675189351799498E-2</v>
      </c>
      <c r="M170" s="27">
        <f>H175</f>
        <v>5.3053883474229534E-2</v>
      </c>
      <c r="N170" s="27">
        <f>H176</f>
        <v>5.3053883474229534E-2</v>
      </c>
    </row>
    <row r="171" spans="1:14" ht="34.5" thickBot="1" x14ac:dyDescent="0.25">
      <c r="A171" s="1" t="s">
        <v>1874</v>
      </c>
      <c r="B171" s="34" t="s">
        <v>497</v>
      </c>
      <c r="C171" s="89"/>
      <c r="D171" s="74" t="s">
        <v>1784</v>
      </c>
      <c r="E171" s="75" t="s">
        <v>474</v>
      </c>
      <c r="F171" s="76" t="s">
        <v>1786</v>
      </c>
      <c r="G171" s="76" t="s">
        <v>1786</v>
      </c>
      <c r="H171" s="76" t="s">
        <v>1836</v>
      </c>
      <c r="J171" s="27" t="s">
        <v>1838</v>
      </c>
      <c r="K171" s="27"/>
      <c r="L171" s="27">
        <f>H177</f>
        <v>4.9764823566427481E-2</v>
      </c>
      <c r="M171" s="27">
        <f>H178</f>
        <v>5.2921248765543959E-2</v>
      </c>
      <c r="N171" s="27">
        <f>H179</f>
        <v>5.5937246706524606E-2</v>
      </c>
    </row>
    <row r="172" spans="1:14" x14ac:dyDescent="0.2">
      <c r="A172" s="119" t="str">
        <f>Technologies!D171</f>
        <v>Heavy Truck, Long Haul, Diesel Conventional 2010</v>
      </c>
      <c r="B172" s="119" t="s">
        <v>922</v>
      </c>
      <c r="C172" s="119"/>
      <c r="D172" s="120">
        <v>2010</v>
      </c>
      <c r="E172" s="121">
        <v>12</v>
      </c>
      <c r="F172" s="121">
        <v>1586.6830558675817</v>
      </c>
      <c r="G172" s="121">
        <v>148.77789585547293</v>
      </c>
      <c r="H172" s="122">
        <v>4.2741355933938345E-2</v>
      </c>
      <c r="J172" s="27" t="s">
        <v>1875</v>
      </c>
      <c r="K172" s="27"/>
      <c r="L172" s="27"/>
      <c r="M172" s="27">
        <f>H183</f>
        <v>6.0541147891030989E-2</v>
      </c>
      <c r="N172" s="27">
        <f>H185</f>
        <v>7.2955528269861528E-2</v>
      </c>
    </row>
    <row r="173" spans="1:14" x14ac:dyDescent="0.2">
      <c r="A173" s="12" t="str">
        <f>Technologies!D172</f>
        <v>Heavy Truck, Long Haul, Conv. Diesel</v>
      </c>
      <c r="B173" s="12" t="s">
        <v>922</v>
      </c>
      <c r="C173" s="12"/>
      <c r="D173" s="15">
        <v>2015</v>
      </c>
      <c r="E173" s="33">
        <v>12</v>
      </c>
      <c r="F173" s="33">
        <v>1633.7672732304202</v>
      </c>
      <c r="G173" s="33">
        <v>148.77789585547293</v>
      </c>
      <c r="H173" s="27">
        <v>4.6675189351799498E-2</v>
      </c>
      <c r="J173" s="27" t="s">
        <v>1843</v>
      </c>
      <c r="K173" s="27">
        <f>H189</f>
        <v>4.271211262559866E-2</v>
      </c>
      <c r="L173" s="27">
        <f>H190</f>
        <v>4.6641074476893418E-2</v>
      </c>
      <c r="M173" s="27">
        <f>H192</f>
        <v>5.3055583726002262E-2</v>
      </c>
      <c r="N173" s="27">
        <f>H193</f>
        <v>5.3055583726002262E-2</v>
      </c>
    </row>
    <row r="174" spans="1:14" x14ac:dyDescent="0.2">
      <c r="A174" s="12"/>
      <c r="B174" s="12" t="s">
        <v>922</v>
      </c>
      <c r="C174" s="12"/>
      <c r="D174" s="15">
        <v>2020</v>
      </c>
      <c r="E174" s="33">
        <v>12</v>
      </c>
      <c r="F174" s="33">
        <v>1705.7129669639387</v>
      </c>
      <c r="G174" s="33">
        <v>148.77789585547293</v>
      </c>
      <c r="H174" s="27">
        <v>5.0853666573053249E-2</v>
      </c>
      <c r="J174" s="27" t="s">
        <v>510</v>
      </c>
      <c r="K174" s="27">
        <f>H208</f>
        <v>4.1842580380559553E-2</v>
      </c>
      <c r="L174" s="27">
        <f>H209</f>
        <v>4.1842580380559553E-2</v>
      </c>
      <c r="M174" s="27">
        <f>H210</f>
        <v>4.1842580380559553E-2</v>
      </c>
      <c r="N174" s="27">
        <f>H211</f>
        <v>4.1842580380559553E-2</v>
      </c>
    </row>
    <row r="175" spans="1:14" x14ac:dyDescent="0.2">
      <c r="A175" s="12" t="str">
        <f>Technologies!D173</f>
        <v>Heavy Truck, Long Haul, Improved Diesel</v>
      </c>
      <c r="B175" s="12" t="s">
        <v>922</v>
      </c>
      <c r="C175" s="12"/>
      <c r="D175" s="15">
        <v>2025</v>
      </c>
      <c r="E175" s="33">
        <v>12</v>
      </c>
      <c r="F175" s="33">
        <v>1912.8032140228204</v>
      </c>
      <c r="G175" s="33">
        <v>148.77789585547293</v>
      </c>
      <c r="H175" s="27">
        <v>5.3053883474229534E-2</v>
      </c>
    </row>
    <row r="176" spans="1:14" x14ac:dyDescent="0.2">
      <c r="A176" s="113"/>
      <c r="B176" s="12" t="s">
        <v>922</v>
      </c>
      <c r="C176" s="12"/>
      <c r="D176" s="15">
        <v>2040</v>
      </c>
      <c r="E176" s="33">
        <v>12</v>
      </c>
      <c r="F176" s="33">
        <v>1859.6785871956706</v>
      </c>
      <c r="G176" s="33">
        <v>148.77789585547293</v>
      </c>
      <c r="H176" s="27">
        <v>5.3053883474229534E-2</v>
      </c>
    </row>
    <row r="177" spans="1:8" x14ac:dyDescent="0.2">
      <c r="A177" s="81" t="str">
        <f>Technologies!D174</f>
        <v>Heavy Truck, Long Haul, Advanced Diesel</v>
      </c>
      <c r="B177" s="81" t="s">
        <v>922</v>
      </c>
      <c r="C177" s="81"/>
      <c r="D177" s="82">
        <v>2015</v>
      </c>
      <c r="E177" s="84">
        <v>12</v>
      </c>
      <c r="F177" s="84">
        <v>2423.7119575234788</v>
      </c>
      <c r="G177" s="84">
        <v>162.59298618490971</v>
      </c>
      <c r="H177" s="109">
        <v>4.9764823566427481E-2</v>
      </c>
    </row>
    <row r="178" spans="1:8" x14ac:dyDescent="0.2">
      <c r="A178" s="54"/>
      <c r="B178" s="12" t="s">
        <v>922</v>
      </c>
      <c r="C178" s="12"/>
      <c r="D178" s="15">
        <v>2025</v>
      </c>
      <c r="E178" s="33">
        <v>12</v>
      </c>
      <c r="F178" s="33">
        <v>2626.905224333922</v>
      </c>
      <c r="G178" s="33">
        <v>162.59298618490973</v>
      </c>
      <c r="H178" s="27">
        <v>5.2921248765543959E-2</v>
      </c>
    </row>
    <row r="179" spans="1:8" x14ac:dyDescent="0.2">
      <c r="A179" s="54"/>
      <c r="B179" s="12" t="s">
        <v>922</v>
      </c>
      <c r="C179" s="12"/>
      <c r="D179" s="15">
        <v>2040</v>
      </c>
      <c r="E179" s="33">
        <v>12</v>
      </c>
      <c r="F179" s="33">
        <v>2398.4662071941243</v>
      </c>
      <c r="G179" s="33">
        <v>162.59298618490973</v>
      </c>
      <c r="H179" s="27">
        <v>5.5937246706524606E-2</v>
      </c>
    </row>
    <row r="180" spans="1:8" x14ac:dyDescent="0.2">
      <c r="A180" s="12" t="str">
        <f>Technologies!D175</f>
        <v>Heavy Truck, Long Haul, Advanced Diesel Hybrid</v>
      </c>
      <c r="B180" s="12" t="s">
        <v>922</v>
      </c>
      <c r="C180" s="12"/>
      <c r="D180" s="15">
        <v>2015</v>
      </c>
      <c r="E180" s="33">
        <v>12</v>
      </c>
      <c r="F180" s="33">
        <v>2158.2292448190078</v>
      </c>
      <c r="G180" s="33">
        <v>173.21997874601493</v>
      </c>
      <c r="H180" s="27">
        <v>5.2231352343541843E-2</v>
      </c>
    </row>
    <row r="181" spans="1:8" x14ac:dyDescent="0.2">
      <c r="A181" s="54"/>
      <c r="B181" s="12" t="s">
        <v>922</v>
      </c>
      <c r="C181" s="12"/>
      <c r="D181" s="15">
        <v>2025</v>
      </c>
      <c r="E181" s="33">
        <v>12</v>
      </c>
      <c r="F181" s="33">
        <v>1931.3011519708778</v>
      </c>
      <c r="G181" s="33">
        <v>173.21997874601493</v>
      </c>
      <c r="H181" s="27">
        <v>5.2231352343541843E-2</v>
      </c>
    </row>
    <row r="182" spans="1:8" x14ac:dyDescent="0.2">
      <c r="A182" s="54"/>
      <c r="B182" s="12" t="s">
        <v>922</v>
      </c>
      <c r="C182" s="12"/>
      <c r="D182" s="15">
        <v>2040</v>
      </c>
      <c r="E182" s="33">
        <v>12</v>
      </c>
      <c r="F182" s="33">
        <v>2228.501696836443</v>
      </c>
      <c r="G182" s="33">
        <v>168.96918172157282</v>
      </c>
      <c r="H182" s="27">
        <v>5.7801821596742096E-2</v>
      </c>
    </row>
    <row r="183" spans="1:8" x14ac:dyDescent="0.2">
      <c r="A183" s="81" t="str">
        <f>Technologies!D176</f>
        <v>Heavy Truck, Long Haul, Diesel Smartway</v>
      </c>
      <c r="B183" s="81" t="s">
        <v>922</v>
      </c>
      <c r="C183" s="81"/>
      <c r="D183" s="82">
        <v>2015</v>
      </c>
      <c r="E183" s="84">
        <v>12</v>
      </c>
      <c r="F183" s="84">
        <v>1995.3272924530286</v>
      </c>
      <c r="G183" s="84">
        <v>166.84378320935178</v>
      </c>
      <c r="H183" s="109">
        <v>6.0541147891030989E-2</v>
      </c>
    </row>
    <row r="184" spans="1:8" x14ac:dyDescent="0.2">
      <c r="A184" s="12"/>
      <c r="B184" s="12" t="s">
        <v>922</v>
      </c>
      <c r="C184" s="12"/>
      <c r="D184" s="15">
        <v>2025</v>
      </c>
      <c r="E184" s="33">
        <v>12</v>
      </c>
      <c r="F184" s="33">
        <v>2403.5732470795997</v>
      </c>
      <c r="G184" s="33">
        <v>166.84378320935178</v>
      </c>
      <c r="H184" s="27">
        <v>6.6951288293251948E-2</v>
      </c>
    </row>
    <row r="185" spans="1:8" x14ac:dyDescent="0.2">
      <c r="A185" s="54"/>
      <c r="B185" s="12" t="s">
        <v>922</v>
      </c>
      <c r="C185" s="12"/>
      <c r="D185" s="15">
        <v>2040</v>
      </c>
      <c r="E185" s="33">
        <v>12</v>
      </c>
      <c r="F185" s="33">
        <v>2428.6916398058247</v>
      </c>
      <c r="G185" s="33">
        <v>166.84378320935178</v>
      </c>
      <c r="H185" s="27">
        <v>7.2955528269861528E-2</v>
      </c>
    </row>
    <row r="186" spans="1:8" x14ac:dyDescent="0.2">
      <c r="A186" s="12" t="str">
        <f>Technologies!D177</f>
        <v>Heavy Truck, Long Haul, Diesel Smartway Hybird</v>
      </c>
      <c r="B186" s="12" t="s">
        <v>922</v>
      </c>
      <c r="C186" s="12"/>
      <c r="D186" s="15">
        <v>2015</v>
      </c>
      <c r="E186" s="33">
        <v>12</v>
      </c>
      <c r="F186" s="33">
        <v>2423.7119575234788</v>
      </c>
      <c r="G186" s="33">
        <v>180.65887353878855</v>
      </c>
      <c r="H186" s="27">
        <v>6.3541791172192025E-2</v>
      </c>
    </row>
    <row r="187" spans="1:8" x14ac:dyDescent="0.2">
      <c r="A187" s="54"/>
      <c r="B187" s="12" t="s">
        <v>922</v>
      </c>
      <c r="C187" s="12"/>
      <c r="D187" s="15">
        <v>2025</v>
      </c>
      <c r="E187" s="33">
        <v>12</v>
      </c>
      <c r="F187" s="33">
        <v>2701.5830916232303</v>
      </c>
      <c r="G187" s="33">
        <v>180.65887353878855</v>
      </c>
      <c r="H187" s="27">
        <v>7.2442929741389522E-2</v>
      </c>
    </row>
    <row r="188" spans="1:8" x14ac:dyDescent="0.2">
      <c r="A188" s="54"/>
      <c r="B188" s="12" t="s">
        <v>922</v>
      </c>
      <c r="C188" s="12"/>
      <c r="D188" s="15">
        <v>2040</v>
      </c>
      <c r="E188" s="33">
        <v>12</v>
      </c>
      <c r="F188" s="33">
        <v>2650.8658206680652</v>
      </c>
      <c r="G188" s="33">
        <v>176.40807651434648</v>
      </c>
      <c r="H188" s="27">
        <v>7.5387379212190256E-2</v>
      </c>
    </row>
    <row r="189" spans="1:8" x14ac:dyDescent="0.2">
      <c r="A189" s="81" t="str">
        <f>Technologies!D178</f>
        <v>Heavy Truck, Long Haul, B20 Conventional 2010</v>
      </c>
      <c r="B189" s="81" t="s">
        <v>1318</v>
      </c>
      <c r="C189" s="81"/>
      <c r="D189" s="82">
        <v>2010</v>
      </c>
      <c r="E189" s="84">
        <f>E185</f>
        <v>12</v>
      </c>
      <c r="F189" s="84">
        <v>1586.6830558675817</v>
      </c>
      <c r="G189" s="84">
        <v>148.77789585547293</v>
      </c>
      <c r="H189" s="109">
        <v>4.271211262559866E-2</v>
      </c>
    </row>
    <row r="190" spans="1:8" x14ac:dyDescent="0.2">
      <c r="A190" s="12" t="str">
        <f>Technologies!D179</f>
        <v>Heavy Truck, Long Haul, Conventional B20</v>
      </c>
      <c r="B190" s="12" t="s">
        <v>1318</v>
      </c>
      <c r="C190" s="12"/>
      <c r="D190" s="15">
        <v>2015</v>
      </c>
      <c r="E190" s="33">
        <f t="shared" ref="E190:E223" si="2">E189</f>
        <v>12</v>
      </c>
      <c r="F190" s="33">
        <v>1634.199019798639</v>
      </c>
      <c r="G190" s="33">
        <v>148.77789585547293</v>
      </c>
      <c r="H190" s="27">
        <v>4.6641074476893418E-2</v>
      </c>
    </row>
    <row r="191" spans="1:8" x14ac:dyDescent="0.2">
      <c r="A191" s="12"/>
      <c r="B191" s="12" t="s">
        <v>1318</v>
      </c>
      <c r="C191" s="12"/>
      <c r="D191" s="15">
        <v>2020</v>
      </c>
      <c r="E191" s="33">
        <v>12</v>
      </c>
      <c r="F191" s="33">
        <v>1681.2832371614779</v>
      </c>
      <c r="G191" s="33">
        <v>148.77789585547293</v>
      </c>
      <c r="H191" s="27">
        <f>H174</f>
        <v>5.0853666573053249E-2</v>
      </c>
    </row>
    <row r="192" spans="1:8" x14ac:dyDescent="0.2">
      <c r="A192" s="12" t="str">
        <f>Technologies!D180</f>
        <v>Heavy Truck, Long Haul, Improved B20</v>
      </c>
      <c r="B192" s="12" t="s">
        <v>1318</v>
      </c>
      <c r="C192" s="12"/>
      <c r="D192" s="15">
        <v>2025</v>
      </c>
      <c r="E192" s="33">
        <v>12</v>
      </c>
      <c r="F192" s="33">
        <v>1912.8032140228204</v>
      </c>
      <c r="G192" s="33">
        <v>148.77789585547293</v>
      </c>
      <c r="H192" s="27">
        <v>5.3055583726002262E-2</v>
      </c>
    </row>
    <row r="193" spans="1:8" x14ac:dyDescent="0.2">
      <c r="A193" s="54"/>
      <c r="B193" s="12" t="s">
        <v>1318</v>
      </c>
      <c r="C193" s="12"/>
      <c r="D193" s="15">
        <v>2040</v>
      </c>
      <c r="E193" s="33">
        <v>12</v>
      </c>
      <c r="F193" s="33">
        <v>1859.6785871956706</v>
      </c>
      <c r="G193" s="33">
        <v>162.59298618490971</v>
      </c>
      <c r="H193" s="27">
        <v>5.3055583726002262E-2</v>
      </c>
    </row>
    <row r="194" spans="1:8" x14ac:dyDescent="0.2">
      <c r="A194" s="12" t="str">
        <f>Technologies!D181</f>
        <v>Heavy Truck, Long Haul, Advanced B20</v>
      </c>
      <c r="B194" s="12" t="s">
        <v>1318</v>
      </c>
      <c r="C194" s="12"/>
      <c r="D194" s="15">
        <v>2015</v>
      </c>
      <c r="E194" s="33">
        <v>12</v>
      </c>
      <c r="F194" s="33">
        <v>1729.8445797485574</v>
      </c>
      <c r="G194" s="33">
        <v>162.59298618490971</v>
      </c>
      <c r="H194" s="27">
        <v>4.9683212194648947E-2</v>
      </c>
    </row>
    <row r="195" spans="1:8" x14ac:dyDescent="0.2">
      <c r="A195" s="12"/>
      <c r="B195" s="12" t="s">
        <v>1318</v>
      </c>
      <c r="C195" s="12"/>
      <c r="D195" s="15">
        <v>2025</v>
      </c>
      <c r="E195" s="33">
        <v>12</v>
      </c>
      <c r="F195" s="33">
        <v>1759.4911141642169</v>
      </c>
      <c r="G195" s="33">
        <v>162.59298618490971</v>
      </c>
      <c r="H195" s="27">
        <v>5.2834461042842111E-2</v>
      </c>
    </row>
    <row r="196" spans="1:8" x14ac:dyDescent="0.2">
      <c r="A196" s="12"/>
      <c r="B196" s="12" t="s">
        <v>1318</v>
      </c>
      <c r="C196" s="12"/>
      <c r="D196" s="15">
        <v>2040</v>
      </c>
      <c r="E196" s="33">
        <v>12</v>
      </c>
      <c r="F196" s="33">
        <v>2006.3275159742025</v>
      </c>
      <c r="G196" s="33">
        <v>173.21997874601493</v>
      </c>
      <c r="H196" s="27">
        <v>5.5845512925309829E-2</v>
      </c>
    </row>
    <row r="197" spans="1:8" x14ac:dyDescent="0.2">
      <c r="A197" s="12" t="str">
        <f>Technologies!D182</f>
        <v>Heavy Truck, Long Haul, Advanced B20 Hybrid</v>
      </c>
      <c r="B197" s="12" t="s">
        <v>1318</v>
      </c>
      <c r="C197" s="12"/>
      <c r="D197" s="15">
        <v>2015</v>
      </c>
      <c r="E197" s="33">
        <v>12</v>
      </c>
      <c r="F197" s="33">
        <v>2158.2292448190078</v>
      </c>
      <c r="G197" s="33">
        <v>173.21997874601493</v>
      </c>
      <c r="H197" s="27">
        <v>5.2145696010230121E-2</v>
      </c>
    </row>
    <row r="198" spans="1:8" x14ac:dyDescent="0.2">
      <c r="A198" s="12"/>
      <c r="B198" s="12" t="s">
        <v>1318</v>
      </c>
      <c r="C198" s="12"/>
      <c r="D198" s="15">
        <v>2025</v>
      </c>
      <c r="E198" s="33">
        <v>12</v>
      </c>
      <c r="F198" s="33">
        <v>1931.3011519708778</v>
      </c>
      <c r="G198" s="33">
        <v>168.96918172157282</v>
      </c>
      <c r="H198" s="27">
        <v>5.2145696010230121E-2</v>
      </c>
    </row>
    <row r="199" spans="1:8" x14ac:dyDescent="0.2">
      <c r="A199" s="12"/>
      <c r="B199" s="12" t="s">
        <v>1318</v>
      </c>
      <c r="C199" s="12"/>
      <c r="D199" s="15">
        <v>2040</v>
      </c>
      <c r="E199" s="33">
        <v>12</v>
      </c>
      <c r="F199" s="33">
        <v>2228.501696836443</v>
      </c>
      <c r="G199" s="33">
        <v>166.84378320935178</v>
      </c>
      <c r="H199" s="27">
        <v>5.7707030022820162E-2</v>
      </c>
    </row>
    <row r="200" spans="1:8" x14ac:dyDescent="0.2">
      <c r="A200" s="12" t="str">
        <f>Technologies!D183</f>
        <v>Heavy Truck, Long Haul, B20 Smartway</v>
      </c>
      <c r="B200" s="12" t="s">
        <v>1318</v>
      </c>
      <c r="C200" s="12"/>
      <c r="D200" s="15">
        <v>2015</v>
      </c>
      <c r="E200" s="33">
        <v>12</v>
      </c>
      <c r="F200" s="33">
        <v>1995.3272924530286</v>
      </c>
      <c r="G200" s="33">
        <v>166.84378320935178</v>
      </c>
      <c r="H200" s="27">
        <v>6.0441863983757831E-2</v>
      </c>
    </row>
    <row r="201" spans="1:8" x14ac:dyDescent="0.2">
      <c r="A201" s="12"/>
      <c r="B201" s="12" t="s">
        <v>1318</v>
      </c>
      <c r="C201" s="12"/>
      <c r="D201" s="15">
        <v>2025</v>
      </c>
      <c r="E201" s="33">
        <v>12</v>
      </c>
      <c r="F201" s="33">
        <v>2403.5732470795997</v>
      </c>
      <c r="G201" s="33">
        <v>166.84378320935178</v>
      </c>
      <c r="H201" s="27">
        <v>6.684149213427111E-2</v>
      </c>
    </row>
    <row r="202" spans="1:8" x14ac:dyDescent="0.2">
      <c r="A202" s="12"/>
      <c r="B202" s="12" t="s">
        <v>1318</v>
      </c>
      <c r="C202" s="12"/>
      <c r="D202" s="15">
        <v>2040</v>
      </c>
      <c r="E202" s="33">
        <v>12</v>
      </c>
      <c r="F202" s="33">
        <v>2428.6916398058247</v>
      </c>
      <c r="G202" s="33">
        <v>180.65887353878855</v>
      </c>
      <c r="H202" s="27">
        <v>7.2835885511900511E-2</v>
      </c>
    </row>
    <row r="203" spans="1:8" x14ac:dyDescent="0.2">
      <c r="A203" s="12" t="str">
        <f>Technologies!D184</f>
        <v>Heavy Truck, Long Haul, B20 Smartway Hybird</v>
      </c>
      <c r="B203" s="12" t="s">
        <v>1318</v>
      </c>
      <c r="C203" s="12"/>
      <c r="D203" s="15">
        <v>2015</v>
      </c>
      <c r="E203" s="33">
        <v>12</v>
      </c>
      <c r="F203" s="33">
        <v>2423.7119575234788</v>
      </c>
      <c r="G203" s="33">
        <v>180.65887353878855</v>
      </c>
      <c r="H203" s="27">
        <v>6.3437586387141268E-2</v>
      </c>
    </row>
    <row r="204" spans="1:8" x14ac:dyDescent="0.2">
      <c r="A204" s="12"/>
      <c r="B204" s="12" t="s">
        <v>1318</v>
      </c>
      <c r="C204" s="12"/>
      <c r="D204" s="15">
        <v>2025</v>
      </c>
      <c r="E204" s="33">
        <v>12</v>
      </c>
      <c r="F204" s="33">
        <v>2701.5830916232303</v>
      </c>
      <c r="G204" s="33">
        <v>176.40807651434648</v>
      </c>
      <c r="H204" s="27">
        <v>7.2324127614743591E-2</v>
      </c>
    </row>
    <row r="205" spans="1:8" x14ac:dyDescent="0.2">
      <c r="A205" s="12"/>
      <c r="B205" s="12" t="s">
        <v>1318</v>
      </c>
      <c r="C205" s="12"/>
      <c r="D205" s="15">
        <v>2040</v>
      </c>
      <c r="E205" s="33">
        <v>12</v>
      </c>
      <c r="F205" s="33">
        <v>2650.8658206680652</v>
      </c>
      <c r="G205" s="33">
        <v>162.59298618490973</v>
      </c>
      <c r="H205" s="27">
        <v>7.5263748362297184E-2</v>
      </c>
    </row>
    <row r="206" spans="1:8" x14ac:dyDescent="0.2">
      <c r="A206" s="81" t="str">
        <f>Technologies!D169</f>
        <v>Heavy Truck, Long Haul, Diesel exisiting</v>
      </c>
      <c r="B206" s="81" t="s">
        <v>922</v>
      </c>
      <c r="C206" s="110"/>
      <c r="D206" s="82">
        <v>2005</v>
      </c>
      <c r="E206" s="84">
        <f>E193</f>
        <v>12</v>
      </c>
      <c r="F206" s="110"/>
      <c r="G206" s="84">
        <f>G173</f>
        <v>148.77789585547293</v>
      </c>
      <c r="H206" s="109">
        <f>'AEO Data'!D20/'AEO Data'!D35/'Conv Factors'!B13</f>
        <v>4.2022307542363531E-2</v>
      </c>
    </row>
    <row r="207" spans="1:8" x14ac:dyDescent="0.2">
      <c r="A207" s="81" t="str">
        <f>Technologies!D170</f>
        <v>Heavy Truck, Long Haul, LPG exisiting</v>
      </c>
      <c r="B207" s="81" t="s">
        <v>504</v>
      </c>
      <c r="C207" s="110"/>
      <c r="D207" s="82">
        <v>2005</v>
      </c>
      <c r="E207" s="84">
        <f t="shared" si="2"/>
        <v>12</v>
      </c>
      <c r="F207" s="110"/>
      <c r="G207" s="84">
        <f>G208</f>
        <v>289.82706984832384</v>
      </c>
      <c r="H207" s="109">
        <f>'AEO Data'!D22/'AEO Data'!D37/'Conv Factors'!B13</f>
        <v>3.9708827872133132E-2</v>
      </c>
    </row>
    <row r="208" spans="1:8" x14ac:dyDescent="0.2">
      <c r="A208" s="114" t="str">
        <f>Technologies!D185</f>
        <v>Heavy Truck, Long Haul, LNG 2010</v>
      </c>
      <c r="B208" s="114" t="s">
        <v>510</v>
      </c>
      <c r="C208" s="114"/>
      <c r="D208" s="115">
        <v>2010</v>
      </c>
      <c r="E208" s="116">
        <f t="shared" si="2"/>
        <v>12</v>
      </c>
      <c r="F208" s="116">
        <v>2389.4150399201549</v>
      </c>
      <c r="G208" s="116">
        <v>289.82706984832384</v>
      </c>
      <c r="H208" s="117">
        <v>4.1842580380559553E-2</v>
      </c>
    </row>
    <row r="209" spans="1:8" x14ac:dyDescent="0.2">
      <c r="A209" s="114" t="str">
        <f>Technologies!D186</f>
        <v xml:space="preserve">Heavy Truck, Long Haul, Conventional LNG </v>
      </c>
      <c r="B209" s="114" t="s">
        <v>510</v>
      </c>
      <c r="C209" s="114"/>
      <c r="D209" s="115">
        <v>2015</v>
      </c>
      <c r="E209" s="116">
        <f t="shared" si="2"/>
        <v>12</v>
      </c>
      <c r="F209" s="116">
        <v>2398.7591457466888</v>
      </c>
      <c r="G209" s="116">
        <v>289.82706984832384</v>
      </c>
      <c r="H209" s="117">
        <v>4.1842580380559553E-2</v>
      </c>
    </row>
    <row r="210" spans="1:8" x14ac:dyDescent="0.2">
      <c r="A210" s="114"/>
      <c r="B210" s="114" t="s">
        <v>510</v>
      </c>
      <c r="C210" s="114"/>
      <c r="D210" s="115">
        <v>2025</v>
      </c>
      <c r="E210" s="116">
        <f t="shared" si="2"/>
        <v>12</v>
      </c>
      <c r="F210" s="116">
        <v>2427.1591264967856</v>
      </c>
      <c r="G210" s="116">
        <v>289.82706984832384</v>
      </c>
      <c r="H210" s="117">
        <v>4.1842580380559553E-2</v>
      </c>
    </row>
    <row r="211" spans="1:8" x14ac:dyDescent="0.2">
      <c r="A211" s="114"/>
      <c r="B211" s="114" t="s">
        <v>510</v>
      </c>
      <c r="C211" s="114"/>
      <c r="D211" s="115">
        <v>2040</v>
      </c>
      <c r="E211" s="116">
        <f t="shared" si="2"/>
        <v>12</v>
      </c>
      <c r="F211" s="116">
        <v>2648.9602628322136</v>
      </c>
      <c r="G211" s="116">
        <v>289.82706984832384</v>
      </c>
      <c r="H211" s="117">
        <v>4.1842580380559553E-2</v>
      </c>
    </row>
    <row r="212" spans="1:8" x14ac:dyDescent="0.2">
      <c r="A212" s="114" t="str">
        <f>Technologies!D187</f>
        <v>Heavy Truck, Long Haul, Advanced LNG</v>
      </c>
      <c r="B212" s="114" t="s">
        <v>510</v>
      </c>
      <c r="C212" s="114"/>
      <c r="D212" s="115">
        <v>2015</v>
      </c>
      <c r="E212" s="116">
        <f t="shared" si="2"/>
        <v>12</v>
      </c>
      <c r="F212" s="116">
        <v>2504.3667845737755</v>
      </c>
      <c r="G212" s="116">
        <v>289.82706984832384</v>
      </c>
      <c r="H212" s="117">
        <v>5.7079372341398843E-2</v>
      </c>
    </row>
    <row r="213" spans="1:8" x14ac:dyDescent="0.2">
      <c r="A213" s="114"/>
      <c r="B213" s="114" t="s">
        <v>510</v>
      </c>
      <c r="C213" s="114"/>
      <c r="D213" s="115">
        <v>2025</v>
      </c>
      <c r="E213" s="116">
        <f t="shared" si="2"/>
        <v>12</v>
      </c>
      <c r="F213" s="116">
        <v>2639.1528093544284</v>
      </c>
      <c r="G213" s="116">
        <v>289.82706984832384</v>
      </c>
      <c r="H213" s="117">
        <v>5.8372599223519749E-2</v>
      </c>
    </row>
    <row r="214" spans="1:8" x14ac:dyDescent="0.2">
      <c r="A214" s="114"/>
      <c r="B214" s="114" t="s">
        <v>510</v>
      </c>
      <c r="C214" s="114"/>
      <c r="D214" s="115">
        <v>2040</v>
      </c>
      <c r="E214" s="116">
        <f t="shared" si="2"/>
        <v>12</v>
      </c>
      <c r="F214" s="116">
        <v>2585.5410474190576</v>
      </c>
      <c r="G214" s="116">
        <v>289.82706984832384</v>
      </c>
      <c r="H214" s="117">
        <v>5.8372599223519749E-2</v>
      </c>
    </row>
    <row r="215" spans="1:8" x14ac:dyDescent="0.2">
      <c r="A215" s="114" t="str">
        <f>Technologies!D188</f>
        <v>Heavy Truck, Long Haul, Advanced LNG Hybrid</v>
      </c>
      <c r="B215" s="114" t="s">
        <v>510</v>
      </c>
      <c r="C215" s="114"/>
      <c r="D215" s="115">
        <v>2015</v>
      </c>
      <c r="E215" s="116">
        <f t="shared" si="2"/>
        <v>12</v>
      </c>
      <c r="F215" s="116">
        <v>2842.4433310618065</v>
      </c>
      <c r="G215" s="116">
        <v>289.82706984832384</v>
      </c>
      <c r="H215" s="117">
        <v>5.8982018086112128E-2</v>
      </c>
    </row>
    <row r="216" spans="1:8" x14ac:dyDescent="0.2">
      <c r="A216" s="114"/>
      <c r="B216" s="114" t="s">
        <v>510</v>
      </c>
      <c r="C216" s="114"/>
      <c r="D216" s="115">
        <v>2025</v>
      </c>
      <c r="E216" s="116">
        <f t="shared" si="2"/>
        <v>12</v>
      </c>
      <c r="F216" s="116">
        <v>2861.3269902166689</v>
      </c>
      <c r="G216" s="116">
        <v>289.82706984832384</v>
      </c>
      <c r="H216" s="117">
        <v>6.0318352530970412E-2</v>
      </c>
    </row>
    <row r="217" spans="1:8" x14ac:dyDescent="0.2">
      <c r="A217" s="114"/>
      <c r="B217" s="114" t="s">
        <v>510</v>
      </c>
      <c r="C217" s="114"/>
      <c r="D217" s="115">
        <v>2040</v>
      </c>
      <c r="E217" s="116">
        <f t="shared" si="2"/>
        <v>12</v>
      </c>
      <c r="F217" s="116">
        <v>2807.7152282812981</v>
      </c>
      <c r="G217" s="116">
        <v>289.82706984832384</v>
      </c>
      <c r="H217" s="117">
        <v>6.0318352530970412E-2</v>
      </c>
    </row>
    <row r="218" spans="1:8" x14ac:dyDescent="0.2">
      <c r="A218" s="114" t="str">
        <f>Technologies!D189</f>
        <v>Heavy Truck, Long Haul, LNG Smartway</v>
      </c>
      <c r="B218" s="114" t="s">
        <v>510</v>
      </c>
      <c r="C218" s="114"/>
      <c r="D218" s="115">
        <v>2015</v>
      </c>
      <c r="E218" s="116">
        <f t="shared" si="2"/>
        <v>12</v>
      </c>
      <c r="F218" s="116">
        <v>2504.3667845737755</v>
      </c>
      <c r="G218" s="116">
        <v>289.82706984832384</v>
      </c>
      <c r="H218" s="117">
        <v>5.7079372341398843E-2</v>
      </c>
    </row>
    <row r="219" spans="1:8" x14ac:dyDescent="0.2">
      <c r="A219" s="114"/>
      <c r="B219" s="114" t="s">
        <v>510</v>
      </c>
      <c r="C219" s="114"/>
      <c r="D219" s="115">
        <v>2025</v>
      </c>
      <c r="E219" s="116">
        <f t="shared" si="2"/>
        <v>12</v>
      </c>
      <c r="F219" s="116">
        <v>3143.9520363023103</v>
      </c>
      <c r="G219" s="116">
        <v>289.82706984832384</v>
      </c>
      <c r="H219" s="117">
        <v>6.6549620751363711E-2</v>
      </c>
    </row>
    <row r="220" spans="1:8" x14ac:dyDescent="0.2">
      <c r="A220" s="114"/>
      <c r="B220" s="114" t="s">
        <v>510</v>
      </c>
      <c r="C220" s="114"/>
      <c r="D220" s="115">
        <v>2040</v>
      </c>
      <c r="E220" s="116">
        <f t="shared" si="2"/>
        <v>12</v>
      </c>
      <c r="F220" s="116">
        <v>2837.9406608929985</v>
      </c>
      <c r="G220" s="116">
        <v>289.82706984832384</v>
      </c>
      <c r="H220" s="117">
        <v>6.6549620751363711E-2</v>
      </c>
    </row>
    <row r="221" spans="1:8" x14ac:dyDescent="0.2">
      <c r="A221" s="114" t="str">
        <f>Technologies!D190</f>
        <v>Heavy Truck, Long Haul, LNG Smartway Hybird</v>
      </c>
      <c r="B221" s="114" t="s">
        <v>510</v>
      </c>
      <c r="C221" s="114"/>
      <c r="D221" s="115">
        <v>2015</v>
      </c>
      <c r="E221" s="116">
        <f t="shared" si="2"/>
        <v>12</v>
      </c>
      <c r="F221" s="116">
        <v>2842.4433310618065</v>
      </c>
      <c r="G221" s="116">
        <v>289.82706984832384</v>
      </c>
      <c r="H221" s="117">
        <v>5.8982018086112128E-2</v>
      </c>
    </row>
    <row r="222" spans="1:8" x14ac:dyDescent="0.2">
      <c r="A222" s="114"/>
      <c r="B222" s="114" t="s">
        <v>510</v>
      </c>
      <c r="C222" s="114"/>
      <c r="D222" s="115">
        <v>2025</v>
      </c>
      <c r="E222" s="116">
        <f t="shared" si="2"/>
        <v>12</v>
      </c>
      <c r="F222" s="116">
        <v>3366.1262171645503</v>
      </c>
      <c r="G222" s="116">
        <v>289.82706984832384</v>
      </c>
      <c r="H222" s="117">
        <v>6.8767941443075867E-2</v>
      </c>
    </row>
    <row r="223" spans="1:8" x14ac:dyDescent="0.2">
      <c r="A223" s="114"/>
      <c r="B223" s="114" t="s">
        <v>510</v>
      </c>
      <c r="C223" s="114"/>
      <c r="D223" s="115">
        <v>2040</v>
      </c>
      <c r="E223" s="116">
        <f t="shared" si="2"/>
        <v>12</v>
      </c>
      <c r="F223" s="116">
        <v>3060.1148417552386</v>
      </c>
      <c r="G223" s="116">
        <v>289.82706984832384</v>
      </c>
      <c r="H223" s="117">
        <v>6.8767941443075867E-2</v>
      </c>
    </row>
    <row r="225" spans="1:7" x14ac:dyDescent="0.2">
      <c r="A225" s="114" t="s">
        <v>1876</v>
      </c>
      <c r="B225" s="118"/>
      <c r="C225" s="118"/>
      <c r="D225" s="118"/>
      <c r="E225" s="118"/>
      <c r="F225" s="118"/>
      <c r="G225" s="118"/>
    </row>
    <row r="226" spans="1:7" x14ac:dyDescent="0.2">
      <c r="A226" s="114" t="s">
        <v>1877</v>
      </c>
      <c r="B226" s="118"/>
      <c r="C226" s="118"/>
      <c r="D226" s="118"/>
      <c r="E226" s="118"/>
      <c r="F226" s="118"/>
      <c r="G226" s="118"/>
    </row>
    <row r="227" spans="1:7" x14ac:dyDescent="0.2">
      <c r="A227" s="114"/>
      <c r="B227" s="118"/>
      <c r="C227" s="118"/>
      <c r="D227" s="118"/>
      <c r="E227" s="118"/>
      <c r="F227" s="118"/>
      <c r="G227" s="118"/>
    </row>
    <row r="229" spans="1:7" x14ac:dyDescent="0.2">
      <c r="A229" s="114" t="s">
        <v>1878</v>
      </c>
    </row>
    <row r="231" spans="1:7" x14ac:dyDescent="0.2">
      <c r="A231" s="146" t="s">
        <v>1879</v>
      </c>
      <c r="B231" s="145"/>
      <c r="C231" s="145"/>
      <c r="D231" s="145"/>
    </row>
  </sheetData>
  <pageMargins left="0.36" right="0.28000000000000003" top="0.75" bottom="0.75" header="0.3" footer="0.3"/>
  <pageSetup scale="23"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0" tint="-0.34998626667073579"/>
  </sheetPr>
  <dimension ref="A1:W65"/>
  <sheetViews>
    <sheetView workbookViewId="0">
      <selection activeCell="H59" sqref="H59"/>
    </sheetView>
  </sheetViews>
  <sheetFormatPr defaultColWidth="9.140625" defaultRowHeight="11.25" x14ac:dyDescent="0.2"/>
  <cols>
    <col min="1" max="1" width="9.140625" style="12"/>
    <col min="2" max="2" width="34.5703125" style="12" bestFit="1" customWidth="1"/>
    <col min="3" max="3" width="13.42578125" style="12" customWidth="1"/>
    <col min="4" max="4" width="6.85546875" style="12" customWidth="1"/>
    <col min="5" max="5" width="9.42578125" style="12" customWidth="1"/>
    <col min="6" max="6" width="6.5703125" style="12" customWidth="1"/>
    <col min="7" max="7" width="14" style="12" customWidth="1"/>
    <col min="8" max="8" width="14.140625" style="12" customWidth="1"/>
    <col min="9" max="9" width="12.140625" style="12" customWidth="1"/>
    <col min="10" max="17" width="9.140625" style="12" customWidth="1"/>
    <col min="18" max="19" width="9.140625" style="12"/>
    <col min="20" max="20" width="9.5703125" style="12" bestFit="1" customWidth="1"/>
    <col min="21" max="16384" width="9.140625" style="12"/>
  </cols>
  <sheetData>
    <row r="1" spans="1:23" x14ac:dyDescent="0.2">
      <c r="A1" s="129"/>
      <c r="B1" s="129" t="s">
        <v>1880</v>
      </c>
      <c r="C1" s="69"/>
      <c r="D1" s="69"/>
      <c r="E1" s="69"/>
      <c r="F1" s="69"/>
      <c r="G1" s="69"/>
      <c r="H1" s="69"/>
      <c r="I1" s="69"/>
      <c r="J1" s="69"/>
      <c r="K1" s="69"/>
      <c r="L1" s="69"/>
      <c r="M1" s="69"/>
      <c r="N1" s="69"/>
      <c r="O1" s="69"/>
      <c r="P1" s="69"/>
      <c r="Q1" s="69"/>
    </row>
    <row r="2" spans="1:23" x14ac:dyDescent="0.2">
      <c r="A2" s="12" t="s">
        <v>1881</v>
      </c>
    </row>
    <row r="4" spans="1:23" x14ac:dyDescent="0.2">
      <c r="B4" s="12" t="s">
        <v>1564</v>
      </c>
      <c r="D4" s="12" t="s">
        <v>1565</v>
      </c>
      <c r="E4" s="12" t="s">
        <v>1566</v>
      </c>
      <c r="G4" s="12" t="s">
        <v>476</v>
      </c>
      <c r="H4" s="12" t="s">
        <v>477</v>
      </c>
      <c r="I4" s="12" t="s">
        <v>475</v>
      </c>
    </row>
    <row r="5" spans="1:23" x14ac:dyDescent="0.2">
      <c r="B5" s="12" t="s">
        <v>710</v>
      </c>
      <c r="C5" s="12" t="s">
        <v>497</v>
      </c>
      <c r="D5" s="12" t="s">
        <v>1567</v>
      </c>
      <c r="E5" s="12" t="s">
        <v>1214</v>
      </c>
      <c r="F5" s="12" t="s">
        <v>474</v>
      </c>
      <c r="G5" s="1203" t="s">
        <v>1882</v>
      </c>
      <c r="H5" s="1203" t="s">
        <v>1882</v>
      </c>
      <c r="I5" s="12" t="s">
        <v>1787</v>
      </c>
    </row>
    <row r="6" spans="1:23" x14ac:dyDescent="0.2">
      <c r="G6" s="1203"/>
      <c r="H6" s="1203"/>
      <c r="L6" s="12">
        <v>2010</v>
      </c>
      <c r="M6" s="12">
        <v>2015</v>
      </c>
      <c r="N6" s="12">
        <v>2025</v>
      </c>
      <c r="O6" s="12">
        <v>2040</v>
      </c>
      <c r="T6" s="12">
        <v>2010</v>
      </c>
      <c r="U6" s="12">
        <v>2015</v>
      </c>
      <c r="V6" s="12">
        <v>2025</v>
      </c>
      <c r="W6" s="12">
        <v>2040</v>
      </c>
    </row>
    <row r="7" spans="1:23" x14ac:dyDescent="0.2">
      <c r="A7" s="12" t="str">
        <f>Technologies!C57</f>
        <v>TBDSLE</v>
      </c>
      <c r="B7" s="27" t="s">
        <v>1510</v>
      </c>
      <c r="C7" s="27" t="s">
        <v>922</v>
      </c>
      <c r="D7" s="27"/>
      <c r="E7" s="15">
        <v>2005</v>
      </c>
      <c r="F7" s="15">
        <v>12</v>
      </c>
      <c r="G7" s="27"/>
      <c r="H7" s="15">
        <f>H10</f>
        <v>555.05381199668852</v>
      </c>
      <c r="I7" s="27">
        <f>I10*1.1</f>
        <v>3.497096288537007E-2</v>
      </c>
      <c r="K7" s="12" t="s">
        <v>922</v>
      </c>
      <c r="L7" s="78">
        <f>I10</f>
        <v>3.1791784441245516E-2</v>
      </c>
      <c r="M7" s="78">
        <f>I11</f>
        <v>3.348888211310911E-2</v>
      </c>
      <c r="N7" s="78">
        <f>I12</f>
        <v>3.4986321235341691E-2</v>
      </c>
      <c r="O7" s="78">
        <f>I13</f>
        <v>3.9094679852749017E-2</v>
      </c>
      <c r="S7" s="12" t="s">
        <v>922</v>
      </c>
      <c r="T7" s="15">
        <f>G10</f>
        <v>10426.65660557352</v>
      </c>
      <c r="U7" s="15">
        <f>G11</f>
        <v>10488.438715335413</v>
      </c>
      <c r="V7" s="15">
        <f>G12</f>
        <v>10598.809880170465</v>
      </c>
      <c r="W7" s="15">
        <f>G13</f>
        <v>10912.547156305081</v>
      </c>
    </row>
    <row r="8" spans="1:23" x14ac:dyDescent="0.2">
      <c r="A8" s="12" t="str">
        <f>Technologies!C58</f>
        <v>TBGSLE</v>
      </c>
      <c r="B8" s="27" t="s">
        <v>1883</v>
      </c>
      <c r="C8" s="27" t="s">
        <v>1321</v>
      </c>
      <c r="D8" s="27"/>
      <c r="E8" s="15">
        <v>2005</v>
      </c>
      <c r="F8" s="15">
        <v>12</v>
      </c>
      <c r="G8" s="15">
        <f>G10</f>
        <v>10426.65660557352</v>
      </c>
      <c r="H8" s="15">
        <f>H10</f>
        <v>555.05381199668852</v>
      </c>
      <c r="I8" s="27">
        <f>I7*1.08</f>
        <v>3.7768639916199678E-2</v>
      </c>
      <c r="K8" s="12" t="s">
        <v>1801</v>
      </c>
      <c r="M8" s="78">
        <f>I14</f>
        <v>3.7727786705275178E-2</v>
      </c>
      <c r="N8" s="78">
        <f>I15</f>
        <v>3.9094679852749017E-2</v>
      </c>
      <c r="O8" s="78">
        <f>I16</f>
        <v>3.9355771802266494E-2</v>
      </c>
      <c r="S8" s="12" t="s">
        <v>1801</v>
      </c>
      <c r="T8" s="15"/>
      <c r="U8" s="15">
        <f>G14</f>
        <v>10807.968064260209</v>
      </c>
      <c r="V8" s="15">
        <f>G15</f>
        <v>10912.547156305081</v>
      </c>
      <c r="W8" s="15">
        <f>G16</f>
        <v>11236.002243454332</v>
      </c>
    </row>
    <row r="9" spans="1:23" x14ac:dyDescent="0.2">
      <c r="A9" s="12" t="str">
        <f>Technologies!C59</f>
        <v>TBCNGE</v>
      </c>
      <c r="B9" s="27" t="s">
        <v>481</v>
      </c>
      <c r="C9" s="27" t="s">
        <v>501</v>
      </c>
      <c r="D9" s="27"/>
      <c r="E9" s="15">
        <v>2005</v>
      </c>
      <c r="F9" s="15">
        <v>12</v>
      </c>
      <c r="G9" s="15"/>
      <c r="H9" s="15">
        <f>H30</f>
        <v>639.72303755550536</v>
      </c>
      <c r="I9" s="27">
        <f>I30*1.1</f>
        <v>2.9733765545048953E-2</v>
      </c>
      <c r="K9" s="12" t="s">
        <v>1318</v>
      </c>
      <c r="L9" s="78">
        <f>I20</f>
        <v>3.1770686560191462E-2</v>
      </c>
      <c r="M9" s="78">
        <f>I21</f>
        <v>3.3466657992510862E-2</v>
      </c>
      <c r="N9" s="78">
        <f>I22</f>
        <v>3.496310337396915E-2</v>
      </c>
      <c r="O9" s="78">
        <f>I23</f>
        <v>3.906873557438037E-2</v>
      </c>
      <c r="S9" s="12" t="s">
        <v>1318</v>
      </c>
      <c r="T9" s="15">
        <f>G20</f>
        <v>10426.65660557352</v>
      </c>
      <c r="U9" s="15">
        <f>G21</f>
        <v>10488.438715335413</v>
      </c>
      <c r="V9" s="15">
        <f>G22</f>
        <v>10749.403772715079</v>
      </c>
      <c r="W9" s="15">
        <f>G23</f>
        <v>11404.873343470175</v>
      </c>
    </row>
    <row r="10" spans="1:23" x14ac:dyDescent="0.2">
      <c r="A10" s="12" t="e">
        <f>Technologies!#REF!</f>
        <v>#REF!</v>
      </c>
      <c r="B10" s="87" t="s">
        <v>1884</v>
      </c>
      <c r="C10" s="12" t="s">
        <v>922</v>
      </c>
      <c r="E10" s="15">
        <v>2010</v>
      </c>
      <c r="F10" s="33">
        <v>12</v>
      </c>
      <c r="G10" s="33">
        <v>10426.65660557352</v>
      </c>
      <c r="H10" s="33">
        <v>555.05381199668852</v>
      </c>
      <c r="I10" s="78">
        <v>3.1791784441245516E-2</v>
      </c>
      <c r="J10" s="78"/>
      <c r="K10" s="12" t="s">
        <v>501</v>
      </c>
      <c r="L10" s="78">
        <f>I30</f>
        <v>2.7030695950044502E-2</v>
      </c>
      <c r="M10" s="78">
        <f>I31</f>
        <v>2.8412947447489963E-2</v>
      </c>
      <c r="N10" s="78">
        <f>I32</f>
        <v>2.9718407195077338E-2</v>
      </c>
      <c r="O10" s="78">
        <f>I33</f>
        <v>3.1231204667281531E-2</v>
      </c>
      <c r="S10" s="12" t="s">
        <v>501</v>
      </c>
      <c r="T10" s="15">
        <f>G30</f>
        <v>12020.946606425739</v>
      </c>
      <c r="U10" s="15">
        <f>G31</f>
        <v>12033.045602920778</v>
      </c>
      <c r="V10" s="15">
        <f>G32</f>
        <v>12046.850043070701</v>
      </c>
      <c r="W10" s="15">
        <f>G33</f>
        <v>12573.413816062179</v>
      </c>
    </row>
    <row r="11" spans="1:23" x14ac:dyDescent="0.2">
      <c r="A11" s="12" t="str">
        <f>Technologies!C61</f>
        <v>TBDSLC</v>
      </c>
      <c r="B11" s="87" t="s">
        <v>1885</v>
      </c>
      <c r="C11" s="12" t="s">
        <v>922</v>
      </c>
      <c r="E11" s="15">
        <v>2015</v>
      </c>
      <c r="F11" s="33">
        <v>12</v>
      </c>
      <c r="G11" s="33">
        <v>10488.438715335413</v>
      </c>
      <c r="H11" s="33">
        <v>555.05381199668852</v>
      </c>
      <c r="I11" s="78">
        <v>3.348888211310911E-2</v>
      </c>
      <c r="J11" s="78"/>
      <c r="K11" s="12" t="s">
        <v>1886</v>
      </c>
      <c r="M11" s="78">
        <f>I34</f>
        <v>3.022523274414067E-2</v>
      </c>
      <c r="N11" s="78">
        <f>I35</f>
        <v>3.0839566743005316E-2</v>
      </c>
      <c r="O11" s="78">
        <f>I36</f>
        <v>3.1231204667281531E-2</v>
      </c>
      <c r="S11" s="12" t="s">
        <v>1886</v>
      </c>
      <c r="T11" s="15"/>
      <c r="U11" s="15">
        <f>G34</f>
        <v>12097.884639988599</v>
      </c>
      <c r="V11" s="15">
        <f>G35</f>
        <v>12081.087628897085</v>
      </c>
      <c r="W11" s="15">
        <f>G36</f>
        <v>12404.542716046335</v>
      </c>
    </row>
    <row r="12" spans="1:23" x14ac:dyDescent="0.2">
      <c r="B12" s="87"/>
      <c r="C12" s="12" t="s">
        <v>922</v>
      </c>
      <c r="E12" s="15">
        <v>2020</v>
      </c>
      <c r="F12" s="33">
        <v>12</v>
      </c>
      <c r="G12" s="33">
        <v>10598.809880170465</v>
      </c>
      <c r="H12" s="33">
        <v>555.05381199668852</v>
      </c>
      <c r="I12" s="78">
        <v>3.4986321235341691E-2</v>
      </c>
      <c r="J12" s="78"/>
      <c r="K12" s="12" t="s">
        <v>508</v>
      </c>
      <c r="L12" s="78">
        <f>I40</f>
        <v>2.7477593548993765E-2</v>
      </c>
      <c r="M12" s="78">
        <f>I41</f>
        <v>2.7477593548993765E-2</v>
      </c>
      <c r="N12" s="78">
        <f>I42</f>
        <v>2.7477593548993765E-2</v>
      </c>
      <c r="O12" s="78">
        <f>I43</f>
        <v>2.7477593548993765E-2</v>
      </c>
      <c r="S12" s="12" t="s">
        <v>508</v>
      </c>
      <c r="T12" s="15">
        <f>G40</f>
        <v>63771.600034088806</v>
      </c>
      <c r="U12" s="15">
        <f>G41</f>
        <v>51017.280027271045</v>
      </c>
      <c r="V12" s="15">
        <f>G42</f>
        <v>31885.800017044403</v>
      </c>
      <c r="W12" s="15">
        <f>G43</f>
        <v>19131.480010226642</v>
      </c>
    </row>
    <row r="13" spans="1:23" x14ac:dyDescent="0.2">
      <c r="A13" s="12" t="str">
        <f>Technologies!C62</f>
        <v>TBDSLIM</v>
      </c>
      <c r="B13" s="87" t="s">
        <v>216</v>
      </c>
      <c r="C13" s="12" t="s">
        <v>922</v>
      </c>
      <c r="E13" s="15">
        <v>2040</v>
      </c>
      <c r="F13" s="33">
        <v>12</v>
      </c>
      <c r="G13" s="33">
        <v>10912.547156305081</v>
      </c>
      <c r="H13" s="33">
        <v>555.05381199668852</v>
      </c>
      <c r="I13" s="78">
        <v>3.9094679852749017E-2</v>
      </c>
      <c r="J13" s="78"/>
      <c r="K13" s="12" t="s">
        <v>1887</v>
      </c>
      <c r="L13" s="78">
        <f>I44</f>
        <v>4.9930712849028683E-2</v>
      </c>
      <c r="M13" s="78">
        <f>I45</f>
        <v>4.9930712849028683E-2</v>
      </c>
      <c r="N13" s="78">
        <f>I46</f>
        <v>4.9930712849028683E-2</v>
      </c>
      <c r="O13" s="78">
        <f>I47</f>
        <v>4.9930712849028683E-2</v>
      </c>
      <c r="S13" s="12" t="s">
        <v>1887</v>
      </c>
      <c r="T13" s="15">
        <f>G44</f>
        <v>63771.600034088806</v>
      </c>
      <c r="U13" s="15">
        <f>G45</f>
        <v>51017.280027271045</v>
      </c>
      <c r="V13" s="15">
        <f>G46</f>
        <v>31885.800017044403</v>
      </c>
      <c r="W13" s="15">
        <f>G47</f>
        <v>19131.480010226642</v>
      </c>
    </row>
    <row r="14" spans="1:23" x14ac:dyDescent="0.2">
      <c r="A14" s="12" t="str">
        <f>Technologies!C63</f>
        <v>TBDSLADV</v>
      </c>
      <c r="B14" s="87" t="s">
        <v>1888</v>
      </c>
      <c r="C14" s="12" t="s">
        <v>922</v>
      </c>
      <c r="E14" s="15">
        <v>2015</v>
      </c>
      <c r="F14" s="33">
        <v>12</v>
      </c>
      <c r="G14" s="33">
        <v>10807.968064260209</v>
      </c>
      <c r="H14" s="33">
        <v>555.05381199668852</v>
      </c>
      <c r="I14" s="78">
        <v>3.7727786705275178E-2</v>
      </c>
    </row>
    <row r="15" spans="1:23" x14ac:dyDescent="0.2">
      <c r="B15" s="87"/>
      <c r="C15" s="12" t="s">
        <v>922</v>
      </c>
      <c r="E15" s="15">
        <v>2025</v>
      </c>
      <c r="F15" s="33">
        <v>12</v>
      </c>
      <c r="G15" s="33">
        <v>10912.547156305081</v>
      </c>
      <c r="H15" s="33">
        <v>555.05381199668852</v>
      </c>
      <c r="I15" s="78">
        <v>3.9094679852749017E-2</v>
      </c>
    </row>
    <row r="16" spans="1:23" x14ac:dyDescent="0.2">
      <c r="B16" s="87"/>
      <c r="C16" s="12" t="s">
        <v>922</v>
      </c>
      <c r="E16" s="15">
        <v>2040</v>
      </c>
      <c r="F16" s="33">
        <v>12</v>
      </c>
      <c r="G16" s="33">
        <v>11236.002243454332</v>
      </c>
      <c r="H16" s="33">
        <v>555.05381199668852</v>
      </c>
      <c r="I16" s="78">
        <v>3.9355771802266494E-2</v>
      </c>
    </row>
    <row r="17" spans="1:9" x14ac:dyDescent="0.2">
      <c r="A17" s="12" t="str">
        <f>Technologies!C64</f>
        <v>TBDSLAH</v>
      </c>
      <c r="B17" s="87" t="s">
        <v>1889</v>
      </c>
      <c r="C17" s="12" t="s">
        <v>922</v>
      </c>
      <c r="E17" s="15">
        <v>2015</v>
      </c>
      <c r="F17" s="33">
        <v>12</v>
      </c>
      <c r="G17" s="33">
        <v>17887.168141143909</v>
      </c>
      <c r="H17" s="33">
        <v>564.46150372544582</v>
      </c>
      <c r="I17" s="78">
        <v>5.3892450050401219E-2</v>
      </c>
    </row>
    <row r="18" spans="1:9" x14ac:dyDescent="0.2">
      <c r="B18" s="87"/>
      <c r="C18" s="12" t="s">
        <v>922</v>
      </c>
      <c r="E18" s="15">
        <v>2025</v>
      </c>
      <c r="F18" s="33">
        <v>12</v>
      </c>
      <c r="G18" s="33">
        <v>15563.581606817675</v>
      </c>
      <c r="H18" s="33">
        <v>564.46150372544582</v>
      </c>
      <c r="I18" s="78">
        <v>5.5850639671782283E-2</v>
      </c>
    </row>
    <row r="19" spans="1:9" x14ac:dyDescent="0.2">
      <c r="B19" s="87"/>
      <c r="C19" s="12" t="s">
        <v>922</v>
      </c>
      <c r="E19" s="15">
        <v>2040</v>
      </c>
      <c r="F19" s="33">
        <v>12</v>
      </c>
      <c r="G19" s="33">
        <v>15887.036693966924</v>
      </c>
      <c r="H19" s="33">
        <v>564.46150372544582</v>
      </c>
      <c r="I19" s="78">
        <v>5.6557123770476642E-2</v>
      </c>
    </row>
    <row r="20" spans="1:9" x14ac:dyDescent="0.2">
      <c r="A20" s="12" t="e">
        <f>Technologies!#REF!</f>
        <v>#REF!</v>
      </c>
      <c r="B20" s="12" t="s">
        <v>1890</v>
      </c>
      <c r="C20" s="12" t="s">
        <v>1318</v>
      </c>
      <c r="E20" s="15">
        <v>2010</v>
      </c>
      <c r="F20" s="33">
        <v>12</v>
      </c>
      <c r="G20" s="33">
        <v>10426.65660557352</v>
      </c>
      <c r="H20" s="33">
        <v>524.22213355219355</v>
      </c>
      <c r="I20" s="78">
        <v>3.1770686560191462E-2</v>
      </c>
    </row>
    <row r="21" spans="1:9" x14ac:dyDescent="0.2">
      <c r="A21" s="12" t="str">
        <f>Technologies!C66</f>
        <v>TBB20C</v>
      </c>
      <c r="B21" s="12" t="s">
        <v>1891</v>
      </c>
      <c r="C21" s="12" t="s">
        <v>1318</v>
      </c>
      <c r="E21" s="15">
        <v>2015</v>
      </c>
      <c r="F21" s="33">
        <v>12</v>
      </c>
      <c r="G21" s="33">
        <v>10488.438715335413</v>
      </c>
      <c r="H21" s="33">
        <v>524.22213355219355</v>
      </c>
      <c r="I21" s="78">
        <v>3.3466657992510862E-2</v>
      </c>
    </row>
    <row r="22" spans="1:9" x14ac:dyDescent="0.2">
      <c r="C22" s="12" t="s">
        <v>1318</v>
      </c>
      <c r="E22" s="15">
        <v>2020</v>
      </c>
      <c r="F22" s="33">
        <v>12</v>
      </c>
      <c r="G22" s="33">
        <v>10749.403772715079</v>
      </c>
      <c r="H22" s="33">
        <v>524.22213355219355</v>
      </c>
      <c r="I22" s="78">
        <v>3.496310337396915E-2</v>
      </c>
    </row>
    <row r="23" spans="1:9" x14ac:dyDescent="0.2">
      <c r="A23" s="12" t="str">
        <f>Technologies!C67</f>
        <v>TBB20IM</v>
      </c>
      <c r="B23" s="12" t="s">
        <v>1892</v>
      </c>
      <c r="C23" s="12" t="s">
        <v>1318</v>
      </c>
      <c r="E23" s="15">
        <v>2040</v>
      </c>
      <c r="F23" s="33">
        <v>12</v>
      </c>
      <c r="G23" s="33">
        <v>11404.873343470175</v>
      </c>
      <c r="H23" s="33">
        <v>524.22213355219355</v>
      </c>
      <c r="I23" s="78">
        <v>3.906873557438037E-2</v>
      </c>
    </row>
    <row r="24" spans="1:9" x14ac:dyDescent="0.2">
      <c r="A24" s="12" t="str">
        <f>Technologies!C68</f>
        <v>TBB20ADV</v>
      </c>
      <c r="B24" s="87" t="s">
        <v>1893</v>
      </c>
      <c r="C24" s="12" t="s">
        <v>1318</v>
      </c>
      <c r="E24" s="15">
        <v>2015</v>
      </c>
      <c r="F24" s="33">
        <v>12</v>
      </c>
      <c r="G24" s="33">
        <v>10807.968064260209</v>
      </c>
      <c r="H24" s="33">
        <v>524.22213355219355</v>
      </c>
      <c r="I24" s="78">
        <v>3.7700577129058895E-2</v>
      </c>
    </row>
    <row r="25" spans="1:9" x14ac:dyDescent="0.2">
      <c r="B25" s="87"/>
      <c r="C25" s="12" t="s">
        <v>1318</v>
      </c>
      <c r="E25" s="15">
        <v>2025</v>
      </c>
      <c r="F25" s="33">
        <v>12</v>
      </c>
      <c r="G25" s="33">
        <v>10912.547156305081</v>
      </c>
      <c r="H25" s="33">
        <v>524.22213355219355</v>
      </c>
      <c r="I25" s="78">
        <v>3.9067955574154302E-2</v>
      </c>
    </row>
    <row r="26" spans="1:9" x14ac:dyDescent="0.2">
      <c r="B26" s="87"/>
      <c r="C26" s="12" t="s">
        <v>1318</v>
      </c>
      <c r="E26" s="15">
        <v>2040</v>
      </c>
      <c r="F26" s="33">
        <v>12</v>
      </c>
      <c r="G26" s="33">
        <v>11236.005461272549</v>
      </c>
      <c r="H26" s="33">
        <v>524.22213355219355</v>
      </c>
      <c r="I26" s="78">
        <v>3.956248665737145E-2</v>
      </c>
    </row>
    <row r="27" spans="1:9" x14ac:dyDescent="0.2">
      <c r="A27" s="12" t="str">
        <f>Technologies!C69</f>
        <v>TBB20AH</v>
      </c>
      <c r="B27" s="87" t="s">
        <v>1894</v>
      </c>
      <c r="C27" s="12" t="s">
        <v>1318</v>
      </c>
      <c r="E27" s="15">
        <v>2015</v>
      </c>
      <c r="F27" s="33">
        <v>12</v>
      </c>
      <c r="G27" s="33">
        <v>17887.168141143909</v>
      </c>
      <c r="H27" s="33">
        <v>564.46150372544582</v>
      </c>
      <c r="I27" s="78">
        <v>5.3857967327227002E-2</v>
      </c>
    </row>
    <row r="28" spans="1:9" x14ac:dyDescent="0.2">
      <c r="B28" s="87"/>
      <c r="C28" s="12" t="s">
        <v>1318</v>
      </c>
      <c r="E28" s="15">
        <v>2025</v>
      </c>
      <c r="F28" s="33">
        <v>12</v>
      </c>
      <c r="G28" s="33">
        <v>15563.581606817675</v>
      </c>
      <c r="H28" s="33">
        <v>564.46150372544582</v>
      </c>
      <c r="I28" s="78">
        <v>5.5811365105934721E-2</v>
      </c>
    </row>
    <row r="29" spans="1:9" x14ac:dyDescent="0.2">
      <c r="B29" s="87"/>
      <c r="C29" s="12" t="s">
        <v>1318</v>
      </c>
      <c r="E29" s="15">
        <v>2040</v>
      </c>
      <c r="F29" s="33">
        <v>12</v>
      </c>
      <c r="G29" s="33">
        <v>15887.039911785143</v>
      </c>
      <c r="H29" s="33">
        <v>564.46150372544582</v>
      </c>
      <c r="I29" s="78">
        <v>5.6517838081959204E-2</v>
      </c>
    </row>
    <row r="30" spans="1:9" x14ac:dyDescent="0.2">
      <c r="A30" s="81" t="e">
        <f>Technologies!#REF!</f>
        <v>#REF!</v>
      </c>
      <c r="B30" s="81" t="s">
        <v>1895</v>
      </c>
      <c r="C30" s="12" t="s">
        <v>501</v>
      </c>
      <c r="E30" s="15">
        <v>2010</v>
      </c>
      <c r="F30" s="33">
        <v>12</v>
      </c>
      <c r="G30" s="33">
        <v>12020.946606425739</v>
      </c>
      <c r="H30" s="33">
        <v>639.72303755550536</v>
      </c>
      <c r="I30" s="78">
        <v>2.7030695950044502E-2</v>
      </c>
    </row>
    <row r="31" spans="1:9" x14ac:dyDescent="0.2">
      <c r="A31" s="12" t="str">
        <f>Technologies!C71</f>
        <v>TBCNGC</v>
      </c>
      <c r="B31" s="12" t="s">
        <v>1896</v>
      </c>
      <c r="C31" s="12" t="s">
        <v>501</v>
      </c>
      <c r="E31" s="15">
        <v>2015</v>
      </c>
      <c r="F31" s="33">
        <v>12</v>
      </c>
      <c r="G31" s="33">
        <v>12033.045602920778</v>
      </c>
      <c r="H31" s="33">
        <v>639.72303755550536</v>
      </c>
      <c r="I31" s="78">
        <v>2.8412947447489963E-2</v>
      </c>
    </row>
    <row r="32" spans="1:9" x14ac:dyDescent="0.2">
      <c r="C32" s="12" t="s">
        <v>501</v>
      </c>
      <c r="E32" s="15">
        <v>2020</v>
      </c>
      <c r="F32" s="33">
        <v>12</v>
      </c>
      <c r="G32" s="33">
        <v>12046.850043070701</v>
      </c>
      <c r="H32" s="33">
        <v>639.72303755550536</v>
      </c>
      <c r="I32" s="78">
        <v>2.9718407195077338E-2</v>
      </c>
    </row>
    <row r="33" spans="1:9" x14ac:dyDescent="0.2">
      <c r="A33" s="12" t="str">
        <f>Technologies!C72</f>
        <v>TBCNGIM</v>
      </c>
      <c r="B33" s="12" t="s">
        <v>230</v>
      </c>
      <c r="C33" s="12" t="s">
        <v>501</v>
      </c>
      <c r="E33" s="15">
        <v>2040</v>
      </c>
      <c r="F33" s="33">
        <v>12</v>
      </c>
      <c r="G33" s="33">
        <v>12573.413816062179</v>
      </c>
      <c r="H33" s="33">
        <v>639.72303755550536</v>
      </c>
      <c r="I33" s="78">
        <v>3.1231204667281531E-2</v>
      </c>
    </row>
    <row r="34" spans="1:9" x14ac:dyDescent="0.2">
      <c r="A34" s="12" t="str">
        <f>Technologies!C73</f>
        <v>TBCNGADV</v>
      </c>
      <c r="B34" s="12" t="s">
        <v>1897</v>
      </c>
      <c r="C34" s="12" t="s">
        <v>501</v>
      </c>
      <c r="E34" s="15">
        <v>2015</v>
      </c>
      <c r="F34" s="33">
        <v>12</v>
      </c>
      <c r="G34" s="33">
        <v>12097.884639988599</v>
      </c>
      <c r="H34" s="33">
        <v>639.72303755550536</v>
      </c>
      <c r="I34" s="78">
        <v>3.022523274414067E-2</v>
      </c>
    </row>
    <row r="35" spans="1:9" x14ac:dyDescent="0.2">
      <c r="C35" s="12" t="s">
        <v>501</v>
      </c>
      <c r="E35" s="15">
        <v>2025</v>
      </c>
      <c r="F35" s="33">
        <v>12</v>
      </c>
      <c r="G35" s="33">
        <v>12081.087628897085</v>
      </c>
      <c r="H35" s="33">
        <v>639.72303755550536</v>
      </c>
      <c r="I35" s="78">
        <v>3.0839566743005316E-2</v>
      </c>
    </row>
    <row r="36" spans="1:9" x14ac:dyDescent="0.2">
      <c r="C36" s="12" t="s">
        <v>501</v>
      </c>
      <c r="E36" s="15">
        <v>2040</v>
      </c>
      <c r="F36" s="33">
        <v>12</v>
      </c>
      <c r="G36" s="33">
        <v>12404.542716046335</v>
      </c>
      <c r="H36" s="33">
        <v>639.72303755550536</v>
      </c>
      <c r="I36" s="78">
        <v>3.1231204667281531E-2</v>
      </c>
    </row>
    <row r="37" spans="1:9" x14ac:dyDescent="0.2">
      <c r="A37" s="12" t="str">
        <f>Technologies!C74</f>
        <v>TBCNGAH</v>
      </c>
      <c r="B37" s="12" t="s">
        <v>1898</v>
      </c>
      <c r="C37" s="12" t="s">
        <v>501</v>
      </c>
      <c r="E37" s="15">
        <v>2015</v>
      </c>
      <c r="F37" s="33">
        <v>12</v>
      </c>
      <c r="G37" s="33">
        <v>18533.521073519238</v>
      </c>
      <c r="H37" s="33">
        <v>649.13072928426288</v>
      </c>
      <c r="I37" s="78">
        <v>4.0300310325520894E-2</v>
      </c>
    </row>
    <row r="38" spans="1:9" x14ac:dyDescent="0.2">
      <c r="C38" s="12" t="s">
        <v>501</v>
      </c>
      <c r="E38" s="15">
        <v>2025</v>
      </c>
      <c r="F38" s="33">
        <v>12</v>
      </c>
      <c r="G38" s="33">
        <v>16309.300765726714</v>
      </c>
      <c r="H38" s="33">
        <v>649.13072928426288</v>
      </c>
      <c r="I38" s="78">
        <v>4.1121982049002359E-2</v>
      </c>
    </row>
    <row r="39" spans="1:9" x14ac:dyDescent="0.2">
      <c r="C39" s="12" t="s">
        <v>501</v>
      </c>
      <c r="E39" s="15">
        <v>2040</v>
      </c>
      <c r="F39" s="33">
        <v>12</v>
      </c>
      <c r="G39" s="33">
        <v>16632.755852875962</v>
      </c>
      <c r="H39" s="33">
        <v>649.13072928426288</v>
      </c>
      <c r="I39" s="78">
        <v>4.1644165948037312E-2</v>
      </c>
    </row>
    <row r="40" spans="1:9" x14ac:dyDescent="0.2">
      <c r="A40" s="12" t="str">
        <f>Technologies!C75</f>
        <v>TBH2FC</v>
      </c>
      <c r="B40" s="12" t="s">
        <v>1899</v>
      </c>
      <c r="C40" s="12" t="s">
        <v>1808</v>
      </c>
      <c r="E40" s="15">
        <v>2010</v>
      </c>
      <c r="F40" s="33">
        <v>12</v>
      </c>
      <c r="G40" s="33">
        <v>63771.600034088806</v>
      </c>
      <c r="H40" s="33">
        <v>1317.0768420260404</v>
      </c>
      <c r="I40" s="78">
        <v>2.7477593548993765E-2</v>
      </c>
    </row>
    <row r="41" spans="1:9" x14ac:dyDescent="0.2">
      <c r="C41" s="12" t="s">
        <v>1808</v>
      </c>
      <c r="E41" s="15">
        <v>2015</v>
      </c>
      <c r="F41" s="33">
        <v>12</v>
      </c>
      <c r="G41" s="33">
        <v>51017.280027271045</v>
      </c>
      <c r="H41" s="33">
        <v>1317.0768420260404</v>
      </c>
      <c r="I41" s="78">
        <v>2.7477593548993765E-2</v>
      </c>
    </row>
    <row r="42" spans="1:9" x14ac:dyDescent="0.2">
      <c r="C42" s="12" t="s">
        <v>1808</v>
      </c>
      <c r="E42" s="15">
        <v>2025</v>
      </c>
      <c r="F42" s="33">
        <v>12</v>
      </c>
      <c r="G42" s="33">
        <v>31885.800017044403</v>
      </c>
      <c r="H42" s="33">
        <v>1317.0768420260404</v>
      </c>
      <c r="I42" s="78">
        <v>2.7477593548993765E-2</v>
      </c>
    </row>
    <row r="43" spans="1:9" x14ac:dyDescent="0.2">
      <c r="C43" s="12" t="s">
        <v>1808</v>
      </c>
      <c r="E43" s="15">
        <v>2040</v>
      </c>
      <c r="F43" s="33">
        <v>12</v>
      </c>
      <c r="G43" s="33">
        <v>19131.480010226642</v>
      </c>
      <c r="H43" s="33">
        <v>1317.0768420260404</v>
      </c>
      <c r="I43" s="78">
        <v>2.7477593548993765E-2</v>
      </c>
    </row>
    <row r="44" spans="1:9" x14ac:dyDescent="0.2">
      <c r="A44" s="12" t="str">
        <f>Technologies!C76</f>
        <v>TBH2HYB</v>
      </c>
      <c r="B44" s="12" t="s">
        <v>1900</v>
      </c>
      <c r="C44" s="12" t="s">
        <v>1808</v>
      </c>
      <c r="E44" s="15">
        <v>2010</v>
      </c>
      <c r="F44" s="33">
        <v>12</v>
      </c>
      <c r="G44" s="33">
        <v>63771.600034088806</v>
      </c>
      <c r="H44" s="33">
        <v>1317.0768420260404</v>
      </c>
      <c r="I44" s="78">
        <v>4.9930712849028683E-2</v>
      </c>
    </row>
    <row r="45" spans="1:9" x14ac:dyDescent="0.2">
      <c r="C45" s="12" t="s">
        <v>1808</v>
      </c>
      <c r="E45" s="15">
        <v>2015</v>
      </c>
      <c r="F45" s="33">
        <v>12</v>
      </c>
      <c r="G45" s="33">
        <v>51017.280027271045</v>
      </c>
      <c r="H45" s="33">
        <v>1317.0768420260404</v>
      </c>
      <c r="I45" s="78">
        <v>4.9930712849028683E-2</v>
      </c>
    </row>
    <row r="46" spans="1:9" x14ac:dyDescent="0.2">
      <c r="C46" s="12" t="s">
        <v>1808</v>
      </c>
      <c r="E46" s="15">
        <v>2025</v>
      </c>
      <c r="F46" s="33">
        <v>12</v>
      </c>
      <c r="G46" s="33">
        <v>31885.800017044403</v>
      </c>
      <c r="H46" s="33">
        <v>1317.0768420260404</v>
      </c>
      <c r="I46" s="78">
        <v>4.9930712849028683E-2</v>
      </c>
    </row>
    <row r="47" spans="1:9" x14ac:dyDescent="0.2">
      <c r="C47" s="12" t="s">
        <v>1808</v>
      </c>
      <c r="E47" s="15">
        <v>2040</v>
      </c>
      <c r="F47" s="33">
        <v>12</v>
      </c>
      <c r="G47" s="33">
        <v>19131.480010226642</v>
      </c>
      <c r="H47" s="33">
        <v>1317.0768420260404</v>
      </c>
      <c r="I47" s="78">
        <v>4.9930712849028683E-2</v>
      </c>
    </row>
    <row r="49" spans="1:8" x14ac:dyDescent="0.2">
      <c r="B49" s="87" t="s">
        <v>1901</v>
      </c>
    </row>
    <row r="50" spans="1:8" x14ac:dyDescent="0.2">
      <c r="B50" s="81" t="s">
        <v>1902</v>
      </c>
      <c r="C50" s="81"/>
      <c r="D50" s="81"/>
      <c r="E50" s="81"/>
      <c r="F50" s="81"/>
    </row>
    <row r="52" spans="1:8" x14ac:dyDescent="0.2">
      <c r="B52" s="12" t="s">
        <v>1903</v>
      </c>
    </row>
    <row r="55" spans="1:8" x14ac:dyDescent="0.2">
      <c r="A55" s="29" t="s">
        <v>1354</v>
      </c>
      <c r="B55" s="26"/>
      <c r="C55" s="28" t="s">
        <v>1904</v>
      </c>
      <c r="D55" s="28"/>
      <c r="E55" s="28" t="s">
        <v>474</v>
      </c>
      <c r="F55" s="28" t="s">
        <v>476</v>
      </c>
      <c r="G55" s="28" t="s">
        <v>477</v>
      </c>
      <c r="H55" s="28" t="s">
        <v>475</v>
      </c>
    </row>
    <row r="56" spans="1:8" x14ac:dyDescent="0.2">
      <c r="A56" s="126" t="s">
        <v>1905</v>
      </c>
      <c r="B56" s="126"/>
      <c r="C56" s="30"/>
      <c r="D56" s="30"/>
      <c r="E56" s="28"/>
      <c r="F56" s="30" t="s">
        <v>1906</v>
      </c>
      <c r="G56" s="30" t="s">
        <v>1906</v>
      </c>
      <c r="H56" s="30" t="s">
        <v>1907</v>
      </c>
    </row>
    <row r="57" spans="1:8" x14ac:dyDescent="0.2">
      <c r="A57" s="126" t="s">
        <v>1908</v>
      </c>
      <c r="B57" s="126"/>
      <c r="C57" s="30"/>
      <c r="D57" s="30"/>
      <c r="E57" s="28"/>
    </row>
    <row r="58" spans="1:8" x14ac:dyDescent="0.2">
      <c r="A58" s="126" t="s">
        <v>1909</v>
      </c>
      <c r="B58" s="126"/>
      <c r="C58" s="30"/>
      <c r="D58" s="30"/>
      <c r="E58" s="28"/>
    </row>
    <row r="59" spans="1:8" x14ac:dyDescent="0.2">
      <c r="A59" s="26" t="s">
        <v>1910</v>
      </c>
      <c r="B59" s="26" t="s">
        <v>408</v>
      </c>
      <c r="C59" s="30">
        <v>1</v>
      </c>
      <c r="D59" s="30"/>
      <c r="E59" s="17">
        <v>30</v>
      </c>
      <c r="F59" s="18">
        <v>216.10599999999999</v>
      </c>
      <c r="G59" s="18">
        <v>10.805</v>
      </c>
      <c r="H59" s="32">
        <f>'Rail&amp;Bus'!H28*'Rail&amp;Bus'!F28*'Conv Factors'!B13/1000/(1-J59)</f>
        <v>1.147236643778262</v>
      </c>
    </row>
    <row r="60" spans="1:8" x14ac:dyDescent="0.2">
      <c r="A60" s="26" t="s">
        <v>405</v>
      </c>
      <c r="B60" s="26" t="s">
        <v>406</v>
      </c>
      <c r="C60" s="30">
        <v>1</v>
      </c>
      <c r="D60" s="30"/>
      <c r="E60" s="17">
        <v>30</v>
      </c>
      <c r="F60" s="18">
        <f>F61</f>
        <v>1284.7941201945534</v>
      </c>
      <c r="G60" s="18">
        <f>G61</f>
        <v>128.47941201945534</v>
      </c>
      <c r="H60" s="32">
        <f>'Rail&amp;Bus'!H25*'Rail&amp;Bus'!F25*'Conv Factors'!B13/1000</f>
        <v>0.63495881767725038</v>
      </c>
    </row>
    <row r="61" spans="1:8" x14ac:dyDescent="0.2">
      <c r="A61" s="26" t="s">
        <v>403</v>
      </c>
      <c r="B61" s="26" t="s">
        <v>404</v>
      </c>
      <c r="C61" s="30">
        <v>1</v>
      </c>
      <c r="D61" s="30"/>
      <c r="E61" s="17">
        <v>30</v>
      </c>
      <c r="F61" s="18">
        <v>1284.7941201945534</v>
      </c>
      <c r="G61" s="18">
        <v>128.47941201945534</v>
      </c>
      <c r="H61" s="32">
        <f>'Rail&amp;Bus'!H25*'Rail&amp;Bus'!F25*'Conv Factors'!B13/1000</f>
        <v>0.63495881767725038</v>
      </c>
    </row>
    <row r="62" spans="1:8" x14ac:dyDescent="0.2">
      <c r="A62" s="14" t="str">
        <f>Technologies!C194</f>
        <v>TPDSLIR</v>
      </c>
      <c r="B62" s="26" t="s">
        <v>410</v>
      </c>
      <c r="C62" s="30">
        <v>1</v>
      </c>
      <c r="D62" s="30"/>
      <c r="E62" s="17">
        <v>30</v>
      </c>
      <c r="F62" s="18">
        <v>181.59138325036903</v>
      </c>
      <c r="G62" s="18">
        <v>18.159138325036903</v>
      </c>
      <c r="H62" s="32">
        <f>'Rail&amp;Bus'!H30*'Rail&amp;Bus'!F30*'Conv Factors'!B13/1000</f>
        <v>0.38846397260273979</v>
      </c>
    </row>
    <row r="63" spans="1:8" x14ac:dyDescent="0.2">
      <c r="A63" s="26"/>
      <c r="B63" s="26"/>
      <c r="C63" s="30"/>
      <c r="D63" s="17"/>
      <c r="E63" s="26"/>
      <c r="F63" s="17"/>
      <c r="G63" s="17"/>
      <c r="H63" s="32"/>
    </row>
    <row r="64" spans="1:8" x14ac:dyDescent="0.2">
      <c r="A64" s="26"/>
      <c r="B64" s="26"/>
      <c r="C64" s="30"/>
      <c r="D64" s="26"/>
      <c r="E64" s="26"/>
      <c r="F64" s="26"/>
      <c r="G64" s="30"/>
      <c r="H64" s="26"/>
    </row>
    <row r="65" spans="3:8" x14ac:dyDescent="0.2">
      <c r="C65" s="30"/>
      <c r="D65" s="26"/>
      <c r="E65" s="26"/>
      <c r="F65" s="26"/>
      <c r="G65" s="30"/>
      <c r="H65" s="26"/>
    </row>
  </sheetData>
  <mergeCells count="2">
    <mergeCell ref="G5:G6"/>
    <mergeCell ref="H5:H6"/>
  </mergeCells>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72"/>
  <sheetViews>
    <sheetView workbookViewId="0">
      <selection activeCell="N15" sqref="N15"/>
    </sheetView>
  </sheetViews>
  <sheetFormatPr defaultColWidth="9.140625" defaultRowHeight="11.25" x14ac:dyDescent="0.2"/>
  <cols>
    <col min="1" max="1" width="20" style="12" customWidth="1"/>
    <col min="2" max="2" width="10.42578125" style="12" bestFit="1" customWidth="1"/>
    <col min="3" max="16384" width="9.140625" style="12"/>
  </cols>
  <sheetData>
    <row r="1" spans="1:11" x14ac:dyDescent="0.2">
      <c r="A1" s="13" t="s">
        <v>1911</v>
      </c>
      <c r="G1" s="17"/>
      <c r="H1" s="17"/>
      <c r="I1" s="17"/>
      <c r="J1" s="17"/>
      <c r="K1" s="18"/>
    </row>
    <row r="2" spans="1:11" x14ac:dyDescent="0.2">
      <c r="A2" s="12" t="s">
        <v>1912</v>
      </c>
      <c r="B2" s="12">
        <v>24</v>
      </c>
      <c r="G2" s="17"/>
      <c r="H2" s="17"/>
      <c r="I2" s="17"/>
      <c r="J2" s="17"/>
      <c r="K2" s="18"/>
    </row>
    <row r="3" spans="1:11" x14ac:dyDescent="0.2">
      <c r="A3" s="12" t="s">
        <v>1913</v>
      </c>
      <c r="B3" s="12">
        <v>365</v>
      </c>
      <c r="E3" s="19"/>
      <c r="F3" s="19"/>
      <c r="G3" s="17"/>
      <c r="H3" s="17"/>
      <c r="I3" s="17"/>
      <c r="J3" s="17"/>
      <c r="K3" s="18"/>
    </row>
    <row r="4" spans="1:11" x14ac:dyDescent="0.2">
      <c r="A4" s="12" t="s">
        <v>1914</v>
      </c>
      <c r="B4" s="12">
        <v>1055.056</v>
      </c>
      <c r="E4" s="19"/>
      <c r="F4" s="19"/>
      <c r="G4" s="17"/>
      <c r="H4" s="17"/>
      <c r="I4" s="17"/>
      <c r="J4" s="17"/>
      <c r="K4" s="18"/>
    </row>
    <row r="5" spans="1:11" x14ac:dyDescent="0.2">
      <c r="A5" s="12" t="s">
        <v>1915</v>
      </c>
      <c r="B5" s="12">
        <v>3.4119999999999999</v>
      </c>
      <c r="E5" s="19"/>
      <c r="F5" s="19"/>
      <c r="G5" s="17"/>
      <c r="H5" s="17"/>
      <c r="I5" s="17"/>
      <c r="J5" s="17"/>
      <c r="K5" s="18"/>
    </row>
    <row r="6" spans="1:11" x14ac:dyDescent="0.2">
      <c r="A6" s="12" t="s">
        <v>1916</v>
      </c>
      <c r="B6" s="20">
        <v>1000000000000000</v>
      </c>
    </row>
    <row r="7" spans="1:11" x14ac:dyDescent="0.2">
      <c r="A7" s="12" t="s">
        <v>1917</v>
      </c>
      <c r="B7" s="20">
        <v>1000000</v>
      </c>
    </row>
    <row r="8" spans="1:11" x14ac:dyDescent="0.2">
      <c r="A8" s="21" t="s">
        <v>1918</v>
      </c>
      <c r="B8" s="22">
        <v>1000000000000</v>
      </c>
    </row>
    <row r="9" spans="1:11" x14ac:dyDescent="0.2">
      <c r="A9" s="21" t="s">
        <v>1919</v>
      </c>
      <c r="B9" s="22">
        <v>1000000000</v>
      </c>
    </row>
    <row r="10" spans="1:11" x14ac:dyDescent="0.2">
      <c r="A10" s="12" t="s">
        <v>1920</v>
      </c>
      <c r="B10" s="12">
        <v>2.7780000000000001E-7</v>
      </c>
      <c r="F10" s="23"/>
    </row>
    <row r="11" spans="1:11" ht="11.25" customHeight="1" x14ac:dyDescent="0.2">
      <c r="A11" s="12" t="s">
        <v>1921</v>
      </c>
      <c r="B11" s="20">
        <v>1000000</v>
      </c>
      <c r="F11" s="23"/>
    </row>
    <row r="12" spans="1:11" x14ac:dyDescent="0.2">
      <c r="A12" s="12" t="s">
        <v>1922</v>
      </c>
      <c r="B12" s="20">
        <v>1000000</v>
      </c>
    </row>
    <row r="13" spans="1:11" x14ac:dyDescent="0.2">
      <c r="A13" s="12" t="s">
        <v>1923</v>
      </c>
      <c r="B13" s="12">
        <v>1.054</v>
      </c>
    </row>
    <row r="14" spans="1:11" x14ac:dyDescent="0.2">
      <c r="A14" s="12" t="s">
        <v>1924</v>
      </c>
      <c r="B14" s="12">
        <f>B13/10^6</f>
        <v>1.054E-6</v>
      </c>
    </row>
    <row r="17" spans="1:3" x14ac:dyDescent="0.2">
      <c r="A17" s="13" t="s">
        <v>1925</v>
      </c>
    </row>
    <row r="18" spans="1:3" x14ac:dyDescent="0.2">
      <c r="A18" s="12" t="s">
        <v>1926</v>
      </c>
    </row>
    <row r="19" spans="1:3" x14ac:dyDescent="0.2">
      <c r="A19" s="12" t="s">
        <v>1927</v>
      </c>
    </row>
    <row r="20" spans="1:3" x14ac:dyDescent="0.2">
      <c r="A20" s="12" t="s">
        <v>1928</v>
      </c>
    </row>
    <row r="21" spans="1:3" x14ac:dyDescent="0.2">
      <c r="B21" s="12" t="s">
        <v>1929</v>
      </c>
      <c r="C21" s="12" t="s">
        <v>1930</v>
      </c>
    </row>
    <row r="22" spans="1:3" x14ac:dyDescent="0.2">
      <c r="A22" s="12">
        <v>1983</v>
      </c>
      <c r="B22" s="12">
        <v>65.183999999999997</v>
      </c>
      <c r="C22" s="16">
        <f>$B$44/B22</f>
        <v>1.7340298232695142</v>
      </c>
    </row>
    <row r="23" spans="1:3" x14ac:dyDescent="0.2">
      <c r="A23" s="12">
        <v>1984</v>
      </c>
      <c r="B23" s="12">
        <v>67.631</v>
      </c>
      <c r="C23" s="16">
        <f t="shared" ref="C23:C46" si="0">$B$44/B23</f>
        <v>1.6712897931421982</v>
      </c>
    </row>
    <row r="24" spans="1:3" x14ac:dyDescent="0.2">
      <c r="A24" s="12">
        <v>1985</v>
      </c>
      <c r="B24" s="12">
        <v>69.694999999999993</v>
      </c>
      <c r="C24" s="16">
        <f t="shared" si="0"/>
        <v>1.6217949637707154</v>
      </c>
    </row>
    <row r="25" spans="1:3" x14ac:dyDescent="0.2">
      <c r="A25" s="12">
        <v>1986</v>
      </c>
      <c r="B25" s="12">
        <v>71.227000000000004</v>
      </c>
      <c r="C25" s="16">
        <f t="shared" si="0"/>
        <v>1.5869122664158255</v>
      </c>
    </row>
    <row r="26" spans="1:3" x14ac:dyDescent="0.2">
      <c r="A26" s="12">
        <v>1987</v>
      </c>
      <c r="B26" s="12">
        <v>73.180999999999997</v>
      </c>
      <c r="C26" s="16">
        <f t="shared" si="0"/>
        <v>1.5445402495183178</v>
      </c>
    </row>
    <row r="27" spans="1:3" x14ac:dyDescent="0.2">
      <c r="A27" s="12">
        <v>1988</v>
      </c>
      <c r="B27" s="12">
        <v>75.679000000000002</v>
      </c>
      <c r="C27" s="16">
        <f t="shared" si="0"/>
        <v>1.4935583186881434</v>
      </c>
    </row>
    <row r="28" spans="1:3" x14ac:dyDescent="0.2">
      <c r="A28" s="12">
        <v>1989</v>
      </c>
      <c r="B28" s="12">
        <v>78.549000000000007</v>
      </c>
      <c r="C28" s="16">
        <f t="shared" si="0"/>
        <v>1.4389871290532024</v>
      </c>
    </row>
    <row r="29" spans="1:3" x14ac:dyDescent="0.2">
      <c r="A29" s="12">
        <v>1990</v>
      </c>
      <c r="B29" s="12">
        <v>81.588999999999999</v>
      </c>
      <c r="C29" s="16">
        <f t="shared" si="0"/>
        <v>1.3853705769160058</v>
      </c>
    </row>
    <row r="30" spans="1:3" x14ac:dyDescent="0.2">
      <c r="A30" s="12">
        <v>1991</v>
      </c>
      <c r="B30" s="12">
        <v>84.44</v>
      </c>
      <c r="C30" s="16">
        <f t="shared" si="0"/>
        <v>1.3385954523922312</v>
      </c>
    </row>
    <row r="31" spans="1:3" x14ac:dyDescent="0.2">
      <c r="A31" s="12">
        <v>1992</v>
      </c>
      <c r="B31" s="12">
        <v>86.375</v>
      </c>
      <c r="C31" s="16">
        <f t="shared" si="0"/>
        <v>1.3086078147612157</v>
      </c>
    </row>
    <row r="32" spans="1:3" x14ac:dyDescent="0.2">
      <c r="A32" s="12">
        <v>1993</v>
      </c>
      <c r="B32" s="12">
        <v>88.382000000000005</v>
      </c>
      <c r="C32" s="16">
        <f t="shared" si="0"/>
        <v>1.2788916295173225</v>
      </c>
    </row>
    <row r="33" spans="1:3" x14ac:dyDescent="0.2">
      <c r="A33" s="12">
        <v>1994</v>
      </c>
      <c r="B33" s="12">
        <v>90.262</v>
      </c>
      <c r="C33" s="16">
        <f t="shared" si="0"/>
        <v>1.2522545478717513</v>
      </c>
    </row>
    <row r="34" spans="1:3" x14ac:dyDescent="0.2">
      <c r="A34" s="12">
        <v>1995</v>
      </c>
      <c r="B34" s="12">
        <v>92.114000000000004</v>
      </c>
      <c r="C34" s="16">
        <f t="shared" si="0"/>
        <v>1.2270773172373364</v>
      </c>
    </row>
    <row r="35" spans="1:3" x14ac:dyDescent="0.2">
      <c r="A35" s="12">
        <v>1996</v>
      </c>
      <c r="B35" s="12">
        <v>93.863</v>
      </c>
      <c r="C35" s="16">
        <f t="shared" si="0"/>
        <v>1.2042125225062059</v>
      </c>
    </row>
    <row r="36" spans="1:3" x14ac:dyDescent="0.2">
      <c r="A36" s="12">
        <v>1997</v>
      </c>
      <c r="B36" s="12">
        <v>95.42</v>
      </c>
      <c r="C36" s="16">
        <f t="shared" si="0"/>
        <v>1.1845629846992245</v>
      </c>
    </row>
    <row r="37" spans="1:3" x14ac:dyDescent="0.2">
      <c r="A37" s="12">
        <v>1998</v>
      </c>
      <c r="B37" s="12">
        <v>96.474999999999994</v>
      </c>
      <c r="C37" s="16">
        <f t="shared" si="0"/>
        <v>1.1716092251878727</v>
      </c>
    </row>
    <row r="38" spans="1:3" x14ac:dyDescent="0.2">
      <c r="A38" s="12">
        <v>1999</v>
      </c>
      <c r="B38" s="12">
        <v>97.869</v>
      </c>
      <c r="C38" s="16">
        <f t="shared" si="0"/>
        <v>1.1549213744903903</v>
      </c>
    </row>
    <row r="39" spans="1:3" x14ac:dyDescent="0.2">
      <c r="A39" s="12">
        <v>2000</v>
      </c>
      <c r="B39" s="12">
        <v>100</v>
      </c>
      <c r="C39" s="16">
        <f t="shared" si="0"/>
        <v>1.1303100000000001</v>
      </c>
    </row>
    <row r="40" spans="1:3" x14ac:dyDescent="0.2">
      <c r="A40" s="12">
        <v>2001</v>
      </c>
      <c r="B40" s="12">
        <v>102.396</v>
      </c>
      <c r="C40" s="16">
        <f t="shared" si="0"/>
        <v>1.103861478964022</v>
      </c>
    </row>
    <row r="41" spans="1:3" x14ac:dyDescent="0.2">
      <c r="A41" s="12">
        <v>2002</v>
      </c>
      <c r="B41" s="12">
        <v>104.179</v>
      </c>
      <c r="C41" s="16">
        <f t="shared" si="0"/>
        <v>1.084969139653865</v>
      </c>
    </row>
    <row r="42" spans="1:3" x14ac:dyDescent="0.2">
      <c r="A42" s="12">
        <v>2003</v>
      </c>
      <c r="B42" s="12">
        <v>106.396</v>
      </c>
      <c r="C42" s="16">
        <f t="shared" si="0"/>
        <v>1.0623613669686831</v>
      </c>
    </row>
    <row r="43" spans="1:3" x14ac:dyDescent="0.2">
      <c r="A43" s="12">
        <v>2004</v>
      </c>
      <c r="B43" s="12">
        <v>109.455</v>
      </c>
      <c r="C43" s="16">
        <f t="shared" si="0"/>
        <v>1.0326709606687681</v>
      </c>
    </row>
    <row r="44" spans="1:3" x14ac:dyDescent="0.2">
      <c r="A44" s="12">
        <v>2005</v>
      </c>
      <c r="B44" s="12">
        <v>113.03100000000001</v>
      </c>
      <c r="C44" s="16">
        <f t="shared" si="0"/>
        <v>1</v>
      </c>
    </row>
    <row r="45" spans="1:3" x14ac:dyDescent="0.2">
      <c r="A45" s="12">
        <v>2006</v>
      </c>
      <c r="B45" s="12">
        <v>116.672</v>
      </c>
      <c r="C45" s="16">
        <f t="shared" si="0"/>
        <v>0.96879285518376312</v>
      </c>
    </row>
    <row r="46" spans="1:3" x14ac:dyDescent="0.2">
      <c r="A46" s="12">
        <v>2007</v>
      </c>
      <c r="B46" s="12">
        <v>119.813</v>
      </c>
      <c r="C46" s="16">
        <f t="shared" si="0"/>
        <v>0.94339512406833981</v>
      </c>
    </row>
    <row r="49" spans="1:9" x14ac:dyDescent="0.2">
      <c r="A49" s="71" t="s">
        <v>1931</v>
      </c>
      <c r="B49" s="71"/>
      <c r="C49" s="71"/>
      <c r="D49" s="71"/>
      <c r="E49" s="71"/>
      <c r="F49" s="71"/>
      <c r="G49" s="71"/>
      <c r="H49" s="71"/>
      <c r="I49" s="71"/>
    </row>
    <row r="51" spans="1:9" x14ac:dyDescent="0.2">
      <c r="A51" s="44" t="s">
        <v>1932</v>
      </c>
      <c r="B51" s="45" t="s">
        <v>1933</v>
      </c>
      <c r="C51" s="46"/>
    </row>
    <row r="52" spans="1:9" ht="12.75" x14ac:dyDescent="0.2">
      <c r="A52" s="46"/>
      <c r="B52" s="47"/>
      <c r="C52" s="46" t="s">
        <v>1934</v>
      </c>
    </row>
    <row r="53" spans="1:9" x14ac:dyDescent="0.2">
      <c r="A53" s="46"/>
      <c r="B53" s="46" t="s">
        <v>1321</v>
      </c>
      <c r="C53" s="46">
        <v>0.125</v>
      </c>
      <c r="D53" s="46" t="s">
        <v>1935</v>
      </c>
    </row>
    <row r="54" spans="1:9" x14ac:dyDescent="0.2">
      <c r="A54" s="46"/>
      <c r="B54" s="46" t="s">
        <v>922</v>
      </c>
      <c r="C54" s="12">
        <v>0.13730000000000001</v>
      </c>
      <c r="D54" s="12" t="s">
        <v>1936</v>
      </c>
    </row>
    <row r="55" spans="1:9" x14ac:dyDescent="0.2">
      <c r="A55" s="46"/>
      <c r="B55" s="46" t="s">
        <v>1937</v>
      </c>
      <c r="C55" s="46">
        <v>8.43E-2</v>
      </c>
      <c r="D55" s="46" t="s">
        <v>1938</v>
      </c>
    </row>
    <row r="56" spans="1:9" x14ac:dyDescent="0.2">
      <c r="A56" s="46"/>
      <c r="B56" s="46" t="s">
        <v>509</v>
      </c>
      <c r="C56" s="46">
        <v>9.4899999999999998E-2</v>
      </c>
      <c r="D56" s="46" t="s">
        <v>1938</v>
      </c>
    </row>
    <row r="57" spans="1:9" x14ac:dyDescent="0.2">
      <c r="A57" s="46"/>
      <c r="B57" s="46" t="s">
        <v>1939</v>
      </c>
      <c r="C57" s="12">
        <v>0.128</v>
      </c>
      <c r="D57" s="12" t="s">
        <v>1936</v>
      </c>
    </row>
    <row r="58" spans="1:9" x14ac:dyDescent="0.2">
      <c r="A58" s="46"/>
      <c r="B58" s="46" t="s">
        <v>1940</v>
      </c>
      <c r="C58" s="46">
        <v>9.1300000000000006E-2</v>
      </c>
      <c r="D58" s="46" t="s">
        <v>1941</v>
      </c>
    </row>
    <row r="59" spans="1:9" x14ac:dyDescent="0.2">
      <c r="A59" s="46"/>
      <c r="B59" s="12" t="s">
        <v>1701</v>
      </c>
      <c r="C59" s="12">
        <v>0.13539999999999999</v>
      </c>
      <c r="D59" s="12" t="s">
        <v>1942</v>
      </c>
    </row>
    <row r="60" spans="1:9" x14ac:dyDescent="0.2">
      <c r="A60" s="46"/>
      <c r="B60" s="46" t="s">
        <v>1943</v>
      </c>
      <c r="C60" s="46">
        <v>0.10299999999999999</v>
      </c>
      <c r="D60" s="46" t="s">
        <v>1941</v>
      </c>
    </row>
    <row r="61" spans="1:9" x14ac:dyDescent="0.2">
      <c r="A61" s="46"/>
      <c r="B61" s="46" t="s">
        <v>1944</v>
      </c>
    </row>
    <row r="62" spans="1:9" x14ac:dyDescent="0.2">
      <c r="A62" s="46"/>
      <c r="B62" s="48" t="s">
        <v>501</v>
      </c>
      <c r="C62" s="49">
        <f>C63/10^6/0.454/1.33*3.79</f>
        <v>0.12899256400914177</v>
      </c>
      <c r="D62" s="46" t="s">
        <v>1945</v>
      </c>
    </row>
    <row r="63" spans="1:9" x14ac:dyDescent="0.2">
      <c r="A63" s="46"/>
      <c r="B63" s="50" t="s">
        <v>1946</v>
      </c>
      <c r="C63" s="46">
        <v>20551</v>
      </c>
      <c r="D63" s="46" t="s">
        <v>1941</v>
      </c>
    </row>
    <row r="64" spans="1:9" x14ac:dyDescent="0.2">
      <c r="A64" s="46"/>
      <c r="B64" s="50" t="s">
        <v>1947</v>
      </c>
      <c r="C64" s="46">
        <v>1027</v>
      </c>
      <c r="D64" s="46" t="s">
        <v>1941</v>
      </c>
    </row>
    <row r="65" spans="1:4" x14ac:dyDescent="0.2">
      <c r="A65" s="46"/>
      <c r="B65" s="50" t="s">
        <v>1948</v>
      </c>
      <c r="C65" s="46">
        <v>9.0800000000000006E-2</v>
      </c>
      <c r="D65" s="46" t="s">
        <v>1941</v>
      </c>
    </row>
    <row r="66" spans="1:4" x14ac:dyDescent="0.2">
      <c r="B66" s="46" t="s">
        <v>1949</v>
      </c>
      <c r="C66" s="46">
        <v>0.12</v>
      </c>
      <c r="D66" s="46" t="s">
        <v>1941</v>
      </c>
    </row>
    <row r="67" spans="1:4" x14ac:dyDescent="0.2">
      <c r="B67" s="46" t="s">
        <v>1571</v>
      </c>
      <c r="C67" s="46">
        <v>0.128</v>
      </c>
      <c r="D67" s="46" t="s">
        <v>1941</v>
      </c>
    </row>
    <row r="68" spans="1:4" x14ac:dyDescent="0.2">
      <c r="B68" s="46" t="s">
        <v>1950</v>
      </c>
      <c r="C68" s="46">
        <v>0.13500000000000001</v>
      </c>
      <c r="D68" s="46" t="s">
        <v>1941</v>
      </c>
    </row>
    <row r="69" spans="1:4" x14ac:dyDescent="0.2">
      <c r="B69" s="46" t="s">
        <v>1951</v>
      </c>
      <c r="C69" s="46">
        <v>6.4600000000000005E-2</v>
      </c>
      <c r="D69" s="46" t="s">
        <v>1941</v>
      </c>
    </row>
    <row r="70" spans="1:4" x14ac:dyDescent="0.2">
      <c r="B70" s="51" t="s">
        <v>1952</v>
      </c>
      <c r="C70" s="51">
        <f>0.85*C69+0.15*C53</f>
        <v>7.3660000000000003E-2</v>
      </c>
      <c r="D70" s="46" t="s">
        <v>1953</v>
      </c>
    </row>
    <row r="71" spans="1:4" ht="12.75" x14ac:dyDescent="0.2">
      <c r="B71" s="12" t="s">
        <v>1954</v>
      </c>
      <c r="C71" s="52" t="s">
        <v>1955</v>
      </c>
    </row>
    <row r="72" spans="1:4" ht="12.75" x14ac:dyDescent="0.2">
      <c r="C72" s="52" t="s">
        <v>1956</v>
      </c>
    </row>
  </sheetData>
  <phoneticPr fontId="18" type="noConversion"/>
  <hyperlinks>
    <hyperlink ref="C72" r:id="rId1" xr:uid="{00000000-0004-0000-2A00-000000000000}"/>
    <hyperlink ref="C71" r:id="rId2" xr:uid="{00000000-0004-0000-2A00-000001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2024-08-07T00:48:09+00:00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Props1.xml><?xml version="1.0" encoding="utf-8"?>
<ds:datastoreItem xmlns:ds="http://schemas.openxmlformats.org/officeDocument/2006/customXml" ds:itemID="{FDB61940-91BA-495A-BB0C-A1C1510BDDC0}">
  <ds:schemaRefs>
    <ds:schemaRef ds:uri="Microsoft.SharePoint.Taxonomy.ContentTypeSync"/>
  </ds:schemaRefs>
</ds:datastoreItem>
</file>

<file path=customXml/itemProps2.xml><?xml version="1.0" encoding="utf-8"?>
<ds:datastoreItem xmlns:ds="http://schemas.openxmlformats.org/officeDocument/2006/customXml" ds:itemID="{718047EE-01D7-42C0-9718-493076D1AC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D5F00F-7B4B-4747-8A9C-EBC8DD39727D}">
  <ds:schemaRefs>
    <ds:schemaRef ds:uri="http://schemas.microsoft.com/sharepoint/v3/contenttype/forms"/>
  </ds:schemaRefs>
</ds:datastoreItem>
</file>

<file path=customXml/itemProps4.xml><?xml version="1.0" encoding="utf-8"?>
<ds:datastoreItem xmlns:ds="http://schemas.openxmlformats.org/officeDocument/2006/customXml" ds:itemID="{672CEBB4-C22C-4967-9D60-E0F921A9F561}">
  <ds:schemaRefs>
    <ds:schemaRef ds:uri="http://purl.org/dc/dcmitype/"/>
    <ds:schemaRef ds:uri="http://www.w3.org/XML/1998/namespace"/>
    <ds:schemaRef ds:uri="http://schemas.microsoft.com/sharepoint.v3"/>
    <ds:schemaRef ds:uri="http://purl.org/dc/terms/"/>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7a310f20-5be9-40b2-986c-0f6d35bf3dcd"/>
    <ds:schemaRef ds:uri="http://schemas.microsoft.com/sharepoint/v3/fields"/>
    <ds:schemaRef ds:uri="4ffa91fb-a0ff-4ac5-b2db-65c790d184a4"/>
    <ds:schemaRef ds:uri="http://schemas.microsoft.com/sharepoint/v3"/>
    <ds:schemaRef ds:uri="http://schemas.microsoft.com/office/2006/metadata/properties"/>
    <ds:schemaRef ds:uri="13d1ff91-c56c-48a5-881f-c0ec757c423c"/>
    <ds:schemaRef ds:uri="b61e3246-ffdd-47fd-afd5-fb211f629678"/>
    <ds:schemaRef ds:uri="3a45b8d2-5363-42cf-81ee-b666af54687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Readme</vt:lpstr>
      <vt:lpstr>Commodities</vt:lpstr>
      <vt:lpstr>Technologies</vt:lpstr>
      <vt:lpstr>CommData</vt:lpstr>
      <vt:lpstr>TechData</vt:lpstr>
      <vt:lpstr>NewTech</vt:lpstr>
      <vt:lpstr>TechData_Resid_EMIS</vt:lpstr>
      <vt:lpstr>zzTechData_ALM_EMIS</vt:lpstr>
      <vt:lpstr>TechData_HDV_EMIS</vt:lpstr>
      <vt:lpstr>NewEmisData</vt:lpstr>
      <vt:lpstr>RegionalDMDNYC</vt:lpstr>
      <vt:lpstr>TransDemand</vt:lpstr>
      <vt:lpstr>AEO Data</vt:lpstr>
      <vt:lpstr>NYCTranscalc</vt:lpstr>
      <vt:lpstr>Population NYC</vt:lpstr>
      <vt:lpstr>Rail&amp;Bus</vt:lpstr>
      <vt:lpstr>Transcalc</vt:lpstr>
      <vt:lpstr>Pop</vt:lpstr>
      <vt:lpstr>GHG Reports</vt:lpstr>
      <vt:lpstr>Raw emissions</vt:lpstr>
      <vt:lpstr>Resid Emissions</vt:lpstr>
      <vt:lpstr>2015 GHG</vt:lpstr>
      <vt:lpstr>2010 GHG</vt:lpstr>
      <vt:lpstr>TRP</vt:lpstr>
      <vt:lpstr>THS</vt:lpstr>
      <vt:lpstr>TM</vt:lpstr>
      <vt:lpstr>TB</vt:lpstr>
      <vt:lpstr>TSW</vt:lpstr>
      <vt:lpstr>New Emissions</vt:lpstr>
      <vt:lpstr>Tier3Phase-in</vt:lpstr>
      <vt:lpstr>Raw Resid emissions</vt:lpstr>
      <vt:lpstr>Air&amp;Marine</vt:lpstr>
      <vt:lpstr>Freight</vt:lpstr>
      <vt:lpstr>Trucks</vt:lpstr>
      <vt:lpstr>Rail&amp;Bus2</vt:lpstr>
      <vt:lpstr>Conv Factors</vt:lpstr>
    </vt:vector>
  </TitlesOfParts>
  <Manager/>
  <Company>Noble-Soft Systems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Ken Noble</dc:creator>
  <cp:keywords/>
  <dc:description/>
  <cp:lastModifiedBy>Carroll, Zane</cp:lastModifiedBy>
  <cp:revision/>
  <dcterms:created xsi:type="dcterms:W3CDTF">2005-05-01T12:39:10Z</dcterms:created>
  <dcterms:modified xsi:type="dcterms:W3CDTF">2025-05-29T15:02:27Z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0x01010092854A4B9DA56A4E9E67ED7952786595</vt:lpwstr>
  </property>
  <property fmtid="{D5CDD505-2E9C-101B-9397-08002B2CF9AE}" pid="3" name="IsMyDocuments">
    <vt:bool>true</vt:bool>
  </property>
  <property fmtid="{D5CDD505-2E9C-101B-9397-08002B2CF9AE}" pid="4" name="TaxKeyword">
    <vt:lpwstr/>
  </property>
  <property fmtid="{D5CDD505-2E9C-101B-9397-08002B2CF9AE}" pid="5" name="Document_x0020_Type">
    <vt:lpwstr/>
  </property>
  <property fmtid="{D5CDD505-2E9C-101B-9397-08002B2CF9AE}" pid="6" name="Document Type">
    <vt:lpwstr/>
  </property>
  <property fmtid="{D5CDD505-2E9C-101B-9397-08002B2CF9AE}" pid="7" name="SaveCode">
    <vt:r8>618277966976165</vt:r8>
  </property>
  <property fmtid="{D5CDD505-2E9C-101B-9397-08002B2CF9AE}" pid="8" name="MediaServiceImageTags">
    <vt:lpwstr/>
  </property>
</Properties>
</file>